
<file path=[Content_Types].xml><?xml version="1.0" encoding="utf-8"?>
<Types xmlns="http://schemas.openxmlformats.org/package/2006/content-types">
  <Override PartName="/xl/embeddings/oleObject8.bin" ContentType="application/vnd.openxmlformats-officedocument.oleObject"/>
  <Override PartName="/xl/embeddings/oleObject14.bin" ContentType="application/vnd.openxmlformats-officedocument.oleObject"/>
  <Override PartName="/xl/embeddings/oleObject43.bin" ContentType="application/vnd.openxmlformats-officedocument.oleObject"/>
  <Override PartName="/xl/embeddings/oleObject61.bin" ContentType="application/vnd.openxmlformats-officedocument.oleObject"/>
  <Override PartName="/xl/worksheets/sheet13.xml" ContentType="application/vnd.openxmlformats-officedocument.spreadsheetml.worksheet+xml"/>
  <Override PartName="/xl/externalLinks/externalLink9.xml" ContentType="application/vnd.openxmlformats-officedocument.spreadsheetml.externalLink+xml"/>
  <Override PartName="/xl/styles.xml" ContentType="application/vnd.openxmlformats-officedocument.spreadsheetml.styles+xml"/>
  <Override PartName="/xl/drawings/drawing6.xml" ContentType="application/vnd.openxmlformats-officedocument.drawing+xml"/>
  <Override PartName="/xl/comments8.xml" ContentType="application/vnd.openxmlformats-officedocument.spreadsheetml.comments+xml"/>
  <Override PartName="/xl/embeddings/oleObject21.bin" ContentType="application/vnd.openxmlformats-officedocument.oleObject"/>
  <Override PartName="/xl/embeddings/oleObject32.bin" ContentType="application/vnd.openxmlformats-officedocument.oleObject"/>
  <Override PartName="/xl/embeddings/oleObject50.bin" ContentType="application/vnd.openxmlformats-officedocument.oleObject"/>
  <Override PartName="/xl/worksheets/sheet7.xml" ContentType="application/vnd.openxmlformats-officedocument.spreadsheetml.worksheet+xml"/>
  <Override PartName="/xl/embeddings/oleObject4.bin" ContentType="application/vnd.openxmlformats-officedocument.oleObject"/>
  <Override PartName="/xl/embeddings/oleObject10.bin" ContentType="application/vnd.openxmlformats-officedocument.oleObject"/>
  <Default Extension="xml" ContentType="application/xml"/>
  <Override PartName="/xl/externalLinks/externalLink5.xml" ContentType="application/vnd.openxmlformats-officedocument.spreadsheetml.externalLink+xml"/>
  <Override PartName="/xl/drawings/drawing2.xml" ContentType="application/vnd.openxmlformats-officedocument.drawing+xml"/>
  <Override PartName="/xl/comments4.xml" ContentType="application/vnd.openxmlformats-officedocument.spreadsheetml.comments+xml"/>
  <Override PartName="/xl/worksheets/sheet3.xml" ContentType="application/vnd.openxmlformats-officedocument.spreadsheetml.worksheet+xml"/>
  <Override PartName="/xl/drawings/drawing13.xml" ContentType="application/vnd.openxmlformats-officedocument.drawing+xml"/>
  <Override PartName="/xl/externalLinks/externalLink1.xml" ContentType="application/vnd.openxmlformats-officedocument.spreadsheetml.externalLink+xml"/>
  <Override PartName="/xl/embeddings/oleObject48.bin" ContentType="application/vnd.openxmlformats-officedocument.oleObject"/>
  <Override PartName="/xl/embeddings/oleObject59.bin" ContentType="application/vnd.openxmlformats-officedocument.oleObject"/>
  <Override PartName="/xl/comments14.xml" ContentType="application/vnd.openxmlformats-officedocument.spreadsheetml.comments+xml"/>
  <Override PartName="/xl/sharedStrings.xml" ContentType="application/vnd.openxmlformats-officedocument.spreadsheetml.sharedStrings+xml"/>
  <Override PartName="/xl/embeddings/oleObject19.bin" ContentType="application/vnd.openxmlformats-officedocument.oleObject"/>
  <Override PartName="/xl/embeddings/oleObject37.bin" ContentType="application/vnd.openxmlformats-officedocument.oleObject"/>
  <Override PartName="/xl/worksheets/sheet18.xml" ContentType="application/vnd.openxmlformats-officedocument.spreadsheetml.worksheet+xml"/>
  <Override PartName="/xl/comments10.xml" ContentType="application/vnd.openxmlformats-officedocument.spreadsheetml.comments+xml"/>
  <Override PartName="/xl/embeddings/oleObject9.bin" ContentType="application/vnd.openxmlformats-officedocument.oleObject"/>
  <Override PartName="/xl/embeddings/oleObject17.bin" ContentType="application/vnd.openxmlformats-officedocument.oleObject"/>
  <Override PartName="/xl/embeddings/oleObject26.bin" ContentType="application/vnd.openxmlformats-officedocument.oleObject"/>
  <Override PartName="/xl/embeddings/oleObject35.bin" ContentType="application/vnd.openxmlformats-officedocument.oleObject"/>
  <Override PartName="/xl/embeddings/oleObject44.bin" ContentType="application/vnd.openxmlformats-officedocument.oleObject"/>
  <Override PartName="/xl/embeddings/oleObject55.bin" ContentType="application/vnd.openxmlformats-officedocument.oleObject"/>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Override PartName="/xl/embeddings/oleObject7.bin" ContentType="application/vnd.openxmlformats-officedocument.oleObject"/>
  <Override PartName="/xl/embeddings/oleObject15.bin" ContentType="application/vnd.openxmlformats-officedocument.oleObject"/>
  <Override PartName="/xl/embeddings/oleObject24.bin" ContentType="application/vnd.openxmlformats-officedocument.oleObject"/>
  <Override PartName="/xl/embeddings/oleObject33.bin" ContentType="application/vnd.openxmlformats-officedocument.oleObject"/>
  <Override PartName="/xl/embeddings/oleObject42.bin" ContentType="application/vnd.openxmlformats-officedocument.oleObject"/>
  <Override PartName="/xl/embeddings/oleObject53.bin" ContentType="application/vnd.openxmlformats-officedocument.oleObject"/>
  <Override PartName="/xl/embeddings/oleObject62.bin" ContentType="application/vnd.openxmlformats-officedocument.oleObject"/>
  <Override PartName="/xl/worksheets/sheet14.xml" ContentType="application/vnd.openxmlformats-officedocument.spreadsheetml.worksheet+xml"/>
  <Override PartName="/xl/externalLinks/externalLink8.xml" ContentType="application/vnd.openxmlformats-officedocument.spreadsheetml.externalLink+xml"/>
  <Override PartName="/xl/drawings/drawing7.xml" ContentType="application/vnd.openxmlformats-officedocument.drawing+xml"/>
  <Override PartName="/xl/comments9.xml" ContentType="application/vnd.openxmlformats-officedocument.spreadsheetml.comments+xml"/>
  <Override PartName="/xl/embeddings/oleObject5.bin" ContentType="application/vnd.openxmlformats-officedocument.oleObject"/>
  <Override PartName="/xl/embeddings/oleObject13.bin" ContentType="application/vnd.openxmlformats-officedocument.oleObject"/>
  <Override PartName="/xl/embeddings/oleObject22.bin" ContentType="application/vnd.openxmlformats-officedocument.oleObject"/>
  <Override PartName="/xl/embeddings/oleObject31.bin" ContentType="application/vnd.openxmlformats-officedocument.oleObject"/>
  <Override PartName="/xl/embeddings/oleObject40.bin" ContentType="application/vnd.openxmlformats-officedocument.oleObject"/>
  <Override PartName="/xl/embeddings/oleObject51.bin" ContentType="application/vnd.openxmlformats-officedocument.oleObject"/>
  <Override PartName="/xl/embeddings/oleObject60.bin" ContentType="application/vnd.openxmlformats-officedocument.oleObject"/>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externalLinks/externalLink6.xml" ContentType="application/vnd.openxmlformats-officedocument.spreadsheetml.externalLink+xml"/>
  <Override PartName="/xl/drawings/drawing5.xml" ContentType="application/vnd.openxmlformats-officedocument.drawing+xml"/>
  <Override PartName="/xl/comments7.xml" ContentType="application/vnd.openxmlformats-officedocument.spreadsheetml.comments+xml"/>
  <Override PartName="/xl/embeddings/oleObject3.bin" ContentType="application/vnd.openxmlformats-officedocument.oleObject"/>
  <Override PartName="/xl/embeddings/oleObject11.bin" ContentType="application/vnd.openxmlformats-officedocument.oleObject"/>
  <Override PartName="/xl/embeddings/oleObject20.bin" ContentType="application/vnd.openxmlformats-officedocument.oleObject"/>
  <Default Extension="emf" ContentType="image/x-emf"/>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drawings/drawing3.xml" ContentType="application/vnd.openxmlformats-officedocument.drawing+xml"/>
  <Override PartName="/xl/comments5.xml" ContentType="application/vnd.openxmlformats-officedocument.spreadsheetml.comments+xml"/>
  <Override PartName="/xl/embeddings/oleObject1.bin" ContentType="application/vnd.openxmlformats-officedocument.oleObject"/>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comments3.xml" ContentType="application/vnd.openxmlformats-officedocument.spreadsheetml.comments+xml"/>
  <Override PartName="/xl/drawings/drawing14.xml" ContentType="application/vnd.openxmlformats-officedocument.drawing+xml"/>
  <Override PartName="/xl/externalLinks/externalLink1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drawings/drawing12.xml" ContentType="application/vnd.openxmlformats-officedocument.drawing+xml"/>
  <Override PartName="/xl/embeddings/oleObject49.bin" ContentType="application/vnd.openxmlformats-officedocument.oleObject"/>
  <Override PartName="/xl/embeddings/oleObject58.bin" ContentType="application/vnd.openxmlformats-officedocument.oleObject"/>
  <Override PartName="/xl/calcChain.xml" ContentType="application/vnd.openxmlformats-officedocument.spreadsheetml.calcChain+xml"/>
  <Override PartName="/xl/worksheets/sheet19.xml" ContentType="application/vnd.openxmlformats-officedocument.spreadsheetml.worksheet+xml"/>
  <Override PartName="/xl/drawings/drawing10.xml" ContentType="application/vnd.openxmlformats-officedocument.drawing+xml"/>
  <Override PartName="/xl/comments13.xml" ContentType="application/vnd.openxmlformats-officedocument.spreadsheetml.comments+xml"/>
  <Override PartName="/xl/embeddings/oleObject18.bin" ContentType="application/vnd.openxmlformats-officedocument.oleObject"/>
  <Override PartName="/xl/embeddings/oleObject29.bin" ContentType="application/vnd.openxmlformats-officedocument.oleObject"/>
  <Override PartName="/xl/embeddings/oleObject38.bin" ContentType="application/vnd.openxmlformats-officedocument.oleObject"/>
  <Override PartName="/xl/embeddings/oleObject47.bin" ContentType="application/vnd.openxmlformats-officedocument.oleObject"/>
  <Override PartName="/xl/embeddings/oleObject56.bin" ContentType="application/vnd.openxmlformats-officedocument.oleObject"/>
  <Override PartName="/xl/worksheets/sheet17.xml" ContentType="application/vnd.openxmlformats-officedocument.spreadsheetml.worksheet+xml"/>
  <Override PartName="/xl/comments11.xml" ContentType="application/vnd.openxmlformats-officedocument.spreadsheetml.comments+xml"/>
  <Override PartName="/xl/embeddings/oleObject16.bin" ContentType="application/vnd.openxmlformats-officedocument.oleObject"/>
  <Override PartName="/xl/embeddings/oleObject25.bin" ContentType="application/vnd.openxmlformats-officedocument.oleObject"/>
  <Override PartName="/xl/embeddings/oleObject27.bin" ContentType="application/vnd.openxmlformats-officedocument.oleObject"/>
  <Override PartName="/xl/embeddings/oleObject36.bin" ContentType="application/vnd.openxmlformats-officedocument.oleObject"/>
  <Override PartName="/xl/embeddings/oleObject45.bin" ContentType="application/vnd.openxmlformats-officedocument.oleObject"/>
  <Override PartName="/xl/embeddings/oleObject54.bin" ContentType="application/vnd.openxmlformats-officedocument.oleObject"/>
  <Override PartName="/docProps/core.xml" ContentType="application/vnd.openxmlformats-package.core-properties+xml"/>
  <Override PartName="/xl/worksheets/sheet15.xml" ContentType="application/vnd.openxmlformats-officedocument.spreadsheetml.worksheet+xml"/>
  <Override PartName="/xl/embeddings/oleObject23.bin" ContentType="application/vnd.openxmlformats-officedocument.oleObject"/>
  <Override PartName="/xl/embeddings/oleObject34.bin" ContentType="application/vnd.openxmlformats-officedocument.oleObject"/>
  <Override PartName="/xl/embeddings/oleObject52.bin" ContentType="application/vnd.openxmlformats-officedocument.oleObject"/>
  <Override PartName="/xl/worksheets/sheet9.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embeddings/oleObject6.bin" ContentType="application/vnd.openxmlformats-officedocument.oleObject"/>
  <Override PartName="/xl/embeddings/oleObject12.bin" ContentType="application/vnd.openxmlformats-officedocument.oleObject"/>
  <Override PartName="/xl/embeddings/oleObject41.bin" ContentType="application/vnd.openxmlformats-officedocument.oleObject"/>
  <Override PartName="/xl/worksheets/sheet11.xml" ContentType="application/vnd.openxmlformats-officedocument.spreadsheetml.worksheet+xml"/>
  <Override PartName="/xl/externalLinks/externalLink7.xml" ContentType="application/vnd.openxmlformats-officedocument.spreadsheetml.externalLink+xml"/>
  <Override PartName="/xl/drawings/drawing4.xml" ContentType="application/vnd.openxmlformats-officedocument.drawing+xml"/>
  <Override PartName="/xl/comments6.xml" ContentType="application/vnd.openxmlformats-officedocument.spreadsheetml.comments+xml"/>
  <Override PartName="/xl/embeddings/oleObject30.bin" ContentType="application/vnd.openxmlformats-officedocument.oleObject"/>
  <Default Extension="rels" ContentType="application/vnd.openxmlformats-package.relationships+xml"/>
  <Override PartName="/xl/worksheets/sheet5.xml" ContentType="application/vnd.openxmlformats-officedocument.spreadsheetml.worksheet+xml"/>
  <Override PartName="/xl/embeddings/oleObject2.bin" ContentType="application/vnd.openxmlformats-officedocument.oleObject"/>
  <Override PartName="/xl/drawings/drawing15.xml" ContentType="application/vnd.openxmlformats-officedocument.drawing+xml"/>
  <Override PartName="/xl/externalLinks/externalLink3.xml" ContentType="application/vnd.openxmlformats-officedocument.spreadsheetml.externalLink+xml"/>
  <Override PartName="/xl/comments2.xml" ContentType="application/vnd.openxmlformats-officedocument.spreadsheetml.comments+xml"/>
  <Override PartName="/xl/worksheets/sheet1.xml" ContentType="application/vnd.openxmlformats-officedocument.spreadsheetml.worksheet+xml"/>
  <Override PartName="/xl/drawings/drawing11.xml" ContentType="application/vnd.openxmlformats-officedocument.drawing+xml"/>
  <Override PartName="/xl/embeddings/oleObject39.bin" ContentType="application/vnd.openxmlformats-officedocument.oleObject"/>
  <Override PartName="/xl/externalLinks/externalLink10.xml" ContentType="application/vnd.openxmlformats-officedocument.spreadsheetml.externalLink+xml"/>
  <Override PartName="/xl/comments12.xml" ContentType="application/vnd.openxmlformats-officedocument.spreadsheetml.comments+xml"/>
  <Override PartName="/xl/embeddings/oleObject28.bin" ContentType="application/vnd.openxmlformats-officedocument.oleObject"/>
  <Override PartName="/xl/embeddings/oleObject46.bin" ContentType="application/vnd.openxmlformats-officedocument.oleObject"/>
  <Override PartName="/xl/embeddings/oleObject57.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4055" yWindow="-75" windowWidth="14280" windowHeight="12570" tabRatio="934" firstSheet="1" activeTab="15"/>
  </bookViews>
  <sheets>
    <sheet name="018-21-CAPA" sheetId="4" r:id="rId1"/>
    <sheet name="018.01-21-ADM OBRA" sheetId="50" r:id="rId2"/>
    <sheet name="018.02-21-IMPLANTAÇÃO" sheetId="44" r:id="rId3"/>
    <sheet name="018.03-21-ED. PRINCIPAL" sheetId="18" r:id="rId4"/>
    <sheet name="018.04-21-LIXEIRA" sheetId="45" r:id="rId5"/>
    <sheet name="018.05-21-GLP" sheetId="46" r:id="rId6"/>
    <sheet name="018.06-21-BOMBAS" sheetId="51" r:id="rId7"/>
    <sheet name="018.07-21-CALDEIRA" sheetId="48" r:id="rId8"/>
    <sheet name="018-21-CCU's" sheetId="15" r:id="rId9"/>
    <sheet name="018-21-CCU's AUX" sheetId="42" r:id="rId10"/>
    <sheet name="018-21-cotação" sheetId="16" r:id="rId11"/>
    <sheet name="SERVIÇOS" sheetId="27" state="hidden" r:id="rId12"/>
    <sheet name="INSUMOS" sheetId="28" state="hidden" r:id="rId13"/>
    <sheet name="Reajustamento INCC" sheetId="41" state="hidden" r:id="rId14"/>
    <sheet name="018-21-CRO" sheetId="21" r:id="rId15"/>
    <sheet name="018-21-ABC-SERVIÇOS" sheetId="26" r:id="rId16"/>
    <sheet name="Encargos" sheetId="30" r:id="rId17"/>
    <sheet name="BDI-Edificações" sheetId="43" r:id="rId18"/>
    <sheet name="BDI_Equipamentos" sheetId="33"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s>
  <definedNames>
    <definedName name="__SM1" localSheetId="1">#REF!</definedName>
    <definedName name="__SM1" localSheetId="2">#REF!</definedName>
    <definedName name="__SM1" localSheetId="4">#REF!</definedName>
    <definedName name="__SM1" localSheetId="5">#REF!</definedName>
    <definedName name="__SM1" localSheetId="6">#REF!</definedName>
    <definedName name="__SM1" localSheetId="7">#REF!</definedName>
    <definedName name="__SM1" localSheetId="15">#REF!</definedName>
    <definedName name="__SM1" localSheetId="0">#REF!</definedName>
    <definedName name="__SM1" localSheetId="8">#REF!</definedName>
    <definedName name="__SM1" localSheetId="9">#REF!</definedName>
    <definedName name="__SM1" localSheetId="10">#REF!</definedName>
    <definedName name="__SM1" localSheetId="14">#REF!</definedName>
    <definedName name="__SM1" localSheetId="16">#REF!</definedName>
    <definedName name="__SM1" localSheetId="13">#REF!</definedName>
    <definedName name="__SM1">#REF!</definedName>
    <definedName name="__SM10" localSheetId="1">#REF!</definedName>
    <definedName name="__SM10" localSheetId="2">#REF!</definedName>
    <definedName name="__SM10" localSheetId="4">#REF!</definedName>
    <definedName name="__SM10" localSheetId="5">#REF!</definedName>
    <definedName name="__SM10" localSheetId="6">#REF!</definedName>
    <definedName name="__SM10" localSheetId="7">#REF!</definedName>
    <definedName name="__SM10" localSheetId="15">#REF!</definedName>
    <definedName name="__SM10" localSheetId="0">#REF!</definedName>
    <definedName name="__SM10" localSheetId="9">#REF!</definedName>
    <definedName name="__SM10" localSheetId="10">#REF!</definedName>
    <definedName name="__SM10" localSheetId="14">#REF!</definedName>
    <definedName name="__SM10" localSheetId="16">#REF!</definedName>
    <definedName name="__SM10" localSheetId="13">#REF!</definedName>
    <definedName name="__SM10">#REF!</definedName>
    <definedName name="__SM11" localSheetId="1">#REF!</definedName>
    <definedName name="__SM11" localSheetId="2">#REF!</definedName>
    <definedName name="__SM11" localSheetId="4">#REF!</definedName>
    <definedName name="__SM11" localSheetId="5">#REF!</definedName>
    <definedName name="__SM11" localSheetId="6">#REF!</definedName>
    <definedName name="__SM11" localSheetId="7">#REF!</definedName>
    <definedName name="__SM11" localSheetId="15">#REF!</definedName>
    <definedName name="__SM11" localSheetId="0">#REF!</definedName>
    <definedName name="__SM11" localSheetId="9">#REF!</definedName>
    <definedName name="__SM11" localSheetId="10">#REF!</definedName>
    <definedName name="__SM11" localSheetId="14">#REF!</definedName>
    <definedName name="__SM11" localSheetId="16">#REF!</definedName>
    <definedName name="__SM11" localSheetId="13">#REF!</definedName>
    <definedName name="__SM11">#REF!</definedName>
    <definedName name="__SM12" localSheetId="1">#REF!</definedName>
    <definedName name="__SM12" localSheetId="2">#REF!</definedName>
    <definedName name="__SM12" localSheetId="4">#REF!</definedName>
    <definedName name="__SM12" localSheetId="5">#REF!</definedName>
    <definedName name="__SM12" localSheetId="6">#REF!</definedName>
    <definedName name="__SM12" localSheetId="7">#REF!</definedName>
    <definedName name="__SM12" localSheetId="15">#REF!</definedName>
    <definedName name="__SM12" localSheetId="9">#REF!</definedName>
    <definedName name="__SM12" localSheetId="14">#REF!</definedName>
    <definedName name="__SM12" localSheetId="13">#REF!</definedName>
    <definedName name="__SM12">#REF!</definedName>
    <definedName name="__sm13" localSheetId="1">#REF!</definedName>
    <definedName name="__sm13" localSheetId="2">#REF!</definedName>
    <definedName name="__sm13" localSheetId="4">#REF!</definedName>
    <definedName name="__sm13" localSheetId="5">#REF!</definedName>
    <definedName name="__sm13" localSheetId="6">#REF!</definedName>
    <definedName name="__sm13" localSheetId="7">#REF!</definedName>
    <definedName name="__sm13" localSheetId="15">#REF!</definedName>
    <definedName name="__sm13" localSheetId="9">#REF!</definedName>
    <definedName name="__sm13" localSheetId="14">#REF!</definedName>
    <definedName name="__sm13" localSheetId="13">#REF!</definedName>
    <definedName name="__sm13">#REF!</definedName>
    <definedName name="__SM2" localSheetId="1">#REF!</definedName>
    <definedName name="__SM2" localSheetId="2">#REF!</definedName>
    <definedName name="__SM2" localSheetId="4">#REF!</definedName>
    <definedName name="__SM2" localSheetId="5">#REF!</definedName>
    <definedName name="__SM2" localSheetId="6">#REF!</definedName>
    <definedName name="__SM2" localSheetId="7">#REF!</definedName>
    <definedName name="__SM2" localSheetId="15">#REF!</definedName>
    <definedName name="__SM2" localSheetId="9">#REF!</definedName>
    <definedName name="__SM2" localSheetId="14">#REF!</definedName>
    <definedName name="__SM2" localSheetId="13">#REF!</definedName>
    <definedName name="__SM2">#REF!</definedName>
    <definedName name="__SM3" localSheetId="1">#REF!</definedName>
    <definedName name="__SM3" localSheetId="2">#REF!</definedName>
    <definedName name="__SM3" localSheetId="4">#REF!</definedName>
    <definedName name="__SM3" localSheetId="5">#REF!</definedName>
    <definedName name="__SM3" localSheetId="6">#REF!</definedName>
    <definedName name="__SM3" localSheetId="7">#REF!</definedName>
    <definedName name="__SM3" localSheetId="15">#REF!</definedName>
    <definedName name="__SM3" localSheetId="9">#REF!</definedName>
    <definedName name="__SM3" localSheetId="14">#REF!</definedName>
    <definedName name="__SM3" localSheetId="13">#REF!</definedName>
    <definedName name="__SM3">#REF!</definedName>
    <definedName name="__SM4" localSheetId="1">#REF!</definedName>
    <definedName name="__SM4" localSheetId="2">#REF!</definedName>
    <definedName name="__SM4" localSheetId="4">#REF!</definedName>
    <definedName name="__SM4" localSheetId="5">#REF!</definedName>
    <definedName name="__SM4" localSheetId="6">#REF!</definedName>
    <definedName name="__SM4" localSheetId="7">#REF!</definedName>
    <definedName name="__SM4" localSheetId="15">#REF!</definedName>
    <definedName name="__SM4" localSheetId="9">#REF!</definedName>
    <definedName name="__SM4" localSheetId="14">#REF!</definedName>
    <definedName name="__SM4" localSheetId="13">#REF!</definedName>
    <definedName name="__SM4">#REF!</definedName>
    <definedName name="__SM5" localSheetId="1">#REF!</definedName>
    <definedName name="__SM5" localSheetId="2">#REF!</definedName>
    <definedName name="__SM5" localSheetId="4">#REF!</definedName>
    <definedName name="__SM5" localSheetId="5">#REF!</definedName>
    <definedName name="__SM5" localSheetId="6">#REF!</definedName>
    <definedName name="__SM5" localSheetId="7">#REF!</definedName>
    <definedName name="__SM5" localSheetId="15">#REF!</definedName>
    <definedName name="__SM5" localSheetId="9">#REF!</definedName>
    <definedName name="__SM5" localSheetId="14">#REF!</definedName>
    <definedName name="__SM5" localSheetId="13">#REF!</definedName>
    <definedName name="__SM5">#REF!</definedName>
    <definedName name="__SM6" localSheetId="1">#REF!</definedName>
    <definedName name="__SM6" localSheetId="2">#REF!</definedName>
    <definedName name="__SM6" localSheetId="4">#REF!</definedName>
    <definedName name="__SM6" localSheetId="5">#REF!</definedName>
    <definedName name="__SM6" localSheetId="6">#REF!</definedName>
    <definedName name="__SM6" localSheetId="7">#REF!</definedName>
    <definedName name="__SM6" localSheetId="15">#REF!</definedName>
    <definedName name="__SM6" localSheetId="9">#REF!</definedName>
    <definedName name="__SM6" localSheetId="14">#REF!</definedName>
    <definedName name="__SM6" localSheetId="13">#REF!</definedName>
    <definedName name="__SM6">#REF!</definedName>
    <definedName name="__SM7" localSheetId="1">#REF!</definedName>
    <definedName name="__SM7" localSheetId="2">#REF!</definedName>
    <definedName name="__SM7" localSheetId="4">#REF!</definedName>
    <definedName name="__SM7" localSheetId="5">#REF!</definedName>
    <definedName name="__SM7" localSheetId="6">#REF!</definedName>
    <definedName name="__SM7" localSheetId="7">#REF!</definedName>
    <definedName name="__SM7" localSheetId="15">#REF!</definedName>
    <definedName name="__SM7" localSheetId="9">#REF!</definedName>
    <definedName name="__SM7" localSheetId="14">#REF!</definedName>
    <definedName name="__SM7" localSheetId="13">#REF!</definedName>
    <definedName name="__SM7">#REF!</definedName>
    <definedName name="__SM8" localSheetId="1">#REF!</definedName>
    <definedName name="__SM8" localSheetId="2">#REF!</definedName>
    <definedName name="__SM8" localSheetId="4">#REF!</definedName>
    <definedName name="__SM8" localSheetId="5">#REF!</definedName>
    <definedName name="__SM8" localSheetId="6">#REF!</definedName>
    <definedName name="__SM8" localSheetId="7">#REF!</definedName>
    <definedName name="__SM8" localSheetId="15">#REF!</definedName>
    <definedName name="__SM8" localSheetId="9">#REF!</definedName>
    <definedName name="__SM8" localSheetId="14">#REF!</definedName>
    <definedName name="__SM8" localSheetId="13">#REF!</definedName>
    <definedName name="__SM8">#REF!</definedName>
    <definedName name="__SM9" localSheetId="1">#REF!</definedName>
    <definedName name="__SM9" localSheetId="2">#REF!</definedName>
    <definedName name="__SM9" localSheetId="4">#REF!</definedName>
    <definedName name="__SM9" localSheetId="5">#REF!</definedName>
    <definedName name="__SM9" localSheetId="6">#REF!</definedName>
    <definedName name="__SM9" localSheetId="7">#REF!</definedName>
    <definedName name="__SM9" localSheetId="15">#REF!</definedName>
    <definedName name="__SM9" localSheetId="9">#REF!</definedName>
    <definedName name="__SM9" localSheetId="14">#REF!</definedName>
    <definedName name="__SM9" localSheetId="13">#REF!</definedName>
    <definedName name="__SM9">#REF!</definedName>
    <definedName name="_1Excel_BuiltIn_Print_Area_1_1" localSheetId="1">#REF!</definedName>
    <definedName name="_1Excel_BuiltIn_Print_Area_1_1" localSheetId="2">#REF!</definedName>
    <definedName name="_1Excel_BuiltIn_Print_Area_1_1" localSheetId="4">#REF!</definedName>
    <definedName name="_1Excel_BuiltIn_Print_Area_1_1" localSheetId="5">#REF!</definedName>
    <definedName name="_1Excel_BuiltIn_Print_Area_1_1" localSheetId="6">#REF!</definedName>
    <definedName name="_1Excel_BuiltIn_Print_Area_1_1" localSheetId="7">#REF!</definedName>
    <definedName name="_1Excel_BuiltIn_Print_Area_1_1" localSheetId="9">#REF!</definedName>
    <definedName name="_1Excel_BuiltIn_Print_Area_1_1" localSheetId="13">#REF!</definedName>
    <definedName name="_1Excel_BuiltIn_Print_Area_1_1">#REF!</definedName>
    <definedName name="_xlnm._FilterDatabase" localSheetId="1" hidden="1">'018.01-21-ADM OBRA'!$B$11:$J$71</definedName>
    <definedName name="_xlnm._FilterDatabase" localSheetId="2" hidden="1">'018.02-21-IMPLANTAÇÃO'!$B$11:$J$443</definedName>
    <definedName name="_xlnm._FilterDatabase" localSheetId="3" hidden="1">'018.03-21-ED. PRINCIPAL'!$B$11:$J$869</definedName>
    <definedName name="_xlnm._FilterDatabase" localSheetId="4" hidden="1">'018.04-21-LIXEIRA'!$B$11:$J$195</definedName>
    <definedName name="_xlnm._FilterDatabase" localSheetId="5" hidden="1">'018.05-21-GLP'!$B$11:$J$190</definedName>
    <definedName name="_xlnm._FilterDatabase" localSheetId="6" hidden="1">'018.06-21-BOMBAS'!$B$11:$J$218</definedName>
    <definedName name="_xlnm._FilterDatabase" localSheetId="7" hidden="1">'018.07-21-CALDEIRA'!$B$11:$J$247</definedName>
    <definedName name="_xlnm._FilterDatabase" localSheetId="15" hidden="1">'018-21-ABC-SERVIÇOS'!$A$10:$J$770</definedName>
    <definedName name="_xlnm._FilterDatabase" localSheetId="8" hidden="1">'018-21-CCU''s'!$B$9:$H$2879</definedName>
    <definedName name="_xlnm._FilterDatabase" localSheetId="9" hidden="1">'018-21-CCU''s AUX'!$B$9:$H$290</definedName>
    <definedName name="_xlnm._FilterDatabase" localSheetId="10" hidden="1">'018-21-cotação'!$A$9:$I$1678</definedName>
    <definedName name="_xlnm._FilterDatabase" localSheetId="12" hidden="1">INSUMOS!$C$1:$C$5244</definedName>
    <definedName name="_xlnm._FilterDatabase" localSheetId="11" hidden="1">SERVIÇOS!$C$1:$C$6891</definedName>
    <definedName name="_SM1" localSheetId="1">#REF!</definedName>
    <definedName name="_SM1" localSheetId="2">#REF!</definedName>
    <definedName name="_SM1" localSheetId="4">#REF!</definedName>
    <definedName name="_SM1" localSheetId="5">#REF!</definedName>
    <definedName name="_SM1" localSheetId="6">#REF!</definedName>
    <definedName name="_SM1" localSheetId="7">#REF!</definedName>
    <definedName name="_SM1" localSheetId="15">#REF!</definedName>
    <definedName name="_SM1" localSheetId="0">#REF!</definedName>
    <definedName name="_SM1" localSheetId="8">#REF!</definedName>
    <definedName name="_SM1" localSheetId="9">#REF!</definedName>
    <definedName name="_SM1" localSheetId="14">#REF!</definedName>
    <definedName name="_SM1" localSheetId="16">#REF!</definedName>
    <definedName name="_SM1" localSheetId="13">#REF!</definedName>
    <definedName name="_SM1">#REF!</definedName>
    <definedName name="_SM10" localSheetId="1">#REF!</definedName>
    <definedName name="_SM10" localSheetId="2">#REF!</definedName>
    <definedName name="_SM10" localSheetId="4">#REF!</definedName>
    <definedName name="_SM10" localSheetId="5">#REF!</definedName>
    <definedName name="_SM10" localSheetId="6">#REF!</definedName>
    <definedName name="_SM10" localSheetId="7">#REF!</definedName>
    <definedName name="_SM10" localSheetId="15">#REF!</definedName>
    <definedName name="_SM10" localSheetId="0">#REF!</definedName>
    <definedName name="_SM10" localSheetId="9">#REF!</definedName>
    <definedName name="_SM10" localSheetId="14">#REF!</definedName>
    <definedName name="_SM10" localSheetId="16">#REF!</definedName>
    <definedName name="_SM10" localSheetId="13">#REF!</definedName>
    <definedName name="_SM10">#REF!</definedName>
    <definedName name="_SM11" localSheetId="1">#REF!</definedName>
    <definedName name="_SM11" localSheetId="2">#REF!</definedName>
    <definedName name="_SM11" localSheetId="4">#REF!</definedName>
    <definedName name="_SM11" localSheetId="5">#REF!</definedName>
    <definedName name="_SM11" localSheetId="6">#REF!</definedName>
    <definedName name="_SM11" localSheetId="7">#REF!</definedName>
    <definedName name="_SM11" localSheetId="15">#REF!</definedName>
    <definedName name="_SM11" localSheetId="9">#REF!</definedName>
    <definedName name="_SM11" localSheetId="10">#REF!</definedName>
    <definedName name="_SM11" localSheetId="14">#REF!</definedName>
    <definedName name="_SM11" localSheetId="13">#REF!</definedName>
    <definedName name="_SM11">#REF!</definedName>
    <definedName name="_SM12" localSheetId="1">#REF!</definedName>
    <definedName name="_SM12" localSheetId="2">#REF!</definedName>
    <definedName name="_SM12" localSheetId="4">#REF!</definedName>
    <definedName name="_SM12" localSheetId="5">#REF!</definedName>
    <definedName name="_SM12" localSheetId="6">#REF!</definedName>
    <definedName name="_SM12" localSheetId="7">#REF!</definedName>
    <definedName name="_SM12" localSheetId="15">#REF!</definedName>
    <definedName name="_SM12" localSheetId="9">#REF!</definedName>
    <definedName name="_SM12" localSheetId="10">#REF!</definedName>
    <definedName name="_SM12" localSheetId="14">#REF!</definedName>
    <definedName name="_SM12" localSheetId="13">#REF!</definedName>
    <definedName name="_SM12">#REF!</definedName>
    <definedName name="_sm13" localSheetId="1">#REF!</definedName>
    <definedName name="_sm13" localSheetId="2">#REF!</definedName>
    <definedName name="_sm13" localSheetId="4">#REF!</definedName>
    <definedName name="_sm13" localSheetId="5">#REF!</definedName>
    <definedName name="_sm13" localSheetId="6">#REF!</definedName>
    <definedName name="_sm13" localSheetId="7">#REF!</definedName>
    <definedName name="_sm13" localSheetId="15">#REF!</definedName>
    <definedName name="_sm13" localSheetId="9">#REF!</definedName>
    <definedName name="_sm13" localSheetId="10">#REF!</definedName>
    <definedName name="_sm13" localSheetId="14">#REF!</definedName>
    <definedName name="_sm13" localSheetId="13">#REF!</definedName>
    <definedName name="_sm13">#REF!</definedName>
    <definedName name="_SM2" localSheetId="1">#REF!</definedName>
    <definedName name="_SM2" localSheetId="2">#REF!</definedName>
    <definedName name="_SM2" localSheetId="4">#REF!</definedName>
    <definedName name="_SM2" localSheetId="5">#REF!</definedName>
    <definedName name="_SM2" localSheetId="6">#REF!</definedName>
    <definedName name="_SM2" localSheetId="7">#REF!</definedName>
    <definedName name="_SM2" localSheetId="15">#REF!</definedName>
    <definedName name="_SM2" localSheetId="9">#REF!</definedName>
    <definedName name="_SM2" localSheetId="14">#REF!</definedName>
    <definedName name="_SM2" localSheetId="13">#REF!</definedName>
    <definedName name="_SM2">#REF!</definedName>
    <definedName name="_SM3" localSheetId="1">#REF!</definedName>
    <definedName name="_SM3" localSheetId="2">#REF!</definedName>
    <definedName name="_SM3" localSheetId="4">#REF!</definedName>
    <definedName name="_SM3" localSheetId="5">#REF!</definedName>
    <definedName name="_SM3" localSheetId="6">#REF!</definedName>
    <definedName name="_SM3" localSheetId="7">#REF!</definedName>
    <definedName name="_SM3" localSheetId="15">#REF!</definedName>
    <definedName name="_SM3" localSheetId="9">#REF!</definedName>
    <definedName name="_SM3" localSheetId="14">#REF!</definedName>
    <definedName name="_SM3" localSheetId="13">#REF!</definedName>
    <definedName name="_SM3">#REF!</definedName>
    <definedName name="_SM35" localSheetId="1">#REF!</definedName>
    <definedName name="_SM35" localSheetId="2">#REF!</definedName>
    <definedName name="_SM35" localSheetId="4">#REF!</definedName>
    <definedName name="_SM35" localSheetId="5">#REF!</definedName>
    <definedName name="_SM35" localSheetId="6">#REF!</definedName>
    <definedName name="_SM35" localSheetId="7">#REF!</definedName>
    <definedName name="_SM35" localSheetId="9">#REF!</definedName>
    <definedName name="_SM35" localSheetId="13">#REF!</definedName>
    <definedName name="_SM35">#REF!</definedName>
    <definedName name="_SM4" localSheetId="1">#REF!</definedName>
    <definedName name="_SM4" localSheetId="2">#REF!</definedName>
    <definedName name="_SM4" localSheetId="4">#REF!</definedName>
    <definedName name="_SM4" localSheetId="5">#REF!</definedName>
    <definedName name="_SM4" localSheetId="6">#REF!</definedName>
    <definedName name="_SM4" localSheetId="7">#REF!</definedName>
    <definedName name="_SM4" localSheetId="15">#REF!</definedName>
    <definedName name="_SM4" localSheetId="9">#REF!</definedName>
    <definedName name="_SM4" localSheetId="14">#REF!</definedName>
    <definedName name="_SM4" localSheetId="13">#REF!</definedName>
    <definedName name="_SM4">#REF!</definedName>
    <definedName name="_SM5" localSheetId="1">#REF!</definedName>
    <definedName name="_SM5" localSheetId="2">#REF!</definedName>
    <definedName name="_SM5" localSheetId="4">#REF!</definedName>
    <definedName name="_SM5" localSheetId="5">#REF!</definedName>
    <definedName name="_SM5" localSheetId="6">#REF!</definedName>
    <definedName name="_SM5" localSheetId="7">#REF!</definedName>
    <definedName name="_SM5" localSheetId="15">#REF!</definedName>
    <definedName name="_SM5" localSheetId="9">#REF!</definedName>
    <definedName name="_SM5" localSheetId="14">#REF!</definedName>
    <definedName name="_SM5" localSheetId="13">#REF!</definedName>
    <definedName name="_SM5">#REF!</definedName>
    <definedName name="_SM6" localSheetId="1">#REF!</definedName>
    <definedName name="_SM6" localSheetId="2">#REF!</definedName>
    <definedName name="_SM6" localSheetId="4">#REF!</definedName>
    <definedName name="_SM6" localSheetId="5">#REF!</definedName>
    <definedName name="_SM6" localSheetId="6">#REF!</definedName>
    <definedName name="_SM6" localSheetId="7">#REF!</definedName>
    <definedName name="_SM6" localSheetId="15">#REF!</definedName>
    <definedName name="_SM6" localSheetId="9">#REF!</definedName>
    <definedName name="_SM6" localSheetId="14">#REF!</definedName>
    <definedName name="_SM6" localSheetId="13">#REF!</definedName>
    <definedName name="_SM6">#REF!</definedName>
    <definedName name="_SM66" localSheetId="1">#REF!</definedName>
    <definedName name="_SM66" localSheetId="2">#REF!</definedName>
    <definedName name="_SM66" localSheetId="4">#REF!</definedName>
    <definedName name="_SM66" localSheetId="5">#REF!</definedName>
    <definedName name="_SM66" localSheetId="6">#REF!</definedName>
    <definedName name="_SM66" localSheetId="7">#REF!</definedName>
    <definedName name="_SM66">#REF!</definedName>
    <definedName name="_SM7" localSheetId="1">#REF!</definedName>
    <definedName name="_SM7" localSheetId="2">#REF!</definedName>
    <definedName name="_SM7" localSheetId="4">#REF!</definedName>
    <definedName name="_SM7" localSheetId="5">#REF!</definedName>
    <definedName name="_SM7" localSheetId="6">#REF!</definedName>
    <definedName name="_SM7" localSheetId="7">#REF!</definedName>
    <definedName name="_SM7" localSheetId="15">#REF!</definedName>
    <definedName name="_SM7" localSheetId="9">#REF!</definedName>
    <definedName name="_SM7" localSheetId="14">#REF!</definedName>
    <definedName name="_SM7" localSheetId="13">#REF!</definedName>
    <definedName name="_SM7">#REF!</definedName>
    <definedName name="_SM8" localSheetId="1">#REF!</definedName>
    <definedName name="_SM8" localSheetId="2">#REF!</definedName>
    <definedName name="_SM8" localSheetId="4">#REF!</definedName>
    <definedName name="_SM8" localSheetId="5">#REF!</definedName>
    <definedName name="_SM8" localSheetId="6">#REF!</definedName>
    <definedName name="_SM8" localSheetId="7">#REF!</definedName>
    <definedName name="_SM8" localSheetId="15">#REF!</definedName>
    <definedName name="_SM8" localSheetId="9">#REF!</definedName>
    <definedName name="_SM8" localSheetId="14">#REF!</definedName>
    <definedName name="_SM8" localSheetId="13">#REF!</definedName>
    <definedName name="_SM8">#REF!</definedName>
    <definedName name="_SM9" localSheetId="1">#REF!</definedName>
    <definedName name="_SM9" localSheetId="2">#REF!</definedName>
    <definedName name="_SM9" localSheetId="4">#REF!</definedName>
    <definedName name="_SM9" localSheetId="5">#REF!</definedName>
    <definedName name="_SM9" localSheetId="6">#REF!</definedName>
    <definedName name="_SM9" localSheetId="7">#REF!</definedName>
    <definedName name="_SM9" localSheetId="15">#REF!</definedName>
    <definedName name="_SM9" localSheetId="9">#REF!</definedName>
    <definedName name="_SM9" localSheetId="14">#REF!</definedName>
    <definedName name="_SM9" localSheetId="13">#REF!</definedName>
    <definedName name="_SM9">#REF!</definedName>
    <definedName name="_sss" localSheetId="1">#REF!</definedName>
    <definedName name="_sss" localSheetId="2">#REF!</definedName>
    <definedName name="_sss" localSheetId="4">#REF!</definedName>
    <definedName name="_sss" localSheetId="5">#REF!</definedName>
    <definedName name="_sss" localSheetId="6">#REF!</definedName>
    <definedName name="_sss" localSheetId="7">#REF!</definedName>
    <definedName name="_sss" localSheetId="15">#REF!</definedName>
    <definedName name="_sss" localSheetId="9">#REF!</definedName>
    <definedName name="_sss" localSheetId="14">#REF!</definedName>
    <definedName name="_sss" localSheetId="13">#REF!</definedName>
    <definedName name="_sss">#REF!</definedName>
    <definedName name="aaaa" localSheetId="1">#REF!</definedName>
    <definedName name="aaaa" localSheetId="2">#REF!</definedName>
    <definedName name="aaaa" localSheetId="4">#REF!</definedName>
    <definedName name="aaaa" localSheetId="5">#REF!</definedName>
    <definedName name="aaaa" localSheetId="6">#REF!</definedName>
    <definedName name="aaaa" localSheetId="7">#REF!</definedName>
    <definedName name="aaaa" localSheetId="15">#REF!</definedName>
    <definedName name="aaaa" localSheetId="9">#REF!</definedName>
    <definedName name="aaaa" localSheetId="14">#REF!</definedName>
    <definedName name="aaaa" localSheetId="13">#REF!</definedName>
    <definedName name="aaaa">#REF!</definedName>
    <definedName name="aaaaaaaaaaa" localSheetId="1">#REF!</definedName>
    <definedName name="aaaaaaaaaaa" localSheetId="2">#REF!</definedName>
    <definedName name="aaaaaaaaaaa" localSheetId="4">#REF!</definedName>
    <definedName name="aaaaaaaaaaa" localSheetId="5">#REF!</definedName>
    <definedName name="aaaaaaaaaaa" localSheetId="6">#REF!</definedName>
    <definedName name="aaaaaaaaaaa" localSheetId="7">#REF!</definedName>
    <definedName name="aaaaaaaaaaa" localSheetId="15">#REF!</definedName>
    <definedName name="aaaaaaaaaaa" localSheetId="9">#REF!</definedName>
    <definedName name="aaaaaaaaaaa" localSheetId="14">#REF!</definedName>
    <definedName name="aaaaaaaaaaa" localSheetId="13">#REF!</definedName>
    <definedName name="aaaaaaaaaaa">#REF!</definedName>
    <definedName name="Administração" localSheetId="1">#REF!</definedName>
    <definedName name="Administração" localSheetId="2">#REF!</definedName>
    <definedName name="Administração" localSheetId="4">#REF!</definedName>
    <definedName name="Administração" localSheetId="5">#REF!</definedName>
    <definedName name="Administração" localSheetId="6">#REF!</definedName>
    <definedName name="Administração" localSheetId="7">#REF!</definedName>
    <definedName name="Administração" localSheetId="9">#REF!</definedName>
    <definedName name="Administração" localSheetId="13">#REF!</definedName>
    <definedName name="Administração">#REF!</definedName>
    <definedName name="_xlnm.Print_Area" localSheetId="1">'018.01-21-ADM OBRA'!$B$1:$J$71</definedName>
    <definedName name="_xlnm.Print_Area" localSheetId="2">'018.02-21-IMPLANTAÇÃO'!$B$1:$J$443</definedName>
    <definedName name="_xlnm.Print_Area" localSheetId="3">'018.03-21-ED. PRINCIPAL'!$B$1:$J$869</definedName>
    <definedName name="_xlnm.Print_Area" localSheetId="4">'018.04-21-LIXEIRA'!$B$1:$J$195</definedName>
    <definedName name="_xlnm.Print_Area" localSheetId="5">'018.05-21-GLP'!$B$1:$J$190</definedName>
    <definedName name="_xlnm.Print_Area" localSheetId="6">'018.06-21-BOMBAS'!$B$1:$J$218</definedName>
    <definedName name="_xlnm.Print_Area" localSheetId="7">'018.07-21-CALDEIRA'!$B$1:$J$247</definedName>
    <definedName name="_xlnm.Print_Area" localSheetId="15">'018-21-ABC-SERVIÇOS'!$A$1:$J$777</definedName>
    <definedName name="_xlnm.Print_Area" localSheetId="0">'018-21-CAPA'!$B$2:$H$42</definedName>
    <definedName name="_xlnm.Print_Area" localSheetId="8">'018-21-CCU''s'!$B$1:$H$2879</definedName>
    <definedName name="_xlnm.Print_Area" localSheetId="9">'018-21-CCU''s AUX'!$B$1:$H$290</definedName>
    <definedName name="_xlnm.Print_Area" localSheetId="10">'018-21-cotação'!$A$1:$I$1678</definedName>
    <definedName name="_xlnm.Print_Area" localSheetId="14">'018-21-CRO'!$A$1:$K$51</definedName>
    <definedName name="_xlnm.Print_Area" localSheetId="18">BDI_Equipamentos!$A$1:$I$39</definedName>
    <definedName name="_xlnm.Print_Area" localSheetId="17">'BDI-Edificações'!$A$1:$I$40</definedName>
    <definedName name="_xlnm.Print_Area" localSheetId="16">Encargos!$A$2:$D$44</definedName>
    <definedName name="_xlnm.Print_Area" localSheetId="13">'Reajustamento INCC'!$A$1:$H$52</definedName>
    <definedName name="_xlnm.Database" localSheetId="1">#REF!</definedName>
    <definedName name="_xlnm.Database" localSheetId="2">#REF!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15">#REF!</definedName>
    <definedName name="_xlnm.Database" localSheetId="0">#REF!</definedName>
    <definedName name="_xlnm.Database" localSheetId="8">#REF!</definedName>
    <definedName name="_xlnm.Database" localSheetId="9">#REF!</definedName>
    <definedName name="_xlnm.Database" localSheetId="10">#REF!</definedName>
    <definedName name="_xlnm.Database" localSheetId="14">#REF!</definedName>
    <definedName name="_xlnm.Database" localSheetId="16">#REF!</definedName>
    <definedName name="_xlnm.Database" localSheetId="13">#REF!</definedName>
    <definedName name="_xlnm.Database">#REF!</definedName>
    <definedName name="BDI_1" localSheetId="1">[1]ORÇAMENTO!#REF!</definedName>
    <definedName name="BDI_1" localSheetId="2">[1]ORÇAMENTO!#REF!</definedName>
    <definedName name="BDI_1" localSheetId="4">[1]ORÇAMENTO!#REF!</definedName>
    <definedName name="BDI_1" localSheetId="5">[1]ORÇAMENTO!#REF!</definedName>
    <definedName name="BDI_1" localSheetId="6">[1]ORÇAMENTO!#REF!</definedName>
    <definedName name="BDI_1" localSheetId="7">[1]ORÇAMENTO!#REF!</definedName>
    <definedName name="BDI_1" localSheetId="9">[1]ORÇAMENTO!#REF!</definedName>
    <definedName name="BDI_1" localSheetId="10">[1]ORÇAMENTO!#REF!</definedName>
    <definedName name="BDI_1" localSheetId="13">[1]ORÇAMENTO!#REF!</definedName>
    <definedName name="BDI_1">[1]ORÇAMENTO!#REF!</definedName>
    <definedName name="BDI_10" localSheetId="1">#REF!</definedName>
    <definedName name="BDI_10" localSheetId="2">#REF!</definedName>
    <definedName name="BDI_10" localSheetId="4">#REF!</definedName>
    <definedName name="BDI_10" localSheetId="5">#REF!</definedName>
    <definedName name="BDI_10" localSheetId="6">#REF!</definedName>
    <definedName name="BDI_10" localSheetId="7">#REF!</definedName>
    <definedName name="BDI_10" localSheetId="9">#REF!</definedName>
    <definedName name="BDI_10" localSheetId="10">#REF!</definedName>
    <definedName name="BDI_10" localSheetId="17">#REF!</definedName>
    <definedName name="BDI_10" localSheetId="16">#REF!</definedName>
    <definedName name="BDI_10" localSheetId="13">#REF!</definedName>
    <definedName name="BDI_10">#REF!</definedName>
    <definedName name="BDI_11" localSheetId="1">#REF!</definedName>
    <definedName name="BDI_11" localSheetId="2">#REF!</definedName>
    <definedName name="BDI_11" localSheetId="4">#REF!</definedName>
    <definedName name="BDI_11" localSheetId="5">#REF!</definedName>
    <definedName name="BDI_11" localSheetId="6">#REF!</definedName>
    <definedName name="BDI_11" localSheetId="7">#REF!</definedName>
    <definedName name="BDI_11" localSheetId="9">#REF!</definedName>
    <definedName name="BDI_11" localSheetId="10">#REF!</definedName>
    <definedName name="BDI_11" localSheetId="13">#REF!</definedName>
    <definedName name="BDI_11">#REF!</definedName>
    <definedName name="BDI_2" localSheetId="1">#REF!</definedName>
    <definedName name="BDI_2" localSheetId="2">#REF!</definedName>
    <definedName name="BDI_2" localSheetId="4">#REF!</definedName>
    <definedName name="BDI_2" localSheetId="5">#REF!</definedName>
    <definedName name="BDI_2" localSheetId="6">#REF!</definedName>
    <definedName name="BDI_2" localSheetId="7">#REF!</definedName>
    <definedName name="BDI_2" localSheetId="9">#REF!</definedName>
    <definedName name="BDI_2" localSheetId="10">#REF!</definedName>
    <definedName name="BDI_2" localSheetId="13">#REF!</definedName>
    <definedName name="BDI_2">#REF!</definedName>
    <definedName name="BDI_3" localSheetId="1">#REF!</definedName>
    <definedName name="BDI_3" localSheetId="2">#REF!</definedName>
    <definedName name="BDI_3" localSheetId="4">#REF!</definedName>
    <definedName name="BDI_3" localSheetId="5">#REF!</definedName>
    <definedName name="BDI_3" localSheetId="6">#REF!</definedName>
    <definedName name="BDI_3" localSheetId="7">#REF!</definedName>
    <definedName name="BDI_3" localSheetId="9">#REF!</definedName>
    <definedName name="BDI_3" localSheetId="13">#REF!</definedName>
    <definedName name="BDI_3">#REF!</definedName>
    <definedName name="BDI_4" localSheetId="1">#REF!</definedName>
    <definedName name="BDI_4" localSheetId="2">#REF!</definedName>
    <definedName name="BDI_4" localSheetId="4">#REF!</definedName>
    <definedName name="BDI_4" localSheetId="5">#REF!</definedName>
    <definedName name="BDI_4" localSheetId="6">#REF!</definedName>
    <definedName name="BDI_4" localSheetId="7">#REF!</definedName>
    <definedName name="BDI_4" localSheetId="9">#REF!</definedName>
    <definedName name="BDI_4" localSheetId="13">#REF!</definedName>
    <definedName name="BDI_4">#REF!</definedName>
    <definedName name="BDI_5" localSheetId="1">#REF!</definedName>
    <definedName name="BDI_5" localSheetId="2">#REF!</definedName>
    <definedName name="BDI_5" localSheetId="4">#REF!</definedName>
    <definedName name="BDI_5" localSheetId="5">#REF!</definedName>
    <definedName name="BDI_5" localSheetId="6">#REF!</definedName>
    <definedName name="BDI_5" localSheetId="7">#REF!</definedName>
    <definedName name="BDI_5" localSheetId="9">#REF!</definedName>
    <definedName name="BDI_5" localSheetId="13">#REF!</definedName>
    <definedName name="BDI_5">#REF!</definedName>
    <definedName name="BDI_6" localSheetId="1">#REF!</definedName>
    <definedName name="BDI_6" localSheetId="2">#REF!</definedName>
    <definedName name="BDI_6" localSheetId="4">#REF!</definedName>
    <definedName name="BDI_6" localSheetId="5">#REF!</definedName>
    <definedName name="BDI_6" localSheetId="6">#REF!</definedName>
    <definedName name="BDI_6" localSheetId="7">#REF!</definedName>
    <definedName name="BDI_6" localSheetId="9">#REF!</definedName>
    <definedName name="BDI_6" localSheetId="13">#REF!</definedName>
    <definedName name="BDI_6">#REF!</definedName>
    <definedName name="BDI_7" localSheetId="1">#REF!</definedName>
    <definedName name="BDI_7" localSheetId="2">#REF!</definedName>
    <definedName name="BDI_7" localSheetId="4">#REF!</definedName>
    <definedName name="BDI_7" localSheetId="5">#REF!</definedName>
    <definedName name="BDI_7" localSheetId="6">#REF!</definedName>
    <definedName name="BDI_7" localSheetId="7">#REF!</definedName>
    <definedName name="BDI_7" localSheetId="9">#REF!</definedName>
    <definedName name="BDI_7" localSheetId="13">#REF!</definedName>
    <definedName name="BDI_7">#REF!</definedName>
    <definedName name="BDI_8" localSheetId="1">#REF!</definedName>
    <definedName name="BDI_8" localSheetId="2">#REF!</definedName>
    <definedName name="BDI_8" localSheetId="4">#REF!</definedName>
    <definedName name="BDI_8" localSheetId="5">#REF!</definedName>
    <definedName name="BDI_8" localSheetId="6">#REF!</definedName>
    <definedName name="BDI_8" localSheetId="7">#REF!</definedName>
    <definedName name="BDI_8" localSheetId="9">#REF!</definedName>
    <definedName name="BDI_8" localSheetId="13">#REF!</definedName>
    <definedName name="BDI_8">#REF!</definedName>
    <definedName name="BDI_9" localSheetId="1">#REF!</definedName>
    <definedName name="BDI_9" localSheetId="2">#REF!</definedName>
    <definedName name="BDI_9" localSheetId="4">#REF!</definedName>
    <definedName name="BDI_9" localSheetId="5">#REF!</definedName>
    <definedName name="BDI_9" localSheetId="6">#REF!</definedName>
    <definedName name="BDI_9" localSheetId="7">#REF!</definedName>
    <definedName name="BDI_9" localSheetId="9">#REF!</definedName>
    <definedName name="BDI_9" localSheetId="13">#REF!</definedName>
    <definedName name="BDI_9">#REF!</definedName>
    <definedName name="Betune" localSheetId="1">#REF!</definedName>
    <definedName name="Betune" localSheetId="2">#REF!</definedName>
    <definedName name="Betune" localSheetId="4">#REF!</definedName>
    <definedName name="Betune" localSheetId="5">#REF!</definedName>
    <definedName name="Betune" localSheetId="6">#REF!</definedName>
    <definedName name="Betune" localSheetId="7">#REF!</definedName>
    <definedName name="Betune" localSheetId="15">#REF!</definedName>
    <definedName name="Betune" localSheetId="0">#REF!</definedName>
    <definedName name="Betune" localSheetId="9">#REF!</definedName>
    <definedName name="Betune" localSheetId="14">#REF!</definedName>
    <definedName name="Betune" localSheetId="16">#REF!</definedName>
    <definedName name="Betune" localSheetId="13">#REF!</definedName>
    <definedName name="Betune">#REF!</definedName>
    <definedName name="COLETA">'[2]111-17-COTAÇÃO'!$A$9:$D$1215</definedName>
    <definedName name="comp2" localSheetId="1">[3]PLANILHA!#REF!</definedName>
    <definedName name="comp2" localSheetId="2">[3]PLANILHA!#REF!</definedName>
    <definedName name="comp2" localSheetId="4">[3]PLANILHA!#REF!</definedName>
    <definedName name="comp2" localSheetId="5">[3]PLANILHA!#REF!</definedName>
    <definedName name="comp2" localSheetId="6">[3]PLANILHA!#REF!</definedName>
    <definedName name="comp2" localSheetId="7">[3]PLANILHA!#REF!</definedName>
    <definedName name="comp2" localSheetId="15">[3]PLANILHA!#REF!</definedName>
    <definedName name="comp2" localSheetId="0">[3]PLANILHA!#REF!</definedName>
    <definedName name="comp2" localSheetId="9">[3]PLANILHA!#REF!</definedName>
    <definedName name="comp2" localSheetId="16">[3]PLANILHA!#REF!</definedName>
    <definedName name="comp2" localSheetId="13">[3]PLANILHA!#REF!</definedName>
    <definedName name="comp2">[3]PLANILHA!#REF!</definedName>
    <definedName name="compinst." localSheetId="1">[4]PLANILHA!#REF!</definedName>
    <definedName name="compinst." localSheetId="2">[4]PLANILHA!#REF!</definedName>
    <definedName name="compinst." localSheetId="4">[4]PLANILHA!#REF!</definedName>
    <definedName name="compinst." localSheetId="5">[4]PLANILHA!#REF!</definedName>
    <definedName name="compinst." localSheetId="6">[4]PLANILHA!#REF!</definedName>
    <definedName name="compinst." localSheetId="7">[4]PLANILHA!#REF!</definedName>
    <definedName name="compinst." localSheetId="15">[4]PLANILHA!#REF!</definedName>
    <definedName name="compinst." localSheetId="0">[4]PLANILHA!#REF!</definedName>
    <definedName name="compinst." localSheetId="9">[4]PLANILHA!#REF!</definedName>
    <definedName name="compinst." localSheetId="16">[4]PLANILHA!#REF!</definedName>
    <definedName name="compinst." localSheetId="13">[4]PLANILHA!#REF!</definedName>
    <definedName name="compinst.">[4]PLANILHA!#REF!</definedName>
    <definedName name="_xlnm.Criteria" localSheetId="1">#REF!</definedName>
    <definedName name="_xlnm.Criteria" localSheetId="2">#REF!</definedName>
    <definedName name="_xlnm.Criteria" localSheetId="4">#REF!</definedName>
    <definedName name="_xlnm.Criteria" localSheetId="5">#REF!</definedName>
    <definedName name="_xlnm.Criteria" localSheetId="6">#REF!</definedName>
    <definedName name="_xlnm.Criteria" localSheetId="7">#REF!</definedName>
    <definedName name="_xlnm.Criteria" localSheetId="9">#REF!</definedName>
    <definedName name="_xlnm.Criteria" localSheetId="17">#REF!</definedName>
    <definedName name="_xlnm.Criteria" localSheetId="13">#REF!</definedName>
    <definedName name="_xlnm.Criteria">#REF!</definedName>
    <definedName name="crogr" localSheetId="1">[5]PLANILHA!#REF!</definedName>
    <definedName name="crogr" localSheetId="2">[5]PLANILHA!#REF!</definedName>
    <definedName name="crogr" localSheetId="4">[5]PLANILHA!#REF!</definedName>
    <definedName name="crogr" localSheetId="5">[5]PLANILHA!#REF!</definedName>
    <definedName name="crogr" localSheetId="6">[5]PLANILHA!#REF!</definedName>
    <definedName name="crogr" localSheetId="7">[5]PLANILHA!#REF!</definedName>
    <definedName name="crogr" localSheetId="15">[5]PLANILHA!#REF!</definedName>
    <definedName name="crogr" localSheetId="0">[5]PLANILHA!#REF!</definedName>
    <definedName name="crogr" localSheetId="9">[5]PLANILHA!#REF!</definedName>
    <definedName name="crogr" localSheetId="16">[5]PLANILHA!#REF!</definedName>
    <definedName name="crogr" localSheetId="13">[5]PLANILHA!#REF!</definedName>
    <definedName name="crogr">[5]PLANILHA!#REF!</definedName>
    <definedName name="ddddddd" localSheetId="1">#REF!</definedName>
    <definedName name="ddddddd" localSheetId="2">#REF!</definedName>
    <definedName name="ddddddd" localSheetId="4">#REF!</definedName>
    <definedName name="ddddddd" localSheetId="5">#REF!</definedName>
    <definedName name="ddddddd" localSheetId="6">#REF!</definedName>
    <definedName name="ddddddd" localSheetId="7">#REF!</definedName>
    <definedName name="ddddddd" localSheetId="15">#REF!</definedName>
    <definedName name="ddddddd" localSheetId="0">#REF!</definedName>
    <definedName name="ddddddd" localSheetId="8">#REF!</definedName>
    <definedName name="ddddddd" localSheetId="9">#REF!</definedName>
    <definedName name="ddddddd" localSheetId="10">#REF!</definedName>
    <definedName name="ddddddd" localSheetId="14">#REF!</definedName>
    <definedName name="ddddddd" localSheetId="16">#REF!</definedName>
    <definedName name="ddddddd" localSheetId="13">#REF!</definedName>
    <definedName name="ddddddd">#REF!</definedName>
    <definedName name="dk">'[6]unit arq'!$L$5</definedName>
    <definedName name="Excel_BuiltIn__FilterDatabase_2_1">NA()</definedName>
    <definedName name="Excel_BuiltIn_Print_Area_1" localSheetId="1">#REF!</definedName>
    <definedName name="Excel_BuiltIn_Print_Area_1" localSheetId="2">#REF!</definedName>
    <definedName name="Excel_BuiltIn_Print_Area_1" localSheetId="4">#REF!</definedName>
    <definedName name="Excel_BuiltIn_Print_Area_1" localSheetId="5">#REF!</definedName>
    <definedName name="Excel_BuiltIn_Print_Area_1" localSheetId="6">#REF!</definedName>
    <definedName name="Excel_BuiltIn_Print_Area_1" localSheetId="7">#REF!</definedName>
    <definedName name="Excel_BuiltIn_Print_Area_1" localSheetId="9">#REF!</definedName>
    <definedName name="Excel_BuiltIn_Print_Area_1" localSheetId="13">#REF!</definedName>
    <definedName name="Excel_BuiltIn_Print_Area_1">#REF!</definedName>
    <definedName name="Excel_BuiltIn_Print_Area_1_1" localSheetId="1">#REF!</definedName>
    <definedName name="Excel_BuiltIn_Print_Area_1_1" localSheetId="2">#REF!</definedName>
    <definedName name="Excel_BuiltIn_Print_Area_1_1" localSheetId="4">#REF!</definedName>
    <definedName name="Excel_BuiltIn_Print_Area_1_1" localSheetId="5">#REF!</definedName>
    <definedName name="Excel_BuiltIn_Print_Area_1_1" localSheetId="6">#REF!</definedName>
    <definedName name="Excel_BuiltIn_Print_Area_1_1" localSheetId="7">#REF!</definedName>
    <definedName name="Excel_BuiltIn_Print_Area_1_1" localSheetId="9">#REF!</definedName>
    <definedName name="Excel_BuiltIn_Print_Area_1_1" localSheetId="13">#REF!</definedName>
    <definedName name="Excel_BuiltIn_Print_Area_1_1">#REF!</definedName>
    <definedName name="Excel_BuiltIn_Print_Area_1_1_1_1">NA()</definedName>
    <definedName name="Excel_BuiltIn_Print_Area_1_1_1_1_1" localSheetId="1">#REF!</definedName>
    <definedName name="Excel_BuiltIn_Print_Area_1_1_1_1_1" localSheetId="2">#REF!</definedName>
    <definedName name="Excel_BuiltIn_Print_Area_1_1_1_1_1" localSheetId="4">#REF!</definedName>
    <definedName name="Excel_BuiltIn_Print_Area_1_1_1_1_1" localSheetId="5">#REF!</definedName>
    <definedName name="Excel_BuiltIn_Print_Area_1_1_1_1_1" localSheetId="6">#REF!</definedName>
    <definedName name="Excel_BuiltIn_Print_Area_1_1_1_1_1" localSheetId="7">#REF!</definedName>
    <definedName name="Excel_BuiltIn_Print_Area_1_1_1_1_1" localSheetId="9">#REF!</definedName>
    <definedName name="Excel_BuiltIn_Print_Area_1_1_1_1_1" localSheetId="13">#REF!</definedName>
    <definedName name="Excel_BuiltIn_Print_Area_1_1_1_1_1">#REF!</definedName>
    <definedName name="Excel_BuiltIn_Print_Area_1_1_1_1_1_1" localSheetId="1">#REF!</definedName>
    <definedName name="Excel_BuiltIn_Print_Area_1_1_1_1_1_1" localSheetId="2">#REF!</definedName>
    <definedName name="Excel_BuiltIn_Print_Area_1_1_1_1_1_1" localSheetId="4">#REF!</definedName>
    <definedName name="Excel_BuiltIn_Print_Area_1_1_1_1_1_1" localSheetId="5">#REF!</definedName>
    <definedName name="Excel_BuiltIn_Print_Area_1_1_1_1_1_1" localSheetId="6">#REF!</definedName>
    <definedName name="Excel_BuiltIn_Print_Area_1_1_1_1_1_1" localSheetId="7">#REF!</definedName>
    <definedName name="Excel_BuiltIn_Print_Area_1_1_1_1_1_1" localSheetId="9">#REF!</definedName>
    <definedName name="Excel_BuiltIn_Print_Area_1_1_1_1_1_1" localSheetId="13">#REF!</definedName>
    <definedName name="Excel_BuiltIn_Print_Area_1_1_1_1_1_1">#REF!</definedName>
    <definedName name="Excel_BuiltIn_Print_Area_1_1_1_1_1_1_1" localSheetId="1">#REF!</definedName>
    <definedName name="Excel_BuiltIn_Print_Area_1_1_1_1_1_1_1" localSheetId="2">#REF!</definedName>
    <definedName name="Excel_BuiltIn_Print_Area_1_1_1_1_1_1_1" localSheetId="4">#REF!</definedName>
    <definedName name="Excel_BuiltIn_Print_Area_1_1_1_1_1_1_1" localSheetId="5">#REF!</definedName>
    <definedName name="Excel_BuiltIn_Print_Area_1_1_1_1_1_1_1" localSheetId="6">#REF!</definedName>
    <definedName name="Excel_BuiltIn_Print_Area_1_1_1_1_1_1_1" localSheetId="7">#REF!</definedName>
    <definedName name="Excel_BuiltIn_Print_Area_1_1_1_1_1_1_1" localSheetId="9">#REF!</definedName>
    <definedName name="Excel_BuiltIn_Print_Area_1_1_1_1_1_1_1" localSheetId="13">#REF!</definedName>
    <definedName name="Excel_BuiltIn_Print_Area_1_1_1_1_1_1_1">#REF!</definedName>
    <definedName name="Excel_BuiltIn_Print_Area_1_1_1_1_1_1_1_1_1">"$#REF!.$C$1:$L$291"</definedName>
    <definedName name="Excel_BuiltIn_Print_Area_1_1_1_1_1_1_1_1_1_1">NA()</definedName>
    <definedName name="Excel_BuiltIn_Print_Area_1_1_1_1_1_1_1_1_1_1_1">NA()</definedName>
    <definedName name="Excel_BuiltIn_Print_Area_1_1_1_1_1_1_3">NA()</definedName>
    <definedName name="Excel_BuiltIn_Print_Area_1_1_1_1_1_1_4">NA()</definedName>
    <definedName name="Excel_BuiltIn_Print_Area_1_1_1_1_1_3">NA()</definedName>
    <definedName name="Excel_BuiltIn_Print_Area_1_1_1_1_1_4">NA()</definedName>
    <definedName name="Excel_BuiltIn_Print_Area_1_1_1_1_3">NA()</definedName>
    <definedName name="Excel_BuiltIn_Print_Area_1_1_1_1_4">NA()</definedName>
    <definedName name="Excel_BuiltIn_Print_Area_1_1_1_3">NA()</definedName>
    <definedName name="Excel_BuiltIn_Print_Area_1_1_1_4">NA()</definedName>
    <definedName name="Excel_BuiltIn_Print_Area_1_1_3">NA()</definedName>
    <definedName name="Excel_BuiltIn_Print_Area_1_1_3_1">NA()</definedName>
    <definedName name="Excel_BuiltIn_Print_Area_1_1_4">NA()</definedName>
    <definedName name="Excel_BuiltIn_Print_Area_10">"$#REF!.$A$1:$X$22"</definedName>
    <definedName name="Excel_BuiltIn_Print_Area_10_1">"$#REF!.$A$1:$X$22"</definedName>
    <definedName name="Excel_BuiltIn_Print_Area_11">"$#REF!.$A$1:$X$22"</definedName>
    <definedName name="Excel_BuiltIn_Print_Area_2">NA()</definedName>
    <definedName name="Excel_BuiltIn_Print_Area_2_1">NA()</definedName>
    <definedName name="Excel_BuiltIn_Print_Area_2_1_1">NA()</definedName>
    <definedName name="Excel_BuiltIn_Print_Area_2_1_1_1">"$#REF!.$A$1:$BN$17"</definedName>
    <definedName name="Excel_BuiltIn_Print_Area_3">NA()</definedName>
    <definedName name="Excel_BuiltIn_Print_Area_3_1_1_1">NA()</definedName>
    <definedName name="Excel_BuiltIn_Print_Area_3_1_2">NA()</definedName>
    <definedName name="Excel_BuiltIn_Print_Area_3_3">"$#REF!.$A$1:$BN$17"</definedName>
    <definedName name="Excel_BuiltIn_Print_Area_5">"$#REF!.$A$1:$X$22"</definedName>
    <definedName name="Excel_BuiltIn_Print_Area_5_1">"$#REF!.$A$1:$X$22"</definedName>
    <definedName name="Excel_BuiltIn_Print_Area_5_1_1">"$#REF!.$A$1:$X$22"</definedName>
    <definedName name="Excel_BuiltIn_Print_Area_6">"$#REF!.$A$1:$X$22"</definedName>
    <definedName name="Excel_BuiltIn_Print_Area_9">"$#REF!.$A$1:$X$22"</definedName>
    <definedName name="Excel_BuiltIn_Print_Titles_1" localSheetId="1">#REF!</definedName>
    <definedName name="Excel_BuiltIn_Print_Titles_1" localSheetId="2">#REF!</definedName>
    <definedName name="Excel_BuiltIn_Print_Titles_1" localSheetId="4">#REF!</definedName>
    <definedName name="Excel_BuiltIn_Print_Titles_1" localSheetId="5">#REF!</definedName>
    <definedName name="Excel_BuiltIn_Print_Titles_1" localSheetId="6">#REF!</definedName>
    <definedName name="Excel_BuiltIn_Print_Titles_1" localSheetId="7">#REF!</definedName>
    <definedName name="Excel_BuiltIn_Print_Titles_1" localSheetId="9">#REF!</definedName>
    <definedName name="Excel_BuiltIn_Print_Titles_1" localSheetId="13">#REF!</definedName>
    <definedName name="Excel_BuiltIn_Print_Titles_1">#REF!</definedName>
    <definedName name="Excel_BuiltIn_Print_Titles_1_1">"$#REF!.$B$1:$C$9"</definedName>
    <definedName name="Excel_BuiltIn_Print_Titles_1_1_1">"$#REF!.$A$1:$C$291"</definedName>
    <definedName name="Excel_BuiltIn_Print_Titles_1_1_2">NA()</definedName>
    <definedName name="Excel_BuiltIn_Print_Titles_2_1">"$#REF!.$A$9:$AMJ$17"</definedName>
    <definedName name="Excel_BuiltIn_Print_Titles_3_1">"$#REF!.$A$1:$AMJ$17"</definedName>
    <definedName name="Excel_BuiltIn_Print_Titles_3_1_1">"$#REF!.$A$9:$AMJ$17"</definedName>
    <definedName name="FATOR_K1" localSheetId="1">[1]ORÇAMENTO!#REF!</definedName>
    <definedName name="FATOR_K1" localSheetId="2">[1]ORÇAMENTO!#REF!</definedName>
    <definedName name="FATOR_K1" localSheetId="4">[1]ORÇAMENTO!#REF!</definedName>
    <definedName name="FATOR_K1" localSheetId="5">[1]ORÇAMENTO!#REF!</definedName>
    <definedName name="FATOR_K1" localSheetId="6">[1]ORÇAMENTO!#REF!</definedName>
    <definedName name="FATOR_K1" localSheetId="7">[1]ORÇAMENTO!#REF!</definedName>
    <definedName name="FATOR_K1" localSheetId="9">[1]ORÇAMENTO!#REF!</definedName>
    <definedName name="FATOR_K1" localSheetId="10">[1]ORÇAMENTO!#REF!</definedName>
    <definedName name="FATOR_K1" localSheetId="17">[1]ORÇAMENTO!#REF!</definedName>
    <definedName name="FATOR_K1" localSheetId="13">[1]ORÇAMENTO!#REF!</definedName>
    <definedName name="FATOR_K1">[1]ORÇAMENTO!#REF!</definedName>
    <definedName name="FATOR_K10" localSheetId="1">#REF!</definedName>
    <definedName name="FATOR_K10" localSheetId="2">#REF!</definedName>
    <definedName name="FATOR_K10" localSheetId="4">#REF!</definedName>
    <definedName name="FATOR_K10" localSheetId="5">#REF!</definedName>
    <definedName name="FATOR_K10" localSheetId="6">#REF!</definedName>
    <definedName name="FATOR_K10" localSheetId="7">#REF!</definedName>
    <definedName name="FATOR_K10" localSheetId="9">#REF!</definedName>
    <definedName name="FATOR_K10" localSheetId="10">#REF!</definedName>
    <definedName name="FATOR_K10" localSheetId="17">#REF!</definedName>
    <definedName name="FATOR_K10" localSheetId="16">#REF!</definedName>
    <definedName name="FATOR_K10" localSheetId="13">#REF!</definedName>
    <definedName name="FATOR_K10">#REF!</definedName>
    <definedName name="FATOR_K11" localSheetId="1">#REF!</definedName>
    <definedName name="FATOR_K11" localSheetId="2">#REF!</definedName>
    <definedName name="FATOR_K11" localSheetId="4">#REF!</definedName>
    <definedName name="FATOR_K11" localSheetId="5">#REF!</definedName>
    <definedName name="FATOR_K11" localSheetId="6">#REF!</definedName>
    <definedName name="FATOR_K11" localSheetId="7">#REF!</definedName>
    <definedName name="FATOR_K11" localSheetId="9">#REF!</definedName>
    <definedName name="FATOR_K11" localSheetId="10">#REF!</definedName>
    <definedName name="FATOR_K11" localSheetId="13">#REF!</definedName>
    <definedName name="FATOR_K11">#REF!</definedName>
    <definedName name="FATOR_K2" localSheetId="1">#REF!</definedName>
    <definedName name="FATOR_K2" localSheetId="2">#REF!</definedName>
    <definedName name="FATOR_K2" localSheetId="4">#REF!</definedName>
    <definedName name="FATOR_K2" localSheetId="5">#REF!</definedName>
    <definedName name="FATOR_K2" localSheetId="6">#REF!</definedName>
    <definedName name="FATOR_K2" localSheetId="7">#REF!</definedName>
    <definedName name="FATOR_K2" localSheetId="9">#REF!</definedName>
    <definedName name="FATOR_K2" localSheetId="10">#REF!</definedName>
    <definedName name="FATOR_K2" localSheetId="17">#REF!</definedName>
    <definedName name="FATOR_K2" localSheetId="13">#REF!</definedName>
    <definedName name="FATOR_K2">#REF!</definedName>
    <definedName name="FATOR_K3" localSheetId="1">#REF!</definedName>
    <definedName name="FATOR_K3" localSheetId="2">#REF!</definedName>
    <definedName name="FATOR_K3" localSheetId="4">#REF!</definedName>
    <definedName name="FATOR_K3" localSheetId="5">#REF!</definedName>
    <definedName name="FATOR_K3" localSheetId="6">#REF!</definedName>
    <definedName name="FATOR_K3" localSheetId="7">#REF!</definedName>
    <definedName name="FATOR_K3" localSheetId="9">#REF!</definedName>
    <definedName name="FATOR_K3" localSheetId="13">#REF!</definedName>
    <definedName name="FATOR_K3">#REF!</definedName>
    <definedName name="FATOR_K4" localSheetId="1">#REF!</definedName>
    <definedName name="FATOR_K4" localSheetId="2">#REF!</definedName>
    <definedName name="FATOR_K4" localSheetId="4">#REF!</definedName>
    <definedName name="FATOR_K4" localSheetId="5">#REF!</definedName>
    <definedName name="FATOR_K4" localSheetId="6">#REF!</definedName>
    <definedName name="FATOR_K4" localSheetId="7">#REF!</definedName>
    <definedName name="FATOR_K4" localSheetId="9">#REF!</definedName>
    <definedName name="FATOR_K4" localSheetId="13">#REF!</definedName>
    <definedName name="FATOR_K4">#REF!</definedName>
    <definedName name="FATOR_K5" localSheetId="1">#REF!</definedName>
    <definedName name="FATOR_K5" localSheetId="2">#REF!</definedName>
    <definedName name="FATOR_K5" localSheetId="4">#REF!</definedName>
    <definedName name="FATOR_K5" localSheetId="5">#REF!</definedName>
    <definedName name="FATOR_K5" localSheetId="6">#REF!</definedName>
    <definedName name="FATOR_K5" localSheetId="7">#REF!</definedName>
    <definedName name="FATOR_K5" localSheetId="9">#REF!</definedName>
    <definedName name="FATOR_K5" localSheetId="13">#REF!</definedName>
    <definedName name="FATOR_K5">#REF!</definedName>
    <definedName name="FATOR_K6" localSheetId="1">#REF!</definedName>
    <definedName name="FATOR_K6" localSheetId="2">#REF!</definedName>
    <definedName name="FATOR_K6" localSheetId="4">#REF!</definedName>
    <definedName name="FATOR_K6" localSheetId="5">#REF!</definedName>
    <definedName name="FATOR_K6" localSheetId="6">#REF!</definedName>
    <definedName name="FATOR_K6" localSheetId="7">#REF!</definedName>
    <definedName name="FATOR_K6" localSheetId="9">#REF!</definedName>
    <definedName name="FATOR_K6" localSheetId="13">#REF!</definedName>
    <definedName name="FATOR_K6">#REF!</definedName>
    <definedName name="FATOR_K7" localSheetId="1">#REF!</definedName>
    <definedName name="FATOR_K7" localSheetId="2">#REF!</definedName>
    <definedName name="FATOR_K7" localSheetId="4">#REF!</definedName>
    <definedName name="FATOR_K7" localSheetId="5">#REF!</definedName>
    <definedName name="FATOR_K7" localSheetId="6">#REF!</definedName>
    <definedName name="FATOR_K7" localSheetId="7">#REF!</definedName>
    <definedName name="FATOR_K7" localSheetId="9">#REF!</definedName>
    <definedName name="FATOR_K7" localSheetId="13">#REF!</definedName>
    <definedName name="FATOR_K7">#REF!</definedName>
    <definedName name="FATOR_K8" localSheetId="1">#REF!</definedName>
    <definedName name="FATOR_K8" localSheetId="2">#REF!</definedName>
    <definedName name="FATOR_K8" localSheetId="4">#REF!</definedName>
    <definedName name="FATOR_K8" localSheetId="5">#REF!</definedName>
    <definedName name="FATOR_K8" localSheetId="6">#REF!</definedName>
    <definedName name="FATOR_K8" localSheetId="7">#REF!</definedName>
    <definedName name="FATOR_K8" localSheetId="9">#REF!</definedName>
    <definedName name="FATOR_K8" localSheetId="13">#REF!</definedName>
    <definedName name="FATOR_K8">#REF!</definedName>
    <definedName name="FATOR_K9" localSheetId="1">#REF!</definedName>
    <definedName name="FATOR_K9" localSheetId="2">#REF!</definedName>
    <definedName name="FATOR_K9" localSheetId="4">#REF!</definedName>
    <definedName name="FATOR_K9" localSheetId="5">#REF!</definedName>
    <definedName name="FATOR_K9" localSheetId="6">#REF!</definedName>
    <definedName name="FATOR_K9" localSheetId="7">#REF!</definedName>
    <definedName name="FATOR_K9" localSheetId="9">#REF!</definedName>
    <definedName name="FATOR_K9" localSheetId="13">#REF!</definedName>
    <definedName name="FATOR_K9">#REF!</definedName>
    <definedName name="g" localSheetId="1">#REF!</definedName>
    <definedName name="g" localSheetId="2">#REF!</definedName>
    <definedName name="g" localSheetId="4">#REF!</definedName>
    <definedName name="g" localSheetId="5">#REF!</definedName>
    <definedName name="g" localSheetId="6">#REF!</definedName>
    <definedName name="g" localSheetId="7">#REF!</definedName>
    <definedName name="g" localSheetId="9">#REF!</definedName>
    <definedName name="g" localSheetId="13">#REF!</definedName>
    <definedName name="g">#REF!</definedName>
    <definedName name="INSUMO_TAG" localSheetId="13">[7]INSUMO!$B$2:$B$475</definedName>
    <definedName name="INSUMO_TAG">[8]INSUMO!$B$2:$B$475</definedName>
    <definedName name="k">[6]Eletrica!$L$5</definedName>
    <definedName name="kle">'[6]unit arq'!$L$4</definedName>
    <definedName name="kmo">[6]Eletrica!$L$6</definedName>
    <definedName name="l.sociais" localSheetId="1">[5]PLANILHA!#REF!</definedName>
    <definedName name="l.sociais" localSheetId="2">[5]PLANILHA!#REF!</definedName>
    <definedName name="l.sociais" localSheetId="4">[5]PLANILHA!#REF!</definedName>
    <definedName name="l.sociais" localSheetId="5">[5]PLANILHA!#REF!</definedName>
    <definedName name="l.sociais" localSheetId="6">[5]PLANILHA!#REF!</definedName>
    <definedName name="l.sociais" localSheetId="7">[5]PLANILHA!#REF!</definedName>
    <definedName name="l.sociais" localSheetId="15">[5]PLANILHA!#REF!</definedName>
    <definedName name="l.sociais" localSheetId="0">[5]PLANILHA!#REF!</definedName>
    <definedName name="l.sociais" localSheetId="8">[5]PLANILHA!#REF!</definedName>
    <definedName name="l.sociais" localSheetId="9">[5]PLANILHA!#REF!</definedName>
    <definedName name="l.sociais" localSheetId="16">[5]PLANILHA!#REF!</definedName>
    <definedName name="l.sociais" localSheetId="13">[5]PLANILHA!#REF!</definedName>
    <definedName name="l.sociais">[5]PLANILHA!#REF!</definedName>
    <definedName name="m" localSheetId="1">#REF!</definedName>
    <definedName name="m" localSheetId="2">#REF!</definedName>
    <definedName name="m" localSheetId="4">#REF!</definedName>
    <definedName name="m" localSheetId="5">#REF!</definedName>
    <definedName name="m" localSheetId="6">#REF!</definedName>
    <definedName name="m" localSheetId="7">#REF!</definedName>
    <definedName name="m" localSheetId="9">#REF!</definedName>
    <definedName name="m" localSheetId="17">#REF!</definedName>
    <definedName name="m" localSheetId="13">#REF!</definedName>
    <definedName name="m">#REF!</definedName>
    <definedName name="M.O." localSheetId="1">#REF!</definedName>
    <definedName name="M.O." localSheetId="2">#REF!</definedName>
    <definedName name="M.O." localSheetId="4">#REF!</definedName>
    <definedName name="M.O." localSheetId="5">#REF!</definedName>
    <definedName name="M.O." localSheetId="6">#REF!</definedName>
    <definedName name="M.O." localSheetId="7">#REF!</definedName>
    <definedName name="M.O." localSheetId="9">#REF!</definedName>
    <definedName name="M.O." localSheetId="13">#REF!</definedName>
    <definedName name="M.O.">#REF!</definedName>
    <definedName name="nao" localSheetId="1">#REF!</definedName>
    <definedName name="nao" localSheetId="2">#REF!</definedName>
    <definedName name="nao" localSheetId="4">#REF!</definedName>
    <definedName name="nao" localSheetId="5">#REF!</definedName>
    <definedName name="nao" localSheetId="6">#REF!</definedName>
    <definedName name="nao" localSheetId="7">#REF!</definedName>
    <definedName name="nao" localSheetId="15">#REF!</definedName>
    <definedName name="nao" localSheetId="0">#REF!</definedName>
    <definedName name="nao" localSheetId="8">#REF!</definedName>
    <definedName name="nao" localSheetId="9">#REF!</definedName>
    <definedName name="nao" localSheetId="10">#REF!</definedName>
    <definedName name="nao" localSheetId="14">#REF!</definedName>
    <definedName name="nao" localSheetId="16">#REF!</definedName>
    <definedName name="nao" localSheetId="13">#REF!</definedName>
    <definedName name="nao">#REF!</definedName>
    <definedName name="popspkasdjhlasdbhasfknb" localSheetId="1">#REF!</definedName>
    <definedName name="popspkasdjhlasdbhasfknb" localSheetId="2">#REF!</definedName>
    <definedName name="popspkasdjhlasdbhasfknb" localSheetId="4">#REF!</definedName>
    <definedName name="popspkasdjhlasdbhasfknb" localSheetId="5">#REF!</definedName>
    <definedName name="popspkasdjhlasdbhasfknb" localSheetId="6">#REF!</definedName>
    <definedName name="popspkasdjhlasdbhasfknb" localSheetId="7">#REF!</definedName>
    <definedName name="popspkasdjhlasdbhasfknb" localSheetId="15">#REF!</definedName>
    <definedName name="popspkasdjhlasdbhasfknb" localSheetId="0">#REF!</definedName>
    <definedName name="popspkasdjhlasdbhasfknb" localSheetId="9">#REF!</definedName>
    <definedName name="popspkasdjhlasdbhasfknb" localSheetId="10">#REF!</definedName>
    <definedName name="popspkasdjhlasdbhasfknb" localSheetId="14">#REF!</definedName>
    <definedName name="popspkasdjhlasdbhasfknb" localSheetId="16">#REF!</definedName>
    <definedName name="popspkasdjhlasdbhasfknb" localSheetId="13">#REF!</definedName>
    <definedName name="popspkasdjhlasdbhasfknb">#REF!</definedName>
    <definedName name="RESUMO2" localSheetId="1">#REF!</definedName>
    <definedName name="RESUMO2" localSheetId="2">#REF!</definedName>
    <definedName name="RESUMO2" localSheetId="4">#REF!</definedName>
    <definedName name="RESUMO2" localSheetId="5">#REF!</definedName>
    <definedName name="RESUMO2" localSheetId="6">#REF!</definedName>
    <definedName name="RESUMO2" localSheetId="7">#REF!</definedName>
    <definedName name="RESUMO2" localSheetId="9">#REF!</definedName>
    <definedName name="RESUMO2" localSheetId="13">#REF!</definedName>
    <definedName name="RESUMO2">#REF!</definedName>
    <definedName name="ssss" localSheetId="1">#REF!</definedName>
    <definedName name="ssss" localSheetId="2">#REF!</definedName>
    <definedName name="ssss" localSheetId="4">#REF!</definedName>
    <definedName name="ssss" localSheetId="5">#REF!</definedName>
    <definedName name="ssss" localSheetId="6">#REF!</definedName>
    <definedName name="ssss" localSheetId="7">#REF!</definedName>
    <definedName name="ssss" localSheetId="15">#REF!</definedName>
    <definedName name="ssss" localSheetId="0">#REF!</definedName>
    <definedName name="ssss" localSheetId="9">#REF!</definedName>
    <definedName name="ssss" localSheetId="10">#REF!</definedName>
    <definedName name="ssss" localSheetId="14">#REF!</definedName>
    <definedName name="ssss" localSheetId="16">#REF!</definedName>
    <definedName name="ssss" localSheetId="13">#REF!</definedName>
    <definedName name="ssss">#REF!</definedName>
    <definedName name="TESTA" localSheetId="1">#REF!</definedName>
    <definedName name="TESTA" localSheetId="2">#REF!</definedName>
    <definedName name="TESTA" localSheetId="4">#REF!</definedName>
    <definedName name="TESTA" localSheetId="5">#REF!</definedName>
    <definedName name="TESTA" localSheetId="6">#REF!</definedName>
    <definedName name="TESTA" localSheetId="7">#REF!</definedName>
    <definedName name="TESTA" localSheetId="9">#REF!</definedName>
    <definedName name="TESTA" localSheetId="13">#REF!</definedName>
    <definedName name="TESTA">#REF!</definedName>
    <definedName name="_xlnm.Print_Titles" localSheetId="1">'018.01-21-ADM OBRA'!$1:$11</definedName>
    <definedName name="_xlnm.Print_Titles" localSheetId="2">'018.02-21-IMPLANTAÇÃO'!$1:$11</definedName>
    <definedName name="_xlnm.Print_Titles" localSheetId="3">'018.03-21-ED. PRINCIPAL'!$1:$11</definedName>
    <definedName name="_xlnm.Print_Titles" localSheetId="4">'018.04-21-LIXEIRA'!$1:$11</definedName>
    <definedName name="_xlnm.Print_Titles" localSheetId="5">'018.05-21-GLP'!$1:$11</definedName>
    <definedName name="_xlnm.Print_Titles" localSheetId="6">'018.06-21-BOMBAS'!$1:$11</definedName>
    <definedName name="_xlnm.Print_Titles" localSheetId="7">'018.07-21-CALDEIRA'!$1:$11</definedName>
    <definedName name="_xlnm.Print_Titles" localSheetId="15">'018-21-ABC-SERVIÇOS'!$1:$10</definedName>
    <definedName name="_xlnm.Print_Titles" localSheetId="8">'018-21-CCU''s'!$1:$9</definedName>
    <definedName name="_xlnm.Print_Titles" localSheetId="9">'018-21-CCU''s AUX'!$1:$9</definedName>
    <definedName name="_xlnm.Print_Titles" localSheetId="10">'018-21-cotação'!$1:$9</definedName>
    <definedName name="_xlnm.Print_Titles" localSheetId="14">'018-21-CRO'!$1:$10</definedName>
    <definedName name="Total_ReaterroComAreia">[9]Planilha!$DH$1:$DH$65536</definedName>
    <definedName name="Total_ReaterroMecanicoComControleGrauCompactacao">[9]Planilha!$DG$1:$DG$65536</definedName>
  </definedNames>
  <calcPr calcId="125725"/>
</workbook>
</file>

<file path=xl/calcChain.xml><?xml version="1.0" encoding="utf-8"?>
<calcChain xmlns="http://schemas.openxmlformats.org/spreadsheetml/2006/main">
  <c r="J772" i="26"/>
  <c r="G307" l="1"/>
  <c r="H307" s="1"/>
  <c r="G324"/>
  <c r="H324" s="1"/>
  <c r="G179"/>
  <c r="H179" s="1"/>
  <c r="G274"/>
  <c r="H274" s="1"/>
  <c r="G583"/>
  <c r="H583" s="1"/>
  <c r="G298"/>
  <c r="H298" s="1"/>
  <c r="G700"/>
  <c r="H700" s="1"/>
  <c r="G752"/>
  <c r="H752" s="1"/>
  <c r="G742"/>
  <c r="H742" s="1"/>
  <c r="L16" i="45"/>
  <c r="L17"/>
  <c r="L18"/>
  <c r="L19"/>
  <c r="L20"/>
  <c r="L21"/>
  <c r="L22"/>
  <c r="L23"/>
  <c r="L24"/>
  <c r="L25"/>
  <c r="L26"/>
  <c r="L27"/>
  <c r="L28"/>
  <c r="L29"/>
  <c r="L30"/>
  <c r="L31"/>
  <c r="L32"/>
  <c r="L33"/>
  <c r="L34"/>
  <c r="L35"/>
  <c r="L36"/>
  <c r="L37"/>
  <c r="L38"/>
  <c r="L39"/>
  <c r="L40"/>
  <c r="L41"/>
  <c r="L42"/>
  <c r="L43"/>
  <c r="L44"/>
  <c r="L45"/>
  <c r="L46"/>
  <c r="L47"/>
  <c r="L48"/>
  <c r="L49"/>
  <c r="L50"/>
  <c r="L51"/>
  <c r="L52"/>
  <c r="L53"/>
  <c r="L54"/>
  <c r="L55"/>
  <c r="L56"/>
  <c r="L57"/>
  <c r="L58"/>
  <c r="L59"/>
  <c r="L60"/>
  <c r="L61"/>
  <c r="L62"/>
  <c r="L63"/>
  <c r="L64"/>
  <c r="L65"/>
  <c r="L66"/>
  <c r="L67"/>
  <c r="L68"/>
  <c r="L69"/>
  <c r="L70"/>
  <c r="L71"/>
  <c r="L72"/>
  <c r="L73"/>
  <c r="L74"/>
  <c r="L75"/>
  <c r="L76"/>
  <c r="L77"/>
  <c r="L78"/>
  <c r="L79"/>
  <c r="L80"/>
  <c r="L81"/>
  <c r="L82"/>
  <c r="L83"/>
  <c r="L84"/>
  <c r="L85"/>
  <c r="L86"/>
  <c r="L87"/>
  <c r="L88"/>
  <c r="L89"/>
  <c r="L90"/>
  <c r="L91"/>
  <c r="L92"/>
  <c r="L93"/>
  <c r="L94"/>
  <c r="L95"/>
  <c r="L96"/>
  <c r="L97"/>
  <c r="L98"/>
  <c r="L99"/>
  <c r="L100"/>
  <c r="L101"/>
  <c r="L102"/>
  <c r="L103"/>
  <c r="L104"/>
  <c r="L105"/>
  <c r="L106"/>
  <c r="L107"/>
  <c r="L108"/>
  <c r="L109"/>
  <c r="L110"/>
  <c r="L111"/>
  <c r="L112"/>
  <c r="L113"/>
  <c r="L114"/>
  <c r="L115"/>
  <c r="L116"/>
  <c r="L117"/>
  <c r="L118"/>
  <c r="L119"/>
  <c r="L120"/>
  <c r="L121"/>
  <c r="L122"/>
  <c r="L123"/>
  <c r="L124"/>
  <c r="L125"/>
  <c r="L126"/>
  <c r="L127"/>
  <c r="L128"/>
  <c r="L129"/>
  <c r="L130"/>
  <c r="L131"/>
  <c r="L132"/>
  <c r="L133"/>
  <c r="L134"/>
  <c r="L135"/>
  <c r="L136"/>
  <c r="L137"/>
  <c r="L138"/>
  <c r="L139"/>
  <c r="L140"/>
  <c r="L141"/>
  <c r="L142"/>
  <c r="L143"/>
  <c r="L144"/>
  <c r="L145"/>
  <c r="L146"/>
  <c r="L147"/>
  <c r="L148"/>
  <c r="L149"/>
  <c r="L150"/>
  <c r="L151"/>
  <c r="L152"/>
  <c r="L153"/>
  <c r="L154"/>
  <c r="L155"/>
  <c r="L156"/>
  <c r="L157"/>
  <c r="L158"/>
  <c r="L159"/>
  <c r="L160"/>
  <c r="L161"/>
  <c r="L162"/>
  <c r="L163"/>
  <c r="L164"/>
  <c r="L165"/>
  <c r="L166"/>
  <c r="L167"/>
  <c r="L168"/>
  <c r="L169"/>
  <c r="L170"/>
  <c r="L171"/>
  <c r="L172"/>
  <c r="L173"/>
  <c r="L174"/>
  <c r="L175"/>
  <c r="L176"/>
  <c r="L177"/>
  <c r="L178"/>
  <c r="L179"/>
  <c r="L180"/>
  <c r="L181"/>
  <c r="L182"/>
  <c r="L183"/>
  <c r="L184"/>
  <c r="L185"/>
  <c r="L186"/>
  <c r="L187"/>
  <c r="L188"/>
  <c r="L189"/>
  <c r="G106" i="26"/>
  <c r="H106" s="1"/>
  <c r="G590"/>
  <c r="H590" s="1"/>
  <c r="G50"/>
  <c r="H50" s="1"/>
  <c r="G233"/>
  <c r="H233" s="1"/>
  <c r="G367"/>
  <c r="H367" s="1"/>
  <c r="G132"/>
  <c r="H132" s="1"/>
  <c r="G199"/>
  <c r="H199" s="1"/>
  <c r="G245"/>
  <c r="H245" s="1"/>
  <c r="G120"/>
  <c r="H120" s="1"/>
  <c r="G377"/>
  <c r="H377" s="1"/>
  <c r="G355"/>
  <c r="H355" s="1"/>
  <c r="G12"/>
  <c r="H12" s="1"/>
  <c r="G196"/>
  <c r="H196" s="1"/>
  <c r="G388"/>
  <c r="H388" s="1"/>
  <c r="G175"/>
  <c r="H175" s="1"/>
  <c r="G148"/>
  <c r="H148" s="1"/>
  <c r="G176"/>
  <c r="H176" s="1"/>
  <c r="G64"/>
  <c r="H64" s="1"/>
  <c r="G91"/>
  <c r="H91" s="1"/>
  <c r="G195"/>
  <c r="H195" s="1"/>
  <c r="G123"/>
  <c r="H123" s="1"/>
  <c r="G133"/>
  <c r="H133" s="1"/>
  <c r="G85"/>
  <c r="H85" s="1"/>
  <c r="G68"/>
  <c r="H68" s="1"/>
  <c r="G253"/>
  <c r="H253" s="1"/>
  <c r="G305"/>
  <c r="H305" s="1"/>
  <c r="G380"/>
  <c r="H380" s="1"/>
  <c r="G107"/>
  <c r="H107" s="1"/>
  <c r="G472"/>
  <c r="H472" s="1"/>
  <c r="G169"/>
  <c r="H169" s="1"/>
  <c r="G56"/>
  <c r="H56" s="1"/>
  <c r="G257"/>
  <c r="H257" s="1"/>
  <c r="G479"/>
  <c r="H479" s="1"/>
  <c r="G47"/>
  <c r="H47" s="1"/>
  <c r="G385"/>
  <c r="H385" s="1"/>
  <c r="G309"/>
  <c r="H309" s="1"/>
  <c r="G226"/>
  <c r="H226" s="1"/>
  <c r="G214"/>
  <c r="H214" s="1"/>
  <c r="G306"/>
  <c r="H306" s="1"/>
  <c r="G329"/>
  <c r="H329" s="1"/>
  <c r="G584"/>
  <c r="H584" s="1"/>
  <c r="G205"/>
  <c r="H205" s="1"/>
  <c r="G70"/>
  <c r="H70" s="1"/>
  <c r="G193"/>
  <c r="H193" s="1"/>
  <c r="G97"/>
  <c r="H97" s="1"/>
  <c r="G631"/>
  <c r="H631" s="1"/>
  <c r="G392"/>
  <c r="H392" s="1"/>
  <c r="G686"/>
  <c r="H686" s="1"/>
  <c r="G709"/>
  <c r="H709" s="1"/>
  <c r="G551"/>
  <c r="H551" s="1"/>
  <c r="G646"/>
  <c r="H646" s="1"/>
  <c r="G748"/>
  <c r="H748" s="1"/>
  <c r="G521"/>
  <c r="H521" s="1"/>
  <c r="G758"/>
  <c r="H758" s="1"/>
  <c r="G411"/>
  <c r="H411" s="1"/>
  <c r="G469"/>
  <c r="H469" s="1"/>
  <c r="G430"/>
  <c r="H430" s="1"/>
  <c r="G514"/>
  <c r="H514" s="1"/>
  <c r="G395"/>
  <c r="H395" s="1"/>
  <c r="G258"/>
  <c r="H258" s="1"/>
  <c r="G67"/>
  <c r="H67" s="1"/>
  <c r="G280"/>
  <c r="H280" s="1"/>
  <c r="G218"/>
  <c r="H218" s="1"/>
  <c r="G128"/>
  <c r="H128" s="1"/>
  <c r="G100"/>
  <c r="H100" s="1"/>
  <c r="G140"/>
  <c r="H140" s="1"/>
  <c r="G55"/>
  <c r="H55" s="1"/>
  <c r="G407"/>
  <c r="H407" s="1"/>
  <c r="G281"/>
  <c r="H281" s="1"/>
  <c r="G82"/>
  <c r="H82" s="1"/>
  <c r="G359"/>
  <c r="H359" s="1"/>
  <c r="G86"/>
  <c r="H86" s="1"/>
  <c r="G65"/>
  <c r="H65" s="1"/>
  <c r="G63"/>
  <c r="H63" s="1"/>
  <c r="G80"/>
  <c r="H80" s="1"/>
  <c r="G252"/>
  <c r="H252" s="1"/>
  <c r="G519"/>
  <c r="H519" s="1"/>
  <c r="G382"/>
  <c r="H382" s="1"/>
  <c r="G60"/>
  <c r="H60" s="1"/>
  <c r="G303"/>
  <c r="H303" s="1"/>
  <c r="G315"/>
  <c r="H315" s="1"/>
  <c r="G290"/>
  <c r="H290" s="1"/>
  <c r="G248"/>
  <c r="H248" s="1"/>
  <c r="G250"/>
  <c r="H250" s="1"/>
  <c r="G255"/>
  <c r="H255" s="1"/>
  <c r="G207"/>
  <c r="H207" s="1"/>
  <c r="G332"/>
  <c r="H332" s="1"/>
  <c r="G30"/>
  <c r="H30" s="1"/>
  <c r="G146"/>
  <c r="H146" s="1"/>
  <c r="G216"/>
  <c r="H216" s="1"/>
  <c r="G374"/>
  <c r="H374" s="1"/>
  <c r="G467"/>
  <c r="H467" s="1"/>
  <c r="G338"/>
  <c r="H338" s="1"/>
  <c r="G26"/>
  <c r="H26" s="1"/>
  <c r="G202"/>
  <c r="H202" s="1"/>
  <c r="G282"/>
  <c r="H282" s="1"/>
  <c r="G697"/>
  <c r="H697" s="1"/>
  <c r="G365"/>
  <c r="H365" s="1"/>
  <c r="G432"/>
  <c r="H432" s="1"/>
  <c r="G144"/>
  <c r="H144" s="1"/>
  <c r="G507"/>
  <c r="H507" s="1"/>
  <c r="G672"/>
  <c r="H672" s="1"/>
  <c r="G478"/>
  <c r="H478" s="1"/>
  <c r="G768"/>
  <c r="H768" s="1"/>
  <c r="G327"/>
  <c r="H327" s="1"/>
  <c r="G368"/>
  <c r="H368" s="1"/>
  <c r="G360"/>
  <c r="H360" s="1"/>
  <c r="G623"/>
  <c r="H623" s="1"/>
  <c r="G591"/>
  <c r="H591" s="1"/>
  <c r="G716"/>
  <c r="H716" s="1"/>
  <c r="G756"/>
  <c r="H756" s="1"/>
  <c r="G718"/>
  <c r="H718" s="1"/>
  <c r="G531"/>
  <c r="H531" s="1"/>
  <c r="G751"/>
  <c r="H751" s="1"/>
  <c r="G497"/>
  <c r="H497" s="1"/>
  <c r="G564"/>
  <c r="H564" s="1"/>
  <c r="G745"/>
  <c r="H745" s="1"/>
  <c r="G440"/>
  <c r="H440" s="1"/>
  <c r="G589"/>
  <c r="H589" s="1"/>
  <c r="G696"/>
  <c r="H696" s="1"/>
  <c r="G203"/>
  <c r="H203" s="1"/>
  <c r="G459"/>
  <c r="H459" s="1"/>
  <c r="G454"/>
  <c r="H454" s="1"/>
  <c r="G361"/>
  <c r="H361" s="1"/>
  <c r="G529"/>
  <c r="H529" s="1"/>
  <c r="G757"/>
  <c r="H757" s="1"/>
  <c r="G724"/>
  <c r="H724" s="1"/>
  <c r="G21"/>
  <c r="H21" s="1"/>
  <c r="G663"/>
  <c r="H663" s="1"/>
  <c r="G661"/>
  <c r="H661" s="1"/>
  <c r="G769"/>
  <c r="H769" s="1"/>
  <c r="G547"/>
  <c r="H547" s="1"/>
  <c r="G167"/>
  <c r="H167" s="1"/>
  <c r="G170"/>
  <c r="H170" s="1"/>
  <c r="G62"/>
  <c r="H62" s="1"/>
  <c r="G673"/>
  <c r="H673" s="1"/>
  <c r="G737"/>
  <c r="H737" s="1"/>
  <c r="G540"/>
  <c r="H540" s="1"/>
  <c r="G187"/>
  <c r="H187" s="1"/>
  <c r="G414"/>
  <c r="H414" s="1"/>
  <c r="G231"/>
  <c r="H231" s="1"/>
  <c r="G227"/>
  <c r="H227" s="1"/>
  <c r="G513"/>
  <c r="H513" s="1"/>
  <c r="G69"/>
  <c r="H69" s="1"/>
  <c r="G126"/>
  <c r="H126" s="1"/>
  <c r="G81"/>
  <c r="H81" s="1"/>
  <c r="G228"/>
  <c r="H228" s="1"/>
  <c r="G471"/>
  <c r="H471" s="1"/>
  <c r="G593"/>
  <c r="H593" s="1"/>
  <c r="G93"/>
  <c r="H93" s="1"/>
  <c r="G160"/>
  <c r="H160" s="1"/>
  <c r="G630"/>
  <c r="H630" s="1"/>
  <c r="G717"/>
  <c r="H717" s="1"/>
  <c r="G480"/>
  <c r="H480" s="1"/>
  <c r="G125"/>
  <c r="H125" s="1"/>
  <c r="G346"/>
  <c r="H346" s="1"/>
  <c r="G246"/>
  <c r="H246" s="1"/>
  <c r="G304"/>
  <c r="H304" s="1"/>
  <c r="G561"/>
  <c r="H561" s="1"/>
  <c r="G36"/>
  <c r="H36" s="1"/>
  <c r="G483"/>
  <c r="H483" s="1"/>
  <c r="G141"/>
  <c r="H141" s="1"/>
  <c r="G168"/>
  <c r="H168" s="1"/>
  <c r="G351"/>
  <c r="H351" s="1"/>
  <c r="G484"/>
  <c r="H484" s="1"/>
  <c r="G230"/>
  <c r="H230" s="1"/>
  <c r="G393"/>
  <c r="H393" s="1"/>
  <c r="G574"/>
  <c r="H574" s="1"/>
  <c r="G302"/>
  <c r="H302" s="1"/>
  <c r="G667"/>
  <c r="H667" s="1"/>
  <c r="G750"/>
  <c r="H750" s="1"/>
  <c r="G362"/>
  <c r="H362" s="1"/>
  <c r="G492"/>
  <c r="H492" s="1"/>
  <c r="G197"/>
  <c r="H197" s="1"/>
  <c r="G182"/>
  <c r="H182" s="1"/>
  <c r="G119"/>
  <c r="H119" s="1"/>
  <c r="G49"/>
  <c r="H49" s="1"/>
  <c r="G77"/>
  <c r="H77" s="1"/>
  <c r="G244"/>
  <c r="H244" s="1"/>
  <c r="G78"/>
  <c r="H78" s="1"/>
  <c r="G204"/>
  <c r="H204" s="1"/>
  <c r="G209"/>
  <c r="H209" s="1"/>
  <c r="G509"/>
  <c r="H509" s="1"/>
  <c r="G279"/>
  <c r="H279" s="1"/>
  <c r="G369"/>
  <c r="H369" s="1"/>
  <c r="G603"/>
  <c r="H603" s="1"/>
  <c r="G326"/>
  <c r="H326" s="1"/>
  <c r="G403"/>
  <c r="H403" s="1"/>
  <c r="G339"/>
  <c r="H339" s="1"/>
  <c r="G541"/>
  <c r="H541" s="1"/>
  <c r="G475"/>
  <c r="H475" s="1"/>
  <c r="G612"/>
  <c r="H612" s="1"/>
  <c r="G239"/>
  <c r="H239" s="1"/>
  <c r="G15"/>
  <c r="H15" s="1"/>
  <c r="G412"/>
  <c r="H412" s="1"/>
  <c r="G450"/>
  <c r="H450" s="1"/>
  <c r="G520"/>
  <c r="H520" s="1"/>
  <c r="G734"/>
  <c r="H734" s="1"/>
  <c r="G256"/>
  <c r="H256" s="1"/>
  <c r="G185"/>
  <c r="H185" s="1"/>
  <c r="G691"/>
  <c r="H691" s="1"/>
  <c r="G417"/>
  <c r="H417" s="1"/>
  <c r="G439"/>
  <c r="H439" s="1"/>
  <c r="G606"/>
  <c r="H606" s="1"/>
  <c r="G674"/>
  <c r="H674" s="1"/>
  <c r="G692"/>
  <c r="H692" s="1"/>
  <c r="G608"/>
  <c r="H608" s="1"/>
  <c r="G418"/>
  <c r="H418" s="1"/>
  <c r="G83"/>
  <c r="H83" s="1"/>
  <c r="G400"/>
  <c r="H400" s="1"/>
  <c r="G518"/>
  <c r="H518" s="1"/>
  <c r="G651"/>
  <c r="H651" s="1"/>
  <c r="G628"/>
  <c r="H628" s="1"/>
  <c r="G633"/>
  <c r="H633" s="1"/>
  <c r="G617"/>
  <c r="H617" s="1"/>
  <c r="G570"/>
  <c r="H570" s="1"/>
  <c r="G528"/>
  <c r="H528" s="1"/>
  <c r="G638"/>
  <c r="H638" s="1"/>
  <c r="G266"/>
  <c r="H266" s="1"/>
  <c r="G410"/>
  <c r="H410" s="1"/>
  <c r="G350"/>
  <c r="H350" s="1"/>
  <c r="G296"/>
  <c r="H296" s="1"/>
  <c r="G498"/>
  <c r="H498" s="1"/>
  <c r="G563"/>
  <c r="H563" s="1"/>
  <c r="G587"/>
  <c r="H587" s="1"/>
  <c r="G575"/>
  <c r="H575" s="1"/>
  <c r="G117"/>
  <c r="H117" s="1"/>
  <c r="G58"/>
  <c r="H58" s="1"/>
  <c r="G48"/>
  <c r="H48" s="1"/>
  <c r="G113"/>
  <c r="H113" s="1"/>
  <c r="G188"/>
  <c r="H188" s="1"/>
  <c r="G657"/>
  <c r="H657" s="1"/>
  <c r="G183"/>
  <c r="H183" s="1"/>
  <c r="G271"/>
  <c r="H271" s="1"/>
  <c r="G277"/>
  <c r="H277" s="1"/>
  <c r="G261"/>
  <c r="H261" s="1"/>
  <c r="G151"/>
  <c r="H151" s="1"/>
  <c r="G334"/>
  <c r="H334" s="1"/>
  <c r="G111"/>
  <c r="H111" s="1"/>
  <c r="G294"/>
  <c r="H294" s="1"/>
  <c r="G145"/>
  <c r="H145" s="1"/>
  <c r="G343"/>
  <c r="H343" s="1"/>
  <c r="G685"/>
  <c r="H685" s="1"/>
  <c r="G278"/>
  <c r="H278" s="1"/>
  <c r="G300"/>
  <c r="H300" s="1"/>
  <c r="G424"/>
  <c r="H424" s="1"/>
  <c r="G115"/>
  <c r="H115" s="1"/>
  <c r="G356"/>
  <c r="H356" s="1"/>
  <c r="G770"/>
  <c r="H770" s="1"/>
  <c r="G621"/>
  <c r="H621" s="1"/>
  <c r="G23"/>
  <c r="H23" s="1"/>
  <c r="G114"/>
  <c r="H114" s="1"/>
  <c r="G464"/>
  <c r="H464" s="1"/>
  <c r="G156"/>
  <c r="H156" s="1"/>
  <c r="G31"/>
  <c r="H31" s="1"/>
  <c r="G155"/>
  <c r="H155" s="1"/>
  <c r="G559"/>
  <c r="H559" s="1"/>
  <c r="G72"/>
  <c r="H72" s="1"/>
  <c r="G57"/>
  <c r="H57" s="1"/>
  <c r="G40"/>
  <c r="H40" s="1"/>
  <c r="G348"/>
  <c r="H348" s="1"/>
  <c r="G171"/>
  <c r="H171" s="1"/>
  <c r="G18"/>
  <c r="H18" s="1"/>
  <c r="G95"/>
  <c r="H95" s="1"/>
  <c r="G605"/>
  <c r="H605" s="1"/>
  <c r="G353"/>
  <c r="H353" s="1"/>
  <c r="G108"/>
  <c r="H108" s="1"/>
  <c r="G524"/>
  <c r="H524" s="1"/>
  <c r="G749"/>
  <c r="H749" s="1"/>
  <c r="G24"/>
  <c r="H24" s="1"/>
  <c r="G32"/>
  <c r="H32" s="1"/>
  <c r="G254"/>
  <c r="H254" s="1"/>
  <c r="G33"/>
  <c r="H33" s="1"/>
  <c r="G103"/>
  <c r="H103" s="1"/>
  <c r="G755"/>
  <c r="H755" s="1"/>
  <c r="G678"/>
  <c r="H678" s="1"/>
  <c r="G112"/>
  <c r="H112" s="1"/>
  <c r="G419"/>
  <c r="H419" s="1"/>
  <c r="G445"/>
  <c r="H445" s="1"/>
  <c r="G220"/>
  <c r="H220" s="1"/>
  <c r="G87"/>
  <c r="H87" s="1"/>
  <c r="G211"/>
  <c r="H211" s="1"/>
  <c r="G20"/>
  <c r="H20" s="1"/>
  <c r="G99"/>
  <c r="H99" s="1"/>
  <c r="G143"/>
  <c r="H143" s="1"/>
  <c r="G391"/>
  <c r="H391" s="1"/>
  <c r="G138"/>
  <c r="H138" s="1"/>
  <c r="G272"/>
  <c r="H272" s="1"/>
  <c r="G458"/>
  <c r="H458" s="1"/>
  <c r="G364"/>
  <c r="H364" s="1"/>
  <c r="G110"/>
  <c r="H110" s="1"/>
  <c r="G75"/>
  <c r="H75" s="1"/>
  <c r="G152"/>
  <c r="H152" s="1"/>
  <c r="G344"/>
  <c r="H344" s="1"/>
  <c r="G159"/>
  <c r="H159" s="1"/>
  <c r="G319"/>
  <c r="H319" s="1"/>
  <c r="G136"/>
  <c r="H136" s="1"/>
  <c r="G320"/>
  <c r="H320" s="1"/>
  <c r="G96"/>
  <c r="H96" s="1"/>
  <c r="G137"/>
  <c r="H137" s="1"/>
  <c r="G121"/>
  <c r="H121" s="1"/>
  <c r="G134"/>
  <c r="H134" s="1"/>
  <c r="G437"/>
  <c r="H437" s="1"/>
  <c r="G352"/>
  <c r="H352" s="1"/>
  <c r="G153"/>
  <c r="H153" s="1"/>
  <c r="G275"/>
  <c r="H275" s="1"/>
  <c r="G289"/>
  <c r="H289" s="1"/>
  <c r="G493"/>
  <c r="H493" s="1"/>
  <c r="G402"/>
  <c r="H402" s="1"/>
  <c r="G337"/>
  <c r="H337" s="1"/>
  <c r="G243"/>
  <c r="H243" s="1"/>
  <c r="G224"/>
  <c r="H224" s="1"/>
  <c r="G336"/>
  <c r="H336" s="1"/>
  <c r="G116"/>
  <c r="H116" s="1"/>
  <c r="G308"/>
  <c r="H308" s="1"/>
  <c r="G297"/>
  <c r="H297" s="1"/>
  <c r="G174"/>
  <c r="H174" s="1"/>
  <c r="G284"/>
  <c r="H284" s="1"/>
  <c r="G273"/>
  <c r="H273" s="1"/>
  <c r="G213"/>
  <c r="H213" s="1"/>
  <c r="G270"/>
  <c r="H270" s="1"/>
  <c r="G178"/>
  <c r="H178" s="1"/>
  <c r="G39"/>
  <c r="H39" s="1"/>
  <c r="G129"/>
  <c r="H129" s="1"/>
  <c r="G130"/>
  <c r="H130" s="1"/>
  <c r="G54"/>
  <c r="H54" s="1"/>
  <c r="G127"/>
  <c r="H127" s="1"/>
  <c r="G210"/>
  <c r="H210" s="1"/>
  <c r="G242"/>
  <c r="H242" s="1"/>
  <c r="G345"/>
  <c r="H345" s="1"/>
  <c r="G460"/>
  <c r="H460" s="1"/>
  <c r="G264"/>
  <c r="H264" s="1"/>
  <c r="G581"/>
  <c r="H581" s="1"/>
  <c r="G552"/>
  <c r="H552" s="1"/>
  <c r="G695"/>
  <c r="H695" s="1"/>
  <c r="G694"/>
  <c r="H694" s="1"/>
  <c r="G693"/>
  <c r="H693" s="1"/>
  <c r="G592"/>
  <c r="H592" s="1"/>
  <c r="G643"/>
  <c r="H643" s="1"/>
  <c r="G506"/>
  <c r="H506" s="1"/>
  <c r="G543"/>
  <c r="H543" s="1"/>
  <c r="G585"/>
  <c r="H585" s="1"/>
  <c r="G600"/>
  <c r="H600" s="1"/>
  <c r="G366"/>
  <c r="H366" s="1"/>
  <c r="G292"/>
  <c r="H292" s="1"/>
  <c r="G217"/>
  <c r="H217" s="1"/>
  <c r="G441"/>
  <c r="H441" s="1"/>
  <c r="G660"/>
  <c r="H660" s="1"/>
  <c r="G415"/>
  <c r="H415" s="1"/>
  <c r="G635"/>
  <c r="H635" s="1"/>
  <c r="G525"/>
  <c r="H525" s="1"/>
  <c r="G545"/>
  <c r="H545" s="1"/>
  <c r="G515"/>
  <c r="H515" s="1"/>
  <c r="G349"/>
  <c r="H349" s="1"/>
  <c r="G457"/>
  <c r="H457" s="1"/>
  <c r="G456"/>
  <c r="H456" s="1"/>
  <c r="G317"/>
  <c r="H317" s="1"/>
  <c r="G184"/>
  <c r="H184" s="1"/>
  <c r="G92"/>
  <c r="H92" s="1"/>
  <c r="G43"/>
  <c r="H43" s="1"/>
  <c r="G59"/>
  <c r="H59" s="1"/>
  <c r="G522"/>
  <c r="H522" s="1"/>
  <c r="G405"/>
  <c r="H405" s="1"/>
  <c r="G516"/>
  <c r="H516" s="1"/>
  <c r="G569"/>
  <c r="H569" s="1"/>
  <c r="G632"/>
  <c r="H632" s="1"/>
  <c r="G642"/>
  <c r="H642" s="1"/>
  <c r="G321"/>
  <c r="H321" s="1"/>
  <c r="G316"/>
  <c r="H316" s="1"/>
  <c r="G325"/>
  <c r="H325" s="1"/>
  <c r="G435"/>
  <c r="H435" s="1"/>
  <c r="G610"/>
  <c r="H610" s="1"/>
  <c r="G743"/>
  <c r="H743" s="1"/>
  <c r="G715"/>
  <c r="H715" s="1"/>
  <c r="G276"/>
  <c r="H276" s="1"/>
  <c r="G229"/>
  <c r="H229" s="1"/>
  <c r="G688"/>
  <c r="H688" s="1"/>
  <c r="G94"/>
  <c r="H94" s="1"/>
  <c r="G387"/>
  <c r="H387" s="1"/>
  <c r="G626"/>
  <c r="H626" s="1"/>
  <c r="G649"/>
  <c r="H649" s="1"/>
  <c r="G413"/>
  <c r="H413" s="1"/>
  <c r="G579"/>
  <c r="H579" s="1"/>
  <c r="G331"/>
  <c r="H331" s="1"/>
  <c r="G79"/>
  <c r="H79" s="1"/>
  <c r="G163"/>
  <c r="H163" s="1"/>
  <c r="G45"/>
  <c r="H45" s="1"/>
  <c r="G189"/>
  <c r="H189" s="1"/>
  <c r="G201"/>
  <c r="H201" s="1"/>
  <c r="G328"/>
  <c r="H328" s="1"/>
  <c r="G390"/>
  <c r="H390" s="1"/>
  <c r="G462"/>
  <c r="H462" s="1"/>
  <c r="G409"/>
  <c r="H409" s="1"/>
  <c r="G538"/>
  <c r="H538" s="1"/>
  <c r="G500"/>
  <c r="H500" s="1"/>
  <c r="G613"/>
  <c r="H613" s="1"/>
  <c r="G517"/>
  <c r="H517" s="1"/>
  <c r="G379"/>
  <c r="H379" s="1"/>
  <c r="G434"/>
  <c r="H434" s="1"/>
  <c r="G102"/>
  <c r="H102" s="1"/>
  <c r="G268"/>
  <c r="H268" s="1"/>
  <c r="G215"/>
  <c r="H215" s="1"/>
  <c r="G601"/>
  <c r="H601" s="1"/>
  <c r="G482"/>
  <c r="H482" s="1"/>
  <c r="G502"/>
  <c r="H502" s="1"/>
  <c r="G680"/>
  <c r="H680" s="1"/>
  <c r="G571"/>
  <c r="H571" s="1"/>
  <c r="G682"/>
  <c r="H682" s="1"/>
  <c r="G291"/>
  <c r="H291" s="1"/>
  <c r="G549"/>
  <c r="H549" s="1"/>
  <c r="G406"/>
  <c r="H406" s="1"/>
  <c r="G679"/>
  <c r="H679" s="1"/>
  <c r="G689"/>
  <c r="H689" s="1"/>
  <c r="G609"/>
  <c r="H609" s="1"/>
  <c r="G530"/>
  <c r="H530" s="1"/>
  <c r="G222"/>
  <c r="H222" s="1"/>
  <c r="G41"/>
  <c r="H41" s="1"/>
  <c r="G131"/>
  <c r="H131" s="1"/>
  <c r="G690"/>
  <c r="H690" s="1"/>
  <c r="G206"/>
  <c r="H206" s="1"/>
  <c r="G383"/>
  <c r="H383" s="1"/>
  <c r="G154"/>
  <c r="H154" s="1"/>
  <c r="G490"/>
  <c r="H490" s="1"/>
  <c r="G263"/>
  <c r="H263" s="1"/>
  <c r="G765"/>
  <c r="H765" s="1"/>
  <c r="G726"/>
  <c r="H726" s="1"/>
  <c r="G158"/>
  <c r="H158" s="1"/>
  <c r="G666"/>
  <c r="H666" s="1"/>
  <c r="G389"/>
  <c r="H389" s="1"/>
  <c r="G555"/>
  <c r="H555" s="1"/>
  <c r="G618"/>
  <c r="H618" s="1"/>
  <c r="G615"/>
  <c r="H615" s="1"/>
  <c r="G510"/>
  <c r="H510" s="1"/>
  <c r="G89"/>
  <c r="H89" s="1"/>
  <c r="G312"/>
  <c r="H312" s="1"/>
  <c r="G186"/>
  <c r="H186" s="1"/>
  <c r="G310"/>
  <c r="H310" s="1"/>
  <c r="G234"/>
  <c r="H234" s="1"/>
  <c r="G655"/>
  <c r="H655" s="1"/>
  <c r="G354"/>
  <c r="H354" s="1"/>
  <c r="G376"/>
  <c r="H376" s="1"/>
  <c r="G267"/>
  <c r="H267" s="1"/>
  <c r="G731"/>
  <c r="H731" s="1"/>
  <c r="G527"/>
  <c r="H527" s="1"/>
  <c r="G659"/>
  <c r="H659" s="1"/>
  <c r="G702"/>
  <c r="H702" s="1"/>
  <c r="G763"/>
  <c r="H763" s="1"/>
  <c r="G762"/>
  <c r="H762" s="1"/>
  <c r="G664"/>
  <c r="H664" s="1"/>
  <c r="G461"/>
  <c r="H461" s="1"/>
  <c r="G577"/>
  <c r="H577" s="1"/>
  <c r="G504"/>
  <c r="H504" s="1"/>
  <c r="G619"/>
  <c r="H619" s="1"/>
  <c r="G722"/>
  <c r="H722" s="1"/>
  <c r="G636"/>
  <c r="H636" s="1"/>
  <c r="G486"/>
  <c r="H486" s="1"/>
  <c r="G665"/>
  <c r="H665" s="1"/>
  <c r="G599"/>
  <c r="H599" s="1"/>
  <c r="G744"/>
  <c r="H744" s="1"/>
  <c r="G470"/>
  <c r="H470" s="1"/>
  <c r="G495"/>
  <c r="H495" s="1"/>
  <c r="G620"/>
  <c r="H620" s="1"/>
  <c r="G647"/>
  <c r="H647" s="1"/>
  <c r="G719"/>
  <c r="H719" s="1"/>
  <c r="G738"/>
  <c r="H738" s="1"/>
  <c r="G582"/>
  <c r="H582" s="1"/>
  <c r="G560"/>
  <c r="H560" s="1"/>
  <c r="G499"/>
  <c r="H499" s="1"/>
  <c r="G662"/>
  <c r="H662" s="1"/>
  <c r="G438"/>
  <c r="H438" s="1"/>
  <c r="G194"/>
  <c r="H194" s="1"/>
  <c r="G235"/>
  <c r="H235" s="1"/>
  <c r="G14"/>
  <c r="H14" s="1"/>
  <c r="G90"/>
  <c r="H90" s="1"/>
  <c r="G71"/>
  <c r="H71" s="1"/>
  <c r="G219"/>
  <c r="H219" s="1"/>
  <c r="G536"/>
  <c r="H536" s="1"/>
  <c r="G237"/>
  <c r="H237" s="1"/>
  <c r="G259"/>
  <c r="H259" s="1"/>
  <c r="G358"/>
  <c r="H358" s="1"/>
  <c r="G42"/>
  <c r="H42" s="1"/>
  <c r="G683"/>
  <c r="H683" s="1"/>
  <c r="G523"/>
  <c r="H523" s="1"/>
  <c r="G173"/>
  <c r="H173" s="1"/>
  <c r="G550"/>
  <c r="H550" s="1"/>
  <c r="G706"/>
  <c r="H706" s="1"/>
  <c r="G759"/>
  <c r="H759" s="1"/>
  <c r="G767"/>
  <c r="H767" s="1"/>
  <c r="G648"/>
  <c r="H648" s="1"/>
  <c r="G375"/>
  <c r="H375" s="1"/>
  <c r="G554"/>
  <c r="H554" s="1"/>
  <c r="G444"/>
  <c r="H444" s="1"/>
  <c r="G386"/>
  <c r="H386" s="1"/>
  <c r="G578"/>
  <c r="H578" s="1"/>
  <c r="G710"/>
  <c r="H710" s="1"/>
  <c r="G711"/>
  <c r="H711" s="1"/>
  <c r="G98"/>
  <c r="H98" s="1"/>
  <c r="G433"/>
  <c r="H433" s="1"/>
  <c r="G733"/>
  <c r="H733" s="1"/>
  <c r="G501"/>
  <c r="H501" s="1"/>
  <c r="G76"/>
  <c r="H76" s="1"/>
  <c r="G118"/>
  <c r="H118" s="1"/>
  <c r="G51"/>
  <c r="H51" s="1"/>
  <c r="G730"/>
  <c r="H730" s="1"/>
  <c r="G611"/>
  <c r="H611" s="1"/>
  <c r="G681"/>
  <c r="H681" s="1"/>
  <c r="G397"/>
  <c r="H397" s="1"/>
  <c r="G488"/>
  <c r="H488" s="1"/>
  <c r="G566"/>
  <c r="H566" s="1"/>
  <c r="G735"/>
  <c r="H735" s="1"/>
  <c r="G741"/>
  <c r="H741" s="1"/>
  <c r="G727"/>
  <c r="H727" s="1"/>
  <c r="G616"/>
  <c r="H616" s="1"/>
  <c r="G708"/>
  <c r="H708" s="1"/>
  <c r="G720"/>
  <c r="H720" s="1"/>
  <c r="G580"/>
  <c r="H580" s="1"/>
  <c r="G477"/>
  <c r="H477" s="1"/>
  <c r="G634"/>
  <c r="H634" s="1"/>
  <c r="G576"/>
  <c r="H576" s="1"/>
  <c r="G468"/>
  <c r="H468" s="1"/>
  <c r="G553"/>
  <c r="H553" s="1"/>
  <c r="G760"/>
  <c r="H760" s="1"/>
  <c r="G431"/>
  <c r="H431" s="1"/>
  <c r="G557"/>
  <c r="H557" s="1"/>
  <c r="G629"/>
  <c r="H629" s="1"/>
  <c r="G640"/>
  <c r="H640" s="1"/>
  <c r="G122"/>
  <c r="H122" s="1"/>
  <c r="G398"/>
  <c r="H398" s="1"/>
  <c r="G496"/>
  <c r="H496" s="1"/>
  <c r="G426"/>
  <c r="H426" s="1"/>
  <c r="G556"/>
  <c r="H556" s="1"/>
  <c r="G420"/>
  <c r="H420" s="1"/>
  <c r="G526"/>
  <c r="H526" s="1"/>
  <c r="G357"/>
  <c r="H357" s="1"/>
  <c r="G192"/>
  <c r="H192" s="1"/>
  <c r="G423"/>
  <c r="H423" s="1"/>
  <c r="G534"/>
  <c r="H534" s="1"/>
  <c r="G422"/>
  <c r="H422" s="1"/>
  <c r="G286"/>
  <c r="H286" s="1"/>
  <c r="G452"/>
  <c r="H452" s="1"/>
  <c r="G19"/>
  <c r="H19" s="1"/>
  <c r="G34"/>
  <c r="H34" s="1"/>
  <c r="G180"/>
  <c r="H180" s="1"/>
  <c r="G658"/>
  <c r="H658" s="1"/>
  <c r="G166"/>
  <c r="H166" s="1"/>
  <c r="G639"/>
  <c r="H639" s="1"/>
  <c r="G607"/>
  <c r="H607" s="1"/>
  <c r="G669"/>
  <c r="H669" s="1"/>
  <c r="G586"/>
  <c r="H586" s="1"/>
  <c r="G625"/>
  <c r="H625" s="1"/>
  <c r="G565"/>
  <c r="H565" s="1"/>
  <c r="G568"/>
  <c r="H568" s="1"/>
  <c r="G736"/>
  <c r="H736" s="1"/>
  <c r="G652"/>
  <c r="H652" s="1"/>
  <c r="G723"/>
  <c r="H723" s="1"/>
  <c r="G668"/>
  <c r="H668" s="1"/>
  <c r="G532"/>
  <c r="H532" s="1"/>
  <c r="G474"/>
  <c r="H474" s="1"/>
  <c r="G465"/>
  <c r="H465" s="1"/>
  <c r="G448"/>
  <c r="H448" s="1"/>
  <c r="G637"/>
  <c r="H637" s="1"/>
  <c r="G604"/>
  <c r="H604" s="1"/>
  <c r="G537"/>
  <c r="H537" s="1"/>
  <c r="G645"/>
  <c r="H645" s="1"/>
  <c r="G342"/>
  <c r="H342" s="1"/>
  <c r="G558"/>
  <c r="H558" s="1"/>
  <c r="G567"/>
  <c r="H567" s="1"/>
  <c r="G463"/>
  <c r="H463" s="1"/>
  <c r="G295"/>
  <c r="H295" s="1"/>
  <c r="G485"/>
  <c r="H485" s="1"/>
  <c r="G699"/>
  <c r="H699" s="1"/>
  <c r="G494"/>
  <c r="H494" s="1"/>
  <c r="G698"/>
  <c r="H698" s="1"/>
  <c r="G687"/>
  <c r="H687" s="1"/>
  <c r="G236"/>
  <c r="H236" s="1"/>
  <c r="G396"/>
  <c r="H396" s="1"/>
  <c r="G161"/>
  <c r="H161" s="1"/>
  <c r="G453"/>
  <c r="H453" s="1"/>
  <c r="G676"/>
  <c r="H676" s="1"/>
  <c r="G595"/>
  <c r="H595" s="1"/>
  <c r="G753"/>
  <c r="H753" s="1"/>
  <c r="G764"/>
  <c r="H764" s="1"/>
  <c r="G165"/>
  <c r="H165" s="1"/>
  <c r="G73"/>
  <c r="H73" s="1"/>
  <c r="G223"/>
  <c r="H223" s="1"/>
  <c r="G511"/>
  <c r="H511" s="1"/>
  <c r="G505"/>
  <c r="H505" s="1"/>
  <c r="G221"/>
  <c r="H221" s="1"/>
  <c r="G508"/>
  <c r="H508" s="1"/>
  <c r="G208"/>
  <c r="H208" s="1"/>
  <c r="G443"/>
  <c r="H443" s="1"/>
  <c r="G293"/>
  <c r="H293" s="1"/>
  <c r="G314"/>
  <c r="H314" s="1"/>
  <c r="G473"/>
  <c r="H473" s="1"/>
  <c r="G614"/>
  <c r="H614" s="1"/>
  <c r="G747"/>
  <c r="H747" s="1"/>
  <c r="G624"/>
  <c r="H624" s="1"/>
  <c r="G739"/>
  <c r="H739" s="1"/>
  <c r="G704"/>
  <c r="H704" s="1"/>
  <c r="G677"/>
  <c r="H677" s="1"/>
  <c r="G542"/>
  <c r="H542" s="1"/>
  <c r="G705"/>
  <c r="H705" s="1"/>
  <c r="G714"/>
  <c r="H714" s="1"/>
  <c r="G481"/>
  <c r="H481" s="1"/>
  <c r="G656"/>
  <c r="H656" s="1"/>
  <c r="G671"/>
  <c r="H671" s="1"/>
  <c r="G548"/>
  <c r="H548" s="1"/>
  <c r="G449"/>
  <c r="H449" s="1"/>
  <c r="G546"/>
  <c r="H546" s="1"/>
  <c r="G535"/>
  <c r="H535" s="1"/>
  <c r="G503"/>
  <c r="H503" s="1"/>
  <c r="G572"/>
  <c r="H572" s="1"/>
  <c r="G311"/>
  <c r="H311" s="1"/>
  <c r="G164"/>
  <c r="H164" s="1"/>
  <c r="G466"/>
  <c r="H466" s="1"/>
  <c r="G238"/>
  <c r="H238" s="1"/>
  <c r="G594"/>
  <c r="H594" s="1"/>
  <c r="G476"/>
  <c r="H476" s="1"/>
  <c r="G728"/>
  <c r="H728" s="1"/>
  <c r="G766"/>
  <c r="H766" s="1"/>
  <c r="G622"/>
  <c r="H622" s="1"/>
  <c r="G721"/>
  <c r="H721" s="1"/>
  <c r="G46"/>
  <c r="H46" s="1"/>
  <c r="G52"/>
  <c r="H52" s="1"/>
  <c r="G408"/>
  <c r="H408" s="1"/>
  <c r="G198"/>
  <c r="H198" s="1"/>
  <c r="G313"/>
  <c r="H313" s="1"/>
  <c r="G425"/>
  <c r="H425" s="1"/>
  <c r="G372"/>
  <c r="H372" s="1"/>
  <c r="G363"/>
  <c r="H363" s="1"/>
  <c r="G269"/>
  <c r="H269" s="1"/>
  <c r="G455"/>
  <c r="H455" s="1"/>
  <c r="G318"/>
  <c r="H318" s="1"/>
  <c r="G562"/>
  <c r="H562" s="1"/>
  <c r="G262"/>
  <c r="H262" s="1"/>
  <c r="G378"/>
  <c r="H378" s="1"/>
  <c r="G446"/>
  <c r="H446" s="1"/>
  <c r="G373"/>
  <c r="H373" s="1"/>
  <c r="G265"/>
  <c r="H265" s="1"/>
  <c r="G416"/>
  <c r="H416" s="1"/>
  <c r="G340"/>
  <c r="H340" s="1"/>
  <c r="G323"/>
  <c r="H323" s="1"/>
  <c r="G162"/>
  <c r="H162" s="1"/>
  <c r="G285"/>
  <c r="H285" s="1"/>
  <c r="G322"/>
  <c r="H322" s="1"/>
  <c r="G249"/>
  <c r="H249" s="1"/>
  <c r="G74"/>
  <c r="H74" s="1"/>
  <c r="G644"/>
  <c r="H644" s="1"/>
  <c r="G451"/>
  <c r="H451" s="1"/>
  <c r="G287"/>
  <c r="H287" s="1"/>
  <c r="G200"/>
  <c r="H200" s="1"/>
  <c r="G429"/>
  <c r="H429" s="1"/>
  <c r="G384"/>
  <c r="H384" s="1"/>
  <c r="G684"/>
  <c r="H684" s="1"/>
  <c r="G172"/>
  <c r="H172" s="1"/>
  <c r="G109"/>
  <c r="H109" s="1"/>
  <c r="G260"/>
  <c r="H260" s="1"/>
  <c r="G177"/>
  <c r="H177" s="1"/>
  <c r="G427"/>
  <c r="H427" s="1"/>
  <c r="G251"/>
  <c r="H251" s="1"/>
  <c r="G598"/>
  <c r="H598" s="1"/>
  <c r="G299"/>
  <c r="H299" s="1"/>
  <c r="G283"/>
  <c r="H283" s="1"/>
  <c r="G301"/>
  <c r="H301" s="1"/>
  <c r="G347"/>
  <c r="H347" s="1"/>
  <c r="G149"/>
  <c r="H149" s="1"/>
  <c r="G539"/>
  <c r="H539" s="1"/>
  <c r="G335"/>
  <c r="H335" s="1"/>
  <c r="G191"/>
  <c r="H191" s="1"/>
  <c r="G489"/>
  <c r="H489" s="1"/>
  <c r="G597"/>
  <c r="H597" s="1"/>
  <c r="G371"/>
  <c r="H371" s="1"/>
  <c r="G394"/>
  <c r="H394" s="1"/>
  <c r="G428"/>
  <c r="H428" s="1"/>
  <c r="G333"/>
  <c r="H333" s="1"/>
  <c r="G124"/>
  <c r="H124" s="1"/>
  <c r="G381"/>
  <c r="H381" s="1"/>
  <c r="G544"/>
  <c r="H544" s="1"/>
  <c r="G16"/>
  <c r="H16" s="1"/>
  <c r="G533"/>
  <c r="H533" s="1"/>
  <c r="G181"/>
  <c r="H181" s="1"/>
  <c r="G447"/>
  <c r="H447" s="1"/>
  <c r="G232"/>
  <c r="H232" s="1"/>
  <c r="G573"/>
  <c r="H573" s="1"/>
  <c r="G713"/>
  <c r="H713" s="1"/>
  <c r="G491"/>
  <c r="H491" s="1"/>
  <c r="G139"/>
  <c r="H139" s="1"/>
  <c r="G596"/>
  <c r="H596" s="1"/>
  <c r="G654"/>
  <c r="H654" s="1"/>
  <c r="G712"/>
  <c r="H712" s="1"/>
  <c r="G670"/>
  <c r="H670" s="1"/>
  <c r="G401"/>
  <c r="H401" s="1"/>
  <c r="G732"/>
  <c r="H732" s="1"/>
  <c r="G627"/>
  <c r="H627" s="1"/>
  <c r="G701"/>
  <c r="H701" s="1"/>
  <c r="G330"/>
  <c r="H330" s="1"/>
  <c r="G740"/>
  <c r="H740" s="1"/>
  <c r="G588"/>
  <c r="H588" s="1"/>
  <c r="G729"/>
  <c r="H729" s="1"/>
  <c r="G436"/>
  <c r="H436" s="1"/>
  <c r="G725"/>
  <c r="H725" s="1"/>
  <c r="G370"/>
  <c r="H370" s="1"/>
  <c r="G650"/>
  <c r="H650" s="1"/>
  <c r="G707"/>
  <c r="H707" s="1"/>
  <c r="G746"/>
  <c r="H746" s="1"/>
  <c r="G754"/>
  <c r="H754" s="1"/>
  <c r="G703"/>
  <c r="H703" s="1"/>
  <c r="G761"/>
  <c r="H761" s="1"/>
  <c r="G653"/>
  <c r="H653" s="1"/>
  <c r="G641"/>
  <c r="H641" s="1"/>
  <c r="G602"/>
  <c r="H602" s="1"/>
  <c r="G442"/>
  <c r="H442" s="1"/>
  <c r="G512"/>
  <c r="H512" s="1"/>
  <c r="G142"/>
  <c r="H142" s="1"/>
  <c r="G225"/>
  <c r="H225" s="1"/>
  <c r="G61"/>
  <c r="H61" s="1"/>
  <c r="G240"/>
  <c r="H240" s="1"/>
  <c r="G29"/>
  <c r="H29" s="1"/>
  <c r="G11"/>
  <c r="H11" s="1"/>
  <c r="C32" i="21"/>
  <c r="C29"/>
  <c r="L240" i="48" l="1"/>
  <c r="L239"/>
  <c r="L236"/>
  <c r="L235"/>
  <c r="L234"/>
  <c r="L162" i="51" l="1"/>
  <c r="L184" i="48"/>
  <c r="L102" i="18" l="1"/>
  <c r="L104"/>
  <c r="L95"/>
  <c r="L105"/>
  <c r="Q1551" i="16"/>
  <c r="F1550" s="1"/>
  <c r="G1502"/>
  <c r="G1494"/>
  <c r="Q1494"/>
  <c r="Q1502"/>
  <c r="G1510"/>
  <c r="O1404"/>
  <c r="R1405"/>
  <c r="G1405" s="1"/>
  <c r="Q1405"/>
  <c r="F1405" s="1"/>
  <c r="Q1404"/>
  <c r="F1397"/>
  <c r="Q1396"/>
  <c r="Q1397" s="1"/>
  <c r="O1396"/>
  <c r="F1389"/>
  <c r="R1389"/>
  <c r="G1389" s="1"/>
  <c r="Q1389"/>
  <c r="O1388"/>
  <c r="Q1388"/>
  <c r="G1381"/>
  <c r="Q1379"/>
  <c r="R1381" s="1"/>
  <c r="O1379"/>
  <c r="O1371"/>
  <c r="R1373"/>
  <c r="G1373" s="1"/>
  <c r="Q1373"/>
  <c r="F1373" s="1"/>
  <c r="Q1371"/>
  <c r="F1365"/>
  <c r="R1365"/>
  <c r="G1365" s="1"/>
  <c r="Q1365"/>
  <c r="Q1363"/>
  <c r="O1363"/>
  <c r="O1355"/>
  <c r="R1357"/>
  <c r="G1357" s="1"/>
  <c r="Q1357"/>
  <c r="F1357" s="1"/>
  <c r="Q1355"/>
  <c r="L98" i="18" l="1"/>
  <c r="L97"/>
  <c r="R1397" i="16"/>
  <c r="G1397" s="1"/>
  <c r="Q1381"/>
  <c r="F1381" s="1"/>
  <c r="L101" i="18" l="1"/>
  <c r="G1069" i="16" l="1"/>
  <c r="G29"/>
  <c r="J29" s="1"/>
  <c r="K29" s="1"/>
  <c r="F29"/>
  <c r="M419" i="15"/>
  <c r="E29" i="16"/>
  <c r="M413" i="15"/>
  <c r="C27" i="16" l="1"/>
  <c r="L137" i="18"/>
  <c r="L133"/>
  <c r="L29" i="16"/>
  <c r="L145" i="18"/>
  <c r="L149"/>
  <c r="L131"/>
  <c r="B7" i="16"/>
  <c r="J8" i="48"/>
  <c r="J9"/>
  <c r="J7"/>
  <c r="J8" i="51"/>
  <c r="J9"/>
  <c r="J7"/>
  <c r="J8" i="46"/>
  <c r="J9"/>
  <c r="J7"/>
  <c r="J8" i="45"/>
  <c r="J9"/>
  <c r="J7"/>
  <c r="J8" i="18"/>
  <c r="J9"/>
  <c r="J7"/>
  <c r="J9" i="44"/>
  <c r="J8"/>
  <c r="J7"/>
  <c r="F1502" i="16"/>
  <c r="F1494"/>
  <c r="L144" i="18" l="1"/>
  <c r="L134"/>
  <c r="L135"/>
  <c r="L126"/>
  <c r="L143"/>
  <c r="L118"/>
  <c r="L154" i="44"/>
  <c r="M154" s="1"/>
  <c r="L153"/>
  <c r="M153" s="1"/>
  <c r="L147" i="18" l="1"/>
  <c r="L128"/>
  <c r="L136"/>
  <c r="L138"/>
  <c r="L125"/>
  <c r="L132"/>
  <c r="L117"/>
  <c r="L119"/>
  <c r="L139" l="1"/>
  <c r="K190" i="42" l="1"/>
  <c r="J592" i="15"/>
  <c r="J591"/>
  <c r="J517"/>
  <c r="J516"/>
  <c r="K31" i="42"/>
  <c r="K30"/>
  <c r="K29"/>
  <c r="K27"/>
  <c r="K161"/>
  <c r="L258" i="18" l="1"/>
  <c r="L263"/>
  <c r="M517" i="15"/>
  <c r="M592"/>
  <c r="L170" i="44" l="1"/>
  <c r="L76"/>
  <c r="L75"/>
  <c r="L66"/>
  <c r="L65"/>
  <c r="L62"/>
  <c r="L61"/>
  <c r="L59"/>
  <c r="L58"/>
  <c r="L55"/>
  <c r="L54"/>
  <c r="L48"/>
  <c r="L47"/>
  <c r="L44"/>
  <c r="L43"/>
  <c r="L41"/>
  <c r="L40"/>
  <c r="L80"/>
  <c r="M80" s="1"/>
  <c r="L37"/>
  <c r="M170" l="1"/>
  <c r="L201" i="18"/>
  <c r="L197"/>
  <c r="L199"/>
  <c r="L195"/>
  <c r="L193"/>
  <c r="L57" i="44"/>
  <c r="L78"/>
  <c r="L49"/>
  <c r="L68"/>
  <c r="L69"/>
  <c r="L71"/>
  <c r="L72"/>
  <c r="L74"/>
  <c r="L51"/>
  <c r="L50"/>
  <c r="L56"/>
  <c r="L53"/>
  <c r="L77"/>
  <c r="L67"/>
  <c r="L46"/>
  <c r="L42"/>
  <c r="L45"/>
  <c r="L39"/>
  <c r="L38"/>
  <c r="L200" i="18" l="1"/>
  <c r="L196"/>
  <c r="M69" i="44"/>
  <c r="M68"/>
  <c r="L79"/>
  <c r="M79" s="1"/>
  <c r="M71"/>
  <c r="M74"/>
  <c r="L73"/>
  <c r="M73" s="1"/>
  <c r="L60"/>
  <c r="M60" s="1"/>
  <c r="M78"/>
  <c r="M49"/>
  <c r="L64"/>
  <c r="M64" s="1"/>
  <c r="M57"/>
  <c r="M72"/>
  <c r="L70"/>
  <c r="M70" s="1"/>
  <c r="L63"/>
  <c r="M63" s="1"/>
  <c r="M51"/>
  <c r="M50"/>
  <c r="M56"/>
  <c r="M53"/>
  <c r="M77"/>
  <c r="M67"/>
  <c r="M46"/>
  <c r="M42"/>
  <c r="M45"/>
  <c r="M39"/>
  <c r="M38"/>
  <c r="L124" i="18" l="1"/>
  <c r="L123" l="1"/>
  <c r="L420" i="44"/>
  <c r="L142" i="18" l="1"/>
  <c r="L832" l="1"/>
  <c r="L140" l="1"/>
  <c r="L111"/>
  <c r="L114" l="1"/>
  <c r="L115"/>
  <c r="L113"/>
  <c r="L112"/>
  <c r="L77" i="51"/>
  <c r="L77" i="46"/>
  <c r="K37" i="4"/>
  <c r="K31"/>
  <c r="L141" i="18" l="1"/>
  <c r="L109"/>
  <c r="E1381" i="16"/>
  <c r="E1373"/>
  <c r="E1365"/>
  <c r="E1357"/>
  <c r="M383" i="15"/>
  <c r="M381"/>
  <c r="M380"/>
  <c r="P383"/>
  <c r="M374"/>
  <c r="M375"/>
  <c r="M376"/>
  <c r="M373"/>
  <c r="L83" i="18" l="1"/>
  <c r="L80"/>
  <c r="L81" l="1"/>
  <c r="L100" l="1"/>
  <c r="L82"/>
  <c r="L99"/>
  <c r="L253" i="44" l="1"/>
  <c r="G445" i="16"/>
  <c r="G437"/>
  <c r="G429"/>
  <c r="F445"/>
  <c r="E445"/>
  <c r="F437"/>
  <c r="F429"/>
  <c r="E437"/>
  <c r="C435" s="1"/>
  <c r="E429"/>
  <c r="E421"/>
  <c r="J421" s="1"/>
  <c r="C419" l="1"/>
  <c r="L481" i="18" s="1"/>
  <c r="C443" i="16"/>
  <c r="L484" i="18" s="1"/>
  <c r="L450"/>
  <c r="L489"/>
  <c r="L495"/>
  <c r="L440"/>
  <c r="L465"/>
  <c r="C427" i="16"/>
  <c r="L482" i="18" s="1"/>
  <c r="J445" i="16"/>
  <c r="L483" i="18"/>
  <c r="J429" i="16"/>
  <c r="J437"/>
  <c r="J413" l="1"/>
  <c r="C411"/>
  <c r="J405"/>
  <c r="C403"/>
  <c r="L431" i="18" l="1"/>
  <c r="L235" i="44"/>
  <c r="F1413" i="16"/>
  <c r="L449" i="18" l="1"/>
  <c r="M235" i="44"/>
  <c r="P1551" i="16"/>
  <c r="E1550" s="1"/>
  <c r="O1420"/>
  <c r="O1423" s="1"/>
  <c r="F1421"/>
  <c r="Q1420"/>
  <c r="Q1423" s="1"/>
  <c r="E1237"/>
  <c r="G1237"/>
  <c r="F1237"/>
  <c r="E1117"/>
  <c r="E565" l="1"/>
  <c r="E557"/>
  <c r="E525"/>
  <c r="E533"/>
  <c r="E517"/>
  <c r="E509"/>
  <c r="L162" i="48" l="1"/>
  <c r="L165" l="1"/>
  <c r="L278" i="44" l="1"/>
  <c r="L279" l="1"/>
  <c r="L272" l="1"/>
  <c r="L228" l="1"/>
  <c r="L266"/>
  <c r="L273"/>
  <c r="L267" l="1"/>
  <c r="M228"/>
  <c r="L196" l="1"/>
  <c r="L206" l="1"/>
  <c r="L179"/>
  <c r="M196"/>
  <c r="L181"/>
  <c r="M179" l="1"/>
  <c r="M206"/>
  <c r="L202"/>
  <c r="L391" i="18" l="1"/>
  <c r="L514" l="1"/>
  <c r="L396"/>
  <c r="L527"/>
  <c r="L526"/>
  <c r="L392"/>
  <c r="L522" l="1"/>
  <c r="L192" i="48" l="1"/>
  <c r="L193" l="1"/>
  <c r="L380" i="44" l="1"/>
  <c r="L379"/>
  <c r="L335" l="1"/>
  <c r="M335" l="1"/>
  <c r="L336"/>
  <c r="M336" s="1"/>
  <c r="L324" l="1"/>
  <c r="M324" s="1"/>
  <c r="J1037" i="16" l="1"/>
  <c r="K1037" s="1"/>
  <c r="C1035"/>
  <c r="J1029"/>
  <c r="K1029" s="1"/>
  <c r="C1027"/>
  <c r="J1021"/>
  <c r="K1021" s="1"/>
  <c r="C1019"/>
  <c r="J461"/>
  <c r="L461" s="1"/>
  <c r="C459"/>
  <c r="L314" i="44" l="1"/>
  <c r="L316"/>
  <c r="L1029" i="16"/>
  <c r="L1037"/>
  <c r="L1021"/>
  <c r="K461"/>
  <c r="M314" i="44" l="1"/>
  <c r="L372" l="1"/>
  <c r="L371"/>
  <c r="M372" l="1"/>
  <c r="M371"/>
  <c r="L293" l="1"/>
  <c r="M293" s="1"/>
  <c r="L212" i="51" l="1"/>
  <c r="L211"/>
  <c r="L210"/>
  <c r="L206"/>
  <c r="L205"/>
  <c r="L203"/>
  <c r="L202"/>
  <c r="L197"/>
  <c r="L196"/>
  <c r="L186"/>
  <c r="L181"/>
  <c r="L180"/>
  <c r="L179"/>
  <c r="L178"/>
  <c r="L177"/>
  <c r="L173"/>
  <c r="L172"/>
  <c r="L168"/>
  <c r="L167"/>
  <c r="L164"/>
  <c r="L163"/>
  <c r="L160"/>
  <c r="L159"/>
  <c r="L158"/>
  <c r="L155"/>
  <c r="L154"/>
  <c r="L151"/>
  <c r="L150"/>
  <c r="L149"/>
  <c r="L148"/>
  <c r="L147"/>
  <c r="L146"/>
  <c r="L145"/>
  <c r="L142"/>
  <c r="L141"/>
  <c r="L140"/>
  <c r="L139"/>
  <c r="L138"/>
  <c r="L137"/>
  <c r="L135"/>
  <c r="L134"/>
  <c r="L133"/>
  <c r="L131"/>
  <c r="L128"/>
  <c r="L127"/>
  <c r="L126"/>
  <c r="L123"/>
  <c r="L122"/>
  <c r="L117"/>
  <c r="M117" s="1"/>
  <c r="L116"/>
  <c r="L111"/>
  <c r="M111" s="1"/>
  <c r="L110"/>
  <c r="M110" s="1"/>
  <c r="L109"/>
  <c r="L105"/>
  <c r="L104"/>
  <c r="L102"/>
  <c r="L101"/>
  <c r="L97"/>
  <c r="L96"/>
  <c r="L95"/>
  <c r="L94"/>
  <c r="L93"/>
  <c r="L92"/>
  <c r="L90"/>
  <c r="L89"/>
  <c r="L86"/>
  <c r="L85"/>
  <c r="L83"/>
  <c r="L82"/>
  <c r="L81"/>
  <c r="L79"/>
  <c r="L78"/>
  <c r="L74"/>
  <c r="L73"/>
  <c r="L71"/>
  <c r="L70"/>
  <c r="L69"/>
  <c r="L67"/>
  <c r="L66"/>
  <c r="L63"/>
  <c r="L62"/>
  <c r="L60"/>
  <c r="L59"/>
  <c r="L58"/>
  <c r="L57"/>
  <c r="L56"/>
  <c r="L54"/>
  <c r="L53"/>
  <c r="L52"/>
  <c r="L50"/>
  <c r="L49"/>
  <c r="L45"/>
  <c r="L44"/>
  <c r="L41"/>
  <c r="L40"/>
  <c r="L38"/>
  <c r="L37"/>
  <c r="L36"/>
  <c r="L34"/>
  <c r="L33"/>
  <c r="K30"/>
  <c r="O21" s="1"/>
  <c r="L29"/>
  <c r="L28"/>
  <c r="L27"/>
  <c r="L26"/>
  <c r="L21"/>
  <c r="L20"/>
  <c r="L19"/>
  <c r="L18"/>
  <c r="L17"/>
  <c r="L16"/>
  <c r="L14"/>
  <c r="L13"/>
  <c r="L12"/>
  <c r="J6"/>
  <c r="L198" l="1"/>
  <c r="L46"/>
  <c r="L47"/>
  <c r="L84"/>
  <c r="L22"/>
  <c r="L113"/>
  <c r="L124"/>
  <c r="L170"/>
  <c r="L157"/>
  <c r="L61"/>
  <c r="L100"/>
  <c r="L106"/>
  <c r="L107"/>
  <c r="L118"/>
  <c r="L119"/>
  <c r="L24"/>
  <c r="L39"/>
  <c r="L51"/>
  <c r="L72"/>
  <c r="L190"/>
  <c r="L32"/>
  <c r="L43"/>
  <c r="L76"/>
  <c r="L185"/>
  <c r="L187"/>
  <c r="L207"/>
  <c r="L209"/>
  <c r="L65" l="1"/>
  <c r="L64"/>
  <c r="L195"/>
  <c r="L182"/>
  <c r="L165"/>
  <c r="L25"/>
  <c r="L114"/>
  <c r="L129"/>
  <c r="L112"/>
  <c r="L169"/>
  <c r="L183"/>
  <c r="L115"/>
  <c r="L23"/>
  <c r="L143"/>
  <c r="L132"/>
  <c r="L175"/>
  <c r="L15"/>
  <c r="L176"/>
  <c r="L125"/>
  <c r="L48"/>
  <c r="L188"/>
  <c r="L87"/>
  <c r="L42"/>
  <c r="L99"/>
  <c r="L153"/>
  <c r="L88"/>
  <c r="L156"/>
  <c r="L120"/>
  <c r="L75"/>
  <c r="L31"/>
  <c r="L152"/>
  <c r="L35"/>
  <c r="L192"/>
  <c r="L191"/>
  <c r="L121"/>
  <c r="L108"/>
  <c r="L194"/>
  <c r="L98"/>
  <c r="L189"/>
  <c r="L55"/>
  <c r="L193"/>
  <c r="J453" i="16" l="1"/>
  <c r="K453" s="1"/>
  <c r="C451"/>
  <c r="L453" l="1"/>
  <c r="L713" i="18" l="1"/>
  <c r="J789" i="16"/>
  <c r="K789" s="1"/>
  <c r="C787"/>
  <c r="L715" i="18" l="1"/>
  <c r="L714"/>
  <c r="L710"/>
  <c r="L712"/>
  <c r="L711"/>
  <c r="L709"/>
  <c r="L789" i="16"/>
  <c r="J1005"/>
  <c r="L1005" s="1"/>
  <c r="C1003"/>
  <c r="J997"/>
  <c r="K997" s="1"/>
  <c r="C995"/>
  <c r="K1005" l="1"/>
  <c r="L997"/>
  <c r="L678" i="18" l="1"/>
  <c r="J1085" i="16" l="1"/>
  <c r="K1085" s="1"/>
  <c r="C1083"/>
  <c r="L652" i="18"/>
  <c r="L651"/>
  <c r="L655" l="1"/>
  <c r="L654"/>
  <c r="L653"/>
  <c r="L658"/>
  <c r="L657"/>
  <c r="L1085" i="16"/>
  <c r="J1077" l="1"/>
  <c r="K1077" s="1"/>
  <c r="C1075"/>
  <c r="J1069"/>
  <c r="K1069" s="1"/>
  <c r="C1067"/>
  <c r="L319" i="44"/>
  <c r="L318"/>
  <c r="L317"/>
  <c r="L641" i="18" l="1"/>
  <c r="L642"/>
  <c r="L1077" i="16"/>
  <c r="L633" i="18"/>
  <c r="L1069" i="16"/>
  <c r="L596" i="18"/>
  <c r="L617"/>
  <c r="L320" i="44"/>
  <c r="J565" i="16"/>
  <c r="K565" s="1"/>
  <c r="C563"/>
  <c r="J557"/>
  <c r="K557" s="1"/>
  <c r="C555"/>
  <c r="L603" i="18" l="1"/>
  <c r="L636"/>
  <c r="L632"/>
  <c r="L621"/>
  <c r="L604"/>
  <c r="L557" i="16"/>
  <c r="L565"/>
  <c r="L588" i="18"/>
  <c r="L161" i="51" l="1"/>
  <c r="L589" i="18"/>
  <c r="L639"/>
  <c r="L226" i="48" l="1"/>
  <c r="L227" l="1"/>
  <c r="L795" i="18" l="1"/>
  <c r="J1237" i="16"/>
  <c r="K1237" s="1"/>
  <c r="C1235"/>
  <c r="L730" i="18"/>
  <c r="L1237" i="16" l="1"/>
  <c r="L761" i="18"/>
  <c r="L729"/>
  <c r="J1550" i="16"/>
  <c r="L1550" s="1"/>
  <c r="C1548"/>
  <c r="J1542"/>
  <c r="K1542" s="1"/>
  <c r="C1540"/>
  <c r="L778" i="18" s="1"/>
  <c r="J1534" i="16"/>
  <c r="K1534" s="1"/>
  <c r="C1532"/>
  <c r="J1173"/>
  <c r="L1173" s="1"/>
  <c r="C1171"/>
  <c r="L772" i="18" s="1"/>
  <c r="J1165" i="16"/>
  <c r="L1165" s="1"/>
  <c r="C1163"/>
  <c r="J1141"/>
  <c r="L1141" s="1"/>
  <c r="C1139"/>
  <c r="J1133"/>
  <c r="K1133" s="1"/>
  <c r="C1131"/>
  <c r="L779" i="18" l="1"/>
  <c r="L756"/>
  <c r="K1550" i="16"/>
  <c r="K1173"/>
  <c r="L1542"/>
  <c r="L1534"/>
  <c r="K1165"/>
  <c r="K1141"/>
  <c r="L1133"/>
  <c r="P1525" l="1"/>
  <c r="P1528" s="1"/>
  <c r="F1526" s="1"/>
  <c r="G404" i="26" l="1"/>
  <c r="G399"/>
  <c r="G288"/>
  <c r="G66"/>
  <c r="G135"/>
  <c r="G241"/>
  <c r="G675"/>
  <c r="H675" s="1"/>
  <c r="G212"/>
  <c r="H212" s="1"/>
  <c r="G88"/>
  <c r="G22"/>
  <c r="H22" s="1"/>
  <c r="G25"/>
  <c r="H25" s="1"/>
  <c r="G28"/>
  <c r="H28" s="1"/>
  <c r="G190"/>
  <c r="G101"/>
  <c r="H101" s="1"/>
  <c r="G157"/>
  <c r="H157" s="1"/>
  <c r="G150"/>
  <c r="G44"/>
  <c r="G105"/>
  <c r="H105" s="1"/>
  <c r="G17"/>
  <c r="H17" s="1"/>
  <c r="G27"/>
  <c r="H27" s="1"/>
  <c r="G13"/>
  <c r="H13" s="1"/>
  <c r="G147"/>
  <c r="H147" s="1"/>
  <c r="G53"/>
  <c r="H53" s="1"/>
  <c r="G35"/>
  <c r="H35" s="1"/>
  <c r="G84"/>
  <c r="H84" s="1"/>
  <c r="G37"/>
  <c r="H37" s="1"/>
  <c r="G487"/>
  <c r="H487" s="1"/>
  <c r="G341"/>
  <c r="H341" s="1"/>
  <c r="G104"/>
  <c r="H104" s="1"/>
  <c r="G38"/>
  <c r="H38" s="1"/>
  <c r="G421"/>
  <c r="H421" s="1"/>
  <c r="G247"/>
  <c r="H247" s="1"/>
  <c r="H44"/>
  <c r="H150"/>
  <c r="H190"/>
  <c r="H88"/>
  <c r="H241"/>
  <c r="H1053" i="16"/>
  <c r="I877"/>
  <c r="I733"/>
  <c r="I685"/>
  <c r="B440" i="44" l="1"/>
  <c r="B215" i="51" s="1"/>
  <c r="G13" i="16" l="1"/>
  <c r="F13"/>
  <c r="E13"/>
  <c r="J13" l="1"/>
  <c r="K13" s="1"/>
  <c r="C11"/>
  <c r="L13" l="1"/>
  <c r="J1229" l="1"/>
  <c r="K1229" s="1"/>
  <c r="C1227"/>
  <c r="L173" i="46" l="1"/>
  <c r="L1229" i="16"/>
  <c r="B441" i="44" l="1"/>
  <c r="B216" i="51" s="1"/>
  <c r="B442" i="44"/>
  <c r="B217" i="51" s="1"/>
  <c r="F5220" i="28"/>
  <c r="F5219"/>
  <c r="K30" i="48"/>
  <c r="O22" s="1"/>
  <c r="K30" i="46"/>
  <c r="O22" s="1"/>
  <c r="K30" i="45"/>
  <c r="O21" s="1"/>
  <c r="K23" i="18"/>
  <c r="O14" s="1"/>
  <c r="D14" i="21"/>
  <c r="C11"/>
  <c r="L91" i="44" l="1"/>
  <c r="M91" s="1"/>
  <c r="J6" i="50"/>
  <c r="A1677" i="16"/>
  <c r="A1678"/>
  <c r="A1676"/>
  <c r="A49" i="21" s="1"/>
  <c r="B2878" i="15"/>
  <c r="B289" i="42" s="1"/>
  <c r="B2879" i="15"/>
  <c r="B290" i="42" s="1"/>
  <c r="B2877" i="15"/>
  <c r="B288" i="42" s="1"/>
  <c r="B245" i="48"/>
  <c r="B246"/>
  <c r="B244"/>
  <c r="B193" i="45"/>
  <c r="B194"/>
  <c r="B192"/>
  <c r="B188" i="46"/>
  <c r="B189"/>
  <c r="B187"/>
  <c r="B867" i="18"/>
  <c r="B868"/>
  <c r="B866"/>
  <c r="L12"/>
  <c r="L13"/>
  <c r="L14"/>
  <c r="L19"/>
  <c r="L20"/>
  <c r="L21"/>
  <c r="L22"/>
  <c r="L26"/>
  <c r="L27"/>
  <c r="L29"/>
  <c r="L30"/>
  <c r="L31"/>
  <c r="L33"/>
  <c r="L34"/>
  <c r="L37"/>
  <c r="L38"/>
  <c r="L44"/>
  <c r="L45"/>
  <c r="L47"/>
  <c r="L48"/>
  <c r="L49"/>
  <c r="L51"/>
  <c r="L52"/>
  <c r="L53"/>
  <c r="L54"/>
  <c r="L55"/>
  <c r="L57"/>
  <c r="L58"/>
  <c r="L63"/>
  <c r="L64"/>
  <c r="L66"/>
  <c r="L67"/>
  <c r="L68"/>
  <c r="L70"/>
  <c r="L71"/>
  <c r="L76"/>
  <c r="L77"/>
  <c r="L79"/>
  <c r="L84"/>
  <c r="L85"/>
  <c r="L87"/>
  <c r="L88"/>
  <c r="L92"/>
  <c r="L93"/>
  <c r="L106"/>
  <c r="L130"/>
  <c r="L150"/>
  <c r="L151"/>
  <c r="L152"/>
  <c r="L153"/>
  <c r="L154"/>
  <c r="L164"/>
  <c r="L165"/>
  <c r="L206"/>
  <c r="L207"/>
  <c r="L212"/>
  <c r="L213"/>
  <c r="L215"/>
  <c r="L216"/>
  <c r="L223"/>
  <c r="L224"/>
  <c r="L225"/>
  <c r="L231"/>
  <c r="L232"/>
  <c r="L240"/>
  <c r="L241"/>
  <c r="L249"/>
  <c r="L250"/>
  <c r="L253"/>
  <c r="L254"/>
  <c r="L255"/>
  <c r="L257"/>
  <c r="L262"/>
  <c r="L267"/>
  <c r="L268"/>
  <c r="L269"/>
  <c r="L271"/>
  <c r="L274"/>
  <c r="L276"/>
  <c r="L277"/>
  <c r="L280"/>
  <c r="L281"/>
  <c r="L335"/>
  <c r="L336"/>
  <c r="L339"/>
  <c r="L340"/>
  <c r="L341"/>
  <c r="L351"/>
  <c r="L352"/>
  <c r="L353"/>
  <c r="L354"/>
  <c r="L355"/>
  <c r="L356"/>
  <c r="L357"/>
  <c r="L393"/>
  <c r="L394"/>
  <c r="L401"/>
  <c r="L402"/>
  <c r="L415"/>
  <c r="L416"/>
  <c r="L417"/>
  <c r="L466"/>
  <c r="L467"/>
  <c r="L469"/>
  <c r="L470"/>
  <c r="L475"/>
  <c r="L476"/>
  <c r="L485"/>
  <c r="L486"/>
  <c r="L487"/>
  <c r="L496"/>
  <c r="L497"/>
  <c r="L501"/>
  <c r="L502"/>
  <c r="L503"/>
  <c r="L528"/>
  <c r="L529"/>
  <c r="L537"/>
  <c r="L538"/>
  <c r="L547"/>
  <c r="L548"/>
  <c r="L549"/>
  <c r="L550"/>
  <c r="L551"/>
  <c r="L552"/>
  <c r="L553"/>
  <c r="L574"/>
  <c r="L575"/>
  <c r="L579"/>
  <c r="L580"/>
  <c r="L581"/>
  <c r="L591"/>
  <c r="L592"/>
  <c r="L610"/>
  <c r="L611"/>
  <c r="L627"/>
  <c r="L628"/>
  <c r="L634"/>
  <c r="L635"/>
  <c r="L638"/>
  <c r="L643"/>
  <c r="L644"/>
  <c r="L659"/>
  <c r="L660"/>
  <c r="L661"/>
  <c r="L664"/>
  <c r="L665"/>
  <c r="L679"/>
  <c r="L680"/>
  <c r="L683"/>
  <c r="L684"/>
  <c r="L699"/>
  <c r="L700"/>
  <c r="L706"/>
  <c r="L707"/>
  <c r="L716"/>
  <c r="L717"/>
  <c r="L718"/>
  <c r="L719"/>
  <c r="L720"/>
  <c r="L721"/>
  <c r="L725"/>
  <c r="L726"/>
  <c r="L731"/>
  <c r="L732"/>
  <c r="L736"/>
  <c r="L737"/>
  <c r="L745"/>
  <c r="L746"/>
  <c r="L747"/>
  <c r="L757"/>
  <c r="L758"/>
  <c r="L767"/>
  <c r="L768"/>
  <c r="L782"/>
  <c r="L783"/>
  <c r="L788"/>
  <c r="L789"/>
  <c r="L796"/>
  <c r="L797"/>
  <c r="L798"/>
  <c r="L810"/>
  <c r="L811"/>
  <c r="L814"/>
  <c r="L815"/>
  <c r="L825"/>
  <c r="L826"/>
  <c r="L827"/>
  <c r="L828"/>
  <c r="L829"/>
  <c r="L838"/>
  <c r="L839"/>
  <c r="L845"/>
  <c r="L846"/>
  <c r="L848"/>
  <c r="L849"/>
  <c r="L857"/>
  <c r="L858"/>
  <c r="L861"/>
  <c r="L862"/>
  <c r="L863"/>
  <c r="L12" i="44"/>
  <c r="M12" s="1"/>
  <c r="L13"/>
  <c r="M13" s="1"/>
  <c r="L14"/>
  <c r="M14" s="1"/>
  <c r="L24"/>
  <c r="M24" s="1"/>
  <c r="L25"/>
  <c r="M25" s="1"/>
  <c r="L30"/>
  <c r="M30" s="1"/>
  <c r="L31"/>
  <c r="M31" s="1"/>
  <c r="L34"/>
  <c r="M34" s="1"/>
  <c r="L35"/>
  <c r="M35" s="1"/>
  <c r="L36"/>
  <c r="M36" s="1"/>
  <c r="L81"/>
  <c r="M81" s="1"/>
  <c r="L84"/>
  <c r="M84" s="1"/>
  <c r="L85"/>
  <c r="M85" s="1"/>
  <c r="L89"/>
  <c r="M89" s="1"/>
  <c r="L90"/>
  <c r="L92"/>
  <c r="M92" s="1"/>
  <c r="L93"/>
  <c r="M93" s="1"/>
  <c r="L94"/>
  <c r="M94" s="1"/>
  <c r="L98"/>
  <c r="M98" s="1"/>
  <c r="L99"/>
  <c r="M99" s="1"/>
  <c r="L100"/>
  <c r="M100" s="1"/>
  <c r="L101"/>
  <c r="M101" s="1"/>
  <c r="L105"/>
  <c r="M105" s="1"/>
  <c r="L106"/>
  <c r="M106" s="1"/>
  <c r="L108"/>
  <c r="M108" s="1"/>
  <c r="L109"/>
  <c r="M109" s="1"/>
  <c r="L110"/>
  <c r="M110" s="1"/>
  <c r="L112"/>
  <c r="M112" s="1"/>
  <c r="L113"/>
  <c r="M113" s="1"/>
  <c r="L115"/>
  <c r="M115" s="1"/>
  <c r="L116"/>
  <c r="M116" s="1"/>
  <c r="L119"/>
  <c r="M119" s="1"/>
  <c r="L120"/>
  <c r="M120" s="1"/>
  <c r="L122"/>
  <c r="M122" s="1"/>
  <c r="L123"/>
  <c r="M123" s="1"/>
  <c r="L124"/>
  <c r="M124" s="1"/>
  <c r="L126"/>
  <c r="M126" s="1"/>
  <c r="L127"/>
  <c r="M127" s="1"/>
  <c r="L128"/>
  <c r="L129"/>
  <c r="M129" s="1"/>
  <c r="L130"/>
  <c r="M130" s="1"/>
  <c r="L131"/>
  <c r="M131" s="1"/>
  <c r="L132"/>
  <c r="M132" s="1"/>
  <c r="L135"/>
  <c r="M135" s="1"/>
  <c r="L136"/>
  <c r="M136" s="1"/>
  <c r="L137"/>
  <c r="M137" s="1"/>
  <c r="L144"/>
  <c r="M144" s="1"/>
  <c r="L145"/>
  <c r="M145" s="1"/>
  <c r="L146"/>
  <c r="M146" s="1"/>
  <c r="L148"/>
  <c r="M148" s="1"/>
  <c r="L151"/>
  <c r="M151" s="1"/>
  <c r="L156"/>
  <c r="M156" s="1"/>
  <c r="L157"/>
  <c r="M157" s="1"/>
  <c r="L159"/>
  <c r="M159" s="1"/>
  <c r="L160"/>
  <c r="M160" s="1"/>
  <c r="L163"/>
  <c r="M163" s="1"/>
  <c r="L164"/>
  <c r="M164" s="1"/>
  <c r="L165"/>
  <c r="M165" s="1"/>
  <c r="L171"/>
  <c r="M171" s="1"/>
  <c r="L172"/>
  <c r="L173"/>
  <c r="M173" s="1"/>
  <c r="L174"/>
  <c r="M174" s="1"/>
  <c r="L175"/>
  <c r="M175" s="1"/>
  <c r="L176"/>
  <c r="M176" s="1"/>
  <c r="L203"/>
  <c r="M203" s="1"/>
  <c r="L204"/>
  <c r="M204" s="1"/>
  <c r="L209"/>
  <c r="M209" s="1"/>
  <c r="L210"/>
  <c r="M210" s="1"/>
  <c r="L214"/>
  <c r="M214" s="1"/>
  <c r="L215"/>
  <c r="M215" s="1"/>
  <c r="L217"/>
  <c r="M217" s="1"/>
  <c r="L218"/>
  <c r="M218" s="1"/>
  <c r="L231"/>
  <c r="M231" s="1"/>
  <c r="L232"/>
  <c r="M232" s="1"/>
  <c r="L233"/>
  <c r="M233" s="1"/>
  <c r="L236"/>
  <c r="M236" s="1"/>
  <c r="L237"/>
  <c r="M237" s="1"/>
  <c r="L242"/>
  <c r="M242" s="1"/>
  <c r="L243"/>
  <c r="M243" s="1"/>
  <c r="L244"/>
  <c r="M244" s="1"/>
  <c r="L249"/>
  <c r="M249" s="1"/>
  <c r="L250"/>
  <c r="M250" s="1"/>
  <c r="L254"/>
  <c r="M254" s="1"/>
  <c r="L255"/>
  <c r="M255" s="1"/>
  <c r="L260"/>
  <c r="M260" s="1"/>
  <c r="L261"/>
  <c r="M261" s="1"/>
  <c r="L262"/>
  <c r="M262" s="1"/>
  <c r="L268"/>
  <c r="M268" s="1"/>
  <c r="L269"/>
  <c r="M269" s="1"/>
  <c r="L274"/>
  <c r="M274" s="1"/>
  <c r="L275"/>
  <c r="M275" s="1"/>
  <c r="L284"/>
  <c r="M284" s="1"/>
  <c r="L285"/>
  <c r="L286"/>
  <c r="M286" s="1"/>
  <c r="L287"/>
  <c r="M287" s="1"/>
  <c r="L288"/>
  <c r="M288" s="1"/>
  <c r="L289"/>
  <c r="M289" s="1"/>
  <c r="L290"/>
  <c r="M290" s="1"/>
  <c r="L294"/>
  <c r="M294" s="1"/>
  <c r="L295"/>
  <c r="M295" s="1"/>
  <c r="L300"/>
  <c r="M300" s="1"/>
  <c r="L301"/>
  <c r="M301" s="1"/>
  <c r="L307"/>
  <c r="M307" s="1"/>
  <c r="L308"/>
  <c r="M308" s="1"/>
  <c r="L321"/>
  <c r="M321" s="1"/>
  <c r="L322"/>
  <c r="M322" s="1"/>
  <c r="L327"/>
  <c r="M327" s="1"/>
  <c r="L328"/>
  <c r="M328" s="1"/>
  <c r="L339"/>
  <c r="M339" s="1"/>
  <c r="L340"/>
  <c r="M340" s="1"/>
  <c r="L341"/>
  <c r="M341" s="1"/>
  <c r="L344"/>
  <c r="M344" s="1"/>
  <c r="L345"/>
  <c r="M345" s="1"/>
  <c r="L353"/>
  <c r="M353" s="1"/>
  <c r="L354"/>
  <c r="M354" s="1"/>
  <c r="L358"/>
  <c r="M358" s="1"/>
  <c r="L359"/>
  <c r="M359" s="1"/>
  <c r="L361"/>
  <c r="M361" s="1"/>
  <c r="L362"/>
  <c r="M362" s="1"/>
  <c r="L363"/>
  <c r="M363" s="1"/>
  <c r="L367"/>
  <c r="M367" s="1"/>
  <c r="L368"/>
  <c r="M368" s="1"/>
  <c r="L373"/>
  <c r="M373" s="1"/>
  <c r="L374"/>
  <c r="M374" s="1"/>
  <c r="L381"/>
  <c r="M381" s="1"/>
  <c r="L382"/>
  <c r="L383"/>
  <c r="M383" s="1"/>
  <c r="L384"/>
  <c r="M384" s="1"/>
  <c r="L385"/>
  <c r="M385" s="1"/>
  <c r="L386"/>
  <c r="M386" s="1"/>
  <c r="L395"/>
  <c r="M395" s="1"/>
  <c r="L396"/>
  <c r="M396" s="1"/>
  <c r="L403"/>
  <c r="M403" s="1"/>
  <c r="L404"/>
  <c r="L405"/>
  <c r="M405" s="1"/>
  <c r="L406"/>
  <c r="M406" s="1"/>
  <c r="L407"/>
  <c r="M407" s="1"/>
  <c r="L422"/>
  <c r="M422" s="1"/>
  <c r="L423"/>
  <c r="M423" s="1"/>
  <c r="L426"/>
  <c r="M426" s="1"/>
  <c r="L427"/>
  <c r="M427" s="1"/>
  <c r="L435"/>
  <c r="M435" s="1"/>
  <c r="L436"/>
  <c r="L437"/>
  <c r="L438"/>
  <c r="L14" i="48" l="1"/>
  <c r="L16"/>
  <c r="L17"/>
  <c r="L18"/>
  <c r="L19"/>
  <c r="L20"/>
  <c r="L21"/>
  <c r="L26"/>
  <c r="L27"/>
  <c r="L28"/>
  <c r="L29"/>
  <c r="L33"/>
  <c r="L34"/>
  <c r="L36"/>
  <c r="L37"/>
  <c r="L38"/>
  <c r="L40"/>
  <c r="L41"/>
  <c r="L44"/>
  <c r="L45"/>
  <c r="L49"/>
  <c r="L50"/>
  <c r="L52"/>
  <c r="L53"/>
  <c r="L54"/>
  <c r="L56"/>
  <c r="L57"/>
  <c r="L58"/>
  <c r="L59"/>
  <c r="L60"/>
  <c r="L62"/>
  <c r="L63"/>
  <c r="L66"/>
  <c r="L67"/>
  <c r="L69"/>
  <c r="L70"/>
  <c r="L71"/>
  <c r="L73"/>
  <c r="L74"/>
  <c r="L78"/>
  <c r="L79"/>
  <c r="L81"/>
  <c r="L82"/>
  <c r="L83"/>
  <c r="L85"/>
  <c r="L86"/>
  <c r="L89"/>
  <c r="L90"/>
  <c r="L92"/>
  <c r="L93"/>
  <c r="L94"/>
  <c r="L95"/>
  <c r="L96"/>
  <c r="L97"/>
  <c r="L103"/>
  <c r="L104"/>
  <c r="L108"/>
  <c r="L109"/>
  <c r="L113"/>
  <c r="L114"/>
  <c r="L115"/>
  <c r="L120"/>
  <c r="L121"/>
  <c r="L126"/>
  <c r="L127"/>
  <c r="L130"/>
  <c r="L131"/>
  <c r="L132"/>
  <c r="L135"/>
  <c r="L137"/>
  <c r="L138"/>
  <c r="L139"/>
  <c r="L141"/>
  <c r="L142"/>
  <c r="L143"/>
  <c r="L144"/>
  <c r="L145"/>
  <c r="L146"/>
  <c r="L147"/>
  <c r="L155"/>
  <c r="L156"/>
  <c r="L158"/>
  <c r="L159"/>
  <c r="L163"/>
  <c r="L164"/>
  <c r="L167"/>
  <c r="L168"/>
  <c r="L169"/>
  <c r="L170"/>
  <c r="L171"/>
  <c r="L172"/>
  <c r="L173"/>
  <c r="L177"/>
  <c r="L178"/>
  <c r="L180"/>
  <c r="L181"/>
  <c r="L182"/>
  <c r="L185"/>
  <c r="L186"/>
  <c r="L189"/>
  <c r="L190"/>
  <c r="L195"/>
  <c r="L196"/>
  <c r="L203"/>
  <c r="L204"/>
  <c r="L205"/>
  <c r="L206"/>
  <c r="L207"/>
  <c r="L208"/>
  <c r="L217"/>
  <c r="L218"/>
  <c r="L221"/>
  <c r="L222"/>
  <c r="L228"/>
  <c r="L229"/>
  <c r="L232"/>
  <c r="L233"/>
  <c r="L241"/>
  <c r="L161"/>
  <c r="L87"/>
  <c r="L16" i="46"/>
  <c r="L17"/>
  <c r="L18"/>
  <c r="L19"/>
  <c r="L20"/>
  <c r="L21"/>
  <c r="L26"/>
  <c r="L27"/>
  <c r="L28"/>
  <c r="L29"/>
  <c r="L33"/>
  <c r="L34"/>
  <c r="L36"/>
  <c r="L37"/>
  <c r="L38"/>
  <c r="L40"/>
  <c r="L41"/>
  <c r="L44"/>
  <c r="L45"/>
  <c r="L49"/>
  <c r="L50"/>
  <c r="L52"/>
  <c r="L53"/>
  <c r="L54"/>
  <c r="L56"/>
  <c r="L57"/>
  <c r="L58"/>
  <c r="L59"/>
  <c r="L60"/>
  <c r="L62"/>
  <c r="L63"/>
  <c r="L66"/>
  <c r="L67"/>
  <c r="L69"/>
  <c r="L70"/>
  <c r="L71"/>
  <c r="L73"/>
  <c r="L74"/>
  <c r="L78"/>
  <c r="L79"/>
  <c r="L81"/>
  <c r="L82"/>
  <c r="L83"/>
  <c r="L85"/>
  <c r="L86"/>
  <c r="L89"/>
  <c r="L90"/>
  <c r="L92"/>
  <c r="L93"/>
  <c r="L94"/>
  <c r="L95"/>
  <c r="L96"/>
  <c r="L97"/>
  <c r="L103"/>
  <c r="L104"/>
  <c r="L107"/>
  <c r="L108"/>
  <c r="L112"/>
  <c r="L113"/>
  <c r="L114"/>
  <c r="L119"/>
  <c r="L120"/>
  <c r="L125"/>
  <c r="L126"/>
  <c r="L129"/>
  <c r="L130"/>
  <c r="L131"/>
  <c r="L134"/>
  <c r="L136"/>
  <c r="L137"/>
  <c r="L138"/>
  <c r="L140"/>
  <c r="L141"/>
  <c r="L142"/>
  <c r="L143"/>
  <c r="L144"/>
  <c r="L162"/>
  <c r="L163"/>
  <c r="L168"/>
  <c r="L169"/>
  <c r="L174"/>
  <c r="L175"/>
  <c r="L176"/>
  <c r="L177"/>
  <c r="L178"/>
  <c r="L182"/>
  <c r="L183"/>
  <c r="L64"/>
  <c r="L48" l="1"/>
  <c r="L46"/>
  <c r="L84"/>
  <c r="L153" i="48"/>
  <c r="L149"/>
  <c r="L154"/>
  <c r="L150"/>
  <c r="L61" i="46"/>
  <c r="L151" i="48"/>
  <c r="L152"/>
  <c r="L148"/>
  <c r="L88"/>
  <c r="L22"/>
  <c r="L25"/>
  <c r="L43"/>
  <c r="L75"/>
  <c r="L77"/>
  <c r="L84"/>
  <c r="L47"/>
  <c r="L51"/>
  <c r="L31"/>
  <c r="L46"/>
  <c r="L61"/>
  <c r="L72"/>
  <c r="L23"/>
  <c r="L39"/>
  <c r="L64"/>
  <c r="L24" i="46"/>
  <c r="L76"/>
  <c r="L43"/>
  <c r="L72"/>
  <c r="L23"/>
  <c r="L32"/>
  <c r="L39"/>
  <c r="L51"/>
  <c r="L75"/>
  <c r="L87"/>
  <c r="L399" i="18"/>
  <c r="L47" i="46" l="1"/>
  <c r="L88"/>
  <c r="L35"/>
  <c r="L42"/>
  <c r="L24" i="48"/>
  <c r="L42"/>
  <c r="L65" i="46"/>
  <c r="L31"/>
  <c r="L35" i="48"/>
  <c r="L25" i="46"/>
  <c r="L22"/>
  <c r="L55"/>
  <c r="L65" i="48"/>
  <c r="L48"/>
  <c r="L76"/>
  <c r="L32"/>
  <c r="L55"/>
  <c r="L859" i="18" l="1"/>
  <c r="L834"/>
  <c r="L833"/>
  <c r="L831"/>
  <c r="L830"/>
  <c r="L493"/>
  <c r="L492"/>
  <c r="L464"/>
  <c r="L462"/>
  <c r="L460"/>
  <c r="L459"/>
  <c r="L456"/>
  <c r="L454"/>
  <c r="L453"/>
  <c r="L452"/>
  <c r="L448"/>
  <c r="L447"/>
  <c r="L443"/>
  <c r="L442"/>
  <c r="L441"/>
  <c r="L439"/>
  <c r="L436"/>
  <c r="L435"/>
  <c r="L434"/>
  <c r="L432"/>
  <c r="L429"/>
  <c r="L428"/>
  <c r="L427"/>
  <c r="L426"/>
  <c r="L425"/>
  <c r="L422"/>
  <c r="L420"/>
  <c r="L409" i="44"/>
  <c r="L252"/>
  <c r="J397" i="16"/>
  <c r="C395"/>
  <c r="J389"/>
  <c r="C387"/>
  <c r="J381"/>
  <c r="C379"/>
  <c r="J373"/>
  <c r="C371"/>
  <c r="J365"/>
  <c r="C363"/>
  <c r="J1638"/>
  <c r="K1638" s="1"/>
  <c r="J1630"/>
  <c r="K1630" s="1"/>
  <c r="J1622"/>
  <c r="K1622" s="1"/>
  <c r="J1614"/>
  <c r="L1614" s="1"/>
  <c r="J1606"/>
  <c r="K1606" s="1"/>
  <c r="J1598"/>
  <c r="K1598" s="1"/>
  <c r="J1590"/>
  <c r="L1590" s="1"/>
  <c r="J1582"/>
  <c r="K1582" s="1"/>
  <c r="J1574"/>
  <c r="K1574" s="1"/>
  <c r="J1566"/>
  <c r="L1566" s="1"/>
  <c r="J1558"/>
  <c r="K1558" s="1"/>
  <c r="F1646"/>
  <c r="E1646"/>
  <c r="C1636"/>
  <c r="C1628"/>
  <c r="C1620"/>
  <c r="C1612"/>
  <c r="C1604"/>
  <c r="C1596"/>
  <c r="C1588"/>
  <c r="C1580"/>
  <c r="C1572"/>
  <c r="C1564"/>
  <c r="C1556"/>
  <c r="L1544" i="15"/>
  <c r="K1544"/>
  <c r="L1543"/>
  <c r="K1543"/>
  <c r="J1543"/>
  <c r="L1542"/>
  <c r="K1542"/>
  <c r="J1542"/>
  <c r="L1541"/>
  <c r="K1541"/>
  <c r="J1541"/>
  <c r="O150"/>
  <c r="M150"/>
  <c r="K149"/>
  <c r="J149" s="1"/>
  <c r="K148"/>
  <c r="J148" s="1"/>
  <c r="K147"/>
  <c r="J147" s="1"/>
  <c r="K146"/>
  <c r="J146" s="1"/>
  <c r="K145"/>
  <c r="J145" s="1"/>
  <c r="O144"/>
  <c r="M144"/>
  <c r="K102" i="44"/>
  <c r="O95" s="1"/>
  <c r="L474" i="18" l="1"/>
  <c r="L473"/>
  <c r="J1646" i="16"/>
  <c r="K1646" s="1"/>
  <c r="K1566"/>
  <c r="L1574"/>
  <c r="L95" i="44"/>
  <c r="L43" i="18"/>
  <c r="L451"/>
  <c r="L491"/>
  <c r="L419"/>
  <c r="L238" i="44"/>
  <c r="L410"/>
  <c r="L433"/>
  <c r="L257"/>
  <c r="L418"/>
  <c r="C1644" i="16"/>
  <c r="K1590"/>
  <c r="K1614"/>
  <c r="L418" i="18"/>
  <c r="L490"/>
  <c r="L433"/>
  <c r="L444"/>
  <c r="L455"/>
  <c r="L860"/>
  <c r="L835"/>
  <c r="L837"/>
  <c r="L59"/>
  <c r="L60"/>
  <c r="L61"/>
  <c r="L72"/>
  <c r="L73"/>
  <c r="L74"/>
  <c r="L75"/>
  <c r="L86"/>
  <c r="L89"/>
  <c r="L90"/>
  <c r="L91"/>
  <c r="L498"/>
  <c r="L499"/>
  <c r="L836"/>
  <c r="L479"/>
  <c r="L480"/>
  <c r="L18"/>
  <c r="L28"/>
  <c r="L36"/>
  <c r="L42"/>
  <c r="L446"/>
  <c r="L438"/>
  <c r="L424"/>
  <c r="L458"/>
  <c r="L50"/>
  <c r="L477"/>
  <c r="L25"/>
  <c r="L41"/>
  <c r="L423"/>
  <c r="L430"/>
  <c r="L437"/>
  <c r="L445"/>
  <c r="L457"/>
  <c r="L32"/>
  <c r="L421"/>
  <c r="L478"/>
  <c r="L488"/>
  <c r="L16"/>
  <c r="L15"/>
  <c r="L24"/>
  <c r="L35"/>
  <c r="L39"/>
  <c r="L62"/>
  <c r="L17"/>
  <c r="L40"/>
  <c r="L56"/>
  <c r="L69"/>
  <c r="L429" i="44"/>
  <c r="L416"/>
  <c r="L259"/>
  <c r="L239"/>
  <c r="L428"/>
  <c r="L248"/>
  <c r="L258"/>
  <c r="M409"/>
  <c r="L256"/>
  <c r="M252"/>
  <c r="L240"/>
  <c r="L117"/>
  <c r="L1638" i="16"/>
  <c r="L1630"/>
  <c r="L1622"/>
  <c r="L1606"/>
  <c r="L1598"/>
  <c r="L1582"/>
  <c r="L1558"/>
  <c r="M1542" i="15"/>
  <c r="M1544"/>
  <c r="M1543"/>
  <c r="M1541"/>
  <c r="K144"/>
  <c r="J144" s="1"/>
  <c r="K150"/>
  <c r="J150" s="1"/>
  <c r="L97" i="44"/>
  <c r="L125"/>
  <c r="L96"/>
  <c r="L118"/>
  <c r="M95"/>
  <c r="L68" i="51" l="1"/>
  <c r="L200"/>
  <c r="L184"/>
  <c r="L199"/>
  <c r="L1646" i="16"/>
  <c r="M429" i="44"/>
  <c r="L468" i="18"/>
  <c r="L65"/>
  <c r="L122"/>
  <c r="L46"/>
  <c r="L78"/>
  <c r="L94"/>
  <c r="L852"/>
  <c r="L494"/>
  <c r="L855"/>
  <c r="L841"/>
  <c r="L856"/>
  <c r="M238" i="44"/>
  <c r="L114"/>
  <c r="L430"/>
  <c r="L121"/>
  <c r="L415"/>
  <c r="M257"/>
  <c r="L104"/>
  <c r="L107"/>
  <c r="L111"/>
  <c r="L103"/>
  <c r="L417"/>
  <c r="L421"/>
  <c r="L419"/>
  <c r="L408"/>
  <c r="M418"/>
  <c r="M433"/>
  <c r="M410"/>
  <c r="L234"/>
  <c r="L434"/>
  <c r="M117"/>
  <c r="L246"/>
  <c r="L245"/>
  <c r="L247"/>
  <c r="L431"/>
  <c r="L411"/>
  <c r="L425"/>
  <c r="L432"/>
  <c r="L23" i="18"/>
  <c r="M259" i="44"/>
  <c r="M416"/>
  <c r="M248"/>
  <c r="M428"/>
  <c r="M239"/>
  <c r="M258"/>
  <c r="M256"/>
  <c r="M240"/>
  <c r="M118"/>
  <c r="M96"/>
  <c r="M125"/>
  <c r="M97"/>
  <c r="L204" i="51" l="1"/>
  <c r="L237" i="48"/>
  <c r="L201" i="51"/>
  <c r="L238" i="48"/>
  <c r="L103" i="18"/>
  <c r="L146"/>
  <c r="L148"/>
  <c r="L30" i="51"/>
  <c r="L208"/>
  <c r="L91"/>
  <c r="L80"/>
  <c r="L843" i="18"/>
  <c r="L120"/>
  <c r="L853"/>
  <c r="L854"/>
  <c r="L461"/>
  <c r="L121"/>
  <c r="L844"/>
  <c r="L110"/>
  <c r="L851"/>
  <c r="L108"/>
  <c r="L107"/>
  <c r="L116"/>
  <c r="L181" i="46"/>
  <c r="L471" i="18"/>
  <c r="L842"/>
  <c r="L463"/>
  <c r="L850"/>
  <c r="L472"/>
  <c r="L102" i="44"/>
  <c r="M234"/>
  <c r="M104"/>
  <c r="L412"/>
  <c r="M419"/>
  <c r="M417"/>
  <c r="M111"/>
  <c r="M121"/>
  <c r="L414"/>
  <c r="M434"/>
  <c r="M107"/>
  <c r="L413"/>
  <c r="M408"/>
  <c r="M421"/>
  <c r="M103"/>
  <c r="M415"/>
  <c r="M430"/>
  <c r="M114"/>
  <c r="M411"/>
  <c r="M247"/>
  <c r="M246"/>
  <c r="M432"/>
  <c r="M425"/>
  <c r="M431"/>
  <c r="M245"/>
  <c r="L424"/>
  <c r="L180" i="46"/>
  <c r="L179"/>
  <c r="L157" i="48"/>
  <c r="L68" i="46"/>
  <c r="L68" i="48"/>
  <c r="L80"/>
  <c r="L91"/>
  <c r="L80" i="46"/>
  <c r="L91"/>
  <c r="L129" i="18" l="1"/>
  <c r="L847"/>
  <c r="L840"/>
  <c r="L127"/>
  <c r="L160" i="48"/>
  <c r="M413" i="44"/>
  <c r="M414"/>
  <c r="M412"/>
  <c r="L30" i="46"/>
  <c r="L30" i="48"/>
  <c r="O1525" i="16"/>
  <c r="O1528" s="1"/>
  <c r="E1526" s="1"/>
  <c r="G1421"/>
  <c r="Q1412"/>
  <c r="Q1415" s="1"/>
  <c r="G1413" s="1"/>
  <c r="E1421"/>
  <c r="O1412"/>
  <c r="O1415" s="1"/>
  <c r="E1413" s="1"/>
  <c r="C17" i="21" l="1"/>
  <c r="C1411" i="16"/>
  <c r="M102" i="44"/>
  <c r="M424"/>
  <c r="J1526" i="16"/>
  <c r="C1524"/>
  <c r="C1516"/>
  <c r="C1508"/>
  <c r="C1500"/>
  <c r="C1492"/>
  <c r="C1484"/>
  <c r="F1478"/>
  <c r="E1478"/>
  <c r="C1467"/>
  <c r="C1459"/>
  <c r="C1451"/>
  <c r="C1443"/>
  <c r="C1435"/>
  <c r="C1427"/>
  <c r="C1419"/>
  <c r="C1403"/>
  <c r="C1395"/>
  <c r="C1387"/>
  <c r="C1379"/>
  <c r="C1371"/>
  <c r="C1363"/>
  <c r="C1355"/>
  <c r="C1347"/>
  <c r="C1339"/>
  <c r="C1331"/>
  <c r="C1323"/>
  <c r="C1315"/>
  <c r="C1307"/>
  <c r="C1299"/>
  <c r="C1291"/>
  <c r="C1283"/>
  <c r="C1275"/>
  <c r="C1267"/>
  <c r="C1259"/>
  <c r="C1251"/>
  <c r="C1243"/>
  <c r="C1219"/>
  <c r="C1211"/>
  <c r="C1203"/>
  <c r="C1195"/>
  <c r="C1187"/>
  <c r="C1179"/>
  <c r="C1155"/>
  <c r="C1147"/>
  <c r="C1123"/>
  <c r="C1115"/>
  <c r="C1107"/>
  <c r="C1099"/>
  <c r="C1091"/>
  <c r="C1059"/>
  <c r="C1051"/>
  <c r="C1043"/>
  <c r="C1011"/>
  <c r="C987"/>
  <c r="F981"/>
  <c r="C979" s="1"/>
  <c r="C971"/>
  <c r="C963"/>
  <c r="C955"/>
  <c r="C947"/>
  <c r="C939"/>
  <c r="C931"/>
  <c r="C923"/>
  <c r="C915"/>
  <c r="C907"/>
  <c r="C899"/>
  <c r="C891"/>
  <c r="H885"/>
  <c r="G885"/>
  <c r="F885"/>
  <c r="E885"/>
  <c r="H877"/>
  <c r="G877"/>
  <c r="F877"/>
  <c r="E877"/>
  <c r="C867"/>
  <c r="C859"/>
  <c r="C851"/>
  <c r="C843"/>
  <c r="C835"/>
  <c r="C827"/>
  <c r="C819"/>
  <c r="C811"/>
  <c r="C803"/>
  <c r="C795"/>
  <c r="C779"/>
  <c r="C771"/>
  <c r="C763"/>
  <c r="C755"/>
  <c r="C747"/>
  <c r="G733"/>
  <c r="E733"/>
  <c r="C723"/>
  <c r="C715"/>
  <c r="C707"/>
  <c r="C699"/>
  <c r="H693"/>
  <c r="G693"/>
  <c r="F693"/>
  <c r="E693"/>
  <c r="H685"/>
  <c r="G685"/>
  <c r="F685"/>
  <c r="E685"/>
  <c r="C675"/>
  <c r="C667"/>
  <c r="C659"/>
  <c r="C651"/>
  <c r="C643"/>
  <c r="C635"/>
  <c r="C627"/>
  <c r="C619"/>
  <c r="H613"/>
  <c r="G613"/>
  <c r="F613"/>
  <c r="E613"/>
  <c r="H605"/>
  <c r="G605"/>
  <c r="F605"/>
  <c r="E605"/>
  <c r="C595"/>
  <c r="C587"/>
  <c r="C579"/>
  <c r="C571"/>
  <c r="C547"/>
  <c r="C539"/>
  <c r="C531"/>
  <c r="C523"/>
  <c r="C515"/>
  <c r="C507"/>
  <c r="C499"/>
  <c r="C491"/>
  <c r="C483"/>
  <c r="C475"/>
  <c r="C467"/>
  <c r="C355"/>
  <c r="C347"/>
  <c r="C339"/>
  <c r="C331"/>
  <c r="C323"/>
  <c r="C315"/>
  <c r="C307"/>
  <c r="D19" i="21" l="1"/>
  <c r="L370" i="44"/>
  <c r="C1476" i="16"/>
  <c r="K1526"/>
  <c r="L1526"/>
  <c r="C731"/>
  <c r="C611"/>
  <c r="C603"/>
  <c r="C875"/>
  <c r="C883"/>
  <c r="C683"/>
  <c r="C691"/>
  <c r="L259" i="18"/>
  <c r="J1052" i="15"/>
  <c r="J1051"/>
  <c r="E293" i="16"/>
  <c r="G293"/>
  <c r="F293"/>
  <c r="G277"/>
  <c r="F277"/>
  <c r="E277"/>
  <c r="G269"/>
  <c r="F269"/>
  <c r="E269"/>
  <c r="E261"/>
  <c r="G261"/>
  <c r="F261"/>
  <c r="L166" i="48" l="1"/>
  <c r="L770" i="18"/>
  <c r="L755"/>
  <c r="L230" i="48"/>
  <c r="M1052" i="15"/>
  <c r="J293" i="16"/>
  <c r="L293" s="1"/>
  <c r="C291"/>
  <c r="J261"/>
  <c r="K261" s="1"/>
  <c r="J277"/>
  <c r="K277" s="1"/>
  <c r="C275"/>
  <c r="C267"/>
  <c r="J269"/>
  <c r="L269" s="1"/>
  <c r="C259"/>
  <c r="J245"/>
  <c r="L245" s="1"/>
  <c r="C243"/>
  <c r="J237"/>
  <c r="K237" s="1"/>
  <c r="C235"/>
  <c r="J229"/>
  <c r="L229" s="1"/>
  <c r="C227"/>
  <c r="J221"/>
  <c r="K221" s="1"/>
  <c r="C219"/>
  <c r="L277" l="1"/>
  <c r="L231" i="48"/>
  <c r="K293" i="16"/>
  <c r="L349" i="18"/>
  <c r="L261" i="16"/>
  <c r="K269"/>
  <c r="L237"/>
  <c r="K245"/>
  <c r="K229"/>
  <c r="L221"/>
  <c r="J213"/>
  <c r="K213" s="1"/>
  <c r="C211"/>
  <c r="J205"/>
  <c r="K205" s="1"/>
  <c r="C203"/>
  <c r="J197"/>
  <c r="J181"/>
  <c r="L181" s="1"/>
  <c r="C179"/>
  <c r="J173"/>
  <c r="K173" s="1"/>
  <c r="C171"/>
  <c r="C163"/>
  <c r="L316" i="18" l="1"/>
  <c r="K181" i="16"/>
  <c r="L213"/>
  <c r="L287" i="18"/>
  <c r="L205" i="16"/>
  <c r="L292" i="18"/>
  <c r="K197" i="16"/>
  <c r="L197"/>
  <c r="C195"/>
  <c r="L295" i="18"/>
  <c r="L294"/>
  <c r="L173" i="16"/>
  <c r="J165"/>
  <c r="L165" s="1"/>
  <c r="J149"/>
  <c r="J787" i="15"/>
  <c r="G141" i="16"/>
  <c r="G133"/>
  <c r="H125"/>
  <c r="F141"/>
  <c r="F133"/>
  <c r="E141"/>
  <c r="E133"/>
  <c r="G125"/>
  <c r="F125"/>
  <c r="E125"/>
  <c r="L95" i="42"/>
  <c r="P95"/>
  <c r="Q95"/>
  <c r="L309" i="18" l="1"/>
  <c r="L270"/>
  <c r="L272"/>
  <c r="L291"/>
  <c r="L290"/>
  <c r="L289"/>
  <c r="K165" i="16"/>
  <c r="K149"/>
  <c r="L149"/>
  <c r="C147"/>
  <c r="C139"/>
  <c r="J141"/>
  <c r="L141" s="1"/>
  <c r="J133"/>
  <c r="K133" s="1"/>
  <c r="C131"/>
  <c r="C123"/>
  <c r="J125"/>
  <c r="L221" i="18"/>
  <c r="Q97" i="42"/>
  <c r="P97"/>
  <c r="L130" i="51" l="1"/>
  <c r="L234" i="18"/>
  <c r="K141" i="16"/>
  <c r="L133"/>
  <c r="L125"/>
  <c r="K125"/>
  <c r="L266" i="18" l="1"/>
  <c r="J109" i="16" l="1"/>
  <c r="K109" s="1"/>
  <c r="C107"/>
  <c r="P190" i="42"/>
  <c r="L191"/>
  <c r="P191" s="1"/>
  <c r="L189"/>
  <c r="Q189" s="1"/>
  <c r="P189"/>
  <c r="P188"/>
  <c r="L188"/>
  <c r="Q188" s="1"/>
  <c r="P186"/>
  <c r="L186"/>
  <c r="Q186" s="1"/>
  <c r="Q185"/>
  <c r="P185"/>
  <c r="Q184"/>
  <c r="P184"/>
  <c r="J605" i="15"/>
  <c r="J606"/>
  <c r="L179" i="42"/>
  <c r="P179" s="1"/>
  <c r="K178"/>
  <c r="P178" s="1"/>
  <c r="K177"/>
  <c r="P177" s="1"/>
  <c r="Q173"/>
  <c r="P173"/>
  <c r="P174"/>
  <c r="L174"/>
  <c r="Q174" s="1"/>
  <c r="L177"/>
  <c r="P176"/>
  <c r="L176"/>
  <c r="Q176" s="1"/>
  <c r="Q172"/>
  <c r="P172"/>
  <c r="E85" i="16"/>
  <c r="C83" s="1"/>
  <c r="L159" i="42"/>
  <c r="Q159" s="1"/>
  <c r="P159"/>
  <c r="L160"/>
  <c r="Q160" s="1"/>
  <c r="P160"/>
  <c r="Q161"/>
  <c r="L162"/>
  <c r="L156"/>
  <c r="Q156" s="1"/>
  <c r="P156"/>
  <c r="Q155"/>
  <c r="P155"/>
  <c r="P26"/>
  <c r="Q26"/>
  <c r="L27"/>
  <c r="L31"/>
  <c r="L29"/>
  <c r="P29"/>
  <c r="L28"/>
  <c r="K28"/>
  <c r="P28" s="1"/>
  <c r="J77" i="16"/>
  <c r="K77" s="1"/>
  <c r="C75"/>
  <c r="J69"/>
  <c r="L69" s="1"/>
  <c r="C67"/>
  <c r="J61"/>
  <c r="K61" s="1"/>
  <c r="C59"/>
  <c r="J53"/>
  <c r="K53" s="1"/>
  <c r="C51"/>
  <c r="J45"/>
  <c r="K45" s="1"/>
  <c r="C43"/>
  <c r="L126" i="42"/>
  <c r="L127"/>
  <c r="K127"/>
  <c r="L210" i="18" l="1"/>
  <c r="L211"/>
  <c r="L160"/>
  <c r="L161"/>
  <c r="L162"/>
  <c r="L163"/>
  <c r="K69" i="16"/>
  <c r="P162" i="42"/>
  <c r="L109" i="16"/>
  <c r="Q190" i="42"/>
  <c r="P192"/>
  <c r="Q191"/>
  <c r="M606" i="15"/>
  <c r="L61" i="16"/>
  <c r="L77"/>
  <c r="Q177" i="42"/>
  <c r="P180"/>
  <c r="Q178"/>
  <c r="Q179"/>
  <c r="Q162"/>
  <c r="Q163" s="1"/>
  <c r="J85" i="16"/>
  <c r="K85" s="1"/>
  <c r="P161" i="42"/>
  <c r="P163" s="1"/>
  <c r="Q27"/>
  <c r="Q29"/>
  <c r="Q28"/>
  <c r="P27"/>
  <c r="P30"/>
  <c r="P31"/>
  <c r="Q31"/>
  <c r="Q30"/>
  <c r="L53" i="16"/>
  <c r="L45"/>
  <c r="L593" i="18"/>
  <c r="L150" i="44" l="1"/>
  <c r="Q192" i="42"/>
  <c r="Q180"/>
  <c r="L85" i="16"/>
  <c r="Q32" i="42"/>
  <c r="P32"/>
  <c r="M150" i="44" l="1"/>
  <c r="L167" l="1"/>
  <c r="L166" l="1"/>
  <c r="M167"/>
  <c r="M166" l="1"/>
  <c r="L140" l="1"/>
  <c r="L256" i="18"/>
  <c r="L152" i="44"/>
  <c r="L261" i="18"/>
  <c r="M140" i="44" l="1"/>
  <c r="M152"/>
  <c r="L88" l="1"/>
  <c r="L22" l="1"/>
  <c r="M22" l="1"/>
  <c r="L23"/>
  <c r="L20"/>
  <c r="L18"/>
  <c r="M23" l="1"/>
  <c r="M20"/>
  <c r="M18"/>
  <c r="L251" l="1"/>
  <c r="M251" l="1"/>
  <c r="J357" i="16" l="1"/>
  <c r="L357" s="1"/>
  <c r="J349"/>
  <c r="K349" s="1"/>
  <c r="J341"/>
  <c r="K341" s="1"/>
  <c r="J333"/>
  <c r="K333" s="1"/>
  <c r="J325"/>
  <c r="K325" s="1"/>
  <c r="J317"/>
  <c r="K317" s="1"/>
  <c r="K357" l="1"/>
  <c r="L534" i="18"/>
  <c r="L533"/>
  <c r="L517"/>
  <c r="L516"/>
  <c r="L349" i="16"/>
  <c r="L341"/>
  <c r="L333"/>
  <c r="L325"/>
  <c r="L412" i="18"/>
  <c r="L513"/>
  <c r="L512"/>
  <c r="L317" i="16"/>
  <c r="L241" i="44" l="1"/>
  <c r="L520" i="18"/>
  <c r="L144" i="51"/>
  <c r="L500" i="18"/>
  <c r="L535"/>
  <c r="L518"/>
  <c r="L536"/>
  <c r="L519"/>
  <c r="L371"/>
  <c r="L372"/>
  <c r="L373"/>
  <c r="L374"/>
  <c r="L375"/>
  <c r="L376"/>
  <c r="M241" i="44" l="1"/>
  <c r="L368" i="18"/>
  <c r="L367"/>
  <c r="L370"/>
  <c r="L369"/>
  <c r="L366"/>
  <c r="L365"/>
  <c r="L364"/>
  <c r="L377"/>
  <c r="L359" l="1"/>
  <c r="L224" i="44" l="1"/>
  <c r="L199" l="1"/>
  <c r="M224"/>
  <c r="M199" l="1"/>
  <c r="L209" i="48" l="1"/>
  <c r="L223"/>
  <c r="L224"/>
  <c r="L213" l="1"/>
  <c r="L212"/>
  <c r="L214"/>
  <c r="L210"/>
  <c r="L211"/>
  <c r="J1061" i="16" l="1"/>
  <c r="K1061" s="1"/>
  <c r="J1053"/>
  <c r="K1053" s="1"/>
  <c r="J1045"/>
  <c r="K1045" s="1"/>
  <c r="L1061" l="1"/>
  <c r="L1053"/>
  <c r="L1045"/>
  <c r="L306" i="44" l="1"/>
  <c r="M306" l="1"/>
  <c r="J1013" i="16" l="1"/>
  <c r="K1013" s="1"/>
  <c r="L378" i="44" l="1"/>
  <c r="L705" i="18"/>
  <c r="L704"/>
  <c r="L703"/>
  <c r="L1013" i="16"/>
  <c r="L174" i="51" l="1"/>
  <c r="L656" i="18"/>
  <c r="M378" i="44"/>
  <c r="J989" i="16" l="1"/>
  <c r="K989" s="1"/>
  <c r="L989" l="1"/>
  <c r="J981"/>
  <c r="K981" s="1"/>
  <c r="L326" i="44" l="1"/>
  <c r="L981" i="16"/>
  <c r="L352" i="44" l="1"/>
  <c r="M326"/>
  <c r="J973" i="16" l="1"/>
  <c r="K973" s="1"/>
  <c r="J965"/>
  <c r="K965" s="1"/>
  <c r="J957"/>
  <c r="K957" s="1"/>
  <c r="J949"/>
  <c r="K949" s="1"/>
  <c r="L622" i="18" l="1"/>
  <c r="L623"/>
  <c r="L624"/>
  <c r="L578"/>
  <c r="L577"/>
  <c r="L625"/>
  <c r="L612"/>
  <c r="L618"/>
  <c r="L619"/>
  <c r="L613"/>
  <c r="L614"/>
  <c r="L973" i="16"/>
  <c r="L965"/>
  <c r="L957"/>
  <c r="L594" i="18"/>
  <c r="L949" i="16"/>
  <c r="L615" i="18" l="1"/>
  <c r="L606"/>
  <c r="J941" i="16"/>
  <c r="K941" s="1"/>
  <c r="J933"/>
  <c r="K933" s="1"/>
  <c r="N1593" i="15"/>
  <c r="L171" i="51" l="1"/>
  <c r="L194" i="48"/>
  <c r="L616" i="18"/>
  <c r="M1600" i="15"/>
  <c r="O1593"/>
  <c r="M1615"/>
  <c r="M1593"/>
  <c r="L941" i="16"/>
  <c r="L933"/>
  <c r="L148" i="46" l="1"/>
  <c r="L153"/>
  <c r="L154"/>
  <c r="L158"/>
  <c r="L171"/>
  <c r="L150" l="1"/>
  <c r="L151"/>
  <c r="L152"/>
  <c r="L145"/>
  <c r="L155"/>
  <c r="L149"/>
  <c r="L147"/>
  <c r="L159"/>
  <c r="L146"/>
  <c r="L823" i="18"/>
  <c r="L824"/>
  <c r="J1518" i="16" l="1"/>
  <c r="L1518" s="1"/>
  <c r="L220" i="48" l="1"/>
  <c r="K1518" i="16"/>
  <c r="L794" i="18" l="1"/>
  <c r="L793"/>
  <c r="L792"/>
  <c r="L791"/>
  <c r="L338" l="1"/>
  <c r="J1510" i="16"/>
  <c r="L1510" s="1"/>
  <c r="J1502"/>
  <c r="K1502" s="1"/>
  <c r="J1494"/>
  <c r="K1494" s="1"/>
  <c r="K2361" i="15"/>
  <c r="J1486" i="16"/>
  <c r="L337" i="18" l="1"/>
  <c r="K1510" i="16"/>
  <c r="L739" i="18"/>
  <c r="L1502" i="16"/>
  <c r="L1494"/>
  <c r="K1486"/>
  <c r="L1486"/>
  <c r="J1461"/>
  <c r="K1461" s="1"/>
  <c r="J1453"/>
  <c r="K1453" s="1"/>
  <c r="J1478" l="1"/>
  <c r="L1478" s="1"/>
  <c r="L740" i="18"/>
  <c r="L724"/>
  <c r="J1469" i="16"/>
  <c r="K1469" s="1"/>
  <c r="L1453"/>
  <c r="L1461"/>
  <c r="L728" i="18" l="1"/>
  <c r="K1478" i="16"/>
  <c r="L735" i="18"/>
  <c r="L723"/>
  <c r="L1469" i="16"/>
  <c r="L734" i="18" l="1"/>
  <c r="L722" l="1"/>
  <c r="L733"/>
  <c r="L738"/>
  <c r="J925" i="16" l="1"/>
  <c r="L925" s="1"/>
  <c r="L360" i="44"/>
  <c r="M360" l="1"/>
  <c r="K925" i="16"/>
  <c r="C6" i="42" l="1"/>
  <c r="B6" i="21" s="1"/>
  <c r="M121" i="48"/>
  <c r="M115"/>
  <c r="M114"/>
  <c r="L13"/>
  <c r="L12"/>
  <c r="J6"/>
  <c r="L184" i="46"/>
  <c r="M120"/>
  <c r="M114"/>
  <c r="M113"/>
  <c r="L14"/>
  <c r="L13"/>
  <c r="L12"/>
  <c r="J6"/>
  <c r="M117" i="45"/>
  <c r="M111"/>
  <c r="M110"/>
  <c r="L14"/>
  <c r="L13"/>
  <c r="L12"/>
  <c r="J6"/>
  <c r="J6" i="44"/>
  <c r="L99" i="46" l="1"/>
  <c r="L201" i="48"/>
  <c r="L122"/>
  <c r="L15"/>
  <c r="L149" i="44"/>
  <c r="L179" i="48"/>
  <c r="L100"/>
  <c r="L101"/>
  <c r="L116"/>
  <c r="L129"/>
  <c r="L197"/>
  <c r="L199"/>
  <c r="L180" i="44"/>
  <c r="L221"/>
  <c r="L222"/>
  <c r="L184"/>
  <c r="L397"/>
  <c r="L226"/>
  <c r="L227"/>
  <c r="L86"/>
  <c r="L87"/>
  <c r="L310"/>
  <c r="L315"/>
  <c r="L323"/>
  <c r="L355"/>
  <c r="L375"/>
  <c r="L400"/>
  <c r="L305"/>
  <c r="L193"/>
  <c r="L194"/>
  <c r="L118" i="46"/>
  <c r="L124"/>
  <c r="L109"/>
  <c r="L110"/>
  <c r="L127"/>
  <c r="L133"/>
  <c r="L205" i="44"/>
  <c r="L343"/>
  <c r="L394"/>
  <c r="L399"/>
  <c r="L15"/>
  <c r="L138"/>
  <c r="L282"/>
  <c r="L337"/>
  <c r="L348"/>
  <c r="L17"/>
  <c r="L112" i="48"/>
  <c r="L98"/>
  <c r="L122" i="46"/>
  <c r="L101"/>
  <c r="L312" i="44"/>
  <c r="L219"/>
  <c r="L387"/>
  <c r="L338" l="1"/>
  <c r="L329"/>
  <c r="L277"/>
  <c r="L207"/>
  <c r="L376"/>
  <c r="L357"/>
  <c r="L333"/>
  <c r="L313"/>
  <c r="L162"/>
  <c r="L230"/>
  <c r="L186"/>
  <c r="L264"/>
  <c r="L220"/>
  <c r="L330"/>
  <c r="L280"/>
  <c r="L393"/>
  <c r="L208"/>
  <c r="L33"/>
  <c r="L377"/>
  <c r="L364"/>
  <c r="L187"/>
  <c r="L265"/>
  <c r="L178"/>
  <c r="L82"/>
  <c r="L388"/>
  <c r="L331"/>
  <c r="L281"/>
  <c r="L139"/>
  <c r="L271"/>
  <c r="L177"/>
  <c r="L195"/>
  <c r="L365"/>
  <c r="L346"/>
  <c r="L225"/>
  <c r="L392"/>
  <c r="L147"/>
  <c r="L223"/>
  <c r="L276"/>
  <c r="L398"/>
  <c r="L342"/>
  <c r="L197"/>
  <c r="L356"/>
  <c r="L325"/>
  <c r="L311"/>
  <c r="L229"/>
  <c r="L185"/>
  <c r="L263"/>
  <c r="L183"/>
  <c r="L132" i="46"/>
  <c r="L123" i="48"/>
  <c r="L135" i="46"/>
  <c r="L128"/>
  <c r="L115"/>
  <c r="L111"/>
  <c r="L123"/>
  <c r="L121"/>
  <c r="L117"/>
  <c r="L198" i="48"/>
  <c r="L136"/>
  <c r="L134"/>
  <c r="L133"/>
  <c r="L128"/>
  <c r="L99"/>
  <c r="L119"/>
  <c r="L118"/>
  <c r="L111"/>
  <c r="L110"/>
  <c r="L125"/>
  <c r="L124"/>
  <c r="L188"/>
  <c r="L187"/>
  <c r="L191"/>
  <c r="L100" i="46"/>
  <c r="L98"/>
  <c r="M149" i="44"/>
  <c r="M375"/>
  <c r="M180"/>
  <c r="M227"/>
  <c r="M221"/>
  <c r="M222"/>
  <c r="M184"/>
  <c r="M310"/>
  <c r="M355"/>
  <c r="M194"/>
  <c r="M305"/>
  <c r="M397"/>
  <c r="M193"/>
  <c r="M323"/>
  <c r="M400"/>
  <c r="M315"/>
  <c r="M226"/>
  <c r="M282"/>
  <c r="M343"/>
  <c r="M394"/>
  <c r="M337"/>
  <c r="M399"/>
  <c r="M138"/>
  <c r="M15"/>
  <c r="M205"/>
  <c r="M348"/>
  <c r="M17"/>
  <c r="L15" i="46"/>
  <c r="M312" i="44"/>
  <c r="M219"/>
  <c r="L15" i="45"/>
  <c r="M86" i="44"/>
  <c r="M183" l="1"/>
  <c r="M185"/>
  <c r="M311"/>
  <c r="M356"/>
  <c r="M342"/>
  <c r="M276"/>
  <c r="M147"/>
  <c r="M225"/>
  <c r="M365"/>
  <c r="M177"/>
  <c r="M281"/>
  <c r="M388"/>
  <c r="M178"/>
  <c r="M187"/>
  <c r="M377"/>
  <c r="M208"/>
  <c r="M280"/>
  <c r="M263"/>
  <c r="M229"/>
  <c r="M325"/>
  <c r="M197"/>
  <c r="M398"/>
  <c r="M223"/>
  <c r="M392"/>
  <c r="M346"/>
  <c r="M195"/>
  <c r="M271"/>
  <c r="M139"/>
  <c r="M331"/>
  <c r="M82"/>
  <c r="M265"/>
  <c r="M364"/>
  <c r="M33"/>
  <c r="M393"/>
  <c r="M387"/>
  <c r="M330"/>
  <c r="M220"/>
  <c r="M186"/>
  <c r="M230"/>
  <c r="M313"/>
  <c r="M357"/>
  <c r="M207"/>
  <c r="M277"/>
  <c r="M338"/>
  <c r="M264"/>
  <c r="M162"/>
  <c r="M333"/>
  <c r="M376"/>
  <c r="M329"/>
  <c r="J885" i="16"/>
  <c r="L885" s="1"/>
  <c r="J893"/>
  <c r="K893" s="1"/>
  <c r="J901"/>
  <c r="L901" s="1"/>
  <c r="J909"/>
  <c r="L909" s="1"/>
  <c r="J917"/>
  <c r="K917" s="1"/>
  <c r="J877"/>
  <c r="K877" s="1"/>
  <c r="J853"/>
  <c r="L853" s="1"/>
  <c r="J861"/>
  <c r="L861" s="1"/>
  <c r="J837"/>
  <c r="L837" s="1"/>
  <c r="J845"/>
  <c r="L845" s="1"/>
  <c r="J821"/>
  <c r="L821" s="1"/>
  <c r="J829"/>
  <c r="L829" s="1"/>
  <c r="J813"/>
  <c r="L813" s="1"/>
  <c r="J805"/>
  <c r="L805" s="1"/>
  <c r="J797"/>
  <c r="L797" s="1"/>
  <c r="L917" l="1"/>
  <c r="K909"/>
  <c r="K901"/>
  <c r="L893"/>
  <c r="L877"/>
  <c r="K885"/>
  <c r="K797"/>
  <c r="K845"/>
  <c r="K861"/>
  <c r="K853"/>
  <c r="K837"/>
  <c r="K829"/>
  <c r="K821"/>
  <c r="K813"/>
  <c r="K805"/>
  <c r="J757"/>
  <c r="L757" s="1"/>
  <c r="J765"/>
  <c r="L765" s="1"/>
  <c r="J773"/>
  <c r="L773" s="1"/>
  <c r="J781"/>
  <c r="L781" s="1"/>
  <c r="J749"/>
  <c r="L749" s="1"/>
  <c r="L698" i="18" l="1"/>
  <c r="L696"/>
  <c r="L691"/>
  <c r="L694"/>
  <c r="L697"/>
  <c r="L695"/>
  <c r="L692"/>
  <c r="L693"/>
  <c r="K757" i="16"/>
  <c r="K781"/>
  <c r="K773"/>
  <c r="K765"/>
  <c r="K749"/>
  <c r="L573" i="18" l="1"/>
  <c r="L572"/>
  <c r="J1437" i="16"/>
  <c r="L1437" s="1"/>
  <c r="J1445"/>
  <c r="L1445" s="1"/>
  <c r="J1413"/>
  <c r="L1413" s="1"/>
  <c r="J1421"/>
  <c r="L1421" s="1"/>
  <c r="J1429"/>
  <c r="L1429" s="1"/>
  <c r="J1357"/>
  <c r="L1357" s="1"/>
  <c r="J1365"/>
  <c r="L1365" s="1"/>
  <c r="J1373"/>
  <c r="L1373" s="1"/>
  <c r="J1381"/>
  <c r="L1381" s="1"/>
  <c r="J1389"/>
  <c r="L1389" s="1"/>
  <c r="J1397"/>
  <c r="L1397" s="1"/>
  <c r="J1405"/>
  <c r="L1405" s="1"/>
  <c r="J1349"/>
  <c r="K1349" s="1"/>
  <c r="J1253"/>
  <c r="L1253" s="1"/>
  <c r="K1253" l="1"/>
  <c r="K1445"/>
  <c r="K1437"/>
  <c r="K1429"/>
  <c r="K1421"/>
  <c r="K1413"/>
  <c r="K1357"/>
  <c r="K1405"/>
  <c r="K1397"/>
  <c r="K1389"/>
  <c r="K1381"/>
  <c r="K1373"/>
  <c r="K1365"/>
  <c r="L1349"/>
  <c r="J1205"/>
  <c r="K1205" s="1"/>
  <c r="L754" i="18" l="1"/>
  <c r="L750"/>
  <c r="L785"/>
  <c r="L774"/>
  <c r="L780"/>
  <c r="L752"/>
  <c r="L787"/>
  <c r="L744"/>
  <c r="L784"/>
  <c r="L773"/>
  <c r="L753"/>
  <c r="L751"/>
  <c r="L786"/>
  <c r="L775"/>
  <c r="L1205" i="16"/>
  <c r="J93"/>
  <c r="K93" s="1"/>
  <c r="C91"/>
  <c r="L93" l="1"/>
  <c r="H404" i="26" l="1"/>
  <c r="H288" l="1"/>
  <c r="H135"/>
  <c r="L209" i="18" l="1"/>
  <c r="M224" l="1"/>
  <c r="M225"/>
  <c r="M232"/>
  <c r="M241"/>
  <c r="P127" i="42"/>
  <c r="P126"/>
  <c r="K88"/>
  <c r="K87"/>
  <c r="E285" i="16"/>
  <c r="J285" s="1"/>
  <c r="J253"/>
  <c r="L253" s="1"/>
  <c r="C251"/>
  <c r="J157"/>
  <c r="L157" s="1"/>
  <c r="C155"/>
  <c r="G189"/>
  <c r="F189"/>
  <c r="E189"/>
  <c r="J117"/>
  <c r="L117" s="1"/>
  <c r="C115"/>
  <c r="J101"/>
  <c r="L101" s="1"/>
  <c r="C99"/>
  <c r="J21"/>
  <c r="L21" s="1"/>
  <c r="C19"/>
  <c r="L28" i="44" l="1"/>
  <c r="L169"/>
  <c r="Q126" i="42"/>
  <c r="L242" i="18"/>
  <c r="L298"/>
  <c r="L301"/>
  <c r="L311"/>
  <c r="L243"/>
  <c r="L306"/>
  <c r="L310"/>
  <c r="L245"/>
  <c r="K89" i="42"/>
  <c r="Q127"/>
  <c r="J37" i="16"/>
  <c r="K37" s="1"/>
  <c r="J189"/>
  <c r="L189" s="1"/>
  <c r="J301"/>
  <c r="K301" s="1"/>
  <c r="L157" i="18"/>
  <c r="L236"/>
  <c r="L305"/>
  <c r="L159"/>
  <c r="L220"/>
  <c r="L222"/>
  <c r="L158"/>
  <c r="L239"/>
  <c r="L156"/>
  <c r="L248"/>
  <c r="L265"/>
  <c r="L299"/>
  <c r="L233"/>
  <c r="L296"/>
  <c r="L227"/>
  <c r="L155"/>
  <c r="L226"/>
  <c r="L235"/>
  <c r="L237"/>
  <c r="L244"/>
  <c r="L247"/>
  <c r="L252"/>
  <c r="L260"/>
  <c r="L264"/>
  <c r="L300"/>
  <c r="P128" i="42"/>
  <c r="L285" i="16"/>
  <c r="K285"/>
  <c r="K157"/>
  <c r="K253"/>
  <c r="C283"/>
  <c r="C35"/>
  <c r="K21"/>
  <c r="K101"/>
  <c r="K117"/>
  <c r="C299"/>
  <c r="C187"/>
  <c r="L333" i="18" l="1"/>
  <c r="L230"/>
  <c r="L142" i="44"/>
  <c r="M28"/>
  <c r="M169"/>
  <c r="L168"/>
  <c r="L205" i="18"/>
  <c r="L308"/>
  <c r="L303"/>
  <c r="L288"/>
  <c r="L286"/>
  <c r="L317"/>
  <c r="L312"/>
  <c r="K189" i="16"/>
  <c r="L285" i="18"/>
  <c r="L37" i="16"/>
  <c r="Q128" i="42"/>
  <c r="L21" i="44"/>
  <c r="L16"/>
  <c r="L301" i="16"/>
  <c r="L29" i="44"/>
  <c r="L32"/>
  <c r="L26"/>
  <c r="L117" i="48"/>
  <c r="L116" i="46"/>
  <c r="L158" i="44"/>
  <c r="L219" i="18"/>
  <c r="L283"/>
  <c r="L161" i="44"/>
  <c r="L141"/>
  <c r="L246" i="18"/>
  <c r="L307"/>
  <c r="L214"/>
  <c r="L229"/>
  <c r="L315"/>
  <c r="L238"/>
  <c r="L314"/>
  <c r="L284"/>
  <c r="L304"/>
  <c r="L347"/>
  <c r="L313"/>
  <c r="L217"/>
  <c r="L218"/>
  <c r="L228"/>
  <c r="L330" l="1"/>
  <c r="L342"/>
  <c r="L334"/>
  <c r="L172"/>
  <c r="L179"/>
  <c r="L83" i="44"/>
  <c r="L136" i="51"/>
  <c r="L346" i="18"/>
  <c r="L140" i="48"/>
  <c r="L325" i="18"/>
  <c r="L319"/>
  <c r="L318"/>
  <c r="L19" i="44"/>
  <c r="M168"/>
  <c r="L143"/>
  <c r="L208" i="18"/>
  <c r="L350"/>
  <c r="L348"/>
  <c r="L293"/>
  <c r="L297"/>
  <c r="M21" i="44"/>
  <c r="L302" i="18"/>
  <c r="L345"/>
  <c r="L282"/>
  <c r="L344"/>
  <c r="L27" i="44"/>
  <c r="M26"/>
  <c r="M29"/>
  <c r="M32"/>
  <c r="L278" i="18"/>
  <c r="L279"/>
  <c r="M142" i="44"/>
  <c r="M141"/>
  <c r="M161"/>
  <c r="M158"/>
  <c r="L155" l="1"/>
  <c r="L331" i="18"/>
  <c r="L332"/>
  <c r="L343"/>
  <c r="L328"/>
  <c r="L203"/>
  <c r="L194"/>
  <c r="L177"/>
  <c r="L169"/>
  <c r="L52" i="44"/>
  <c r="L103" i="51"/>
  <c r="L323" i="18"/>
  <c r="L183"/>
  <c r="L175"/>
  <c r="M16" i="44"/>
  <c r="M19"/>
  <c r="M143"/>
  <c r="L139" i="46"/>
  <c r="L102"/>
  <c r="L251" i="18"/>
  <c r="L102" i="48"/>
  <c r="L167" i="18"/>
  <c r="L107" i="48"/>
  <c r="L181" i="18"/>
  <c r="M83" i="44"/>
  <c r="M27"/>
  <c r="L202" i="18"/>
  <c r="L204"/>
  <c r="L182"/>
  <c r="L180"/>
  <c r="L189"/>
  <c r="L186"/>
  <c r="L187"/>
  <c r="L190"/>
  <c r="L191"/>
  <c r="L174"/>
  <c r="L134" i="44"/>
  <c r="L188" i="18"/>
  <c r="L185"/>
  <c r="M155" i="44" l="1"/>
  <c r="L329" i="18"/>
  <c r="L168"/>
  <c r="L198"/>
  <c r="L178"/>
  <c r="L170"/>
  <c r="L173"/>
  <c r="M52" i="44"/>
  <c r="L326" i="18"/>
  <c r="L320"/>
  <c r="L327"/>
  <c r="L324"/>
  <c r="L133" i="44"/>
  <c r="L105" i="46"/>
  <c r="L105" i="48"/>
  <c r="L166" i="18"/>
  <c r="L171"/>
  <c r="M134" i="44"/>
  <c r="L273" i="18" l="1"/>
  <c r="L176"/>
  <c r="M133" i="44"/>
  <c r="L106" i="48"/>
  <c r="L106" i="46"/>
  <c r="G1670" i="16"/>
  <c r="C1668" s="1"/>
  <c r="J1670" l="1"/>
  <c r="K1670" s="1"/>
  <c r="H66" i="26"/>
  <c r="L1670" i="16" l="1"/>
  <c r="A775" i="26" l="1"/>
  <c r="A776"/>
  <c r="A774"/>
  <c r="A51" i="21"/>
  <c r="A50"/>
  <c r="B50" i="43"/>
  <c r="B49"/>
  <c r="B48"/>
  <c r="B47"/>
  <c r="B46"/>
  <c r="H21"/>
  <c r="H22" s="1"/>
  <c r="H18"/>
  <c r="H17"/>
  <c r="H19" s="1"/>
  <c r="H12"/>
  <c r="H11"/>
  <c r="H10"/>
  <c r="H9"/>
  <c r="H13" l="1"/>
  <c r="H23"/>
  <c r="L192" i="18" l="1"/>
  <c r="L184"/>
  <c r="L275"/>
  <c r="L322" l="1"/>
  <c r="L321"/>
  <c r="C20" i="21" l="1"/>
  <c r="H22" l="1"/>
  <c r="I22"/>
  <c r="G22"/>
  <c r="J22"/>
  <c r="K22"/>
  <c r="F22"/>
  <c r="J1341" i="16"/>
  <c r="K1341" s="1"/>
  <c r="J1333"/>
  <c r="K1333" s="1"/>
  <c r="J1325"/>
  <c r="K1325" s="1"/>
  <c r="J1317"/>
  <c r="K1317" s="1"/>
  <c r="J1309"/>
  <c r="K1309" s="1"/>
  <c r="J1301"/>
  <c r="K1301" s="1"/>
  <c r="J1293"/>
  <c r="K1293" s="1"/>
  <c r="J1285"/>
  <c r="K1285" s="1"/>
  <c r="J1277"/>
  <c r="K1277" s="1"/>
  <c r="J1269"/>
  <c r="K1269" s="1"/>
  <c r="L808" i="18" l="1"/>
  <c r="L804"/>
  <c r="L1341" i="16"/>
  <c r="L1333"/>
  <c r="L1325"/>
  <c r="L1317"/>
  <c r="L1309"/>
  <c r="L727" i="18"/>
  <c r="L803"/>
  <c r="L1301" i="16"/>
  <c r="L1293"/>
  <c r="L1277"/>
  <c r="L1285"/>
  <c r="L1269"/>
  <c r="L809" i="18" l="1"/>
  <c r="L157" i="46"/>
  <c r="L164"/>
  <c r="L165"/>
  <c r="L545" i="18"/>
  <c r="L762"/>
  <c r="L544"/>
  <c r="L532"/>
  <c r="L531"/>
  <c r="L530"/>
  <c r="L541"/>
  <c r="L540"/>
  <c r="L523"/>
  <c r="L539"/>
  <c r="L504"/>
  <c r="L508"/>
  <c r="L507"/>
  <c r="L506"/>
  <c r="L505"/>
  <c r="L521"/>
  <c r="L511"/>
  <c r="L510"/>
  <c r="L509"/>
  <c r="L525"/>
  <c r="L543"/>
  <c r="L542"/>
  <c r="L160" i="46" l="1"/>
  <c r="L156"/>
  <c r="L215" i="48"/>
  <c r="L219"/>
  <c r="L216"/>
  <c r="L515" i="18"/>
  <c r="L781"/>
  <c r="L170" i="46"/>
  <c r="L401" i="44"/>
  <c r="L283"/>
  <c r="L546" i="18"/>
  <c r="L225" i="48"/>
  <c r="L402" i="44"/>
  <c r="L524" i="18"/>
  <c r="L822"/>
  <c r="L172" i="46" l="1"/>
  <c r="M283" i="44"/>
  <c r="M401"/>
  <c r="L270"/>
  <c r="M402"/>
  <c r="M270" l="1"/>
  <c r="L410" i="18" l="1"/>
  <c r="L409"/>
  <c r="L414"/>
  <c r="L413"/>
  <c r="L411"/>
  <c r="L213" i="44" l="1"/>
  <c r="L404" i="18"/>
  <c r="L406"/>
  <c r="L407"/>
  <c r="L408"/>
  <c r="L212" i="44" l="1"/>
  <c r="L395" i="18"/>
  <c r="M213" i="44"/>
  <c r="L211"/>
  <c r="L400" i="18"/>
  <c r="L398"/>
  <c r="L397"/>
  <c r="L403"/>
  <c r="L405"/>
  <c r="M212" i="44" l="1"/>
  <c r="M211"/>
  <c r="J1261" i="16" l="1"/>
  <c r="K1261" s="1"/>
  <c r="J1245"/>
  <c r="K1245" s="1"/>
  <c r="J1221"/>
  <c r="K1221" s="1"/>
  <c r="J1213"/>
  <c r="K1213" s="1"/>
  <c r="J1197"/>
  <c r="K1197" s="1"/>
  <c r="J1189"/>
  <c r="K1189" s="1"/>
  <c r="J1181"/>
  <c r="K1181" s="1"/>
  <c r="J1157"/>
  <c r="K1157" s="1"/>
  <c r="J1149"/>
  <c r="K1149" s="1"/>
  <c r="J1125"/>
  <c r="K1125" s="1"/>
  <c r="J1117"/>
  <c r="K1117" s="1"/>
  <c r="J1109"/>
  <c r="K1109" s="1"/>
  <c r="J1101"/>
  <c r="K1101" s="1"/>
  <c r="J1093"/>
  <c r="K1093" s="1"/>
  <c r="L161" i="46" l="1"/>
  <c r="L763" i="18"/>
  <c r="L764"/>
  <c r="L1093" i="16"/>
  <c r="L1101"/>
  <c r="L1109"/>
  <c r="L1117"/>
  <c r="L1125"/>
  <c r="L1149"/>
  <c r="L1157"/>
  <c r="L1181"/>
  <c r="L1189"/>
  <c r="L1197"/>
  <c r="L1213"/>
  <c r="L1221"/>
  <c r="L1245"/>
  <c r="L1261"/>
  <c r="L777" i="18" l="1"/>
  <c r="L765"/>
  <c r="L192" i="44"/>
  <c r="L802" i="18"/>
  <c r="L743"/>
  <c r="L742"/>
  <c r="L741"/>
  <c r="L749"/>
  <c r="L748"/>
  <c r="L190" i="44"/>
  <c r="L201"/>
  <c r="L200"/>
  <c r="J309" i="16"/>
  <c r="K309" s="1"/>
  <c r="L776" i="18" l="1"/>
  <c r="L766"/>
  <c r="L198" i="44"/>
  <c r="L191"/>
  <c r="L189"/>
  <c r="L167" i="46"/>
  <c r="L166"/>
  <c r="M192" i="44"/>
  <c r="L216"/>
  <c r="M190"/>
  <c r="M201"/>
  <c r="M200"/>
  <c r="L309" i="16"/>
  <c r="L363" i="18" l="1"/>
  <c r="M198" i="44"/>
  <c r="M189"/>
  <c r="M191"/>
  <c r="M216"/>
  <c r="L382" i="18"/>
  <c r="L383"/>
  <c r="L384"/>
  <c r="L385"/>
  <c r="L386"/>
  <c r="L387"/>
  <c r="L388"/>
  <c r="L389"/>
  <c r="L390"/>
  <c r="L361"/>
  <c r="L378"/>
  <c r="L379"/>
  <c r="L182" i="44" l="1"/>
  <c r="L188"/>
  <c r="L381" i="18"/>
  <c r="L380"/>
  <c r="L358"/>
  <c r="L362"/>
  <c r="L360"/>
  <c r="M182" i="44" l="1"/>
  <c r="M188"/>
  <c r="H7" i="42" l="1"/>
  <c r="C7"/>
  <c r="B7" i="21" s="1"/>
  <c r="L667" i="18" l="1"/>
  <c r="L702" l="1"/>
  <c r="L687"/>
  <c r="L686"/>
  <c r="L650"/>
  <c r="L647"/>
  <c r="L349" i="44"/>
  <c r="L690" i="18"/>
  <c r="L682"/>
  <c r="L688"/>
  <c r="L685"/>
  <c r="L649"/>
  <c r="L351" i="44"/>
  <c r="L689" i="18"/>
  <c r="M351" i="44" l="1"/>
  <c r="M349"/>
  <c r="J6" i="21"/>
  <c r="L681" i="18" l="1"/>
  <c r="L701"/>
  <c r="L662"/>
  <c r="L202" i="48" l="1"/>
  <c r="L334" i="44"/>
  <c r="L200" i="48"/>
  <c r="L332" i="44"/>
  <c r="L708" i="18"/>
  <c r="M334" i="44" l="1"/>
  <c r="M332"/>
  <c r="C14" i="21" l="1"/>
  <c r="L663" i="18" l="1"/>
  <c r="J34" i="21"/>
  <c r="K34"/>
  <c r="I34"/>
  <c r="F16" l="1"/>
  <c r="J16"/>
  <c r="K16"/>
  <c r="I16"/>
  <c r="G16"/>
  <c r="H16"/>
  <c r="E16"/>
  <c r="L602" i="18" l="1"/>
  <c r="L620"/>
  <c r="L601"/>
  <c r="L600"/>
  <c r="L605"/>
  <c r="L599" l="1"/>
  <c r="L598"/>
  <c r="L590"/>
  <c r="J869" i="16"/>
  <c r="L869" s="1"/>
  <c r="J693"/>
  <c r="L693" s="1"/>
  <c r="J701"/>
  <c r="L701" s="1"/>
  <c r="J709"/>
  <c r="L709" s="1"/>
  <c r="J717"/>
  <c r="L717" s="1"/>
  <c r="J725"/>
  <c r="L725" s="1"/>
  <c r="J733"/>
  <c r="L733" s="1"/>
  <c r="J741"/>
  <c r="L741" s="1"/>
  <c r="J645"/>
  <c r="L645" s="1"/>
  <c r="J653"/>
  <c r="K653" s="1"/>
  <c r="J661"/>
  <c r="K661" s="1"/>
  <c r="J669"/>
  <c r="K669" s="1"/>
  <c r="J677"/>
  <c r="K677" s="1"/>
  <c r="J685"/>
  <c r="K685" s="1"/>
  <c r="H7" i="15"/>
  <c r="H8"/>
  <c r="H8" i="42" s="1"/>
  <c r="C8" i="15"/>
  <c r="C8" i="42" s="1"/>
  <c r="J621" i="16"/>
  <c r="L621" s="1"/>
  <c r="J629"/>
  <c r="L629" s="1"/>
  <c r="J637"/>
  <c r="L637" s="1"/>
  <c r="J597"/>
  <c r="K597" s="1"/>
  <c r="J605"/>
  <c r="K605" s="1"/>
  <c r="J613"/>
  <c r="K613" s="1"/>
  <c r="J589"/>
  <c r="L589" s="1"/>
  <c r="H6" i="42"/>
  <c r="J573" i="16"/>
  <c r="L573" s="1"/>
  <c r="J581"/>
  <c r="L581" s="1"/>
  <c r="L347" i="44" l="1"/>
  <c r="L391"/>
  <c r="L677" i="16"/>
  <c r="L389" i="44"/>
  <c r="L801" i="18"/>
  <c r="L669" i="16"/>
  <c r="L661"/>
  <c r="L685"/>
  <c r="L653"/>
  <c r="L597"/>
  <c r="L605"/>
  <c r="K645"/>
  <c r="L613"/>
  <c r="B6"/>
  <c r="B6" i="26"/>
  <c r="B8" i="21"/>
  <c r="B8" i="26"/>
  <c r="J7"/>
  <c r="I7" i="16"/>
  <c r="D7" i="21"/>
  <c r="J8" i="26"/>
  <c r="J7" i="21"/>
  <c r="K869" i="16"/>
  <c r="K741"/>
  <c r="K733"/>
  <c r="K725"/>
  <c r="K717"/>
  <c r="K709"/>
  <c r="K701"/>
  <c r="K693"/>
  <c r="K637"/>
  <c r="K629"/>
  <c r="K621"/>
  <c r="K589"/>
  <c r="K581"/>
  <c r="K573"/>
  <c r="L609" i="18" l="1"/>
  <c r="L677"/>
  <c r="L607"/>
  <c r="L608"/>
  <c r="L350" i="44"/>
  <c r="M347"/>
  <c r="L800" i="18"/>
  <c r="L390" i="44"/>
  <c r="M391"/>
  <c r="M389"/>
  <c r="L676" i="18"/>
  <c r="L166" i="51" l="1"/>
  <c r="L213" s="1"/>
  <c r="L672" i="18"/>
  <c r="L671"/>
  <c r="L674"/>
  <c r="L563"/>
  <c r="L303" i="44"/>
  <c r="L566" i="18"/>
  <c r="L675"/>
  <c r="L304" i="44"/>
  <c r="L560" i="18"/>
  <c r="M350" i="44"/>
  <c r="L366"/>
  <c r="L561" i="18"/>
  <c r="L562"/>
  <c r="L567"/>
  <c r="L673"/>
  <c r="M390" i="44"/>
  <c r="L564" i="18" l="1"/>
  <c r="L565"/>
  <c r="M304" i="44"/>
  <c r="M366"/>
  <c r="M303"/>
  <c r="L568" i="18"/>
  <c r="L669" l="1"/>
  <c r="L670"/>
  <c r="L668" l="1"/>
  <c r="L302" i="44"/>
  <c r="L175" i="48"/>
  <c r="L176"/>
  <c r="J549" i="16"/>
  <c r="K549" s="1"/>
  <c r="J541"/>
  <c r="K541" s="1"/>
  <c r="J533"/>
  <c r="K533" s="1"/>
  <c r="J525"/>
  <c r="K525" s="1"/>
  <c r="J517"/>
  <c r="K517" s="1"/>
  <c r="J509"/>
  <c r="K509" s="1"/>
  <c r="J501"/>
  <c r="K501" s="1"/>
  <c r="N1608" i="15"/>
  <c r="M1608"/>
  <c r="L1593"/>
  <c r="L666" i="18" l="1"/>
  <c r="L369" i="44"/>
  <c r="M302"/>
  <c r="L549" i="16"/>
  <c r="L541"/>
  <c r="L533"/>
  <c r="L525"/>
  <c r="L517"/>
  <c r="L509"/>
  <c r="L501"/>
  <c r="L587" i="18" l="1"/>
  <c r="L586"/>
  <c r="L584"/>
  <c r="L583"/>
  <c r="M369" i="44"/>
  <c r="L190" i="45" l="1"/>
  <c r="L299" i="44"/>
  <c r="L174" i="48"/>
  <c r="L183"/>
  <c r="L585" i="18"/>
  <c r="A50" i="41"/>
  <c r="L242" i="48" l="1"/>
  <c r="M299" i="44"/>
  <c r="L807" i="18"/>
  <c r="L806"/>
  <c r="L805"/>
  <c r="L819"/>
  <c r="L813"/>
  <c r="L799"/>
  <c r="L818"/>
  <c r="L817"/>
  <c r="L821"/>
  <c r="L816"/>
  <c r="L820"/>
  <c r="L812"/>
  <c r="L771"/>
  <c r="L759"/>
  <c r="L769"/>
  <c r="L760"/>
  <c r="L790"/>
  <c r="L631"/>
  <c r="L630"/>
  <c r="L629"/>
  <c r="L570"/>
  <c r="L571"/>
  <c r="L569"/>
  <c r="G21" i="41" l="1"/>
  <c r="E21"/>
  <c r="C21"/>
  <c r="A21"/>
  <c r="G29"/>
  <c r="E29"/>
  <c r="C29"/>
  <c r="A29"/>
  <c r="G37"/>
  <c r="E37"/>
  <c r="C37"/>
  <c r="A37"/>
  <c r="G45"/>
  <c r="E45"/>
  <c r="C45"/>
  <c r="A45"/>
  <c r="G14"/>
  <c r="E14"/>
  <c r="D14"/>
  <c r="H31" i="21" l="1"/>
  <c r="G31"/>
  <c r="K31"/>
  <c r="I31"/>
  <c r="J31"/>
  <c r="G13" i="41"/>
  <c r="E13"/>
  <c r="D13"/>
  <c r="G12"/>
  <c r="E12"/>
  <c r="D12"/>
  <c r="G11"/>
  <c r="G18" s="1"/>
  <c r="E11"/>
  <c r="E18" s="1"/>
  <c r="D11"/>
  <c r="C18" s="1"/>
  <c r="G10"/>
  <c r="E10"/>
  <c r="D10"/>
  <c r="G9"/>
  <c r="E9"/>
  <c r="D9"/>
  <c r="G8"/>
  <c r="E8"/>
  <c r="D8"/>
  <c r="G7"/>
  <c r="E7"/>
  <c r="D7"/>
  <c r="G42" l="1"/>
  <c r="G34"/>
  <c r="G26"/>
  <c r="E26"/>
  <c r="E34"/>
  <c r="E42"/>
  <c r="C34"/>
  <c r="C26"/>
  <c r="C42"/>
  <c r="J493" i="16" l="1"/>
  <c r="K493" l="1"/>
  <c r="L493"/>
  <c r="J485"/>
  <c r="L298" i="44" l="1"/>
  <c r="L648" i="18"/>
  <c r="K485" i="16"/>
  <c r="L485"/>
  <c r="M298" i="44" l="1"/>
  <c r="L297"/>
  <c r="J477" i="16"/>
  <c r="L477" s="1"/>
  <c r="J469"/>
  <c r="L469" s="1"/>
  <c r="L559" i="18"/>
  <c r="L558"/>
  <c r="M297" i="44" l="1"/>
  <c r="K477" i="16"/>
  <c r="K469"/>
  <c r="L309" i="44" l="1"/>
  <c r="L296"/>
  <c r="L292"/>
  <c r="L291" l="1"/>
  <c r="L185" i="46"/>
  <c r="M309" i="44"/>
  <c r="M296"/>
  <c r="M292"/>
  <c r="C26" i="21" l="1"/>
  <c r="M291" i="44"/>
  <c r="H399" i="26" l="1"/>
  <c r="F772" s="1"/>
  <c r="I769" l="1"/>
  <c r="I684"/>
  <c r="I725"/>
  <c r="I768"/>
  <c r="I720"/>
  <c r="I711"/>
  <c r="I705"/>
  <c r="I755"/>
  <c r="I694"/>
  <c r="I727"/>
  <c r="I706"/>
  <c r="I707"/>
  <c r="I669"/>
  <c r="I733"/>
  <c r="I703"/>
  <c r="I726"/>
  <c r="I677"/>
  <c r="I729"/>
  <c r="I748"/>
  <c r="I710"/>
  <c r="I716"/>
  <c r="I678"/>
  <c r="I680"/>
  <c r="I714"/>
  <c r="I750"/>
  <c r="I763"/>
  <c r="I698"/>
  <c r="I676"/>
  <c r="I746"/>
  <c r="I764"/>
  <c r="I756"/>
  <c r="I689"/>
  <c r="I691"/>
  <c r="I758"/>
  <c r="I734"/>
  <c r="I765"/>
  <c r="I742"/>
  <c r="I723"/>
  <c r="I690"/>
  <c r="I699"/>
  <c r="I674"/>
  <c r="I682"/>
  <c r="I709"/>
  <c r="I672"/>
  <c r="I730"/>
  <c r="I693"/>
  <c r="I743"/>
  <c r="I715"/>
  <c r="I692"/>
  <c r="I671"/>
  <c r="I701"/>
  <c r="I718"/>
  <c r="I744"/>
  <c r="I759"/>
  <c r="I670"/>
  <c r="I724"/>
  <c r="I697"/>
  <c r="I728"/>
  <c r="I719"/>
  <c r="I752"/>
  <c r="I721"/>
  <c r="I760"/>
  <c r="I679"/>
  <c r="I687"/>
  <c r="I673"/>
  <c r="I717"/>
  <c r="I708"/>
  <c r="I713"/>
  <c r="I741"/>
  <c r="I738"/>
  <c r="I702"/>
  <c r="I751"/>
  <c r="I736"/>
  <c r="I745"/>
  <c r="I754"/>
  <c r="I757"/>
  <c r="I722"/>
  <c r="I740"/>
  <c r="I695"/>
  <c r="I770"/>
  <c r="I737"/>
  <c r="I686"/>
  <c r="I683"/>
  <c r="I761"/>
  <c r="I704"/>
  <c r="I766"/>
  <c r="I712"/>
  <c r="I747"/>
  <c r="I681"/>
  <c r="I753"/>
  <c r="I731"/>
  <c r="I696"/>
  <c r="I767"/>
  <c r="I762"/>
  <c r="I735"/>
  <c r="I675"/>
  <c r="I685"/>
  <c r="I739"/>
  <c r="I668"/>
  <c r="I700"/>
  <c r="I732"/>
  <c r="I749"/>
  <c r="I688"/>
  <c r="I60"/>
  <c r="I64"/>
  <c r="I68"/>
  <c r="I72"/>
  <c r="I76"/>
  <c r="I80"/>
  <c r="I84"/>
  <c r="I88"/>
  <c r="I92"/>
  <c r="I96"/>
  <c r="I100"/>
  <c r="I104"/>
  <c r="I108"/>
  <c r="I112"/>
  <c r="I116"/>
  <c r="I120"/>
  <c r="I124"/>
  <c r="I128"/>
  <c r="I132"/>
  <c r="I136"/>
  <c r="I140"/>
  <c r="I144"/>
  <c r="I148"/>
  <c r="I152"/>
  <c r="I156"/>
  <c r="I160"/>
  <c r="I164"/>
  <c r="I168"/>
  <c r="I172"/>
  <c r="I176"/>
  <c r="I180"/>
  <c r="I184"/>
  <c r="I188"/>
  <c r="I192"/>
  <c r="I196"/>
  <c r="I200"/>
  <c r="I204"/>
  <c r="I208"/>
  <c r="I212"/>
  <c r="I216"/>
  <c r="I220"/>
  <c r="I224"/>
  <c r="I231"/>
  <c r="I235"/>
  <c r="I239"/>
  <c r="I243"/>
  <c r="I247"/>
  <c r="I250"/>
  <c r="I254"/>
  <c r="I258"/>
  <c r="I262"/>
  <c r="I266"/>
  <c r="I270"/>
  <c r="I274"/>
  <c r="I278"/>
  <c r="I282"/>
  <c r="I286"/>
  <c r="I290"/>
  <c r="I294"/>
  <c r="I298"/>
  <c r="I302"/>
  <c r="I306"/>
  <c r="I310"/>
  <c r="I314"/>
  <c r="I318"/>
  <c r="I322"/>
  <c r="I326"/>
  <c r="I330"/>
  <c r="I334"/>
  <c r="I338"/>
  <c r="I342"/>
  <c r="I346"/>
  <c r="I350"/>
  <c r="I354"/>
  <c r="I358"/>
  <c r="I362"/>
  <c r="I366"/>
  <c r="I370"/>
  <c r="I374"/>
  <c r="I378"/>
  <c r="I382"/>
  <c r="I386"/>
  <c r="I390"/>
  <c r="I394"/>
  <c r="I398"/>
  <c r="I402"/>
  <c r="I406"/>
  <c r="I410"/>
  <c r="I414"/>
  <c r="I418"/>
  <c r="I422"/>
  <c r="I426"/>
  <c r="I430"/>
  <c r="I434"/>
  <c r="I438"/>
  <c r="I442"/>
  <c r="I446"/>
  <c r="I450"/>
  <c r="I454"/>
  <c r="I458"/>
  <c r="I462"/>
  <c r="I466"/>
  <c r="I470"/>
  <c r="I474"/>
  <c r="I478"/>
  <c r="I482"/>
  <c r="I486"/>
  <c r="I490"/>
  <c r="I494"/>
  <c r="I498"/>
  <c r="I502"/>
  <c r="I506"/>
  <c r="I510"/>
  <c r="I514"/>
  <c r="I518"/>
  <c r="I522"/>
  <c r="I526"/>
  <c r="I530"/>
  <c r="I534"/>
  <c r="I538"/>
  <c r="I542"/>
  <c r="I546"/>
  <c r="I550"/>
  <c r="I554"/>
  <c r="I558"/>
  <c r="I562"/>
  <c r="I566"/>
  <c r="I570"/>
  <c r="I574"/>
  <c r="I578"/>
  <c r="I582"/>
  <c r="I586"/>
  <c r="I590"/>
  <c r="I594"/>
  <c r="I598"/>
  <c r="I602"/>
  <c r="I606"/>
  <c r="I610"/>
  <c r="I614"/>
  <c r="I618"/>
  <c r="I622"/>
  <c r="I626"/>
  <c r="I630"/>
  <c r="I634"/>
  <c r="I638"/>
  <c r="I642"/>
  <c r="I646"/>
  <c r="I650"/>
  <c r="I654"/>
  <c r="I658"/>
  <c r="I662"/>
  <c r="I666"/>
  <c r="I59"/>
  <c r="I63"/>
  <c r="I67"/>
  <c r="I71"/>
  <c r="I75"/>
  <c r="I79"/>
  <c r="I83"/>
  <c r="I87"/>
  <c r="I91"/>
  <c r="I95"/>
  <c r="I99"/>
  <c r="I103"/>
  <c r="I107"/>
  <c r="I111"/>
  <c r="I115"/>
  <c r="I119"/>
  <c r="I123"/>
  <c r="I127"/>
  <c r="I131"/>
  <c r="I135"/>
  <c r="I139"/>
  <c r="I143"/>
  <c r="I147"/>
  <c r="I151"/>
  <c r="I155"/>
  <c r="I159"/>
  <c r="I163"/>
  <c r="I167"/>
  <c r="I171"/>
  <c r="I175"/>
  <c r="I179"/>
  <c r="I183"/>
  <c r="I187"/>
  <c r="I191"/>
  <c r="I195"/>
  <c r="I199"/>
  <c r="I203"/>
  <c r="I207"/>
  <c r="I211"/>
  <c r="I215"/>
  <c r="I219"/>
  <c r="I223"/>
  <c r="I227"/>
  <c r="I230"/>
  <c r="I234"/>
  <c r="I238"/>
  <c r="I242"/>
  <c r="I246"/>
  <c r="I249"/>
  <c r="I253"/>
  <c r="I257"/>
  <c r="I261"/>
  <c r="I265"/>
  <c r="I269"/>
  <c r="I273"/>
  <c r="I277"/>
  <c r="I281"/>
  <c r="I285"/>
  <c r="I289"/>
  <c r="I293"/>
  <c r="I297"/>
  <c r="I301"/>
  <c r="I305"/>
  <c r="I309"/>
  <c r="I313"/>
  <c r="I317"/>
  <c r="I321"/>
  <c r="I325"/>
  <c r="I329"/>
  <c r="I333"/>
  <c r="I337"/>
  <c r="I341"/>
  <c r="I345"/>
  <c r="I349"/>
  <c r="I353"/>
  <c r="I357"/>
  <c r="I361"/>
  <c r="I365"/>
  <c r="I369"/>
  <c r="I373"/>
  <c r="I377"/>
  <c r="I381"/>
  <c r="I385"/>
  <c r="I389"/>
  <c r="I393"/>
  <c r="I397"/>
  <c r="I401"/>
  <c r="I405"/>
  <c r="I409"/>
  <c r="I413"/>
  <c r="I417"/>
  <c r="I421"/>
  <c r="I425"/>
  <c r="I429"/>
  <c r="I433"/>
  <c r="I437"/>
  <c r="I441"/>
  <c r="I445"/>
  <c r="I449"/>
  <c r="I453"/>
  <c r="I457"/>
  <c r="I461"/>
  <c r="I465"/>
  <c r="I469"/>
  <c r="I473"/>
  <c r="I477"/>
  <c r="I481"/>
  <c r="I485"/>
  <c r="I489"/>
  <c r="I493"/>
  <c r="I497"/>
  <c r="I501"/>
  <c r="I505"/>
  <c r="I509"/>
  <c r="I513"/>
  <c r="I517"/>
  <c r="I521"/>
  <c r="I525"/>
  <c r="I529"/>
  <c r="I533"/>
  <c r="I537"/>
  <c r="I541"/>
  <c r="I545"/>
  <c r="I549"/>
  <c r="I553"/>
  <c r="I557"/>
  <c r="I561"/>
  <c r="I565"/>
  <c r="I569"/>
  <c r="I573"/>
  <c r="I577"/>
  <c r="I581"/>
  <c r="I585"/>
  <c r="I589"/>
  <c r="I593"/>
  <c r="I597"/>
  <c r="I601"/>
  <c r="I605"/>
  <c r="I609"/>
  <c r="I613"/>
  <c r="I617"/>
  <c r="I621"/>
  <c r="I625"/>
  <c r="I629"/>
  <c r="I633"/>
  <c r="I637"/>
  <c r="I641"/>
  <c r="I645"/>
  <c r="I649"/>
  <c r="I653"/>
  <c r="I657"/>
  <c r="I661"/>
  <c r="I665"/>
  <c r="I62"/>
  <c r="I66"/>
  <c r="I70"/>
  <c r="I74"/>
  <c r="I78"/>
  <c r="I82"/>
  <c r="I86"/>
  <c r="I90"/>
  <c r="I94"/>
  <c r="I98"/>
  <c r="I102"/>
  <c r="I106"/>
  <c r="I110"/>
  <c r="I114"/>
  <c r="I118"/>
  <c r="I122"/>
  <c r="I126"/>
  <c r="I130"/>
  <c r="I134"/>
  <c r="I138"/>
  <c r="I142"/>
  <c r="I146"/>
  <c r="I150"/>
  <c r="I154"/>
  <c r="I158"/>
  <c r="I162"/>
  <c r="I166"/>
  <c r="I170"/>
  <c r="I174"/>
  <c r="I178"/>
  <c r="I182"/>
  <c r="I186"/>
  <c r="I190"/>
  <c r="I194"/>
  <c r="I198"/>
  <c r="I202"/>
  <c r="I206"/>
  <c r="I210"/>
  <c r="I214"/>
  <c r="I218"/>
  <c r="I222"/>
  <c r="I226"/>
  <c r="I229"/>
  <c r="I233"/>
  <c r="I237"/>
  <c r="I241"/>
  <c r="I245"/>
  <c r="I248"/>
  <c r="I252"/>
  <c r="I256"/>
  <c r="I260"/>
  <c r="I264"/>
  <c r="I268"/>
  <c r="I272"/>
  <c r="I276"/>
  <c r="I280"/>
  <c r="I284"/>
  <c r="I288"/>
  <c r="I292"/>
  <c r="I296"/>
  <c r="I300"/>
  <c r="I304"/>
  <c r="I308"/>
  <c r="I312"/>
  <c r="I316"/>
  <c r="I320"/>
  <c r="I324"/>
  <c r="I328"/>
  <c r="I332"/>
  <c r="I336"/>
  <c r="I340"/>
  <c r="I344"/>
  <c r="I348"/>
  <c r="I352"/>
  <c r="I356"/>
  <c r="I360"/>
  <c r="I364"/>
  <c r="I368"/>
  <c r="I372"/>
  <c r="I376"/>
  <c r="I380"/>
  <c r="I384"/>
  <c r="I388"/>
  <c r="I392"/>
  <c r="I396"/>
  <c r="I400"/>
  <c r="I404"/>
  <c r="I408"/>
  <c r="I412"/>
  <c r="I416"/>
  <c r="I420"/>
  <c r="I424"/>
  <c r="I428"/>
  <c r="I432"/>
  <c r="I436"/>
  <c r="I440"/>
  <c r="I444"/>
  <c r="I448"/>
  <c r="I452"/>
  <c r="I456"/>
  <c r="I460"/>
  <c r="I464"/>
  <c r="I468"/>
  <c r="I472"/>
  <c r="I476"/>
  <c r="I480"/>
  <c r="I484"/>
  <c r="I488"/>
  <c r="I492"/>
  <c r="I496"/>
  <c r="I500"/>
  <c r="I504"/>
  <c r="I508"/>
  <c r="I512"/>
  <c r="I516"/>
  <c r="I520"/>
  <c r="I524"/>
  <c r="I528"/>
  <c r="I532"/>
  <c r="I536"/>
  <c r="I540"/>
  <c r="I544"/>
  <c r="I548"/>
  <c r="I552"/>
  <c r="I556"/>
  <c r="I560"/>
  <c r="I564"/>
  <c r="I568"/>
  <c r="I572"/>
  <c r="I576"/>
  <c r="I580"/>
  <c r="I584"/>
  <c r="I588"/>
  <c r="I592"/>
  <c r="I596"/>
  <c r="I600"/>
  <c r="I604"/>
  <c r="I608"/>
  <c r="I612"/>
  <c r="I616"/>
  <c r="I620"/>
  <c r="I624"/>
  <c r="I628"/>
  <c r="I632"/>
  <c r="I636"/>
  <c r="I640"/>
  <c r="I644"/>
  <c r="I648"/>
  <c r="I652"/>
  <c r="I656"/>
  <c r="I660"/>
  <c r="I664"/>
  <c r="I61"/>
  <c r="I65"/>
  <c r="I69"/>
  <c r="I73"/>
  <c r="I77"/>
  <c r="I81"/>
  <c r="I85"/>
  <c r="I89"/>
  <c r="I93"/>
  <c r="I97"/>
  <c r="I101"/>
  <c r="I105"/>
  <c r="I109"/>
  <c r="I113"/>
  <c r="I117"/>
  <c r="I121"/>
  <c r="I125"/>
  <c r="I129"/>
  <c r="I133"/>
  <c r="I137"/>
  <c r="I141"/>
  <c r="I145"/>
  <c r="I149"/>
  <c r="I153"/>
  <c r="I157"/>
  <c r="I161"/>
  <c r="I165"/>
  <c r="I169"/>
  <c r="I173"/>
  <c r="I177"/>
  <c r="I181"/>
  <c r="I185"/>
  <c r="I189"/>
  <c r="I193"/>
  <c r="I197"/>
  <c r="I201"/>
  <c r="I205"/>
  <c r="I209"/>
  <c r="I213"/>
  <c r="I217"/>
  <c r="I221"/>
  <c r="I225"/>
  <c r="I228"/>
  <c r="I232"/>
  <c r="I236"/>
  <c r="I240"/>
  <c r="I244"/>
  <c r="I251"/>
  <c r="I255"/>
  <c r="I259"/>
  <c r="I263"/>
  <c r="I267"/>
  <c r="I271"/>
  <c r="I275"/>
  <c r="I279"/>
  <c r="I283"/>
  <c r="I287"/>
  <c r="I291"/>
  <c r="I295"/>
  <c r="I299"/>
  <c r="I303"/>
  <c r="I307"/>
  <c r="I311"/>
  <c r="I315"/>
  <c r="I319"/>
  <c r="I323"/>
  <c r="I327"/>
  <c r="I331"/>
  <c r="I335"/>
  <c r="I339"/>
  <c r="I343"/>
  <c r="I347"/>
  <c r="I351"/>
  <c r="I355"/>
  <c r="I359"/>
  <c r="I363"/>
  <c r="I367"/>
  <c r="I371"/>
  <c r="I375"/>
  <c r="I379"/>
  <c r="I383"/>
  <c r="I387"/>
  <c r="I391"/>
  <c r="I395"/>
  <c r="I399"/>
  <c r="I403"/>
  <c r="I407"/>
  <c r="I411"/>
  <c r="I415"/>
  <c r="I419"/>
  <c r="I423"/>
  <c r="I427"/>
  <c r="I431"/>
  <c r="I435"/>
  <c r="I439"/>
  <c r="I443"/>
  <c r="I447"/>
  <c r="I451"/>
  <c r="I455"/>
  <c r="I459"/>
  <c r="I463"/>
  <c r="I467"/>
  <c r="I471"/>
  <c r="I475"/>
  <c r="I479"/>
  <c r="I483"/>
  <c r="I487"/>
  <c r="I491"/>
  <c r="I495"/>
  <c r="I499"/>
  <c r="I503"/>
  <c r="I507"/>
  <c r="I511"/>
  <c r="I515"/>
  <c r="I519"/>
  <c r="I523"/>
  <c r="I527"/>
  <c r="I531"/>
  <c r="I535"/>
  <c r="I539"/>
  <c r="I543"/>
  <c r="I547"/>
  <c r="I551"/>
  <c r="I555"/>
  <c r="I559"/>
  <c r="I563"/>
  <c r="I567"/>
  <c r="I571"/>
  <c r="I575"/>
  <c r="I579"/>
  <c r="I583"/>
  <c r="I587"/>
  <c r="I591"/>
  <c r="I595"/>
  <c r="I599"/>
  <c r="I603"/>
  <c r="I607"/>
  <c r="I611"/>
  <c r="I615"/>
  <c r="I619"/>
  <c r="I623"/>
  <c r="I627"/>
  <c r="I631"/>
  <c r="I635"/>
  <c r="I639"/>
  <c r="I643"/>
  <c r="I647"/>
  <c r="I651"/>
  <c r="I655"/>
  <c r="I659"/>
  <c r="I663"/>
  <c r="I667"/>
  <c r="I44"/>
  <c r="I28"/>
  <c r="I45"/>
  <c r="I29"/>
  <c r="I13"/>
  <c r="I46"/>
  <c r="I30"/>
  <c r="I14"/>
  <c r="I43"/>
  <c r="I27"/>
  <c r="I12"/>
  <c r="I37"/>
  <c r="I51"/>
  <c r="I26"/>
  <c r="I48"/>
  <c r="I32"/>
  <c r="I16"/>
  <c r="I49"/>
  <c r="I33"/>
  <c r="I17"/>
  <c r="I50"/>
  <c r="I34"/>
  <c r="I18"/>
  <c r="I47"/>
  <c r="I31"/>
  <c r="I15"/>
  <c r="I36"/>
  <c r="I53"/>
  <c r="I54"/>
  <c r="I22"/>
  <c r="I19"/>
  <c r="I55"/>
  <c r="I52"/>
  <c r="I20"/>
  <c r="I21"/>
  <c r="I38"/>
  <c r="I35"/>
  <c r="I39"/>
  <c r="I56"/>
  <c r="I40"/>
  <c r="I24"/>
  <c r="I57"/>
  <c r="I41"/>
  <c r="I25"/>
  <c r="I58"/>
  <c r="I42"/>
  <c r="I23"/>
  <c r="I11"/>
  <c r="J11" s="1"/>
  <c r="L556" i="18" l="1"/>
  <c r="J6" l="1"/>
  <c r="C1652" i="16" l="1"/>
  <c r="J1654" l="1"/>
  <c r="K1654" s="1"/>
  <c r="L1654" l="1"/>
  <c r="L646" i="18" l="1"/>
  <c r="L645"/>
  <c r="L640"/>
  <c r="L557"/>
  <c r="C23" i="21" l="1"/>
  <c r="J25" l="1"/>
  <c r="B50" i="33"/>
  <c r="B49"/>
  <c r="B48"/>
  <c r="B47"/>
  <c r="B46"/>
  <c r="H21"/>
  <c r="H22" s="1"/>
  <c r="H18"/>
  <c r="H17"/>
  <c r="H19" s="1"/>
  <c r="H12"/>
  <c r="H11"/>
  <c r="H10"/>
  <c r="H9"/>
  <c r="I25" i="21" l="1"/>
  <c r="F25"/>
  <c r="G25"/>
  <c r="H25"/>
  <c r="H13" i="33"/>
  <c r="H23"/>
  <c r="J6" i="26" l="1"/>
  <c r="M35" i="21" l="1"/>
  <c r="N35" s="1"/>
  <c r="M14"/>
  <c r="M17"/>
  <c r="M20"/>
  <c r="M23"/>
  <c r="M26"/>
  <c r="M29"/>
  <c r="M30"/>
  <c r="M32"/>
  <c r="M33"/>
  <c r="M36"/>
  <c r="N36" s="1"/>
  <c r="M39"/>
  <c r="N39" s="1"/>
  <c r="M11"/>
  <c r="L595" i="18" l="1"/>
  <c r="L597"/>
  <c r="F19" i="21" l="1"/>
  <c r="E19"/>
  <c r="L626" i="18"/>
  <c r="M19" i="21" l="1"/>
  <c r="N19" s="1"/>
  <c r="M31" l="1"/>
  <c r="N31" s="1"/>
  <c r="L576" i="18" l="1"/>
  <c r="L555" l="1"/>
  <c r="L554"/>
  <c r="H6" i="15" l="1"/>
  <c r="I6" i="16" l="1"/>
  <c r="D16" i="21" l="1"/>
  <c r="M22"/>
  <c r="N22" s="1"/>
  <c r="M16" l="1"/>
  <c r="N16" s="1"/>
  <c r="D13" l="1"/>
  <c r="L582" i="18"/>
  <c r="L864" s="1"/>
  <c r="M13" i="21" l="1"/>
  <c r="N13" s="1"/>
  <c r="M34" l="1"/>
  <c r="N34" s="1"/>
  <c r="K28" l="1"/>
  <c r="H28"/>
  <c r="I28"/>
  <c r="F28"/>
  <c r="J28"/>
  <c r="G28"/>
  <c r="M25"/>
  <c r="N25" s="1"/>
  <c r="M28" l="1"/>
  <c r="N28" s="1"/>
  <c r="C38" l="1"/>
  <c r="E45" i="4" l="1"/>
  <c r="C1660" i="16"/>
  <c r="J1662"/>
  <c r="K1662" s="1"/>
  <c r="L1662" l="1"/>
  <c r="L439" i="44" l="1"/>
  <c r="C35" i="21" l="1"/>
  <c r="K37" l="1"/>
  <c r="K46" s="1"/>
  <c r="H37"/>
  <c r="H46" s="1"/>
  <c r="H38" s="1"/>
  <c r="H40" s="1"/>
  <c r="H42" s="1"/>
  <c r="C41"/>
  <c r="J37"/>
  <c r="J46" s="1"/>
  <c r="J38" s="1"/>
  <c r="J40" s="1"/>
  <c r="J42" s="1"/>
  <c r="D37"/>
  <c r="D46" s="1"/>
  <c r="D38" s="1"/>
  <c r="I37"/>
  <c r="I46" s="1"/>
  <c r="I38" s="1"/>
  <c r="I40" s="1"/>
  <c r="I42" s="1"/>
  <c r="E37"/>
  <c r="E46" s="1"/>
  <c r="E38" s="1"/>
  <c r="E40" s="1"/>
  <c r="E42" s="1"/>
  <c r="G37"/>
  <c r="G46" s="1"/>
  <c r="G38" s="1"/>
  <c r="G40" s="1"/>
  <c r="G42" s="1"/>
  <c r="F37"/>
  <c r="F46" s="1"/>
  <c r="F38" s="1"/>
  <c r="F40" s="1"/>
  <c r="F42" s="1"/>
  <c r="K768" i="26" l="1"/>
  <c r="L768" s="1"/>
  <c r="K764"/>
  <c r="L764" s="1"/>
  <c r="K760"/>
  <c r="L760" s="1"/>
  <c r="K756"/>
  <c r="L756" s="1"/>
  <c r="K752"/>
  <c r="L752" s="1"/>
  <c r="K748"/>
  <c r="L748" s="1"/>
  <c r="K744"/>
  <c r="L744" s="1"/>
  <c r="K770"/>
  <c r="L770" s="1"/>
  <c r="K767"/>
  <c r="L767" s="1"/>
  <c r="K757"/>
  <c r="L757" s="1"/>
  <c r="K754"/>
  <c r="L754" s="1"/>
  <c r="K751"/>
  <c r="L751" s="1"/>
  <c r="K765"/>
  <c r="L765" s="1"/>
  <c r="K762"/>
  <c r="L762" s="1"/>
  <c r="K759"/>
  <c r="L759" s="1"/>
  <c r="K745"/>
  <c r="L745" s="1"/>
  <c r="K755"/>
  <c r="L755" s="1"/>
  <c r="K750"/>
  <c r="L750" s="1"/>
  <c r="K747"/>
  <c r="L747" s="1"/>
  <c r="K685"/>
  <c r="L685" s="1"/>
  <c r="K680"/>
  <c r="L680" s="1"/>
  <c r="K769"/>
  <c r="L769" s="1"/>
  <c r="K749"/>
  <c r="L749" s="1"/>
  <c r="K746"/>
  <c r="L746" s="1"/>
  <c r="K683"/>
  <c r="L683" s="1"/>
  <c r="K766"/>
  <c r="L766" s="1"/>
  <c r="K761"/>
  <c r="L761" s="1"/>
  <c r="K677"/>
  <c r="L677" s="1"/>
  <c r="N48" i="21"/>
  <c r="K763" i="26"/>
  <c r="L763" s="1"/>
  <c r="K758"/>
  <c r="L758" s="1"/>
  <c r="K743"/>
  <c r="L743" s="1"/>
  <c r="K682"/>
  <c r="L682" s="1"/>
  <c r="K686"/>
  <c r="L686" s="1"/>
  <c r="K681"/>
  <c r="L681" s="1"/>
  <c r="K679"/>
  <c r="L679" s="1"/>
  <c r="K753"/>
  <c r="L753" s="1"/>
  <c r="K684"/>
  <c r="L684" s="1"/>
  <c r="K18"/>
  <c r="L18" s="1"/>
  <c r="K17"/>
  <c r="L17" s="1"/>
  <c r="K411"/>
  <c r="L411" s="1"/>
  <c r="K741"/>
  <c r="L741" s="1"/>
  <c r="K739"/>
  <c r="L739" s="1"/>
  <c r="K737"/>
  <c r="L737" s="1"/>
  <c r="K735"/>
  <c r="L735" s="1"/>
  <c r="K733"/>
  <c r="L733" s="1"/>
  <c r="K731"/>
  <c r="L731" s="1"/>
  <c r="K729"/>
  <c r="L729" s="1"/>
  <c r="K727"/>
  <c r="L727" s="1"/>
  <c r="K725"/>
  <c r="L725" s="1"/>
  <c r="K723"/>
  <c r="L723" s="1"/>
  <c r="K721"/>
  <c r="L721" s="1"/>
  <c r="K719"/>
  <c r="L719" s="1"/>
  <c r="K717"/>
  <c r="L717" s="1"/>
  <c r="K715"/>
  <c r="L715" s="1"/>
  <c r="K713"/>
  <c r="L713" s="1"/>
  <c r="K711"/>
  <c r="L711" s="1"/>
  <c r="K709"/>
  <c r="L709" s="1"/>
  <c r="K707"/>
  <c r="L707" s="1"/>
  <c r="K705"/>
  <c r="L705" s="1"/>
  <c r="K703"/>
  <c r="L703" s="1"/>
  <c r="K701"/>
  <c r="L701" s="1"/>
  <c r="K699"/>
  <c r="L699" s="1"/>
  <c r="K697"/>
  <c r="L697" s="1"/>
  <c r="K695"/>
  <c r="L695" s="1"/>
  <c r="K693"/>
  <c r="L693" s="1"/>
  <c r="K691"/>
  <c r="L691" s="1"/>
  <c r="K689"/>
  <c r="L689" s="1"/>
  <c r="K687"/>
  <c r="L687" s="1"/>
  <c r="K675"/>
  <c r="L675" s="1"/>
  <c r="K673"/>
  <c r="L673" s="1"/>
  <c r="K671"/>
  <c r="L671" s="1"/>
  <c r="K669"/>
  <c r="L669" s="1"/>
  <c r="K666"/>
  <c r="L666" s="1"/>
  <c r="K664"/>
  <c r="L664" s="1"/>
  <c r="K662"/>
  <c r="L662" s="1"/>
  <c r="K660"/>
  <c r="L660" s="1"/>
  <c r="K658"/>
  <c r="L658" s="1"/>
  <c r="K656"/>
  <c r="L656" s="1"/>
  <c r="K654"/>
  <c r="L654" s="1"/>
  <c r="K652"/>
  <c r="L652" s="1"/>
  <c r="K742"/>
  <c r="L742" s="1"/>
  <c r="K740"/>
  <c r="L740" s="1"/>
  <c r="K738"/>
  <c r="L738" s="1"/>
  <c r="K736"/>
  <c r="L736" s="1"/>
  <c r="K734"/>
  <c r="L734" s="1"/>
  <c r="K732"/>
  <c r="L732" s="1"/>
  <c r="K730"/>
  <c r="L730" s="1"/>
  <c r="K728"/>
  <c r="L728" s="1"/>
  <c r="K726"/>
  <c r="L726" s="1"/>
  <c r="K724"/>
  <c r="L724" s="1"/>
  <c r="K722"/>
  <c r="L722" s="1"/>
  <c r="K720"/>
  <c r="L720" s="1"/>
  <c r="K718"/>
  <c r="L718" s="1"/>
  <c r="K716"/>
  <c r="L716" s="1"/>
  <c r="K714"/>
  <c r="L714" s="1"/>
  <c r="K712"/>
  <c r="L712" s="1"/>
  <c r="K710"/>
  <c r="L710" s="1"/>
  <c r="K708"/>
  <c r="L708" s="1"/>
  <c r="K706"/>
  <c r="L706" s="1"/>
  <c r="K704"/>
  <c r="L704" s="1"/>
  <c r="K702"/>
  <c r="L702" s="1"/>
  <c r="K700"/>
  <c r="L700" s="1"/>
  <c r="K698"/>
  <c r="L698" s="1"/>
  <c r="K696"/>
  <c r="L696" s="1"/>
  <c r="K694"/>
  <c r="L694" s="1"/>
  <c r="K692"/>
  <c r="L692" s="1"/>
  <c r="K690"/>
  <c r="L690" s="1"/>
  <c r="K688"/>
  <c r="L688" s="1"/>
  <c r="K676"/>
  <c r="L676" s="1"/>
  <c r="K674"/>
  <c r="L674" s="1"/>
  <c r="K672"/>
  <c r="L672" s="1"/>
  <c r="K670"/>
  <c r="L670" s="1"/>
  <c r="K667"/>
  <c r="L667" s="1"/>
  <c r="K665"/>
  <c r="L665" s="1"/>
  <c r="K663"/>
  <c r="L663" s="1"/>
  <c r="K661"/>
  <c r="L661" s="1"/>
  <c r="K659"/>
  <c r="L659" s="1"/>
  <c r="K657"/>
  <c r="L657" s="1"/>
  <c r="K655"/>
  <c r="L655" s="1"/>
  <c r="K653"/>
  <c r="L653" s="1"/>
  <c r="K650"/>
  <c r="L650" s="1"/>
  <c r="K648"/>
  <c r="L648" s="1"/>
  <c r="K646"/>
  <c r="L646" s="1"/>
  <c r="K644"/>
  <c r="L644" s="1"/>
  <c r="K642"/>
  <c r="L642" s="1"/>
  <c r="K640"/>
  <c r="L640" s="1"/>
  <c r="K638"/>
  <c r="L638" s="1"/>
  <c r="K636"/>
  <c r="L636" s="1"/>
  <c r="K634"/>
  <c r="L634" s="1"/>
  <c r="K632"/>
  <c r="L632" s="1"/>
  <c r="K630"/>
  <c r="L630" s="1"/>
  <c r="K628"/>
  <c r="L628" s="1"/>
  <c r="K626"/>
  <c r="L626" s="1"/>
  <c r="K624"/>
  <c r="L624" s="1"/>
  <c r="K622"/>
  <c r="L622" s="1"/>
  <c r="K620"/>
  <c r="L620" s="1"/>
  <c r="K618"/>
  <c r="L618" s="1"/>
  <c r="K616"/>
  <c r="L616" s="1"/>
  <c r="K614"/>
  <c r="L614" s="1"/>
  <c r="K612"/>
  <c r="L612" s="1"/>
  <c r="K610"/>
  <c r="L610" s="1"/>
  <c r="K608"/>
  <c r="L608" s="1"/>
  <c r="K606"/>
  <c r="L606" s="1"/>
  <c r="K604"/>
  <c r="L604" s="1"/>
  <c r="K602"/>
  <c r="L602" s="1"/>
  <c r="K600"/>
  <c r="L600" s="1"/>
  <c r="K598"/>
  <c r="L598" s="1"/>
  <c r="K596"/>
  <c r="L596" s="1"/>
  <c r="K594"/>
  <c r="L594" s="1"/>
  <c r="K592"/>
  <c r="L592" s="1"/>
  <c r="K590"/>
  <c r="L590" s="1"/>
  <c r="K588"/>
  <c r="L588" s="1"/>
  <c r="K586"/>
  <c r="L586" s="1"/>
  <c r="K651"/>
  <c r="L651" s="1"/>
  <c r="K649"/>
  <c r="L649" s="1"/>
  <c r="K647"/>
  <c r="L647" s="1"/>
  <c r="K645"/>
  <c r="L645" s="1"/>
  <c r="K643"/>
  <c r="L643" s="1"/>
  <c r="K641"/>
  <c r="L641" s="1"/>
  <c r="K639"/>
  <c r="L639" s="1"/>
  <c r="K637"/>
  <c r="L637" s="1"/>
  <c r="K635"/>
  <c r="L635" s="1"/>
  <c r="K633"/>
  <c r="L633" s="1"/>
  <c r="K631"/>
  <c r="L631" s="1"/>
  <c r="K629"/>
  <c r="L629" s="1"/>
  <c r="K627"/>
  <c r="L627" s="1"/>
  <c r="K625"/>
  <c r="L625" s="1"/>
  <c r="K623"/>
  <c r="L623" s="1"/>
  <c r="K621"/>
  <c r="L621" s="1"/>
  <c r="K619"/>
  <c r="L619" s="1"/>
  <c r="K617"/>
  <c r="L617" s="1"/>
  <c r="K615"/>
  <c r="L615" s="1"/>
  <c r="K613"/>
  <c r="L613" s="1"/>
  <c r="K611"/>
  <c r="L611" s="1"/>
  <c r="K609"/>
  <c r="L609" s="1"/>
  <c r="K607"/>
  <c r="L607" s="1"/>
  <c r="K605"/>
  <c r="L605" s="1"/>
  <c r="K603"/>
  <c r="L603" s="1"/>
  <c r="K601"/>
  <c r="L601" s="1"/>
  <c r="K599"/>
  <c r="L599" s="1"/>
  <c r="K597"/>
  <c r="L597" s="1"/>
  <c r="K595"/>
  <c r="L595" s="1"/>
  <c r="K593"/>
  <c r="L593" s="1"/>
  <c r="K591"/>
  <c r="L591" s="1"/>
  <c r="K589"/>
  <c r="L589" s="1"/>
  <c r="K587"/>
  <c r="L587" s="1"/>
  <c r="L12" i="21"/>
  <c r="L18"/>
  <c r="L33"/>
  <c r="L21"/>
  <c r="L15"/>
  <c r="L30"/>
  <c r="L24"/>
  <c r="L27"/>
  <c r="L39"/>
  <c r="L36"/>
  <c r="H41"/>
  <c r="I41"/>
  <c r="G41"/>
  <c r="J41"/>
  <c r="F41"/>
  <c r="K253" i="26"/>
  <c r="L253" s="1"/>
  <c r="K437"/>
  <c r="L437" s="1"/>
  <c r="K272"/>
  <c r="L272" s="1"/>
  <c r="K203"/>
  <c r="L203" s="1"/>
  <c r="K217"/>
  <c r="L217" s="1"/>
  <c r="K317"/>
  <c r="L317" s="1"/>
  <c r="K355"/>
  <c r="L355" s="1"/>
  <c r="K52"/>
  <c r="L52" s="1"/>
  <c r="K96"/>
  <c r="L96" s="1"/>
  <c r="K401"/>
  <c r="L401" s="1"/>
  <c r="K117"/>
  <c r="L117" s="1"/>
  <c r="K250"/>
  <c r="L250" s="1"/>
  <c r="K320"/>
  <c r="L320" s="1"/>
  <c r="K39"/>
  <c r="L39" s="1"/>
  <c r="K478"/>
  <c r="L478" s="1"/>
  <c r="E44" i="4"/>
  <c r="E46" s="1"/>
  <c r="K506" i="26"/>
  <c r="L506" s="1"/>
  <c r="K301"/>
  <c r="L301" s="1"/>
  <c r="K529"/>
  <c r="L529" s="1"/>
  <c r="K468"/>
  <c r="L468" s="1"/>
  <c r="K28"/>
  <c r="L28" s="1"/>
  <c r="K373"/>
  <c r="L373" s="1"/>
  <c r="K184"/>
  <c r="L184" s="1"/>
  <c r="K405"/>
  <c r="L405" s="1"/>
  <c r="K544"/>
  <c r="L544" s="1"/>
  <c r="K53"/>
  <c r="L53" s="1"/>
  <c r="K424"/>
  <c r="L424" s="1"/>
  <c r="K342"/>
  <c r="L342" s="1"/>
  <c r="K156"/>
  <c r="L156" s="1"/>
  <c r="K303"/>
  <c r="L303" s="1"/>
  <c r="K570"/>
  <c r="L570" s="1"/>
  <c r="K216"/>
  <c r="L216" s="1"/>
  <c r="K538"/>
  <c r="L538" s="1"/>
  <c r="K159"/>
  <c r="L159" s="1"/>
  <c r="K92"/>
  <c r="L92" s="1"/>
  <c r="K433"/>
  <c r="L433" s="1"/>
  <c r="K265"/>
  <c r="L265" s="1"/>
  <c r="K292"/>
  <c r="L292" s="1"/>
  <c r="K178"/>
  <c r="L178" s="1"/>
  <c r="K500"/>
  <c r="L500" s="1"/>
  <c r="K395"/>
  <c r="L395" s="1"/>
  <c r="K107"/>
  <c r="L107" s="1"/>
  <c r="K543"/>
  <c r="L543" s="1"/>
  <c r="K163"/>
  <c r="L163" s="1"/>
  <c r="K26"/>
  <c r="L26" s="1"/>
  <c r="K412"/>
  <c r="L412" s="1"/>
  <c r="K307"/>
  <c r="L307" s="1"/>
  <c r="K550"/>
  <c r="L550" s="1"/>
  <c r="K298"/>
  <c r="L298" s="1"/>
  <c r="K501"/>
  <c r="L501" s="1"/>
  <c r="K247"/>
  <c r="L247" s="1"/>
  <c r="K394"/>
  <c r="L394" s="1"/>
  <c r="K571"/>
  <c r="L571" s="1"/>
  <c r="K442"/>
  <c r="L442" s="1"/>
  <c r="K191"/>
  <c r="L191" s="1"/>
  <c r="K144"/>
  <c r="L144" s="1"/>
  <c r="K77"/>
  <c r="L77" s="1"/>
  <c r="K473"/>
  <c r="L473" s="1"/>
  <c r="K410"/>
  <c r="L410" s="1"/>
  <c r="K454"/>
  <c r="L454" s="1"/>
  <c r="K572"/>
  <c r="L572" s="1"/>
  <c r="K463"/>
  <c r="L463" s="1"/>
  <c r="K210"/>
  <c r="L210" s="1"/>
  <c r="K333"/>
  <c r="L333" s="1"/>
  <c r="K532"/>
  <c r="L532" s="1"/>
  <c r="K279"/>
  <c r="L279" s="1"/>
  <c r="K153"/>
  <c r="L153" s="1"/>
  <c r="K20"/>
  <c r="L20" s="1"/>
  <c r="K43"/>
  <c r="L43" s="1"/>
  <c r="K135"/>
  <c r="L135" s="1"/>
  <c r="K330"/>
  <c r="L330" s="1"/>
  <c r="K227"/>
  <c r="L227" s="1"/>
  <c r="K78"/>
  <c r="L78" s="1"/>
  <c r="K260"/>
  <c r="L260" s="1"/>
  <c r="K205"/>
  <c r="L205" s="1"/>
  <c r="K115"/>
  <c r="L115" s="1"/>
  <c r="K25"/>
  <c r="L25" s="1"/>
  <c r="K469"/>
  <c r="L469" s="1"/>
  <c r="K343"/>
  <c r="L343" s="1"/>
  <c r="K285"/>
  <c r="L285" s="1"/>
  <c r="K81"/>
  <c r="L81" s="1"/>
  <c r="K336"/>
  <c r="L336" s="1"/>
  <c r="K288"/>
  <c r="L288" s="1"/>
  <c r="K70"/>
  <c r="L70" s="1"/>
  <c r="K582"/>
  <c r="L582" s="1"/>
  <c r="K388"/>
  <c r="L388" s="1"/>
  <c r="K63"/>
  <c r="L63" s="1"/>
  <c r="K327"/>
  <c r="L327" s="1"/>
  <c r="K400"/>
  <c r="L400" s="1"/>
  <c r="K313"/>
  <c r="L313" s="1"/>
  <c r="K537"/>
  <c r="L537" s="1"/>
  <c r="K278"/>
  <c r="L278" s="1"/>
  <c r="K152"/>
  <c r="L152" s="1"/>
  <c r="K326"/>
  <c r="L326" s="1"/>
  <c r="K474"/>
  <c r="L474" s="1"/>
  <c r="K223"/>
  <c r="L223" s="1"/>
  <c r="K351"/>
  <c r="L351" s="1"/>
  <c r="K105"/>
  <c r="L105" s="1"/>
  <c r="K40"/>
  <c r="L40" s="1"/>
  <c r="K505"/>
  <c r="L505" s="1"/>
  <c r="K196"/>
  <c r="L196" s="1"/>
  <c r="K518"/>
  <c r="L518" s="1"/>
  <c r="K417"/>
  <c r="L417" s="1"/>
  <c r="K41"/>
  <c r="L41" s="1"/>
  <c r="K495"/>
  <c r="L495" s="1"/>
  <c r="K241"/>
  <c r="L241" s="1"/>
  <c r="K383"/>
  <c r="L383" s="1"/>
  <c r="K565"/>
  <c r="L565" s="1"/>
  <c r="K436"/>
  <c r="L436" s="1"/>
  <c r="K185"/>
  <c r="L185" s="1"/>
  <c r="K13"/>
  <c r="L13" s="1"/>
  <c r="K100"/>
  <c r="L100" s="1"/>
  <c r="K348"/>
  <c r="L348" s="1"/>
  <c r="K132"/>
  <c r="L132" s="1"/>
  <c r="K19"/>
  <c r="L19" s="1"/>
  <c r="K515"/>
  <c r="L515" s="1"/>
  <c r="K456"/>
  <c r="L456" s="1"/>
  <c r="K427"/>
  <c r="L427" s="1"/>
  <c r="K389"/>
  <c r="L389" s="1"/>
  <c r="K558"/>
  <c r="L558" s="1"/>
  <c r="K381"/>
  <c r="L381" s="1"/>
  <c r="K509"/>
  <c r="L509" s="1"/>
  <c r="K286"/>
  <c r="L286" s="1"/>
  <c r="K224"/>
  <c r="L224" s="1"/>
  <c r="K160"/>
  <c r="L160" s="1"/>
  <c r="K352"/>
  <c r="L352" s="1"/>
  <c r="K340"/>
  <c r="L340" s="1"/>
  <c r="K547"/>
  <c r="L547" s="1"/>
  <c r="K482"/>
  <c r="L482" s="1"/>
  <c r="K136"/>
  <c r="L136" s="1"/>
  <c r="K230"/>
  <c r="L230" s="1"/>
  <c r="K167"/>
  <c r="L167" s="1"/>
  <c r="K360"/>
  <c r="L360" s="1"/>
  <c r="K49"/>
  <c r="L49" s="1"/>
  <c r="K46"/>
  <c r="L46" s="1"/>
  <c r="K76"/>
  <c r="L76" s="1"/>
  <c r="K35"/>
  <c r="L35" s="1"/>
  <c r="K554"/>
  <c r="L554" s="1"/>
  <c r="K481"/>
  <c r="L481" s="1"/>
  <c r="K266"/>
  <c r="L266" s="1"/>
  <c r="K426"/>
  <c r="L426" s="1"/>
  <c r="K322"/>
  <c r="L322" s="1"/>
  <c r="K470"/>
  <c r="L470" s="1"/>
  <c r="K219"/>
  <c r="L219" s="1"/>
  <c r="K347"/>
  <c r="L347" s="1"/>
  <c r="K129"/>
  <c r="L129" s="1"/>
  <c r="K131"/>
  <c r="L131" s="1"/>
  <c r="K539"/>
  <c r="L539" s="1"/>
  <c r="K471"/>
  <c r="L471" s="1"/>
  <c r="K280"/>
  <c r="L280" s="1"/>
  <c r="K218"/>
  <c r="L218" s="1"/>
  <c r="K154"/>
  <c r="L154" s="1"/>
  <c r="K346"/>
  <c r="L346" s="1"/>
  <c r="K328"/>
  <c r="L328" s="1"/>
  <c r="K541"/>
  <c r="L541" s="1"/>
  <c r="K476"/>
  <c r="L476" s="1"/>
  <c r="K287"/>
  <c r="L287" s="1"/>
  <c r="K225"/>
  <c r="L225" s="1"/>
  <c r="K161"/>
  <c r="L161" s="1"/>
  <c r="K353"/>
  <c r="L353" s="1"/>
  <c r="K16"/>
  <c r="L16" s="1"/>
  <c r="K130"/>
  <c r="L130" s="1"/>
  <c r="K21"/>
  <c r="L21" s="1"/>
  <c r="K103"/>
  <c r="L103" s="1"/>
  <c r="K44"/>
  <c r="L44" s="1"/>
  <c r="K74"/>
  <c r="L74" s="1"/>
  <c r="K449"/>
  <c r="L449" s="1"/>
  <c r="K243"/>
  <c r="L243" s="1"/>
  <c r="K172"/>
  <c r="L172" s="1"/>
  <c r="K370"/>
  <c r="L370" s="1"/>
  <c r="K377"/>
  <c r="L377" s="1"/>
  <c r="K559"/>
  <c r="L559" s="1"/>
  <c r="K494"/>
  <c r="L494" s="1"/>
  <c r="K583"/>
  <c r="L583" s="1"/>
  <c r="K242"/>
  <c r="L242" s="1"/>
  <c r="K179"/>
  <c r="L179" s="1"/>
  <c r="K382"/>
  <c r="L382" s="1"/>
  <c r="K27"/>
  <c r="L27" s="1"/>
  <c r="K85"/>
  <c r="L85" s="1"/>
  <c r="K82"/>
  <c r="L82" s="1"/>
  <c r="K556"/>
  <c r="L556" s="1"/>
  <c r="K137"/>
  <c r="L137" s="1"/>
  <c r="K166"/>
  <c r="L166" s="1"/>
  <c r="K365"/>
  <c r="L365" s="1"/>
  <c r="K488"/>
  <c r="L488" s="1"/>
  <c r="K236"/>
  <c r="L236" s="1"/>
  <c r="K371"/>
  <c r="L371" s="1"/>
  <c r="K12"/>
  <c r="L12" s="1"/>
  <c r="K244"/>
  <c r="L244" s="1"/>
  <c r="K93"/>
  <c r="L93" s="1"/>
  <c r="K302"/>
  <c r="L302" s="1"/>
  <c r="K366"/>
  <c r="L366" s="1"/>
  <c r="K304"/>
  <c r="L304" s="1"/>
  <c r="K15"/>
  <c r="L15" s="1"/>
  <c r="K585"/>
  <c r="L585" s="1"/>
  <c r="K329"/>
  <c r="L329" s="1"/>
  <c r="K364"/>
  <c r="L364" s="1"/>
  <c r="K566"/>
  <c r="L566" s="1"/>
  <c r="K533"/>
  <c r="L533" s="1"/>
  <c r="K331"/>
  <c r="L331" s="1"/>
  <c r="K584"/>
  <c r="L584" s="1"/>
  <c r="K560"/>
  <c r="L560" s="1"/>
  <c r="K517"/>
  <c r="L517" s="1"/>
  <c r="K485"/>
  <c r="L485" s="1"/>
  <c r="K453"/>
  <c r="L453" s="1"/>
  <c r="K139"/>
  <c r="L139" s="1"/>
  <c r="K262"/>
  <c r="L262" s="1"/>
  <c r="K231"/>
  <c r="L231" s="1"/>
  <c r="K200"/>
  <c r="L200" s="1"/>
  <c r="K168"/>
  <c r="L168" s="1"/>
  <c r="K414"/>
  <c r="L414" s="1"/>
  <c r="K363"/>
  <c r="L363" s="1"/>
  <c r="K431"/>
  <c r="L431" s="1"/>
  <c r="K367"/>
  <c r="L367" s="1"/>
  <c r="K305"/>
  <c r="L305" s="1"/>
  <c r="K555"/>
  <c r="L555" s="1"/>
  <c r="K522"/>
  <c r="L522" s="1"/>
  <c r="K490"/>
  <c r="L490" s="1"/>
  <c r="K458"/>
  <c r="L458" s="1"/>
  <c r="K579"/>
  <c r="L579" s="1"/>
  <c r="K269"/>
  <c r="L269" s="1"/>
  <c r="K238"/>
  <c r="L238" s="1"/>
  <c r="K207"/>
  <c r="L207" s="1"/>
  <c r="K175"/>
  <c r="L175" s="1"/>
  <c r="K421"/>
  <c r="L421" s="1"/>
  <c r="K374"/>
  <c r="L374" s="1"/>
  <c r="K309"/>
  <c r="L309" s="1"/>
  <c r="K113"/>
  <c r="L113" s="1"/>
  <c r="K30"/>
  <c r="L30" s="1"/>
  <c r="K125"/>
  <c r="L125" s="1"/>
  <c r="K120"/>
  <c r="L120" s="1"/>
  <c r="K88"/>
  <c r="L88" s="1"/>
  <c r="K86"/>
  <c r="L86" s="1"/>
  <c r="K106"/>
  <c r="L106" s="1"/>
  <c r="K564"/>
  <c r="L564" s="1"/>
  <c r="K521"/>
  <c r="L521" s="1"/>
  <c r="K489"/>
  <c r="L489" s="1"/>
  <c r="K457"/>
  <c r="L457" s="1"/>
  <c r="K282"/>
  <c r="L282" s="1"/>
  <c r="K220"/>
  <c r="L220" s="1"/>
  <c r="K164"/>
  <c r="L164" s="1"/>
  <c r="K356"/>
  <c r="L356" s="1"/>
  <c r="K358"/>
  <c r="L358" s="1"/>
  <c r="K551"/>
  <c r="L551" s="1"/>
  <c r="K486"/>
  <c r="L486" s="1"/>
  <c r="K575"/>
  <c r="L575" s="1"/>
  <c r="K234"/>
  <c r="L234" s="1"/>
  <c r="K171"/>
  <c r="L171" s="1"/>
  <c r="K369"/>
  <c r="L369" s="1"/>
  <c r="K71"/>
  <c r="L71" s="1"/>
  <c r="K47"/>
  <c r="L47" s="1"/>
  <c r="K45"/>
  <c r="L45" s="1"/>
  <c r="K75"/>
  <c r="L75" s="1"/>
  <c r="K392"/>
  <c r="L392" s="1"/>
  <c r="K552"/>
  <c r="L552" s="1"/>
  <c r="K511"/>
  <c r="L511" s="1"/>
  <c r="K479"/>
  <c r="L479" s="1"/>
  <c r="K447"/>
  <c r="L447" s="1"/>
  <c r="K133"/>
  <c r="L133" s="1"/>
  <c r="K256"/>
  <c r="L256" s="1"/>
  <c r="K226"/>
  <c r="L226" s="1"/>
  <c r="K194"/>
  <c r="L194" s="1"/>
  <c r="K162"/>
  <c r="L162" s="1"/>
  <c r="K408"/>
  <c r="L408" s="1"/>
  <c r="K354"/>
  <c r="L354" s="1"/>
  <c r="K149"/>
  <c r="L149" s="1"/>
  <c r="K345"/>
  <c r="L345" s="1"/>
  <c r="K299"/>
  <c r="L299" s="1"/>
  <c r="K549"/>
  <c r="L549" s="1"/>
  <c r="K516"/>
  <c r="L516" s="1"/>
  <c r="K484"/>
  <c r="L484" s="1"/>
  <c r="K452"/>
  <c r="L452" s="1"/>
  <c r="K138"/>
  <c r="L138" s="1"/>
  <c r="K263"/>
  <c r="L263" s="1"/>
  <c r="K232"/>
  <c r="L232" s="1"/>
  <c r="K201"/>
  <c r="L201" s="1"/>
  <c r="K169"/>
  <c r="L169" s="1"/>
  <c r="K415"/>
  <c r="L415" s="1"/>
  <c r="K362"/>
  <c r="L362" s="1"/>
  <c r="K430"/>
  <c r="L430" s="1"/>
  <c r="K64"/>
  <c r="L64" s="1"/>
  <c r="K110"/>
  <c r="L110" s="1"/>
  <c r="K108"/>
  <c r="L108" s="1"/>
  <c r="K94"/>
  <c r="L94" s="1"/>
  <c r="K58"/>
  <c r="L58" s="1"/>
  <c r="K101"/>
  <c r="L101" s="1"/>
  <c r="K11"/>
  <c r="L11" s="1"/>
  <c r="K258"/>
  <c r="L258" s="1"/>
  <c r="K188"/>
  <c r="L188" s="1"/>
  <c r="K402"/>
  <c r="L402" s="1"/>
  <c r="K143"/>
  <c r="L143" s="1"/>
  <c r="K293"/>
  <c r="L293" s="1"/>
  <c r="K510"/>
  <c r="L510" s="1"/>
  <c r="K446"/>
  <c r="L446" s="1"/>
  <c r="K257"/>
  <c r="L257" s="1"/>
  <c r="K195"/>
  <c r="L195" s="1"/>
  <c r="K409"/>
  <c r="L409" s="1"/>
  <c r="K148"/>
  <c r="L148" s="1"/>
  <c r="K68"/>
  <c r="L68" s="1"/>
  <c r="K109"/>
  <c r="L109" s="1"/>
  <c r="K61"/>
  <c r="L61" s="1"/>
  <c r="K451"/>
  <c r="L451" s="1"/>
  <c r="K198"/>
  <c r="L198" s="1"/>
  <c r="K429"/>
  <c r="L429" s="1"/>
  <c r="K520"/>
  <c r="L520" s="1"/>
  <c r="K267"/>
  <c r="L267" s="1"/>
  <c r="K419"/>
  <c r="L419" s="1"/>
  <c r="K114"/>
  <c r="L114" s="1"/>
  <c r="K432"/>
  <c r="L432" s="1"/>
  <c r="K79"/>
  <c r="L79" s="1"/>
  <c r="K578"/>
  <c r="L578" s="1"/>
  <c r="K341"/>
  <c r="L341" s="1"/>
  <c r="K296"/>
  <c r="L296" s="1"/>
  <c r="K321"/>
  <c r="L321" s="1"/>
  <c r="K325"/>
  <c r="L325" s="1"/>
  <c r="K525"/>
  <c r="L525" s="1"/>
  <c r="K315"/>
  <c r="L315" s="1"/>
  <c r="K548"/>
  <c r="L548" s="1"/>
  <c r="K477"/>
  <c r="L477" s="1"/>
  <c r="K445"/>
  <c r="L445" s="1"/>
  <c r="K254"/>
  <c r="L254" s="1"/>
  <c r="K192"/>
  <c r="L192" s="1"/>
  <c r="K406"/>
  <c r="L406" s="1"/>
  <c r="K147"/>
  <c r="L147" s="1"/>
  <c r="K297"/>
  <c r="L297" s="1"/>
  <c r="K514"/>
  <c r="L514" s="1"/>
  <c r="K450"/>
  <c r="L450" s="1"/>
  <c r="K261"/>
  <c r="L261" s="1"/>
  <c r="K199"/>
  <c r="L199" s="1"/>
  <c r="K413"/>
  <c r="L413" s="1"/>
  <c r="K289"/>
  <c r="L289" s="1"/>
  <c r="K65"/>
  <c r="L65" s="1"/>
  <c r="K38"/>
  <c r="L38" s="1"/>
  <c r="K116"/>
  <c r="L116" s="1"/>
  <c r="K513"/>
  <c r="L513" s="1"/>
  <c r="K441"/>
  <c r="L441" s="1"/>
  <c r="K212"/>
  <c r="L212" s="1"/>
  <c r="K335"/>
  <c r="L335" s="1"/>
  <c r="K534"/>
  <c r="L534" s="1"/>
  <c r="K281"/>
  <c r="L281" s="1"/>
  <c r="K155"/>
  <c r="L155" s="1"/>
  <c r="K23"/>
  <c r="L23" s="1"/>
  <c r="K66"/>
  <c r="L66" s="1"/>
  <c r="K323"/>
  <c r="L323" s="1"/>
  <c r="K503"/>
  <c r="L503" s="1"/>
  <c r="K439"/>
  <c r="L439" s="1"/>
  <c r="K248"/>
  <c r="L248" s="1"/>
  <c r="K186"/>
  <c r="L186" s="1"/>
  <c r="K399"/>
  <c r="L399" s="1"/>
  <c r="K141"/>
  <c r="L141" s="1"/>
  <c r="K291"/>
  <c r="L291" s="1"/>
  <c r="K508"/>
  <c r="L508" s="1"/>
  <c r="K444"/>
  <c r="L444" s="1"/>
  <c r="K255"/>
  <c r="L255" s="1"/>
  <c r="K193"/>
  <c r="L193" s="1"/>
  <c r="K407"/>
  <c r="L407" s="1"/>
  <c r="K146"/>
  <c r="L146" s="1"/>
  <c r="K83"/>
  <c r="L83" s="1"/>
  <c r="K119"/>
  <c r="L119" s="1"/>
  <c r="K14"/>
  <c r="L14" s="1"/>
  <c r="K384"/>
  <c r="L384" s="1"/>
  <c r="K319"/>
  <c r="L319" s="1"/>
  <c r="K540"/>
  <c r="L540" s="1"/>
  <c r="K344"/>
  <c r="L344" s="1"/>
  <c r="K397"/>
  <c r="L397" s="1"/>
  <c r="K294"/>
  <c r="L294" s="1"/>
  <c r="K542"/>
  <c r="L542" s="1"/>
  <c r="K376"/>
  <c r="L376" s="1"/>
  <c r="K290"/>
  <c r="L290" s="1"/>
  <c r="K527"/>
  <c r="L527" s="1"/>
  <c r="K493"/>
  <c r="L493" s="1"/>
  <c r="K461"/>
  <c r="L461" s="1"/>
  <c r="K580"/>
  <c r="L580" s="1"/>
  <c r="K270"/>
  <c r="L270" s="1"/>
  <c r="K239"/>
  <c r="L239" s="1"/>
  <c r="K208"/>
  <c r="L208" s="1"/>
  <c r="K176"/>
  <c r="L176" s="1"/>
  <c r="K422"/>
  <c r="L422" s="1"/>
  <c r="K378"/>
  <c r="L378" s="1"/>
  <c r="K310"/>
  <c r="L310" s="1"/>
  <c r="K385"/>
  <c r="L385" s="1"/>
  <c r="K318"/>
  <c r="L318" s="1"/>
  <c r="K563"/>
  <c r="L563" s="1"/>
  <c r="K530"/>
  <c r="L530" s="1"/>
  <c r="K498"/>
  <c r="L498" s="1"/>
  <c r="K466"/>
  <c r="L466" s="1"/>
  <c r="K434"/>
  <c r="L434" s="1"/>
  <c r="K277"/>
  <c r="L277" s="1"/>
  <c r="K246"/>
  <c r="L246" s="1"/>
  <c r="K215"/>
  <c r="L215" s="1"/>
  <c r="K183"/>
  <c r="L183" s="1"/>
  <c r="K151"/>
  <c r="L151" s="1"/>
  <c r="K390"/>
  <c r="L390" s="1"/>
  <c r="K339"/>
  <c r="L339" s="1"/>
  <c r="K32"/>
  <c r="L32" s="1"/>
  <c r="K36"/>
  <c r="L36" s="1"/>
  <c r="K37"/>
  <c r="L37" s="1"/>
  <c r="K54"/>
  <c r="L54" s="1"/>
  <c r="K102"/>
  <c r="L102" s="1"/>
  <c r="K59"/>
  <c r="L59" s="1"/>
  <c r="K22"/>
  <c r="L22" s="1"/>
  <c r="K98"/>
  <c r="L98" s="1"/>
  <c r="K300"/>
  <c r="L300" s="1"/>
  <c r="K531"/>
  <c r="L531" s="1"/>
  <c r="K497"/>
  <c r="L497" s="1"/>
  <c r="K465"/>
  <c r="L465" s="1"/>
  <c r="K576"/>
  <c r="L576" s="1"/>
  <c r="K235"/>
  <c r="L235" s="1"/>
  <c r="K180"/>
  <c r="L180" s="1"/>
  <c r="K386"/>
  <c r="L386" s="1"/>
  <c r="K393"/>
  <c r="L393" s="1"/>
  <c r="K567"/>
  <c r="L567" s="1"/>
  <c r="K502"/>
  <c r="L502" s="1"/>
  <c r="K438"/>
  <c r="L438" s="1"/>
  <c r="K249"/>
  <c r="L249" s="1"/>
  <c r="K187"/>
  <c r="L187" s="1"/>
  <c r="K398"/>
  <c r="L398" s="1"/>
  <c r="K140"/>
  <c r="L140" s="1"/>
  <c r="K126"/>
  <c r="L126" s="1"/>
  <c r="K91"/>
  <c r="L91" s="1"/>
  <c r="K60"/>
  <c r="L60" s="1"/>
  <c r="K562"/>
  <c r="L562" s="1"/>
  <c r="K519"/>
  <c r="L519" s="1"/>
  <c r="K487"/>
  <c r="L487" s="1"/>
  <c r="K455"/>
  <c r="L455" s="1"/>
  <c r="K574"/>
  <c r="L574" s="1"/>
  <c r="K264"/>
  <c r="L264" s="1"/>
  <c r="K233"/>
  <c r="L233" s="1"/>
  <c r="K202"/>
  <c r="L202" s="1"/>
  <c r="K170"/>
  <c r="L170" s="1"/>
  <c r="K416"/>
  <c r="L416" s="1"/>
  <c r="K368"/>
  <c r="L368" s="1"/>
  <c r="K573"/>
  <c r="L573" s="1"/>
  <c r="K372"/>
  <c r="L372" s="1"/>
  <c r="K312"/>
  <c r="L312" s="1"/>
  <c r="K557"/>
  <c r="L557" s="1"/>
  <c r="K524"/>
  <c r="L524" s="1"/>
  <c r="K492"/>
  <c r="L492" s="1"/>
  <c r="K460"/>
  <c r="L460" s="1"/>
  <c r="K581"/>
  <c r="L581" s="1"/>
  <c r="K271"/>
  <c r="L271" s="1"/>
  <c r="K240"/>
  <c r="L240" s="1"/>
  <c r="K209"/>
  <c r="L209" s="1"/>
  <c r="K177"/>
  <c r="L177" s="1"/>
  <c r="K423"/>
  <c r="L423" s="1"/>
  <c r="K379"/>
  <c r="L379" s="1"/>
  <c r="K311"/>
  <c r="L311" s="1"/>
  <c r="K89"/>
  <c r="L89" s="1"/>
  <c r="K31"/>
  <c r="L31" s="1"/>
  <c r="K72"/>
  <c r="L72" s="1"/>
  <c r="K42"/>
  <c r="L42" s="1"/>
  <c r="K69"/>
  <c r="L69" s="1"/>
  <c r="K84"/>
  <c r="L84" s="1"/>
  <c r="K123"/>
  <c r="L123" s="1"/>
  <c r="K274"/>
  <c r="L274" s="1"/>
  <c r="K204"/>
  <c r="L204" s="1"/>
  <c r="K418"/>
  <c r="L418" s="1"/>
  <c r="K306"/>
  <c r="L306" s="1"/>
  <c r="K314"/>
  <c r="L314" s="1"/>
  <c r="K526"/>
  <c r="L526" s="1"/>
  <c r="K462"/>
  <c r="L462" s="1"/>
  <c r="K273"/>
  <c r="L273" s="1"/>
  <c r="K211"/>
  <c r="L211" s="1"/>
  <c r="K425"/>
  <c r="L425" s="1"/>
  <c r="K332"/>
  <c r="L332" s="1"/>
  <c r="K62"/>
  <c r="L62" s="1"/>
  <c r="K121"/>
  <c r="L121" s="1"/>
  <c r="K112"/>
  <c r="L112" s="1"/>
  <c r="K95"/>
  <c r="L95" s="1"/>
  <c r="K483"/>
  <c r="L483" s="1"/>
  <c r="K229"/>
  <c r="L229" s="1"/>
  <c r="K361"/>
  <c r="L361" s="1"/>
  <c r="K553"/>
  <c r="L553" s="1"/>
  <c r="K577"/>
  <c r="L577" s="1"/>
  <c r="K173"/>
  <c r="L173" s="1"/>
  <c r="K55"/>
  <c r="L55" s="1"/>
  <c r="K29"/>
  <c r="L29" s="1"/>
  <c r="K334"/>
  <c r="L334" s="1"/>
  <c r="K118"/>
  <c r="L118" s="1"/>
  <c r="K181"/>
  <c r="L181" s="1"/>
  <c r="K57"/>
  <c r="L57" s="1"/>
  <c r="K33"/>
  <c r="L33" s="1"/>
  <c r="K491"/>
  <c r="L491" s="1"/>
  <c r="K496"/>
  <c r="L496" s="1"/>
  <c r="K189"/>
  <c r="L189" s="1"/>
  <c r="K90"/>
  <c r="L90" s="1"/>
  <c r="K213"/>
  <c r="L213" s="1"/>
  <c r="K48"/>
  <c r="L48" s="1"/>
  <c r="K73"/>
  <c r="L73" s="1"/>
  <c r="K568"/>
  <c r="L568" s="1"/>
  <c r="K380"/>
  <c r="L380" s="1"/>
  <c r="K391"/>
  <c r="L391" s="1"/>
  <c r="K174"/>
  <c r="L174" s="1"/>
  <c r="K435"/>
  <c r="L435" s="1"/>
  <c r="K459"/>
  <c r="L459" s="1"/>
  <c r="K206"/>
  <c r="L206" s="1"/>
  <c r="K308"/>
  <c r="L308" s="1"/>
  <c r="K528"/>
  <c r="L528" s="1"/>
  <c r="K387"/>
  <c r="L387" s="1"/>
  <c r="K467"/>
  <c r="L467" s="1"/>
  <c r="K182"/>
  <c r="L182" s="1"/>
  <c r="K440"/>
  <c r="L440" s="1"/>
  <c r="K56"/>
  <c r="L56" s="1"/>
  <c r="K237"/>
  <c r="L237" s="1"/>
  <c r="K375"/>
  <c r="L375" s="1"/>
  <c r="K561"/>
  <c r="L561" s="1"/>
  <c r="K275"/>
  <c r="L275" s="1"/>
  <c r="K499"/>
  <c r="L499" s="1"/>
  <c r="K245"/>
  <c r="L245" s="1"/>
  <c r="K569"/>
  <c r="L569" s="1"/>
  <c r="K99"/>
  <c r="L99" s="1"/>
  <c r="K523"/>
  <c r="L523" s="1"/>
  <c r="K268"/>
  <c r="L268" s="1"/>
  <c r="K420"/>
  <c r="L420" s="1"/>
  <c r="K316"/>
  <c r="L316" s="1"/>
  <c r="K464"/>
  <c r="L464" s="1"/>
  <c r="K535"/>
  <c r="L535" s="1"/>
  <c r="K276"/>
  <c r="L276" s="1"/>
  <c r="K396"/>
  <c r="L396" s="1"/>
  <c r="K50"/>
  <c r="L50" s="1"/>
  <c r="K428"/>
  <c r="L428" s="1"/>
  <c r="K324"/>
  <c r="L324" s="1"/>
  <c r="K472"/>
  <c r="L472" s="1"/>
  <c r="K221"/>
  <c r="L221" s="1"/>
  <c r="K142"/>
  <c r="L142" s="1"/>
  <c r="K127"/>
  <c r="L127" s="1"/>
  <c r="K165"/>
  <c r="L165" s="1"/>
  <c r="K546"/>
  <c r="L546" s="1"/>
  <c r="K504"/>
  <c r="L504" s="1"/>
  <c r="K251"/>
  <c r="L251" s="1"/>
  <c r="K403"/>
  <c r="L403" s="1"/>
  <c r="K80"/>
  <c r="L80" s="1"/>
  <c r="K350"/>
  <c r="L350" s="1"/>
  <c r="K259"/>
  <c r="L259" s="1"/>
  <c r="K214"/>
  <c r="L214" s="1"/>
  <c r="K338"/>
  <c r="L338" s="1"/>
  <c r="K536"/>
  <c r="L536" s="1"/>
  <c r="K283"/>
  <c r="L283" s="1"/>
  <c r="K157"/>
  <c r="L157" s="1"/>
  <c r="K122"/>
  <c r="L122" s="1"/>
  <c r="K222"/>
  <c r="L222" s="1"/>
  <c r="K295"/>
  <c r="L295" s="1"/>
  <c r="K448"/>
  <c r="L448" s="1"/>
  <c r="K252"/>
  <c r="L252" s="1"/>
  <c r="K475"/>
  <c r="L475" s="1"/>
  <c r="K134"/>
  <c r="L134" s="1"/>
  <c r="K443"/>
  <c r="L443" s="1"/>
  <c r="K145"/>
  <c r="L145" s="1"/>
  <c r="K337"/>
  <c r="L337" s="1"/>
  <c r="K349"/>
  <c r="L349" s="1"/>
  <c r="K87"/>
  <c r="L87" s="1"/>
  <c r="K97"/>
  <c r="L97" s="1"/>
  <c r="K545"/>
  <c r="L545" s="1"/>
  <c r="K104"/>
  <c r="L104" s="1"/>
  <c r="K357"/>
  <c r="L357" s="1"/>
  <c r="K190"/>
  <c r="L190" s="1"/>
  <c r="K404"/>
  <c r="L404" s="1"/>
  <c r="K480"/>
  <c r="L480" s="1"/>
  <c r="K197"/>
  <c r="L197" s="1"/>
  <c r="K512"/>
  <c r="L512" s="1"/>
  <c r="K24"/>
  <c r="L24" s="1"/>
  <c r="K284"/>
  <c r="L284" s="1"/>
  <c r="K67"/>
  <c r="L67" s="1"/>
  <c r="K111"/>
  <c r="L111" s="1"/>
  <c r="K507"/>
  <c r="L507" s="1"/>
  <c r="K359"/>
  <c r="L359" s="1"/>
  <c r="K34"/>
  <c r="L34" s="1"/>
  <c r="K158"/>
  <c r="L158" s="1"/>
  <c r="K124"/>
  <c r="L124" s="1"/>
  <c r="K150"/>
  <c r="L150" s="1"/>
  <c r="K228"/>
  <c r="L228" s="1"/>
  <c r="K128"/>
  <c r="L128" s="1"/>
  <c r="K51"/>
  <c r="L51" s="1"/>
  <c r="M37" i="21"/>
  <c r="N37" s="1"/>
  <c r="E41"/>
  <c r="K38"/>
  <c r="M38" s="1"/>
  <c r="N38" s="1"/>
  <c r="D40"/>
  <c r="D42" s="1"/>
  <c r="D41" s="1"/>
  <c r="D43" s="1"/>
  <c r="E43" l="1"/>
  <c r="F43" s="1"/>
  <c r="G43" s="1"/>
  <c r="H43" s="1"/>
  <c r="I43" s="1"/>
  <c r="J43" s="1"/>
  <c r="K40"/>
  <c r="K42" s="1"/>
  <c r="K41" s="1"/>
  <c r="D44"/>
  <c r="E44" s="1"/>
  <c r="F44" s="1"/>
  <c r="G44" s="1"/>
  <c r="H44" s="1"/>
  <c r="I44" s="1"/>
  <c r="J44" s="1"/>
  <c r="K43" l="1"/>
  <c r="K44"/>
  <c r="M40"/>
  <c r="N40" s="1"/>
  <c r="J12" i="26" l="1"/>
  <c r="J13" l="1"/>
  <c r="J14" s="1"/>
  <c r="J15" s="1"/>
  <c r="J16" s="1"/>
  <c r="J17" s="1"/>
  <c r="J18" s="1"/>
  <c r="J19" s="1"/>
  <c r="J20" s="1"/>
  <c r="J21" s="1"/>
  <c r="J22" s="1"/>
  <c r="J23" s="1"/>
  <c r="J24" s="1"/>
  <c r="J25" s="1"/>
  <c r="J26" s="1"/>
  <c r="J27" s="1"/>
  <c r="J28" s="1"/>
  <c r="J29" s="1"/>
  <c r="J30" s="1"/>
  <c r="J31" s="1"/>
  <c r="J32" s="1"/>
  <c r="J33" s="1"/>
  <c r="J34" s="1"/>
  <c r="J35" s="1"/>
  <c r="J36" s="1"/>
  <c r="J37" s="1"/>
  <c r="J38" s="1"/>
  <c r="J39" s="1"/>
  <c r="J40" s="1"/>
  <c r="J41" s="1"/>
  <c r="J42" s="1"/>
  <c r="J43" s="1"/>
  <c r="J44" s="1"/>
  <c r="J45" s="1"/>
  <c r="J46" s="1"/>
  <c r="J47" s="1"/>
  <c r="J48" s="1"/>
  <c r="J49" s="1"/>
  <c r="J50" s="1"/>
  <c r="J51" s="1"/>
  <c r="J52" s="1"/>
  <c r="J53" s="1"/>
  <c r="J54" s="1"/>
  <c r="J55" s="1"/>
  <c r="J56" s="1"/>
  <c r="J57" s="1"/>
  <c r="J58" s="1"/>
  <c r="J59" s="1"/>
  <c r="J60" s="1"/>
  <c r="J61" s="1"/>
  <c r="J62" s="1"/>
  <c r="J63" s="1"/>
  <c r="J64" s="1"/>
  <c r="J65" s="1"/>
  <c r="J66" s="1"/>
  <c r="J67" s="1"/>
  <c r="J68" s="1"/>
  <c r="J69" s="1"/>
  <c r="J70" s="1"/>
  <c r="J71" s="1"/>
  <c r="J72" s="1"/>
  <c r="J73" s="1"/>
  <c r="J74" s="1"/>
  <c r="J75" s="1"/>
  <c r="J76" s="1"/>
  <c r="J77" s="1"/>
  <c r="J78" s="1"/>
  <c r="J79" s="1"/>
  <c r="J80" s="1"/>
  <c r="J81" s="1"/>
  <c r="J82" s="1"/>
  <c r="J83" s="1"/>
  <c r="J84" s="1"/>
  <c r="J85" s="1"/>
  <c r="J86" s="1"/>
  <c r="J87" s="1"/>
  <c r="J88" s="1"/>
  <c r="J89" s="1"/>
  <c r="J90" s="1"/>
  <c r="J91" s="1"/>
  <c r="J92" s="1"/>
  <c r="J93" s="1"/>
  <c r="J94" s="1"/>
  <c r="J95" s="1"/>
  <c r="J96" s="1"/>
  <c r="J97" s="1"/>
  <c r="J98" s="1"/>
  <c r="J99" s="1"/>
  <c r="J100" s="1"/>
  <c r="J101" s="1"/>
  <c r="J102" s="1"/>
  <c r="J103" s="1"/>
  <c r="J104" s="1"/>
  <c r="J105" s="1"/>
  <c r="J106" s="1"/>
  <c r="J107" s="1"/>
  <c r="J108" s="1"/>
  <c r="J109" s="1"/>
  <c r="J110" s="1"/>
  <c r="J111" s="1"/>
  <c r="J112" s="1"/>
  <c r="J113" s="1"/>
  <c r="J114" s="1"/>
  <c r="J115" s="1"/>
  <c r="J116" s="1"/>
  <c r="J117" s="1"/>
  <c r="J118" s="1"/>
  <c r="J119" s="1"/>
  <c r="J120" s="1"/>
  <c r="J121" s="1"/>
  <c r="J122" s="1"/>
  <c r="J123" s="1"/>
  <c r="J124" s="1"/>
  <c r="J125" s="1"/>
  <c r="J126" s="1"/>
  <c r="J127" s="1"/>
  <c r="J128" s="1"/>
  <c r="J129" s="1"/>
  <c r="J130" s="1"/>
  <c r="J131" s="1"/>
  <c r="J132" s="1"/>
  <c r="J133" s="1"/>
  <c r="J134" s="1"/>
  <c r="J135" s="1"/>
  <c r="J136" s="1"/>
  <c r="J137" s="1"/>
  <c r="J138" s="1"/>
  <c r="J139" s="1"/>
  <c r="J140" s="1"/>
  <c r="J141" s="1"/>
  <c r="J142" s="1"/>
  <c r="J143" s="1"/>
  <c r="J144" s="1"/>
  <c r="J145" s="1"/>
  <c r="J146" s="1"/>
  <c r="J147" s="1"/>
  <c r="J148" s="1"/>
  <c r="J149" s="1"/>
  <c r="J150" s="1"/>
  <c r="J151" s="1"/>
  <c r="J152" s="1"/>
  <c r="J153" s="1"/>
  <c r="J154" s="1"/>
  <c r="J155" s="1"/>
  <c r="J156" s="1"/>
  <c r="J157" s="1"/>
  <c r="J158" s="1"/>
  <c r="J159" s="1"/>
  <c r="J160" s="1"/>
  <c r="J161" s="1"/>
  <c r="J162" s="1"/>
  <c r="J163" s="1"/>
  <c r="J164" s="1"/>
  <c r="J165" s="1"/>
  <c r="J166" s="1"/>
  <c r="J167" s="1"/>
  <c r="J168" s="1"/>
  <c r="J169" s="1"/>
  <c r="J170" s="1"/>
  <c r="J171" s="1"/>
  <c r="J172" s="1"/>
  <c r="J173" s="1"/>
  <c r="J174" s="1"/>
  <c r="J175" s="1"/>
  <c r="J176" s="1"/>
  <c r="J177" s="1"/>
  <c r="J178" s="1"/>
  <c r="J179" s="1"/>
  <c r="J180" s="1"/>
  <c r="J181" s="1"/>
  <c r="J182" s="1"/>
  <c r="J183" s="1"/>
  <c r="J184" s="1"/>
  <c r="J185" s="1"/>
  <c r="J186" s="1"/>
  <c r="J187" s="1"/>
  <c r="J188" s="1"/>
  <c r="J189" s="1"/>
  <c r="J190" s="1"/>
  <c r="J191" s="1"/>
  <c r="J192" s="1"/>
  <c r="J193" s="1"/>
  <c r="J194" s="1"/>
  <c r="J195" s="1"/>
  <c r="J196" s="1"/>
  <c r="J197" s="1"/>
  <c r="J198" s="1"/>
  <c r="J199" s="1"/>
  <c r="J200" s="1"/>
  <c r="J201" s="1"/>
  <c r="J202" s="1"/>
  <c r="J203" s="1"/>
  <c r="J204" s="1"/>
  <c r="J205" s="1"/>
  <c r="J206" s="1"/>
  <c r="J207" s="1"/>
  <c r="J208" s="1"/>
  <c r="J209" s="1"/>
  <c r="J210" s="1"/>
  <c r="J211" s="1"/>
  <c r="J212" s="1"/>
  <c r="J213" s="1"/>
  <c r="J214" s="1"/>
  <c r="J215" s="1"/>
  <c r="J216" s="1"/>
  <c r="J217" s="1"/>
  <c r="J218" s="1"/>
  <c r="J219" s="1"/>
  <c r="J220" s="1"/>
  <c r="J221" s="1"/>
  <c r="J222" s="1"/>
  <c r="J223" s="1"/>
  <c r="J224" s="1"/>
  <c r="J225" s="1"/>
  <c r="J226" s="1"/>
  <c r="J227" s="1"/>
  <c r="J228" s="1"/>
  <c r="J229" s="1"/>
  <c r="J230" s="1"/>
  <c r="J231" s="1"/>
  <c r="J232" s="1"/>
  <c r="J233" s="1"/>
  <c r="J234" s="1"/>
  <c r="J235" s="1"/>
  <c r="J236" s="1"/>
  <c r="J237" s="1"/>
  <c r="J238" s="1"/>
  <c r="J239" s="1"/>
  <c r="J240" s="1"/>
  <c r="J241" s="1"/>
  <c r="J242" s="1"/>
  <c r="J243" s="1"/>
  <c r="J244" s="1"/>
  <c r="J245" s="1"/>
  <c r="J246" s="1"/>
  <c r="J247" s="1"/>
  <c r="J248" s="1"/>
  <c r="J249" s="1"/>
  <c r="J250" s="1"/>
  <c r="J251" s="1"/>
  <c r="J252" s="1"/>
  <c r="J253" s="1"/>
  <c r="J254" s="1"/>
  <c r="J255" s="1"/>
  <c r="J256" s="1"/>
  <c r="J257" s="1"/>
  <c r="J258" s="1"/>
  <c r="J259" s="1"/>
  <c r="J260" s="1"/>
  <c r="J261" s="1"/>
  <c r="J262" s="1"/>
  <c r="J263" s="1"/>
  <c r="J264" s="1"/>
  <c r="J265" s="1"/>
  <c r="J266" s="1"/>
  <c r="J267" s="1"/>
  <c r="J268" s="1"/>
  <c r="J269" s="1"/>
  <c r="J270" s="1"/>
  <c r="J271" s="1"/>
  <c r="J272" s="1"/>
  <c r="J273" s="1"/>
  <c r="J274" s="1"/>
  <c r="J275" s="1"/>
  <c r="J276" s="1"/>
  <c r="J277" s="1"/>
  <c r="J278" s="1"/>
  <c r="J279" s="1"/>
  <c r="J280" s="1"/>
  <c r="J281" s="1"/>
  <c r="J282" s="1"/>
  <c r="J283" s="1"/>
  <c r="J284" s="1"/>
  <c r="J285" s="1"/>
  <c r="J286" s="1"/>
  <c r="J287" s="1"/>
  <c r="J288" s="1"/>
  <c r="J289" s="1"/>
  <c r="J290" s="1"/>
  <c r="J291" s="1"/>
  <c r="J292" s="1"/>
  <c r="J293" s="1"/>
  <c r="J294" s="1"/>
  <c r="J295" s="1"/>
  <c r="J296" s="1"/>
  <c r="J297" s="1"/>
  <c r="J298" s="1"/>
  <c r="J299" s="1"/>
  <c r="J300" s="1"/>
  <c r="J301" s="1"/>
  <c r="J302" s="1"/>
  <c r="J303" s="1"/>
  <c r="J304" s="1"/>
  <c r="J305" s="1"/>
  <c r="J306" s="1"/>
  <c r="J307" s="1"/>
  <c r="J308" s="1"/>
  <c r="J309" s="1"/>
  <c r="J310" s="1"/>
  <c r="J311" s="1"/>
  <c r="J312" s="1"/>
  <c r="J313" s="1"/>
  <c r="J314" s="1"/>
  <c r="J315" s="1"/>
  <c r="J316" s="1"/>
  <c r="J317" s="1"/>
  <c r="J318" s="1"/>
  <c r="J319" s="1"/>
  <c r="J320" s="1"/>
  <c r="J321" s="1"/>
  <c r="J322" s="1"/>
  <c r="J323" s="1"/>
  <c r="J324" s="1"/>
  <c r="J325" s="1"/>
  <c r="J326" s="1"/>
  <c r="J327" s="1"/>
  <c r="J328" s="1"/>
  <c r="J329" s="1"/>
  <c r="J330" s="1"/>
  <c r="J331" s="1"/>
  <c r="J332" s="1"/>
  <c r="J333" s="1"/>
  <c r="J334" s="1"/>
  <c r="J335" s="1"/>
  <c r="J336" s="1"/>
  <c r="J337" s="1"/>
  <c r="J338" s="1"/>
  <c r="J339" s="1"/>
  <c r="J340" s="1"/>
  <c r="J341" s="1"/>
  <c r="J342" s="1"/>
  <c r="J343" s="1"/>
  <c r="J344" s="1"/>
  <c r="J345" s="1"/>
  <c r="J346" s="1"/>
  <c r="J347" s="1"/>
  <c r="J348" s="1"/>
  <c r="J349" s="1"/>
  <c r="J350" s="1"/>
  <c r="J351" s="1"/>
  <c r="J352" s="1"/>
  <c r="J353" s="1"/>
  <c r="J354" s="1"/>
  <c r="J355" s="1"/>
  <c r="J356" s="1"/>
  <c r="J357" s="1"/>
  <c r="J358" s="1"/>
  <c r="J359" s="1"/>
  <c r="J360" s="1"/>
  <c r="J361" s="1"/>
  <c r="J362" s="1"/>
  <c r="J363" s="1"/>
  <c r="J364" s="1"/>
  <c r="J365" s="1"/>
  <c r="J366" s="1"/>
  <c r="J367" s="1"/>
  <c r="J368" s="1"/>
  <c r="J369" s="1"/>
  <c r="J370" s="1"/>
  <c r="J371" s="1"/>
  <c r="J372" s="1"/>
  <c r="J373" s="1"/>
  <c r="J374" s="1"/>
  <c r="J375" s="1"/>
  <c r="J376" s="1"/>
  <c r="J377" s="1"/>
  <c r="J378" s="1"/>
  <c r="J379" s="1"/>
  <c r="J380" s="1"/>
  <c r="J381" s="1"/>
  <c r="J382" s="1"/>
  <c r="J383" s="1"/>
  <c r="J384" s="1"/>
  <c r="J385" s="1"/>
  <c r="J386" s="1"/>
  <c r="J387" s="1"/>
  <c r="J388" s="1"/>
  <c r="J389" s="1"/>
  <c r="J390" s="1"/>
  <c r="J391" s="1"/>
  <c r="J392" s="1"/>
  <c r="J393" s="1"/>
  <c r="J394" s="1"/>
  <c r="J395" s="1"/>
  <c r="J396" s="1"/>
  <c r="J397" s="1"/>
  <c r="J398" s="1"/>
  <c r="J399" s="1"/>
  <c r="J400" s="1"/>
  <c r="J401" s="1"/>
  <c r="J402" s="1"/>
  <c r="J403" s="1"/>
  <c r="J404" s="1"/>
  <c r="J405" s="1"/>
  <c r="J406" s="1"/>
  <c r="J407" s="1"/>
  <c r="J408" s="1"/>
  <c r="J409" s="1"/>
  <c r="J410" s="1"/>
  <c r="J411" s="1"/>
  <c r="J412" s="1"/>
  <c r="J413" s="1"/>
  <c r="J414" s="1"/>
  <c r="J415" s="1"/>
  <c r="J416" s="1"/>
  <c r="J417" s="1"/>
  <c r="J418" s="1"/>
  <c r="J419" s="1"/>
  <c r="J420" s="1"/>
  <c r="J421" s="1"/>
  <c r="J422" s="1"/>
  <c r="J423" s="1"/>
  <c r="J424" s="1"/>
  <c r="J425" s="1"/>
  <c r="J426" s="1"/>
  <c r="J427" s="1"/>
  <c r="J428" s="1"/>
  <c r="J429" s="1"/>
  <c r="J430" s="1"/>
  <c r="J431" s="1"/>
  <c r="J432" s="1"/>
  <c r="J433" s="1"/>
  <c r="J434" s="1"/>
  <c r="J435" s="1"/>
  <c r="J436" s="1"/>
  <c r="J437" s="1"/>
  <c r="J438" s="1"/>
  <c r="J439" s="1"/>
  <c r="J440" s="1"/>
  <c r="J441" s="1"/>
  <c r="J442" s="1"/>
  <c r="J443" s="1"/>
  <c r="J444" s="1"/>
  <c r="J445" s="1"/>
  <c r="J446" s="1"/>
  <c r="J447" s="1"/>
  <c r="J448" s="1"/>
  <c r="J449" s="1"/>
  <c r="J450" s="1"/>
  <c r="J451" s="1"/>
  <c r="J452" s="1"/>
  <c r="J453" s="1"/>
  <c r="J454" s="1"/>
  <c r="J455" s="1"/>
  <c r="J456" s="1"/>
  <c r="J457" s="1"/>
  <c r="J458" s="1"/>
  <c r="J459" s="1"/>
  <c r="J460" s="1"/>
  <c r="J461" s="1"/>
  <c r="J462" s="1"/>
  <c r="J463" s="1"/>
  <c r="J464" s="1"/>
  <c r="J465" s="1"/>
  <c r="J466" s="1"/>
  <c r="J467" s="1"/>
  <c r="J468" s="1"/>
  <c r="J469" s="1"/>
  <c r="J470" s="1"/>
  <c r="J471" s="1"/>
  <c r="J472" s="1"/>
  <c r="J473" s="1"/>
  <c r="J474" s="1"/>
  <c r="J475" s="1"/>
  <c r="J476" s="1"/>
  <c r="J477" s="1"/>
  <c r="J478" s="1"/>
  <c r="J479" s="1"/>
  <c r="J480" s="1"/>
  <c r="J481" s="1"/>
  <c r="J482" s="1"/>
  <c r="J483" s="1"/>
  <c r="J484" s="1"/>
  <c r="J485" s="1"/>
  <c r="J486" s="1"/>
  <c r="J487" s="1"/>
  <c r="J488" s="1"/>
  <c r="J489" s="1"/>
  <c r="J490" s="1"/>
  <c r="J491" s="1"/>
  <c r="J492" s="1"/>
  <c r="J493" s="1"/>
  <c r="J494" s="1"/>
  <c r="J495" s="1"/>
  <c r="J496" s="1"/>
  <c r="J497" s="1"/>
  <c r="J498" s="1"/>
  <c r="J499" s="1"/>
  <c r="J500" s="1"/>
  <c r="J501" s="1"/>
  <c r="J502" s="1"/>
  <c r="J503" s="1"/>
  <c r="J504" s="1"/>
  <c r="J505" s="1"/>
  <c r="J506" s="1"/>
  <c r="J507" s="1"/>
  <c r="J508" s="1"/>
  <c r="J509" s="1"/>
  <c r="J510" s="1"/>
  <c r="J511" s="1"/>
  <c r="J512" s="1"/>
  <c r="J513" s="1"/>
  <c r="J514" s="1"/>
  <c r="J515" s="1"/>
  <c r="J516" s="1"/>
  <c r="J517" s="1"/>
  <c r="J518" s="1"/>
  <c r="J519" s="1"/>
  <c r="J520" s="1"/>
  <c r="J521" s="1"/>
  <c r="J522" s="1"/>
  <c r="J523" s="1"/>
  <c r="J524" s="1"/>
  <c r="J525" s="1"/>
  <c r="J526" s="1"/>
  <c r="J527" s="1"/>
  <c r="J528" s="1"/>
  <c r="J529" s="1"/>
  <c r="J530" s="1"/>
  <c r="J531" s="1"/>
  <c r="J532" s="1"/>
  <c r="J533" s="1"/>
  <c r="J534" s="1"/>
  <c r="J535" s="1"/>
  <c r="J536" s="1"/>
  <c r="J537" s="1"/>
  <c r="J538" s="1"/>
  <c r="J539" s="1"/>
  <c r="J540" s="1"/>
  <c r="J541" s="1"/>
  <c r="J542" s="1"/>
  <c r="J543" s="1"/>
  <c r="J544" s="1"/>
  <c r="J545" s="1"/>
  <c r="J546" s="1"/>
  <c r="J547" s="1"/>
  <c r="J548" s="1"/>
  <c r="J549" s="1"/>
  <c r="J550" s="1"/>
  <c r="J551" s="1"/>
  <c r="J552" s="1"/>
  <c r="J553" s="1"/>
  <c r="J554" s="1"/>
  <c r="J555" s="1"/>
  <c r="J556" s="1"/>
  <c r="J557" s="1"/>
  <c r="J558" s="1"/>
  <c r="J559" s="1"/>
  <c r="J560" s="1"/>
  <c r="J561" s="1"/>
  <c r="J562" s="1"/>
  <c r="J563" s="1"/>
  <c r="J564" s="1"/>
  <c r="J565" s="1"/>
  <c r="J566" s="1"/>
  <c r="J567" s="1"/>
  <c r="J568" s="1"/>
  <c r="J569" s="1"/>
  <c r="J570" s="1"/>
  <c r="J571" s="1"/>
  <c r="J572" s="1"/>
  <c r="J573" s="1"/>
  <c r="J574" s="1"/>
  <c r="J575" s="1"/>
  <c r="J576" s="1"/>
  <c r="J577" s="1"/>
  <c r="J578" s="1"/>
  <c r="J579" s="1"/>
  <c r="J580" s="1"/>
  <c r="J581" s="1"/>
  <c r="J582" s="1"/>
  <c r="J583" s="1"/>
  <c r="J584" s="1"/>
  <c r="J585" s="1"/>
  <c r="J586" s="1"/>
  <c r="J587" s="1"/>
  <c r="J588" s="1"/>
  <c r="J589" s="1"/>
  <c r="J590" s="1"/>
  <c r="J591" s="1"/>
  <c r="J592" s="1"/>
  <c r="J593" s="1"/>
  <c r="J594" s="1"/>
  <c r="J595" s="1"/>
  <c r="J596" s="1"/>
  <c r="J597" s="1"/>
  <c r="J598" s="1"/>
  <c r="J599" s="1"/>
  <c r="J600" s="1"/>
  <c r="J601" s="1"/>
  <c r="J602" s="1"/>
  <c r="J603" s="1"/>
  <c r="J604" s="1"/>
  <c r="J605" s="1"/>
  <c r="J606" s="1"/>
  <c r="J607" s="1"/>
  <c r="J608" s="1"/>
  <c r="J609" s="1"/>
  <c r="J610" s="1"/>
  <c r="J611" s="1"/>
  <c r="J612" s="1"/>
  <c r="J613" s="1"/>
  <c r="J614" s="1"/>
  <c r="J615" s="1"/>
  <c r="J616" s="1"/>
  <c r="J617" s="1"/>
  <c r="J618" s="1"/>
  <c r="J619" s="1"/>
  <c r="J620" s="1"/>
  <c r="J621" s="1"/>
  <c r="J622" s="1"/>
  <c r="J623" s="1"/>
  <c r="J624" s="1"/>
  <c r="J625" s="1"/>
  <c r="J626" s="1"/>
  <c r="J627" s="1"/>
  <c r="J628" s="1"/>
  <c r="J629" s="1"/>
  <c r="J630" s="1"/>
  <c r="J631" s="1"/>
  <c r="J632" s="1"/>
  <c r="J633" s="1"/>
  <c r="J634" s="1"/>
  <c r="J635" s="1"/>
  <c r="J636" s="1"/>
  <c r="J637" s="1"/>
  <c r="J638" s="1"/>
  <c r="J639" s="1"/>
  <c r="J640" s="1"/>
  <c r="J641" s="1"/>
  <c r="J642" s="1"/>
  <c r="J643" s="1"/>
  <c r="J644" s="1"/>
  <c r="J645" s="1"/>
  <c r="J646" s="1"/>
  <c r="J647" s="1"/>
  <c r="J648" s="1"/>
  <c r="J649" s="1"/>
  <c r="J650" s="1"/>
  <c r="J651" s="1"/>
  <c r="J652" s="1"/>
  <c r="J653" s="1"/>
  <c r="J654" s="1"/>
  <c r="J655" s="1"/>
  <c r="J656" s="1"/>
  <c r="J657" s="1"/>
  <c r="J658" s="1"/>
  <c r="J659" s="1"/>
  <c r="J660" s="1"/>
  <c r="J661" s="1"/>
  <c r="J662" s="1"/>
  <c r="J663" s="1"/>
  <c r="J664" s="1"/>
  <c r="J665" s="1"/>
  <c r="J666" s="1"/>
  <c r="J667" s="1"/>
  <c r="J668" s="1"/>
  <c r="J669" s="1"/>
  <c r="J670" s="1"/>
  <c r="J671" s="1"/>
  <c r="J672" s="1"/>
  <c r="J673" s="1"/>
  <c r="J674" s="1"/>
  <c r="J675" s="1"/>
  <c r="J676" s="1"/>
  <c r="J677" s="1"/>
  <c r="J678" s="1"/>
  <c r="J679" s="1"/>
  <c r="J680" s="1"/>
  <c r="J681" s="1"/>
  <c r="J682" s="1"/>
  <c r="J683" s="1"/>
  <c r="J684" s="1"/>
  <c r="J685" s="1"/>
  <c r="J686" s="1"/>
  <c r="J687" s="1"/>
  <c r="J688" s="1"/>
  <c r="J689" s="1"/>
  <c r="J690" s="1"/>
  <c r="J691" s="1"/>
  <c r="J692" s="1"/>
  <c r="J693" s="1"/>
  <c r="J694" s="1"/>
  <c r="J695" s="1"/>
  <c r="J696" s="1"/>
  <c r="J697" s="1"/>
  <c r="J698" s="1"/>
  <c r="J699" s="1"/>
  <c r="J700" s="1"/>
  <c r="J701" s="1"/>
  <c r="J702" s="1"/>
  <c r="J703" s="1"/>
  <c r="J704" s="1"/>
  <c r="J705" s="1"/>
  <c r="J706" s="1"/>
  <c r="J707" s="1"/>
  <c r="J708" s="1"/>
  <c r="J709" s="1"/>
  <c r="J710" s="1"/>
  <c r="J711" s="1"/>
  <c r="J712" s="1"/>
  <c r="J713" s="1"/>
  <c r="J714" s="1"/>
  <c r="J715" s="1"/>
  <c r="J716" s="1"/>
  <c r="J717" s="1"/>
  <c r="J718" s="1"/>
  <c r="J719" s="1"/>
  <c r="J720" s="1"/>
  <c r="J721" s="1"/>
  <c r="J722" s="1"/>
  <c r="J723" s="1"/>
  <c r="J724" s="1"/>
  <c r="J725" s="1"/>
  <c r="J726" s="1"/>
  <c r="J727" s="1"/>
  <c r="J728" s="1"/>
  <c r="J729" s="1"/>
  <c r="J730" s="1"/>
  <c r="J731" s="1"/>
  <c r="J732" s="1"/>
  <c r="J733" s="1"/>
  <c r="J734" s="1"/>
  <c r="J735" s="1"/>
  <c r="J736" s="1"/>
  <c r="J737" s="1"/>
  <c r="J738" s="1"/>
  <c r="J739" s="1"/>
  <c r="J740" s="1"/>
  <c r="J741" s="1"/>
  <c r="J742" s="1"/>
  <c r="J743" s="1"/>
  <c r="J744" s="1"/>
  <c r="J745" s="1"/>
  <c r="J746" s="1"/>
  <c r="J747" s="1"/>
  <c r="J748" s="1"/>
  <c r="J749" s="1"/>
  <c r="J750" s="1"/>
  <c r="J751" s="1"/>
  <c r="J752" s="1"/>
  <c r="J753" s="1"/>
  <c r="J754" s="1"/>
  <c r="J755" s="1"/>
  <c r="J756" s="1"/>
  <c r="J757" s="1"/>
  <c r="J758" s="1"/>
  <c r="J759" s="1"/>
  <c r="J760" s="1"/>
  <c r="J761" s="1"/>
  <c r="J762" s="1"/>
  <c r="J763" s="1"/>
  <c r="J764" s="1"/>
  <c r="J765" s="1"/>
  <c r="J766" s="1"/>
  <c r="J767" s="1"/>
  <c r="J768" s="1"/>
  <c r="J769" s="1"/>
  <c r="J770" s="1"/>
</calcChain>
</file>

<file path=xl/comments1.xml><?xml version="1.0" encoding="utf-8"?>
<comments xmlns="http://schemas.openxmlformats.org/spreadsheetml/2006/main">
  <authors>
    <author>thelma.parada</author>
    <author>ivanr</author>
  </authors>
  <commentList>
    <comment ref="E14" authorId="0">
      <text>
        <r>
          <rPr>
            <sz val="9"/>
            <color indexed="81"/>
            <rFont val="Tahoma"/>
            <family val="2"/>
          </rPr>
          <t xml:space="preserve">NÚMERO DA ESTIMATIVA PRINCIPAL DE ACORDO COM O CONTROLE DA SEORÇA
</t>
        </r>
      </text>
    </comment>
    <comment ref="E15" authorId="1">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E16"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E17" authorId="1">
      <text>
        <r>
          <rPr>
            <sz val="9"/>
            <color indexed="81"/>
            <rFont val="Tahoma"/>
            <family val="2"/>
          </rPr>
          <t xml:space="preserve">NOME DO PROJETO batizado pela Coordenação de arquivos da DITEC
</t>
        </r>
        <r>
          <rPr>
            <b/>
            <u/>
            <sz val="9"/>
            <color indexed="81"/>
            <rFont val="Tahoma"/>
            <family val="2"/>
          </rPr>
          <t>Observações:</t>
        </r>
        <r>
          <rPr>
            <sz val="9"/>
            <color indexed="81"/>
            <rFont val="Tahoma"/>
            <family val="2"/>
          </rPr>
          <t xml:space="preserve"> 
1- O nome do projeto não é o mesmo do objeto, trata-se de um nome curto para identificação simples e rápida do assunto tratado. 
2- Quando não existir o nome do projeto, ou seja, que o projeto não tenha sido batizado, procurar a coordenação de arquivos da DITEC para avaliação e decisão sobre o nome que será dado e se será batizado com um número de projeto.</t>
        </r>
      </text>
    </comment>
    <comment ref="E18" authorId="1">
      <text>
        <r>
          <rPr>
            <sz val="9"/>
            <color indexed="81"/>
            <rFont val="Tahoma"/>
            <family val="2"/>
          </rPr>
          <t xml:space="preserve">Endereço completo de acordo com o que estiver informado no projeto batizado pela coordenação de arquivos da DITEC
</t>
        </r>
        <r>
          <rPr>
            <b/>
            <u/>
            <sz val="9"/>
            <color indexed="81"/>
            <rFont val="Tahoma"/>
            <family val="2"/>
          </rPr>
          <t xml:space="preserve">OBS: 
</t>
        </r>
        <r>
          <rPr>
            <sz val="9"/>
            <color indexed="81"/>
            <rFont val="Tahoma"/>
            <family val="2"/>
          </rPr>
          <t>1</t>
        </r>
        <r>
          <rPr>
            <b/>
            <sz val="9"/>
            <color indexed="81"/>
            <rFont val="Tahoma"/>
            <family val="2"/>
          </rPr>
          <t xml:space="preserve"> </t>
        </r>
        <r>
          <rPr>
            <sz val="9"/>
            <color indexed="81"/>
            <rFont val="Tahoma"/>
            <family val="2"/>
          </rPr>
          <t xml:space="preserve">- Caso não tenha projeto batizado, verificar o endereço correto com a Coordenação de arquivos da DITEC.
2 - </t>
        </r>
        <r>
          <rPr>
            <sz val="9"/>
            <color indexed="81"/>
            <rFont val="Tahoma"/>
            <family val="2"/>
          </rPr>
          <t>Caso sejam vários locais, informar neste campo:</t>
        </r>
        <r>
          <rPr>
            <i/>
            <sz val="9"/>
            <color indexed="81"/>
            <rFont val="Tahoma"/>
            <family val="2"/>
          </rPr>
          <t>"DIVERSOS LOCAIS (vide planilhas estimativas parciais)</t>
        </r>
        <r>
          <rPr>
            <sz val="9"/>
            <color indexed="81"/>
            <rFont val="Tahoma"/>
            <family val="2"/>
          </rPr>
          <t>". O endereço completo de cada local deverá estar informado nas nas planilhas estimativas parciais.
3-Informar também o nome da cidade onde será realizado o objeto.</t>
        </r>
      </text>
    </comment>
    <comment ref="E19" authorId="1">
      <text>
        <r>
          <rPr>
            <sz val="9"/>
            <color indexed="81"/>
            <rFont val="Tahoma"/>
            <family val="2"/>
          </rPr>
          <t>Prazo definido pelo orçamentista consultando também o chefe do DETEC</t>
        </r>
      </text>
    </comment>
    <comment ref="E20" authorId="1">
      <text>
        <r>
          <rPr>
            <sz val="9"/>
            <color indexed="81"/>
            <rFont val="Tahoma"/>
            <family val="2"/>
          </rPr>
          <t xml:space="preserve">Data da conclusão da estimativa
</t>
        </r>
      </text>
    </comment>
    <comment ref="E21" authorId="0">
      <text>
        <r>
          <rPr>
            <sz val="9"/>
            <color indexed="81"/>
            <rFont val="Tahoma"/>
            <family val="2"/>
          </rPr>
          <t xml:space="preserve">- Nome dos orçamentistas e os respectivos trabalhos elaborados.
</t>
        </r>
        <r>
          <rPr>
            <b/>
            <u/>
            <sz val="9"/>
            <color indexed="81"/>
            <rFont val="Tahoma"/>
            <family val="2"/>
          </rPr>
          <t>OBS</t>
        </r>
        <r>
          <rPr>
            <sz val="9"/>
            <color indexed="81"/>
            <rFont val="Tahoma"/>
            <family val="2"/>
          </rPr>
          <t>: Todos os orçamentistas participantes (profissionais do quadro técnico ou não da NOVACAP) deverão recolher ART ou RRT e inserir os respectivos números das ART's ou RRT's nas planilhas estimativas parciais que elaborarem, bem como nas planilhas de levantamento de quantitativos, composições, coletas, curva ABC, cronograma físico-financeiro, etc, de acordo com a participação na estimativa. 
- Na ART ou RRT, o campo observações deverá constar o número do projeto (caso exista número) e informar também as atividades desenvolvidas.
- A ART ou RRT deverá ser recolhida com antecedência a conclusão da estimativa, já definido de forma correta e completa todas as informações do que foi descrito acima, para se evitar que seja retificada.</t>
        </r>
      </text>
    </comment>
    <comment ref="E22" authorId="0">
      <text>
        <r>
          <rPr>
            <sz val="9"/>
            <color indexed="81"/>
            <rFont val="Tahoma"/>
            <family val="2"/>
          </rPr>
          <t>número do processo da licitação a que se refere a estimativa</t>
        </r>
      </text>
    </comment>
    <comment ref="E23" authorId="1">
      <text>
        <r>
          <rPr>
            <sz val="9"/>
            <color indexed="81"/>
            <rFont val="Tahoma"/>
            <family val="2"/>
          </rPr>
          <t xml:space="preserve">Tabela de referência em vigor aprovada pela Diretoria colegiada da NOVACAP
</t>
        </r>
      </text>
    </comment>
    <comment ref="E24"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O orçamentista deverá confirmar a área com o projetista.
Caso não seja possível  levantar a área, este campo deverá ser deixado em branco</t>
        </r>
      </text>
    </comment>
    <comment ref="E25" authorId="1">
      <text>
        <r>
          <rPr>
            <sz val="9"/>
            <color indexed="81"/>
            <rFont val="Tahoma"/>
            <family val="2"/>
          </rPr>
          <t xml:space="preserve">Neste campo o orçamentista poderá informar o que julgar necessário
</t>
        </r>
      </text>
    </comment>
    <comment ref="E27" authorId="0">
      <text>
        <r>
          <rPr>
            <sz val="9"/>
            <color indexed="81"/>
            <rFont val="Tahoma"/>
            <family val="2"/>
          </rPr>
          <t>Inserir o nome do profissional responsável pela capa, o CREA ou CAU e o nº da ART ou RRT.</t>
        </r>
      </text>
    </comment>
    <comment ref="D30" authorId="1">
      <text>
        <r>
          <rPr>
            <sz val="9"/>
            <color indexed="81"/>
            <rFont val="Tahoma"/>
            <family val="2"/>
          </rPr>
          <t>Inserir o número da estimativa parcial e o nome da mesma.</t>
        </r>
      </text>
    </comment>
    <comment ref="D31" authorId="1">
      <text>
        <r>
          <rPr>
            <sz val="9"/>
            <color indexed="81"/>
            <rFont val="Tahoma"/>
            <family val="2"/>
          </rPr>
          <t>Inserir o número da estimativa parcial e o nome da mesma.</t>
        </r>
      </text>
    </comment>
    <comment ref="D42" authorId="1">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2.xml><?xml version="1.0" encoding="utf-8"?>
<comments xmlns="http://schemas.openxmlformats.org/spreadsheetml/2006/main">
  <authors>
    <author>ivanr</author>
    <author>thelma.parada</author>
    <author>gilmar.fernandes</author>
  </authors>
  <commentList>
    <comment ref="D6" authorId="0">
      <text>
        <r>
          <rPr>
            <sz val="9"/>
            <color indexed="81"/>
            <rFont val="Tahoma"/>
            <family val="2"/>
          </rPr>
          <t>Número da estimativa parcial de acordo com o controle da SEORÇA</t>
        </r>
      </text>
    </comment>
    <comment ref="J6" authorId="0">
      <text>
        <r>
          <rPr>
            <sz val="9"/>
            <color indexed="81"/>
            <rFont val="Tahoma"/>
            <family val="2"/>
          </rPr>
          <t>Data da conclusão da estimativa</t>
        </r>
      </text>
    </comment>
    <comment ref="D7" authorId="0">
      <text>
        <r>
          <rPr>
            <sz val="9"/>
            <color indexed="81"/>
            <rFont val="Tahoma"/>
            <family val="2"/>
          </rPr>
          <t>Nome dado a esta planilha estimativa parcial</t>
        </r>
      </text>
    </comment>
    <comment ref="J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0">
      <text>
        <r>
          <rPr>
            <sz val="9"/>
            <color indexed="81"/>
            <rFont val="Tahoma"/>
            <family val="2"/>
          </rPr>
          <t xml:space="preserve">Endereço completo desta planilha estimativa parcial
</t>
        </r>
      </text>
    </comment>
    <comment ref="J8" authorId="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0">
      <text>
        <r>
          <rPr>
            <sz val="9"/>
            <color indexed="81"/>
            <rFont val="Tahoma"/>
            <family val="2"/>
          </rPr>
          <t>Encargos trabalhistas da tabela SINAPI em vigor aprovada pela Diretoria colegiada da NOVACAP</t>
        </r>
      </text>
    </comment>
    <comment ref="F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J9" authorId="0">
      <text>
        <r>
          <rPr>
            <sz val="9"/>
            <color indexed="81"/>
            <rFont val="Tahoma"/>
            <family val="2"/>
          </rPr>
          <t>Tabela de referência em vigor aprovada pela Diretoria colegiada da NOVACAP</t>
        </r>
      </text>
    </comment>
    <comment ref="N55" authorId="2">
      <text>
        <r>
          <rPr>
            <b/>
            <sz val="9"/>
            <color indexed="81"/>
            <rFont val="Tahoma"/>
            <family val="2"/>
          </rPr>
          <t>gilmar.fernandes:</t>
        </r>
        <r>
          <rPr>
            <sz val="9"/>
            <color indexed="81"/>
            <rFont val="Tahoma"/>
            <family val="2"/>
          </rPr>
          <t xml:space="preserve">
CONSIDERADO 5 TORRES DE 4M DE ALTURA DURANTE 1,5 MESES DE OBRA.</t>
        </r>
      </text>
    </comment>
    <comment ref="B68"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69"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70"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3.xml><?xml version="1.0" encoding="utf-8"?>
<comments xmlns="http://schemas.openxmlformats.org/spreadsheetml/2006/main">
  <authors>
    <author>ivanr</author>
    <author>thelma.parada</author>
  </authors>
  <commentList>
    <comment ref="D6" authorId="0">
      <text>
        <r>
          <rPr>
            <sz val="9"/>
            <color indexed="81"/>
            <rFont val="Tahoma"/>
            <family val="2"/>
          </rPr>
          <t>Número da estimativa parcial de acordo com o controle da SEORÇA</t>
        </r>
      </text>
    </comment>
    <comment ref="J6" authorId="0">
      <text>
        <r>
          <rPr>
            <sz val="9"/>
            <color indexed="81"/>
            <rFont val="Tahoma"/>
            <family val="2"/>
          </rPr>
          <t>Data da conclusão da estimativa</t>
        </r>
      </text>
    </comment>
    <comment ref="D7" authorId="0">
      <text>
        <r>
          <rPr>
            <sz val="9"/>
            <color indexed="81"/>
            <rFont val="Tahoma"/>
            <family val="2"/>
          </rPr>
          <t>Nome dado a esta planilha estimativa parcial</t>
        </r>
      </text>
    </comment>
    <comment ref="J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0">
      <text>
        <r>
          <rPr>
            <sz val="9"/>
            <color indexed="81"/>
            <rFont val="Tahoma"/>
            <family val="2"/>
          </rPr>
          <t xml:space="preserve">Endereço completo desta planilha estimativa parcial
</t>
        </r>
      </text>
    </comment>
    <comment ref="J8" authorId="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0">
      <text>
        <r>
          <rPr>
            <sz val="9"/>
            <color indexed="81"/>
            <rFont val="Tahoma"/>
            <family val="2"/>
          </rPr>
          <t>Encargos trabalhistas da tabela SINAPI em vigor aprovada pela Diretoria colegiada da NOVACAP</t>
        </r>
      </text>
    </comment>
    <comment ref="F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J9" authorId="0">
      <text>
        <r>
          <rPr>
            <sz val="9"/>
            <color indexed="81"/>
            <rFont val="Tahoma"/>
            <family val="2"/>
          </rPr>
          <t>Tabela de referência em vigor aprovada pela Diretoria colegiada da NOVACAP</t>
        </r>
      </text>
    </comment>
    <comment ref="B440"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441"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442"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4.xml><?xml version="1.0" encoding="utf-8"?>
<comments xmlns="http://schemas.openxmlformats.org/spreadsheetml/2006/main">
  <authors>
    <author>ivanr</author>
    <author>thelma.parada</author>
  </authors>
  <commentList>
    <comment ref="D6" authorId="0">
      <text>
        <r>
          <rPr>
            <sz val="9"/>
            <color indexed="81"/>
            <rFont val="Tahoma"/>
            <family val="2"/>
          </rPr>
          <t>Número da estimativa parcial de acordo com o controle da SEORÇA</t>
        </r>
      </text>
    </comment>
    <comment ref="J6" authorId="0">
      <text>
        <r>
          <rPr>
            <sz val="9"/>
            <color indexed="81"/>
            <rFont val="Tahoma"/>
            <family val="2"/>
          </rPr>
          <t>Data da conclusão da estimativa</t>
        </r>
      </text>
    </comment>
    <comment ref="D7" authorId="0">
      <text>
        <r>
          <rPr>
            <sz val="9"/>
            <color indexed="81"/>
            <rFont val="Tahoma"/>
            <family val="2"/>
          </rPr>
          <t>Nome dado a esta planilha estimativa parcial</t>
        </r>
      </text>
    </comment>
    <comment ref="J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0">
      <text>
        <r>
          <rPr>
            <sz val="9"/>
            <color indexed="81"/>
            <rFont val="Tahoma"/>
            <family val="2"/>
          </rPr>
          <t xml:space="preserve">Endereço completo desta planilha estimativa parcial
</t>
        </r>
      </text>
    </comment>
    <comment ref="J8" authorId="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0">
      <text>
        <r>
          <rPr>
            <sz val="9"/>
            <color indexed="81"/>
            <rFont val="Tahoma"/>
            <family val="2"/>
          </rPr>
          <t>Encargos trabalhistas da tabela SINAPI em vigor aprovada pela Diretoria colegiada da NOVACAP</t>
        </r>
      </text>
    </comment>
    <comment ref="F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J9" authorId="0">
      <text>
        <r>
          <rPr>
            <sz val="9"/>
            <color indexed="81"/>
            <rFont val="Tahoma"/>
            <family val="2"/>
          </rPr>
          <t>Tabela de referência em vigor aprovada pela Diretoria colegiada da NOVACAP</t>
        </r>
      </text>
    </comment>
    <comment ref="B866"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867"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868"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5.xml><?xml version="1.0" encoding="utf-8"?>
<comments xmlns="http://schemas.openxmlformats.org/spreadsheetml/2006/main">
  <authors>
    <author>ivanr</author>
    <author>thelma.parada</author>
  </authors>
  <commentList>
    <comment ref="D6" authorId="0">
      <text>
        <r>
          <rPr>
            <sz val="9"/>
            <color indexed="81"/>
            <rFont val="Tahoma"/>
            <family val="2"/>
          </rPr>
          <t>Número da estimativa parcial de acordo com o controle da SEORÇA</t>
        </r>
      </text>
    </comment>
    <comment ref="J6" authorId="0">
      <text>
        <r>
          <rPr>
            <sz val="9"/>
            <color indexed="81"/>
            <rFont val="Tahoma"/>
            <family val="2"/>
          </rPr>
          <t>Data da conclusão da estimativa</t>
        </r>
      </text>
    </comment>
    <comment ref="D7" authorId="0">
      <text>
        <r>
          <rPr>
            <sz val="9"/>
            <color indexed="81"/>
            <rFont val="Tahoma"/>
            <family val="2"/>
          </rPr>
          <t>Nome dado a esta planilha estimativa parcial</t>
        </r>
      </text>
    </comment>
    <comment ref="J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0">
      <text>
        <r>
          <rPr>
            <sz val="9"/>
            <color indexed="81"/>
            <rFont val="Tahoma"/>
            <family val="2"/>
          </rPr>
          <t xml:space="preserve">Endereço completo desta planilha estimativa parcial
</t>
        </r>
      </text>
    </comment>
    <comment ref="J8" authorId="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0">
      <text>
        <r>
          <rPr>
            <sz val="9"/>
            <color indexed="81"/>
            <rFont val="Tahoma"/>
            <family val="2"/>
          </rPr>
          <t>Encargos trabalhistas da tabela SINAPI em vigor aprovada pela Diretoria colegiada da NOVACAP</t>
        </r>
      </text>
    </comment>
    <comment ref="F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J9" authorId="0">
      <text>
        <r>
          <rPr>
            <sz val="9"/>
            <color indexed="81"/>
            <rFont val="Tahoma"/>
            <family val="2"/>
          </rPr>
          <t>Tabela de referência em vigor aprovada pela Diretoria colegiada da NOVACAP</t>
        </r>
      </text>
    </comment>
    <comment ref="B192"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193"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194"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6.xml><?xml version="1.0" encoding="utf-8"?>
<comments xmlns="http://schemas.openxmlformats.org/spreadsheetml/2006/main">
  <authors>
    <author>ivanr</author>
    <author>thelma.parada</author>
  </authors>
  <commentList>
    <comment ref="D6" authorId="0">
      <text>
        <r>
          <rPr>
            <sz val="9"/>
            <color indexed="81"/>
            <rFont val="Tahoma"/>
            <family val="2"/>
          </rPr>
          <t>Número da estimativa parcial de acordo com o controle da SEORÇA</t>
        </r>
      </text>
    </comment>
    <comment ref="J6" authorId="0">
      <text>
        <r>
          <rPr>
            <sz val="9"/>
            <color indexed="81"/>
            <rFont val="Tahoma"/>
            <family val="2"/>
          </rPr>
          <t>Data da conclusão da estimativa</t>
        </r>
      </text>
    </comment>
    <comment ref="D7" authorId="0">
      <text>
        <r>
          <rPr>
            <sz val="9"/>
            <color indexed="81"/>
            <rFont val="Tahoma"/>
            <family val="2"/>
          </rPr>
          <t>Nome dado a esta planilha estimativa parcial</t>
        </r>
      </text>
    </comment>
    <comment ref="J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0">
      <text>
        <r>
          <rPr>
            <sz val="9"/>
            <color indexed="81"/>
            <rFont val="Tahoma"/>
            <family val="2"/>
          </rPr>
          <t xml:space="preserve">Endereço completo desta planilha estimativa parcial
</t>
        </r>
      </text>
    </comment>
    <comment ref="J8" authorId="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0">
      <text>
        <r>
          <rPr>
            <sz val="9"/>
            <color indexed="81"/>
            <rFont val="Tahoma"/>
            <family val="2"/>
          </rPr>
          <t>Encargos trabalhistas da tabela SINAPI em vigor aprovada pela Diretoria colegiada da NOVACAP</t>
        </r>
      </text>
    </comment>
    <comment ref="F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J9" authorId="0">
      <text>
        <r>
          <rPr>
            <sz val="9"/>
            <color indexed="81"/>
            <rFont val="Tahoma"/>
            <family val="2"/>
          </rPr>
          <t>Tabela de referência em vigor aprovada pela Diretoria colegiada da NOVACAP</t>
        </r>
      </text>
    </comment>
    <comment ref="B187"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188"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189"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7.xml><?xml version="1.0" encoding="utf-8"?>
<comments xmlns="http://schemas.openxmlformats.org/spreadsheetml/2006/main">
  <authors>
    <author>ivanr</author>
    <author>thelma.parada</author>
  </authors>
  <commentList>
    <comment ref="D6" authorId="0">
      <text>
        <r>
          <rPr>
            <sz val="9"/>
            <color indexed="81"/>
            <rFont val="Tahoma"/>
            <family val="2"/>
          </rPr>
          <t>Número da estimativa parcial de acordo com o controle da SEORÇA</t>
        </r>
      </text>
    </comment>
    <comment ref="J6" authorId="0">
      <text>
        <r>
          <rPr>
            <sz val="9"/>
            <color indexed="81"/>
            <rFont val="Tahoma"/>
            <family val="2"/>
          </rPr>
          <t>Data da conclusão da estimativa</t>
        </r>
      </text>
    </comment>
    <comment ref="D7" authorId="0">
      <text>
        <r>
          <rPr>
            <sz val="9"/>
            <color indexed="81"/>
            <rFont val="Tahoma"/>
            <family val="2"/>
          </rPr>
          <t>Nome dado a esta planilha estimativa parcial</t>
        </r>
      </text>
    </comment>
    <comment ref="J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0">
      <text>
        <r>
          <rPr>
            <sz val="9"/>
            <color indexed="81"/>
            <rFont val="Tahoma"/>
            <family val="2"/>
          </rPr>
          <t xml:space="preserve">Endereço completo desta planilha estimativa parcial
</t>
        </r>
      </text>
    </comment>
    <comment ref="J8" authorId="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0">
      <text>
        <r>
          <rPr>
            <sz val="9"/>
            <color indexed="81"/>
            <rFont val="Tahoma"/>
            <family val="2"/>
          </rPr>
          <t>Encargos trabalhistas da tabela SINAPI em vigor aprovada pela Diretoria colegiada da NOVACAP</t>
        </r>
      </text>
    </comment>
    <comment ref="F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J9" authorId="0">
      <text>
        <r>
          <rPr>
            <sz val="9"/>
            <color indexed="81"/>
            <rFont val="Tahoma"/>
            <family val="2"/>
          </rPr>
          <t>Tabela de referência em vigor aprovada pela Diretoria colegiada da NOVACAP</t>
        </r>
      </text>
    </comment>
    <comment ref="B215"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216"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217"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8.xml><?xml version="1.0" encoding="utf-8"?>
<comments xmlns="http://schemas.openxmlformats.org/spreadsheetml/2006/main">
  <authors>
    <author>ivanr</author>
    <author>thelma.parada</author>
  </authors>
  <commentList>
    <comment ref="D6" authorId="0">
      <text>
        <r>
          <rPr>
            <sz val="9"/>
            <color indexed="81"/>
            <rFont val="Tahoma"/>
            <family val="2"/>
          </rPr>
          <t>Número da estimativa parcial de acordo com o controle da SEORÇA</t>
        </r>
      </text>
    </comment>
    <comment ref="J6" authorId="0">
      <text>
        <r>
          <rPr>
            <sz val="9"/>
            <color indexed="81"/>
            <rFont val="Tahoma"/>
            <family val="2"/>
          </rPr>
          <t>Data da conclusão da estimativa</t>
        </r>
      </text>
    </comment>
    <comment ref="D7" authorId="0">
      <text>
        <r>
          <rPr>
            <sz val="9"/>
            <color indexed="81"/>
            <rFont val="Tahoma"/>
            <family val="2"/>
          </rPr>
          <t>Nome dado a esta planilha estimativa parcial</t>
        </r>
      </text>
    </comment>
    <comment ref="J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0">
      <text>
        <r>
          <rPr>
            <sz val="9"/>
            <color indexed="81"/>
            <rFont val="Tahoma"/>
            <family val="2"/>
          </rPr>
          <t xml:space="preserve">Endereço completo desta planilha estimativa parcial
</t>
        </r>
      </text>
    </comment>
    <comment ref="J8" authorId="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0">
      <text>
        <r>
          <rPr>
            <sz val="9"/>
            <color indexed="81"/>
            <rFont val="Tahoma"/>
            <family val="2"/>
          </rPr>
          <t>Encargos trabalhistas da tabela SINAPI em vigor aprovada pela Diretoria colegiada da NOVACAP</t>
        </r>
      </text>
    </comment>
    <comment ref="F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J9" authorId="0">
      <text>
        <r>
          <rPr>
            <sz val="9"/>
            <color indexed="81"/>
            <rFont val="Tahoma"/>
            <family val="2"/>
          </rPr>
          <t>Tabela de referência em vigor aprovada pela Diretoria colegiada da NOVACAP</t>
        </r>
      </text>
    </comment>
    <comment ref="B244"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245"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246"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9.xml><?xml version="1.0" encoding="utf-8"?>
<comments xmlns="http://schemas.openxmlformats.org/spreadsheetml/2006/main">
  <authors>
    <author>ivanr</author>
    <author>thelma.parada</author>
  </authors>
  <commentList>
    <comment ref="B5"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6" authorId="0">
      <text>
        <r>
          <rPr>
            <sz val="9"/>
            <color indexed="81"/>
            <rFont val="Tahoma"/>
            <family val="2"/>
          </rPr>
          <t xml:space="preserve">Número da estimativa principal, de acordo com o controle da SEORÇA. </t>
        </r>
      </text>
    </comment>
    <comment ref="H6" authorId="0">
      <text>
        <r>
          <rPr>
            <sz val="9"/>
            <color indexed="81"/>
            <rFont val="Tahoma"/>
            <family val="2"/>
          </rPr>
          <t>Data da conclusão da estimativa</t>
        </r>
      </text>
    </comment>
    <comment ref="C7" authorId="0">
      <text>
        <r>
          <rPr>
            <sz val="9"/>
            <color indexed="81"/>
            <rFont val="Tahoma"/>
            <family val="2"/>
          </rPr>
          <t>Nome dado a esta planilha estimativa parcial</t>
        </r>
      </text>
    </comment>
    <comment ref="H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0">
      <text>
        <r>
          <rPr>
            <sz val="9"/>
            <color indexed="81"/>
            <rFont val="Tahoma"/>
            <family val="2"/>
          </rPr>
          <t>Encargos trabalhistas da tabela SINAPI em vigor aprovada pela Diretoria colegiada da NOVACAP</t>
        </r>
      </text>
    </comment>
    <comment ref="E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8" authorId="0">
      <text>
        <r>
          <rPr>
            <sz val="9"/>
            <color indexed="81"/>
            <rFont val="Tahoma"/>
            <family val="2"/>
          </rPr>
          <t>Tabela de referência em vigor aprovada pela Diretoria colegiada da NOVACAP</t>
        </r>
      </text>
    </comment>
    <comment ref="B2877"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2878"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2879"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10.xml><?xml version="1.0" encoding="utf-8"?>
<comments xmlns="http://schemas.openxmlformats.org/spreadsheetml/2006/main">
  <authors>
    <author>ivanr</author>
    <author>thelma.parada</author>
  </authors>
  <commentList>
    <comment ref="B5"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6" authorId="0">
      <text>
        <r>
          <rPr>
            <sz val="9"/>
            <color indexed="81"/>
            <rFont val="Tahoma"/>
            <family val="2"/>
          </rPr>
          <t xml:space="preserve">Número da estimativa principal, de acordo com o controle da SEORÇA. </t>
        </r>
      </text>
    </comment>
    <comment ref="H6" authorId="0">
      <text>
        <r>
          <rPr>
            <sz val="9"/>
            <color indexed="81"/>
            <rFont val="Tahoma"/>
            <family val="2"/>
          </rPr>
          <t>Data da conclusão da estimativa</t>
        </r>
      </text>
    </comment>
    <comment ref="C7" authorId="0">
      <text>
        <r>
          <rPr>
            <sz val="9"/>
            <color indexed="81"/>
            <rFont val="Tahoma"/>
            <family val="2"/>
          </rPr>
          <t>Nome dado a esta planilha estimativa parcial</t>
        </r>
      </text>
    </comment>
    <comment ref="H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0">
      <text>
        <r>
          <rPr>
            <sz val="9"/>
            <color indexed="81"/>
            <rFont val="Tahoma"/>
            <family val="2"/>
          </rPr>
          <t>Encargos trabalhistas da tabela SINAPI em vigor aprovada pela Diretoria colegiada da NOVACAP</t>
        </r>
      </text>
    </comment>
    <comment ref="E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8" authorId="0">
      <text>
        <r>
          <rPr>
            <sz val="9"/>
            <color indexed="81"/>
            <rFont val="Tahoma"/>
            <family val="2"/>
          </rPr>
          <t>Tabela de referência em vigor aprovada pela Diretoria colegiada da NOVACAP</t>
        </r>
      </text>
    </comment>
    <comment ref="B288"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289"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290"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11.xml><?xml version="1.0" encoding="utf-8"?>
<comments xmlns="http://schemas.openxmlformats.org/spreadsheetml/2006/main">
  <authors>
    <author>ivanr</author>
    <author>thelma.parada</author>
  </authors>
  <commentList>
    <comment ref="B6" authorId="0">
      <text>
        <r>
          <rPr>
            <sz val="9"/>
            <color indexed="81"/>
            <rFont val="Tahoma"/>
            <family val="2"/>
          </rPr>
          <t>Número da estimativa parcial de acordo com o controle da SEORÇA</t>
        </r>
      </text>
    </comment>
    <comment ref="I6" authorId="0">
      <text>
        <r>
          <rPr>
            <sz val="9"/>
            <color indexed="81"/>
            <rFont val="Tahoma"/>
            <family val="2"/>
          </rPr>
          <t>Data da conclusão da estimativa</t>
        </r>
      </text>
    </comment>
    <comment ref="B7" authorId="0">
      <text>
        <r>
          <rPr>
            <sz val="9"/>
            <color indexed="81"/>
            <rFont val="Tahoma"/>
            <family val="2"/>
          </rPr>
          <t>Nome dado a esta planilha estimativa parcial</t>
        </r>
      </text>
    </comment>
    <comment ref="I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A1676"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A1677"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A1678"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12.xml><?xml version="1.0" encoding="utf-8"?>
<comments xmlns="http://schemas.openxmlformats.org/spreadsheetml/2006/main">
  <authors>
    <author>alvaro.santos</author>
    <author>ivanr</author>
  </authors>
  <commentList>
    <comment ref="A22" authorId="0">
      <text>
        <r>
          <rPr>
            <b/>
            <sz val="9"/>
            <color indexed="81"/>
            <rFont val="Tahoma"/>
            <family val="2"/>
          </rPr>
          <t>PÁGINA 06 DO PDF</t>
        </r>
      </text>
    </comment>
    <comment ref="C22" authorId="0">
      <text>
        <r>
          <rPr>
            <b/>
            <sz val="9"/>
            <color indexed="81"/>
            <rFont val="Tahoma"/>
            <family val="2"/>
          </rPr>
          <t xml:space="preserve">PÁGINA 06 DO PDF
</t>
        </r>
      </text>
    </comment>
    <comment ref="E22" authorId="0">
      <text>
        <r>
          <rPr>
            <b/>
            <sz val="9"/>
            <color indexed="81"/>
            <rFont val="Tahoma"/>
            <family val="2"/>
          </rPr>
          <t>PÁGINA 06 DO PDF</t>
        </r>
      </text>
    </comment>
    <comment ref="G22" authorId="0">
      <text>
        <r>
          <rPr>
            <b/>
            <sz val="9"/>
            <color indexed="81"/>
            <rFont val="Tahoma"/>
            <family val="2"/>
          </rPr>
          <t xml:space="preserve">PÁGINA 06 DO PDF
</t>
        </r>
      </text>
    </comment>
    <comment ref="A30" authorId="0">
      <text>
        <r>
          <rPr>
            <b/>
            <sz val="9"/>
            <color indexed="81"/>
            <rFont val="Tahoma"/>
            <family val="2"/>
          </rPr>
          <t>PÁGINA 06 DO PDF</t>
        </r>
      </text>
    </comment>
    <comment ref="C30" authorId="0">
      <text>
        <r>
          <rPr>
            <b/>
            <sz val="9"/>
            <color indexed="81"/>
            <rFont val="Tahoma"/>
            <family val="2"/>
          </rPr>
          <t xml:space="preserve">PÁGINA 06 DO PDF
</t>
        </r>
      </text>
    </comment>
    <comment ref="E30" authorId="0">
      <text>
        <r>
          <rPr>
            <b/>
            <sz val="9"/>
            <color indexed="81"/>
            <rFont val="Tahoma"/>
            <family val="2"/>
          </rPr>
          <t>PÁGINA 06 DO PDF</t>
        </r>
      </text>
    </comment>
    <comment ref="G30" authorId="0">
      <text>
        <r>
          <rPr>
            <b/>
            <sz val="9"/>
            <color indexed="81"/>
            <rFont val="Tahoma"/>
            <family val="2"/>
          </rPr>
          <t xml:space="preserve">PÁGINA 06 DO PDF
</t>
        </r>
      </text>
    </comment>
    <comment ref="A38" authorId="0">
      <text>
        <r>
          <rPr>
            <b/>
            <sz val="9"/>
            <color indexed="81"/>
            <rFont val="Tahoma"/>
            <family val="2"/>
          </rPr>
          <t>PÁGINA 06 DO PDF</t>
        </r>
      </text>
    </comment>
    <comment ref="C38" authorId="0">
      <text>
        <r>
          <rPr>
            <b/>
            <sz val="9"/>
            <color indexed="81"/>
            <rFont val="Tahoma"/>
            <family val="2"/>
          </rPr>
          <t xml:space="preserve">PÁGINA 06 DO PDF
</t>
        </r>
      </text>
    </comment>
    <comment ref="E38" authorId="0">
      <text>
        <r>
          <rPr>
            <b/>
            <sz val="9"/>
            <color indexed="81"/>
            <rFont val="Tahoma"/>
            <family val="2"/>
          </rPr>
          <t>PÁGINA 06 DO PDF</t>
        </r>
      </text>
    </comment>
    <comment ref="G38" authorId="0">
      <text>
        <r>
          <rPr>
            <b/>
            <sz val="9"/>
            <color indexed="81"/>
            <rFont val="Tahoma"/>
            <family val="2"/>
          </rPr>
          <t xml:space="preserve">PÁGINA 06 DO PDF
</t>
        </r>
      </text>
    </comment>
    <comment ref="A46" authorId="0">
      <text>
        <r>
          <rPr>
            <b/>
            <sz val="9"/>
            <color indexed="81"/>
            <rFont val="Tahoma"/>
            <family val="2"/>
          </rPr>
          <t>PÁGINA 06 DO PDF</t>
        </r>
      </text>
    </comment>
    <comment ref="C46" authorId="0">
      <text>
        <r>
          <rPr>
            <b/>
            <sz val="9"/>
            <color indexed="81"/>
            <rFont val="Tahoma"/>
            <family val="2"/>
          </rPr>
          <t xml:space="preserve">PÁGINA 06 DO PDF
</t>
        </r>
      </text>
    </comment>
    <comment ref="E46" authorId="0">
      <text>
        <r>
          <rPr>
            <b/>
            <sz val="9"/>
            <color indexed="81"/>
            <rFont val="Tahoma"/>
            <family val="2"/>
          </rPr>
          <t>PÁGINA 06 DO PDF</t>
        </r>
      </text>
    </comment>
    <comment ref="G46" authorId="0">
      <text>
        <r>
          <rPr>
            <b/>
            <sz val="9"/>
            <color indexed="81"/>
            <rFont val="Tahoma"/>
            <family val="2"/>
          </rPr>
          <t xml:space="preserve">PÁGINA 06 DO PDF
</t>
        </r>
      </text>
    </comment>
    <comment ref="A50" authorId="1">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13.xml><?xml version="1.0" encoding="utf-8"?>
<comments xmlns="http://schemas.openxmlformats.org/spreadsheetml/2006/main">
  <authors>
    <author>ivanr</author>
    <author>thelma.parada</author>
  </authors>
  <commentList>
    <comment ref="A5"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B6" authorId="0">
      <text>
        <r>
          <rPr>
            <sz val="9"/>
            <color indexed="81"/>
            <rFont val="Tahoma"/>
            <family val="2"/>
          </rPr>
          <t xml:space="preserve">Número da estimativa principal, de acordo com o controle da SEORÇA. </t>
        </r>
      </text>
    </comment>
    <comment ref="B7" authorId="0">
      <text>
        <r>
          <rPr>
            <sz val="9"/>
            <color indexed="81"/>
            <rFont val="Tahoma"/>
            <family val="2"/>
          </rPr>
          <t xml:space="preserve">Nome da estimativa contendo de forma completa o conteúdo do que está sendo orçado.
</t>
        </r>
        <r>
          <rPr>
            <b/>
            <u/>
            <sz val="9"/>
            <color indexed="81"/>
            <rFont val="Tahoma"/>
            <family val="2"/>
          </rPr>
          <t>Observaçãoes:</t>
        </r>
        <r>
          <rPr>
            <sz val="9"/>
            <color indexed="81"/>
            <rFont val="Tahoma"/>
            <family val="2"/>
          </rPr>
          <t xml:space="preserve">
A descrição do que é dado na estimativa pode ser utilizado na elaboração do objeto da obra, serviço de engenharia, aquisição de materiais e equipamentos, entre outros.
No nome deverá constar: Construção, Reforma, Revitalização, Ampliação, Demolição, Manutenção, Aquisição, Execução, entre outros.</t>
        </r>
      </text>
    </comment>
    <comment ref="D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B8" authorId="0">
      <text>
        <r>
          <rPr>
            <sz val="9"/>
            <color indexed="81"/>
            <rFont val="Tahoma"/>
            <family val="2"/>
          </rPr>
          <t>Encargos trabalhistas da tabela SINAPI em vigor aprovada pela Diretoria colegiada da NOVACAP</t>
        </r>
      </text>
    </comment>
    <comment ref="F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A49"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A50"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A51"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14.xml><?xml version="1.0" encoding="utf-8"?>
<comments xmlns="http://schemas.openxmlformats.org/spreadsheetml/2006/main">
  <authors>
    <author>ivanr</author>
    <author>thelma.parada</author>
  </authors>
  <commentList>
    <comment ref="A5"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B6" authorId="0">
      <text>
        <r>
          <rPr>
            <sz val="9"/>
            <color indexed="81"/>
            <rFont val="Tahoma"/>
            <family val="2"/>
          </rPr>
          <t xml:space="preserve">Número da estimativa principal, de acordo com o controle da SEORÇA. </t>
        </r>
      </text>
    </comment>
    <comment ref="J6" authorId="0">
      <text>
        <r>
          <rPr>
            <sz val="9"/>
            <color indexed="81"/>
            <rFont val="Tahoma"/>
            <family val="2"/>
          </rPr>
          <t>Data da conclusão da estimativa</t>
        </r>
      </text>
    </comment>
    <comment ref="B7" authorId="0">
      <text>
        <r>
          <rPr>
            <sz val="9"/>
            <color indexed="81"/>
            <rFont val="Tahoma"/>
            <family val="2"/>
          </rPr>
          <t xml:space="preserve">Nome da estimativa contendo de forma completa o conteúdo do que está sendo orçado.
</t>
        </r>
        <r>
          <rPr>
            <b/>
            <u/>
            <sz val="9"/>
            <color indexed="81"/>
            <rFont val="Tahoma"/>
            <family val="2"/>
          </rPr>
          <t>Observaçãoes:</t>
        </r>
        <r>
          <rPr>
            <sz val="9"/>
            <color indexed="81"/>
            <rFont val="Tahoma"/>
            <family val="2"/>
          </rPr>
          <t xml:space="preserve">
A descrição do que é dado na estimativa pode ser utilizado na elaboração do objeto da obra, serviço de engenharia, aquisição de materiais e equipamentos, entre outros.
No nome deverá constar: Construção, Reforma, Revitalização, Ampliação, Demolição, Manutenção, Aquisição, Execução, entre outros.</t>
        </r>
      </text>
    </comment>
    <comment ref="J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B8" authorId="0">
      <text>
        <r>
          <rPr>
            <sz val="9"/>
            <color indexed="81"/>
            <rFont val="Tahoma"/>
            <family val="2"/>
          </rPr>
          <t>Encargos trabalhistas da tabela SINAPI em vigor aprovada pela Diretoria colegiada da NOVACAP</t>
        </r>
      </text>
    </comment>
    <comment ref="E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G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J8" authorId="0">
      <text>
        <r>
          <rPr>
            <sz val="9"/>
            <color indexed="81"/>
            <rFont val="Tahoma"/>
            <family val="2"/>
          </rPr>
          <t>Tabela de referência em vigor aprovada pela Diretoria colegiada da NOVACAP</t>
        </r>
      </text>
    </comment>
    <comment ref="A774"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A775"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A776"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sharedStrings.xml><?xml version="1.0" encoding="utf-8"?>
<sst xmlns="http://schemas.openxmlformats.org/spreadsheetml/2006/main" count="76598" uniqueCount="24883">
  <si>
    <t>CÓDIGO</t>
  </si>
  <si>
    <t>DESCRIÇÃO</t>
  </si>
  <si>
    <t>QUANT.</t>
  </si>
  <si>
    <t>SERVIÇOS PRELIMINARES</t>
  </si>
  <si>
    <t>L</t>
  </si>
  <si>
    <t>M</t>
  </si>
  <si>
    <t>DATA</t>
  </si>
  <si>
    <t>TELEFONE</t>
  </si>
  <si>
    <t>CNPJ</t>
  </si>
  <si>
    <t>PREÇO</t>
  </si>
  <si>
    <t xml:space="preserve">UN </t>
  </si>
  <si>
    <t>MATERIAL</t>
  </si>
  <si>
    <t>COTAÇÃO</t>
  </si>
  <si>
    <t>TÍTULO:</t>
  </si>
  <si>
    <r>
      <t xml:space="preserve">VER COMENTÁRIOS NAS CÉLULAS ANTES DE PREENCHER. 
</t>
    </r>
    <r>
      <rPr>
        <b/>
        <sz val="16"/>
        <color indexed="10"/>
        <rFont val="Calibri"/>
        <family val="2"/>
      </rPr>
      <t xml:space="preserve">FAVOR MANTER TODOS OS COMENTÁRIOS DAS CÉLULAS PARA FACILITAR A CONFERÊNCIA DO ARQUIVO </t>
    </r>
    <r>
      <rPr>
        <b/>
        <sz val="16"/>
        <color indexed="50"/>
        <rFont val="Calibri"/>
        <family val="2"/>
      </rPr>
      <t xml:space="preserve">
Sempre consultar a Cooordenação de arquivos da DITEC para quaisquer dúvidas. </t>
    </r>
  </si>
  <si>
    <r>
      <rPr>
        <b/>
        <u/>
        <sz val="15"/>
        <rFont val="Calibri"/>
        <family val="2"/>
      </rPr>
      <t xml:space="preserve"> CAPA DA PLANILHA ESTIMATIVA</t>
    </r>
  </si>
  <si>
    <t>Nº PROJETO:</t>
  </si>
  <si>
    <t>NOME  PROJETO:</t>
  </si>
  <si>
    <t>ENDEREÇO:</t>
  </si>
  <si>
    <t>PRAZO:</t>
  </si>
  <si>
    <t xml:space="preserve">DATA:            </t>
  </si>
  <si>
    <t>ORÇAMENTISTA(S):</t>
  </si>
  <si>
    <t>PROCESSO:</t>
  </si>
  <si>
    <t>TABELA REFERÊNCIA:</t>
  </si>
  <si>
    <t>SISOBRAS:</t>
  </si>
  <si>
    <t>OBSERVAÇÕES:</t>
  </si>
  <si>
    <t>RESP. CAPA:</t>
  </si>
  <si>
    <t>NOTAS:</t>
  </si>
  <si>
    <t>*Esta planilha é orientativa. Desta  forma, é de  inteira  responsabilidade do contratado as  quantidades  e  valores  necessários a completa execução da obra.
*Havendo irregularidades neste instrumento, entre em contato com a Ouvidoria de Combate a Corrupção, no telefone 0800-6449060</t>
  </si>
  <si>
    <t>Nº  ESTIMATIVA:</t>
  </si>
  <si>
    <t>BDI</t>
  </si>
  <si>
    <t>BENEFÍCIOS E DESPESAS INDIRETAS</t>
  </si>
  <si>
    <t>A</t>
  </si>
  <si>
    <t>Administração Central</t>
  </si>
  <si>
    <t>Seguros + Garantias</t>
  </si>
  <si>
    <t>Riscos</t>
  </si>
  <si>
    <t>Despesas Financeiras</t>
  </si>
  <si>
    <t>B</t>
  </si>
  <si>
    <t>PIS - Programa de Integração Social</t>
  </si>
  <si>
    <t>C</t>
  </si>
  <si>
    <t>Lucro</t>
  </si>
  <si>
    <t>BDI =</t>
  </si>
  <si>
    <t>[(</t>
  </si>
  <si>
    <t>)</t>
  </si>
  <si>
    <t>]</t>
  </si>
  <si>
    <t>X 100</t>
  </si>
  <si>
    <t>(1 - I)</t>
  </si>
  <si>
    <t>AC</t>
  </si>
  <si>
    <t>Taxa representativa das despesas de rateio da Administração Central</t>
  </si>
  <si>
    <t>S</t>
  </si>
  <si>
    <t>Taxa Representativa de Seguros</t>
  </si>
  <si>
    <t>R</t>
  </si>
  <si>
    <t>Taxa Representativa de Riscos</t>
  </si>
  <si>
    <t>G</t>
  </si>
  <si>
    <t>Taxa Representativa de Garantias</t>
  </si>
  <si>
    <t>DF</t>
  </si>
  <si>
    <t>Taxa Representativa de Despesas Financeiras</t>
  </si>
  <si>
    <t>Taxa Representativa de Lucro</t>
  </si>
  <si>
    <t>I</t>
  </si>
  <si>
    <t>Taxa Representativa da Incidênca de Impostos é aplicada sobre o preço de venda da prestação do serviço, enquanto que as demais taxas são aplicadas sobre o custo</t>
  </si>
  <si>
    <t>Nº ESTIMATIVA PARCIAL:</t>
  </si>
  <si>
    <t>DATA:</t>
  </si>
  <si>
    <t>NOME ESTIMATIVA PARCIAL:</t>
  </si>
  <si>
    <t>EQNP 16/20 AE, Lotes  E,F e G - CEILÂNDIA - DF</t>
  </si>
  <si>
    <t>ÁREA:</t>
  </si>
  <si>
    <r>
      <t xml:space="preserve">ENCARGOS </t>
    </r>
    <r>
      <rPr>
        <b/>
        <sz val="10"/>
        <rFont val="Calibri"/>
        <family val="2"/>
      </rPr>
      <t>TRABALHISTAS:</t>
    </r>
  </si>
  <si>
    <t xml:space="preserve"> B.D.I. :</t>
  </si>
  <si>
    <t>0,00%</t>
  </si>
  <si>
    <t>TAB. REF.:</t>
  </si>
  <si>
    <t>SUBTOTAL (Divisão):</t>
  </si>
  <si>
    <t xml:space="preserve">TOTAL GERAL: </t>
  </si>
  <si>
    <t>ITEM</t>
  </si>
  <si>
    <t xml:space="preserve">01.00.000 </t>
  </si>
  <si>
    <t xml:space="preserve">01.08.000 </t>
  </si>
  <si>
    <t>DESPESAS LEGAIS</t>
  </si>
  <si>
    <t xml:space="preserve">01.08.100 </t>
  </si>
  <si>
    <t>TAXAS</t>
  </si>
  <si>
    <t>1,00</t>
  </si>
  <si>
    <t xml:space="preserve">02.00.000 </t>
  </si>
  <si>
    <t xml:space="preserve">02.01.000 </t>
  </si>
  <si>
    <t xml:space="preserve">09.00.000 </t>
  </si>
  <si>
    <t>SERVIÇOS COMPLEMENTARES</t>
  </si>
  <si>
    <t xml:space="preserve">09.02.000 </t>
  </si>
  <si>
    <t>LIMPEZA DE OBRAS</t>
  </si>
  <si>
    <t xml:space="preserve">09.02.100 </t>
  </si>
  <si>
    <t xml:space="preserve">MÊS </t>
  </si>
  <si>
    <t xml:space="preserve">09.05.000 </t>
  </si>
  <si>
    <t xml:space="preserve">09.05.100 </t>
  </si>
  <si>
    <t>CÓPIAS</t>
  </si>
  <si>
    <t xml:space="preserve">10.00.000 </t>
  </si>
  <si>
    <t>SERVIÇOS AUXILIARES E ADMINISTRATIVOS</t>
  </si>
  <si>
    <t xml:space="preserve">10.03.000 </t>
  </si>
  <si>
    <t>MÁQUINAS E EQUIPAMENTOS</t>
  </si>
  <si>
    <t xml:space="preserve">10.03.100 </t>
  </si>
  <si>
    <t>DE CONSTRUÇÃO</t>
  </si>
  <si>
    <r>
      <t>ESTIMATIVAS DIRETORIA DE EDIFICAÇÕES</t>
    </r>
    <r>
      <rPr>
        <b/>
        <i/>
        <sz val="13"/>
        <rFont val="Calibri"/>
        <family val="2"/>
      </rPr>
      <t>:</t>
    </r>
  </si>
  <si>
    <t>01.08.100.1</t>
  </si>
  <si>
    <t>09.02.100.1</t>
  </si>
  <si>
    <t>09.02.100.2</t>
  </si>
  <si>
    <t>09.02.100.3</t>
  </si>
  <si>
    <t>10.03.100.2</t>
  </si>
  <si>
    <t>Nº ESTIMATIVA PRINCIPAL:</t>
  </si>
  <si>
    <r>
      <t>ENCARGOS</t>
    </r>
    <r>
      <rPr>
        <b/>
        <sz val="10"/>
        <rFont val="Calibri"/>
        <family val="2"/>
      </rPr>
      <t xml:space="preserve"> TRABALHISTAS:</t>
    </r>
  </si>
  <si>
    <t xml:space="preserve">SER.CG </t>
  </si>
  <si>
    <t>SERVENTE COM ENCARGOS COMPLEMENTARES</t>
  </si>
  <si>
    <t>PEDREIRO COM ENCARGOS COMPLEMENTARES</t>
  </si>
  <si>
    <t>AUXILIAR DE ENCANADOR OU BOMBEIRO HIDRÁULICO COM ENCARGOS COMPLEMENTARES</t>
  </si>
  <si>
    <t>ENCANADOR OU BOMBEIRO HIDRÁULICO COM ENCARGOS COMPLEMENTARES</t>
  </si>
  <si>
    <t>KG</t>
  </si>
  <si>
    <t>UN</t>
  </si>
  <si>
    <t>REGISTRO DE GAVETA BRUTO, LATÃO, ROSCÁVEL, 3/4", FORNECIDO E INSTALADO EM RAMAL DE ÁGUA. AF_12/2014</t>
  </si>
  <si>
    <t>SERVIÇOS DIVERSOS</t>
  </si>
  <si>
    <t>CAIXAS DE PASSAGEM</t>
  </si>
  <si>
    <t xml:space="preserve">06.00.000 </t>
  </si>
  <si>
    <t>INSTALAÇÕES ELÉTRICA E ELETRÔNICAS</t>
  </si>
  <si>
    <t xml:space="preserve">06.01.000 </t>
  </si>
  <si>
    <t>INSTALAÇÕES ELÉTRICAS</t>
  </si>
  <si>
    <t xml:space="preserve">06.01.300 </t>
  </si>
  <si>
    <t>REDES EM MÉDIA E BAIXA TENSÃO</t>
  </si>
  <si>
    <t>ILUMINAÇÃO E TOMADAS</t>
  </si>
  <si>
    <t>INTERRUPTOR SIMPLES (1 MÓDULO), 10A/250V, INCLUINDO SUPORTE E PLACA - FORNECIMENTO E INSTALAÇÃO. AF_12/2015</t>
  </si>
  <si>
    <t>TOMADA ALTA DE EMBUTIR (1 MÓDULO), 2P+T 10 A, INCLUINDO SUPORTE E PLACA - FORNECIMENTO E INSTALAÇÃO. AF_12/2015</t>
  </si>
  <si>
    <t>TOMADA MÉDIA DE EMBUTIR (1 MÓDULO), 2P+T 10 A, INCLUINDO SUPORTE E PLACA - FORNECIMENTO E INSTALAÇÃO. AF_12/2015</t>
  </si>
  <si>
    <t>TOMADA BAIXA DE EMBUTIR (1 MÓDULO), 2P+T 10 A, INCLUINDO SUPORTE E PLACA - FORNECIMENTO E INSTALAÇÃO. AF_12/2015</t>
  </si>
  <si>
    <t>CABO DE COBRE FLEXÍVEL ISOLADO, 2,5 MM², ANTI-CHAMA 450/750 V, PARA CIRCUITOS TERMINAIS - FORNECIMENTO E INSTALAÇÃO. AF_12/2015</t>
  </si>
  <si>
    <t>CABO DE COBRE FLEXÍVEL ISOLADO, 4 MM², ANTI-CHAMA 450/750 V, PARA CIRCUITOS TERMINAIS - FORNECIMENTO E INSTALAÇÃO. AF_12/2015</t>
  </si>
  <si>
    <t>CABO DE COBRE FLEXÍVEL ISOLADO, 6 MM², ANTI-CHAMA 0,6/1,0 KV, PARA CIRCUITOS TERMINAIS - FORNECIMENTO E INSTALAÇÃO. AF_12/2015</t>
  </si>
  <si>
    <t>CABO DE COBRE FLEXÍVEL ISOLADO, 35 MM², ANTI-CHAMA 0,6/1,0 KV, PARA DISTRIBUIÇÃO - FORNECIMENTO E INSTALAÇÃO. AF_12/2015</t>
  </si>
  <si>
    <t xml:space="preserve">M  </t>
  </si>
  <si>
    <t>CAIXA RETANGULAR 4" X 2" BAIXA (0,30 M DO PISO), PVC, INSTALADA EM PAREDE - FORNECIMENTO E INSTALAÇÃO. AF_12/2015</t>
  </si>
  <si>
    <t>RASGO EM ALVENARIA PARA RAMAIS/ DISTRIBUIÇÃO COM DIAMETROS MENORES OU IGUAIS A 40 MM. AF_05/2015</t>
  </si>
  <si>
    <t>RASGO EM CONTRAPISO PARA RAMAIS/ DISTRIBUIÇÃO COM DIÂMETROS MENORES OU IGUAIS A 40 MM.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</si>
  <si>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</si>
  <si>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</si>
  <si>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</si>
  <si>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RASGO EM ALVENARIA PARA RAMAIS/ DISTRIBUIÇÃO COM DIÂMETROS MAIORES QUE 40 MM E MENORES OU IGUAIS A 75 MM. AF_05/2015</t>
  </si>
  <si>
    <t>GUIA DE ARAME GALVANIZADO Nº16 - FORNECIMENTO E INSTALAÇÃO</t>
  </si>
  <si>
    <t>CAIXA RETANGULAR 4" X 2" ALTA (2,00 M DO PISO), PVC, INSTALADA EM PAREDE - FORNECIMENTO E INSTALAÇÃO. AF_12/2015</t>
  </si>
  <si>
    <t>CAIXA RETANGULAR 4" X 2" MÉDIA (1,30 M DO PISO), PVC, INSTALADA EM PAREDE - FORNECIMENTO E INSTALAÇÃO. AF_12/2015</t>
  </si>
  <si>
    <t xml:space="preserve">07.00.000 </t>
  </si>
  <si>
    <t>INSTALAÇÕES MECÂNICAS E DE UTILIDADES</t>
  </si>
  <si>
    <t xml:space="preserve">08.00.000 </t>
  </si>
  <si>
    <t>0,200000000</t>
  </si>
  <si>
    <t>Observação:</t>
  </si>
  <si>
    <t>LANÇAMENTO COM USO DE BALDES, ADENSAMENTO E ACABAMENTO DE CONCRETO EM ESTRUTURAS. AF_12/2015</t>
  </si>
  <si>
    <t>AUXILIAR DE ELETRICISTA COM ENCARGOS COMPLEMENTARES</t>
  </si>
  <si>
    <t>ELETRICISTA COM ENCARGOS COMPLEMENTARES</t>
  </si>
  <si>
    <t>0,016600000</t>
  </si>
  <si>
    <t>MONTADOR (TUBO AÇO/EQUIPAMENTOS) COM ENCARGOS COMPLEMENTARES</t>
  </si>
  <si>
    <t>SERVIÇOS TÉCNICO-PROFISSIONAIS</t>
  </si>
  <si>
    <t xml:space="preserve">CREA-DF </t>
  </si>
  <si>
    <t>ART DO CONTRATO</t>
  </si>
  <si>
    <t>CANTEIRO DE OBRAS</t>
  </si>
  <si>
    <t xml:space="preserve">02.01.100 </t>
  </si>
  <si>
    <t>CONSTRUÇÕES PROVISÓRIAS</t>
  </si>
  <si>
    <t>EXECUÇÃO DE RESERVATÓRIO ELEVADO DE ÁGUA (1000 LITROS) EM CANTEIRO DE OBRA, APOIADO EM ESTRUTURA DE MADEIRA. AF_02/2016</t>
  </si>
  <si>
    <t>CONSERVAÇÃO E LIMPEZA</t>
  </si>
  <si>
    <t>LIMPEZA PERMANENTE DA OBRA</t>
  </si>
  <si>
    <t xml:space="preserve">09.04.000 </t>
  </si>
  <si>
    <t>COMO CONSTRUIDO (AS BUILT)</t>
  </si>
  <si>
    <t>REPROGRAFIA</t>
  </si>
  <si>
    <t xml:space="preserve">10.01.000 </t>
  </si>
  <si>
    <t>PESSOAL</t>
  </si>
  <si>
    <t xml:space="preserve">10.01.200 </t>
  </si>
  <si>
    <t>ALMOXARIFE COM ENCARGOS COMPLEMENTARES</t>
  </si>
  <si>
    <t>MESTRE DE OBRAS COM ENCARGOS COMPLEMENTARES</t>
  </si>
  <si>
    <t>02.01.100.1</t>
  </si>
  <si>
    <t>02.01.100.2</t>
  </si>
  <si>
    <t>02.01.100.3</t>
  </si>
  <si>
    <t>09.04.000.1</t>
  </si>
  <si>
    <t>10.01.200.1</t>
  </si>
  <si>
    <t>UNID.</t>
  </si>
  <si>
    <t>CARPINTEIRO DE FORMAS COM ENCARGOS COMPLEMENTARES</t>
  </si>
  <si>
    <t>VIGIA NOTURNO COM ENCARGOS COMPLEMENTARES</t>
  </si>
  <si>
    <t>% SIMPLES DO ITEM</t>
  </si>
  <si>
    <t>% ACUMULADO DO ITEM</t>
  </si>
  <si>
    <t>DESCRIÇÃO DOS SERVIÇOS</t>
  </si>
  <si>
    <t>TOTAL DA ETAPA (COM BDI)</t>
  </si>
  <si>
    <t>SERVIÇOS TÉCNICOS PROFISSIONAIS</t>
  </si>
  <si>
    <t>03.00.000</t>
  </si>
  <si>
    <t>FUNDAÇÕES E ESTRUTURA</t>
  </si>
  <si>
    <t>04.00.000</t>
  </si>
  <si>
    <t>ARQUITETURA E ELEMENTOS DE URBANISMO</t>
  </si>
  <si>
    <t xml:space="preserve">04.01.100 </t>
  </si>
  <si>
    <t>05.00.000</t>
  </si>
  <si>
    <t>INSTALAÇÕES HIDRÁULICAS E SANITÁRIAS</t>
  </si>
  <si>
    <t>INSTALAÇÕES ELÉTRICAS E ELETRÔNICAS</t>
  </si>
  <si>
    <t>INSTALAÇÕES DE PREVENÇÃO E COMBATE À INCÊNDIO</t>
  </si>
  <si>
    <t>10.00.000</t>
  </si>
  <si>
    <t>PERCENTUAL MENSAL (%)</t>
  </si>
  <si>
    <t>VALOR MENSAL (R$)</t>
  </si>
  <si>
    <t>PERCENTUAL ACUMULADO (%)</t>
  </si>
  <si>
    <t>VALOR ACUMULADO (R$)</t>
  </si>
  <si>
    <t>M2</t>
  </si>
  <si>
    <t>04.01.000</t>
  </si>
  <si>
    <t>ARQUITETURA</t>
  </si>
  <si>
    <t>CURVA ABC</t>
  </si>
  <si>
    <t>CRONOGRAMA FISICO FINANCEIRO</t>
  </si>
  <si>
    <t>CUSTO TOTAL</t>
  </si>
  <si>
    <t/>
  </si>
  <si>
    <t>UND</t>
  </si>
  <si>
    <t>COTAÇÕES</t>
  </si>
  <si>
    <t>(COMPOSIÇÃO REPRESENTATIVA) DO SERVIÇO DE ALVENARIA DE VEDAÇÃO DE BLOCOS VAZADOS DE CONCRETO DE 14X19X39CM (ESPESSURA 14CM), PARA EDIFICAÇÃO HABITACIONAL UNIFAMILIAR (CASA) E EDIFICAÇÃO PÚBLICA PADRÃO. AF_12/2014</t>
  </si>
  <si>
    <t>(COMPOSIÇÃO REPRESENTATIVA) DO SERVIÇO DE ALVENARIA DE VEDAÇÃO DE BLOCOS VAZADOS DE CERÂMICA DE 9X19X19CM (ESPESSURA 9CM), PARA EDIFICAÇÃO HABITACIONAL UNIFAMILIAR (CASA) E EDIFICAÇÃO PÚBLICA PADRÃO. AF_11/2014</t>
  </si>
  <si>
    <t>FIXAÇÃO (ENCUNHAMENTO) DE ALVENARIA DE VEDAÇÃO COM TIJOLO MACIÇO. AF_03/2016</t>
  </si>
  <si>
    <t>MARMORISTA/GRANITEIRO COM ENCARGOS COMPLEMENTARES</t>
  </si>
  <si>
    <t>H</t>
  </si>
  <si>
    <t>MAT.</t>
  </si>
  <si>
    <t>SERRALHEIRO COM ENCARGOS COMPLEMENTARES</t>
  </si>
  <si>
    <t>M3</t>
  </si>
  <si>
    <t>AUXILIAR DE SERRALHEIRO COM ENCARGOS COMPLEMENTARES</t>
  </si>
  <si>
    <t>TELHADISTA COM ENCARGOS COMPLEMENTARES</t>
  </si>
  <si>
    <t>CHP</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</si>
  <si>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</si>
  <si>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</si>
  <si>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CHI</t>
  </si>
  <si>
    <t>GUINCHO ELÉTRICO DE COLUNA, CAPACIDADE 400 KG, COM MOTO FREIO, MOTOR TRIFÁSICO DE 1,25 CV - CHP DIURNO. AF_03/2016</t>
  </si>
  <si>
    <t>GUINCHO ELÉTRICO DE COLUNA, CAPACIDADE 400 KG, COM MOTO FREIO, MOTOR TRIFÁSICO DE 1,25 CV - CHI DIURNO. AF_03/2016</t>
  </si>
  <si>
    <t>CONTRAPISO EM ARGAMASSA TRAÇO 1:4 (CIMENTO E AREIA), PREPARO MECÂNICO COM BETONEIRA 400 L, APLICADO EM ÁREAS SECAS SOBRE LAJE, ADERIDO, ESPESSURA 2CM. AF_06/2014</t>
  </si>
  <si>
    <t>AZULEJISTA OU LADRILHISTA COM ENCARGOS COMPLEMENTARES</t>
  </si>
  <si>
    <t>APLICAÇÃO E LIXAMENTO DE MASSA LÁTEX EM TETO, DUAS DEMÃOS. AF_06/2014</t>
  </si>
  <si>
    <t>APLICAÇÃO MANUAL DE PINTURA COM TINTA LÁTEX ACRÍLICA EM TETO, DUAS DEMÃOS. AF_06/2014</t>
  </si>
  <si>
    <t>EMBOÇO, PARA RECEBIMENTO DE CERÂMICA, EM ARGAMASSA TRAÇO 1:2:8, PREPARO MECÂNICO COM BETONEIRA 400L, APLICADO MANUALMENTE EM FACES INTERNAS DE PAREDES, PARA AMBIENTE COM ÁREA ENTRE 5M2 E 10M2,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</si>
  <si>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</si>
  <si>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APLICAÇÃO E LIXAMENTO DE MASSA LÁTEX EM PAREDES, DUAS DEMÃOS. AF_06/2014</t>
  </si>
  <si>
    <t>APLICAÇÃO DE FUNDO SELADOR ACRÍLICO EM PAREDES, UMA DEMÃO. AF_06/2014</t>
  </si>
  <si>
    <t>PINTOR COM ENCARGOS COMPLEMENTARES</t>
  </si>
  <si>
    <t>APLICAÇÃO MANUAL DE PINTURA COM TINTA LÁTEX ACRÍLICA EM PAREDES, DUAS DEMÃOS. AF_06/2014</t>
  </si>
  <si>
    <t>EMBOÇO OU MASSA ÚNICA EM ARGAMASSA TRAÇO 1:2:8, PREPARO MECÂNICO COM BETONEIRA 400 L, APLICADA MANUALMENTE EM PANOS DE FACHADA COM PRESENÇA DE VÃOS, ESPESSURA DE 25 MM. AF_06/2014</t>
  </si>
  <si>
    <t>SER.CG</t>
  </si>
  <si>
    <t>CALCETEIRO COM ENCARGOS COMPLEMENTARES</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</si>
  <si>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</si>
  <si>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</si>
  <si>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EXECUÇÃO DE ESCRITÓRIO EM CANTEIRO DE OBRA EM CHAPA DE MADEIRA COMPENSADA, NÃO INCLUSO MOBILIÁRIO E EQUIPAMENTOS. AF_02/2016</t>
  </si>
  <si>
    <t>EXECUÇÃO DE REFEITÓRIO EM CANTEIRO DE OBRA EM CHAPA DE MADEIRA COMPENSADA, NÃO INCLUSO MOBILIÁRIO E EQUIPAMENTOS. AF_02/2016</t>
  </si>
  <si>
    <t>EXECUÇÃO DE SANITÁRIO E VESTIÁRIO EM CANTEIRO DE OBRA EM CHAPA DE MADEIRA COMPENSADA, NÃO INCLUSO MOBILIÁRIO.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</si>
  <si>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</si>
  <si>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</si>
  <si>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</si>
  <si>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M3XKM</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</si>
  <si>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</si>
  <si>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</si>
  <si>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</si>
  <si>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</si>
  <si>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</si>
  <si>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</si>
  <si>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</si>
  <si>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JOELHO 90 GRAUS, PVC, SOLDÁVEL, DN 25MM, INSTALADO EM RAMAL DE DISTRIBUIÇÃO DE ÁGUA - FORNECIMENTO E INSTALAÇÃO. AF_12/2014</t>
  </si>
  <si>
    <t>JOELHO 90 GRAUS, PVC, SOLDÁVEL, DN 32MM, INSTALADO EM RAMAL DE DISTRIBUIÇÃO DE ÁGUA - FORNECIMENTO E INSTALAÇÃO. AF_12/2014</t>
  </si>
  <si>
    <t>JOELHO 90 GRAUS, PVC, SOLDÁVEL, DN 40MM, INSTALADO EM PRUMADA DE ÁGUA - FORNECIMENTO E INSTALAÇÃO. AF_12/2014</t>
  </si>
  <si>
    <t>JOELHO 90 GRAUS, PVC, SOLDÁVEL, DN 50MM, INSTALADO EM PRUMADA DE ÁGUA - FORNECIMENTO E INSTALAÇÃO. AF_12/2014</t>
  </si>
  <si>
    <t>JOELHO 90 GRAUS, PVC, SOLDÁVEL, DN 60MM, INSTALADO EM PRUMADA DE ÁGUA - FORNECIMENTO E INSTALAÇÃO. AF_12/2014</t>
  </si>
  <si>
    <t>JOELHO 90 GRAUS, PVC, SOLDÁVEL, DN 75MM, INSTALADO EM PRUMADA DE ÁGUA - FORNECIMENTO E INSTALAÇÃO. AF_12/2014</t>
  </si>
  <si>
    <t>TE, PVC, SOLDÁVEL, DN 25MM, INSTALADO EM RAMAL DE DISTRIBUIÇÃO DE ÁGUA - FORNECIMENTO E INSTALAÇÃO. AF_12/2014</t>
  </si>
  <si>
    <t>TE, PVC, SOLDÁVEL, DN 32MM, INSTALADO EM RAMAL DE DISTRIBUIÇÃO DE ÁGUA - FORNECIMENTO E INSTALAÇÃO. AF_12/2014</t>
  </si>
  <si>
    <t>TE, PVC, SOLDÁVEL, DN 40MM, INSTALADO EM PRUMADA DE ÁGUA - FORNECIMENTO E INSTALAÇÃO. AF_12/2014</t>
  </si>
  <si>
    <t>TE, PVC, SOLDÁVEL, DN 50MM,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</si>
  <si>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</si>
  <si>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</si>
  <si>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LUVA DE REDUÇÃO, PVC, SOLDÁVEL, DN 25MM X 20MM, INSTALADO EM RAMAL OU SUB-RAMAL DE ÁGUA - FORNECIMENTO E INSTALAÇÃO. AF_12/2014</t>
  </si>
  <si>
    <t>LUVA DE REDUÇÃO, PVC, SOLDÁVEL, DN 32MM X 25MM, INSTALADO EM RAMAL OU SUB-RAMAL DE ÁGUA - FORNECIMENTO E INSTALAÇÃO. AF_12/2014</t>
  </si>
  <si>
    <t>LUVA DE REDUÇÃO, PVC, SOLDÁVEL, DN 40MM X 32MM, INSTALADO EM PRUMADA DE ÁGUA - FORNECIMENTO E INSTALAÇÃO. AF_12/2014</t>
  </si>
  <si>
    <t>LUVA DE REDUÇÃO, PVC, SOLDÁVEL, DN 60MM X 50MM, INSTALADO EM PRUMADA DE ÁGUA - FORNECIMENTO E INSTALAÇÃO. AF_12/2014</t>
  </si>
  <si>
    <t>FIXAÇÃO DE TUBOS HORIZONTAIS DE PVC, CPVC OU COBRE DIÂMETROS MAIORES QUE 40 MM E MENORES OU IGUAIS A 75 MM COM ABRAÇADEIRA METÁLICA RÍGIDA TIPO D 1 1/2", FIXADA EM PERFILADO EM LAJE. AF_05/2015</t>
  </si>
  <si>
    <t>ELETRODUTO RÍGIDO ROSCÁVEL, PVC, DN 25 MM (3/4"), PARA CIRCUITOS TERMINAIS, INSTALADO EM LAJE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</si>
  <si>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</si>
  <si>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</si>
  <si>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CURVA 90 GRAUS PARA ELETRODUTO, PVC, ROSCÁVEL, DN 32 MM (1"), PARA CIRCUITOS TERMINAIS, INSTALADA EM FORRO - FORNECIMENTO E INSTALAÇÃO. AF_12/2015</t>
  </si>
  <si>
    <t>CONDULETE DE ALUMÍNIO, TIPO C, PARA ELETRODUTO DE AÇO GALVANIZADO DN 20 MM (3/4''), APARENTE - FORNECIMENTO E INSTALAÇÃO. AF_11/2016_P</t>
  </si>
  <si>
    <t>CONDULETE DE ALUMÍNIO, TIPO T, PARA ELETRODUTO DE AÇO GALVANIZADO DN 20 MM (3/4''), APARENTE - FORNECIMENTO E INSTALAÇÃO. AF_11/2016_P</t>
  </si>
  <si>
    <t>CONDULETE DE ALUMÍNIO, TIPO E, PARA ELETRODUTO DE AÇO GALVANIZADO DN 20 MM (3/4''), APARENTE - FORNECIMENTO E INSTALAÇÃO. AF_11/2016_P</t>
  </si>
  <si>
    <t>CONDULETE DE ALUMÍNIO, TIPO LR, PARA ELETRODUTO DE AÇO GALVANIZADO DN 20 MM (3/4''), APARENTE - FORNECIMENTO E INSTALAÇÃO. AF_11/2016_P</t>
  </si>
  <si>
    <t>CONDULETE DE ALUMÍNIO, TIPO T, PARA ELETRODUTO DE AÇO GALVANIZADO DN 25 MM (1''), APARENTE - FORNECIMENTO E INSTALAÇÃO. AF_11/2016_P</t>
  </si>
  <si>
    <t>CONDULETE DE ALUMÍNIO, TIPO C, PARA ELETRODUTO DE AÇO GALVANIZADO DN 25 MM (1''), APARENTE - FORNECIMENTO E INSTALAÇÃO. AF_11/2016_P</t>
  </si>
  <si>
    <t>CAIXA RETANGULAR 4" X 4" MÉDIA (1,30 M DO PISO), PVC, INSTALADA EM PAREDE - FORNECIMENTO E INSTALAÇÃO. AF_12/2015</t>
  </si>
  <si>
    <t>ELETRODUTO RÍGIDO ROSCÁVEL, PVC, DN 40 MM (1 1/4"), PARA CIRCUITOS TERMINAIS, INSTALADO EM PAREDE - FORNECIMENTO E INSTALAÇÃO. AF_12/2015</t>
  </si>
  <si>
    <t>RASGO EM ALVENARIA PARA ELETRODUTOS COM DIAMETROS MENORES OU IGUAIS A 40 MM. AF_05/2015</t>
  </si>
  <si>
    <t>CURSO DE CAPACITAÇÃO PARA VIGIA NOTURNO (ENCARGOS COMPLEMENTARES) - HORISTA</t>
  </si>
  <si>
    <t>VIGIA DIURNO COM ENCARGOS COMPLEMENTARES</t>
  </si>
  <si>
    <t>VALOR ADOTADO</t>
  </si>
  <si>
    <t>30% MAIOR</t>
  </si>
  <si>
    <t>30%MENOR</t>
  </si>
  <si>
    <t>ASSENTAMENTO DE GUIA (MEIO-FIO) EM TRECHO RETO, CONFECCIONADA EM CONCRETO PRÉ-FABRICADO, DIMENSÕES 100X15X13X20 CM (COMPRIMENTO X BASE INFERIOR X BASE SUPERIOR X ALTURA), PARA URBANIZAÇÃO INTERNA DE EMPREENDIMENTOS. AF_06/2016_P</t>
  </si>
  <si>
    <t>MEDIANA</t>
  </si>
  <si>
    <t>CONTATO</t>
  </si>
  <si>
    <t>TUBO DE CONCRETO PARA REDES COLETORAS DE ÁGUAS PLUVIAIS, DIÂMETRO DE 300MM, JUNTA RÍGIDA, INSTALADO EM LOCAL COM BAIXO NÍVEL DE INTERFERÊNCIAS - FORNECIMENTO E ASSENTAMENTO. AF_12/2015</t>
  </si>
  <si>
    <t>TUBO DE CONCRETO PARA REDES COLETORAS DE ÁGUAS PLUVIAIS, DIÂMETRO DE 400 MM, JUNTA RÍGIDA, INSTALADO EM LOCAL COM BAIXO NÍVEL DE INTERFERÊNCIAS - FORNECIMENTO E ASSENTAMENTO. AF_12/2015</t>
  </si>
  <si>
    <t>POLIDORA DE PISO (POLITRIZ), PESO DE 100KG, DIÂMETRO 450 MM, MOTOR ELÉTRICO, POTÊNCIA 4 HP - CHP DIURNO. AF_09/2016</t>
  </si>
  <si>
    <t>POLIDORA DE PISO (POLITRIZ), PESO DE 100KG, DIÂMETRO 450 MM, MOTOR ELÉTRICO, POTÊNCIA 4 HP - CHI DIURNO. AF_09/2016</t>
  </si>
  <si>
    <t>MONTAGEM E DESMONTAGEM DE FÔRMA DE VIGA, ESCORAMENTO METÁLICO, PÉ-DIREITO DUPLO, EM CHAPA DE MADEIRA RESINADA, 6 UTILIZAÇÕES. AF_12/2015</t>
  </si>
  <si>
    <t>CONCRETAGEM DE VIGAS E LAJES, FCK=20 MPA, PARA LAJES MACIÇAS OU NERVURADAS COM USO DE BOMBA EM EDIFICAÇÃO COM ÁREA MÉDIA DE LAJES MAIOR QUE 20 M² - LANÇAMENTO, ADENSAMENTO E ACABAMENTO. AF_12/2015</t>
  </si>
  <si>
    <t>ENCARREGADO GERAL DE OBRAS COM ENCARGOS COMPLEMENTARES</t>
  </si>
  <si>
    <t>GUINDASTE HIDRÁULICO AUTOPROPELIDO, COM LANÇA TELESCÓPICA 28,80 M, CAPACIDADE MÁXIMA 30 T, POTÊNCIA 97 KW, TRAÇÃO 4 X 4 - CHP DIURNO. AF_11/2014</t>
  </si>
  <si>
    <t>AJUDANTE DE CARPINTEIRO COM ENCARGOS COMPLEMENTARES</t>
  </si>
  <si>
    <t>CARPINTEIRO DE ESQUADRIA COM ENCARGOS COMPLEMENTARES</t>
  </si>
  <si>
    <t>DESENHISTA COPISTA COM ENCARGOS COMPLEMENTARES</t>
  </si>
  <si>
    <t>PLANILHA DE COMPOSIÇÕES</t>
  </si>
  <si>
    <t>CABO DE COBRE FLEXÍVEL ISOLADO, 6 MM², ANTI-CHAMA 450/750 V, PARA CIRCUITOS TERMINAIS - FORNECIMENTO E INSTALAÇÃO. AF_12/2015</t>
  </si>
  <si>
    <t>GUINDAUTO HIDRÁULICO, CAPACIDADE MÁXIMA DE CARGA 6200 KG, MOMENTO MÁXIMO DE CARGA 11,7 TM, ALCANCE MÁXIMO HORIZONTAL 9,70 M, INCLUSIVE CAMINHÃO TOCO PBT 16.000 KG, POTÊNCIA DE 189 CV - CHP DIURNO. AF_06/2014</t>
  </si>
  <si>
    <t>CÓPIA DE PROJETOS</t>
  </si>
  <si>
    <t>DESCRICAO DA COMPOSICAO</t>
  </si>
  <si>
    <t>UNIDADE</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</si>
  <si>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</si>
  <si>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</si>
  <si>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</si>
  <si>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</si>
  <si>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</si>
  <si>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</si>
  <si>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</si>
  <si>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</si>
  <si>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</si>
  <si>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</si>
  <si>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</si>
  <si>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</si>
  <si>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</si>
  <si>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</si>
  <si>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</si>
  <si>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</si>
  <si>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</si>
  <si>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</si>
  <si>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</si>
  <si>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</si>
  <si>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</si>
  <si>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</si>
  <si>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</si>
  <si>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</si>
  <si>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</si>
  <si>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</si>
  <si>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</si>
  <si>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</si>
  <si>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</si>
  <si>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</si>
  <si>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</si>
  <si>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</si>
  <si>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</si>
  <si>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</si>
  <si>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</si>
  <si>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</si>
  <si>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</si>
  <si>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</si>
  <si>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</si>
  <si>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</si>
  <si>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</si>
  <si>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</si>
  <si>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</si>
  <si>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</si>
  <si>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</si>
  <si>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</si>
  <si>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</si>
  <si>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</si>
  <si>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</si>
  <si>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</si>
  <si>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</si>
  <si>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</si>
  <si>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</si>
  <si>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</si>
  <si>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</si>
  <si>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</si>
  <si>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</si>
  <si>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</si>
  <si>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</si>
  <si>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</si>
  <si>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</si>
  <si>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</si>
  <si>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</si>
  <si>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</si>
  <si>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</si>
  <si>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</si>
  <si>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</si>
  <si>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</si>
  <si>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</si>
  <si>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</si>
  <si>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</si>
  <si>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</si>
  <si>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EXECUÇÃO DE ESCRITÓRIO EM CANTEIRO DE OBRA EM ALVENARIA,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</si>
  <si>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</si>
  <si>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</si>
  <si>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ALVENARIA, NÃO INCLUSO MOBILIÁRIO E EQUIPAMENTOS. AF_02/2016</t>
  </si>
  <si>
    <t>EXECUÇÃO DE SANITÁRIO E VESTIÁRIO EM CANTEIRO DE OBRA EM ALVENARIA, NÃO INCLUSO MOBILIÁRIO. AF_02/2016</t>
  </si>
  <si>
    <t>EXECUÇÃO DE GUARITA EM CANTEIRO DE OBRA EM CHAPA DE MADEIRA COMPENSADA, NÃO INCLUSO MOBILIÁRIO. AF_04/2016</t>
  </si>
  <si>
    <t>MES</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</si>
  <si>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</si>
  <si>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</si>
  <si>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</si>
  <si>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</si>
  <si>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</si>
  <si>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</si>
  <si>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</si>
  <si>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</si>
  <si>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</si>
  <si>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</si>
  <si>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</si>
  <si>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</si>
  <si>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</si>
  <si>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</si>
  <si>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</si>
  <si>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</si>
  <si>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</si>
  <si>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</si>
  <si>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</si>
  <si>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</si>
  <si>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</si>
  <si>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</si>
  <si>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</si>
  <si>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</si>
  <si>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</si>
  <si>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</si>
  <si>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</si>
  <si>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</si>
  <si>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</si>
  <si>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</si>
  <si>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</si>
  <si>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AF_06/2014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</si>
  <si>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</si>
  <si>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</si>
  <si>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</si>
  <si>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</si>
  <si>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</si>
  <si>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</si>
  <si>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</si>
  <si>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</si>
  <si>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</si>
  <si>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</si>
  <si>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</si>
  <si>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</si>
  <si>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</si>
  <si>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</si>
  <si>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</si>
  <si>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AF_10/2014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</si>
  <si>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</si>
  <si>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</si>
  <si>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</si>
  <si>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AF_06/2014</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</si>
  <si>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</si>
  <si>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</si>
  <si>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</si>
  <si>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</si>
  <si>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</si>
  <si>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</si>
  <si>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</si>
  <si>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</si>
  <si>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</si>
  <si>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</si>
  <si>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</si>
  <si>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</si>
  <si>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</si>
  <si>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</si>
  <si>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</si>
  <si>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</si>
  <si>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</si>
  <si>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</si>
  <si>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</si>
  <si>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</si>
  <si>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</si>
  <si>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</si>
  <si>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</si>
  <si>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</si>
  <si>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</si>
  <si>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</si>
  <si>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</si>
  <si>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</si>
  <si>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</si>
  <si>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</si>
  <si>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</si>
  <si>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</si>
  <si>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</si>
  <si>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</si>
  <si>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</si>
  <si>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</si>
  <si>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</si>
  <si>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</si>
  <si>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</si>
  <si>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</si>
  <si>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</si>
  <si>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</si>
  <si>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</si>
  <si>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</si>
  <si>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</si>
  <si>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</si>
  <si>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</si>
  <si>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</si>
  <si>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</si>
  <si>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</si>
  <si>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</si>
  <si>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</si>
  <si>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</si>
  <si>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</si>
  <si>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</si>
  <si>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</si>
  <si>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</si>
  <si>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</si>
  <si>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</si>
  <si>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</si>
  <si>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PULVERIZADOR DE TINTA ELÉTRICO/MÁQUINA DE PINTURA AIRLESS, VAZÃO 2 L/MIN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</si>
  <si>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</si>
  <si>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</si>
  <si>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</si>
  <si>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</si>
  <si>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</si>
  <si>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</si>
  <si>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</si>
  <si>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</si>
  <si>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</si>
  <si>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</si>
  <si>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</si>
  <si>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</si>
  <si>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</si>
  <si>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</si>
  <si>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</si>
  <si>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</si>
  <si>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</si>
  <si>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</si>
  <si>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PERFURATRIZ ROTATIVA SOBRE ESTEIRA, TORQUE MAXIMO 2500 KGM, POTENCIA 110 HP, MOTOR DIESEL- CHP DIURNO. AF_05/2017</t>
  </si>
  <si>
    <t>ROLO COMPACTADOR DE PNEUS, ESTATICO, PRESSAO VARIAVEL, POTENCIA 110 HP, PESO SEM/COM LASTRO 10,8/27 T, LARGURA DE ROLAGEM 2,30 M - CHP DIURNO. AF_06/2017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</si>
  <si>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</si>
  <si>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</si>
  <si>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</si>
  <si>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</si>
  <si>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</si>
  <si>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</si>
  <si>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</si>
  <si>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</si>
  <si>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</si>
  <si>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</si>
  <si>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</si>
  <si>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</si>
  <si>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</si>
  <si>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</si>
  <si>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</si>
  <si>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</si>
  <si>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</si>
  <si>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</si>
  <si>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</si>
  <si>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</si>
  <si>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</si>
  <si>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</si>
  <si>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</si>
  <si>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</si>
  <si>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</si>
  <si>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</si>
  <si>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</si>
  <si>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</si>
  <si>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</si>
  <si>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</si>
  <si>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</si>
  <si>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</si>
  <si>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</si>
  <si>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</si>
  <si>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</si>
  <si>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</si>
  <si>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</si>
  <si>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</si>
  <si>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</si>
  <si>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</si>
  <si>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</si>
  <si>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</si>
  <si>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</si>
  <si>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</si>
  <si>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</si>
  <si>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</si>
  <si>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</si>
  <si>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</si>
  <si>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</si>
  <si>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</si>
  <si>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</si>
  <si>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</si>
  <si>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</si>
  <si>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</si>
  <si>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</si>
  <si>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</si>
  <si>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</si>
  <si>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</si>
  <si>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</si>
  <si>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</si>
  <si>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</si>
  <si>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</si>
  <si>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</si>
  <si>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</si>
  <si>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</si>
  <si>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</si>
  <si>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</si>
  <si>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</si>
  <si>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</si>
  <si>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</si>
  <si>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</si>
  <si>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</si>
  <si>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</si>
  <si>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</si>
  <si>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</si>
  <si>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</si>
  <si>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</si>
  <si>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</si>
  <si>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</si>
  <si>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</si>
  <si>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</si>
  <si>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</si>
  <si>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</si>
  <si>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</si>
  <si>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</si>
  <si>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</si>
  <si>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</si>
  <si>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</si>
  <si>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</si>
  <si>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</si>
  <si>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</si>
  <si>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</si>
  <si>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</si>
  <si>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</si>
  <si>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</si>
  <si>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</si>
  <si>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</si>
  <si>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</si>
  <si>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</si>
  <si>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</si>
  <si>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</si>
  <si>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</si>
  <si>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</si>
  <si>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</si>
  <si>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</si>
  <si>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</si>
  <si>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</si>
  <si>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</si>
  <si>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</si>
  <si>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</si>
  <si>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</si>
  <si>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</si>
  <si>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AF_08/2016</t>
  </si>
  <si>
    <t>PULVERIZADOR DE TINTA ELÉTRICO/MÁQUINA DE PINTURA AIRLESS, VAZÃO 2 L/MIN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</si>
  <si>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</si>
  <si>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</si>
  <si>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</si>
  <si>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</si>
  <si>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</si>
  <si>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</si>
  <si>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</si>
  <si>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</si>
  <si>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</si>
  <si>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</si>
  <si>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</si>
  <si>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</si>
  <si>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</si>
  <si>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</si>
  <si>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</si>
  <si>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</si>
  <si>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</si>
  <si>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</si>
  <si>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</si>
  <si>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PERFURATRIZ ROTATIVA SOBRE ESTEIRA, TORQUE MAXIMO 2500 KGM, POTENCIA 110 HP, MOTOR DIESEL - CHI DIURNO. AF_05/2017</t>
  </si>
  <si>
    <t>ROLO COMPACTADOR DE PNEUS, ESTATICO, PRESSAO VARIAVEL, POTENCIA 110 HP, PESO SEM/COM LASTRO 10,8/27 T, LARGURA DE ROLAGEM 2,30 M - CHI DIURNO. AF_06/2017</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</si>
  <si>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</si>
  <si>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</si>
  <si>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</si>
  <si>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</si>
  <si>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</si>
  <si>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</si>
  <si>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</si>
  <si>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</si>
  <si>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</si>
  <si>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</si>
  <si>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</si>
  <si>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</si>
  <si>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</si>
  <si>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</si>
  <si>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</si>
  <si>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</si>
  <si>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</si>
  <si>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</si>
  <si>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</si>
  <si>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</si>
  <si>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</si>
  <si>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</si>
  <si>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</si>
  <si>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</si>
  <si>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</si>
  <si>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</si>
  <si>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</si>
  <si>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</si>
  <si>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</si>
  <si>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</si>
  <si>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</si>
  <si>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</si>
  <si>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</si>
  <si>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</si>
  <si>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</si>
  <si>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</si>
  <si>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</si>
  <si>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</si>
  <si>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</si>
  <si>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</si>
  <si>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</si>
  <si>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</si>
  <si>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</si>
  <si>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</si>
  <si>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</si>
  <si>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</si>
  <si>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</si>
  <si>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</si>
  <si>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</si>
  <si>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</si>
  <si>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</si>
  <si>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</si>
  <si>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</si>
  <si>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</si>
  <si>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</si>
  <si>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</si>
  <si>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</si>
  <si>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</si>
  <si>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</si>
  <si>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</si>
  <si>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</si>
  <si>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</si>
  <si>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</si>
  <si>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</si>
  <si>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</si>
  <si>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</si>
  <si>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</si>
  <si>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</si>
  <si>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</si>
  <si>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</si>
  <si>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</si>
  <si>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</si>
  <si>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</si>
  <si>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</si>
  <si>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</si>
  <si>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</si>
  <si>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</si>
  <si>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</si>
  <si>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</si>
  <si>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</si>
  <si>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</si>
  <si>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</si>
  <si>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</si>
  <si>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</si>
  <si>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</si>
  <si>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</si>
  <si>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</si>
  <si>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</si>
  <si>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</si>
  <si>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</si>
  <si>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</si>
  <si>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</si>
  <si>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</si>
  <si>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</si>
  <si>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</si>
  <si>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</si>
  <si>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</si>
  <si>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</si>
  <si>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</si>
  <si>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</si>
  <si>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</si>
  <si>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</si>
  <si>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</si>
  <si>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</si>
  <si>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</si>
  <si>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</si>
  <si>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</si>
  <si>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</si>
  <si>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</si>
  <si>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</si>
  <si>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</si>
  <si>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</si>
  <si>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</si>
  <si>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</si>
  <si>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</si>
  <si>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</si>
  <si>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</si>
  <si>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</si>
  <si>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</si>
  <si>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</si>
  <si>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</si>
  <si>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</si>
  <si>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</si>
  <si>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</si>
  <si>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</si>
  <si>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</si>
  <si>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</si>
  <si>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</si>
  <si>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</si>
  <si>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</si>
  <si>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</si>
  <si>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</si>
  <si>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</si>
  <si>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</si>
  <si>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</si>
  <si>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</si>
  <si>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</si>
  <si>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</si>
  <si>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</si>
  <si>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</si>
  <si>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</si>
  <si>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</si>
  <si>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</si>
  <si>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</si>
  <si>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</si>
  <si>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</si>
  <si>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</si>
  <si>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</si>
  <si>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</si>
  <si>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</si>
  <si>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</si>
  <si>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</si>
  <si>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</si>
  <si>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</si>
  <si>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</si>
  <si>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</si>
  <si>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</si>
  <si>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</si>
  <si>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</si>
  <si>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</si>
  <si>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</si>
  <si>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</si>
  <si>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</si>
  <si>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</si>
  <si>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</si>
  <si>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</si>
  <si>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</si>
  <si>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</si>
  <si>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</si>
  <si>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</si>
  <si>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</si>
  <si>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</si>
  <si>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</si>
  <si>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</si>
  <si>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</si>
  <si>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</si>
  <si>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</si>
  <si>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</si>
  <si>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</si>
  <si>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</si>
  <si>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</si>
  <si>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</si>
  <si>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</si>
  <si>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</si>
  <si>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</si>
  <si>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</si>
  <si>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</si>
  <si>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</si>
  <si>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</si>
  <si>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</si>
  <si>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</si>
  <si>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</si>
  <si>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</si>
  <si>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</si>
  <si>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</si>
  <si>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</si>
  <si>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</si>
  <si>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</si>
  <si>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</si>
  <si>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</si>
  <si>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</si>
  <si>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</si>
  <si>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</si>
  <si>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</si>
  <si>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</si>
  <si>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</si>
  <si>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</si>
  <si>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</si>
  <si>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</si>
  <si>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</si>
  <si>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</si>
  <si>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</si>
  <si>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</si>
  <si>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</si>
  <si>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</si>
  <si>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</si>
  <si>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</si>
  <si>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</si>
  <si>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</si>
  <si>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</si>
  <si>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</si>
  <si>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</si>
  <si>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</si>
  <si>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</si>
  <si>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</si>
  <si>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</si>
  <si>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</si>
  <si>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</si>
  <si>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</si>
  <si>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</si>
  <si>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</si>
  <si>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</si>
  <si>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</si>
  <si>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</si>
  <si>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</si>
  <si>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</si>
  <si>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</si>
  <si>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</si>
  <si>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</si>
  <si>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</si>
  <si>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</si>
  <si>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</si>
  <si>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</si>
  <si>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</si>
  <si>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</si>
  <si>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</si>
  <si>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</si>
  <si>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</si>
  <si>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</si>
  <si>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</si>
  <si>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</si>
  <si>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</si>
  <si>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</si>
  <si>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</si>
  <si>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</si>
  <si>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</si>
  <si>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</si>
  <si>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</si>
  <si>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</si>
  <si>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</si>
  <si>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</si>
  <si>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</si>
  <si>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</si>
  <si>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</si>
  <si>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</si>
  <si>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</si>
  <si>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</si>
  <si>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</si>
  <si>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</si>
  <si>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</si>
  <si>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</si>
  <si>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</si>
  <si>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</si>
  <si>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</si>
  <si>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</si>
  <si>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</si>
  <si>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</si>
  <si>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</si>
  <si>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</si>
  <si>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</si>
  <si>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</si>
  <si>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</si>
  <si>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</si>
  <si>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</si>
  <si>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</si>
  <si>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</si>
  <si>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</si>
  <si>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</si>
  <si>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</si>
  <si>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</si>
  <si>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</si>
  <si>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</si>
  <si>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</si>
  <si>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</si>
  <si>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</si>
  <si>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</si>
  <si>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</si>
  <si>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</si>
  <si>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</si>
  <si>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</si>
  <si>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</si>
  <si>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</si>
  <si>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</si>
  <si>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</si>
  <si>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</si>
  <si>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</si>
  <si>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</si>
  <si>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</si>
  <si>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</si>
  <si>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</si>
  <si>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</si>
  <si>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</si>
  <si>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</si>
  <si>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</si>
  <si>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</si>
  <si>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</si>
  <si>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</si>
  <si>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</si>
  <si>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</si>
  <si>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</si>
  <si>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</si>
  <si>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</si>
  <si>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</si>
  <si>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</si>
  <si>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</si>
  <si>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</si>
  <si>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</si>
  <si>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</si>
  <si>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</si>
  <si>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</si>
  <si>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</si>
  <si>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</si>
  <si>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</si>
  <si>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</si>
  <si>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</si>
  <si>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</si>
  <si>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</si>
  <si>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</si>
  <si>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</si>
  <si>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</si>
  <si>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</si>
  <si>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</si>
  <si>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</si>
  <si>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</si>
  <si>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</si>
  <si>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</si>
  <si>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</si>
  <si>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</si>
  <si>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</si>
  <si>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</si>
  <si>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</si>
  <si>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</si>
  <si>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</si>
  <si>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</si>
  <si>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</si>
  <si>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</si>
  <si>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</si>
  <si>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</si>
  <si>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</si>
  <si>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</si>
  <si>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</si>
  <si>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</si>
  <si>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</si>
  <si>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</si>
  <si>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</si>
  <si>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</si>
  <si>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</si>
  <si>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</si>
  <si>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</si>
  <si>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</si>
  <si>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</si>
  <si>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</si>
  <si>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</si>
  <si>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</si>
  <si>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</si>
  <si>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</si>
  <si>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</si>
  <si>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</si>
  <si>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</si>
  <si>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</si>
  <si>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</si>
  <si>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</si>
  <si>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</si>
  <si>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</si>
  <si>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</si>
  <si>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</si>
  <si>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</si>
  <si>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</si>
  <si>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</si>
  <si>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</si>
  <si>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</si>
  <si>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</si>
  <si>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</si>
  <si>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</si>
  <si>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</si>
  <si>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</si>
  <si>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</si>
  <si>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</si>
  <si>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</si>
  <si>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</si>
  <si>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</si>
  <si>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</si>
  <si>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</si>
  <si>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</si>
  <si>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</si>
  <si>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</si>
  <si>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</si>
  <si>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</si>
  <si>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</si>
  <si>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</si>
  <si>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</si>
  <si>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</si>
  <si>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</si>
  <si>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</si>
  <si>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</si>
  <si>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</si>
  <si>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</si>
  <si>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</si>
  <si>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</si>
  <si>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</si>
  <si>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</si>
  <si>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</si>
  <si>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</si>
  <si>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</si>
  <si>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</si>
  <si>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</si>
  <si>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</si>
  <si>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</si>
  <si>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</si>
  <si>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</si>
  <si>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</si>
  <si>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</si>
  <si>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</si>
  <si>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</si>
  <si>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</si>
  <si>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</si>
  <si>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</si>
  <si>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</si>
  <si>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</si>
  <si>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</si>
  <si>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</si>
  <si>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</si>
  <si>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</si>
  <si>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</si>
  <si>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</si>
  <si>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</si>
  <si>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</si>
  <si>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</si>
  <si>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</si>
  <si>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</si>
  <si>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</si>
  <si>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</si>
  <si>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</si>
  <si>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</si>
  <si>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</si>
  <si>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</si>
  <si>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</si>
  <si>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</si>
  <si>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</si>
  <si>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</si>
  <si>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</si>
  <si>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</si>
  <si>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</si>
  <si>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</si>
  <si>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</si>
  <si>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</si>
  <si>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</si>
  <si>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</si>
  <si>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</si>
  <si>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</si>
  <si>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</si>
  <si>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</si>
  <si>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</si>
  <si>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</si>
  <si>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</si>
  <si>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</si>
  <si>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</si>
  <si>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</si>
  <si>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</si>
  <si>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</si>
  <si>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</si>
  <si>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</si>
  <si>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</si>
  <si>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</si>
  <si>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</si>
  <si>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</si>
  <si>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</si>
  <si>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</si>
  <si>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</si>
  <si>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</si>
  <si>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</si>
  <si>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</si>
  <si>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</si>
  <si>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</si>
  <si>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</si>
  <si>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</si>
  <si>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</si>
  <si>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</si>
  <si>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</si>
  <si>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</si>
  <si>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</si>
  <si>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</si>
  <si>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</si>
  <si>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</si>
  <si>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</si>
  <si>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</si>
  <si>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</si>
  <si>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</si>
  <si>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</si>
  <si>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</si>
  <si>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</si>
  <si>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</si>
  <si>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</si>
  <si>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</si>
  <si>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</si>
  <si>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</si>
  <si>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</si>
  <si>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</si>
  <si>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</si>
  <si>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</si>
  <si>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</si>
  <si>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</si>
  <si>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</si>
  <si>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</si>
  <si>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</si>
  <si>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</si>
  <si>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</si>
  <si>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</si>
  <si>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</si>
  <si>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</si>
  <si>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</si>
  <si>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</si>
  <si>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</si>
  <si>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</si>
  <si>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</si>
  <si>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</si>
  <si>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</si>
  <si>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</si>
  <si>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</si>
  <si>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</si>
  <si>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</si>
  <si>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</si>
  <si>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</si>
  <si>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</si>
  <si>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</si>
  <si>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</si>
  <si>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</si>
  <si>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</si>
  <si>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</si>
  <si>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</si>
  <si>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</si>
  <si>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</si>
  <si>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</si>
  <si>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</si>
  <si>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</si>
  <si>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</si>
  <si>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</si>
  <si>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</si>
  <si>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</si>
  <si>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</si>
  <si>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</si>
  <si>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</si>
  <si>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</si>
  <si>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</si>
  <si>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</si>
  <si>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</si>
  <si>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</si>
  <si>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</si>
  <si>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</si>
  <si>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</si>
  <si>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</si>
  <si>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</si>
  <si>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</si>
  <si>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</si>
  <si>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</si>
  <si>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</si>
  <si>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</si>
  <si>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</si>
  <si>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</si>
  <si>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</si>
  <si>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</si>
  <si>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</si>
  <si>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</si>
  <si>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</si>
  <si>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</si>
  <si>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</si>
  <si>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</si>
  <si>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</si>
  <si>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</si>
  <si>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</si>
  <si>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</si>
  <si>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</si>
  <si>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</si>
  <si>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73881/1</t>
  </si>
  <si>
    <t>EXECUCAO DE DRENO COM MANTA GEOTEXTIL 200 G/M2</t>
  </si>
  <si>
    <t>73883/2</t>
  </si>
  <si>
    <t>EXECUCAO DE DRENO FRANCES COM BRITA NUM 2</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</si>
  <si>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</si>
  <si>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</si>
  <si>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</si>
  <si>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</si>
  <si>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</si>
  <si>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</si>
  <si>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</si>
  <si>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</si>
  <si>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</si>
  <si>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</si>
  <si>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</si>
  <si>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</si>
  <si>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</si>
  <si>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</si>
  <si>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</si>
  <si>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</si>
  <si>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</si>
  <si>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</si>
  <si>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</si>
  <si>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</si>
  <si>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</si>
  <si>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</si>
  <si>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</si>
  <si>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</si>
  <si>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</si>
  <si>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</si>
  <si>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</si>
  <si>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</si>
  <si>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</si>
  <si>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</si>
  <si>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</si>
  <si>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</si>
  <si>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</si>
  <si>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</si>
  <si>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</si>
  <si>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</si>
  <si>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</si>
  <si>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</si>
  <si>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</si>
  <si>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</si>
  <si>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</si>
  <si>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</si>
  <si>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</si>
  <si>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</si>
  <si>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</si>
  <si>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</si>
  <si>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</si>
  <si>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</si>
  <si>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</si>
  <si>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</si>
  <si>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</si>
  <si>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</si>
  <si>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</si>
  <si>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</si>
  <si>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</si>
  <si>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</si>
  <si>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</si>
  <si>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73856/1</t>
  </si>
  <si>
    <t>BOCA P/BUEIRO SIMPLES TUBULAR D=0,40M EM CONCRETO CICLOPICO, INCLINDO FORMAS, ESCAVACAO, REATERRO E MATERIAIS, EXCLUINDO MATERIAL REATERRO JAZIDA E TRANSPORTE</t>
  </si>
  <si>
    <t>73856/2</t>
  </si>
  <si>
    <t>BOCA PARA BUEIRO SIMPLES TUBULAR, DIAMETRO =0,60M, EM CONCRETO CICLOPICO, INCLUINDO FORMAS, ESCAVACAO, REATERRO E MATERIAIS, EXCLUINDO MATERIAL REATERRO JAZIDA E TRANSPORTE.</t>
  </si>
  <si>
    <t>73856/3</t>
  </si>
  <si>
    <t>BOCA PARA BUEIRO SIMPLES TUBULAR, DIAMETRO =0,80M, EM CONCRETO CICLOPICO, INCLUINDO FORMAS, ESCAVACAO, REATERRO E MATERIAIS, EXCLUINDO MATERIAL REATERRO JAZIDA E TRANSPORTE.</t>
  </si>
  <si>
    <t>73856/4</t>
  </si>
  <si>
    <t>BOCA PARA BUEIRO SIMPLES TUBULAR, DIAMETRO =1,00M, EM CONCRETO CICLOPICO, INCLUINDO FORMAS, ESCAVACAO, REATERRO E MATERIAIS, EXCLUINDO MATERIAL REATERRO JAZIDA E TRANSPORTE.</t>
  </si>
  <si>
    <t>GRELHA FF 30X90CM, 135KG, P/ CX RALO COM ASSENTAMENTO DE ARGAMASSA CIMENTO/AREIA 1:4 - FORNECIMENTO E INSTALAÇÃO</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</si>
  <si>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</si>
  <si>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</si>
  <si>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</si>
  <si>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</si>
  <si>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</si>
  <si>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</si>
  <si>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</si>
  <si>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</si>
  <si>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</si>
  <si>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</si>
  <si>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</si>
  <si>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</si>
  <si>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</si>
  <si>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</si>
  <si>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</si>
  <si>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</si>
  <si>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</si>
  <si>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</si>
  <si>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</si>
  <si>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</si>
  <si>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</si>
  <si>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</si>
  <si>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</si>
  <si>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</si>
  <si>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</si>
  <si>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</si>
  <si>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</si>
  <si>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</si>
  <si>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</si>
  <si>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</si>
  <si>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</si>
  <si>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</si>
  <si>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</si>
  <si>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</si>
  <si>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</si>
  <si>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</si>
  <si>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</si>
  <si>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</si>
  <si>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</si>
  <si>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</si>
  <si>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</si>
  <si>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</si>
  <si>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</si>
  <si>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</si>
  <si>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</si>
  <si>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</si>
  <si>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</si>
  <si>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</si>
  <si>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</si>
  <si>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</si>
  <si>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</si>
  <si>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</si>
  <si>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</si>
  <si>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</si>
  <si>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</si>
  <si>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</si>
  <si>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</si>
  <si>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</si>
  <si>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</si>
  <si>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</si>
  <si>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</si>
  <si>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</si>
  <si>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</si>
  <si>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</si>
  <si>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</si>
  <si>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</si>
  <si>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</si>
  <si>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</si>
  <si>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</si>
  <si>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</si>
  <si>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</si>
  <si>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</si>
  <si>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</si>
  <si>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</si>
  <si>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</si>
  <si>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</si>
  <si>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</si>
  <si>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</si>
  <si>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</si>
  <si>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</si>
  <si>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</si>
  <si>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</si>
  <si>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</si>
  <si>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</si>
  <si>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</si>
  <si>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6,3 MM, UTILIZADO EM ESTRUTURAS DIVERSAS, EXCETO LAJES. AF_12/2015</t>
  </si>
  <si>
    <t>CORTE E DOBRA DE AÇO CA-50, DIÂMETRO DE 8,0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</si>
  <si>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</si>
  <si>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</si>
  <si>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</si>
  <si>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</si>
  <si>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</si>
  <si>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</si>
  <si>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</si>
  <si>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</si>
  <si>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</si>
  <si>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</si>
  <si>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</si>
  <si>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</si>
  <si>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</si>
  <si>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</si>
  <si>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</si>
  <si>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</si>
  <si>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</si>
  <si>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</si>
  <si>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</si>
  <si>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</si>
  <si>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</si>
  <si>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</si>
  <si>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</si>
  <si>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</si>
  <si>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</si>
  <si>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</si>
  <si>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</si>
  <si>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CORTE E DOBRA DE AÇO CA-60, DIÂMETRO DE 5,0 MM, UTILIZADO EM ESTRIBO CONTÍNUO HELICOIDAL. AF_10/2016</t>
  </si>
  <si>
    <t>CORTE E DOBRA DE AÇO CA-50, DIÂMETRO DE 6,3 MM, UTILIZADO EM ESTRIBO CONTÍNUO HELICOIDAL. AF_10/2016</t>
  </si>
  <si>
    <t>MONTAGEM DE ARMADURA LONGITUDINAL DE ESTACAS DE SEÇÃO CIRCULAR, DIÂMETRO = 10,0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</si>
  <si>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</si>
  <si>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</si>
  <si>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</si>
  <si>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TRANSVERSAL DE ESTACAS DE SEÇÃO CIRCULAR, DIÂMETRO = 5,0 MM. AF_11/2016</t>
  </si>
  <si>
    <t>MONTAGEM DE ARMADURA TRANSVERSAL DE ESTACAS DE SEÇÃO CIRCULAR, DIÂMETRO = 6,3 MM. AF_11/2016</t>
  </si>
  <si>
    <t>MONTAGEM DE ARMADURA LONGITUDINAL DE ESTACAS DE SEÇÃO RETANGULAR (BARRETE), DIÂMETRO = 10,0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</si>
  <si>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</si>
  <si>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</si>
  <si>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</si>
  <si>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TRANSVERSAL DE ESTACAS DE SEÇÃO RETANGULAR (BARRETE), DIÂMETRO = 5,0 MM. AF_11/2016</t>
  </si>
  <si>
    <t>MONTAGEM DE ARMADURA TRANSVERSAL DE ESTACAS DE SEÇÃO RETANGULAR (BARRETE), DIÂMETRO = 6,3 MM. AF_11/2016</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</si>
  <si>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</si>
  <si>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</si>
  <si>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</si>
  <si>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</si>
  <si>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</si>
  <si>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</si>
  <si>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</si>
  <si>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GRAUTEAMENTO VERTICAL EM ALVENARIA ESTRUTURAL. AF_01/2015</t>
  </si>
  <si>
    <t>GRAUTEAMENTO DE CINTA INTERMEDIÁRIA OU DE CONTRAVERGA EM ALVENARIA ESTRUTURAL. AF_01/2015</t>
  </si>
  <si>
    <t>GRAUTEAMENTO DE CINTA SUPERIOR OU DE VERGA EM ALVENARIA ESTRUTURAL. AF_01/2015</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</si>
  <si>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</si>
  <si>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</si>
  <si>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</si>
  <si>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</si>
  <si>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</si>
  <si>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</si>
  <si>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</si>
  <si>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</si>
  <si>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</si>
  <si>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</si>
  <si>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</si>
  <si>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</si>
  <si>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</si>
  <si>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</si>
  <si>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</si>
  <si>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</si>
  <si>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</si>
  <si>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</si>
  <si>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</si>
  <si>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</si>
  <si>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</si>
  <si>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</si>
  <si>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</si>
  <si>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</si>
  <si>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</si>
  <si>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</si>
  <si>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</si>
  <si>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</si>
  <si>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</si>
  <si>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BOMBA, ADENSAMENTO E ACABAMENTO DE CONCRETO EM ESTRUTURAS. AF_12/2015</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</si>
  <si>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</si>
  <si>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</si>
  <si>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</si>
  <si>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</si>
  <si>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</si>
  <si>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</si>
  <si>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</si>
  <si>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</si>
  <si>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</si>
  <si>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</si>
  <si>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</si>
  <si>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</si>
  <si>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</si>
  <si>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</si>
  <si>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</si>
  <si>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</si>
  <si>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</si>
  <si>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</si>
  <si>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</si>
  <si>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</si>
  <si>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</si>
  <si>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</si>
  <si>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</si>
  <si>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</si>
  <si>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</si>
  <si>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</si>
  <si>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</si>
  <si>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</si>
  <si>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</si>
  <si>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</si>
  <si>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</si>
  <si>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</si>
  <si>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</si>
  <si>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ELETRODUTO FLEXÍVEL CORRUGADO,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</si>
  <si>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</si>
  <si>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PVC, DN 32 MM (1"), PARA CIRCUITOS TERMINAIS, INSTALADO EM FORRO - FORNECIMENTO E INSTALAÇÃO. AF_12/2015</t>
  </si>
  <si>
    <t>ELETRODUTO FLEXÍVEL CORRUGADO, PVC, DN 20 MM (1/2"), PARA CIRCUITOS TERMINAIS, INSTALADO EM LAJE - FORNECIMENTO E INSTALAÇÃO. AF_12/2015</t>
  </si>
  <si>
    <t>ELETRODUTO FLEXÍVEL CORRUGADO, PVC, DN 25 MM (3/4"), PARA CIRCUITOS TERMINAIS, INSTALADO EM LAJE - FORNECIMENTO E INSTALAÇÃO. AF_12/2015</t>
  </si>
  <si>
    <t>ELETRODUTO FLEXÍVEL CORRUGADO, PVC, DN 32 MM (1"), PARA CIRCUITOS TERMINAIS, INSTALADO EM LAJE - FORNECIMENTO E INSTALAÇÃO. AF_12/2015</t>
  </si>
  <si>
    <t>ELETRODUTO FLEXÍVEL CORRUGADO,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</si>
  <si>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</si>
  <si>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PVC, DN 32 MM (1"),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</si>
  <si>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</si>
  <si>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</si>
  <si>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</si>
  <si>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</si>
  <si>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</si>
  <si>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</si>
  <si>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</si>
  <si>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</si>
  <si>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</si>
  <si>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</si>
  <si>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</si>
  <si>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</si>
  <si>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</si>
  <si>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</si>
  <si>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</si>
  <si>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</si>
  <si>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</si>
  <si>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</si>
  <si>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</si>
  <si>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</si>
  <si>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</si>
  <si>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</si>
  <si>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</si>
  <si>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</si>
  <si>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</si>
  <si>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</si>
  <si>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</si>
  <si>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</si>
  <si>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</si>
  <si>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</si>
  <si>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</si>
  <si>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</si>
  <si>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</si>
  <si>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</si>
  <si>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</si>
  <si>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</si>
  <si>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</si>
  <si>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</si>
  <si>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</si>
  <si>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</si>
  <si>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</si>
  <si>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</si>
  <si>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</si>
  <si>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</si>
  <si>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</si>
  <si>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</si>
  <si>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</si>
  <si>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</si>
  <si>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</si>
  <si>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</si>
  <si>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</si>
  <si>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</si>
  <si>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</si>
  <si>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</si>
  <si>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</si>
  <si>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</si>
  <si>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</si>
  <si>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</si>
  <si>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</si>
  <si>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</si>
  <si>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</si>
  <si>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</si>
  <si>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</si>
  <si>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</si>
  <si>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</si>
  <si>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</si>
  <si>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</si>
  <si>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</si>
  <si>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</si>
  <si>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</si>
  <si>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</si>
  <si>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</si>
  <si>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</si>
  <si>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</si>
  <si>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</si>
  <si>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</si>
  <si>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</si>
  <si>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</si>
  <si>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</si>
  <si>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</si>
  <si>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</si>
  <si>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</si>
  <si>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</si>
  <si>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</si>
  <si>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</si>
  <si>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0,6/1,0 KV, PARA CIRCUITOS TERMINAIS - FORNECIMENTO E INSTALAÇÃO. AF_12/2015</t>
  </si>
  <si>
    <t>CABO DE COBRE FLEXÍVEL ISOLADO, 4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</si>
  <si>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</si>
  <si>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</si>
  <si>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</si>
  <si>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</si>
  <si>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</si>
  <si>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</si>
  <si>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</si>
  <si>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</si>
  <si>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</si>
  <si>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</si>
  <si>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</si>
  <si>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</si>
  <si>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</si>
  <si>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</si>
  <si>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</si>
  <si>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</si>
  <si>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</si>
  <si>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</si>
  <si>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</si>
  <si>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</si>
  <si>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</si>
  <si>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</si>
  <si>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</si>
  <si>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</si>
  <si>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</si>
  <si>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</si>
  <si>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</si>
  <si>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</si>
  <si>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</si>
  <si>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4" ALTA (2,00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</si>
  <si>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</si>
  <si>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</si>
  <si>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</si>
  <si>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</si>
  <si>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</si>
  <si>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</si>
  <si>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</si>
  <si>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</si>
  <si>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</si>
  <si>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</si>
  <si>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B,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</si>
  <si>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</si>
  <si>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</si>
  <si>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</si>
  <si>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</si>
  <si>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</si>
  <si>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</si>
  <si>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</si>
  <si>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</si>
  <si>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</si>
  <si>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</si>
  <si>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</si>
  <si>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</si>
  <si>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</si>
  <si>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</si>
  <si>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</si>
  <si>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</si>
  <si>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</si>
  <si>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</si>
  <si>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</si>
  <si>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</si>
  <si>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</si>
  <si>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</si>
  <si>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</si>
  <si>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</si>
  <si>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</si>
  <si>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</si>
  <si>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</si>
  <si>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</si>
  <si>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</si>
  <si>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</si>
  <si>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</si>
  <si>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</si>
  <si>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</si>
  <si>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</si>
  <si>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</si>
  <si>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</si>
  <si>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</si>
  <si>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</si>
  <si>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</si>
  <si>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</si>
  <si>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</si>
  <si>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</si>
  <si>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</si>
  <si>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</si>
  <si>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</si>
  <si>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</si>
  <si>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</si>
  <si>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</si>
  <si>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</si>
  <si>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</si>
  <si>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</si>
  <si>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</si>
  <si>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</si>
  <si>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</si>
  <si>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TOMADA ALTA DE EMBUTIR (1 MÓDULO), 2P+T 10 A, SEM SUPORTE E SEM PLACA - FORNECIMENTO E INSTALAÇÃO. AF_12/2015</t>
  </si>
  <si>
    <t>TOMADA ALTA DE EMBUTIR (1 MÓDULO), 2P+T 20 A, SEM SUPORTE E SEM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</si>
  <si>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</si>
  <si>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</si>
  <si>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</si>
  <si>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</si>
  <si>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</si>
  <si>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</si>
  <si>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</si>
  <si>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</si>
  <si>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</si>
  <si>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</si>
  <si>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</si>
  <si>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</si>
  <si>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</si>
  <si>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</si>
  <si>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</si>
  <si>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</si>
  <si>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</si>
  <si>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</si>
  <si>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</si>
  <si>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</si>
  <si>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</si>
  <si>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</si>
  <si>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</si>
  <si>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</si>
  <si>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</si>
  <si>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</si>
  <si>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</si>
  <si>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</si>
  <si>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</si>
  <si>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</si>
  <si>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</si>
  <si>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</si>
  <si>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</si>
  <si>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</si>
  <si>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</si>
  <si>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</si>
  <si>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</si>
  <si>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</si>
  <si>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</si>
  <si>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</si>
  <si>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</si>
  <si>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</si>
  <si>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</si>
  <si>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</si>
  <si>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</si>
  <si>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</si>
  <si>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</si>
  <si>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</si>
  <si>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</si>
  <si>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</si>
  <si>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</si>
  <si>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</si>
  <si>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</si>
  <si>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</si>
  <si>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</si>
  <si>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</si>
  <si>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</si>
  <si>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</si>
  <si>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</si>
  <si>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</si>
  <si>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</si>
  <si>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</si>
  <si>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</si>
  <si>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</si>
  <si>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</si>
  <si>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</si>
  <si>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</si>
  <si>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</si>
  <si>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</si>
  <si>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</si>
  <si>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</si>
  <si>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</si>
  <si>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</si>
  <si>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</si>
  <si>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</si>
  <si>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</si>
  <si>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</si>
  <si>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</si>
  <si>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</si>
  <si>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</si>
  <si>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</si>
  <si>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</si>
  <si>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</si>
  <si>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</si>
  <si>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</si>
  <si>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</si>
  <si>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</si>
  <si>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</si>
  <si>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</si>
  <si>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</si>
  <si>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</si>
  <si>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</si>
  <si>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</si>
  <si>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</si>
  <si>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</si>
  <si>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</si>
  <si>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</si>
  <si>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</si>
  <si>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</si>
  <si>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</si>
  <si>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</si>
  <si>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</si>
  <si>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</si>
  <si>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</si>
  <si>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</si>
  <si>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</si>
  <si>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</si>
  <si>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</si>
  <si>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</si>
  <si>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</si>
  <si>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</si>
  <si>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</si>
  <si>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</si>
  <si>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</si>
  <si>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</si>
  <si>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</si>
  <si>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</si>
  <si>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</si>
  <si>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</si>
  <si>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</si>
  <si>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</si>
  <si>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</si>
  <si>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</si>
  <si>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</si>
  <si>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</si>
  <si>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</si>
  <si>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</si>
  <si>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</si>
  <si>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</si>
  <si>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</si>
  <si>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</si>
  <si>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</si>
  <si>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</si>
  <si>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</si>
  <si>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</si>
  <si>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</si>
  <si>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</si>
  <si>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</si>
  <si>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</si>
  <si>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</si>
  <si>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</si>
  <si>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</si>
  <si>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</si>
  <si>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</si>
  <si>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</si>
  <si>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</si>
  <si>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</si>
  <si>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</si>
  <si>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</si>
  <si>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</si>
  <si>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</si>
  <si>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</si>
  <si>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</si>
  <si>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</si>
  <si>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</si>
  <si>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</si>
  <si>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</si>
  <si>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</si>
  <si>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</si>
  <si>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</si>
  <si>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</si>
  <si>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</si>
  <si>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</si>
  <si>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</si>
  <si>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</si>
  <si>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</si>
  <si>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</si>
  <si>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</si>
  <si>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</si>
  <si>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</si>
  <si>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</si>
  <si>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</si>
  <si>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</si>
  <si>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</si>
  <si>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</si>
  <si>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</si>
  <si>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</si>
  <si>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</si>
  <si>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</si>
  <si>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</si>
  <si>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</si>
  <si>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</si>
  <si>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</si>
  <si>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</si>
  <si>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</si>
  <si>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</si>
  <si>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</si>
  <si>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</si>
  <si>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</si>
  <si>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</si>
  <si>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</si>
  <si>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</si>
  <si>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</si>
  <si>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</si>
  <si>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</si>
  <si>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</si>
  <si>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</si>
  <si>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</si>
  <si>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</si>
  <si>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</si>
  <si>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</si>
  <si>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</si>
  <si>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</si>
  <si>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</si>
  <si>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</si>
  <si>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</si>
  <si>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</si>
  <si>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</si>
  <si>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</si>
  <si>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</si>
  <si>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</si>
  <si>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</si>
  <si>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</si>
  <si>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</si>
  <si>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</si>
  <si>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</si>
  <si>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</si>
  <si>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</si>
  <si>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</si>
  <si>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</si>
  <si>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</si>
  <si>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</si>
  <si>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</si>
  <si>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</si>
  <si>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</si>
  <si>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</si>
  <si>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</si>
  <si>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</si>
  <si>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</si>
  <si>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</si>
  <si>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</si>
  <si>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</si>
  <si>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</si>
  <si>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</si>
  <si>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</si>
  <si>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</si>
  <si>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</si>
  <si>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</si>
  <si>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</si>
  <si>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</si>
  <si>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</si>
  <si>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</si>
  <si>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</si>
  <si>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</si>
  <si>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</si>
  <si>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</si>
  <si>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</si>
  <si>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</si>
  <si>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</si>
  <si>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</si>
  <si>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</si>
  <si>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</si>
  <si>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</si>
  <si>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</si>
  <si>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</si>
  <si>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</si>
  <si>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</si>
  <si>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</si>
  <si>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</si>
  <si>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</si>
  <si>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</si>
  <si>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</si>
  <si>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</si>
  <si>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</si>
  <si>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</si>
  <si>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</si>
  <si>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</si>
  <si>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</si>
  <si>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</si>
  <si>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</si>
  <si>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</si>
  <si>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</si>
  <si>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</si>
  <si>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</si>
  <si>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</si>
  <si>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</si>
  <si>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</si>
  <si>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</si>
  <si>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</si>
  <si>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</si>
  <si>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</si>
  <si>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</si>
  <si>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</si>
  <si>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</si>
  <si>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</si>
  <si>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</si>
  <si>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</si>
  <si>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</si>
  <si>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</si>
  <si>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</si>
  <si>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</si>
  <si>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</si>
  <si>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</si>
  <si>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</si>
  <si>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</si>
  <si>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</si>
  <si>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</si>
  <si>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</si>
  <si>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</si>
  <si>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</si>
  <si>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</si>
  <si>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</si>
  <si>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</si>
  <si>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</si>
  <si>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TÊ DE REDUÇÃO, PVC, SOLDÁVEL, DN 40MM X 32MM,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</si>
  <si>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</si>
  <si>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</si>
  <si>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</si>
  <si>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</si>
  <si>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</si>
  <si>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</si>
  <si>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</si>
  <si>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</si>
  <si>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</si>
  <si>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</si>
  <si>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</si>
  <si>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</si>
  <si>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</si>
  <si>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</si>
  <si>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</si>
  <si>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</si>
  <si>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</si>
  <si>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</si>
  <si>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</si>
  <si>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</si>
  <si>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</si>
  <si>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</si>
  <si>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</si>
  <si>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</si>
  <si>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</si>
  <si>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</si>
  <si>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</si>
  <si>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</si>
  <si>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</si>
  <si>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</si>
  <si>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</si>
  <si>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</si>
  <si>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</si>
  <si>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</si>
  <si>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</si>
  <si>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</si>
  <si>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</si>
  <si>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</si>
  <si>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</si>
  <si>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</si>
  <si>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</si>
  <si>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</si>
  <si>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</si>
  <si>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</si>
  <si>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</si>
  <si>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</si>
  <si>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</si>
  <si>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</si>
  <si>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</si>
  <si>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</si>
  <si>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</si>
  <si>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</si>
  <si>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</si>
  <si>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</si>
  <si>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</si>
  <si>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</si>
  <si>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</si>
  <si>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</si>
  <si>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</si>
  <si>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</si>
  <si>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</si>
  <si>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</si>
  <si>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</si>
  <si>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</si>
  <si>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</si>
  <si>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</si>
  <si>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</si>
  <si>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</si>
  <si>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</si>
  <si>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</si>
  <si>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</si>
  <si>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</si>
  <si>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</si>
  <si>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</si>
  <si>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</si>
  <si>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</si>
  <si>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</si>
  <si>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</si>
  <si>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</si>
  <si>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</si>
  <si>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</si>
  <si>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</si>
  <si>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</si>
  <si>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</si>
  <si>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</si>
  <si>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</si>
  <si>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</si>
  <si>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</si>
  <si>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</si>
  <si>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</si>
  <si>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</si>
  <si>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</si>
  <si>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</si>
  <si>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</si>
  <si>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</si>
  <si>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</si>
  <si>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</si>
  <si>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</si>
  <si>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</si>
  <si>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</si>
  <si>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</si>
  <si>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</si>
  <si>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</si>
  <si>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</si>
  <si>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</si>
  <si>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</si>
  <si>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</si>
  <si>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</si>
  <si>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</si>
  <si>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</si>
  <si>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</si>
  <si>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</si>
  <si>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</si>
  <si>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</si>
  <si>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</si>
  <si>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</si>
  <si>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</si>
  <si>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</si>
  <si>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</si>
  <si>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</si>
  <si>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</si>
  <si>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</si>
  <si>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</si>
  <si>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</si>
  <si>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</si>
  <si>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</si>
  <si>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</si>
  <si>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</si>
  <si>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</si>
  <si>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</si>
  <si>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</si>
  <si>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</si>
  <si>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</si>
  <si>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</si>
  <si>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</si>
  <si>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</si>
  <si>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</si>
  <si>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</si>
  <si>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</si>
  <si>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</si>
  <si>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</si>
  <si>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</si>
  <si>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</si>
  <si>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</si>
  <si>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</si>
  <si>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</si>
  <si>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</si>
  <si>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</si>
  <si>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</si>
  <si>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</si>
  <si>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</si>
  <si>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</si>
  <si>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</si>
  <si>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</si>
  <si>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</si>
  <si>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</si>
  <si>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</si>
  <si>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</si>
  <si>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</si>
  <si>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</si>
  <si>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</si>
  <si>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</si>
  <si>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</si>
  <si>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</si>
  <si>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</si>
  <si>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</si>
  <si>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</si>
  <si>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</si>
  <si>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</si>
  <si>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</si>
  <si>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</si>
  <si>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</si>
  <si>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</si>
  <si>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</si>
  <si>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</si>
  <si>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</si>
  <si>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</si>
  <si>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</si>
  <si>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</si>
  <si>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</si>
  <si>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</si>
  <si>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</si>
  <si>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</si>
  <si>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</si>
  <si>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</si>
  <si>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</si>
  <si>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</si>
  <si>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</si>
  <si>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</si>
  <si>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</si>
  <si>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</si>
  <si>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</si>
  <si>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</si>
  <si>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</si>
  <si>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</si>
  <si>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</si>
  <si>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</si>
  <si>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</si>
  <si>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</si>
  <si>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</si>
  <si>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</si>
  <si>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</si>
  <si>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</si>
  <si>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</si>
  <si>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</si>
  <si>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</si>
  <si>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</si>
  <si>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</si>
  <si>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</si>
  <si>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</si>
  <si>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</si>
  <si>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</si>
  <si>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</si>
  <si>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</si>
  <si>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</si>
  <si>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</si>
  <si>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</si>
  <si>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</si>
  <si>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</si>
  <si>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</si>
  <si>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</si>
  <si>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</si>
  <si>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</si>
  <si>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</si>
  <si>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</si>
  <si>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</si>
  <si>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</si>
  <si>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</si>
  <si>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</si>
  <si>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</si>
  <si>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</si>
  <si>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</si>
  <si>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</si>
  <si>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</si>
  <si>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</si>
  <si>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</si>
  <si>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</si>
  <si>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</si>
  <si>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</si>
  <si>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</si>
  <si>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</si>
  <si>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</si>
  <si>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</si>
  <si>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</si>
  <si>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</si>
  <si>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</si>
  <si>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</si>
  <si>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</si>
  <si>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</si>
  <si>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</si>
  <si>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</si>
  <si>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</si>
  <si>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</si>
  <si>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</si>
  <si>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</si>
  <si>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</si>
  <si>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</si>
  <si>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</si>
  <si>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</si>
  <si>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</si>
  <si>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</si>
  <si>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</si>
  <si>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</si>
  <si>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</si>
  <si>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</si>
  <si>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</si>
  <si>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</si>
  <si>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</si>
  <si>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</si>
  <si>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</si>
  <si>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</si>
  <si>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</si>
  <si>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</si>
  <si>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</si>
  <si>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</si>
  <si>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</si>
  <si>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</si>
  <si>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</si>
  <si>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</si>
  <si>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</si>
  <si>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</si>
  <si>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</si>
  <si>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</si>
  <si>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</si>
  <si>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</si>
  <si>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</si>
  <si>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</si>
  <si>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</si>
  <si>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</si>
  <si>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</si>
  <si>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</si>
  <si>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</si>
  <si>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</si>
  <si>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</si>
  <si>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</si>
  <si>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</si>
  <si>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</si>
  <si>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</si>
  <si>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</si>
  <si>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</si>
  <si>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</si>
  <si>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</si>
  <si>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</si>
  <si>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</si>
  <si>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</si>
  <si>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</si>
  <si>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</si>
  <si>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</si>
  <si>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</si>
  <si>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</si>
  <si>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</si>
  <si>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</si>
  <si>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</si>
  <si>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</si>
  <si>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</si>
  <si>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</si>
  <si>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</si>
  <si>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</si>
  <si>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</si>
  <si>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</si>
  <si>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</si>
  <si>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</si>
  <si>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</si>
  <si>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</si>
  <si>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</si>
  <si>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</si>
  <si>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</si>
  <si>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</si>
  <si>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</si>
  <si>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</si>
  <si>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CAIXA D´ÁGUA EM POLIETILENO, 1000 LITROS, COM ACESSÓRIOS</t>
  </si>
  <si>
    <t>CAIXA D´AGUA EM POLIETILENO, 500 LITROS, COM ACESSÓRIOS</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</si>
  <si>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</si>
  <si>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</si>
  <si>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</si>
  <si>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</si>
  <si>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</si>
  <si>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</si>
  <si>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</si>
  <si>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VASO SANITARIO SIFONADO CONVENCIONAL COM LOUÇA BRANCA, INCLUSO CONJUNTO DE LIGAÇÃO PARA BACIA SANITÁRIA AJUSTÁVEL - FORNECIMENTO E INSTALAÇÃO. AF_10/2016</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</si>
  <si>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</si>
  <si>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</si>
  <si>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FORNECIDO E INSTALADO EM RAMAL DE ÁGUA. AF_12/2014</t>
  </si>
  <si>
    <t>REGISTRO DE GAVETA BRUTO, LATÃO, ROSCÁVEL, 1/2", FORNECIDO E INSTALADO EM RAMAL DE ÁGUA. AF_12/2014</t>
  </si>
  <si>
    <t>MISTURADOR MONOCOMANDO PARA CHUVEIRO, BASE BRUTA E ACABAMENTO CROMADO, FORNECIDO E INSTALADO EM RAMAL DE ÁGUA.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</si>
  <si>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</si>
  <si>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</si>
  <si>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</si>
  <si>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</si>
  <si>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</si>
  <si>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</si>
  <si>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</si>
  <si>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</si>
  <si>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</si>
  <si>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</si>
  <si>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</si>
  <si>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</si>
  <si>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</si>
  <si>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</si>
  <si>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</si>
  <si>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</si>
  <si>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</si>
  <si>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</si>
  <si>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</si>
  <si>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</si>
  <si>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</si>
  <si>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</si>
  <si>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</si>
  <si>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</si>
  <si>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</si>
  <si>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</si>
  <si>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</si>
  <si>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</si>
  <si>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</si>
  <si>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</si>
  <si>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</si>
  <si>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</si>
  <si>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</si>
  <si>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</si>
  <si>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</si>
  <si>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</si>
  <si>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</si>
  <si>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</si>
  <si>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</si>
  <si>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</si>
  <si>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</si>
  <si>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</si>
  <si>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</si>
  <si>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</si>
  <si>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</si>
  <si>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</si>
  <si>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</si>
  <si>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</si>
  <si>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</si>
  <si>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</si>
  <si>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</si>
  <si>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</si>
  <si>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</si>
  <si>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CONTRAPISO PARA RAMAIS/ DISTRIBUIÇÃO COM DIÂMETROS MAIORES QUE 40 MM E MENORES OU IGUAIS A 75 MM. AF_05/2015</t>
  </si>
  <si>
    <t>RASGO EM CONTRAPISO PARA RAMAIS/ DISTRIBUIÇÃO COM DIÂMETROS MAIORES QUE 75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</si>
  <si>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</si>
  <si>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</si>
  <si>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</si>
  <si>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</si>
  <si>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</si>
  <si>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</si>
  <si>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</si>
  <si>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</si>
  <si>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</si>
  <si>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</si>
  <si>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</si>
  <si>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</si>
  <si>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</si>
  <si>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</si>
  <si>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</si>
  <si>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</si>
  <si>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</si>
  <si>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</si>
  <si>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</si>
  <si>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</si>
  <si>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</si>
  <si>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</si>
  <si>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</si>
  <si>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</si>
  <si>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</si>
  <si>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</si>
  <si>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</si>
  <si>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</si>
  <si>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</si>
  <si>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</si>
  <si>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</si>
  <si>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</si>
  <si>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</si>
  <si>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</si>
  <si>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</si>
  <si>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</si>
  <si>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</si>
  <si>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</si>
  <si>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</si>
  <si>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</si>
  <si>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</si>
  <si>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</si>
  <si>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</si>
  <si>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</si>
  <si>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</si>
  <si>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</si>
  <si>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</si>
  <si>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</si>
  <si>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</si>
  <si>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</si>
  <si>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ESCAVAÇÃO MECANIZADA PARA BLOCO DE COROAMENTO OU SAPATA, SEM PREVISÃO DE FÔRMA, COM RETROESCAVADEIRA. AF_06/2017</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</si>
  <si>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</si>
  <si>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</si>
  <si>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</si>
  <si>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</si>
  <si>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</si>
  <si>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</si>
  <si>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</si>
  <si>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</si>
  <si>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</si>
  <si>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</si>
  <si>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</si>
  <si>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</si>
  <si>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</si>
  <si>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</si>
  <si>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</si>
  <si>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</si>
  <si>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</si>
  <si>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</si>
  <si>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</si>
  <si>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</si>
  <si>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</si>
  <si>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</si>
  <si>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</si>
  <si>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</si>
  <si>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</si>
  <si>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</si>
  <si>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</si>
  <si>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</si>
  <si>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</si>
  <si>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</si>
  <si>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</si>
  <si>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</si>
  <si>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</si>
  <si>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</si>
  <si>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</si>
  <si>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</si>
  <si>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</si>
  <si>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</si>
  <si>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</si>
  <si>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</si>
  <si>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TXKM</t>
  </si>
  <si>
    <t>T</t>
  </si>
  <si>
    <t>UMIDIFICAÇÃO DE MATERIAL PARA VALAS COM CAMINHÃO PIPA 10000L. AF_11/2016</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</si>
  <si>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</si>
  <si>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</si>
  <si>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</si>
  <si>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</si>
  <si>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</si>
  <si>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</si>
  <si>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</si>
  <si>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</si>
  <si>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</si>
  <si>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</si>
  <si>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</si>
  <si>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</si>
  <si>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</si>
  <si>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</si>
  <si>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</si>
  <si>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</si>
  <si>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</si>
  <si>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</si>
  <si>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</si>
  <si>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</si>
  <si>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</si>
  <si>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</si>
  <si>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</si>
  <si>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</si>
  <si>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</si>
  <si>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</si>
  <si>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</si>
  <si>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</si>
  <si>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</si>
  <si>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</si>
  <si>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</si>
  <si>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</si>
  <si>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</si>
  <si>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</si>
  <si>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</si>
  <si>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</si>
  <si>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</si>
  <si>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</si>
  <si>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</si>
  <si>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</si>
  <si>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</si>
  <si>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</si>
  <si>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</si>
  <si>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</si>
  <si>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</si>
  <si>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</si>
  <si>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</si>
  <si>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</si>
  <si>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</si>
  <si>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</si>
  <si>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</si>
  <si>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</si>
  <si>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</si>
  <si>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</si>
  <si>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</si>
  <si>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</si>
  <si>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</si>
  <si>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FURADOS NA VERTICAL DE 14X19X39CM (ESPESSURA 14CM) DE PAREDES COM ÁREA LÍQUIDA MENOR QUE 6M2 COM VÃOS E ARGAMASSA DE ASSENTAMENTO COM PREPARO MANUAL. AF_06/2014</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</si>
  <si>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</si>
  <si>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</si>
  <si>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</si>
  <si>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</si>
  <si>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</si>
  <si>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</si>
  <si>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</si>
  <si>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</si>
  <si>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</si>
  <si>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</si>
  <si>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</si>
  <si>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</si>
  <si>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</si>
  <si>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</si>
  <si>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</si>
  <si>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</si>
  <si>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</si>
  <si>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</si>
  <si>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</si>
  <si>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</si>
  <si>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</si>
  <si>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</si>
  <si>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</si>
  <si>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</si>
  <si>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</si>
  <si>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</si>
  <si>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</si>
  <si>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</si>
  <si>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</si>
  <si>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</si>
  <si>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</si>
  <si>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</si>
  <si>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</si>
  <si>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</si>
  <si>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</si>
  <si>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</si>
  <si>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EM BETONEIRA.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</si>
  <si>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</si>
  <si>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</si>
  <si>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</si>
  <si>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</si>
  <si>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</si>
  <si>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</si>
  <si>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</si>
  <si>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</si>
  <si>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</si>
  <si>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</si>
  <si>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</si>
  <si>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</si>
  <si>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</si>
  <si>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</si>
  <si>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</si>
  <si>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</si>
  <si>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</si>
  <si>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</si>
  <si>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</si>
  <si>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</si>
  <si>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</si>
  <si>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</si>
  <si>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</si>
  <si>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</si>
  <si>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</si>
  <si>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</si>
  <si>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</si>
  <si>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</si>
  <si>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</si>
  <si>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</si>
  <si>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</si>
  <si>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</si>
  <si>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</si>
  <si>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</si>
  <si>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</si>
  <si>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</si>
  <si>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</si>
  <si>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</si>
  <si>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</si>
  <si>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</si>
  <si>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</si>
  <si>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</si>
  <si>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</si>
  <si>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</si>
  <si>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</si>
  <si>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</si>
  <si>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</si>
  <si>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</si>
  <si>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</si>
  <si>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</si>
  <si>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</si>
  <si>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</si>
  <si>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</si>
  <si>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</si>
  <si>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</si>
  <si>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</si>
  <si>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</si>
  <si>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</si>
  <si>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</si>
  <si>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</si>
  <si>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</si>
  <si>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</si>
  <si>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</si>
  <si>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</si>
  <si>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</si>
  <si>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</si>
  <si>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</si>
  <si>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</si>
  <si>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</si>
  <si>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</si>
  <si>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</si>
  <si>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</si>
  <si>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</si>
  <si>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</si>
  <si>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</si>
  <si>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</si>
  <si>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</si>
  <si>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</si>
  <si>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</si>
  <si>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</si>
  <si>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EXECUÇÃO DE VIA EM PISO INTERTRAVADO, COM BLOCO RETANGULAR COR NATURAL DE 20 X 10 CM, ESPESSURA 8 CM. AF_12/2015</t>
  </si>
  <si>
    <t>EXECUÇÃO DE PÁTIO/ESTACIONAMENTO EM PISO INTERTRAVADO, COM BLOCO RETANGULAR DE 20 X 10 CM, ESPESSURA 10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</si>
  <si>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</si>
  <si>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</si>
  <si>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</si>
  <si>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</si>
  <si>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</si>
  <si>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</si>
  <si>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</si>
  <si>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</si>
  <si>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</si>
  <si>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</si>
  <si>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</si>
  <si>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</si>
  <si>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</si>
  <si>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</si>
  <si>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</si>
  <si>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</si>
  <si>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</si>
  <si>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</si>
  <si>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</si>
  <si>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</si>
  <si>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</si>
  <si>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</si>
  <si>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</si>
  <si>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</si>
  <si>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</si>
  <si>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</si>
  <si>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</si>
  <si>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ACRÍLICO EM TETO, UMA DEMÃO.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</si>
  <si>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</si>
  <si>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</si>
  <si>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</si>
  <si>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APLICAÇÃO E LIXAMENTO DE MASSA LÁTEX EM PAREDES, UMA DEMÃO.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</si>
  <si>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</si>
  <si>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</si>
  <si>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</si>
  <si>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</si>
  <si>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</si>
  <si>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</si>
  <si>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</si>
  <si>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</si>
  <si>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</si>
  <si>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</si>
  <si>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</si>
  <si>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</si>
  <si>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</si>
  <si>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</si>
  <si>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</si>
  <si>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</si>
  <si>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</si>
  <si>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</si>
  <si>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</si>
  <si>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</si>
  <si>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</si>
  <si>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</si>
  <si>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</si>
  <si>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</si>
  <si>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</si>
  <si>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</si>
  <si>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</si>
  <si>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</si>
  <si>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</si>
  <si>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</si>
  <si>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</si>
  <si>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</si>
  <si>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</si>
  <si>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</si>
  <si>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</si>
  <si>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</si>
  <si>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</si>
  <si>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</si>
  <si>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</si>
  <si>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FEITO EM OBRA, ACABAMENTO CONVENCIONAL, NÃO ARMADO. AF_07/2016</t>
  </si>
  <si>
    <t>EXECUÇÃO DE PASSEIO (CALÇADA) OU PISO DE CONCRETO COM CONCRETO MOLDADO IN LOCO, USINADO,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</si>
  <si>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</si>
  <si>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</si>
  <si>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</si>
  <si>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</si>
  <si>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</si>
  <si>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</si>
  <si>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</si>
  <si>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</si>
  <si>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</si>
  <si>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</si>
  <si>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</si>
  <si>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</si>
  <si>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</si>
  <si>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</si>
  <si>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</si>
  <si>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</si>
  <si>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</si>
  <si>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</si>
  <si>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</si>
  <si>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</si>
  <si>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</si>
  <si>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</si>
  <si>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</si>
  <si>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</si>
  <si>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</si>
  <si>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</si>
  <si>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</si>
  <si>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</si>
  <si>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</si>
  <si>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</si>
  <si>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</si>
  <si>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</si>
  <si>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</si>
  <si>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</si>
  <si>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</si>
  <si>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</si>
  <si>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</si>
  <si>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</si>
  <si>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</si>
  <si>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</si>
  <si>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</si>
  <si>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</si>
  <si>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</si>
  <si>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</si>
  <si>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</si>
  <si>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</si>
  <si>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</si>
  <si>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</si>
  <si>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</si>
  <si>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</si>
  <si>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</si>
  <si>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</si>
  <si>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</si>
  <si>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</si>
  <si>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</si>
  <si>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</si>
  <si>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</si>
  <si>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</si>
  <si>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</si>
  <si>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</si>
  <si>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</si>
  <si>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</si>
  <si>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</si>
  <si>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</si>
  <si>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</si>
  <si>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</si>
  <si>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</si>
  <si>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</si>
  <si>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</si>
  <si>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</si>
  <si>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</si>
  <si>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</si>
  <si>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</si>
  <si>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</si>
  <si>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</si>
  <si>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</si>
  <si>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</si>
  <si>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</si>
  <si>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</si>
  <si>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</si>
  <si>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</si>
  <si>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</si>
  <si>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</si>
  <si>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</si>
  <si>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</si>
  <si>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</si>
  <si>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</si>
  <si>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</si>
  <si>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</si>
  <si>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</si>
  <si>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</si>
  <si>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</si>
  <si>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</si>
  <si>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</si>
  <si>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</si>
  <si>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</si>
  <si>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</si>
  <si>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</si>
  <si>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</si>
  <si>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</si>
  <si>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</si>
  <si>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</si>
  <si>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</si>
  <si>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</si>
  <si>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</si>
  <si>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</si>
  <si>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</si>
  <si>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</si>
  <si>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</si>
  <si>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</si>
  <si>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</si>
  <si>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</si>
  <si>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</si>
  <si>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</si>
  <si>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</si>
  <si>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</si>
  <si>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</si>
  <si>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</si>
  <si>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</si>
  <si>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</si>
  <si>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</si>
  <si>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</si>
  <si>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</si>
  <si>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</si>
  <si>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</si>
  <si>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</si>
  <si>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</si>
  <si>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</si>
  <si>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</si>
  <si>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</si>
  <si>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</si>
  <si>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</si>
  <si>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</si>
  <si>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</si>
  <si>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</si>
  <si>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</si>
  <si>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</si>
  <si>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</si>
  <si>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</si>
  <si>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</si>
  <si>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</si>
  <si>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</si>
  <si>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</si>
  <si>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</si>
  <si>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</si>
  <si>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</si>
  <si>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</si>
  <si>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</si>
  <si>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</si>
  <si>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</si>
  <si>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</si>
  <si>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</si>
  <si>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</si>
  <si>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</si>
  <si>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</si>
  <si>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</si>
  <si>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</si>
  <si>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</si>
  <si>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</si>
  <si>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</si>
  <si>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</si>
  <si>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</si>
  <si>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</si>
  <si>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</si>
  <si>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</si>
  <si>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</si>
  <si>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MANUAL, APLICADA MANUALMENTE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</si>
  <si>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</si>
  <si>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</si>
  <si>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</si>
  <si>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</si>
  <si>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</si>
  <si>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</si>
  <si>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</si>
  <si>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</si>
  <si>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</si>
  <si>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</si>
  <si>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</si>
  <si>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</si>
  <si>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</si>
  <si>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</si>
  <si>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</si>
  <si>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</si>
  <si>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</si>
  <si>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</si>
  <si>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</si>
  <si>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</si>
  <si>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</si>
  <si>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</si>
  <si>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</si>
  <si>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</si>
  <si>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</si>
  <si>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</si>
  <si>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</si>
  <si>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</si>
  <si>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</si>
  <si>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</si>
  <si>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</si>
  <si>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</si>
  <si>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</si>
  <si>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</si>
  <si>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</si>
  <si>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</si>
  <si>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</si>
  <si>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</si>
  <si>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</si>
  <si>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EMBOÇO OU MASSA ÚNICA EM ARGAMASSA INDUSTRIALIZADA, PREPARO MECÂNICO E APLICAÇÃO COM EQUIPAMENTO DE MISTURA E PROJEÇÃO DE 1,5 M3/H DE ARGAMASSA NAS PAREDES INTERNAS DA SACADA, ESPESSURA 35 MM, SEM USO DE TELA METÁLICA.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</si>
  <si>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</si>
  <si>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</si>
  <si>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</si>
  <si>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</si>
  <si>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</si>
  <si>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</si>
  <si>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</si>
  <si>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</si>
  <si>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</si>
  <si>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</si>
  <si>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</si>
  <si>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</si>
  <si>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</si>
  <si>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</si>
  <si>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</si>
  <si>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</si>
  <si>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</si>
  <si>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</si>
  <si>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</si>
  <si>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</si>
  <si>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</si>
  <si>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</si>
  <si>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</si>
  <si>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</si>
  <si>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</si>
  <si>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</si>
  <si>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</si>
  <si>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</si>
  <si>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</si>
  <si>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</si>
  <si>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</si>
  <si>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</si>
  <si>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</si>
  <si>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</si>
  <si>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</si>
  <si>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</si>
  <si>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</si>
  <si>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</si>
  <si>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</si>
  <si>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</si>
  <si>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</si>
  <si>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</si>
  <si>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</si>
  <si>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</si>
  <si>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</si>
  <si>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</si>
  <si>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</si>
  <si>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</si>
  <si>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</si>
  <si>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</si>
  <si>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</si>
  <si>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</si>
  <si>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</si>
  <si>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</si>
  <si>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</si>
  <si>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</si>
  <si>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</si>
  <si>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</si>
  <si>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</si>
  <si>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</si>
  <si>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</si>
  <si>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</si>
  <si>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</si>
  <si>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</si>
  <si>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</si>
  <si>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</si>
  <si>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</si>
  <si>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</si>
  <si>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</si>
  <si>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</si>
  <si>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</si>
  <si>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</si>
  <si>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</si>
  <si>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</si>
  <si>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</si>
  <si>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PARA REVESTIMENTO DECORATIVO MONOCAMADA (MONOCAPA), MISTURA E PROJEÇÃO DE 2 M3/H DE ARGAMASSA. AF_06/2014</t>
  </si>
  <si>
    <t>ARGAMASSA INDUSTRIALIZADA PARA REVESTIMENTOS, MISTURA E PROJEÇÃO DE 2 M³/H DE ARGAMASSA. AF_06/2014</t>
  </si>
  <si>
    <t>ARGAMASSA TRAÇO 1:4 (CIMENTO E AREIA MÉDIA), PREPARO MECÂNICO COM BETONEIRA 400 L. AF_08/2014</t>
  </si>
  <si>
    <t>PENEIRAMENTO DE AREIA COM PENEIRA ELÉTRICA. AF_11/2015</t>
  </si>
  <si>
    <t>PENEIRAMENTO DE AREIA COM PENEIRA MANUAL. AF_11/2015</t>
  </si>
  <si>
    <t>ENSACAMENTO DE AREIA. AF_11/2015</t>
  </si>
  <si>
    <t>SERVIÇOS TÉCNICOS ESPECIALIZADOS PARA ACOMPANHAMENTO DE EXECUÇÃO DE FUNDAÇÕES PROFUNDAS E ESTRUTURAS DE CONTENÇÃO</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</si>
  <si>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</si>
  <si>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</si>
  <si>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</si>
  <si>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</si>
  <si>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</si>
  <si>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</si>
  <si>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</si>
  <si>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LABORATÓRIO COM ENCARGOS COMPLEMENTARES</t>
  </si>
  <si>
    <t>AUXILIAR DE MECÂNICO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</si>
  <si>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</si>
  <si>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</si>
  <si>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</si>
  <si>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</si>
  <si>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CADASTRISTA DE REDES DE AGUA E ESGOTO COM ENCARGOS COMPLEMENTARES</t>
  </si>
  <si>
    <t>CAVOUQUEIRO OU OPERADOR PERFURATRIZ/ROMPEDOR COM ENCARGOS COMPLEMENTARES</t>
  </si>
  <si>
    <t>ELETRICISTA INDUSTRIAL COM ENCARGOS COMPLEMENTARES</t>
  </si>
  <si>
    <t>ELETROTÉCNICO COM ENCARGOS COMPLEMENTARES</t>
  </si>
  <si>
    <t>GESSEIRO COM ENCARGOS COMPLEMENTARES</t>
  </si>
  <si>
    <t>IMPERMEABILIZADOR COM ENCARGOS COMPLEMENTARES</t>
  </si>
  <si>
    <t>MACARIQUEIRO COM ENCARGOS COMPLEMENTARES</t>
  </si>
  <si>
    <t>MARCENEIRO COM ENCARGOS COMPLEMENTARES</t>
  </si>
  <si>
    <t>MECÃNICO DE EQUIPAMENTOS PESADOS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</si>
  <si>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</si>
  <si>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</si>
  <si>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</si>
  <si>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</si>
  <si>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</si>
  <si>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</si>
  <si>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</si>
  <si>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</si>
  <si>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</si>
  <si>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</si>
  <si>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</si>
  <si>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</si>
  <si>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</si>
  <si>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</si>
  <si>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</si>
  <si>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</si>
  <si>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</si>
  <si>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</si>
  <si>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</si>
  <si>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</si>
  <si>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</si>
  <si>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</si>
  <si>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</si>
  <si>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</si>
  <si>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</si>
  <si>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</si>
  <si>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</si>
  <si>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</si>
  <si>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COM ENCARGOS COMPLEMENTARES</t>
  </si>
  <si>
    <t>RASTELEIRO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</si>
  <si>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</si>
  <si>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</si>
  <si>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</si>
  <si>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</si>
  <si>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</si>
  <si>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TRATORISTA COM ENCARGOS COMPLEMENTARES</t>
  </si>
  <si>
    <t>VIDRACEIRO COM ENCARGOS COMPLEMENTARES</t>
  </si>
  <si>
    <t>OPERADOR DE BETONEIRA ESTACIONÁRIA/MISTURADOR COM ENCARGOS COMPLEMENTARES</t>
  </si>
  <si>
    <t>JARDINEIRO COM ENCARGOS COMPLEMENTARES</t>
  </si>
  <si>
    <t>DESENHISTA DETALHISTA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</si>
  <si>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</si>
  <si>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</si>
  <si>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</si>
  <si>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</si>
  <si>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</si>
  <si>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</si>
  <si>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</si>
  <si>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</si>
  <si>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</si>
  <si>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</si>
  <si>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</si>
  <si>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TOPOGRAFO COM ENCARGOS COMPLEMENTARES</t>
  </si>
  <si>
    <t>ENGENHEIRO ELETRICISTA COM ENCARGOS COMPLEMENTARES</t>
  </si>
  <si>
    <t>ENGENHEIRO SANITARISTA COM ENCARGOS COMPLEMENTARES</t>
  </si>
  <si>
    <t>MOTORISTA DE CAMINHAO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</si>
  <si>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</si>
  <si>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</si>
  <si>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</si>
  <si>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</si>
  <si>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</si>
  <si>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</si>
  <si>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</si>
  <si>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</si>
  <si>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</si>
  <si>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</si>
  <si>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</si>
  <si>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</si>
  <si>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</si>
  <si>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</si>
  <si>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</si>
  <si>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</si>
  <si>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</si>
  <si>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</si>
  <si>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</si>
  <si>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</si>
  <si>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</si>
  <si>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</si>
  <si>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</si>
  <si>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</si>
  <si>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</si>
  <si>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</si>
  <si>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</si>
  <si>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</si>
  <si>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</si>
  <si>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</si>
  <si>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</si>
  <si>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</si>
  <si>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</si>
  <si>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</si>
  <si>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</si>
  <si>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</si>
  <si>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</si>
  <si>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</si>
  <si>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</si>
  <si>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</si>
  <si>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</si>
  <si>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</si>
  <si>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</si>
  <si>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</si>
  <si>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</si>
  <si>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</si>
  <si>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</si>
  <si>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</si>
  <si>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</si>
  <si>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</si>
  <si>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</si>
  <si>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</si>
  <si>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</si>
  <si>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</si>
  <si>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</si>
  <si>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</si>
  <si>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</si>
  <si>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</si>
  <si>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</si>
  <si>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</si>
  <si>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</si>
  <si>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</si>
  <si>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</si>
  <si>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</si>
  <si>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</si>
  <si>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</si>
  <si>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</si>
  <si>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</si>
  <si>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</si>
  <si>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</si>
  <si>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</si>
  <si>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</si>
  <si>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</si>
  <si>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</si>
  <si>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</si>
  <si>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</si>
  <si>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</si>
  <si>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</si>
  <si>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</si>
  <si>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</si>
  <si>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</si>
  <si>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</si>
  <si>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</si>
  <si>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</si>
  <si>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</si>
  <si>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</si>
  <si>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</si>
  <si>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</si>
  <si>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</si>
  <si>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</si>
  <si>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</si>
  <si>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</si>
  <si>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</si>
  <si>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</si>
  <si>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</si>
  <si>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</si>
  <si>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</si>
  <si>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</si>
  <si>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</si>
  <si>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</si>
  <si>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</si>
  <si>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</si>
  <si>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</si>
  <si>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</si>
  <si>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</si>
  <si>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</si>
  <si>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</si>
  <si>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</si>
  <si>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</si>
  <si>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</si>
  <si>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</si>
  <si>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</si>
  <si>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</si>
  <si>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</si>
  <si>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</si>
  <si>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LOCALIDADE: 4495 - BRASILIA</t>
  </si>
  <si>
    <t xml:space="preserve">CODIGO  </t>
  </si>
  <si>
    <t>DESCRICAO DO INSUMO</t>
  </si>
  <si>
    <t xml:space="preserve">H     </t>
  </si>
  <si>
    <t xml:space="preserve">UN    </t>
  </si>
  <si>
    <t xml:space="preserve">M3    </t>
  </si>
  <si>
    <t xml:space="preserve">M2    </t>
  </si>
  <si>
    <t xml:space="preserve">M     </t>
  </si>
  <si>
    <t xml:space="preserve">KG    </t>
  </si>
  <si>
    <t xml:space="preserve">L     </t>
  </si>
  <si>
    <t xml:space="preserve">MES   </t>
  </si>
  <si>
    <t xml:space="preserve">PAR   </t>
  </si>
  <si>
    <t xml:space="preserve">DM3   </t>
  </si>
  <si>
    <t xml:space="preserve">JG    </t>
  </si>
  <si>
    <t xml:space="preserve">MIL   </t>
  </si>
  <si>
    <t xml:space="preserve">T     </t>
  </si>
  <si>
    <t xml:space="preserve">CJ    </t>
  </si>
  <si>
    <t xml:space="preserve">100M  </t>
  </si>
  <si>
    <t xml:space="preserve">KW/H  </t>
  </si>
  <si>
    <t xml:space="preserve">CENTO </t>
  </si>
  <si>
    <t xml:space="preserve">GL    </t>
  </si>
  <si>
    <t>SC25KG</t>
  </si>
  <si>
    <t xml:space="preserve">310ML </t>
  </si>
  <si>
    <t>SERVIÇO</t>
  </si>
  <si>
    <t>CCU</t>
  </si>
  <si>
    <t>INSUMO</t>
  </si>
  <si>
    <t xml:space="preserve">06.01.302 </t>
  </si>
  <si>
    <t>06.01.302.1</t>
  </si>
  <si>
    <t xml:space="preserve">06.01.304 </t>
  </si>
  <si>
    <t>06.01.304.1</t>
  </si>
  <si>
    <t>06.01.304.2</t>
  </si>
  <si>
    <t>06.01.304.3</t>
  </si>
  <si>
    <t>06.01.304.4</t>
  </si>
  <si>
    <t>06.01.304.5</t>
  </si>
  <si>
    <t>06.01.304.6</t>
  </si>
  <si>
    <t>06.01.304.7</t>
  </si>
  <si>
    <t>ELETRODUTOS, ELETROCAHAS E CONEXÕES</t>
  </si>
  <si>
    <t>06.01.305</t>
  </si>
  <si>
    <t>06.01.305.1</t>
  </si>
  <si>
    <t>CABOS E FIOS (CONDUTORES)</t>
  </si>
  <si>
    <t>06.01.400</t>
  </si>
  <si>
    <t>06.01.401</t>
  </si>
  <si>
    <t>ILUMINAÇÃO</t>
  </si>
  <si>
    <t>06.01.404</t>
  </si>
  <si>
    <t>06.01.401.1</t>
  </si>
  <si>
    <t>06.01.404.1</t>
  </si>
  <si>
    <t>06.01.410</t>
  </si>
  <si>
    <t>06.01.410.1</t>
  </si>
  <si>
    <t>AS BUILT, DE TODOS OS PROJETOS, (ARQUITETURA E INSTALAÇÕES)</t>
  </si>
  <si>
    <t xml:space="preserve">03.00.000 </t>
  </si>
  <si>
    <t>FUNDAÇÕES E ESTRUTURAS</t>
  </si>
  <si>
    <t xml:space="preserve">03.01.000 </t>
  </si>
  <si>
    <t>FUNDAÇÕES</t>
  </si>
  <si>
    <t xml:space="preserve">03.01.100 </t>
  </si>
  <si>
    <t>ESCAVAÇÃO DE VALAS</t>
  </si>
  <si>
    <t>03.01.100.1</t>
  </si>
  <si>
    <t>03.01.100.2</t>
  </si>
  <si>
    <t>03.01.100.3</t>
  </si>
  <si>
    <t>03.01.400</t>
  </si>
  <si>
    <t>FUNDAÇÕES PROFUNDAS</t>
  </si>
  <si>
    <t>03.01.411</t>
  </si>
  <si>
    <t>DE CONCRETO ARMADO</t>
  </si>
  <si>
    <t>03.01.430</t>
  </si>
  <si>
    <t>03.01.430.1</t>
  </si>
  <si>
    <t>03.01.500</t>
  </si>
  <si>
    <t>03.01.501</t>
  </si>
  <si>
    <t>LASTRO</t>
  </si>
  <si>
    <t>03.01.501.1</t>
  </si>
  <si>
    <t>03.01.502</t>
  </si>
  <si>
    <t>FORMAS</t>
  </si>
  <si>
    <t>03.01.502.1</t>
  </si>
  <si>
    <t>03.01.503</t>
  </si>
  <si>
    <t>ARMADURA</t>
  </si>
  <si>
    <t>03.01.503.1</t>
  </si>
  <si>
    <t>03.01.503.2</t>
  </si>
  <si>
    <t>03.01.503.3</t>
  </si>
  <si>
    <t>03.01.503.4</t>
  </si>
  <si>
    <t>03.01.503.5</t>
  </si>
  <si>
    <t>03.01.504</t>
  </si>
  <si>
    <t>CONCRETO</t>
  </si>
  <si>
    <t>03.01.504.1</t>
  </si>
  <si>
    <t>03.01.600</t>
  </si>
  <si>
    <t>IMPERMEABILIZAÇÃO</t>
  </si>
  <si>
    <t>03.01.602</t>
  </si>
  <si>
    <t>03.01.602.1</t>
  </si>
  <si>
    <t xml:space="preserve">03.02.000 </t>
  </si>
  <si>
    <t>ESTRUTURAS DE CONCRETO</t>
  </si>
  <si>
    <t xml:space="preserve">03.02.100 </t>
  </si>
  <si>
    <t>CONCRETO ARMADO</t>
  </si>
  <si>
    <t>03.02.110</t>
  </si>
  <si>
    <t>03.02.111</t>
  </si>
  <si>
    <t>FORMA</t>
  </si>
  <si>
    <t>03.02.111.1</t>
  </si>
  <si>
    <t>03.02.112</t>
  </si>
  <si>
    <t>03.02.112.2</t>
  </si>
  <si>
    <t>03.02.113</t>
  </si>
  <si>
    <t>03.02.113.1</t>
  </si>
  <si>
    <t>04.01.400</t>
  </si>
  <si>
    <t>04.01.400.1</t>
  </si>
  <si>
    <t>04.01.400.2</t>
  </si>
  <si>
    <t>06.01.404.2</t>
  </si>
  <si>
    <t>10.03.100.1</t>
  </si>
  <si>
    <t xml:space="preserve">09.01.000 </t>
  </si>
  <si>
    <t>ENSAIOS E TESTES</t>
  </si>
  <si>
    <t xml:space="preserve">09.01.100 </t>
  </si>
  <si>
    <t>ENSAIOS EM CONCRETO</t>
  </si>
  <si>
    <t>09.01.100.1</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</si>
  <si>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</si>
  <si>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</si>
  <si>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</si>
  <si>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</si>
  <si>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</si>
  <si>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</si>
  <si>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</si>
  <si>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</si>
  <si>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</si>
  <si>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</si>
  <si>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</si>
  <si>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</si>
  <si>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</si>
  <si>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</si>
  <si>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</si>
  <si>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</si>
  <si>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</si>
  <si>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</si>
  <si>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</si>
  <si>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</si>
  <si>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</si>
  <si>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</si>
  <si>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</si>
  <si>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</si>
  <si>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</si>
  <si>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</si>
  <si>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</si>
  <si>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</si>
  <si>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</si>
  <si>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</si>
  <si>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</si>
  <si>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</si>
  <si>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</si>
  <si>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</si>
  <si>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</si>
  <si>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</si>
  <si>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</si>
  <si>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</si>
  <si>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</si>
  <si>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</si>
  <si>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</si>
  <si>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</si>
  <si>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</si>
  <si>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</si>
  <si>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</si>
  <si>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</si>
  <si>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</si>
  <si>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</si>
  <si>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</si>
  <si>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</si>
  <si>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</si>
  <si>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</si>
  <si>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</si>
  <si>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</si>
  <si>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</si>
  <si>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</si>
  <si>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</si>
  <si>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</si>
  <si>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</si>
  <si>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</si>
  <si>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</si>
  <si>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</si>
  <si>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</si>
  <si>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</si>
  <si>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</si>
  <si>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</si>
  <si>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</si>
  <si>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</si>
  <si>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</si>
  <si>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</si>
  <si>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</si>
  <si>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RESERVATÓRIO ELEVADO DE ÁGUA (2000 LITROS) EM CANTEIRO DE OBRA, APOIADO EM ESTRUTURA DE MADEIRA. AF_02/2016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</si>
  <si>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</si>
  <si>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</si>
  <si>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</si>
  <si>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COM MATERIAL GRANULAR, APLICAÇÃO EM BLOCOS DE COROAMENTO, ESPESSURA DE *5 CM*. AF_08/2017</t>
  </si>
  <si>
    <t>LASTRO COM MATERIAL GRANULAR, APLICADO EM BLOCOS DE COROAMENTO, ESPESSURA DE *10 CM*. AF_08/2017</t>
  </si>
  <si>
    <t>ESCAVAÇÃO MANUAL DE VIGA DE BORDA PARA RADIER. AF_09/2017</t>
  </si>
  <si>
    <t>COMPACTAÇÃO MECÂNICA DE SOLO PARA EXECUÇÃO DE RADIER, COM COMPACTADOR DE SOLOS A PERCUSSÃO. AF_09/2017</t>
  </si>
  <si>
    <t>COMPACTAÇÃO MECÂNICA DE SOLO PARA EXECUÇÃO DE RADIER, COM COMPACTADOR DE SOLOS TIPO PLACA VIBRATÓRIA. AF_09/2017</t>
  </si>
  <si>
    <t>FABRICAÇÃO, MONTAGEM E DESMONTAGEM DE FORMA PARA RADIER, EM MADEIRA SERRADA, 4 UTILIZAÇÕES. AF_09/2017</t>
  </si>
  <si>
    <t>CONCRETAGEM DE RADIER, PISO OU LAJE SOBRE SOLO, FCK 30 MPA, PARA ESPESSURA DE 10 CM - LANÇAMENTO, ADENSAMENTO E ACABAMENTO. AF_09/2017</t>
  </si>
  <si>
    <t>CONCRETAGEM DE RADIER, PISO OU LAJE SOBRE SOLO, FCK 30 MPA, PARA ESPESSURA DE 15 CM - LANÇAMENTO, ADENSAMENTO E ACABAMENTO. AF_09/2017</t>
  </si>
  <si>
    <t>CONCRETAGEM DE RADIER, PISO OU LAJE SOBRE SOLO, FCK 30 MPA, PARA ESPESSURA DE 20 CM - LANÇAMENTO, ADENSAMENTO E ACABAMENTO. AF_09/2017</t>
  </si>
  <si>
    <t>MONTAGEM E DESMONTAGEM DE FÔRMA DE PILARES CIRCULARES, COM ÁREA MÉDIA DAS SEÇÕES MAIOR QUE 0,28 M², PÉ-DIREITO DUPLO, EM MADEIRA, 2 UTILIZAÇÕES.  AF_06/2017</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</si>
  <si>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</si>
  <si>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</si>
  <si>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</si>
  <si>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</si>
  <si>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</si>
  <si>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</si>
  <si>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</si>
  <si>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</si>
  <si>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MONTAGEM DE ARMADURA LONGITUDINAL/TRANSVERSAL DE ESTACAS DE SEÇÃO CIRCULAR, DIÂMETRO = 8,0 MM. AF_11/2016</t>
  </si>
  <si>
    <t>MONTAGEM DE ARMADURA LONGITUDINAL/TRANSVERSAL DE ESTACAS DE SEÇÃO CIRCULAR, DIÂMETRO = 12,5 MM. AF_11/2016</t>
  </si>
  <si>
    <t>MONTAGEM DE ARMADURA LONGITUDINAL/TRANSVERSAL DE ESTACAS DE SEÇÃO RETANGULAR (BARRETE), DIÂMETRO = 8,0 MM. AF_11/2016</t>
  </si>
  <si>
    <t>MONTAGEM DE ARMADURA LONGITUDINAL/TRANSVERSAL DE ESTACAS DE SEÇÃO RETANGULAR (BARRETE), DIÂMETRO = 12,5 MM. AF_11/2016</t>
  </si>
  <si>
    <t>FIXAÇÃO (ENCUNHAMENTO) DE ALVENARIA DE VEDAÇÃO COM ESPUMA DE POLIURETANO EXPANSIVA.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</si>
  <si>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</si>
  <si>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</si>
  <si>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</si>
  <si>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</si>
  <si>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</si>
  <si>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30 A 100 LITROS, TAXA DE AÇO APROXIMADA DE 30KG/M³. AF_01/2018</t>
  </si>
  <si>
    <t>PEÇA CIRCULAR PRÉ-MOLDADA, VOLUME DE CONCRETO ACIMA DE 100 LITROS, TAXA DE AÇO APROXIMADA DE 30KG/M³. AF_01/2018</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</si>
  <si>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</si>
  <si>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</si>
  <si>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</si>
  <si>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</si>
  <si>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</si>
  <si>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</si>
  <si>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</si>
  <si>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</si>
  <si>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</si>
  <si>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</si>
  <si>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</si>
  <si>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</si>
  <si>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</si>
  <si>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</si>
  <si>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</si>
  <si>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</si>
  <si>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</si>
  <si>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</si>
  <si>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</si>
  <si>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</si>
  <si>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</si>
  <si>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SUPORTE ISOLADOR PARA CORDOALHA DE COBRE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</si>
  <si>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</si>
  <si>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</si>
  <si>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</si>
  <si>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</si>
  <si>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</si>
  <si>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</si>
  <si>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</si>
  <si>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</si>
  <si>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</si>
  <si>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</si>
  <si>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</si>
  <si>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</si>
  <si>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</si>
  <si>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</si>
  <si>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</si>
  <si>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</si>
  <si>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</si>
  <si>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</si>
  <si>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</si>
  <si>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</si>
  <si>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</si>
  <si>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</si>
  <si>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</si>
  <si>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</si>
  <si>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</si>
  <si>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</si>
  <si>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</si>
  <si>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</si>
  <si>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</si>
  <si>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</si>
  <si>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</si>
  <si>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</si>
  <si>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</si>
  <si>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</si>
  <si>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</si>
  <si>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</si>
  <si>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</si>
  <si>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</si>
  <si>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</si>
  <si>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</si>
  <si>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</si>
  <si>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</si>
  <si>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</si>
  <si>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</si>
  <si>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</si>
  <si>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</si>
  <si>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</si>
  <si>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</si>
  <si>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</si>
  <si>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</si>
  <si>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</si>
  <si>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</si>
  <si>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</si>
  <si>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</si>
  <si>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</si>
  <si>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</si>
  <si>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</si>
  <si>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</si>
  <si>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</si>
  <si>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</si>
  <si>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</si>
  <si>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</si>
  <si>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</si>
  <si>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</si>
  <si>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</si>
  <si>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</si>
  <si>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</si>
  <si>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</si>
  <si>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</si>
  <si>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</si>
  <si>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</si>
  <si>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</si>
  <si>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</si>
  <si>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</si>
  <si>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</si>
  <si>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</si>
  <si>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</si>
  <si>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</si>
  <si>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</si>
  <si>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</si>
  <si>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</si>
  <si>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</si>
  <si>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</si>
  <si>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</si>
  <si>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</si>
  <si>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</si>
  <si>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</si>
  <si>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</si>
  <si>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</si>
  <si>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</si>
  <si>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</si>
  <si>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</si>
  <si>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</si>
  <si>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</si>
  <si>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</si>
  <si>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</si>
  <si>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</si>
  <si>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</si>
  <si>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</si>
  <si>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</si>
  <si>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</si>
  <si>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</si>
  <si>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</si>
  <si>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</si>
  <si>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</si>
  <si>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</si>
  <si>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</si>
  <si>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</si>
  <si>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</si>
  <si>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</si>
  <si>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</si>
  <si>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</si>
  <si>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</si>
  <si>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</si>
  <si>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</si>
  <si>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</si>
  <si>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</si>
  <si>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</si>
  <si>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</si>
  <si>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</si>
  <si>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</si>
  <si>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</si>
  <si>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</si>
  <si>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</si>
  <si>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</si>
  <si>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</si>
  <si>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</si>
  <si>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</si>
  <si>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</si>
  <si>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</si>
  <si>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</si>
  <si>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</si>
  <si>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</si>
  <si>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</si>
  <si>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</si>
  <si>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</si>
  <si>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</si>
  <si>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</si>
  <si>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</si>
  <si>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</si>
  <si>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</si>
  <si>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</si>
  <si>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</si>
  <si>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</si>
  <si>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</si>
  <si>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</si>
  <si>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</si>
  <si>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</si>
  <si>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</si>
  <si>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</si>
  <si>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</si>
  <si>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</si>
  <si>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</si>
  <si>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</si>
  <si>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</si>
  <si>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</si>
  <si>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</si>
  <si>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</si>
  <si>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</si>
  <si>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</si>
  <si>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</si>
  <si>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</si>
  <si>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</si>
  <si>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</si>
  <si>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</si>
  <si>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</si>
  <si>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</si>
  <si>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</si>
  <si>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</si>
  <si>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</si>
  <si>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</si>
  <si>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</si>
  <si>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</si>
  <si>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</si>
  <si>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</si>
  <si>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</si>
  <si>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</si>
  <si>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</si>
  <si>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</si>
  <si>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</si>
  <si>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</si>
  <si>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</si>
  <si>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</si>
  <si>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</si>
  <si>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</si>
  <si>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</si>
  <si>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</si>
  <si>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</si>
  <si>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</si>
  <si>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</si>
  <si>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</si>
  <si>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</si>
  <si>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</si>
  <si>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</si>
  <si>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</si>
  <si>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</si>
  <si>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</si>
  <si>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</si>
  <si>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</si>
  <si>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</si>
  <si>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</si>
  <si>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</si>
  <si>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</si>
  <si>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</si>
  <si>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</si>
  <si>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</si>
  <si>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</si>
  <si>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</si>
  <si>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</si>
  <si>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</si>
  <si>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</si>
  <si>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</si>
  <si>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</si>
  <si>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</si>
  <si>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</si>
  <si>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</si>
  <si>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</si>
  <si>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</si>
  <si>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</si>
  <si>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</si>
  <si>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</si>
  <si>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</si>
  <si>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</si>
  <si>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</si>
  <si>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KIT CAVALETE PARA MEDIÇÃO DE ÁGUA - ENTRADA INDIVIDUALIZADA, EM PVC DN 25 (¾), PARA 1 MEDIDOR  FORNECIMENTO E INSTALAÇÃO (EXCLUSIVE HIDRÔMETRO). AF_11/2016</t>
  </si>
  <si>
    <t>REATERRO MANUAL APILOADO COM SOQUETE. AF_10/2017</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</si>
  <si>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</si>
  <si>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</si>
  <si>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</si>
  <si>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MASSA ÚNICA, PARA RECEBIMENTO DE PINTURA OU CERÂMICA, ARGAMASSA INDUSTRIALIZADA, PREPARO MECÂNICO, APLICADO COM EQUIPAMENTO DE MISTURA E PROJEÇÃO DE 1,5 M3/H EM FACES INTERNAS DE PAREDES, ESPESSURA DE 5MM, SEM EXECUÇÃO DE TALISCAS. AF_06/2014</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</si>
  <si>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</si>
  <si>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</si>
  <si>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</si>
  <si>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</si>
  <si>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</si>
  <si>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</si>
  <si>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</si>
  <si>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</si>
  <si>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</si>
  <si>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</si>
  <si>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</si>
  <si>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</si>
  <si>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</si>
  <si>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</si>
  <si>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</si>
  <si>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</si>
  <si>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</si>
  <si>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PLATAFORMA DE PROTEÇÃO PRINCIPAL PARA ALVENARIA ESTRUTURAL PARA SER APOIADA EM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</si>
  <si>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</si>
  <si>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</si>
  <si>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</si>
  <si>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</si>
  <si>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</si>
  <si>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</si>
  <si>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</si>
  <si>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</si>
  <si>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</si>
  <si>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</si>
  <si>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</si>
  <si>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</si>
  <si>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</si>
  <si>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</si>
  <si>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</si>
  <si>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</si>
  <si>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</si>
  <si>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</si>
  <si>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</si>
  <si>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</si>
  <si>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</si>
  <si>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</si>
  <si>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</si>
  <si>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</si>
  <si>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</si>
  <si>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</si>
  <si>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</si>
  <si>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</si>
  <si>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</si>
  <si>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</si>
  <si>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</si>
  <si>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</si>
  <si>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</si>
  <si>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</si>
  <si>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</si>
  <si>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</si>
  <si>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</si>
  <si>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</si>
  <si>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</si>
  <si>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</si>
  <si>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</si>
  <si>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</si>
  <si>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</si>
  <si>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</si>
  <si>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03.01.100.4</t>
  </si>
  <si>
    <t>03.01.502.2</t>
  </si>
  <si>
    <t>03.02.112.1</t>
  </si>
  <si>
    <t>GOVERNO DO DISTRITO FEDERAL</t>
  </si>
  <si>
    <t>SECRETARIA DE ESTADO DE INFRAESTRUTURA E SERVIÇOS PÚBLICOS</t>
  </si>
  <si>
    <t>COMPANHIA URBANIZADORA DA NOVA CAPITAL DO BRASIL</t>
  </si>
  <si>
    <t xml:space="preserve">COMPANHIA URBANIZADORA DA NOVA CAPITAL DO BRASIL </t>
  </si>
  <si>
    <t>04.01.400.3</t>
  </si>
  <si>
    <t>04.01.400.4</t>
  </si>
  <si>
    <t>QUADROS E PAINÉIS DE FORÇA</t>
  </si>
  <si>
    <t>MÊS</t>
  </si>
  <si>
    <t>% ADM local</t>
  </si>
  <si>
    <t>Edificações</t>
  </si>
  <si>
    <t>SEM Desoneração da Folha de Pagamento</t>
  </si>
  <si>
    <t>Médio</t>
  </si>
  <si>
    <t>Grupo</t>
  </si>
  <si>
    <t>Componentes</t>
  </si>
  <si>
    <t>Incidências</t>
  </si>
  <si>
    <t>Despesas Indiretas</t>
  </si>
  <si>
    <t>Subtotal A</t>
  </si>
  <si>
    <t>Tributos</t>
  </si>
  <si>
    <t>COFINS - Contribuição Para o Financiamento Seguridade Social</t>
  </si>
  <si>
    <t>ISS - Imposto Sobre Serviços de Qualquer Natureza</t>
  </si>
  <si>
    <t>CPRB - Contribuição Previdenciária Sobre Receita Bruta</t>
  </si>
  <si>
    <t>Subtotal B</t>
  </si>
  <si>
    <t>Bonificação</t>
  </si>
  <si>
    <t>Subtotal C</t>
  </si>
  <si>
    <t>FÓRMULA PARA CÁLCULO DO BDI</t>
  </si>
  <si>
    <t>(1 + (AC + S + R + G)) x ((1 + DF) X (1 + L))</t>
  </si>
  <si>
    <t>Taxa Representativa de Incidência de Impostos</t>
  </si>
  <si>
    <t>Referência:</t>
  </si>
  <si>
    <t>Relatório do Acordão n° 2.622/2013 - TCU/Plenário</t>
  </si>
  <si>
    <t>Vias Urbanas e Rodovias (incluindo obras de arte especiais)</t>
  </si>
  <si>
    <t>COM Desoneração da Folha de Pagamento</t>
  </si>
  <si>
    <t>1º Quartil</t>
  </si>
  <si>
    <t>3º Quartil</t>
  </si>
  <si>
    <t>Fornecimento de Materiais Betuminosos e Outros Materiais e Equipamentos de Grande Relevância de Natureza Específica</t>
  </si>
  <si>
    <t>ASSENTAMENTO DE TUBO DE AÇO CARBONO PARA REDE DE ÁGUA, DN 1000 MM (40  ) OU DN 1100 MM (44  ), JUNTA SOLDADA, INSTALADO EM LOCAL COM NÍVEL BAIXO DE INTERFERÊNCIAS (NÃO INCLUI FORNECIMENTO). AF_11/2017</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</si>
  <si>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</si>
  <si>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</si>
  <si>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</si>
  <si>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</si>
  <si>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</si>
  <si>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</si>
  <si>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</si>
  <si>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</si>
  <si>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</si>
  <si>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</si>
  <si>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</si>
  <si>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</si>
  <si>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</si>
  <si>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</si>
  <si>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</si>
  <si>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</si>
  <si>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</si>
  <si>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</si>
  <si>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</si>
  <si>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</si>
  <si>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</si>
  <si>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</si>
  <si>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</si>
  <si>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CAMINHÃO PARA EQUIPAMENTO DE LIMPEZA A SUCÇÃO COM CAMINHÃO TRUCADO DE PESO BRUTO TOTAL 23000 KG, CARGA ÚTIL MÁX. 15935 KG, DISTÂNCIA ENTRE EIXOS 4,80 M, POTÊNCIA 230 CV, INCLUSIVE LIMPADORA A SUCÇÃO, TANQUE 12000 L - MATERIAIS NA OPERAÇÃO. AF_11/2015</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</si>
  <si>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</si>
  <si>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</si>
  <si>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</si>
  <si>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</si>
  <si>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</si>
  <si>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</si>
  <si>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</si>
  <si>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</si>
  <si>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</si>
  <si>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</si>
  <si>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</si>
  <si>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</si>
  <si>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</si>
  <si>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</si>
  <si>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</si>
  <si>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</si>
  <si>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</si>
  <si>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</si>
  <si>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</si>
  <si>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</si>
  <si>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</si>
  <si>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</si>
  <si>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</si>
  <si>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</si>
  <si>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</si>
  <si>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</si>
  <si>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</si>
  <si>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</si>
  <si>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</si>
  <si>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</si>
  <si>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</si>
  <si>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</si>
  <si>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</si>
  <si>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</si>
  <si>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</si>
  <si>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</si>
  <si>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</si>
  <si>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</si>
  <si>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</si>
  <si>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</si>
  <si>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</si>
  <si>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</si>
  <si>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</si>
  <si>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</si>
  <si>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</si>
  <si>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</si>
  <si>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</si>
  <si>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</si>
  <si>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</si>
  <si>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</si>
  <si>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</si>
  <si>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</si>
  <si>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</si>
  <si>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</si>
  <si>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</si>
  <si>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</si>
  <si>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</si>
  <si>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</si>
  <si>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</si>
  <si>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</si>
  <si>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</si>
  <si>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</si>
  <si>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</si>
  <si>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</si>
  <si>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</si>
  <si>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</si>
  <si>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</si>
  <si>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</si>
  <si>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</si>
  <si>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</si>
  <si>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</si>
  <si>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</si>
  <si>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</si>
  <si>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</si>
  <si>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</si>
  <si>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</si>
  <si>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</si>
  <si>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</si>
  <si>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</si>
  <si>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</si>
  <si>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</si>
  <si>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</si>
  <si>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</si>
  <si>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</si>
  <si>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</si>
  <si>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</si>
  <si>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</si>
  <si>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</si>
  <si>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</si>
  <si>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</si>
  <si>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</si>
  <si>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</si>
  <si>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</si>
  <si>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</si>
  <si>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</si>
  <si>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</si>
  <si>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</si>
  <si>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</si>
  <si>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</si>
  <si>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</si>
  <si>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</si>
  <si>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</si>
  <si>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</si>
  <si>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</si>
  <si>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</si>
  <si>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</si>
  <si>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</si>
  <si>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</si>
  <si>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</si>
  <si>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</si>
  <si>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</si>
  <si>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</si>
  <si>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</si>
  <si>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</si>
  <si>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</si>
  <si>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</si>
  <si>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</si>
  <si>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</si>
  <si>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</si>
  <si>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</si>
  <si>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</si>
  <si>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</si>
  <si>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</si>
  <si>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</si>
  <si>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</si>
  <si>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</si>
  <si>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</si>
  <si>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</si>
  <si>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</si>
  <si>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</si>
  <si>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</si>
  <si>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</si>
  <si>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</si>
  <si>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</si>
  <si>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</si>
  <si>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</si>
  <si>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</si>
  <si>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</si>
  <si>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</si>
  <si>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</si>
  <si>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</si>
  <si>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</si>
  <si>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</si>
  <si>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</si>
  <si>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</si>
  <si>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</si>
  <si>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</si>
  <si>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</si>
  <si>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</si>
  <si>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</si>
  <si>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</si>
  <si>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</si>
  <si>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</si>
  <si>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</si>
  <si>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</si>
  <si>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</si>
  <si>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</si>
  <si>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</si>
  <si>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</si>
  <si>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</si>
  <si>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</si>
  <si>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</si>
  <si>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</si>
  <si>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</si>
  <si>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</si>
  <si>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</si>
  <si>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</si>
  <si>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</si>
  <si>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</si>
  <si>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</si>
  <si>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</si>
  <si>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</si>
  <si>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</si>
  <si>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</si>
  <si>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</si>
  <si>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</si>
  <si>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</si>
  <si>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</si>
  <si>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</si>
  <si>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</si>
  <si>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</si>
  <si>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</si>
  <si>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</si>
  <si>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</si>
  <si>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</si>
  <si>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</si>
  <si>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</si>
  <si>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</si>
  <si>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</si>
  <si>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</si>
  <si>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</si>
  <si>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</si>
  <si>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</si>
  <si>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</si>
  <si>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</si>
  <si>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</si>
  <si>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</si>
  <si>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</si>
  <si>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</si>
  <si>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</si>
  <si>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</si>
  <si>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</si>
  <si>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</si>
  <si>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</si>
  <si>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</si>
  <si>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</si>
  <si>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</si>
  <si>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</si>
  <si>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</si>
  <si>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</si>
  <si>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</si>
  <si>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CONCRETAGEM DE PLATIBANDA EM EDIFICAÇÕES UNIFAMILIARES FEITAS COM SISTEMA DE FÔRMAS MANUSEÁVEIS, COM CONCRETO USINADO BOMBEÁVEL FCK 20 MPA - LANÇAMENTO, ADENSAMENTO E ACABAMENTO. AF_06/2015</t>
  </si>
  <si>
    <t>CONCRETAGEM DE LAJES EM EDIFICAÇÕES MULTIFAMILIARES FEITAS COM SISTEMA DE FÔRMAS MANUSEÁVEIS, COM CONCRETO USINADO BOMBEÁVEL FCK 20 MPA - LANÇAMENTO, ADENSAMENTO E ACABAMENTO. AF_06/2015</t>
  </si>
  <si>
    <t>CONCRETAGEM DE PAREDES EM EDIFICAÇÕES MULTIFAMILIARES FEITAS COM SISTEMA DE FÔRMAS MANUSEÁVEIS, COM CONCRETO USINADO BOMBEÁVEL FCK 20 MPA - LANÇAMENTO, ADENSAMENTO E ACABAMENTO. AF_06/2015</t>
  </si>
  <si>
    <t>CONCRETAGEM DE PLATIBANDA EM EDIFICAÇÕES MULTIFAMILIARES FEITAS COM SISTEMA DE FÔRMAS MANUSEÁVEIS, COM CONCRETO USINADO BOMBEÁVEL FCK 20 MPA - LANÇAMENTO, ADENSAMENTO E ACABAMENTO. AF_06/2015</t>
  </si>
  <si>
    <t>CONCRETAGEM DE PLATIBANDA EM EDIFICAÇÕES UNIFAMILIARES FEITAS COM SISTEMA DE FÔRMAS MANUSEÁVEIS, COM CONCRETO USINADO AUTOADENSÁVEL FCK 20 MPA - LANÇAMENTO E ACABAMENTO. AF_06/2015</t>
  </si>
  <si>
    <t>CONCRETAGEM DE PLATIBANDA EM EDIFICAÇÕES MULTIFAMILIARES FEITAS COM SISTEMA DE FÔRMAS MANUSEÁVEIS, COM CONCRETO USINADO AUTOADENSÁVEL FCK 20 MPA - LANÇAMENTO E ACABAMENTO. AF_06/2015</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</si>
  <si>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</si>
  <si>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</si>
  <si>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CONCRETAGEM DE VIGAS E LAJES, FCK=20 MPA, PARA LAJES MACIÇAS OU NERVURADAS COM JERICAS EM ELEVADOR DE CABO EM EDIFICAÇÃO DE ATÉ 16 ANDARES, COM ÁREA MÉDIA DE LAJES MENOR OU IGUAL A 20 M² - LANÇAMENTO, ADENSAMENTO E ACABAMENTO. AF_12/2015</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</si>
  <si>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</si>
  <si>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</si>
  <si>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</si>
  <si>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</si>
  <si>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</si>
  <si>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</si>
  <si>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</si>
  <si>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</si>
  <si>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</si>
  <si>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</si>
  <si>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TRATAMENTO DE JUNTA DE DILATAÇÃO COM MANTA ASFÁLTICA ADERIDA COM MAÇARICO. AF_06/2018</t>
  </si>
  <si>
    <t>PEÇA CIRCULAR PRÉ-MOLDADA, VOLUME DE CONCRETO DE 10 A 30 LITROS, TAXA DE FIBRA DE POLIPROPILENO APROXIMADA DE 6 KG/M³. AF_01/2018_P</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</si>
  <si>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</si>
  <si>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</si>
  <si>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</si>
  <si>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</si>
  <si>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</si>
  <si>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</si>
  <si>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</si>
  <si>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</si>
  <si>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</si>
  <si>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</si>
  <si>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</si>
  <si>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</si>
  <si>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</si>
  <si>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</si>
  <si>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</si>
  <si>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</si>
  <si>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</si>
  <si>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</si>
  <si>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</si>
  <si>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</si>
  <si>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</si>
  <si>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</si>
  <si>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</si>
  <si>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</si>
  <si>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</si>
  <si>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</si>
  <si>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</si>
  <si>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</si>
  <si>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</si>
  <si>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</si>
  <si>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</si>
  <si>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</si>
  <si>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</si>
  <si>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</si>
  <si>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</si>
  <si>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</si>
  <si>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</si>
  <si>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</si>
  <si>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</si>
  <si>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</si>
  <si>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</si>
  <si>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</si>
  <si>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</si>
  <si>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</si>
  <si>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REFORÇADO, PVC, DN 20 MM (1/2"), PARA CIRCUITOS TERMINAIS, INSTALADO EM FORRO - FORNECIMENTO E INSTALAÇÃO. AF_12/2015</t>
  </si>
  <si>
    <t>ELETRODUTO FLEXÍVEL CORRUGADO REFORÇADO, PVC, DN 25 MM (3/4"),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</si>
  <si>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</si>
  <si>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</si>
  <si>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</si>
  <si>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</si>
  <si>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REFORÇADO, PVC, DN 20 MM (1/2"), PARA CIRCUITOS TERMINAIS, INSTALADO EM LAJE - FORNECIMENTO E INSTALAÇÃO. AF_12/2015</t>
  </si>
  <si>
    <t>ELETRODUTO FLEXÍVEL CORRUGADO REFORÇADO, PVC, DN 25 MM (3/4"),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</si>
  <si>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</si>
  <si>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</si>
  <si>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</si>
  <si>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</si>
  <si>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REFORÇADO, PVC, DN 20 MM (1/2"), PARA CIRCUITOS TERMINAIS, INSTALADO EM PAREDE - FORNECIMENTO E INSTALAÇÃO. AF_12/2015</t>
  </si>
  <si>
    <t>ELETRODUTO FLEXÍVEL CORRUGADO REFORÇADO, PVC, DN 25 MM (3/4"),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</si>
  <si>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</si>
  <si>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</si>
  <si>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</si>
  <si>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</si>
  <si>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</si>
  <si>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</si>
  <si>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</si>
  <si>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</si>
  <si>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CURVA 180 GRAUS PARA ELETRODUTO, PVC, ROSCÁVEL, DN 32 MM (1"), PARA CIRCUITOS TERMINAIS, INSTALADA EM FORRO - FORNECIMENTO E INSTALAÇÃO. AF_12/2015</t>
  </si>
  <si>
    <t>CURVA 180 GRAUS PARA ELETRODUTO, PVC, ROSCÁVEL, DN 32 MM (1), PARA CIRCUITOS TERMINAIS, INSTALADA EM LAJE - FORNECIMENTO E INSTALAÇÃO. AF_12/2015</t>
  </si>
  <si>
    <t>CURVA 180 GRAUS PARA ELETRODUTO, PVC, ROSCÁVEL, DN 32 MM (1), PARA CIRCUITOS TERMINAIS, INSTALADA EM PAREDE - FORNECIMENTO E INSTALAÇÃO. AF_12/2015</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</si>
  <si>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</si>
  <si>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</si>
  <si>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</si>
  <si>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PINTURA ANTICORROSIVA DE DUTO METÁLICO. AF_04/2018</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</si>
  <si>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</si>
  <si>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</si>
  <si>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</si>
  <si>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</si>
  <si>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</si>
  <si>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</si>
  <si>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</si>
  <si>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</si>
  <si>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</si>
  <si>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</si>
  <si>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</si>
  <si>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</si>
  <si>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</si>
  <si>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</si>
  <si>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</si>
  <si>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</si>
  <si>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</si>
  <si>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</si>
  <si>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</si>
  <si>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</si>
  <si>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</si>
  <si>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</si>
  <si>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</si>
  <si>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</si>
  <si>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</si>
  <si>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</si>
  <si>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</si>
  <si>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</si>
  <si>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</si>
  <si>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</si>
  <si>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</si>
  <si>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</si>
  <si>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</si>
  <si>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</si>
  <si>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</si>
  <si>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</si>
  <si>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</si>
  <si>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</si>
  <si>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</si>
  <si>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</si>
  <si>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</si>
  <si>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</si>
  <si>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</si>
  <si>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</si>
  <si>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</si>
  <si>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</si>
  <si>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</si>
  <si>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</si>
  <si>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</si>
  <si>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</si>
  <si>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</si>
  <si>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</si>
  <si>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</si>
  <si>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</si>
  <si>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</si>
  <si>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</si>
  <si>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</si>
  <si>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</si>
  <si>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</si>
  <si>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</si>
  <si>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JOELHO DE TRANSIÇÃO, 90 GRAUS, CPVC, SOLDÁVEL, DN 15MM X 1/2",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</si>
  <si>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</si>
  <si>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1/2", INSTALADO EM RAMAL DE ALIMENTAÇAÕ DE ÁGUA - FORNECIMENTO E INSTALAÇÃO. AF_12/2014</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</si>
  <si>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</si>
  <si>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</si>
  <si>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</si>
  <si>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</si>
  <si>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</si>
  <si>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</si>
  <si>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</si>
  <si>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</si>
  <si>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</si>
  <si>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</si>
  <si>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</si>
  <si>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</si>
  <si>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</si>
  <si>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</si>
  <si>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</si>
  <si>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</si>
  <si>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</si>
  <si>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</si>
  <si>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</si>
  <si>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</si>
  <si>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</si>
  <si>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</si>
  <si>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</si>
  <si>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</si>
  <si>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</si>
  <si>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</si>
  <si>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</si>
  <si>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</si>
  <si>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</si>
  <si>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</si>
  <si>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</si>
  <si>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</si>
  <si>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</si>
  <si>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</si>
  <si>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</si>
  <si>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</si>
  <si>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</si>
  <si>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</si>
  <si>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</si>
  <si>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</si>
  <si>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</si>
  <si>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</si>
  <si>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</si>
  <si>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</si>
  <si>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</si>
  <si>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</si>
  <si>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</si>
  <si>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</si>
  <si>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</si>
  <si>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</si>
  <si>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</si>
  <si>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</si>
  <si>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</si>
  <si>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</si>
  <si>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</si>
  <si>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</si>
  <si>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</si>
  <si>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</si>
  <si>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</si>
  <si>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</si>
  <si>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</si>
  <si>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</si>
  <si>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</si>
  <si>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</si>
  <si>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</si>
  <si>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</si>
  <si>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</si>
  <si>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</si>
  <si>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</si>
  <si>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</si>
  <si>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</si>
  <si>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</si>
  <si>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</si>
  <si>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</si>
  <si>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</si>
  <si>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</si>
  <si>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</si>
  <si>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</si>
  <si>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</si>
  <si>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</si>
  <si>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</si>
  <si>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</si>
  <si>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</si>
  <si>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</si>
  <si>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</si>
  <si>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</si>
  <si>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</si>
  <si>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</si>
  <si>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</si>
  <si>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</si>
  <si>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</si>
  <si>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</si>
  <si>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</si>
  <si>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</si>
  <si>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</si>
  <si>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</si>
  <si>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</si>
  <si>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</si>
  <si>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</si>
  <si>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</si>
  <si>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</si>
  <si>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</si>
  <si>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</si>
  <si>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</si>
  <si>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</si>
  <si>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</si>
  <si>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</si>
  <si>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</si>
  <si>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</si>
  <si>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</si>
  <si>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</si>
  <si>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</si>
  <si>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</si>
  <si>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</si>
  <si>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</si>
  <si>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</si>
  <si>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</si>
  <si>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</si>
  <si>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</si>
  <si>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</si>
  <si>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</si>
  <si>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</si>
  <si>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</si>
  <si>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</si>
  <si>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</si>
  <si>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</si>
  <si>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</si>
  <si>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</si>
  <si>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</si>
  <si>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</si>
  <si>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</si>
  <si>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</si>
  <si>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CONECTOR EM BRONZE/LATÃO, DN 22 MM X 1/2", SEM ANEL DE SOLDA, BOLSA X ROSCA F, INSTALADO EM PRUMADA  FORNECIMENTO E INSTALAÇÃO. AF_01/2016</t>
  </si>
  <si>
    <t>REGISTRO DE PRESSÃO BRUTO, LATÃO,  ROSCÁVEL, 3/4, FORNECIDO E INSTALADO EM RAMAL DE ÁGUA. AF_12/2014</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</si>
  <si>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</si>
  <si>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</si>
  <si>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</si>
  <si>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</si>
  <si>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TORNEIRA DE BOIA, ROSCÁVEL, 1 1/2 , FORNECIDA E INSTALADA EM RESERVAÇÃO DE ÁGUA. AF_06/2016</t>
  </si>
  <si>
    <t>TORNEIRA DE BOIA, ROSCÁVEL, 2, FORNECIDA E INSTALADA EM RESERVAÇÃO DE ÁGUA. AF_06/2016</t>
  </si>
  <si>
    <t>VÁLVULA DE RETENÇÃO HORIZONTAL, DE BRONZE, ROSCÁVEL, 3/4" - FORNECIMENTO E INSTALAÇÃO. AF_01/2019</t>
  </si>
  <si>
    <t>VÁLVULA DE RETENÇÃO HORIZONTAL, DE BRONZE, ROSCÁVEL, 1" - FORNECIMENTO E INSTALAÇÃO. AF_01/2019</t>
  </si>
  <si>
    <t>VÁLVULA DE RETENÇÃO HORIZONTAL, DE BRONZE, ROSCÁVEL, 1 1/4" - FORNECIMENTO E INSTALAÇÃO. AF_01/2019</t>
  </si>
  <si>
    <t>VÁLVULA DE RETENÇÃO HORIZONTAL, DE BRONZE, ROSCÁVEL, 1 1/2"  - FORNECIMENTO E INSTALAÇÃO. AF_01/2019</t>
  </si>
  <si>
    <t>VÁLVULA DE RETENÇÃO HORIZONTAL, DE BRONZE, ROSCÁVEL, 2"  - FORNECIMENTO E INSTALAÇÃO. AF_01/2019</t>
  </si>
  <si>
    <t>VÁLVULA DE RETENÇÃO HORIZONTAL, DE BRONZE, ROSCÁVEL, 2 1/2" - FORNECIMENTO E INSTALAÇÃO. AF_01/2019</t>
  </si>
  <si>
    <t>VÁLVULA DE RETENÇÃO HORIZONTAL, DE BRONZE, ROSCÁVEL, 3" - FORNECIMENTO E INSTALAÇÃO. AF_01/2019</t>
  </si>
  <si>
    <t>VÁLVULA DE RETENÇÃO HORIZONTAL, DE BRONZE, ROSCÁVEL, 4" - FORNECIMENTO E INSTALAÇÃO. AF_01/2019</t>
  </si>
  <si>
    <t>VÁLVULA DE RETENÇÃO VERTICAL, DE BRONZE, ROSCÁVEL, 1/2" - FORNECIMENTO E INSTALAÇÃO. AF_01/2019</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</si>
  <si>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</si>
  <si>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</si>
  <si>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</si>
  <si>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</si>
  <si>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VÁLVULA DE RETENÇÃO VERTICAL, DE BRONZE, ROSCÁVEL, 2" - FORNECIMENTO E INSTALAÇÃO. AF_01/2019</t>
  </si>
  <si>
    <t>VÁLVULA DE RETENÇÃO VERTICAL, DE BRONZE, ROSCÁVEL, 3" - FORNECIMENTO E INSTALAÇÃO. AF_01/2019</t>
  </si>
  <si>
    <t>VÁLVULA DE RETENÇÃO VERTICAL, DE BRONZE, ROSCÁVEL, 4" - FORNECIMENTO E INSTALAÇÃO. AF_01/2019</t>
  </si>
  <si>
    <t>VÁLVULA DE DESCARGA METÁLICA, BASE 1 1/2 ", ACABAMENTO METALICO CROMADO - FORNECIMENTO E INSTALAÇÃO. AF_01/2019</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</si>
  <si>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</si>
  <si>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</si>
  <si>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</si>
  <si>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</si>
  <si>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</si>
  <si>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</si>
  <si>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</si>
  <si>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</si>
  <si>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</si>
  <si>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</si>
  <si>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</si>
  <si>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</si>
  <si>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</si>
  <si>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</si>
  <si>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</si>
  <si>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</si>
  <si>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</si>
  <si>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PISO EM LADRILHO HIDRÁULICO APLICADO EM AMBIENTES INTERNOS, INCLUSO APLICAÇÃO DE RESINA. AF_06/2018</t>
  </si>
  <si>
    <t>PISO VINÍLICO SEMI-FLEXÍVEL EM PLACAS, PADRÃO LISO, ESPESSURA 3,2 MM, FIXADO COM COLA. AF_06/2018</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</si>
  <si>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</si>
  <si>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</si>
  <si>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</si>
  <si>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</si>
  <si>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</si>
  <si>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</si>
  <si>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</si>
  <si>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</si>
  <si>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ACABAMENTOS PARA FORRO (SANCA DE GESSO MONTADA NA OBRA). AF_05/2017_P</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</si>
  <si>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</si>
  <si>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</si>
  <si>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</si>
  <si>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</si>
  <si>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</si>
  <si>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</si>
  <si>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</si>
  <si>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</si>
  <si>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</si>
  <si>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</si>
  <si>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</si>
  <si>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</si>
  <si>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</si>
  <si>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</si>
  <si>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</si>
  <si>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</si>
  <si>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</si>
  <si>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</si>
  <si>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</si>
  <si>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</si>
  <si>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</si>
  <si>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</si>
  <si>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</si>
  <si>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</si>
  <si>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</si>
  <si>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</si>
  <si>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</si>
  <si>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</si>
  <si>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</si>
  <si>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</si>
  <si>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</si>
  <si>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</si>
  <si>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</si>
  <si>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</si>
  <si>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</si>
  <si>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</si>
  <si>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</si>
  <si>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</si>
  <si>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</si>
  <si>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</si>
  <si>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</si>
  <si>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</si>
  <si>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</si>
  <si>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</si>
  <si>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</si>
  <si>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</si>
  <si>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</si>
  <si>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</si>
  <si>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</si>
  <si>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</si>
  <si>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</si>
  <si>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</si>
  <si>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</si>
  <si>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</si>
  <si>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</si>
  <si>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</si>
  <si>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</si>
  <si>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</si>
  <si>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</si>
  <si>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</si>
  <si>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</si>
  <si>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</si>
  <si>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</si>
  <si>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</si>
  <si>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</si>
  <si>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</si>
  <si>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</si>
  <si>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</si>
  <si>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</si>
  <si>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</si>
  <si>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</si>
  <si>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</si>
  <si>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</si>
  <si>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</si>
  <si>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</si>
  <si>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</si>
  <si>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</si>
  <si>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</si>
  <si>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</si>
  <si>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</si>
  <si>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</si>
  <si>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</si>
  <si>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</si>
  <si>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</si>
  <si>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</si>
  <si>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</si>
  <si>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</si>
  <si>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</si>
  <si>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</si>
  <si>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</si>
  <si>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</si>
  <si>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</si>
  <si>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</si>
  <si>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</si>
  <si>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</si>
  <si>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</si>
  <si>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</si>
  <si>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</si>
  <si>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</si>
  <si>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</si>
  <si>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</si>
  <si>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</si>
  <si>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</si>
  <si>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</si>
  <si>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</si>
  <si>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</si>
  <si>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</si>
  <si>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</si>
  <si>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</si>
  <si>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</si>
  <si>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</si>
  <si>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</si>
  <si>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</si>
  <si>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</si>
  <si>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</si>
  <si>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</si>
  <si>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</si>
  <si>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COBERTURA PARA PROTEÇÃO DE PEDESTRES SOBRE ESTRUTURA DE ANDAIME, INCLUSIVE MONTAGEM E DESMONTAGEM. AF_11/2017</t>
  </si>
  <si>
    <t>LOCAÇÃO DE PONTO PARA REFERÊNCIA TOPOGRÁFICA. AF_10/2018</t>
  </si>
  <si>
    <t>LOCACAO CONVENCIONAL DE OBRA, UTILIZANDO GABARITO DE TÁBUAS CORRIDAS PONTALETADAS A CADA 2,00M -  2 UTILIZAÇÕES. AF_10/2018</t>
  </si>
  <si>
    <t>MARCAÇÃO DE PONTOS EM GABARITO OU CAVALETE. AF_10/2018</t>
  </si>
  <si>
    <t>LOCAÇÃO DE REDE DE ÁGUA OU ESGOTO. AF_10/2018</t>
  </si>
  <si>
    <t>LOCAÇÃO DE PAVIMENTAÇÃO. AF_10/2018</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</si>
  <si>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</si>
  <si>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</si>
  <si>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</si>
  <si>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</si>
  <si>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</si>
  <si>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</si>
  <si>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</si>
  <si>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</si>
  <si>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</si>
  <si>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</si>
  <si>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GRAMA EM PLACAS.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</si>
  <si>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</si>
  <si>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</si>
  <si>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</si>
  <si>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</si>
  <si>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</si>
  <si>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</si>
  <si>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</si>
  <si>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</si>
  <si>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</si>
  <si>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</si>
  <si>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</si>
  <si>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</si>
  <si>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CURSO DE CAPACITAÇÃO PARA VIGIA DIURNO (ENCARGOS COMPLEMENTARES) - HORISTA</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</si>
  <si>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</si>
  <si>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</si>
  <si>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</si>
  <si>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</si>
  <si>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</si>
  <si>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</si>
  <si>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</si>
  <si>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</si>
  <si>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</si>
  <si>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</si>
  <si>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</si>
  <si>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</si>
  <si>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</si>
  <si>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</si>
  <si>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</si>
  <si>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</si>
  <si>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</si>
  <si>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</si>
  <si>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</si>
  <si>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</si>
  <si>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</si>
  <si>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</si>
  <si>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</si>
  <si>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</si>
  <si>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</si>
  <si>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</si>
  <si>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TÉCNICO EM SEGURANÇA DO TRABALHO COM ENCARGOS COMPLEMENTARES</t>
  </si>
  <si>
    <t xml:space="preserve">        PRECOS DE INSUMOS</t>
  </si>
  <si>
    <t xml:space="preserve">  PRECO MEDIANO R$</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</si>
  <si>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</si>
  <si>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</si>
  <si>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</si>
  <si>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LUMINARIA FECHADA P/ ILUMINACAO PUBLICA, TIPO ABL 50/F OU EQUIV, P/ LAMPADA A VAPOR DE MERCURIO 400W</t>
  </si>
  <si>
    <t>!EM PROCESSO DESATIVACAO! ELETRODUTO EM ACO GALVANIZADO ELETROLITICO, LEVE, DIAMETRO 1", PAREDE DE 0,90 MM</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</si>
  <si>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</si>
  <si>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</si>
  <si>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</si>
  <si>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</si>
  <si>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</si>
  <si>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</si>
  <si>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</si>
  <si>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</si>
  <si>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</si>
  <si>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</si>
  <si>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</si>
  <si>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</si>
  <si>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</si>
  <si>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</si>
  <si>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</si>
  <si>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</si>
  <si>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</si>
  <si>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</si>
  <si>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</si>
  <si>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</si>
  <si>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</si>
  <si>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</si>
  <si>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</si>
  <si>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</si>
  <si>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</si>
  <si>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</si>
  <si>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</si>
  <si>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</si>
  <si>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</si>
  <si>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</si>
  <si>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</si>
  <si>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</si>
  <si>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</si>
  <si>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</si>
  <si>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</si>
  <si>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</si>
  <si>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</si>
  <si>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</si>
  <si>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</si>
  <si>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</si>
  <si>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</si>
  <si>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</si>
  <si>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</si>
  <si>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</si>
  <si>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</si>
  <si>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CROMADO PARA REGISTRO PEQUENO,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</si>
  <si>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</si>
  <si>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</si>
  <si>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</si>
  <si>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PARA CILINDRO DE CONJUNTO OXICORTE GRANDE)</t>
  </si>
  <si>
    <t>ACIDO MURIATICO, DILUICAO 10% A 12% PARA USO EM LIMPEZA</t>
  </si>
  <si>
    <t>ACO CA-25, 32,0 MM, VERGALHAO</t>
  </si>
  <si>
    <t>ACO CA-50, 10,0 MM, VERGALHAO</t>
  </si>
  <si>
    <t>ACO CA-50, 6,3 MM, DOBRADO E CORTADO</t>
  </si>
  <si>
    <t>ACO CA-50, 6,3 MM, VERGALHAO</t>
  </si>
  <si>
    <t>ACO CA-50, 8,0 MM, VERGALHAO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</si>
  <si>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</si>
  <si>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</si>
  <si>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</si>
  <si>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</si>
  <si>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</si>
  <si>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</si>
  <si>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</si>
  <si>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</si>
  <si>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</si>
  <si>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</si>
  <si>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</si>
  <si>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</si>
  <si>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</si>
  <si>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</si>
  <si>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</si>
  <si>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</si>
  <si>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</si>
  <si>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</si>
  <si>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</si>
  <si>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</si>
  <si>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</si>
  <si>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</si>
  <si>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</si>
  <si>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</si>
  <si>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</si>
  <si>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</si>
  <si>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</si>
  <si>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</si>
  <si>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</si>
  <si>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</si>
  <si>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</si>
  <si>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</si>
  <si>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</si>
  <si>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</si>
  <si>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</si>
  <si>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</si>
  <si>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</si>
  <si>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</si>
  <si>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</si>
  <si>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</si>
  <si>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</si>
  <si>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</si>
  <si>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</si>
  <si>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</si>
  <si>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</si>
  <si>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</si>
  <si>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</si>
  <si>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</si>
  <si>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</si>
  <si>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</si>
  <si>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</si>
  <si>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</si>
  <si>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</si>
  <si>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</si>
  <si>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</si>
  <si>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</si>
  <si>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</si>
  <si>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</si>
  <si>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</si>
  <si>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</si>
  <si>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</si>
  <si>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</si>
  <si>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</si>
  <si>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</si>
  <si>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ACRILICO/COLA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</si>
  <si>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</si>
  <si>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</si>
  <si>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</si>
  <si>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LIQUIDO A BASE DE RESINAS PARA COLAGEM DE ESPUMA DE ISOLAMENTO TERMICO FLEXIVEL</t>
  </si>
  <si>
    <t>ADESIVO PARA TUBOS CPVC, *75* G</t>
  </si>
  <si>
    <t>ADESIVO PLASTICO PARA PVC, BISNAGA COM 75 GR</t>
  </si>
  <si>
    <t>ADESIVO PLASTICO PARA PVC, FRASCO COM 175 GR</t>
  </si>
  <si>
    <t>ADESIVO PLASTICO PARA PVC, FRASCO COM 850 GR</t>
  </si>
  <si>
    <t>ADESIVO/COLA PARA EPS (ISOPOR) E OUTROS MATERIAIS</t>
  </si>
  <si>
    <t>ADITIVO ADESIVO LIQUIDO PARA ARGAMASSAS DE REVESTIMENTOS CIMENTICIOS</t>
  </si>
  <si>
    <t>AFASTADOR PARA TELHA DE FIBROCIMENTO CANALETE 90 OU KALHETAO</t>
  </si>
  <si>
    <t>AGREGADO RECICLADO, TIPO RACHAO RECICLADO CINZA, CLASSE A</t>
  </si>
  <si>
    <t>AJUDANTE DE ARMADOR</t>
  </si>
  <si>
    <t>AJUDANTE DE ARMADOR (MENSALISTA)</t>
  </si>
  <si>
    <t>AJUDANTE DE ELETRICISTA</t>
  </si>
  <si>
    <t>AJUDANTE DE ELETRICISTA (MENSALISTA)</t>
  </si>
  <si>
    <t>AJUDANTE DE ESTRUTURAS METALICAS</t>
  </si>
  <si>
    <t>AJUDANTE DE ESTRUTURAS METALICAS (MENSALISTA)</t>
  </si>
  <si>
    <t>AJUDANTE DE OPERACAO EM GERAL</t>
  </si>
  <si>
    <t>AJUDANTE DE OPERACAO EM GERAL (MENSALISTA)</t>
  </si>
  <si>
    <t>AJUDANTE DE PINTOR</t>
  </si>
  <si>
    <t>AJUDANTE DE PINTOR (MENSALISTA)</t>
  </si>
  <si>
    <t>AJUDANTE DE SERRALHEIRO</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</si>
  <si>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</si>
  <si>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</si>
  <si>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</si>
  <si>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</si>
  <si>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</si>
  <si>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</si>
  <si>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</si>
  <si>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</si>
  <si>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</si>
  <si>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</si>
  <si>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</si>
  <si>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</si>
  <si>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</si>
  <si>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</si>
  <si>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</si>
  <si>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t>
  </si>
  <si>
    <t>ALIMENTACAO - MENSALISTA (COLETADO CAIXA)</t>
  </si>
  <si>
    <t>ALISADORA DE CONCRETO COM MOTOR A GASOLINA DE 5,5 HP, PESO COM MOTOR DE 78 KG, 4 PAS</t>
  </si>
  <si>
    <t>ALMOXARIFE</t>
  </si>
  <si>
    <t>ALMOXARIFE (MENSALISTA)</t>
  </si>
  <si>
    <t>ALONGADOR COM TRES ALTURAS, EM TUBO DE ACO CARBONO, PINTURA NO PROCESSO ELETROSTATICO - EQUIPAMENTO DE GINASTICA PARA ACADEMIA AO AR LIVRE / ACADEMIA DA TERCEIRA IDADE - ATI</t>
  </si>
  <si>
    <t>ALUMINIO ANODIZADO</t>
  </si>
  <si>
    <t>ANEL BORRACHA DN 100 MM, PARA TUBO SERIE REFORCADA ESGOTO PREDIAL</t>
  </si>
  <si>
    <t>ANEL BORRACHA DN 75 MM, PARA TUBO SERIE REFORCADA ESGOTO PREDIAL</t>
  </si>
  <si>
    <t>ANEL BORRACHA PARA TUBO ESGOTO PREDIAL DN 40 MM (NBR 5688)</t>
  </si>
  <si>
    <t>ANEL BORRACHA PARA TUBO ESGOTO PREDIAL DN 50 MM (NBR 5688)</t>
  </si>
  <si>
    <t>ANEL BORRACHA PARA TUBO ESGOTO PREDIAL DN 75 MM (NBR 5688)</t>
  </si>
  <si>
    <t>ANEL BORRACHA PARA TUBO ESGOTO PREDIAL, DN 100 MM (NBR 5688)</t>
  </si>
  <si>
    <t>ANEL BORRACHA, DN 150 MM, PARA TUBO SERIE REFORCADA ESGOTO PREDIAL</t>
  </si>
  <si>
    <t>ANEL BORRACHA, DN 40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</si>
  <si>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</si>
  <si>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</si>
  <si>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</si>
  <si>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</si>
  <si>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</si>
  <si>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</si>
  <si>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</si>
  <si>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</si>
  <si>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</si>
  <si>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</si>
  <si>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</si>
  <si>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</si>
  <si>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</si>
  <si>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</si>
  <si>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</si>
  <si>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</si>
  <si>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</si>
  <si>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</si>
  <si>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</si>
  <si>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</si>
  <si>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</si>
  <si>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</si>
  <si>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</si>
  <si>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</si>
  <si>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</si>
  <si>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</si>
  <si>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</si>
  <si>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</si>
  <si>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</si>
  <si>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</si>
  <si>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</si>
  <si>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</si>
  <si>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</si>
  <si>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</si>
  <si>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</si>
  <si>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</si>
  <si>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</si>
  <si>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APARELHO CORTE OXI-ACETILENO PARA SOLDA E CORTE CONTENDO MACARICO SOLDA, BICO DE CORTE, CILINDROS, REGULADORES, MANGUEIRAS E CARRINHO</t>
  </si>
  <si>
    <t>APARELHO DE APOIO DE NEOPRENE FRETADO, 60 X 45 X 7,6 CM, COM FRETAGEM DE ACO DE 4 MM INTERCALADAS COM ELASTOMERO DE 11 MM E REVESTIMENTO FINAL COM ELASTOMERO DE 6 MM</t>
  </si>
  <si>
    <t>APARELHO DE APOIO DE NEOPRENE SIMPLES/ NAO FRETADO, 100 X 100 CM, ESPESSURA 6,3 MM</t>
  </si>
  <si>
    <t>APARELHO SINALIZADOR LUMINOSO COM LED, PARA SAIDA GARAGEM, COM 2 LENTES EM POLICARBONATO, BIVOLT (INCLUI SUPORTE DE FIXACAO)</t>
  </si>
  <si>
    <t>APOIO DO PORTA DENTE PARA FRESADORA DE ASFALTO</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</si>
  <si>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</si>
  <si>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</si>
  <si>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</si>
  <si>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</si>
  <si>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</si>
  <si>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</si>
  <si>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</si>
  <si>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</si>
  <si>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CAPACIDADE DO RESERVATORIO 800 L, INCLUI 8 PLACAS COLETORAS DE 1,42 M2</t>
  </si>
  <si>
    <t>AQUECEDOR SOLAR CAPACIDADE DO RESERVATORIO 1000 L, INCLUI 10 PLACAS COLETORAS DE 1,42 M2</t>
  </si>
  <si>
    <t>AQUECEDOR SOLAR CAPACIDADE DO RESERVATORIO 200 L, INCLUI 2 PLACAS COLETORAS DE 1,42 M2</t>
  </si>
  <si>
    <t>AQUECEDOR SOLAR CAPACIDADE DO RESERVATORIO 400L, INCLUI 4 PLACAS COLETORAS DE 1,42 M2</t>
  </si>
  <si>
    <t>AQUECEDOR SOLAR CAPACIDADE DO RESERVATORIO 600 L, INCLUI 6 PLACAS COLETORAS DE 1,42 M2</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</si>
  <si>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</si>
  <si>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</si>
  <si>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</si>
  <si>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</si>
  <si>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</si>
  <si>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</si>
  <si>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</si>
  <si>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</si>
  <si>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</si>
  <si>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</si>
  <si>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</si>
  <si>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</si>
  <si>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</si>
  <si>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</si>
  <si>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</si>
  <si>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QUENTE/FRIO, 60 HZ, CLASSIFICACAO ENERGETICA A - SELO PROCEL, GAS HFC, CONTROLE S/ 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</si>
  <si>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</si>
  <si>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</si>
  <si>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</si>
  <si>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</si>
  <si>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</si>
  <si>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</si>
  <si>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</si>
  <si>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</si>
  <si>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16 BWG (1,65 MM), CLASSE 250</t>
  </si>
  <si>
    <t>ARAME PROTEGIDO COM POLIMERO PARA GABIAO, DIAMETRO 2,2 MM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</si>
  <si>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</si>
  <si>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</si>
  <si>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</si>
  <si>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</si>
  <si>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</si>
  <si>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</si>
  <si>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INDUSTRIALIZADA MULTIUSO, PARA REVESTIMENTO INTERNO E EXTERNO E ASSENTAMENTO DE BLOCOS DIVERSOS</t>
  </si>
  <si>
    <t>ARGAMASSA INDUSTRIALIZADA PARA CHAPISCO COLANTE</t>
  </si>
  <si>
    <t>ARGAMASSA INDUSTRIALIZADA PARA CHAPISCO ROLADO</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</si>
  <si>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</si>
  <si>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</si>
  <si>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</si>
  <si>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</si>
  <si>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</si>
  <si>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</si>
  <si>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</si>
  <si>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</si>
  <si>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</si>
  <si>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</si>
  <si>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</si>
  <si>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</si>
  <si>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</si>
  <si>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</si>
  <si>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</si>
  <si>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</si>
  <si>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</si>
  <si>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</si>
  <si>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</si>
  <si>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</si>
  <si>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</si>
  <si>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</si>
  <si>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</si>
  <si>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</si>
  <si>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</si>
  <si>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</si>
  <si>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</si>
  <si>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</si>
  <si>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</si>
  <si>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</si>
  <si>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</si>
  <si>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</si>
  <si>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</si>
  <si>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</si>
  <si>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</si>
  <si>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</si>
  <si>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</si>
  <si>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</si>
  <si>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</si>
  <si>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</si>
  <si>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</si>
  <si>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</si>
  <si>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</si>
  <si>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</si>
  <si>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</si>
  <si>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</si>
  <si>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</si>
  <si>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</si>
  <si>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</si>
  <si>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</si>
  <si>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</si>
  <si>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</si>
  <si>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</si>
  <si>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</si>
  <si>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</si>
  <si>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 (MENSALISTA)</t>
  </si>
  <si>
    <t>AUXILIAR DE MECANICO</t>
  </si>
  <si>
    <t>AUXILIAR DE MECANICO (MENSALISTA)</t>
  </si>
  <si>
    <t>AUXILIAR DE PEDREIRO</t>
  </si>
  <si>
    <t>AUXILIAR DE PEDREIRO (MENSALISTA)</t>
  </si>
  <si>
    <t>AUXILIAR DE SERVICOS GERAIS</t>
  </si>
  <si>
    <t>AUXILIAR DE SERVICOS GERAIS (MENSALISTA)</t>
  </si>
  <si>
    <t>AUXILIAR DE TOPOGRAFO</t>
  </si>
  <si>
    <t>AUXILIAR DE TOPOGRAFO (MENSALISTA)</t>
  </si>
  <si>
    <t>AUXILIAR TECNICO / ASSISTENTE DE ENGENHARIA</t>
  </si>
  <si>
    <t>AUXILIAR TECNICO / ASSISTENTE DE ENGENHARIA (MENSALISTA)</t>
  </si>
  <si>
    <t>AVENTAL DE SEGURANCA DE RASPA DE COURO 1,00 X 0,60 M</t>
  </si>
  <si>
    <t>AZULEJISTA OU LADRILHEIRO (MENSALISTA)</t>
  </si>
  <si>
    <t>BACIA SANITARIA (VASO) COM CAIXA ACOPLADA, DE LOUCA BRANCA</t>
  </si>
  <si>
    <t>BACIA SANITARIA (VASO) CONVENCIONAL DE LOUCA BRANCA</t>
  </si>
  <si>
    <t>BACIA SANITARIA (VASO) CONVENCIONAL DE LOUCA COR</t>
  </si>
  <si>
    <t>BACIA SANITARIA (VASO) CONVENCIONAL PARA PCD SEM FURO FRONTAL, DE LOUCA BRANCA, SEM ASSENTO</t>
  </si>
  <si>
    <t>BALDE PLASTICO CAPACIDADE *10*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</si>
  <si>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</si>
  <si>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</si>
  <si>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</si>
  <si>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</si>
  <si>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</si>
  <si>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</si>
  <si>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</si>
  <si>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</si>
  <si>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</si>
  <si>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</si>
  <si>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</si>
  <si>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</si>
  <si>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</si>
  <si>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</si>
  <si>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</si>
  <si>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</si>
  <si>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</si>
  <si>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</si>
  <si>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PARA PORTA DE VIDRO,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</si>
  <si>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</si>
  <si>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</si>
  <si>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</si>
  <si>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</si>
  <si>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</si>
  <si>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</si>
  <si>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</si>
  <si>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</si>
  <si>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</si>
  <si>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</si>
  <si>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</si>
  <si>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</si>
  <si>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</si>
  <si>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</si>
  <si>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</si>
  <si>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</si>
  <si>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</si>
  <si>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</si>
  <si>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</si>
  <si>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 PORTAL/ ADUELA/ MARCO MACICO, E= *3 CM, L= *13 CM, *60 CM A 120* CM X *210 CM,  EM CEDRINHO/ ANGELIM COMERCIAL/ EUCALIPTO/ CURUPIXA/ PEROBA/ CUMARU OU EQUIVALENTE DA REGIAO (NAO INCLUI ALIZARES)</t>
  </si>
  <si>
    <t>BATENTE/ PORTAL/ ADUELA/ MARCO MACICO, E= *3* CM, L= *13* CM, *60 CM A 120* CM X *210* CM, EM PINUS/ TAUARI/ VIROLA OU EQUIVALENTE DA REGIAO (NAO INCLUI ALIZARES)</t>
  </si>
  <si>
    <t>BATENTE/ PORTAL/ ADUELA/ MARCO MACICO, E= *3* CM, L= *7* CM, *60 CM A 120* CM X *210* CM,  EM CEDRINHO/ ANGELIM COMERCIAL/ EUCALIPTO/ CURUPIXA/ PEROBA/ CUMARU OU EQUIVALENTE DA REGIAO (NAO INCLUI ALIZARES)</t>
  </si>
  <si>
    <t>BATENTE/ PORTAL/ ADUELA/MARCO MACICO, E= *3* CM, L= *15* CM, *60 CM A 120* CM  X *210* CM, EM PINUS/ TAUARI/ VIROLA OU EQUIVALENTE DA REGIAO</t>
  </si>
  <si>
    <t>BATENTE/ PORTAL/ADUELA/ MARCO MACICO, E= *3* CM, L= *15* CM, *60 CM A 120* CM  X *210* CM,  EM CEDRINHO/ ANGELIM COMERCIAL/  EUCALIPTO/ CURUPIXA/ PEROBA/ CUMARU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</si>
  <si>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</si>
  <si>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</si>
  <si>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</si>
  <si>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</si>
  <si>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</si>
  <si>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</si>
  <si>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</si>
  <si>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</si>
  <si>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</si>
  <si>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</si>
  <si>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CERAMICO DE VEDACAO COM FUROS NA HORIZONTAL, 11,5 X 19 X 19 CM - 4,5 MPA (NBR 15270)</t>
  </si>
  <si>
    <t>BLOCO CERAMICO DE VEDACAO COM FUROS NA VERTICAL, 14 X 19 X 39 CM - 4,5 MPA (NBR 15270)</t>
  </si>
  <si>
    <t>BLOCO CERAMICO DE VEDACAO COM FUROS NA VERTICAL, 19 X 19 X 39 CM - 4,5 MPA (NBR 15270)</t>
  </si>
  <si>
    <t>BLOCO CERAMICO DE VEDACAO COM FUROS NA VERTICAL, 9 X 19 X 39 CM - 4,5 MPA (NBR 15270)</t>
  </si>
  <si>
    <t>BLOCO DE ESPUMA MULTIUSO *23 X 13 X 8* CM</t>
  </si>
  <si>
    <t>BLOCO DE POLIETILENO ALTA DENSIDADE, *27* X *30* X *100* CM, ACOMPANHADOS PLACAS  TERMINAIS  E LONGARINAS, PARA FUNDO DE FILTRO</t>
  </si>
  <si>
    <t>BLOCO DE VIDRO INCOLOR XADREZ, DE *20 X 20 X 10* CM</t>
  </si>
  <si>
    <t>BLOCO DE VIDRO INCOLOR, CANELADO, DE *19 X 19 X 8* CM</t>
  </si>
  <si>
    <t>BLOCO DE VIDRO/ELEMENTO VAZADO INCOLOR, VENEZIANA, DE *20 X 20 X 6* CM</t>
  </si>
  <si>
    <t>BLOCO DE VIDRO/ELEMENTO VAZADO, INCOLOR, VENEZIANA, *20 X 10 X 8* CM</t>
  </si>
  <si>
    <t>BLOCO ESTRUTURAL CERAMICO 14 X 19 X 29 CM, 6,0 MPA (NBR 15270)</t>
  </si>
  <si>
    <t>BLOCO ESTRUTURAL CERAMICO 14 X 19 X 34 CM, 6,0 MPA (NBR 15270)</t>
  </si>
  <si>
    <t>BLOCO ESTRUTURAL CERAMICO 14 X 19 X 39 CM, 6,0 MPA (NBR 15270)</t>
  </si>
  <si>
    <t>BLOCO ESTRUTURAL CERAMICO 19 X 19 X 29 CM, 6,0 MPA (NBR 15270)</t>
  </si>
  <si>
    <t>BLOCO ESTRUTURAL CERAMICO 19 X 19 X 39 CM, 6,0 MPA (NBR 15270)</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</si>
  <si>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</si>
  <si>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</si>
  <si>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</si>
  <si>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</si>
  <si>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</si>
  <si>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</si>
  <si>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</si>
  <si>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</si>
  <si>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</si>
  <si>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</si>
  <si>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</si>
  <si>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</si>
  <si>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</si>
  <si>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</si>
  <si>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</si>
  <si>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</si>
  <si>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</si>
  <si>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</si>
  <si>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</si>
  <si>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</si>
  <si>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</si>
  <si>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</si>
  <si>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</si>
  <si>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</si>
  <si>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</si>
  <si>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</si>
  <si>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</si>
  <si>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</si>
  <si>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</si>
  <si>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</si>
  <si>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</si>
  <si>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</si>
  <si>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</si>
  <si>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</si>
  <si>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</si>
  <si>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</si>
  <si>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</si>
  <si>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</si>
  <si>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</si>
  <si>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</si>
  <si>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BOTA DE PVC PRETA, CANO MEDIO, SEM FORRO</t>
  </si>
  <si>
    <t>BOTA DE SEGURANCA COM BIQUEIRA DE ACO E COLARINHO ACOLCHOADO</t>
  </si>
  <si>
    <t>BRACO / CANO PARA CHUVEIRO ELETRICO, EM ALUMINIO, 30 CM X 1/2 "</t>
  </si>
  <si>
    <t>BRACO OU HASTE COM CANOPLA PLASTICA, 1/2 ", PARA CHUVEIRO ELETRICO</t>
  </si>
  <si>
    <t>BRACO OU HASTE COM CANOPLA PLASTICA, 1/2 ", PARA CHUVEIRO SIMPLES</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</si>
  <si>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</si>
  <si>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</si>
  <si>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</si>
  <si>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</si>
  <si>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</si>
  <si>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</si>
  <si>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</si>
  <si>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</si>
  <si>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</si>
  <si>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</si>
  <si>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</si>
  <si>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</si>
  <si>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</si>
  <si>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</si>
  <si>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</si>
  <si>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</si>
  <si>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</si>
  <si>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</si>
  <si>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</si>
  <si>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</si>
  <si>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</si>
  <si>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</si>
  <si>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</si>
  <si>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</si>
  <si>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</si>
  <si>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</si>
  <si>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</si>
  <si>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</si>
  <si>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</si>
  <si>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</si>
  <si>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</si>
  <si>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</si>
  <si>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</si>
  <si>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</si>
  <si>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</si>
  <si>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</si>
  <si>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</si>
  <si>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</si>
  <si>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</si>
  <si>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</si>
  <si>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</si>
  <si>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</si>
  <si>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</si>
  <si>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</si>
  <si>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</si>
  <si>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</si>
  <si>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</si>
  <si>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</si>
  <si>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</si>
  <si>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</si>
  <si>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</si>
  <si>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</si>
  <si>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</si>
  <si>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</si>
  <si>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</si>
  <si>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</si>
  <si>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</si>
  <si>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</si>
  <si>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</si>
  <si>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</si>
  <si>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</si>
  <si>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</si>
  <si>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</si>
  <si>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</si>
  <si>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</si>
  <si>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</si>
  <si>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</si>
  <si>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</si>
  <si>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</si>
  <si>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</si>
  <si>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</si>
  <si>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</si>
  <si>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</si>
  <si>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</si>
  <si>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</si>
  <si>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</si>
  <si>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</si>
  <si>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</si>
  <si>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</si>
  <si>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</si>
  <si>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</si>
  <si>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</si>
  <si>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</si>
  <si>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</si>
  <si>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</si>
  <si>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</si>
  <si>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</si>
  <si>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</si>
  <si>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</si>
  <si>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</si>
  <si>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</si>
  <si>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</si>
  <si>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</si>
  <si>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</si>
  <si>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</si>
  <si>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</si>
  <si>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</si>
  <si>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</si>
  <si>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</si>
  <si>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</si>
  <si>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</si>
  <si>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</si>
  <si>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</si>
  <si>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</si>
  <si>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</si>
  <si>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</si>
  <si>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</si>
  <si>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</si>
  <si>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</si>
  <si>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</si>
  <si>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</si>
  <si>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</si>
  <si>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</si>
  <si>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</si>
  <si>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</si>
  <si>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</si>
  <si>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</si>
  <si>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</si>
  <si>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</si>
  <si>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</si>
  <si>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</si>
  <si>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</si>
  <si>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</si>
  <si>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</si>
  <si>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</si>
  <si>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</si>
  <si>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</si>
  <si>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</si>
  <si>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</si>
  <si>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</si>
  <si>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</si>
  <si>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</si>
  <si>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</si>
  <si>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</si>
  <si>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</si>
  <si>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</si>
  <si>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</si>
  <si>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</si>
  <si>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</si>
  <si>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</si>
  <si>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</si>
  <si>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</si>
  <si>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</si>
  <si>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</si>
  <si>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</si>
  <si>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</si>
  <si>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</si>
  <si>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</si>
  <si>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</si>
  <si>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</si>
  <si>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</si>
  <si>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</si>
  <si>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</si>
  <si>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</si>
  <si>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</si>
  <si>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</si>
  <si>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</si>
  <si>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</si>
  <si>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</si>
  <si>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</si>
  <si>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</si>
  <si>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</si>
  <si>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</si>
  <si>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</si>
  <si>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</si>
  <si>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</si>
  <si>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</si>
  <si>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</si>
  <si>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</si>
  <si>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</si>
  <si>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</si>
  <si>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</si>
  <si>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</si>
  <si>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</si>
  <si>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</si>
  <si>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</si>
  <si>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</si>
  <si>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</si>
  <si>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</si>
  <si>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</si>
  <si>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</si>
  <si>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</si>
  <si>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</si>
  <si>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</si>
  <si>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</si>
  <si>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</si>
  <si>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</si>
  <si>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</si>
  <si>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</si>
  <si>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</si>
  <si>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</si>
  <si>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</si>
  <si>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</si>
  <si>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</si>
  <si>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</si>
  <si>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</si>
  <si>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</si>
  <si>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</si>
  <si>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</si>
  <si>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</si>
  <si>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</si>
  <si>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</si>
  <si>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</si>
  <si>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</si>
  <si>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</si>
  <si>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</si>
  <si>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</si>
  <si>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</si>
  <si>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</si>
  <si>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</si>
  <si>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</si>
  <si>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</si>
  <si>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</si>
  <si>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</si>
  <si>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</si>
  <si>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</si>
  <si>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</si>
  <si>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</si>
  <si>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</si>
  <si>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</si>
  <si>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</si>
  <si>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</si>
  <si>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</si>
  <si>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</si>
  <si>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</si>
  <si>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</si>
  <si>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</si>
  <si>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</si>
  <si>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</si>
  <si>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</si>
  <si>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</si>
  <si>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</si>
  <si>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</si>
  <si>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</si>
  <si>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</si>
  <si>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</si>
  <si>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</si>
  <si>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</si>
  <si>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</si>
  <si>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</si>
  <si>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</si>
  <si>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</si>
  <si>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</si>
  <si>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</si>
  <si>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</si>
  <si>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</si>
  <si>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</si>
  <si>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</si>
  <si>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</si>
  <si>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</si>
  <si>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</si>
  <si>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</si>
  <si>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</si>
  <si>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</si>
  <si>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</si>
  <si>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</si>
  <si>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</si>
  <si>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</si>
  <si>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</si>
  <si>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</si>
  <si>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</si>
  <si>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</si>
  <si>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</si>
  <si>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</si>
  <si>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</si>
  <si>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</si>
  <si>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</si>
  <si>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</si>
  <si>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</si>
  <si>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</si>
  <si>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</si>
  <si>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</si>
  <si>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</si>
  <si>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</si>
  <si>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</si>
  <si>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</si>
  <si>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</si>
  <si>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</si>
  <si>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</si>
  <si>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</si>
  <si>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CADEIRA SUSPENSA MANUAL / BALANCIM INDIVIDUAL (NBR 14751)</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</si>
  <si>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</si>
  <si>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</si>
  <si>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</si>
  <si>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</si>
  <si>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</si>
  <si>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</si>
  <si>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</si>
  <si>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</si>
  <si>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</si>
  <si>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</si>
  <si>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</si>
  <si>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DESCARGA DE PLASTICO EXTERNA, DE *9* L, PUXADOR FIO DE NYLON, NAO INCLUSO CANO, BOLSA, ENGATE</t>
  </si>
  <si>
    <t>CAIXA DE DESCARGA PLASTICA DE EMBUTIR COMPLETA, COM ESPELHO PLASTICO, CAPACIDADE 6 A 10 L, ACESSORIOS INCLUSOS</t>
  </si>
  <si>
    <t>CAIXA DE GORDURA EM PVC, DIAMETRO MINIMO 300 MM, DIAMETRO DE SAIDA 100 MM, CAPACIDADE  APROXIMADA 18 LITROS, COM TAMPA</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</si>
  <si>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</si>
  <si>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</si>
  <si>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</si>
  <si>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</si>
  <si>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</si>
  <si>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</si>
  <si>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</si>
  <si>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</si>
  <si>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</si>
  <si>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</si>
  <si>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</si>
  <si>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</si>
  <si>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</si>
  <si>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</si>
  <si>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</si>
  <si>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</si>
  <si>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</si>
  <si>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</si>
  <si>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INSPECAO EM POLIETILENO PARA ATERRAMENTO E PARA RAIOS DIAMETRO = 300 MM</t>
  </si>
  <si>
    <t>CAIXA OCTOGONAL DE FUNDO MOVEL, EM PVC, DE 3" X 3", PARA ELETRODUTO FLEXIVEL CORRUGADO</t>
  </si>
  <si>
    <t>CAIXA OCTOGONAL DE FUNDO MOVEL, EM PVC, DE 4" X 4", PARA ELETRODUTO FLEXIVEL CORRUGADO</t>
  </si>
  <si>
    <t>CAIXA SIFONADA PVC, 100 X 100 X 50 MM, COM GRELHA REDONDA BRANCA</t>
  </si>
  <si>
    <t>CAIXA SIFONADA PVC, 150 X 150 X 50 MM, COM GRELHA QUADRADA BRANCA (NBR 5688)</t>
  </si>
  <si>
    <t>CAIXA SIFONADA PVC, 150 X 150 X 50 MM, COM GRELHA REDONDA BRANCA</t>
  </si>
  <si>
    <t>CAIXA SIFONADA PVC, 150 X 185 X 75 MM, COM GRELHA QUADRADA BRANCA</t>
  </si>
  <si>
    <t>CAIXA SIFONADA PVC, 250 X 230 X 75 MM, COM TAMPA E PORTA TAMPA QUADRADA BRANCA</t>
  </si>
  <si>
    <t>CAL HIDRATADA CH-I PARA ARGAMASSAS</t>
  </si>
  <si>
    <t>CAL HIDRATADA PARA PINTURA</t>
  </si>
  <si>
    <t>CAL VIRGEM COMUM PARA ARGAMASSAS (NBR 6453)</t>
  </si>
  <si>
    <t>CALCARIO DOLOMITICO A (POSTO PEDREIRA/FORNECEDOR, SEM FRETE)</t>
  </si>
  <si>
    <t>CALCETEIRO</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</si>
  <si>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</si>
  <si>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</si>
  <si>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</si>
  <si>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</si>
  <si>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</si>
  <si>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</si>
  <si>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26, CORTE 33 CM</t>
  </si>
  <si>
    <t>CALHA QUADRADA DE CHAPA DE ACO GALVANIZADA NUM 28, CORTE 25 CM</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</si>
  <si>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</si>
  <si>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</si>
  <si>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</si>
  <si>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</si>
  <si>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</si>
  <si>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</si>
  <si>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</si>
  <si>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</si>
  <si>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</si>
  <si>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</si>
  <si>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</si>
  <si>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</si>
  <si>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</si>
  <si>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</si>
  <si>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</si>
  <si>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</si>
  <si>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</si>
  <si>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</si>
  <si>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</si>
  <si>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</si>
  <si>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</si>
  <si>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</si>
  <si>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</si>
  <si>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</si>
  <si>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</si>
  <si>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ESTRUTURAL CERAMICA, 14 X 19 X 19 CM, 6,0 MPA (NBR 15270)</t>
  </si>
  <si>
    <t>CANALETA ESTRUTURAL CERAMICA, 14 X 19 X 29 CM, 6,0 MPA (NBR 15270)</t>
  </si>
  <si>
    <t>CANALETA ESTRUTURAL CERAMICA, 14 X 19 X 39 CM, 6,0 MPA (NBR 15270)</t>
  </si>
  <si>
    <t>CANOPLA ACABAMENTO CROMADO PARA INSTALACAO DE SPRINKLER, SOB FORRO, 15 MM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</si>
  <si>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</si>
  <si>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</si>
  <si>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</si>
  <si>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</si>
  <si>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</si>
  <si>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</si>
  <si>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</si>
  <si>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</si>
  <si>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</si>
  <si>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</si>
  <si>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</si>
  <si>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</si>
  <si>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</si>
  <si>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</si>
  <si>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</si>
  <si>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</si>
  <si>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</si>
  <si>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</si>
  <si>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</si>
  <si>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</si>
  <si>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</si>
  <si>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</si>
  <si>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</si>
  <si>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</si>
  <si>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</si>
  <si>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</si>
  <si>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</si>
  <si>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</si>
  <si>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</si>
  <si>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</si>
  <si>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</si>
  <si>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SOLDAVEL, DN 100 MM, SERIE NORMAL, PARA ESGOTO PREDIAL</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</si>
  <si>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</si>
  <si>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</si>
  <si>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</si>
  <si>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</si>
  <si>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</si>
  <si>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</si>
  <si>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</si>
  <si>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</si>
  <si>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</si>
  <si>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</si>
  <si>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</si>
  <si>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</si>
  <si>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</si>
  <si>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</si>
  <si>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</si>
  <si>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</si>
  <si>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</si>
  <si>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</si>
  <si>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</si>
  <si>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</si>
  <si>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</si>
  <si>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</si>
  <si>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</si>
  <si>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</si>
  <si>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</si>
  <si>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</si>
  <si>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</si>
  <si>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</si>
  <si>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</si>
  <si>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</si>
  <si>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</si>
  <si>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</si>
  <si>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</si>
  <si>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</si>
  <si>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</si>
  <si>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</si>
  <si>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</si>
  <si>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</si>
  <si>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</si>
  <si>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</si>
  <si>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</si>
  <si>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</si>
  <si>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</si>
  <si>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</si>
  <si>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</si>
  <si>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</si>
  <si>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</si>
  <si>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</si>
  <si>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</si>
  <si>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</si>
  <si>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</si>
  <si>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</si>
  <si>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</si>
  <si>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</si>
  <si>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</si>
  <si>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</si>
  <si>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</si>
  <si>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CERA  LIQUIDA</t>
  </si>
  <si>
    <t>CHAPA ACO INOX AISI 304 NUMERO 4 (E = 6 MM), ACABAMENTO NUMERO 1 (LAMINADO A QUENTE, FOSCO)</t>
  </si>
  <si>
    <t>CHAPA ACO INOX AISI 304 NUMERO 9 (E = 4 MM), ACABAMENTO NUMERO 1 (LAMINADO A QUENTE, FOSCO)</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</si>
  <si>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</si>
  <si>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</si>
  <si>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</si>
  <si>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</si>
  <si>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</si>
  <si>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</si>
  <si>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</si>
  <si>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</si>
  <si>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</si>
  <si>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</si>
  <si>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</si>
  <si>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</si>
  <si>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</si>
  <si>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</si>
  <si>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</si>
  <si>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</si>
  <si>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</si>
  <si>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</si>
  <si>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</si>
  <si>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</si>
  <si>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</si>
  <si>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</si>
  <si>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</si>
  <si>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</si>
  <si>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</si>
  <si>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</si>
  <si>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</si>
  <si>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</si>
  <si>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</si>
  <si>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</si>
  <si>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</si>
  <si>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</si>
  <si>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</si>
  <si>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</si>
  <si>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</si>
  <si>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</si>
  <si>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NAVAL (COM COLA FENOLICA), E = 6 MM, DE *1,60 X 2,20* M</t>
  </si>
  <si>
    <t>CHAPA DE MADEIRA COMPENSADA PLASTIFICADA PARA FORMA DE CONCRETO, DE 2,20 x 1,10 M, E = 10 MM</t>
  </si>
  <si>
    <t>CHAPA DE MADEIRA COMPENSADA PLASTIFICADA PARA FORMA DE CONCRETO, DE 2,20 x 1,10 M, E = 18 MM</t>
  </si>
  <si>
    <t>CHAPA DE MADEIRA COMPENSADA PLASTIFICADA PARA FORMA DE CONCRETO, DE 2,20 X 1,10 M, E = 12 MM</t>
  </si>
  <si>
    <t>CHAPA DE MADEIRA COMPENSADA RESINADA PARA FORMA DE CONCRETO, DE *2,2 X 1,1* M, E = 14 MM</t>
  </si>
  <si>
    <t>CHAPA DE MADEIRA COMPENSADA RESINADA PARA FORMA DE CONCRETO, DE *2,2 X 1,1* M, E = 17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</si>
  <si>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</si>
  <si>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</si>
  <si>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</si>
  <si>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</si>
  <si>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</si>
  <si>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</si>
  <si>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</si>
  <si>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</si>
  <si>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</si>
  <si>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</si>
  <si>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</si>
  <si>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</si>
  <si>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</si>
  <si>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</si>
  <si>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</si>
  <si>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</si>
  <si>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</si>
  <si>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</si>
  <si>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</si>
  <si>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PARA EMENDA DE VIGA, EM ACO GROSSO, QUALIDADE ESTRUTURAL, BITOLA 3/16 ", E= 4,75 MM, 4 FUROS, LARGURA 45 MM, COMPRIMENTO 500 MM</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</si>
  <si>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</si>
  <si>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</si>
  <si>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</si>
  <si>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</si>
  <si>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</si>
  <si>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</si>
  <si>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</si>
  <si>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</si>
  <si>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</si>
  <si>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</si>
  <si>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</si>
  <si>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</si>
  <si>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</si>
  <si>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</si>
  <si>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</si>
  <si>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</si>
  <si>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</si>
  <si>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CHUVEIRO PLASTICO BRANCO SIMPLES 5 '' PARA ACOPLAR EM HASTE 1/2 ", AGUA FRIA</t>
  </si>
  <si>
    <t>CIMENTO ASFALTICO DE PETROLEO A GRANEL (CAP) 50/70 (COLETADO CAIXA NA ANP ACRESCIDO DE ICMS)</t>
  </si>
  <si>
    <t>CIMENTO BRANCO</t>
  </si>
  <si>
    <t>CIMENTO IMPERMEABILIZANTE DE PEGA ULTRARRAPIDA PARA TAMPONAMENTOS</t>
  </si>
  <si>
    <t>CIMENTO PORTLAND COMPOSTO CP II-32</t>
  </si>
  <si>
    <t>CIMENTO PORTLAND ESTRUTURAL BRANCO CPB-32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</si>
  <si>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</si>
  <si>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</si>
  <si>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</si>
  <si>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</si>
  <si>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</si>
  <si>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</si>
  <si>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</si>
  <si>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</si>
  <si>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</si>
  <si>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</si>
  <si>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</si>
  <si>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</si>
  <si>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</si>
  <si>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</si>
  <si>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</si>
  <si>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</si>
  <si>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</si>
  <si>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</si>
  <si>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</si>
  <si>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</si>
  <si>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</si>
  <si>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</si>
  <si>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</si>
  <si>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</si>
  <si>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</si>
  <si>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</si>
  <si>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</si>
  <si>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</si>
  <si>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</si>
  <si>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</si>
  <si>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</si>
  <si>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</si>
  <si>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</si>
  <si>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</si>
  <si>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</si>
  <si>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</si>
  <si>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</si>
  <si>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</si>
  <si>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</si>
  <si>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</si>
  <si>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</si>
  <si>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</si>
  <si>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</si>
  <si>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</si>
  <si>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</si>
  <si>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</si>
  <si>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</si>
  <si>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</si>
  <si>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</si>
  <si>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</si>
  <si>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</si>
  <si>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</si>
  <si>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</si>
  <si>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</si>
  <si>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</si>
  <si>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</si>
  <si>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</si>
  <si>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</si>
  <si>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</si>
  <si>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</si>
  <si>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</si>
  <si>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</si>
  <si>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</si>
  <si>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</si>
  <si>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</si>
  <si>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</si>
  <si>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</si>
  <si>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</si>
  <si>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</si>
  <si>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</si>
  <si>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</si>
  <si>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</si>
  <si>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</si>
  <si>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</si>
  <si>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</si>
  <si>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</si>
  <si>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</si>
  <si>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</si>
  <si>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</si>
  <si>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</si>
  <si>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</si>
  <si>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</si>
  <si>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</si>
  <si>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</si>
  <si>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</si>
  <si>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</si>
  <si>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</si>
  <si>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</si>
  <si>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</si>
  <si>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</si>
  <si>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</si>
  <si>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</si>
  <si>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</si>
  <si>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</si>
  <si>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</si>
  <si>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</si>
  <si>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</si>
  <si>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</si>
  <si>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</si>
  <si>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</si>
  <si>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</si>
  <si>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</si>
  <si>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</si>
  <si>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</si>
  <si>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</si>
  <si>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</si>
  <si>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</si>
  <si>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</si>
  <si>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</si>
  <si>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</si>
  <si>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</si>
  <si>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</si>
  <si>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</si>
  <si>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</si>
  <si>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</si>
  <si>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</si>
  <si>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</si>
  <si>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</si>
  <si>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</si>
  <si>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</si>
  <si>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</si>
  <si>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</si>
  <si>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</si>
  <si>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</si>
  <si>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</si>
  <si>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</si>
  <si>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</si>
  <si>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</si>
  <si>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</si>
  <si>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</si>
  <si>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</si>
  <si>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</si>
  <si>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</si>
  <si>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</si>
  <si>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</si>
  <si>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</si>
  <si>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</si>
  <si>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</si>
  <si>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</si>
  <si>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</si>
  <si>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</si>
  <si>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</si>
  <si>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</si>
  <si>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</si>
  <si>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</si>
  <si>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</si>
  <si>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</si>
  <si>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</si>
  <si>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</si>
  <si>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</si>
  <si>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</si>
  <si>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</si>
  <si>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</si>
  <si>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</si>
  <si>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</si>
  <si>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</si>
  <si>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</si>
  <si>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</si>
  <si>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</si>
  <si>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</si>
  <si>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</si>
  <si>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</si>
  <si>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</si>
  <si>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</si>
  <si>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</si>
  <si>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</si>
  <si>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</si>
  <si>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</si>
  <si>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</si>
  <si>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</si>
  <si>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</si>
  <si>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</si>
  <si>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</si>
  <si>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</si>
  <si>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</si>
  <si>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</si>
  <si>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</si>
  <si>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</si>
  <si>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</si>
  <si>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</si>
  <si>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</si>
  <si>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</si>
  <si>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</si>
  <si>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</si>
  <si>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</si>
  <si>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</si>
  <si>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</si>
  <si>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</si>
  <si>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</si>
  <si>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</si>
  <si>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</si>
  <si>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</si>
  <si>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</si>
  <si>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</si>
  <si>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</si>
  <si>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</si>
  <si>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</si>
  <si>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</si>
  <si>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</si>
  <si>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</si>
  <si>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</si>
  <si>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</si>
  <si>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</si>
  <si>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</si>
  <si>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</si>
  <si>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</si>
  <si>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</si>
  <si>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</si>
  <si>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</si>
  <si>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</si>
  <si>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</si>
  <si>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</si>
  <si>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</si>
  <si>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</si>
  <si>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</si>
  <si>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</si>
  <si>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</si>
  <si>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</si>
  <si>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</si>
  <si>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</si>
  <si>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</si>
  <si>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</si>
  <si>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</si>
  <si>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</si>
  <si>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</si>
  <si>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</si>
  <si>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</si>
  <si>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</si>
  <si>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</si>
  <si>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</si>
  <si>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</si>
  <si>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</si>
  <si>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</si>
  <si>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</si>
  <si>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</si>
  <si>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</si>
  <si>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</si>
  <si>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</si>
  <si>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</si>
  <si>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</si>
  <si>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</si>
  <si>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</si>
  <si>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</si>
  <si>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</si>
  <si>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</si>
  <si>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</si>
  <si>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</si>
  <si>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</si>
  <si>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</si>
  <si>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</si>
  <si>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</si>
  <si>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</si>
  <si>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</si>
  <si>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</si>
  <si>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</si>
  <si>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</si>
  <si>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</si>
  <si>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</si>
  <si>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</si>
  <si>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</si>
  <si>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</si>
  <si>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</si>
  <si>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</si>
  <si>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</si>
  <si>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</si>
  <si>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</si>
  <si>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</si>
  <si>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</si>
  <si>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</si>
  <si>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</si>
  <si>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</si>
  <si>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</si>
  <si>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</si>
  <si>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</si>
  <si>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</si>
  <si>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</si>
  <si>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</si>
  <si>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</si>
  <si>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</si>
  <si>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</si>
  <si>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</si>
  <si>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</si>
  <si>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</si>
  <si>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</si>
  <si>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</si>
  <si>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</si>
  <si>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</si>
  <si>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</si>
  <si>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</si>
  <si>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</si>
  <si>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</si>
  <si>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</si>
  <si>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</si>
  <si>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</si>
  <si>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</si>
  <si>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</si>
  <si>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</si>
  <si>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</si>
  <si>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</si>
  <si>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</si>
  <si>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</si>
  <si>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</si>
  <si>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</si>
  <si>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</si>
  <si>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</si>
  <si>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</si>
  <si>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</si>
  <si>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</si>
  <si>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</si>
  <si>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</si>
  <si>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</si>
  <si>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</si>
  <si>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</si>
  <si>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</si>
  <si>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</si>
  <si>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</si>
  <si>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</si>
  <si>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</si>
  <si>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</si>
  <si>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</si>
  <si>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</si>
  <si>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</si>
  <si>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</si>
  <si>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</si>
  <si>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</si>
  <si>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</si>
  <si>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</si>
  <si>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</si>
  <si>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</si>
  <si>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</si>
  <si>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</si>
  <si>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</si>
  <si>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</si>
  <si>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</si>
  <si>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</si>
  <si>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</si>
  <si>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</si>
  <si>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</si>
  <si>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</si>
  <si>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</si>
  <si>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</si>
  <si>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</si>
  <si>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</si>
  <si>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</si>
  <si>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</si>
  <si>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</si>
  <si>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</si>
  <si>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</si>
  <si>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</si>
  <si>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</si>
  <si>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</si>
  <si>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</si>
  <si>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</si>
  <si>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</si>
  <si>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</si>
  <si>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</si>
  <si>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</si>
  <si>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</si>
  <si>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</si>
  <si>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</si>
  <si>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</si>
  <si>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</si>
  <si>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</si>
  <si>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</si>
  <si>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</si>
  <si>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</si>
  <si>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</si>
  <si>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</si>
  <si>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</si>
  <si>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</si>
  <si>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</si>
  <si>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</si>
  <si>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</si>
  <si>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</si>
  <si>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</si>
  <si>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</si>
  <si>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</si>
  <si>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</si>
  <si>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</si>
  <si>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</si>
  <si>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</si>
  <si>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</si>
  <si>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</si>
  <si>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</si>
  <si>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</si>
  <si>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</si>
  <si>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</si>
  <si>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</si>
  <si>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</si>
  <si>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</si>
  <si>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</si>
  <si>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</si>
  <si>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</si>
  <si>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</si>
  <si>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</si>
  <si>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</si>
  <si>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</si>
  <si>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</si>
  <si>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</si>
  <si>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</si>
  <si>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</si>
  <si>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</si>
  <si>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</si>
  <si>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</si>
  <si>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</si>
  <si>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</si>
  <si>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</si>
  <si>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</si>
  <si>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</si>
  <si>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</si>
  <si>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</si>
  <si>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</si>
  <si>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</si>
  <si>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</si>
  <si>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</si>
  <si>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</si>
  <si>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</si>
  <si>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</si>
  <si>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</si>
  <si>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</si>
  <si>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</si>
  <si>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</si>
  <si>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</si>
  <si>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</si>
  <si>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</si>
  <si>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</si>
  <si>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</si>
  <si>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</si>
  <si>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</si>
  <si>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</si>
  <si>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</si>
  <si>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</si>
  <si>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</si>
  <si>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</si>
  <si>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</si>
  <si>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</si>
  <si>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</si>
  <si>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</si>
  <si>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</si>
  <si>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</si>
  <si>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</si>
  <si>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</si>
  <si>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</si>
  <si>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</si>
  <si>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</si>
  <si>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</si>
  <si>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</si>
  <si>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</si>
  <si>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</si>
  <si>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</si>
  <si>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</si>
  <si>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</si>
  <si>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</si>
  <si>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</si>
  <si>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</si>
  <si>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</si>
  <si>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</si>
  <si>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</si>
  <si>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</si>
  <si>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</si>
  <si>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</si>
  <si>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</si>
  <si>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</si>
  <si>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</si>
  <si>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</si>
  <si>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</si>
  <si>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</si>
  <si>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</si>
  <si>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</si>
  <si>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</si>
  <si>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</si>
  <si>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</si>
  <si>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</si>
  <si>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</si>
  <si>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</si>
  <si>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</si>
  <si>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</si>
  <si>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</si>
  <si>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</si>
  <si>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</si>
  <si>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</si>
  <si>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</si>
  <si>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</si>
  <si>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</si>
  <si>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</si>
  <si>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</si>
  <si>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</si>
  <si>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</si>
  <si>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</si>
  <si>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</si>
  <si>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</si>
  <si>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</si>
  <si>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</si>
  <si>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</si>
  <si>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</si>
  <si>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</si>
  <si>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</si>
  <si>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</si>
  <si>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</si>
  <si>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</si>
  <si>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</si>
  <si>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</si>
  <si>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</si>
  <si>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</si>
  <si>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</si>
  <si>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</si>
  <si>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</si>
  <si>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</si>
  <si>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</si>
  <si>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</si>
  <si>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</si>
  <si>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</si>
  <si>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</si>
  <si>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</si>
  <si>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</si>
  <si>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</si>
  <si>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</si>
  <si>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</si>
  <si>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</si>
  <si>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</si>
  <si>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</si>
  <si>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</si>
  <si>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</si>
  <si>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</si>
  <si>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</si>
  <si>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</si>
  <si>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</si>
  <si>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</si>
  <si>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</si>
  <si>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</si>
  <si>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</si>
  <si>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</si>
  <si>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</si>
  <si>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</si>
  <si>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</si>
  <si>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</si>
  <si>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</si>
  <si>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</si>
  <si>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</si>
  <si>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</si>
  <si>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</si>
  <si>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DESMOLDANTE PARA FORMAS METALICAS A BASE DE OLEO VEGETAL</t>
  </si>
  <si>
    <t>DESMOLDANTE PROTETOR PARA FORMAS DE MADEIRA, DE BASE OLEOSA EMULSIONADA EM AGUA</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</si>
  <si>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</si>
  <si>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</si>
  <si>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</si>
  <si>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</si>
  <si>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</si>
  <si>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</si>
  <si>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</si>
  <si>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</si>
  <si>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</si>
  <si>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</si>
  <si>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</si>
  <si>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</si>
  <si>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</si>
  <si>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</si>
  <si>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</si>
  <si>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</si>
  <si>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</si>
  <si>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</si>
  <si>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</si>
  <si>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</si>
  <si>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</si>
  <si>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</si>
  <si>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</si>
  <si>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</si>
  <si>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</si>
  <si>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</si>
  <si>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</si>
  <si>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</si>
  <si>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</si>
  <si>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</si>
  <si>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</si>
  <si>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</si>
  <si>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</si>
  <si>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</si>
  <si>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</si>
  <si>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</si>
  <si>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</si>
  <si>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</si>
  <si>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</si>
  <si>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</si>
  <si>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</si>
  <si>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</si>
  <si>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</si>
  <si>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</si>
  <si>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</si>
  <si>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</si>
  <si>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</si>
  <si>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</si>
  <si>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</si>
  <si>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</si>
  <si>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</si>
  <si>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</si>
  <si>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</si>
  <si>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</si>
  <si>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</si>
  <si>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</si>
  <si>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</si>
  <si>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</si>
  <si>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</si>
  <si>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</si>
  <si>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</si>
  <si>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</si>
  <si>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</si>
  <si>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</si>
  <si>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</si>
  <si>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</si>
  <si>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</si>
  <si>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</si>
  <si>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</si>
  <si>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</si>
  <si>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</si>
  <si>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</si>
  <si>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</si>
  <si>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</si>
  <si>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</si>
  <si>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</si>
  <si>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</si>
  <si>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</si>
  <si>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</si>
  <si>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</si>
  <si>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</si>
  <si>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</si>
  <si>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</si>
  <si>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</si>
  <si>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</si>
  <si>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</si>
  <si>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</si>
  <si>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</si>
  <si>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</si>
  <si>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</si>
  <si>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</si>
  <si>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</si>
  <si>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</si>
  <si>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</si>
  <si>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</si>
  <si>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HIGIENICA PLASTICA COM REGISTRO METALICO 1/2 "</t>
  </si>
  <si>
    <t>DUCHA METALICA DE PAREDE, ARTICULAVEL, COM BRACO/CANO, SEM DESVIADOR</t>
  </si>
  <si>
    <t>DUCHA METALICA DE PAREDE, ARTICULAVEL, COM DESVIADOR E DUCHA MANUAL</t>
  </si>
  <si>
    <t>DUMPER COM CAPACIDADE DE CARGA DE 1700 KG, PARTIDA ELETRICA, MOTOR DIESEL COM POTENCIA DE 16 CV</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</si>
  <si>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</si>
  <si>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</si>
  <si>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</si>
  <si>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</si>
  <si>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</si>
  <si>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</si>
  <si>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</si>
  <si>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</si>
  <si>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</si>
  <si>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</si>
  <si>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</si>
  <si>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</si>
  <si>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</si>
  <si>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</si>
  <si>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</si>
  <si>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</si>
  <si>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</si>
  <si>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</si>
  <si>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</si>
  <si>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</si>
  <si>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</si>
  <si>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</si>
  <si>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</si>
  <si>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</si>
  <si>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</si>
  <si>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</si>
  <si>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</si>
  <si>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</si>
  <si>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</si>
  <si>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</si>
  <si>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</si>
  <si>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</si>
  <si>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</si>
  <si>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</si>
  <si>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</si>
  <si>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</si>
  <si>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</si>
  <si>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</si>
  <si>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</si>
  <si>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</si>
  <si>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</si>
  <si>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</si>
  <si>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</si>
  <si>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</si>
  <si>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</si>
  <si>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</si>
  <si>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</si>
  <si>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</si>
  <si>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</si>
  <si>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</si>
  <si>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</si>
  <si>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</si>
  <si>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</si>
  <si>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</si>
  <si>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</si>
  <si>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</si>
  <si>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</si>
  <si>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</si>
  <si>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</si>
  <si>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</si>
  <si>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</si>
  <si>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</si>
  <si>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</si>
  <si>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</si>
  <si>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</si>
  <si>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</si>
  <si>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</si>
  <si>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</si>
  <si>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</si>
  <si>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</si>
  <si>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</si>
  <si>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EMULSAO ASFALTICA ANIONICA</t>
  </si>
  <si>
    <t>EMULSAO ASFALTICA CATIONICA RL-1C PARA USO EM PAVIMENTACAO ASFALTICA (COLETADO CAIXA NA ANP ACRESCIDO DE ICMS)</t>
  </si>
  <si>
    <t>EMULSAO ASFALTICA CATIONICA RR-2C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</si>
  <si>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</si>
  <si>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</si>
  <si>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</si>
  <si>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</si>
  <si>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</si>
  <si>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</si>
  <si>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</si>
  <si>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</si>
  <si>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</si>
  <si>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</si>
  <si>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ENERGIA ELETRICA ATE 2000 KWH INDUSTRIAL, SEM DEMANDA</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</si>
  <si>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</si>
  <si>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</si>
  <si>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</si>
  <si>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</si>
  <si>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</si>
  <si>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</si>
  <si>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</si>
  <si>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</si>
  <si>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</si>
  <si>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</si>
  <si>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</si>
  <si>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</si>
  <si>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</si>
  <si>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</si>
  <si>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</si>
  <si>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</si>
  <si>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</si>
  <si>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</si>
  <si>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</si>
  <si>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</si>
  <si>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</si>
  <si>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</si>
  <si>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HORISTA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</si>
  <si>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</si>
  <si>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</si>
  <si>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</si>
  <si>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</si>
  <si>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</si>
  <si>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</si>
  <si>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</si>
  <si>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</si>
  <si>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</si>
  <si>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</si>
  <si>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</si>
  <si>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</si>
  <si>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</si>
  <si>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</si>
  <si>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</si>
  <si>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</si>
  <si>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</si>
  <si>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</si>
  <si>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</si>
  <si>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</si>
  <si>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</si>
  <si>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</si>
  <si>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</si>
  <si>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</si>
  <si>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</si>
  <si>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</si>
  <si>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</si>
  <si>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</si>
  <si>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</si>
  <si>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</si>
  <si>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</si>
  <si>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</si>
  <si>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</si>
  <si>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</si>
  <si>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</si>
  <si>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</si>
  <si>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</si>
  <si>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</si>
  <si>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</si>
  <si>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</si>
  <si>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</si>
  <si>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</si>
  <si>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</si>
  <si>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</si>
  <si>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</si>
  <si>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</si>
  <si>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</si>
  <si>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</si>
  <si>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</si>
  <si>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</si>
  <si>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</si>
  <si>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</si>
  <si>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</si>
  <si>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</si>
  <si>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</si>
  <si>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</si>
  <si>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</si>
  <si>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</si>
  <si>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</si>
  <si>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</si>
  <si>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</si>
  <si>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</si>
  <si>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</si>
  <si>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</si>
  <si>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</si>
  <si>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</si>
  <si>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</si>
  <si>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</si>
  <si>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</si>
  <si>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</si>
  <si>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</si>
  <si>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</si>
  <si>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</si>
  <si>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</si>
  <si>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</si>
  <si>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</si>
  <si>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</si>
  <si>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</si>
  <si>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</si>
  <si>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</si>
  <si>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</si>
  <si>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t>
  </si>
  <si>
    <t>EXAMES - MENSALISTA (COLETADO CAIXA)</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</si>
  <si>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</si>
  <si>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</si>
  <si>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</si>
  <si>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</si>
  <si>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</si>
  <si>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</si>
  <si>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</si>
  <si>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</si>
  <si>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</si>
  <si>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</si>
  <si>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</si>
  <si>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</si>
  <si>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</si>
  <si>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</si>
  <si>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</si>
  <si>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</si>
  <si>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</si>
  <si>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</si>
  <si>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</si>
  <si>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</si>
  <si>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</si>
  <si>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FECHO / FECHADURA COM PUXADOR CONCHA, COM TRANCA TIPO TRAVA, PARA JANELA / PORTA DE CORRER (INCLUI TESTA, FECHADURA, PUXADOR) - COMPLETA</t>
  </si>
  <si>
    <t>FECHO DE SEGURANCA, TIPO BATOM, EM LATAO / ZAMAC, CROMADO, PARA PORTAS E JANELAS - INCLUI PARAFUSOS</t>
  </si>
  <si>
    <t>FELTRO EM LA DE ROCHA, 1 FACE REVESTIDA COM PAPEL ALUMINIZADO, EM ROLO, DENSIDADE = 32 KG/M3, E=*50* MM (COLETADO CAIXA)</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</si>
  <si>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</si>
  <si>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</si>
  <si>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</si>
  <si>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</si>
  <si>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</si>
  <si>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</si>
  <si>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</si>
  <si>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</si>
  <si>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</si>
  <si>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</si>
  <si>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</si>
  <si>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</si>
  <si>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</si>
  <si>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</si>
  <si>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</si>
  <si>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</si>
  <si>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</si>
  <si>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</si>
  <si>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</si>
  <si>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</si>
  <si>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</si>
  <si>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</si>
  <si>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</si>
  <si>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</si>
  <si>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</si>
  <si>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</si>
  <si>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</si>
  <si>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</si>
  <si>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</si>
  <si>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</si>
  <si>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</si>
  <si>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</si>
  <si>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</si>
  <si>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</si>
  <si>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</si>
  <si>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</si>
  <si>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</si>
  <si>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</si>
  <si>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</si>
  <si>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</si>
  <si>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</si>
  <si>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</si>
  <si>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</si>
  <si>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</si>
  <si>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</si>
  <si>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</si>
  <si>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</si>
  <si>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</si>
  <si>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</si>
  <si>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</si>
  <si>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</si>
  <si>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</si>
  <si>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</si>
  <si>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</si>
  <si>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</si>
  <si>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</si>
  <si>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</si>
  <si>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ZEBRADA PARA DEMARCACAO DE AREAS, LARGURA = 7 CM, SEM ADESIVO (COLETADO CAIXA)</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</si>
  <si>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</si>
  <si>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</si>
  <si>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</si>
  <si>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</si>
  <si>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</si>
  <si>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</si>
  <si>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</si>
  <si>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</si>
  <si>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</si>
  <si>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</si>
  <si>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</si>
  <si>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</si>
  <si>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</si>
  <si>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</si>
  <si>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</si>
  <si>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</si>
  <si>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</si>
  <si>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</si>
  <si>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</si>
  <si>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</si>
  <si>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</si>
  <si>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</si>
  <si>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</si>
  <si>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</si>
  <si>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</si>
  <si>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</si>
  <si>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</si>
  <si>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</si>
  <si>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</si>
  <si>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</si>
  <si>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</si>
  <si>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</si>
  <si>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</si>
  <si>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</si>
  <si>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</si>
  <si>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</si>
  <si>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</si>
  <si>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</si>
  <si>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</si>
  <si>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</si>
  <si>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</si>
  <si>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</si>
  <si>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</si>
  <si>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</si>
  <si>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</si>
  <si>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</si>
  <si>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</si>
  <si>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</si>
  <si>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</si>
  <si>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</si>
  <si>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</si>
  <si>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</si>
  <si>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</si>
  <si>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</si>
  <si>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</si>
  <si>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</si>
  <si>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</si>
  <si>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</si>
  <si>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</si>
  <si>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</si>
  <si>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</si>
  <si>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</si>
  <si>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</si>
  <si>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</si>
  <si>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</si>
  <si>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</si>
  <si>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</si>
  <si>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</si>
  <si>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</si>
  <si>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</si>
  <si>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</si>
  <si>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</si>
  <si>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</si>
  <si>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</si>
  <si>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</si>
  <si>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</si>
  <si>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</si>
  <si>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</si>
  <si>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</si>
  <si>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</si>
  <si>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</si>
  <si>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</si>
  <si>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</si>
  <si>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</si>
  <si>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</si>
  <si>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</si>
  <si>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</si>
  <si>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</si>
  <si>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</si>
  <si>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</si>
  <si>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t>
  </si>
  <si>
    <t>GESSEIRO (MENSALISTA)</t>
  </si>
  <si>
    <t>GESSO PROJETADO</t>
  </si>
  <si>
    <t>GONZO DE EMBUTIR, EM LATAO / ZAMAC, *20 X 48* MM, PARA JANELA BASCULANTE / PIVOTANTE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</si>
  <si>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</si>
  <si>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</si>
  <si>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</si>
  <si>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</si>
  <si>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</si>
  <si>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</si>
  <si>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</si>
  <si>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</si>
  <si>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</si>
  <si>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</si>
  <si>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</si>
  <si>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</si>
  <si>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</si>
  <si>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</si>
  <si>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</si>
  <si>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</si>
  <si>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</si>
  <si>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</si>
  <si>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</si>
  <si>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</si>
  <si>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</si>
  <si>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</si>
  <si>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</si>
  <si>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</si>
  <si>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</si>
  <si>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</si>
  <si>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</si>
  <si>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</si>
  <si>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GRELHA PVC BRANCA QUADRADA, 150 X 150 MM</t>
  </si>
  <si>
    <t>GRELHA PVC CROMADA REDONDA, 150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</si>
  <si>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</si>
  <si>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</si>
  <si>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</si>
  <si>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</si>
  <si>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</si>
  <si>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</si>
  <si>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</si>
  <si>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</si>
  <si>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</si>
  <si>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</si>
  <si>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</si>
  <si>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</si>
  <si>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</si>
  <si>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</si>
  <si>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</si>
  <si>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</si>
  <si>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</si>
  <si>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ALIZAR/ VISTA MACICA, E= *1* CM, L= *4,5* CM, EM CEDRINHO/ ANGELIM COMERCIAL/  EUCALIPTO/ CURUPIXA/ PEROBA/ CUMARU OU EQUIVALENTE DA REGIAO</t>
  </si>
  <si>
    <t>GUARNICAO/ ALIZAR/ VISTA MACICA, E= *1* CM, L= *4,5* CM, EM PINUS/ TAUARI/ VIROLA OU EQUIVALENTE DA REGIAO</t>
  </si>
  <si>
    <t>GUARNICAO/ALIZAR/VISTA, E = *1,3* CM, L = *5,0* CM HASTE REGULAVEL = *35* MM, EM MDF/PVC WOOD/ POLIESTIRENO OU MADEIRA LAMINADA, PRIMER BRANCO</t>
  </si>
  <si>
    <t>GUARNICAO/ALIZAR/VISTA, E = *1,3* CM, L = *7,0* CM, EM POLIESTIRENO, BRANCO</t>
  </si>
  <si>
    <t>GUARNICAO/ALIZAR/VISTA, E = *1,5* CM, L = *5,0* CM, EM POLIESTIRENO, BRANCO</t>
  </si>
  <si>
    <t>GUARNICAO/MOLDURA DE ACABAMENTO PARA ESQUADRIA DE ALUMINIO ANODIZADO NATURAL,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</si>
  <si>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</si>
  <si>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</si>
  <si>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</si>
  <si>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</si>
  <si>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</si>
  <si>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</si>
  <si>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</si>
  <si>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</si>
  <si>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</si>
  <si>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</si>
  <si>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</si>
  <si>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</si>
  <si>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</si>
  <si>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</si>
  <si>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</si>
  <si>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</si>
  <si>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</si>
  <si>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</si>
  <si>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</si>
  <si>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</si>
  <si>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</si>
  <si>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</si>
  <si>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</si>
  <si>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</si>
  <si>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</si>
  <si>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</si>
  <si>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</si>
  <si>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</si>
  <si>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</si>
  <si>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</si>
  <si>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t>
  </si>
  <si>
    <t>IMPERMEABILIZADOR (MENSALISTA)</t>
  </si>
  <si>
    <t>IMPERMEABILIZANTE FLEXIVEL BRANCO DE BASE ACRILICA PARA COBERTURAS</t>
  </si>
  <si>
    <t>IMPERMEABILIZANTE INCOLOR PARA TRATAMENTO DE FACHADAS E TELHAS, BASE SILICONE</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</si>
  <si>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</si>
  <si>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</si>
  <si>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</si>
  <si>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</si>
  <si>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</si>
  <si>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</si>
  <si>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</si>
  <si>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</si>
  <si>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</si>
  <si>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</si>
  <si>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</si>
  <si>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</si>
  <si>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</si>
  <si>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</si>
  <si>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</si>
  <si>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</si>
  <si>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</si>
  <si>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</si>
  <si>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</si>
  <si>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</si>
  <si>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</si>
  <si>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</si>
  <si>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</si>
  <si>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</si>
  <si>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</si>
  <si>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</si>
  <si>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</si>
  <si>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</si>
  <si>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</si>
  <si>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</si>
  <si>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</si>
  <si>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</si>
  <si>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ALUMINIO, 80 X 60 CM (A X L), ACABAMENTO ACET OU BRILHANTE, BATENTE/REQUADRO DE 3 A 14 CM, COM VIDRO, SEM GUARNICAO/ALIZAR</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</si>
  <si>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</si>
  <si>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</si>
  <si>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</si>
  <si>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</si>
  <si>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</si>
  <si>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VENEZIANA, 120 X 120 CM (A X L), 3 FLS (2 VENEZIANAS E 1 VIDRO), SEM BANDEIRA,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</si>
  <si>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</si>
  <si>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JANELA DE CORRER EM ALUMINIO, 100 X 120 CM (A X L), 2 FLS,  SEM BANDEIRA,  ACABAMENTO ACET OU BRILHANTE, BATENTE/REQUADRO DE 6 A 14 CM, COM VIDRO, SEM GUARNICAO</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</si>
  <si>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</si>
  <si>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</si>
  <si>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200 CM, 4 FLS,  BANDEIRA COM BASCULA,  ACABAMENTO ACET OU BRILHANTE, BATENTE/REQUADRO DE 6 A 14 CM, COM VIDRO, SEM GUARNICAO/ALIZAR</t>
  </si>
  <si>
    <t>JANELA DE CORRER EM ALUMINIO, 120 X 150 CM (A X L), 4 FLS, BANDEIRA COM BASCULA,  ACABAMENTO ACET OU BRILHANTE, BATENTE/REQUADRO DE 6 A 14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</si>
  <si>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</si>
  <si>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</si>
  <si>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</si>
  <si>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</si>
  <si>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60  X 80 CM (A X L), BATENTE/REQUADRO DE 3 A 14 CM, COM VIDRO, SEM GUARNICAO/ALIZAR</t>
  </si>
  <si>
    <t>JANELA MAXIM AR EM ALUMINIO, 80 X 60 CM (A X L), BATENTE/REQUADRO DE 4 A 14 CM, COM VIDRO,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</si>
  <si>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</si>
  <si>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</si>
  <si>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</si>
  <si>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</si>
  <si>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</si>
  <si>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</si>
  <si>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</si>
  <si>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</si>
  <si>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</si>
  <si>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</si>
  <si>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</si>
  <si>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</si>
  <si>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</si>
  <si>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</si>
  <si>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</si>
  <si>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</si>
  <si>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</si>
  <si>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</si>
  <si>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</si>
  <si>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</si>
  <si>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</si>
  <si>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</si>
  <si>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</si>
  <si>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</si>
  <si>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</si>
  <si>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</si>
  <si>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</si>
  <si>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</si>
  <si>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</si>
  <si>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</si>
  <si>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</si>
  <si>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</si>
  <si>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</si>
  <si>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</si>
  <si>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</si>
  <si>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</si>
  <si>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</si>
  <si>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</si>
  <si>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</si>
  <si>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</si>
  <si>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</si>
  <si>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</si>
  <si>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</si>
  <si>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</si>
  <si>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</si>
  <si>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</si>
  <si>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</si>
  <si>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</si>
  <si>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</si>
  <si>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</si>
  <si>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</si>
  <si>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</si>
  <si>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</si>
  <si>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</si>
  <si>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</si>
  <si>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</si>
  <si>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</si>
  <si>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</si>
  <si>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</si>
  <si>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</si>
  <si>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</si>
  <si>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</si>
  <si>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</si>
  <si>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</si>
  <si>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</si>
  <si>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</si>
  <si>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</si>
  <si>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</si>
  <si>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</si>
  <si>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</si>
  <si>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</si>
  <si>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</si>
  <si>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</si>
  <si>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</si>
  <si>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</si>
  <si>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</si>
  <si>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</si>
  <si>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</si>
  <si>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</si>
  <si>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</si>
  <si>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</si>
  <si>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</si>
  <si>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</si>
  <si>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</si>
  <si>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</si>
  <si>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</si>
  <si>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</si>
  <si>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</si>
  <si>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</si>
  <si>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</si>
  <si>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</si>
  <si>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</si>
  <si>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</si>
  <si>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</si>
  <si>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</si>
  <si>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</si>
  <si>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</si>
  <si>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</si>
  <si>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</si>
  <si>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</si>
  <si>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</si>
  <si>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</si>
  <si>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</si>
  <si>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</si>
  <si>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</si>
  <si>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</si>
  <si>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</si>
  <si>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</si>
  <si>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</si>
  <si>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</si>
  <si>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</si>
  <si>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</si>
  <si>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</si>
  <si>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</si>
  <si>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</si>
  <si>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</si>
  <si>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</si>
  <si>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</si>
  <si>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</si>
  <si>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</si>
  <si>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</si>
  <si>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</si>
  <si>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</si>
  <si>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SOLDAVEL, 45 GRAUS, 110 MM,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</si>
  <si>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</si>
  <si>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</si>
  <si>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</si>
  <si>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</si>
  <si>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</si>
  <si>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</si>
  <si>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</si>
  <si>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</si>
  <si>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</si>
  <si>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</si>
  <si>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</si>
  <si>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</si>
  <si>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</si>
  <si>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</si>
  <si>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</si>
  <si>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</si>
  <si>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</si>
  <si>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</si>
  <si>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</si>
  <si>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</si>
  <si>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</si>
  <si>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</si>
  <si>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</si>
  <si>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</si>
  <si>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</si>
  <si>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</si>
  <si>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</si>
  <si>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</si>
  <si>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</si>
  <si>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</si>
  <si>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</si>
  <si>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</si>
  <si>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</si>
  <si>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</si>
  <si>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</si>
  <si>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</si>
  <si>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</si>
  <si>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</si>
  <si>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</si>
  <si>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</si>
  <si>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</si>
  <si>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</si>
  <si>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</si>
  <si>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</si>
  <si>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</si>
  <si>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</si>
  <si>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</si>
  <si>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</si>
  <si>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</si>
  <si>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</si>
  <si>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</si>
  <si>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</si>
  <si>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</si>
  <si>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</si>
  <si>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</si>
  <si>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</si>
  <si>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</si>
  <si>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</si>
  <si>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</si>
  <si>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</si>
  <si>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</si>
  <si>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</si>
  <si>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</si>
  <si>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</si>
  <si>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</si>
  <si>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</si>
  <si>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</si>
  <si>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</si>
  <si>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</si>
  <si>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</si>
  <si>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</si>
  <si>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</si>
  <si>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</si>
  <si>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</si>
  <si>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</si>
  <si>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</si>
  <si>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</si>
  <si>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</si>
  <si>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</si>
  <si>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</si>
  <si>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</si>
  <si>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</si>
  <si>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</si>
  <si>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</si>
  <si>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</si>
  <si>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</si>
  <si>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</si>
  <si>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</si>
  <si>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</si>
  <si>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</si>
  <si>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</si>
  <si>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</si>
  <si>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</si>
  <si>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</si>
  <si>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T10, DE 20 OU 40 W, BIVOLT</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</si>
  <si>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</si>
  <si>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</si>
  <si>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</si>
  <si>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</si>
  <si>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</si>
  <si>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</si>
  <si>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</si>
  <si>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</si>
  <si>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</si>
  <si>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</si>
  <si>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</si>
  <si>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</si>
  <si>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</si>
  <si>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</si>
  <si>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</si>
  <si>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</si>
  <si>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LAVATORIO DE CANTO LOUCA BRANCA SUSPENSO *40 X 30* CM</t>
  </si>
  <si>
    <t>LAVATORIO LOUCA BRANCA COM COLUNA *44 X 35,5* CM</t>
  </si>
  <si>
    <t>LAVATORIO LOUCA BRANCA COM COLUNA *54 X 44* CM</t>
  </si>
  <si>
    <t>LAVATORIO LOUCA BRANCA SUSPENSO *40 X 30* CM</t>
  </si>
  <si>
    <t>LAVATORIO LOUCA COR COM COLUNA *54 X 44* CM</t>
  </si>
  <si>
    <t>LAVATORIO LOUCA COR SUSPENSO *40 X 30* CM</t>
  </si>
  <si>
    <t>LAVATORIO/CUBA DE EMBUTIR OVAL LOUCA BRANCA SEM LADRAO *50 X 35* CM</t>
  </si>
  <si>
    <t>LAVATORIO/CUBA DE EMBUTIR OVAL LOUCA COR SEM LADRAO *50 X 35* CM</t>
  </si>
  <si>
    <t>LAVATORIO/CUBA DE SOBREPOR OVAL PEQUENA LOUCA BRANCA SEM LADRAO *31 X 44*</t>
  </si>
  <si>
    <t>LAVATORIO/CUBA DE SOBREPOR RETANGULAR LOUCA BRANCA COM LADRAO *52 X 45* CM</t>
  </si>
  <si>
    <t>LAVATORIO/CUBA DE SOBREPOR RETANGULAR LOUCA COR COM LADRAO *52 X 45* CM</t>
  </si>
  <si>
    <t>LEITURISTA OU CADASTRISTA DE REDES DE AGUA E ESGOTO</t>
  </si>
  <si>
    <t>LEITURISTA OU CADASTRISTA DE REDES DE AGUA E ESGOTO (MENSALISTA)</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</si>
  <si>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</si>
  <si>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</si>
  <si>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</si>
  <si>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</si>
  <si>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</si>
  <si>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</si>
  <si>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</si>
  <si>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</si>
  <si>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</si>
  <si>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</si>
  <si>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</si>
  <si>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</si>
  <si>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</si>
  <si>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ALTURA POR PECA DE 2,0 M, INCLUINDO SAPATAS E ITENS NECESSARIOS A INSTALACAO</t>
  </si>
  <si>
    <t>M2XMES</t>
  </si>
  <si>
    <t xml:space="preserve">MXMES </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</si>
  <si>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</si>
  <si>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</si>
  <si>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</si>
  <si>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</si>
  <si>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</si>
  <si>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</si>
  <si>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</si>
  <si>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</si>
  <si>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</si>
  <si>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</si>
  <si>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</si>
  <si>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LOCACAO DE CONTAINER 2,30  X  6,00 M, ALT. 2,50 M, PARA ESCRITORIO, SEM DIVISORIAS INTERNAS E SEM SANITARIO</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</si>
  <si>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</si>
  <si>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</si>
  <si>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</si>
  <si>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</si>
  <si>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ELEVADOR DE CARGA A CABO, CABINE SEMI FECHADA *2,0* X *1,5* X *2,0* M, CAPACIDADE DE CARGA 1000 KG, TORRE  *2,38* X *2,21* X 15 M, GUINCHO DE EMBREAGEM, FREIO DE SEGURANCA, LIMITADOR DE VELOCIDADE E CANCELA</t>
  </si>
  <si>
    <t>LOCACAO DE ELEVADOR DE CREMALHEIRA CABINE SIMPLES FECHADA 1,5 X 2,5 X 2,35 M (UMA POR TORRE), CAPACIDADE DE CARGA *1200* KG (15 PESSOAS), TORRE DE 24 M (16 MODULOS), 16 PARADAS, FREIO DE SEGURANCA, LIMITADOR DE CARGA</t>
  </si>
  <si>
    <t>LOCACAO DE ESCORA METALICA TELESCOPICA, COM ALTURA REGULAVEL DE *1,80* A *3,20* M, COM CAPACIDADE DE CARGA DE NO MINIMO 1000 KGF (10 KN), INCLUSO TRIPE E FORCADO</t>
  </si>
  <si>
    <t>LOCACAO DE FORMA PLASTICA PARA LAJE NERVURADA, DIMENSOES *60* X *60* X *16* CM</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</si>
  <si>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</si>
  <si>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</si>
  <si>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</si>
  <si>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</si>
  <si>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</si>
  <si>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LOCACAO DE TEODOLITO ELETRONICO, PRECISAO ANGULAR DE 5 A 7 SEGUNDOS, INCLUINDO TRIPE</t>
  </si>
  <si>
    <t>LOCACAO DE TORRE METALICA COMPLETA PARA UMA CARGA DE 8 TF (80 KN)  E PE DIREITO DE 6 M, INCLUINDO MODULOS , DIAGONAIS, SAPATAS E FORCADOS</t>
  </si>
  <si>
    <t>LOCACAO DE VIGA SANDUICHE METALICA VAZADA PARA TRAVAMENTO DE PILARES, ALTURA DE *8* CM, LARGURA DE *6* CM E EXTENSAO DE 2 M</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</si>
  <si>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</si>
  <si>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</si>
  <si>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</si>
  <si>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</si>
  <si>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</si>
  <si>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</si>
  <si>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</si>
  <si>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</si>
  <si>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</si>
  <si>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</si>
  <si>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</si>
  <si>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</si>
  <si>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</si>
  <si>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</si>
  <si>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</si>
  <si>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</si>
  <si>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</si>
  <si>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</si>
  <si>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</si>
  <si>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</si>
  <si>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</si>
  <si>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</si>
  <si>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</si>
  <si>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</si>
  <si>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</si>
  <si>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</si>
  <si>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</si>
  <si>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</si>
  <si>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</si>
  <si>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</si>
  <si>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</si>
  <si>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</si>
  <si>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</si>
  <si>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</si>
  <si>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</si>
  <si>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</si>
  <si>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</si>
  <si>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</si>
  <si>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</si>
  <si>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</si>
  <si>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</si>
  <si>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</si>
  <si>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</si>
  <si>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</si>
  <si>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</si>
  <si>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</si>
  <si>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</si>
  <si>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</si>
  <si>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</si>
  <si>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</si>
  <si>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</si>
  <si>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</si>
  <si>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</si>
  <si>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</si>
  <si>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</si>
  <si>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</si>
  <si>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</si>
  <si>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</si>
  <si>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</si>
  <si>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</si>
  <si>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</si>
  <si>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</si>
  <si>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</si>
  <si>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</si>
  <si>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</si>
  <si>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</si>
  <si>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</si>
  <si>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</si>
  <si>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</si>
  <si>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</si>
  <si>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</si>
  <si>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</si>
  <si>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</si>
  <si>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</si>
  <si>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</si>
  <si>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</si>
  <si>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</si>
  <si>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</si>
  <si>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</si>
  <si>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</si>
  <si>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</si>
  <si>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</si>
  <si>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</si>
  <si>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</si>
  <si>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</si>
  <si>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</si>
  <si>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</si>
  <si>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</si>
  <si>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</si>
  <si>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</si>
  <si>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</si>
  <si>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</si>
  <si>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</si>
  <si>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</si>
  <si>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</si>
  <si>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</si>
  <si>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</si>
  <si>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</si>
  <si>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</si>
  <si>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</si>
  <si>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</si>
  <si>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</si>
  <si>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</si>
  <si>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</si>
  <si>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</si>
  <si>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</si>
  <si>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</si>
  <si>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</si>
  <si>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</si>
  <si>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</si>
  <si>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</si>
  <si>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</si>
  <si>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</si>
  <si>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</si>
  <si>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</si>
  <si>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</si>
  <si>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</si>
  <si>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</si>
  <si>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</si>
  <si>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</si>
  <si>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</si>
  <si>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</si>
  <si>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</si>
  <si>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</si>
  <si>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</si>
  <si>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</si>
  <si>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</si>
  <si>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</si>
  <si>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</si>
  <si>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</si>
  <si>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</si>
  <si>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</si>
  <si>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</si>
  <si>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</si>
  <si>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</si>
  <si>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</si>
  <si>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</si>
  <si>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</si>
  <si>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</si>
  <si>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</si>
  <si>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</si>
  <si>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</si>
  <si>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</si>
  <si>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</si>
  <si>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</si>
  <si>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</si>
  <si>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</si>
  <si>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</si>
  <si>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</si>
  <si>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</si>
  <si>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</si>
  <si>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</si>
  <si>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</si>
  <si>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</si>
  <si>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</si>
  <si>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</si>
  <si>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</si>
  <si>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</si>
  <si>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</si>
  <si>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</si>
  <si>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</si>
  <si>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</si>
  <si>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</si>
  <si>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</si>
  <si>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</si>
  <si>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</si>
  <si>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</si>
  <si>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</si>
  <si>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</si>
  <si>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</si>
  <si>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</si>
  <si>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</si>
  <si>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</si>
  <si>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</si>
  <si>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</si>
  <si>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</si>
  <si>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</si>
  <si>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</si>
  <si>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</si>
  <si>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</si>
  <si>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</si>
  <si>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</si>
  <si>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</si>
  <si>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</si>
  <si>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</si>
  <si>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</si>
  <si>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</si>
  <si>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</si>
  <si>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</si>
  <si>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</si>
  <si>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</si>
  <si>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</si>
  <si>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</si>
  <si>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</si>
  <si>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</si>
  <si>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</si>
  <si>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</si>
  <si>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</si>
  <si>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</si>
  <si>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</si>
  <si>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</si>
  <si>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</si>
  <si>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</si>
  <si>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</si>
  <si>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</si>
  <si>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</si>
  <si>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</si>
  <si>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</si>
  <si>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</si>
  <si>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</si>
  <si>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</si>
  <si>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</si>
  <si>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</si>
  <si>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</si>
  <si>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</si>
  <si>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</si>
  <si>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</si>
  <si>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</si>
  <si>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</si>
  <si>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</si>
  <si>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</si>
  <si>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</si>
  <si>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</si>
  <si>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</si>
  <si>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</si>
  <si>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</si>
  <si>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</si>
  <si>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</si>
  <si>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</si>
  <si>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</si>
  <si>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</si>
  <si>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</si>
  <si>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</si>
  <si>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</si>
  <si>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</si>
  <si>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</si>
  <si>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SIMPLES / OCA, CROMADA, COMPRIMENTO DE 10 A 16 CM, ACABAMENTO PADRAO POPULAR - SOMENTE MACANETAS</t>
  </si>
  <si>
    <t>MACARICO DE SOLDA 201 PARA EXTENSAO GLP OU ACETILENO</t>
  </si>
  <si>
    <t>MACARIQUEIRO</t>
  </si>
  <si>
    <t>MACARIQUEIRO (MENSALISTA)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</si>
  <si>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</si>
  <si>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</si>
  <si>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</si>
  <si>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</si>
  <si>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</si>
  <si>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</si>
  <si>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</si>
  <si>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</si>
  <si>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</si>
  <si>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</si>
  <si>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</si>
  <si>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</si>
  <si>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</si>
  <si>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</si>
  <si>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</si>
  <si>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</si>
  <si>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</si>
  <si>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</si>
  <si>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</si>
  <si>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</si>
  <si>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</si>
  <si>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</si>
  <si>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</si>
  <si>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</si>
  <si>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</si>
  <si>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</si>
  <si>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</si>
  <si>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</si>
  <si>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</si>
  <si>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</si>
  <si>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</si>
  <si>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</si>
  <si>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</si>
  <si>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</si>
  <si>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</si>
  <si>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</si>
  <si>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</si>
  <si>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</si>
  <si>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</si>
  <si>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</si>
  <si>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</si>
  <si>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</si>
  <si>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</si>
  <si>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</si>
  <si>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</si>
  <si>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</si>
  <si>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</si>
  <si>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</si>
  <si>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</si>
  <si>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</si>
  <si>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</si>
  <si>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</si>
  <si>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</si>
  <si>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</si>
  <si>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</si>
  <si>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</si>
  <si>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</si>
  <si>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</si>
  <si>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</si>
  <si>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</si>
  <si>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</si>
  <si>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</si>
  <si>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t>
  </si>
  <si>
    <t>MARCENEIRO (MENSALISTA)</t>
  </si>
  <si>
    <t>MARMORISTA / GRANITEIRO</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</si>
  <si>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</si>
  <si>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</si>
  <si>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</si>
  <si>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</si>
  <si>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</si>
  <si>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</si>
  <si>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</si>
  <si>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</si>
  <si>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</si>
  <si>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</si>
  <si>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</si>
  <si>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DE REJUNTE PRONTA PARA TRATAMENTO DE JUNTAS DE CHAPA DE GESSO PARA DRYWALL, SEM ADICAO DE AGUA</t>
  </si>
  <si>
    <t>MASSA EPOXI BICOMPONENTE (MASSA + CATALIZADOR)</t>
  </si>
  <si>
    <t>MASSA EPOXI BICOMPONENTE PARA REPAROS</t>
  </si>
  <si>
    <t>MASSA PARA TEXTURA LISA DE BASE ACRILICA, USO INTERNO E EXTERNO</t>
  </si>
  <si>
    <t>MASSA PARA TEXTURA RUSTICA DE BASE ACRILICA, COR BRANCA, USO INTERNO E EXTERNO</t>
  </si>
  <si>
    <t>MASSA PARA VIDRO</t>
  </si>
  <si>
    <t>MASSA PLASTICA PARA MARMORE/GRANITO</t>
  </si>
  <si>
    <t>MASTRO SIMPLES GALVANIZADO DIAMETRO NOMINAL 1 1/2", COMPRIMENTO 3 M</t>
  </si>
  <si>
    <t>MASTRO SIMPLES GALVANIZADO DIAMETRO NOMINAL 2", COMPRIMENTO 3 M</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</si>
  <si>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</si>
  <si>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</si>
  <si>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</si>
  <si>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</si>
  <si>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</si>
  <si>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</si>
  <si>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</si>
  <si>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</si>
  <si>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</si>
  <si>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MEIO BLOCO ESTRUTURAL CERAMICO 14 X 19 X 14 CM, 6,0 MPA (NBR 15270)</t>
  </si>
  <si>
    <t>MEIO BLOCO ESTRUTURAL CERAMICO 14 X 19 X 19 CM, 6,0 MPA (NBR 15270)</t>
  </si>
  <si>
    <t>MEIO-FIO OU GUIA DE CONCRETO, PRE-MOLDADO, COMP 1 M, *30 X 15* CM (H X L)</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</si>
  <si>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</si>
  <si>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</si>
  <si>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</si>
  <si>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</si>
  <si>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</si>
  <si>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</si>
  <si>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</si>
  <si>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</si>
  <si>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</si>
  <si>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</si>
  <si>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SIFONADO LOUCA BRANCA SEM COMPLEMENTOS</t>
  </si>
  <si>
    <t>MICTORIO SIFONADO LOUCA COR SEM COMPLEMENTOS</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</si>
  <si>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</si>
  <si>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</si>
  <si>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</si>
  <si>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</si>
  <si>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</si>
  <si>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</si>
  <si>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BASE PARA CHUVEIRO/BANHEIRA, 1/2 " OU 3/4 ", SOLDAVEL OU ROSCAVEL</t>
  </si>
  <si>
    <t>MISTURADOR CROMADO DE MESA BICA BAIXA PARA LAVATORIO (REF 1875)</t>
  </si>
  <si>
    <t>MISTURADOR CROMADO DE PAREDE PARA LAVATORIO (REF 1178)</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</si>
  <si>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</si>
  <si>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</si>
  <si>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</si>
  <si>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PAREDE CROMADO PARA COZINHA BICA MOVEL COM AREJADOR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</si>
  <si>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</si>
  <si>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</si>
  <si>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E ACABAMENTO CROMADO</t>
  </si>
  <si>
    <t>MONTADOR DE ELETROELETRONICOS</t>
  </si>
  <si>
    <t>MONTADOR DE ELETROELETRONICOS (MENSALISTA)</t>
  </si>
  <si>
    <t>MONTADOR DE ESTRUTURAS METALICAS</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</si>
  <si>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</si>
  <si>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</si>
  <si>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</si>
  <si>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</si>
  <si>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</si>
  <si>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</si>
  <si>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</si>
  <si>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</si>
  <si>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</si>
  <si>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</si>
  <si>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</si>
  <si>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</si>
  <si>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</si>
  <si>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</si>
  <si>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</si>
  <si>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</si>
  <si>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</si>
  <si>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</si>
  <si>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</si>
  <si>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</si>
  <si>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</si>
  <si>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</si>
  <si>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</si>
  <si>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</si>
  <si>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</si>
  <si>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</si>
  <si>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</si>
  <si>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MOTOSSERRA PORTATIL COM MOTOR A GASOLINA DE *60* CC</t>
  </si>
  <si>
    <t>MOURAO CONCRETO CURVO, SECAO "T", H = 2,80 M + CURVA COM 0,45 M, COM FUROS PARA FIOS</t>
  </si>
  <si>
    <t>MOURAO DE CONCRETO RETO, TIPO ESTICADOR, *10 X 10* CM, H= 2,50 M</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</si>
  <si>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</si>
  <si>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</si>
  <si>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</si>
  <si>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</si>
  <si>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</si>
  <si>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</si>
  <si>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</si>
  <si>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</si>
  <si>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</si>
  <si>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</si>
  <si>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</si>
  <si>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</si>
  <si>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</si>
  <si>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</si>
  <si>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</si>
  <si>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</si>
  <si>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</si>
  <si>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</si>
  <si>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</si>
  <si>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</si>
  <si>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</si>
  <si>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</si>
  <si>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</si>
  <si>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</si>
  <si>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</si>
  <si>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</si>
  <si>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</si>
  <si>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</si>
  <si>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</si>
  <si>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</si>
  <si>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</si>
  <si>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</si>
  <si>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</si>
  <si>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</si>
  <si>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</si>
  <si>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</si>
  <si>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</si>
  <si>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</si>
  <si>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</si>
  <si>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</si>
  <si>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</si>
  <si>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</si>
  <si>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</si>
  <si>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</si>
  <si>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</si>
  <si>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</si>
  <si>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</si>
  <si>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</si>
  <si>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</si>
  <si>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</si>
  <si>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</si>
  <si>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OCULOS DE SEGURANCA CONTRA IMPACTOS COM LENTE INCOLOR, ARMACAO NYLON, COM PROTECAO UVA E UVB</t>
  </si>
  <si>
    <t>OLEO COMBUSTIVEL BPF A GRANEL</t>
  </si>
  <si>
    <t>OLEO DIESEL COMBUSTIVEL COMUM</t>
  </si>
  <si>
    <t>OLEO LUBRIFICANTE PARA MOTORES DE EQUIPAMENTOS PESADOS (CAMINHOES, TRATORES, RETROS E ETC)</t>
  </si>
  <si>
    <t>OPERADOR DE BATE-ESTACAS</t>
  </si>
  <si>
    <t>OPERADOR DE BATE-ESTACAS (MENSALISTA)</t>
  </si>
  <si>
    <t>OPERADOR DE BETONEIRA (CAMINHAO)</t>
  </si>
  <si>
    <t>OPERADOR DE BETONEIRA (CAMINHAO) (MENSALISTA)</t>
  </si>
  <si>
    <t>OPERADOR DE BETONEIRA ESTACIONARIA / MISTURADOR (MENSALISTA)</t>
  </si>
  <si>
    <t>OPERADOR DE COMPRESSOR DE AR OU COMPRESSORISTA</t>
  </si>
  <si>
    <t>OPERADOR DE COMPRESSOR DE AR OU COMPRESSORISTA (MENSALISTA)</t>
  </si>
  <si>
    <t>OPERADOR DE DEMARCADORA DE FAIXAS DE TRAFEGO</t>
  </si>
  <si>
    <t>OPERADOR DE DEMARCADORA DE FAIXAS DE TRAFEGO (MENSALISTA)</t>
  </si>
  <si>
    <t>OPERADOR DE ESCAVADEIRA</t>
  </si>
  <si>
    <t>OPERADOR DE ESCAVADEIRA (MENSALISTA)</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</si>
  <si>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</si>
  <si>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</si>
  <si>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</si>
  <si>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</si>
  <si>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</si>
  <si>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</si>
  <si>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</si>
  <si>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</si>
  <si>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</si>
  <si>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</si>
  <si>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</si>
  <si>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</si>
  <si>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</si>
  <si>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</si>
  <si>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</si>
  <si>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</si>
  <si>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</si>
  <si>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</si>
  <si>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</si>
  <si>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</si>
  <si>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</si>
  <si>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</si>
  <si>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</si>
  <si>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</si>
  <si>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</si>
  <si>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</si>
  <si>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</si>
  <si>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</si>
  <si>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</si>
  <si>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</si>
  <si>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PAPEL KRAFT BETUMADO</t>
  </si>
  <si>
    <t>PAPELEIRA DE PAREDE EM METAL CROMADO SEM TAMPA</t>
  </si>
  <si>
    <t>PAPELEIRA PLASTICA TIPO DISPENSER PARA PAPEL HIGIENICO ROLAO</t>
  </si>
  <si>
    <t>PAR DE TABELAS DE BASQUETE EM COMPENSADO NAVAL DE *1,80 X 1,20* M, COM ARO DE METAL E REDE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</si>
  <si>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</si>
  <si>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</si>
  <si>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</si>
  <si>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</si>
  <si>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</si>
  <si>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</si>
  <si>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</si>
  <si>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</si>
  <si>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</si>
  <si>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</si>
  <si>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</si>
  <si>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</si>
  <si>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</si>
  <si>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</si>
  <si>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</si>
  <si>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</si>
  <si>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</si>
  <si>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</si>
  <si>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</si>
  <si>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</si>
  <si>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</si>
  <si>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</si>
  <si>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</si>
  <si>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</si>
  <si>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</si>
  <si>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</si>
  <si>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</si>
  <si>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</si>
  <si>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</si>
  <si>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</si>
  <si>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</si>
  <si>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</si>
  <si>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</si>
  <si>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</si>
  <si>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</si>
  <si>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</si>
  <si>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</si>
  <si>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</si>
  <si>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</si>
  <si>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</si>
  <si>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</si>
  <si>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</si>
  <si>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</si>
  <si>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</si>
  <si>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</si>
  <si>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</si>
  <si>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</si>
  <si>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</si>
  <si>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</si>
  <si>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</si>
  <si>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</si>
  <si>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</si>
  <si>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</si>
  <si>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</si>
  <si>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</si>
  <si>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</si>
  <si>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</si>
  <si>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</si>
  <si>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</si>
  <si>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</si>
  <si>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</si>
  <si>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</si>
  <si>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</si>
  <si>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</si>
  <si>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</si>
  <si>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</si>
  <si>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</si>
  <si>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</si>
  <si>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</si>
  <si>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</si>
  <si>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</si>
  <si>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</si>
  <si>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</si>
  <si>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PASTA LUBRIFICANTE PARA TUBOS E CONEXOES COM JUNTA ELASTICA (USO EM PVC, ACO, POLIETILENO E OUTROS) ( DE *400* G)</t>
  </si>
  <si>
    <t>PASTA PARA SOLDA DE TUBOS E CONEXOES DE COBRE (EMBALAGEM COM 250 G)</t>
  </si>
  <si>
    <t>PASTA VEDA JUNTAS/ROSCA, LATA DE *500* G, PARA INSTALACOES DE GAS E OUTROS</t>
  </si>
  <si>
    <t>PASTILHA CERAMICA/PORCELANA, REVEST INT/EXT E  PISCINA, CORES BRANCA OU FRIAS, *2,5 X 2,5* CM</t>
  </si>
  <si>
    <t>PASTILHA CERAMICA/PORCELANA, REVEST INT/EXT E  PISCINA, CORES FRIAS *5 X 5* CM</t>
  </si>
  <si>
    <t>PASTILHA CERAMICA/PORCELANA, REVEST INT/EXT E  PISCINA, CORES QUENTES *5 X 5* CM</t>
  </si>
  <si>
    <t>PASTILHA CERAMICA/PORCELANA, REVEST INT/EXT E  PISCINA, CORES QUENTES, *2,5 X 2,5* CM</t>
  </si>
  <si>
    <t>PASTILHEIRO</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</si>
  <si>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</si>
  <si>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</si>
  <si>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</si>
  <si>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</si>
  <si>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</si>
  <si>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</si>
  <si>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</si>
  <si>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</si>
  <si>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</si>
  <si>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*40 X 40* CM, E= *1 CM</t>
  </si>
  <si>
    <t>PEDRA ARDOSIA, CINZA, 20  X  40 CM,  E=  *1 CM</t>
  </si>
  <si>
    <t>PEDRA ARDOSIA, CINZA, 30  X  30,  E= *1 CM</t>
  </si>
  <si>
    <t>PEDRA BRITADA GRADUADA, CLASSIFICADA (POSTO PEDREIRA/FORNECEDOR, SEM FRETE)</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</si>
  <si>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</si>
  <si>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</si>
  <si>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</si>
  <si>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</si>
  <si>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</si>
  <si>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</si>
  <si>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</si>
  <si>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</si>
  <si>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</si>
  <si>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</si>
  <si>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</si>
  <si>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</si>
  <si>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</si>
  <si>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</si>
  <si>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</si>
  <si>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</si>
  <si>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</si>
  <si>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</si>
  <si>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</si>
  <si>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</si>
  <si>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</si>
  <si>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</si>
  <si>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</si>
  <si>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</si>
  <si>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</si>
  <si>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"U" DE ACO LAMINADO, "U" 102 X 9,3</t>
  </si>
  <si>
    <t>PERFIL "U" DE ACO LAMINADO, "U" 152 X 15,6</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</si>
  <si>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</si>
  <si>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</si>
  <si>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</si>
  <si>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</si>
  <si>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</si>
  <si>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</si>
  <si>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</si>
  <si>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</si>
  <si>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</si>
  <si>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</si>
  <si>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</si>
  <si>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</si>
  <si>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</si>
  <si>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</si>
  <si>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</si>
  <si>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</si>
  <si>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</si>
  <si>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</si>
  <si>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</si>
  <si>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</si>
  <si>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</si>
  <si>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</si>
  <si>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</si>
  <si>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</si>
  <si>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</si>
  <si>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</si>
  <si>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</si>
  <si>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</si>
  <si>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</si>
  <si>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</si>
  <si>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</si>
  <si>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</si>
  <si>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</si>
  <si>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ROTATIVA SOBRE ESTEIRA, TORQUE MAXIMO 2500 KGM, POTENCIA 110 HP, MOTOR DIESEL  (COLETADO CAIXA)</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</si>
  <si>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</si>
  <si>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</si>
  <si>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</si>
  <si>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</si>
  <si>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</si>
  <si>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</si>
  <si>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</si>
  <si>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</si>
  <si>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</si>
  <si>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</si>
  <si>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</si>
  <si>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</si>
  <si>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</si>
  <si>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</si>
  <si>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</si>
  <si>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</si>
  <si>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</si>
  <si>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</si>
  <si>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</si>
  <si>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</si>
  <si>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</si>
  <si>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</si>
  <si>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</si>
  <si>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</si>
  <si>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</si>
  <si>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</si>
  <si>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</si>
  <si>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</si>
  <si>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</si>
  <si>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</si>
  <si>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</si>
  <si>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</si>
  <si>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</si>
  <si>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</si>
  <si>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</si>
  <si>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</si>
  <si>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(SEM COLOCACAO)</t>
  </si>
  <si>
    <t>PISO FULGET (GRANITO LAVADO) EM PLACAS DE *75 X 75*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</si>
  <si>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</si>
  <si>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</si>
  <si>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</si>
  <si>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</si>
  <si>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</si>
  <si>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</si>
  <si>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</si>
  <si>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</si>
  <si>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</si>
  <si>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</si>
  <si>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</si>
  <si>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MAIOR OU IGUAL A 3025 CM2, E = *2* CM</t>
  </si>
  <si>
    <t>PISO/ REVESTIMENTO EM MARMORE, POLIDO, BRANCO COMUM, FORMATO MENOR OU IGUAL A 3025 CM2, E = *2* CM</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</si>
  <si>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</si>
  <si>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</si>
  <si>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</si>
  <si>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</si>
  <si>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</si>
  <si>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</si>
  <si>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</si>
  <si>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INAUGURACAO EM BRONZE *35X 50*CM</t>
  </si>
  <si>
    <t>PLACA DE INAUGURACAO METALICA, *40* CM X *60* CM</t>
  </si>
  <si>
    <t>PLACA DE OBRA (PARA CONSTRUCAO CIVIL) EM CHAPA GALVANIZADA *N. 22*, ADESIVADA, DE *2,0 X 1,125* M</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</si>
  <si>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</si>
  <si>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</si>
  <si>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</si>
  <si>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</si>
  <si>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</si>
  <si>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</si>
  <si>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</si>
  <si>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</si>
  <si>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</si>
  <si>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</si>
  <si>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</si>
  <si>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</si>
  <si>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</si>
  <si>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</si>
  <si>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</si>
  <si>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</si>
  <si>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</si>
  <si>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</si>
  <si>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</si>
  <si>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</si>
  <si>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</si>
  <si>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</si>
  <si>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</si>
  <si>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</si>
  <si>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</si>
  <si>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</si>
  <si>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</si>
  <si>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</si>
  <si>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</si>
  <si>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</si>
  <si>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</si>
  <si>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</si>
  <si>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</si>
  <si>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</si>
  <si>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</si>
  <si>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</si>
  <si>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</si>
  <si>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</si>
  <si>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</si>
  <si>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</si>
  <si>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</si>
  <si>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</si>
  <si>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</si>
  <si>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</si>
  <si>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PONTEIRO PARA MARTELO ROMPEDOR, DIAMETRO = *28* MM, COMPRIMENTO = *520* MM, ENCAIXE SEXTAVADO</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</si>
  <si>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</si>
  <si>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</si>
  <si>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</si>
  <si>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</si>
  <si>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</si>
  <si>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</si>
  <si>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</si>
  <si>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</si>
  <si>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</si>
  <si>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</si>
  <si>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CORTA-FOGO PARA SAIDA DE EMERGENCIA, COM FECHADURA, VAO LUZ DE 90 X 210 CM, CLASSE P-90 (NBR 11742)</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</si>
  <si>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</si>
  <si>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</si>
  <si>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</si>
  <si>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</si>
  <si>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</si>
  <si>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</si>
  <si>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ABRIR EM GRADIL COM BARRA CHATA 3 CM X 1/4", COM REQUADRO E GUARNICAO - COMPLETO - ACABAMENTO NATURAL</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</si>
  <si>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</si>
  <si>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</si>
  <si>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</si>
  <si>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</si>
  <si>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</si>
  <si>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</si>
  <si>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</si>
  <si>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</si>
  <si>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</si>
  <si>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</si>
  <si>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</si>
  <si>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</si>
  <si>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</si>
  <si>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</si>
  <si>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</si>
  <si>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</si>
  <si>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</si>
  <si>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ABRIR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</si>
  <si>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</si>
  <si>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</si>
  <si>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</si>
  <si>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</si>
  <si>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</si>
  <si>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</si>
  <si>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</si>
  <si>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</si>
  <si>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</si>
  <si>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</si>
  <si>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</si>
  <si>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</si>
  <si>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</si>
  <si>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</si>
  <si>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</si>
  <si>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</si>
  <si>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</si>
  <si>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</si>
  <si>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</si>
  <si>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</si>
  <si>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</si>
  <si>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</si>
  <si>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</si>
  <si>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</si>
  <si>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</si>
  <si>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</si>
  <si>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</si>
  <si>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POZOLANA DE CLASSE C</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</si>
  <si>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</si>
  <si>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</si>
  <si>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</si>
  <si>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</si>
  <si>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</si>
  <si>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</si>
  <si>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</si>
  <si>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</si>
  <si>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</si>
  <si>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</si>
  <si>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</si>
  <si>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</si>
  <si>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</si>
  <si>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</si>
  <si>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</si>
  <si>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</si>
  <si>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</si>
  <si>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</si>
  <si>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</si>
  <si>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</si>
  <si>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</si>
  <si>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EPOXI</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</si>
  <si>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</si>
  <si>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</si>
  <si>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</si>
  <si>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</si>
  <si>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</si>
  <si>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</si>
  <si>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PVC PARA CAIXA SIFONADA  100 MM X 200 MM (NBR 5688)</t>
  </si>
  <si>
    <t>PROLONGAMENTO PVC PARA CAIXA SIFONADA, 150 MM X 150 MM (NBR 5688)</t>
  </si>
  <si>
    <t>PROLONGAMENTO PVC PARA CAIXA SIFONADA,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</si>
  <si>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</si>
  <si>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</si>
  <si>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</si>
  <si>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</si>
  <si>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</si>
  <si>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</si>
  <si>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</si>
  <si>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</si>
  <si>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</si>
  <si>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</si>
  <si>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PULVERIZADOR DE TINTA ELETRICO / MAQUINA DE PINTURA AIRLESS, VAZAO *2* L/MIN (COLETADO CAIXA)</t>
  </si>
  <si>
    <t>QUADRO DE DISTRIBUICAO COM BARRAMENTO TRIFASICO, DE EMBUTIR, EM CHAPA DE ACO GALVANIZADO, PARA 12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</si>
  <si>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</si>
  <si>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</si>
  <si>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</si>
  <si>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</si>
  <si>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</si>
  <si>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</si>
  <si>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</si>
  <si>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</si>
  <si>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</si>
  <si>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</si>
  <si>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</si>
  <si>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</si>
  <si>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</si>
  <si>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</si>
  <si>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</si>
  <si>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</si>
  <si>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</si>
  <si>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</si>
  <si>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</si>
  <si>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</si>
  <si>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</si>
  <si>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</si>
  <si>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PVC CONICO, 100 X 40 MM,  COM GRELHA REDONDA BRANCA</t>
  </si>
  <si>
    <t>RALO SECO PVC CONICO, 100 X 40 MM, COM GRELHA QUADRADA</t>
  </si>
  <si>
    <t>RALO SECO PVC QUADRADO, 100 X 100 X 53 MM, SAIDA 40 MM, COM GRELHA BRANCA</t>
  </si>
  <si>
    <t>RALO SIFONADO PVC CILINDRICO, 100 X 40 MM,  COM GRELHA REDONDA BRANCA</t>
  </si>
  <si>
    <t>RALO SIFONADO PVC REDONDO CONICO, 100 X 40 MM, COM GRELHA  BRANCA REDONDA</t>
  </si>
  <si>
    <t>RALO SIFONADO PVC, QUADRADO, 100 X 100 X 53 MM, SAIDA 40 MM, COM GRELHA BRANCA</t>
  </si>
  <si>
    <t>RASTELEIRO</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</si>
  <si>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</si>
  <si>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</si>
  <si>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</si>
  <si>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</si>
  <si>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</si>
  <si>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</si>
  <si>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</si>
  <si>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</si>
  <si>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</si>
  <si>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</si>
  <si>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</si>
  <si>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</si>
  <si>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(DIAMETRO X ALTURA)</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</si>
  <si>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</si>
  <si>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</si>
  <si>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</si>
  <si>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</si>
  <si>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</si>
  <si>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</si>
  <si>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</si>
  <si>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</si>
  <si>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</si>
  <si>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</si>
  <si>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</si>
  <si>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</si>
  <si>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</si>
  <si>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</si>
  <si>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</si>
  <si>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</si>
  <si>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</si>
  <si>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</si>
  <si>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</si>
  <si>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</si>
  <si>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</si>
  <si>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</si>
  <si>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</si>
  <si>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</si>
  <si>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</si>
  <si>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</si>
  <si>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</si>
  <si>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</si>
  <si>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</si>
  <si>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</si>
  <si>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</si>
  <si>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</si>
  <si>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</si>
  <si>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</si>
  <si>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</si>
  <si>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</si>
  <si>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</si>
  <si>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</si>
  <si>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</si>
  <si>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</si>
  <si>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</si>
  <si>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</si>
  <si>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</si>
  <si>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</si>
  <si>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</si>
  <si>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</si>
  <si>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</si>
  <si>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</si>
  <si>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</si>
  <si>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</si>
  <si>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</si>
  <si>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</si>
  <si>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</si>
  <si>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</si>
  <si>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</si>
  <si>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</si>
  <si>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</si>
  <si>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</si>
  <si>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REJEITO DE MINERIO DE FERRO PARA PAVIMENTACAO (POSTO PEDREIRA/FORNECEDOR, SEM FRETE)</t>
  </si>
  <si>
    <t>RELE FOTOELETRICO INTERNO E EXTERNO BIVOLT 1000 W, DE CONECTOR, SEM BASE</t>
  </si>
  <si>
    <t>RELE TERMICO BIMETAL PARA USO EM MOTORES TRIFASICOS, TENSAO 380 V, POTENCIA ATE 15 CV, CORRENTE NOMINAL MAXIMA 22 A</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</si>
  <si>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</si>
  <si>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</si>
  <si>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</si>
  <si>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</si>
  <si>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</si>
  <si>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</si>
  <si>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</si>
  <si>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</si>
  <si>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</si>
  <si>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</si>
  <si>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</si>
  <si>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</si>
  <si>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</si>
  <si>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ROCADEIRA COSTAL COM MOTOR A GASOLINA DE *32* CC</t>
  </si>
  <si>
    <t>ROCADEIRA DESLOCAVEL, LARGURA DE TRABALHO DE 1,3 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</si>
  <si>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</si>
  <si>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</si>
  <si>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</si>
  <si>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</si>
  <si>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</si>
  <si>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</si>
  <si>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</si>
  <si>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</si>
  <si>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</si>
  <si>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RODO PARA CHAO 40 CM COM CABO</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</si>
  <si>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</si>
  <si>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</si>
  <si>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</si>
  <si>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</si>
  <si>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</si>
  <si>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</si>
  <si>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</si>
  <si>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</si>
  <si>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</si>
  <si>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</si>
  <si>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</si>
  <si>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</si>
  <si>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</si>
  <si>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</si>
  <si>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</si>
  <si>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</si>
  <si>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</si>
  <si>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</si>
  <si>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</si>
  <si>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</si>
  <si>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</si>
  <si>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</si>
  <si>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PARA TELHA ESTRUTURAL DE FIBROCIMENTO 1 ABA (SEM AMIANTO)</t>
  </si>
  <si>
    <t>RUFO PARA TELHA ESTRUTURAL DE FIBROCIMENTO 2 ABAS, COMPRIMENTO DE 1031 MM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</si>
  <si>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</si>
  <si>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</si>
  <si>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</si>
  <si>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</si>
  <si>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</si>
  <si>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</si>
  <si>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</si>
  <si>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</si>
  <si>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SEGURO - HORISTA (COLETADO CAIXA)</t>
  </si>
  <si>
    <t>SEGURO - MENSALISTA (COLETADO CAIXA)</t>
  </si>
  <si>
    <t>SEIXO ROLADO PARA APLICACAO EM CONCRETO (POSTO PEDREIRA/FORNECEDOR, SEM FRETE)</t>
  </si>
  <si>
    <t>SELADOR ACRILICO PAREDES INTERNAS/EXTERNAS</t>
  </si>
  <si>
    <t>SELADOR HORIZONTAL PARA FITA DE ACO 1 "</t>
  </si>
  <si>
    <t>SELANTE A BASE DE ALCATRAO E POLIURETANO PARA JUNTAS HORIZONTAIS</t>
  </si>
  <si>
    <t>SELANTE DE BASE ASFALTICA PARA VEDACAO</t>
  </si>
  <si>
    <t>SELANTE TIPO VEDA CALHA PARA METAL E FIBROCIMENTO</t>
  </si>
  <si>
    <t>SELIM COMPACTO EM PVC, SEM TRAVA,  DN 150 X 100 MM, PARA REDE COLETORA ESGOTO (NBR 10569)</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</si>
  <si>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</si>
  <si>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</si>
  <si>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</si>
  <si>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</si>
  <si>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</si>
  <si>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</si>
  <si>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</si>
  <si>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</si>
  <si>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</si>
  <si>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</si>
  <si>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</si>
  <si>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</si>
  <si>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</si>
  <si>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</si>
  <si>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t>
  </si>
  <si>
    <t>SERRALHEIRO (MENSALISTA)</t>
  </si>
  <si>
    <t>SERVENTE DE OBRAS</t>
  </si>
  <si>
    <t>SERVENTE DE OBRAS (MENSALISTA)</t>
  </si>
  <si>
    <t>SERVICO DE BOMBEAMENTO DE CONCRETO COM CONSUMO MINIMO DE 40 M3</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</si>
  <si>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</si>
  <si>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</si>
  <si>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</si>
  <si>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</si>
  <si>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</si>
  <si>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</si>
  <si>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</si>
  <si>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</si>
  <si>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</si>
  <si>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</si>
  <si>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</si>
  <si>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</si>
  <si>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</si>
  <si>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</si>
  <si>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</si>
  <si>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t>
  </si>
  <si>
    <t>SISTEMA DE FORMAS MANUSEAVEIS DE ALUMINIO, PARA BLOCO RESID. COM PAREDES DE CONCRETO MOLDADAS IN LOCO, BLOCO COM 4 PAV. E 4 UNIDADES POR PAV., UNIDADE HABITACIONALCOM 48 M2 E 2 QUARTOS; TELHA DE FIBROCIMENTO (COLETADO CAIXA)</t>
  </si>
  <si>
    <t>SISTEMA DE FORMAS MANUSEAVEIS DE ALUMINIO, PARA EDIF. RESID. UNIFAMILIAR COM PAREDES DE CONCRETO MOLDADAS IN LOCO, UNIDADE HABITACIONAL TERREA COM 38 M2, COM SALA, CIRCULACAO, 2 QUARTOS, BANHEIRO, COZINHA E TANQUE EXTERNO (SEM COBERTURA) (COLETADO CAIXA)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</si>
  <si>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</si>
  <si>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</si>
  <si>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</si>
  <si>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</si>
  <si>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</si>
  <si>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</si>
  <si>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</si>
  <si>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</si>
  <si>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</si>
  <si>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</si>
  <si>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</si>
  <si>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</si>
  <si>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LIMPADORA PARA PVC, FRASCO COM 1000 CM3</t>
  </si>
  <si>
    <t>SOLVENTE DILUENTE A BASE DE AGUARRAS</t>
  </si>
  <si>
    <t>SOLVENTE PARA COLA (PARA LAMINADO MELAMINICO) A BASE DE RESINA SINTETICA</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</si>
  <si>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</si>
  <si>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</si>
  <si>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</si>
  <si>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</si>
  <si>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</si>
  <si>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</si>
  <si>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</si>
  <si>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</si>
  <si>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</si>
  <si>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</si>
  <si>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</si>
  <si>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</si>
  <si>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</si>
  <si>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</si>
  <si>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</si>
  <si>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</si>
  <si>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</si>
  <si>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</si>
  <si>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</si>
  <si>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</si>
  <si>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</si>
  <si>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</si>
  <si>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</si>
  <si>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</si>
  <si>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</si>
  <si>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</si>
  <si>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</si>
  <si>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</si>
  <si>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</si>
  <si>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</si>
  <si>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</si>
  <si>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</si>
  <si>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</si>
  <si>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</si>
  <si>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</si>
  <si>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</si>
  <si>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</si>
  <si>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</si>
  <si>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</si>
  <si>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</si>
  <si>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</si>
  <si>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</si>
  <si>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</si>
  <si>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</si>
  <si>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</si>
  <si>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</si>
  <si>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</si>
  <si>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</si>
  <si>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</si>
  <si>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</si>
  <si>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</si>
  <si>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</si>
  <si>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</si>
  <si>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</si>
  <si>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</si>
  <si>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</si>
  <si>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</si>
  <si>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</si>
  <si>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</si>
  <si>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</si>
  <si>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</si>
  <si>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400 X 400 MM, REDE PLUVIAL/ESGOTO/ELETRICA</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</si>
  <si>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</si>
  <si>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</si>
  <si>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</si>
  <si>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</si>
  <si>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</si>
  <si>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</si>
  <si>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</si>
  <si>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</si>
  <si>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</si>
  <si>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</si>
  <si>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</si>
  <si>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</si>
  <si>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</si>
  <si>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</si>
  <si>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</si>
  <si>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</si>
  <si>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</si>
  <si>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LOUCA BRANCA COM COLUNA *30* L</t>
  </si>
  <si>
    <t>TANQUE LOUCA BRANCA SUSPENSO *20* L</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</si>
  <si>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</si>
  <si>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</si>
  <si>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</si>
  <si>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</si>
  <si>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</si>
  <si>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TARIFA "A" ENTRE  0 E 20M3 FORNECIMENTO D'AGUA</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</si>
  <si>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</si>
  <si>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</si>
  <si>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</si>
  <si>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</si>
  <si>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</si>
  <si>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</si>
  <si>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</si>
  <si>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</si>
  <si>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</si>
  <si>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</si>
  <si>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</si>
  <si>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</si>
  <si>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</si>
  <si>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</si>
  <si>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</si>
  <si>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</si>
  <si>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</si>
  <si>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</si>
  <si>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</si>
  <si>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</si>
  <si>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</si>
  <si>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</si>
  <si>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</si>
  <si>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</si>
  <si>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</si>
  <si>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</si>
  <si>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</si>
  <si>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</si>
  <si>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</si>
  <si>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</si>
  <si>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</si>
  <si>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</si>
  <si>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</si>
  <si>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</si>
  <si>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</si>
  <si>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</si>
  <si>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</si>
  <si>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</si>
  <si>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</si>
  <si>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</si>
  <si>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</si>
  <si>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</si>
  <si>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</si>
  <si>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</si>
  <si>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</si>
  <si>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</si>
  <si>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</si>
  <si>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</si>
  <si>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</si>
  <si>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</si>
  <si>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</si>
  <si>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</si>
  <si>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</si>
  <si>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</si>
  <si>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</si>
  <si>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</si>
  <si>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</si>
  <si>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</si>
  <si>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</si>
  <si>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</si>
  <si>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</si>
  <si>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</si>
  <si>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</si>
  <si>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</si>
  <si>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</si>
  <si>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</si>
  <si>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</si>
  <si>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</si>
  <si>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</si>
  <si>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</si>
  <si>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</si>
  <si>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</si>
  <si>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</si>
  <si>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</si>
  <si>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BBB, JE, 90 GRAUS, DN 200 X 150 MM, PARA TUBO CORRUGADO E/OU LISO, REDE COLETORA ESGOTO (NBR 10569)</t>
  </si>
  <si>
    <t>TE DE REDUCAO, PVC, BBB, JE, 90 GRAUS, DN 250 X 150 MM, PARA TUBO CORRUGADO E/OU LISO, REDE COLETORA ESGOTO (NBR 10569)</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</si>
  <si>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</si>
  <si>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</si>
  <si>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</si>
  <si>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</si>
  <si>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</si>
  <si>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</si>
  <si>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</si>
  <si>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</si>
  <si>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</si>
  <si>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</si>
  <si>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</si>
  <si>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</si>
  <si>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</si>
  <si>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</si>
  <si>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</si>
  <si>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</si>
  <si>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</si>
  <si>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</si>
  <si>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</si>
  <si>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</si>
  <si>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</si>
  <si>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</si>
  <si>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</si>
  <si>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</si>
  <si>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</si>
  <si>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</si>
  <si>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</si>
  <si>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</si>
  <si>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</si>
  <si>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</si>
  <si>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</si>
  <si>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</si>
  <si>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</si>
  <si>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</si>
  <si>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</si>
  <si>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</si>
  <si>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</si>
  <si>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</si>
  <si>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</si>
  <si>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</si>
  <si>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</si>
  <si>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</si>
  <si>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</si>
  <si>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</si>
  <si>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</si>
  <si>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</si>
  <si>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</si>
  <si>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</si>
  <si>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</si>
  <si>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</si>
  <si>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</si>
  <si>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</si>
  <si>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</si>
  <si>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</si>
  <si>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</si>
  <si>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</si>
  <si>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</si>
  <si>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</si>
  <si>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</si>
  <si>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</si>
  <si>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</si>
  <si>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</si>
  <si>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</si>
  <si>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</si>
  <si>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</si>
  <si>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</si>
  <si>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</si>
  <si>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</si>
  <si>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</si>
  <si>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</si>
  <si>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</si>
  <si>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</si>
  <si>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</si>
  <si>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</si>
  <si>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</si>
  <si>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</si>
  <si>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</si>
  <si>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</si>
  <si>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</si>
  <si>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</si>
  <si>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</si>
  <si>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</si>
  <si>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</si>
  <si>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</si>
  <si>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</si>
  <si>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</si>
  <si>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</si>
  <si>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</si>
  <si>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</si>
  <si>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</si>
  <si>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</si>
  <si>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</si>
  <si>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</si>
  <si>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</si>
  <si>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</si>
  <si>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</si>
  <si>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</si>
  <si>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</si>
  <si>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</si>
  <si>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</si>
  <si>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</si>
  <si>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</si>
  <si>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</si>
  <si>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</si>
  <si>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</si>
  <si>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</si>
  <si>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</si>
  <si>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</si>
  <si>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</si>
  <si>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</si>
  <si>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</si>
  <si>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</si>
  <si>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</si>
  <si>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</si>
  <si>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</si>
  <si>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</si>
  <si>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</si>
  <si>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</si>
  <si>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90 GRAUS, BBB, JE, DN 100 MM, PARA REDE COLETORA ESGOTO (NBR 10569)</t>
  </si>
  <si>
    <t>TE, PVC, 90 GRAUS, BBB, JE, DN 100 MM, PARA TUBO CORRUGADO E/OU LISO, REDE COLETORA ESGOTO (NBR 10569</t>
  </si>
  <si>
    <t>TE, PVC, 90 GRAUS, BBB, JE, DN 150 MM, PARA REDE COLETORA ESGOTO (NBR 10569)</t>
  </si>
  <si>
    <t>TE, PVC, 90 GRAUS, BBB, JE, DN 150 MM, PARA TUBO CORRUGADO E/OU LISO, REDE COLETORA ESGOTO (NBR 10569)</t>
  </si>
  <si>
    <t>TE, PVC, 90 GRAUS, BBB, JE, DN 200 MM, PARA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</si>
  <si>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</si>
  <si>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</si>
  <si>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</si>
  <si>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</si>
  <si>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</si>
  <si>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</si>
  <si>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</si>
  <si>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</si>
  <si>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</si>
  <si>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</si>
  <si>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</si>
  <si>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</si>
  <si>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</si>
  <si>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</si>
  <si>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</si>
  <si>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</si>
  <si>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</si>
  <si>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</si>
  <si>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ANIAGEM (JUTA)</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</si>
  <si>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</si>
  <si>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</si>
  <si>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</si>
  <si>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</si>
  <si>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</si>
  <si>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</si>
  <si>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</si>
  <si>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</si>
  <si>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</si>
  <si>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</si>
  <si>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</si>
  <si>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</si>
  <si>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</si>
  <si>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</si>
  <si>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</si>
  <si>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</si>
  <si>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</si>
  <si>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</si>
  <si>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</si>
  <si>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</si>
  <si>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</si>
  <si>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</si>
  <si>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</si>
  <si>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</si>
  <si>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</si>
  <si>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</si>
  <si>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</si>
  <si>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</si>
  <si>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</si>
  <si>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</si>
  <si>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</si>
  <si>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</si>
  <si>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</si>
  <si>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</si>
  <si>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</si>
  <si>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</si>
  <si>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</si>
  <si>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</si>
  <si>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</si>
  <si>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</si>
  <si>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</si>
  <si>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</si>
  <si>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</si>
  <si>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</si>
  <si>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</si>
  <si>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VIDRO TIPO CANAL OU COLONIAL, C = 46 A 50 CM</t>
  </si>
  <si>
    <t>TELHADOR</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</si>
  <si>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</si>
  <si>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</si>
  <si>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</si>
  <si>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</si>
  <si>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</si>
  <si>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</si>
  <si>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</si>
  <si>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</si>
  <si>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</si>
  <si>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</si>
  <si>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</si>
  <si>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</si>
  <si>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</si>
  <si>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</si>
  <si>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</si>
  <si>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</si>
  <si>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</si>
  <si>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</si>
  <si>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</si>
  <si>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</si>
  <si>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</si>
  <si>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</si>
  <si>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</si>
  <si>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</si>
  <si>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</si>
  <si>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</si>
  <si>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</si>
  <si>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</si>
  <si>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</si>
  <si>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</si>
  <si>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</si>
  <si>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</si>
  <si>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</si>
  <si>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</si>
  <si>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</si>
  <si>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</si>
  <si>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</si>
  <si>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TIL PARA LIGACAO PREDIAL, EM PVC, JE, BBB, DN 100 X 100 MM, PARA REDE COLETORA ESGOTO (NBR 10569)</t>
  </si>
  <si>
    <t>TIL TUBO QUEDA, EM PVC, JE, BBB, DN 100 X 100 MM, PARA REDE COLETORA DE ESGOTO (NBR 10569)</t>
  </si>
  <si>
    <t>TINTA A BASE DE RESINA ACRILICA EMULSIONADA EM AGUA, PARA SINALIZACAO HORIZONTAL VIARIA (NBR 13699)</t>
  </si>
  <si>
    <t>TINTA A BASE DE RESINA ACRILICA, PARA SINALIZACAO HORIZONTAL VIARIA (NBR 11862)</t>
  </si>
  <si>
    <t>TINTA ACRILICA PARA CERAMICA</t>
  </si>
  <si>
    <t>TINTA ACRILICA PREMIUM PARA PISO</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</si>
  <si>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</si>
  <si>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</si>
  <si>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</si>
  <si>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BRANCA</t>
  </si>
  <si>
    <t>TINTA BORRACHA CLORADA, ACABAMENTO SEMIBRILHO, CORES VIVAS</t>
  </si>
  <si>
    <t>TINTA BORRACHA, CLORADA, ACABAMENTO SEMIBRILHO, PRETA</t>
  </si>
  <si>
    <t>TINTA ESMALTE SINTETICO PREMIUM ACETINADO</t>
  </si>
  <si>
    <t>TINTA ESMALTE SINTETICO PREMIUM BRILHANTE</t>
  </si>
  <si>
    <t>TINTA ESMALTE SINTETICO PREMIUM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</si>
  <si>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</si>
  <si>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</si>
  <si>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</si>
  <si>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</si>
  <si>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</si>
  <si>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</si>
  <si>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</si>
  <si>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</si>
  <si>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</si>
  <si>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</si>
  <si>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</si>
  <si>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</si>
  <si>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</si>
  <si>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</si>
  <si>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</si>
  <si>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</si>
  <si>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</si>
  <si>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</si>
  <si>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</si>
  <si>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</si>
  <si>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</si>
  <si>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</si>
  <si>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CROMADA COM BICO PARA JARDIM/TANQUE 1/2 " OU 3/4 " (REF 1153)</t>
  </si>
  <si>
    <t>TORNEIRA CROMADA CURTA SEM BICO PARA USO GERAL  1/2 " OU 3/4 " (REF 1152)</t>
  </si>
  <si>
    <t>TORNEIRA CROMADA DE MESA PARA COZINHA BICA MOVEL COM AREJADOR 1/2 " OU 3/4 " (REF 1167)</t>
  </si>
  <si>
    <t>TORNEIRA CROMADA DE MESA PARA LAVATORIO COM SENSOR DE PRESENCA</t>
  </si>
  <si>
    <t>TORNEIRA CROMADA DE MESA PARA LAVATORIO TEMPORIZADA PRESSAO BICA BAIXA</t>
  </si>
  <si>
    <t>TORNEIRA CROMADA DE MESA PARA LAVATORIO, BICA ALTA (REF 1195)</t>
  </si>
  <si>
    <t>TORNEIRA CROMADA DE MESA PARA LAVATORIO, PADRAO POPULAR, 1/2 " OU 3/4 " (REF 1193)</t>
  </si>
  <si>
    <t>TORNEIRA CROMADA DE PAREDE LONGA PARA LAVATORIO (REF 1178)</t>
  </si>
  <si>
    <t>TORNEIRA CROMADA DE PAREDE PARA COZINHA BICA MOVEL COM AREJADOR 1/2 " OU 3/4 " (REF 1168)</t>
  </si>
  <si>
    <t>TORNEIRA CROMADA DE PAREDE PARA COZINHA COM AREJADOR, PADRAO POPULAR, 1/2 " OU 3/4 " (REF 1159)</t>
  </si>
  <si>
    <t>TORNEIRA CROMADA DE PAREDE PARA COZINHA SEM AREJADOR, PADRAO POPULAR, 1/2 " OU 3/4 " (REF 1158)</t>
  </si>
  <si>
    <t>TORNEIRA CROMADA SEM BICO PARA TANQUE 1/2 " OU 3/4 " (REF 1143)</t>
  </si>
  <si>
    <t>TORNEIRA CROMADA SEM BICO PARA TANQUE, PADRAO POPULAR, 1/2 " OU 3/4 " (REF 1126)</t>
  </si>
  <si>
    <t>TORNEIRA DE BOIA CONVENCIONAL PARA CAIXA D'AGUA, 1.1/2", COM HASTE E TORNEIRA METALICOS E BALAO PLASTICO</t>
  </si>
  <si>
    <t>TORNEIRA DE BOIA CONVENCIONAL PARA CAIXA D'AGUA, 1.1/4", COM HASTE E TORNEIRA METALICOS E BALAO PLASTICO</t>
  </si>
  <si>
    <t>TORNEIRA DE BOIA CONVENCIONAL PARA CAIXA D'AGUA, 1/2", COM HASTE E TORNEIRA METALICOS E BALAO PLASTICO</t>
  </si>
  <si>
    <t>TORNEIRA DE BOIA CONVENCIONAL PARA CAIXA D'AGUA, 1", COM HASTE E TORNEIRA METALICOS E BALAO PLASTICO</t>
  </si>
  <si>
    <t>TORNEIRA DE BOIA CONVENCIONAL PARA CAIXA D'AGUA, 2", COM HASTE E TORNEIRA METALICOS E BALAO PLASTICO</t>
  </si>
  <si>
    <t>TORNEIRA DE BOIA CONVENCIONAL PARA CAIXA D'AGUA, 3/4", COM HASTE E TORNEIRA METALICOS E BALAO PLASTICO</t>
  </si>
  <si>
    <t>TORNEIRA DE BOIA VAZAO TOTAL PARA CAIXA D'AGUA, 1/2", COM HASTE E TORNEIRA METALICOS E BALAO PLASTICO</t>
  </si>
  <si>
    <t>TORNEIRA DE BOIA VAZAO TOTAL PARA CAIXA D'AGUA, 1", COM HASTE E TORNEIRA METALICOS E BALAO PLASTICO</t>
  </si>
  <si>
    <t>TORNEIRA DE BOIA VAZAO TOTAL PARA CAIXA D'AGUA, 3/4", COM HASTE E TORNEIRA METALICOS E BALAO PLASTICO</t>
  </si>
  <si>
    <t>TORNEIRA ELETRICA DE PAREDE, BICA ALTA, PARA COZINHA, 5500 W (110/220 V)</t>
  </si>
  <si>
    <t>TORNEIRA METAL AMARELO COM BICO PARA JARDIM, PADRAO POPULAR, 1/2 " OU 3/4 " (REF 1128)</t>
  </si>
  <si>
    <t>TORNEIRA METAL AMARELO CURTA SEM BICO PARA TANQUE, PADRAO POPULAR, 1/2 " OU 3/4 " (REF 1120)</t>
  </si>
  <si>
    <t>TORNEIRA METALICA DE BOIA CONVENCIONAL PARA CAIXA D'AGUA, 1/2 ", COM HASTE, TORNEIRA E BALAO METALICOS</t>
  </si>
  <si>
    <t>TORNEIRA METALICA DE BOIA CONVENCIONAL PARA CAIXA D'AGUA, 3/4 ", COM HASTE, TORNEIRA E BALAO METALICOS</t>
  </si>
  <si>
    <t>TORNEIRA PLASTICA DE BOIA CONVENCIONAL PARA CAIXA DE AGUA,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</si>
  <si>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</si>
  <si>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</si>
  <si>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</si>
  <si>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</si>
  <si>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</si>
  <si>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</si>
  <si>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</si>
  <si>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</si>
  <si>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</si>
  <si>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</si>
  <si>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</si>
  <si>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</si>
  <si>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</si>
  <si>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</si>
  <si>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</si>
  <si>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t>
  </si>
  <si>
    <t>TRANSPORTE - MENSALISTA (COLETADO CAIXA)</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</si>
  <si>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</si>
  <si>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</si>
  <si>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</si>
  <si>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</si>
  <si>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</si>
  <si>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</si>
  <si>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</si>
  <si>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</si>
  <si>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</si>
  <si>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</si>
  <si>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</si>
  <si>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</si>
  <si>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</si>
  <si>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</si>
  <si>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</si>
  <si>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TRAVA-QUEDAS EM ACO PARA CORDA DE 12 MM, EXTENSOR DE 25 X 300 MM, COM MOSQUETAO TIPO GANCHO TRAVA DUPLA</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</si>
  <si>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</si>
  <si>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</si>
  <si>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</si>
  <si>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</si>
  <si>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</si>
  <si>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</si>
  <si>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</si>
  <si>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</si>
  <si>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</si>
  <si>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</si>
  <si>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</si>
  <si>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</si>
  <si>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</si>
  <si>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</si>
  <si>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</si>
  <si>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</si>
  <si>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</si>
  <si>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</si>
  <si>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</si>
  <si>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</si>
  <si>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</si>
  <si>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</si>
  <si>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</si>
  <si>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</si>
  <si>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</si>
  <si>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</si>
  <si>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</si>
  <si>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</si>
  <si>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</si>
  <si>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</si>
  <si>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</si>
  <si>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</si>
  <si>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</si>
  <si>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</si>
  <si>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</si>
  <si>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</si>
  <si>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</si>
  <si>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</si>
  <si>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</si>
  <si>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</si>
  <si>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</si>
  <si>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</si>
  <si>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</si>
  <si>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</si>
  <si>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</si>
  <si>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</si>
  <si>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</si>
  <si>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</si>
  <si>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</si>
  <si>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</si>
  <si>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</si>
  <si>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</si>
  <si>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</si>
  <si>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</si>
  <si>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</si>
  <si>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*1000* MM, PARA SANEAMENTO</t>
  </si>
  <si>
    <t>TUBO CORRUGADO PEAD, PAREDE DUPLA, INTERNA LISA, JEI, DN/DI *400* MM, PARA SANEAMENTO</t>
  </si>
  <si>
    <t>TUBO CORRUGADO PEAD, PAREDE DUPLA, INTERNA LISA, JEI, DN/DI *800* MM, PARA SANEAMENTO</t>
  </si>
  <si>
    <t>TUBO CORRUGADO PEAD, PAREDE DUPLA, INTERNA LISA, JEI, DN/DI 1200 MM, PARA SANEAMENTO</t>
  </si>
  <si>
    <t>TUBO CORRUGADO PEAD, PAREDE DUPLA, INTERNA LISA, JEI, DN/DI 250 MM, PARA SANEAMENTO</t>
  </si>
  <si>
    <t>TUBO CORRUGADO PEAD, PAREDE DUPLA, INTERNA LISA, JEI, DN/DI 300 MM, PARA SANEAMENTO</t>
  </si>
  <si>
    <t>TUBO CORRUGADO PEAD, PAREDE DUPLA, INTERNA LISA, JEI, DN/DI 600 MM, PARA SANEAMENTO</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</si>
  <si>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</si>
  <si>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</si>
  <si>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</si>
  <si>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</si>
  <si>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</si>
  <si>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</si>
  <si>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</si>
  <si>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</si>
  <si>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</si>
  <si>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</si>
  <si>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</si>
  <si>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</si>
  <si>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</si>
  <si>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</si>
  <si>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</si>
  <si>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</si>
  <si>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</si>
  <si>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</si>
  <si>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</si>
  <si>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</si>
  <si>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</si>
  <si>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</si>
  <si>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</si>
  <si>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</si>
  <si>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</si>
  <si>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</si>
  <si>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</si>
  <si>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</si>
  <si>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</si>
  <si>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</si>
  <si>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</si>
  <si>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</si>
  <si>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</si>
  <si>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</si>
  <si>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</si>
  <si>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</si>
  <si>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</si>
  <si>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</si>
  <si>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</si>
  <si>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</si>
  <si>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</si>
  <si>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</si>
  <si>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</si>
  <si>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</si>
  <si>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</si>
  <si>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</si>
  <si>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</si>
  <si>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</si>
  <si>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</si>
  <si>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</si>
  <si>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</si>
  <si>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</si>
  <si>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</si>
  <si>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</si>
  <si>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DESCARGA PVC, PARA LIGACAO CAIXA DE DESCARGA - EMBUTIR,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</si>
  <si>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</si>
  <si>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</si>
  <si>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</si>
  <si>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</si>
  <si>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</si>
  <si>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</si>
  <si>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</si>
  <si>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</si>
  <si>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</si>
  <si>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</si>
  <si>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</si>
  <si>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</si>
  <si>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</si>
  <si>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</si>
  <si>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</si>
  <si>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</si>
  <si>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</si>
  <si>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</si>
  <si>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</si>
  <si>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</si>
  <si>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</si>
  <si>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</si>
  <si>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</si>
  <si>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</si>
  <si>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</si>
  <si>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</si>
  <si>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</si>
  <si>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</si>
  <si>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</si>
  <si>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</si>
  <si>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</si>
  <si>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</si>
  <si>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</si>
  <si>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</si>
  <si>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</si>
  <si>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</si>
  <si>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</si>
  <si>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</si>
  <si>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</si>
  <si>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</si>
  <si>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</si>
  <si>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</si>
  <si>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</si>
  <si>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</si>
  <si>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</si>
  <si>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</si>
  <si>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</si>
  <si>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</si>
  <si>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</si>
  <si>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</si>
  <si>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</si>
  <si>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</si>
  <si>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</si>
  <si>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</si>
  <si>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</si>
  <si>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</si>
  <si>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</si>
  <si>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</si>
  <si>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</si>
  <si>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</si>
  <si>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</si>
  <si>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</si>
  <si>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</si>
  <si>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</si>
  <si>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</si>
  <si>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</si>
  <si>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</si>
  <si>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</si>
  <si>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</si>
  <si>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</si>
  <si>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</si>
  <si>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</si>
  <si>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</si>
  <si>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</si>
  <si>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</si>
  <si>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</si>
  <si>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</si>
  <si>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</si>
  <si>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</si>
  <si>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</si>
  <si>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</si>
  <si>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</si>
  <si>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</si>
  <si>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</si>
  <si>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</si>
  <si>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</si>
  <si>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</si>
  <si>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</si>
  <si>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</si>
  <si>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</si>
  <si>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</si>
  <si>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</si>
  <si>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</si>
  <si>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</si>
  <si>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</si>
  <si>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</si>
  <si>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</si>
  <si>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</si>
  <si>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</si>
  <si>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</si>
  <si>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</si>
  <si>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</si>
  <si>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</si>
  <si>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</si>
  <si>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</si>
  <si>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</si>
  <si>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</si>
  <si>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</si>
  <si>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</si>
  <si>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</si>
  <si>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</si>
  <si>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</si>
  <si>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</si>
  <si>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</si>
  <si>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</si>
  <si>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</si>
  <si>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</si>
  <si>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</si>
  <si>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</si>
  <si>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</si>
  <si>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</si>
  <si>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</si>
  <si>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</si>
  <si>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</si>
  <si>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</si>
  <si>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</si>
  <si>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</si>
  <si>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</si>
  <si>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</si>
  <si>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</si>
  <si>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</si>
  <si>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</si>
  <si>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</si>
  <si>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</si>
  <si>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</si>
  <si>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</si>
  <si>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</si>
  <si>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</si>
  <si>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</si>
  <si>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</si>
  <si>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</si>
  <si>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</si>
  <si>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</si>
  <si>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</si>
  <si>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</si>
  <si>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</si>
  <si>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</si>
  <si>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</si>
  <si>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</si>
  <si>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</si>
  <si>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</si>
  <si>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</si>
  <si>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</si>
  <si>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</si>
  <si>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</si>
  <si>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</si>
  <si>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</si>
  <si>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</si>
  <si>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</si>
  <si>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</si>
  <si>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</si>
  <si>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</si>
  <si>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</si>
  <si>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</si>
  <si>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</si>
  <si>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</si>
  <si>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</si>
  <si>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</si>
  <si>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</si>
  <si>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</si>
  <si>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</si>
  <si>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</si>
  <si>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</si>
  <si>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</si>
  <si>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</si>
  <si>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</si>
  <si>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</si>
  <si>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</si>
  <si>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</si>
  <si>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</si>
  <si>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</si>
  <si>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</si>
  <si>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</si>
  <si>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</si>
  <si>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</si>
  <si>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</si>
  <si>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</si>
  <si>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</si>
  <si>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</si>
  <si>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</si>
  <si>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</si>
  <si>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</si>
  <si>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</si>
  <si>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</si>
  <si>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</si>
  <si>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</si>
  <si>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</si>
  <si>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</si>
  <si>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</si>
  <si>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</si>
  <si>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</si>
  <si>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</si>
  <si>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</si>
  <si>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</si>
  <si>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</si>
  <si>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</si>
  <si>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</si>
  <si>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</si>
  <si>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</si>
  <si>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</si>
  <si>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</si>
  <si>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</si>
  <si>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</si>
  <si>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</si>
  <si>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</si>
  <si>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</si>
  <si>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</si>
  <si>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</si>
  <si>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</si>
  <si>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</si>
  <si>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</si>
  <si>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</si>
  <si>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</si>
  <si>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</si>
  <si>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</si>
  <si>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</si>
  <si>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</si>
  <si>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</si>
  <si>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</si>
  <si>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</si>
  <si>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</si>
  <si>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</si>
  <si>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</si>
  <si>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</si>
  <si>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METAL CROMADO PARA TANQUE, 1.1/2 " SEM LADRAO</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</si>
  <si>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</si>
  <si>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</si>
  <si>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</si>
  <si>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</si>
  <si>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</si>
  <si>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</si>
  <si>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</si>
  <si>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</si>
  <si>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</si>
  <si>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</si>
  <si>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</si>
  <si>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</si>
  <si>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</si>
  <si>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</si>
  <si>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</si>
  <si>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VASSOURA MECANICA REBOCAVEL COM ESCOVA CILINDRICA LARGURA UTIL DE VARRIMENTO = 2,44M</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</si>
  <si>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</si>
  <si>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</si>
  <si>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</si>
  <si>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</si>
  <si>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</si>
  <si>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</si>
  <si>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</si>
  <si>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</si>
  <si>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</si>
  <si>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</si>
  <si>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</si>
  <si>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</si>
  <si>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</si>
  <si>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</si>
  <si>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</si>
  <si>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</si>
  <si>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</si>
  <si>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</si>
  <si>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</si>
  <si>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</si>
  <si>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</si>
  <si>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</si>
  <si>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</si>
  <si>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</si>
  <si>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</si>
  <si>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</si>
  <si>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</si>
  <si>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</si>
  <si>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</si>
  <si>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</si>
  <si>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</si>
  <si>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</si>
  <si>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</si>
  <si>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</si>
  <si>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</si>
  <si>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</si>
  <si>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</si>
  <si>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</si>
  <si>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</si>
  <si>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</si>
  <si>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</si>
  <si>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</si>
  <si>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</si>
  <si>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</si>
  <si>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</si>
  <si>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</si>
  <si>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</si>
  <si>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</si>
  <si>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</si>
  <si>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DE ESCORAMAENTO H20, DE MADEIRA, PESO DE 5,00 A 5,20 KG/M, COM EXTREMIDADES PLASTICAS</t>
  </si>
  <si>
    <t>VIGIA DIURNO</t>
  </si>
  <si>
    <t>VIGIA DIURNO (MENSALISTA)</t>
  </si>
  <si>
    <t>VIGIA NOTURNO, HORA EFETIVAMENTE TRABALHADA DE 22 H AS 5 H (COM ADICIONAL NOTURNO)</t>
  </si>
  <si>
    <t>10,89%
(equipamentos)</t>
  </si>
  <si>
    <t>CCU - 02.001</t>
  </si>
  <si>
    <t>CCU - 02.002</t>
  </si>
  <si>
    <t>CCU - 03.001</t>
  </si>
  <si>
    <t>CCU - 03.004</t>
  </si>
  <si>
    <t>EQUIP.</t>
  </si>
  <si>
    <t>M0789</t>
  </si>
  <si>
    <t>M0787</t>
  </si>
  <si>
    <t>M3237</t>
  </si>
  <si>
    <t>M3235</t>
  </si>
  <si>
    <t>M3153</t>
  </si>
  <si>
    <t>ARQUIVO</t>
  </si>
  <si>
    <t>M0682</t>
  </si>
  <si>
    <t xml:space="preserve">EMPRESA 1 </t>
  </si>
  <si>
    <t xml:space="preserve">EMPRESA 2 </t>
  </si>
  <si>
    <t>EMPRESA 3</t>
  </si>
  <si>
    <t>EMPRESA 4</t>
  </si>
  <si>
    <t>EMPRESA 5</t>
  </si>
  <si>
    <t>CCU - 09.001</t>
  </si>
  <si>
    <t>ENSAIO DE RESISTENCIA A COMPRESSAO SIMPLES - CONCRETO</t>
  </si>
  <si>
    <t>REF: 74022/30 SINAPI JUL 2018</t>
  </si>
  <si>
    <t>CCU - 09.002</t>
  </si>
  <si>
    <t>CCU - 09.003</t>
  </si>
  <si>
    <t>CCU - 09.004</t>
  </si>
  <si>
    <t>REF: 9537 SINAPI JUL 2018</t>
  </si>
  <si>
    <t>REF: 10832/ORSE JUL 2019</t>
  </si>
  <si>
    <t>LIMPEZA FINAL DA OBRA</t>
  </si>
  <si>
    <t>0,0500000</t>
  </si>
  <si>
    <t>0,1400000</t>
  </si>
  <si>
    <t>CCU - 10.001</t>
  </si>
  <si>
    <t>CCU - 06.001</t>
  </si>
  <si>
    <t>CCU - 06.002</t>
  </si>
  <si>
    <t>CCU - 06.003</t>
  </si>
  <si>
    <t>CCU - 06.004</t>
  </si>
  <si>
    <t>CCU - 06.005</t>
  </si>
  <si>
    <t>CCU - 06.006</t>
  </si>
  <si>
    <t>CCU - 06.007</t>
  </si>
  <si>
    <t>CCU - 06.008</t>
  </si>
  <si>
    <t>CCU - 06.009</t>
  </si>
  <si>
    <t>CCU - 06.010</t>
  </si>
  <si>
    <t>CCU - 06.011</t>
  </si>
  <si>
    <t>CCU - 06.012</t>
  </si>
  <si>
    <t>CABOS E FIOS</t>
  </si>
  <si>
    <t>IG PLOTTER</t>
  </si>
  <si>
    <t>wmplotagem2@gmail.com</t>
  </si>
  <si>
    <t>igplottergrafica@gmail.com</t>
  </si>
  <si>
    <t>11.246.370/0001-20</t>
  </si>
  <si>
    <t>M1378</t>
  </si>
  <si>
    <t>EXEMPLO/MODELO</t>
  </si>
  <si>
    <t>BDI ITILIZADOS:</t>
  </si>
  <si>
    <r>
      <t>VALOR TOTAL ESTIMADO COM BDI</t>
    </r>
    <r>
      <rPr>
        <sz val="12"/>
        <rFont val="Calibri"/>
        <family val="2"/>
      </rPr>
      <t>.........................................................................................................................</t>
    </r>
  </si>
  <si>
    <t>CUSTO UNITÁRIO (R$)</t>
  </si>
  <si>
    <t>PREÇO UNITÁRIO (R$) C/ BDI</t>
  </si>
  <si>
    <t>PREÇO TOTAL (R$) C/ BDI</t>
  </si>
  <si>
    <t>USINA DE MISTURA ASFÁLTICA À QUENTE, TIPO CONTRA FLUXO, PROD 100 A 140 TON/HORA - CHP DIURNO. AF_12/2019</t>
  </si>
  <si>
    <t>USINA DE ASFALTO, TIPO GRAVIMÉTRICA, PROD 150 TON/HORA - CHP DIURNO. AF_12/2019</t>
  </si>
  <si>
    <t>USINA DE MISTURA ASFÁLTICA À QUENTE, TIPO CONTRA FLUXO, PROD 100 A 140 TON/HORA - CHI DIURNO. AF_12/2019</t>
  </si>
  <si>
    <t>USINA DE ASFALTO, TIPO GRAVIMÉTRICA, PROD 150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</si>
  <si>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</si>
  <si>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</si>
  <si>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</si>
  <si>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</si>
  <si>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</si>
  <si>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</si>
  <si>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</si>
  <si>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</si>
  <si>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</si>
  <si>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</si>
  <si>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</si>
  <si>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</si>
  <si>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</si>
  <si>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</si>
  <si>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</si>
  <si>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</si>
  <si>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</si>
  <si>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</si>
  <si>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</si>
  <si>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</si>
  <si>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</si>
  <si>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</si>
  <si>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</si>
  <si>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</si>
  <si>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</si>
  <si>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</si>
  <si>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</si>
  <si>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</si>
  <si>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</si>
  <si>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</si>
  <si>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</si>
  <si>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</si>
  <si>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</si>
  <si>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</si>
  <si>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</si>
  <si>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</si>
  <si>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</si>
  <si>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</si>
  <si>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</si>
  <si>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</si>
  <si>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</si>
  <si>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</si>
  <si>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</si>
  <si>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</si>
  <si>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</si>
  <si>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</si>
  <si>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</si>
  <si>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</si>
  <si>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</si>
  <si>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</si>
  <si>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</si>
  <si>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</si>
  <si>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</si>
  <si>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</si>
  <si>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</si>
  <si>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</si>
  <si>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</si>
  <si>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</si>
  <si>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</si>
  <si>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</si>
  <si>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</si>
  <si>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</si>
  <si>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</si>
  <si>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</si>
  <si>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</si>
  <si>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</si>
  <si>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</si>
  <si>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</si>
  <si>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</si>
  <si>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</si>
  <si>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</si>
  <si>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</si>
  <si>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</si>
  <si>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</si>
  <si>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</si>
  <si>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</si>
  <si>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</si>
  <si>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</si>
  <si>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</si>
  <si>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</si>
  <si>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</si>
  <si>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</si>
  <si>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</si>
  <si>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</si>
  <si>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</si>
  <si>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</si>
  <si>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</si>
  <si>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</si>
  <si>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</si>
  <si>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</si>
  <si>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</si>
  <si>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</si>
  <si>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</si>
  <si>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</si>
  <si>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</si>
  <si>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</si>
  <si>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</si>
  <si>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</si>
  <si>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</si>
  <si>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</si>
  <si>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</si>
  <si>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</si>
  <si>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</si>
  <si>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</si>
  <si>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</si>
  <si>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</si>
  <si>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</si>
  <si>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</si>
  <si>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</si>
  <si>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</si>
  <si>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</si>
  <si>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</si>
  <si>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</si>
  <si>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</si>
  <si>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</si>
  <si>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</si>
  <si>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</si>
  <si>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</si>
  <si>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</si>
  <si>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</si>
  <si>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</si>
  <si>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</si>
  <si>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</si>
  <si>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</si>
  <si>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</si>
  <si>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</si>
  <si>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</si>
  <si>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</si>
  <si>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</si>
  <si>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</si>
  <si>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</si>
  <si>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</si>
  <si>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</si>
  <si>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</si>
  <si>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</si>
  <si>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</si>
  <si>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</si>
  <si>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</si>
  <si>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</si>
  <si>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</si>
  <si>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</si>
  <si>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</si>
  <si>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</si>
  <si>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</si>
  <si>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</si>
  <si>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</si>
  <si>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</si>
  <si>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</si>
  <si>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</si>
  <si>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</si>
  <si>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</si>
  <si>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</si>
  <si>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</si>
  <si>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</si>
  <si>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</si>
  <si>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</si>
  <si>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</si>
  <si>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</si>
  <si>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</si>
  <si>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</si>
  <si>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</si>
  <si>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</si>
  <si>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</si>
  <si>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</si>
  <si>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</si>
  <si>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</si>
  <si>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</si>
  <si>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</si>
  <si>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</si>
  <si>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</si>
  <si>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</si>
  <si>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</si>
  <si>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</si>
  <si>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</si>
  <si>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</si>
  <si>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</si>
  <si>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</si>
  <si>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</si>
  <si>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</si>
  <si>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</si>
  <si>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</si>
  <si>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</si>
  <si>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</si>
  <si>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</si>
  <si>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</si>
  <si>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</si>
  <si>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</si>
  <si>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</si>
  <si>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</si>
  <si>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</si>
  <si>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</si>
  <si>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</si>
  <si>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</si>
  <si>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</si>
  <si>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</si>
  <si>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</si>
  <si>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</si>
  <si>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</si>
  <si>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</si>
  <si>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</si>
  <si>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</si>
  <si>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</si>
  <si>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</si>
  <si>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</si>
  <si>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</si>
  <si>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</si>
  <si>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</si>
  <si>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</si>
  <si>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</si>
  <si>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</si>
  <si>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</si>
  <si>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</si>
  <si>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</si>
  <si>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</si>
  <si>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</si>
  <si>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</si>
  <si>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</si>
  <si>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</si>
  <si>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</si>
  <si>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</si>
  <si>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</si>
  <si>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</si>
  <si>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</si>
  <si>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</si>
  <si>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</si>
  <si>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</si>
  <si>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</si>
  <si>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</si>
  <si>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</si>
  <si>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</si>
  <si>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</si>
  <si>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</si>
  <si>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</si>
  <si>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</si>
  <si>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</si>
  <si>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</si>
  <si>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</si>
  <si>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</si>
  <si>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</si>
  <si>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</si>
  <si>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</si>
  <si>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</si>
  <si>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</si>
  <si>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</si>
  <si>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</si>
  <si>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</si>
  <si>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</si>
  <si>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MACADAME SECO - EXCLUSIVE CARGA E TRANSPORTE. AF_11/2019</t>
  </si>
  <si>
    <t>EXECUÇÃO DE PINTURA DE LIGAÇÃO COM EMULSÃO ASFÁLTICA RR-2C.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</si>
  <si>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</si>
  <si>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</si>
  <si>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</si>
  <si>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</si>
  <si>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</si>
  <si>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</si>
  <si>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</si>
  <si>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</si>
  <si>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</si>
  <si>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</si>
  <si>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</si>
  <si>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</si>
  <si>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</si>
  <si>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</si>
  <si>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</si>
  <si>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</si>
  <si>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</si>
  <si>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</si>
  <si>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</si>
  <si>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</si>
  <si>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</si>
  <si>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</si>
  <si>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</si>
  <si>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</si>
  <si>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</si>
  <si>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</si>
  <si>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</si>
  <si>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</si>
  <si>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</si>
  <si>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</si>
  <si>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</si>
  <si>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</si>
  <si>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</si>
  <si>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</si>
  <si>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</si>
  <si>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</si>
  <si>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</si>
  <si>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</si>
  <si>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</si>
  <si>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</si>
  <si>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</si>
  <si>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</si>
  <si>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</si>
  <si>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</si>
  <si>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</si>
  <si>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</si>
  <si>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</si>
  <si>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</si>
  <si>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</si>
  <si>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</si>
  <si>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</si>
  <si>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</si>
  <si>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</si>
  <si>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</si>
  <si>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</si>
  <si>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</si>
  <si>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</si>
  <si>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</si>
  <si>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</si>
  <si>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</si>
  <si>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</si>
  <si>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</si>
  <si>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</si>
  <si>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</si>
  <si>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</si>
  <si>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</si>
  <si>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</si>
  <si>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</si>
  <si>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</si>
  <si>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</si>
  <si>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</si>
  <si>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</si>
  <si>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</si>
  <si>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</si>
  <si>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</si>
  <si>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</si>
  <si>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</si>
  <si>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</si>
  <si>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</si>
  <si>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</si>
  <si>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</si>
  <si>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</si>
  <si>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</si>
  <si>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</si>
  <si>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</si>
  <si>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</si>
  <si>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</si>
  <si>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</si>
  <si>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</si>
  <si>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</si>
  <si>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</si>
  <si>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</si>
  <si>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</si>
  <si>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</si>
  <si>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</si>
  <si>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</si>
  <si>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</si>
  <si>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</si>
  <si>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</si>
  <si>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</si>
  <si>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</si>
  <si>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</si>
  <si>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</si>
  <si>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</si>
  <si>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</si>
  <si>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</si>
  <si>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</si>
  <si>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</si>
  <si>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</si>
  <si>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</si>
  <si>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</si>
  <si>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</si>
  <si>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</si>
  <si>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</si>
  <si>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</si>
  <si>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</si>
  <si>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</si>
  <si>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</si>
  <si>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</si>
  <si>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</si>
  <si>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</si>
  <si>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</si>
  <si>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</si>
  <si>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</si>
  <si>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</si>
  <si>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</si>
  <si>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</si>
  <si>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</si>
  <si>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</si>
  <si>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</si>
  <si>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</si>
  <si>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</si>
  <si>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</si>
  <si>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</si>
  <si>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</si>
  <si>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</si>
  <si>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</si>
  <si>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</si>
  <si>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</si>
  <si>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</si>
  <si>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</si>
  <si>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</si>
  <si>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</si>
  <si>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</si>
  <si>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</si>
  <si>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</si>
  <si>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</si>
  <si>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</si>
  <si>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</si>
  <si>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</si>
  <si>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</si>
  <si>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</si>
  <si>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</si>
  <si>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</si>
  <si>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</si>
  <si>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TECNICO DE EDIFICACOES COM ENCARGOS COMPLEMENTARES</t>
  </si>
  <si>
    <t>CURSO DE CAPACITAÇÃO PARA TECNICO DE EDIFICACOES (ENCARGOS COMPLEMENTARES) - HORISTA</t>
  </si>
  <si>
    <t>CURSO DE CAPACITAÇÃO PARA TECNICO DE EDIFICACOES (ENCARGOS COMPLEMENTARES) - MENSALISTA</t>
  </si>
  <si>
    <t>ACO CA-25, 10,0 MM, OU 12,5 MM, OU 16,0 MM, OU 20,0 MM, OU 25,0 MM, VERGALHAO</t>
  </si>
  <si>
    <t>ACO CA-25, 20,0 MM, BARRA DE TRANSFERENCIA</t>
  </si>
  <si>
    <t>ACO CA-25, 25,0 MM, BARRA DE TRANSFERENCIA</t>
  </si>
  <si>
    <t>ACO CA-25, 32,0 MM, BARRA DE TRANSFERENCIA</t>
  </si>
  <si>
    <t>ACO CA-25, 6,3 MM OU 8,0 MM, VERGALHAO</t>
  </si>
  <si>
    <t>ACO CA-50, 10,0 MM, OU 12,5 MM, OU 16,0 MM, OU 20,0 MM, DOBRADO E CORTADO</t>
  </si>
  <si>
    <t>ACO CA-50, 12,5 MM OU 16,0 MM, VERGALHAO</t>
  </si>
  <si>
    <t>ACO CA-50, 20,0 MM OU 25,0 MM, VERGALHAO</t>
  </si>
  <si>
    <t>ACO CA-50, 32,0 MM, VERGALHAO</t>
  </si>
  <si>
    <t>ACO CA-60, 4,2 MM OU 5,0 MM, DOBRADO E CORTADO</t>
  </si>
  <si>
    <t>ACO CA-60, 4,2 MM, OU 5,0 MM, OU 6,0 MM, OU 7,0 MM, VERGALHAO</t>
  </si>
  <si>
    <t>ACO CA-60, 6,0 MM OU 7,0 MM, DOBRADO E CORTADO</t>
  </si>
  <si>
    <t>ACO CA-60, 8,0 MM OU 9,5 MM, VERGALHAO</t>
  </si>
  <si>
    <t>ADITIVO ACELERADOR DE PEGA E ENDURECIMENTO PARA ARGAMASSAS E CONCRETOS, LIQUIDO E ISENTO DE CLORETOS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</si>
  <si>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</si>
  <si>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</si>
  <si>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</si>
  <si>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</si>
  <si>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</si>
  <si>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</si>
  <si>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</si>
  <si>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AGENTE DE CURA, PROTETOR DA EVAPORACAO DA AGUA DE HIDRATACAO DO CONCRETO</t>
  </si>
  <si>
    <t>AR CONDICIONADO SPLIT INVERTER, HI-WALL (PAREDE), 24000 BTU/H, CICLO FRIO, 60HZ, CLASSIFICACAO A - SELO PROCEL, GAS HFC, CONTROLE S/FIO</t>
  </si>
  <si>
    <t>AR CONDICIONADO SPLIT INVERTER, PISO TETO, APRESENTANDO ENTRE 54000 E 58000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</si>
  <si>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</si>
  <si>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</si>
  <si>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</si>
  <si>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</si>
  <si>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</si>
  <si>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</si>
  <si>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18000 BTUS/H, CICLO FRIO, 60 HZ, CLASSIFICACAO ENERGETICA A - SELO PROCEL, GAS HFC, CONTROLE S/ FIO</t>
  </si>
  <si>
    <t>AR CONDICIONADO SPLIT ON/OFF, HI-WALL (PAREDE), 24000 BTUS/H, CICLO FRIO, 60 HZ, CLASSIFICACAO ENERGETICA A - SELO PROCEL, GAS HFC, CONTROLE S/ FIO</t>
  </si>
  <si>
    <t>AR CONDICIONADO SPLIT ON/OFF, HI-WALL (PAREDE), 9000 BTUS/H, CICLO 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</si>
  <si>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</si>
  <si>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</si>
  <si>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</si>
  <si>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</si>
  <si>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</si>
  <si>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ARAME FARPADO GALVANIZADO, 14 BWG (2,11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</si>
  <si>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</si>
  <si>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</si>
  <si>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</si>
  <si>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</si>
  <si>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CABO DE ACO GALVANIZADO, DIAMETRO 12,7 MM (1/2"), COM ALMA DE ACO CABO INDEPENDENTE 6 X 25 F</t>
  </si>
  <si>
    <t>CABO DE ACO GALVANIZADO, DIAMETRO 12,7 MM (1/2"), COM ALMA DE FIBRA 6 X 25 F</t>
  </si>
  <si>
    <t>CABO DE ACO GALVANIZADO, DIAMETRO 9,53 MM (3/8"), COM ALMA DE FIBRA 6 X 25 F</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</si>
  <si>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</si>
  <si>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</si>
  <si>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</si>
  <si>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</si>
  <si>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</si>
  <si>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</si>
  <si>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</si>
  <si>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</si>
  <si>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</si>
  <si>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</si>
  <si>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</si>
  <si>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</si>
  <si>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</si>
  <si>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</si>
  <si>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</si>
  <si>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</si>
  <si>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</si>
  <si>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</si>
  <si>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</si>
  <si>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</si>
  <si>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</si>
  <si>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</si>
  <si>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</si>
  <si>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</si>
  <si>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</si>
  <si>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</si>
  <si>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</si>
  <si>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</si>
  <si>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CALHA QUADRADA DE CHAPA DE ACO GALVANIZADA NUM 24, CORTE 100 CM</t>
  </si>
  <si>
    <t>CALHA QUADRADA DE CHAPA DE ACO GALVANIZADA NUM 24, CORTE 33 CM</t>
  </si>
  <si>
    <t>CALHA QUADRADA DE CHAPA DE ACO GALVANIZADA NUM 24, CORTE 50 CM</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</si>
  <si>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</si>
  <si>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</si>
  <si>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</si>
  <si>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</si>
  <si>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CHAPA DE ACO CARBONO GALVANIZADA, PERFURADA (GRADE FUROS) E = 1,5 MM, DIAMETRO DO FURO = 9,52 MM (FUROS ALTERNADOS HORIZ.)</t>
  </si>
  <si>
    <t>CHAPA DE ACO GALVANIZADA BITOLA GSG 24, E = 0,64 (5,12 KG/M2)</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</si>
  <si>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</si>
  <si>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</si>
  <si>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</si>
  <si>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DESMOLDANTE PARA CONCRETO ESTAMPADO</t>
  </si>
  <si>
    <t>ENDURECEDOR MINERAL DE BASE CIMENTICIA PARA PISO DE CONCRETO</t>
  </si>
  <si>
    <t>EPI - FAMILIA ALMOXARIFE - MENSALISTA (ENCARGOS COMPLEMENTARES - COLETADO CAIXA)</t>
  </si>
  <si>
    <t>EPI - FAMILIA ENCARREGADO GERAL - MENSALISTA (ENCARGOS COMPLEMENTARES - COLETADO CAIXA)</t>
  </si>
  <si>
    <t>FERRAMENTAS - FAMILIA ENCARREGADO GERAL - MENSALISTA (ENCARGOS COMPLEMENTARES - COLETADO CAIXA)</t>
  </si>
  <si>
    <t>LAMBRI EM ALUMINIO, DE APROXIMADAMENTE 0,6 KG/M, COM APROXIMADAMENTE 168,0 MM DE LARGURA, 6,0 MM DE ALTURA E 6,0 M DE EXTENSAO</t>
  </si>
  <si>
    <t>LUMINARIA TIPO TARTARUGA A PROVA DE TEMPO, GASES, VAPOR E PO, EM ALUMINIO, COM GRADE, BASE E27, POTENCIA MAXIMA 100 W - REF Y 25/1 (NAO INCLUI LAMPADA)</t>
  </si>
  <si>
    <t>MEMBRANA IMPERMEABILIZANTE A BASE DE POLIUREIA, BICOMPONENTE, APLICACAO A FRIO</t>
  </si>
  <si>
    <t>MEMBRANA IMPERMEABILIZANTE A BASE DE POLIURETANO</t>
  </si>
  <si>
    <t>MEMBRANA IMPERMEABILIZANTE ACRILICA MONOCOMPONENTE</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</si>
  <si>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</si>
  <si>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</si>
  <si>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</si>
  <si>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</si>
  <si>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</si>
  <si>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</si>
  <si>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</si>
  <si>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</si>
  <si>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</si>
  <si>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EM CHAPA ACO DOBRADA, E = 3,04 MM, H = 20 CM, ABAS = 5 CM (4,47 KG/M)</t>
  </si>
  <si>
    <t>PERFIL "U" ENRIJECIDO DE ACO GALVANIZADO, DOBRADO, 150 X 60 X 20 MM, E = 3,00 MM OU 200 X 75 X 25 MM, E = 3,75 MM</t>
  </si>
  <si>
    <t>QUADRO DE DISTRIBUICAO COM BARRAMENTO TRIFASICO, DE EMBUTIR, EM CHAPA DE ACO GALVANIZADO, PARA 18 DISJUNTORES DIN, 100 A, INCLUINDO BARRAMENTO</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</si>
  <si>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</si>
  <si>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</si>
  <si>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</si>
  <si>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</si>
  <si>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</si>
  <si>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</si>
  <si>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</si>
  <si>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</si>
  <si>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</si>
  <si>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</si>
  <si>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</si>
  <si>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</si>
  <si>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</si>
  <si>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</si>
  <si>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</si>
  <si>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RUFO INTERNO/EXTERNO DE CHAPA DE ACO GALVANIZADA NUM 24, CORTE 25 CM</t>
  </si>
  <si>
    <t>SELANTE ACRILICO PARA TRATAMENTO / ACABAMENTO SUPERFICIAL DE CONCRETO ESTAMPADO, APARENTE, PEDRAS E OUTROS</t>
  </si>
  <si>
    <t>SELANTE ELASTICO MONOCOMPONENTE A BASE DE POLIURETANO (PU) PARA JUNTAS DIVERSAS</t>
  </si>
  <si>
    <t>SELANTE MONOCOMPONENTE A BASE DE SILICONE DE BAIXO MODULO, PARA JUNTAS DE PAVIMENTACAO</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</si>
  <si>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</si>
  <si>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</si>
  <si>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</si>
  <si>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</si>
  <si>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</si>
  <si>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</si>
  <si>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</si>
  <si>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</si>
  <si>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</si>
  <si>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</si>
  <si>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</si>
  <si>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</si>
  <si>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</si>
  <si>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</si>
  <si>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</si>
  <si>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</si>
  <si>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</si>
  <si>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</si>
  <si>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</si>
  <si>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</si>
  <si>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TELHA ONDULADA EM ACO ZINCADO, ALTURA DE 17 MM, ESPESSURA DE 0,50 MM, LARGURA UTIL DE APROXIMADAMENTE 985 MM, SEM PINTURA</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</si>
  <si>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</si>
  <si>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</si>
  <si>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</si>
  <si>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</si>
  <si>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</si>
  <si>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</si>
  <si>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TINTA / REVESTIMENTO A BASE DE RESINA EPOXI COM ALCATRAO, BICOMPONENTE</t>
  </si>
  <si>
    <t>TRELICA NERVURADA (ESPACADOR), ALTURA = 120,0 MM, DIAMETRO DOS BANZOS INFERIORES E SUPERIOR = 6,0 MM, DIAMETRO DA DIAGONAL = 4,2 MM</t>
  </si>
  <si>
    <t>DIAS 1 A 30</t>
  </si>
  <si>
    <t>DIAS 31 A 60</t>
  </si>
  <si>
    <t>DIAS 61 A 90</t>
  </si>
  <si>
    <t>CUSTO UNIT. (R$)</t>
  </si>
  <si>
    <t>COT - 06.001</t>
  </si>
  <si>
    <t>COT - 06.003</t>
  </si>
  <si>
    <t>COT - 06.004</t>
  </si>
  <si>
    <t>COT - 06.005</t>
  </si>
  <si>
    <t>COT - 06.006</t>
  </si>
  <si>
    <t>05.03.000</t>
  </si>
  <si>
    <t>DRENAGEM DE ÁGUAS PLUVIAIS</t>
  </si>
  <si>
    <t>05.03.300.1</t>
  </si>
  <si>
    <t>05.03.300.2</t>
  </si>
  <si>
    <t>05.03.300</t>
  </si>
  <si>
    <t>TUBULAÇÕES E CONEXÕES DE PVC</t>
  </si>
  <si>
    <t>CCU - 05.001</t>
  </si>
  <si>
    <t>CCU - 05.002</t>
  </si>
  <si>
    <t>CCU - 05.003</t>
  </si>
  <si>
    <t>CCU - 05.004</t>
  </si>
  <si>
    <t>CCU - 05.005</t>
  </si>
  <si>
    <t>CCU - 05.006</t>
  </si>
  <si>
    <t>05.03.900</t>
  </si>
  <si>
    <t>05.03.900.1</t>
  </si>
  <si>
    <t>05.03.950</t>
  </si>
  <si>
    <t>05.03.950.1</t>
  </si>
  <si>
    <t>05.03.950.2</t>
  </si>
  <si>
    <t>05.03.950.3</t>
  </si>
  <si>
    <t>05.03.950.4</t>
  </si>
  <si>
    <t>05.03.900.2</t>
  </si>
  <si>
    <t>CCU - 05.007</t>
  </si>
  <si>
    <t>03.01.413</t>
  </si>
  <si>
    <t>03.01.413.1</t>
  </si>
  <si>
    <t>03.01.413.2</t>
  </si>
  <si>
    <t>03.01.413.3</t>
  </si>
  <si>
    <t>ESTACAS</t>
  </si>
  <si>
    <t>ARRASAMENTO DE CABEÇA DE ESTACAS</t>
  </si>
  <si>
    <t>M0103</t>
  </si>
  <si>
    <t>ADITIVO ANTIRRICOCHETE PARA PARA CONCRETO PROJETADO</t>
  </si>
  <si>
    <t>CCU - 03.006</t>
  </si>
  <si>
    <t>CCU - 03.008</t>
  </si>
  <si>
    <t>BLOCOS SAPATAS E VIGAS BALDRAME</t>
  </si>
  <si>
    <t>AÇO EM PERFIS ASTM A36</t>
  </si>
  <si>
    <t>06.01.500</t>
  </si>
  <si>
    <t>ATERRAMENTO E PROTEÇÃO CONTRA DESCARGAS ATMOSFÉRICAS</t>
  </si>
  <si>
    <t xml:space="preserve">REF: 74131/8 - SINAPI JAN 2020 </t>
  </si>
  <si>
    <t>06.01.520</t>
  </si>
  <si>
    <t>ACESSÓRIOS</t>
  </si>
  <si>
    <t>06.01.525</t>
  </si>
  <si>
    <t>06.01.520.1</t>
  </si>
  <si>
    <t>06.01.520.2</t>
  </si>
  <si>
    <t>06.01.520.3</t>
  </si>
  <si>
    <t>06.01.520.4</t>
  </si>
  <si>
    <t>06.01.520.5</t>
  </si>
  <si>
    <t>06.01.525.1</t>
  </si>
  <si>
    <t>06.01.525.2</t>
  </si>
  <si>
    <t>06.01.525.3</t>
  </si>
  <si>
    <t>06.01.407</t>
  </si>
  <si>
    <t>06.01.407.1</t>
  </si>
  <si>
    <t>06.01.407.2</t>
  </si>
  <si>
    <t>06.01.407.3</t>
  </si>
  <si>
    <t>06.01.407.4</t>
  </si>
  <si>
    <t>06.01.407.5</t>
  </si>
  <si>
    <t>06.01.407.6</t>
  </si>
  <si>
    <t>06.01.407.7</t>
  </si>
  <si>
    <t>CONJUNTO DE CANTONEIRAS E PARAFUSOS GALVANIZADOS PARA FIXAÇÃO DE PLACAS</t>
  </si>
  <si>
    <t>SUPORTE EM AÇO CARBONO GALVANIZADO PERFIL "C"</t>
  </si>
  <si>
    <t>PELÍCULA RETRORREFLETIVA TIPO I</t>
  </si>
  <si>
    <t>PELÍCULA RETRORREFLETIVA TIPO III</t>
  </si>
  <si>
    <t>TINTA POLIESTER EM PÓ</t>
  </si>
  <si>
    <t>CHAPA DE AÇO ASTM A36</t>
  </si>
  <si>
    <t>COT - 09.001</t>
  </si>
  <si>
    <t>COT - 09.002</t>
  </si>
  <si>
    <t>CCU - 09.005</t>
  </si>
  <si>
    <t>REF: 74022/58 SINAPI JUL 2018</t>
  </si>
  <si>
    <t>ENSAIO DE ABATIMENTO DO TRONCO DE CONE - CONCRETO</t>
  </si>
  <si>
    <t>09.01.100.2</t>
  </si>
  <si>
    <t>OBRA C/BDI</t>
  </si>
  <si>
    <t>ADM LOCAL C/BDI</t>
  </si>
  <si>
    <t>M0160</t>
  </si>
  <si>
    <t>EXTINTOR ESPUMA MECÂNICA 10 L</t>
  </si>
  <si>
    <t>CAESB</t>
  </si>
  <si>
    <t>CEB</t>
  </si>
  <si>
    <t>INTERN</t>
  </si>
  <si>
    <t xml:space="preserve">Cálculo do reajustamento para adequação de preços </t>
  </si>
  <si>
    <t>ICC COLUNA-18=160981 TOTAL BRASÍLIA</t>
  </si>
  <si>
    <t>MÃO-DE-OBRA</t>
  </si>
  <si>
    <t>MAT EQUIP SERV</t>
  </si>
  <si>
    <t>TOTAL</t>
  </si>
  <si>
    <t>TOTAL EDIFICAÇÃO</t>
  </si>
  <si>
    <t>COL-20 161007</t>
  </si>
  <si>
    <t>COL-19 160991</t>
  </si>
  <si>
    <t>var.%acumul.material</t>
  </si>
  <si>
    <t>var.%acumul.total</t>
  </si>
  <si>
    <t>COL-18 160981</t>
  </si>
  <si>
    <t>COL-35 159428</t>
  </si>
  <si>
    <t>JAN-20</t>
  </si>
  <si>
    <t>FEV-20</t>
  </si>
  <si>
    <t>MAR-20</t>
  </si>
  <si>
    <t>ABR-20</t>
  </si>
  <si>
    <t>MAI-20</t>
  </si>
  <si>
    <t>JUN-20</t>
  </si>
  <si>
    <t>MÃO DE OBRA</t>
  </si>
  <si>
    <t>EDIFICAÇÃO</t>
  </si>
  <si>
    <t>multiplicador</t>
  </si>
  <si>
    <t>Variação acumulada</t>
  </si>
  <si>
    <r>
      <t xml:space="preserve">i </t>
    </r>
    <r>
      <rPr>
        <sz val="6"/>
        <color indexed="8"/>
        <rFont val="Arial"/>
        <family val="2"/>
      </rPr>
      <t>0</t>
    </r>
    <r>
      <rPr>
        <sz val="12"/>
        <color indexed="8"/>
        <rFont val="Arial"/>
        <family val="2"/>
      </rPr>
      <t xml:space="preserve">  /  i</t>
    </r>
    <r>
      <rPr>
        <sz val="6"/>
        <color indexed="8"/>
        <rFont val="Arial"/>
        <family val="2"/>
      </rPr>
      <t xml:space="preserve"> 1</t>
    </r>
  </si>
  <si>
    <t>Número do índice</t>
  </si>
  <si>
    <t>COL. 20 161007</t>
  </si>
  <si>
    <t>COL. 19 160991</t>
  </si>
  <si>
    <t>COL. 18 160981</t>
  </si>
  <si>
    <t>COL. 35 159428</t>
  </si>
  <si>
    <t>M.O</t>
  </si>
  <si>
    <t>TIPO</t>
  </si>
  <si>
    <t>JUL-20</t>
  </si>
  <si>
    <t>5,76</t>
  </si>
  <si>
    <t>6,42</t>
  </si>
  <si>
    <t>8,11</t>
  </si>
  <si>
    <t>9,81</t>
  </si>
  <si>
    <t>11,51</t>
  </si>
  <si>
    <t>13,21</t>
  </si>
  <si>
    <t>14,94</t>
  </si>
  <si>
    <t>16,64</t>
  </si>
  <si>
    <t>25,87</t>
  </si>
  <si>
    <t>29,43</t>
  </si>
  <si>
    <t>3,87</t>
  </si>
  <si>
    <t>4,91</t>
  </si>
  <si>
    <t>5,93</t>
  </si>
  <si>
    <t>11,18</t>
  </si>
  <si>
    <t>13,49</t>
  </si>
  <si>
    <t>15,79</t>
  </si>
  <si>
    <t>17,90</t>
  </si>
  <si>
    <t>33,22</t>
  </si>
  <si>
    <t>37,52</t>
  </si>
  <si>
    <t>40,14</t>
  </si>
  <si>
    <t>62,55</t>
  </si>
  <si>
    <t>19,00</t>
  </si>
  <si>
    <t>36,93</t>
  </si>
  <si>
    <t>2,04</t>
  </si>
  <si>
    <t>2,49</t>
  </si>
  <si>
    <t>2,95</t>
  </si>
  <si>
    <t>3,40</t>
  </si>
  <si>
    <t>4,32</t>
  </si>
  <si>
    <t>9,54</t>
  </si>
  <si>
    <t>4,55</t>
  </si>
  <si>
    <t>5,01</t>
  </si>
  <si>
    <t>5,46</t>
  </si>
  <si>
    <t>5,92</t>
  </si>
  <si>
    <t>6,37</t>
  </si>
  <si>
    <t>13,64</t>
  </si>
  <si>
    <t>3,66</t>
  </si>
  <si>
    <t>4,12</t>
  </si>
  <si>
    <t>4,57</t>
  </si>
  <si>
    <t>5,03</t>
  </si>
  <si>
    <t>5,48</t>
  </si>
  <si>
    <t>5,94</t>
  </si>
  <si>
    <t>12,77</t>
  </si>
  <si>
    <t>6,17</t>
  </si>
  <si>
    <t>7,09</t>
  </si>
  <si>
    <t>7,54</t>
  </si>
  <si>
    <t>7,99</t>
  </si>
  <si>
    <t>16,88</t>
  </si>
  <si>
    <t>0,68</t>
  </si>
  <si>
    <t>1,18</t>
  </si>
  <si>
    <t>18,50</t>
  </si>
  <si>
    <t>26,88</t>
  </si>
  <si>
    <t>35,43</t>
  </si>
  <si>
    <t>0,87</t>
  </si>
  <si>
    <t>1,50</t>
  </si>
  <si>
    <t>18,30</t>
  </si>
  <si>
    <t>25,68</t>
  </si>
  <si>
    <t>38,99</t>
  </si>
  <si>
    <t>1,52</t>
  </si>
  <si>
    <t>2,13</t>
  </si>
  <si>
    <t>2,71</t>
  </si>
  <si>
    <t>0,67</t>
  </si>
  <si>
    <t>0,96</t>
  </si>
  <si>
    <t>1,23</t>
  </si>
  <si>
    <t>5,91</t>
  </si>
  <si>
    <t>9,07</t>
  </si>
  <si>
    <t>10,72</t>
  </si>
  <si>
    <t>12,26</t>
  </si>
  <si>
    <t>15,44</t>
  </si>
  <si>
    <t>17,13</t>
  </si>
  <si>
    <t>14,12</t>
  </si>
  <si>
    <t>23,20</t>
  </si>
  <si>
    <t>26,33</t>
  </si>
  <si>
    <t>29,39</t>
  </si>
  <si>
    <t>32,45</t>
  </si>
  <si>
    <t>66,87</t>
  </si>
  <si>
    <t>3,88</t>
  </si>
  <si>
    <t>7,28</t>
  </si>
  <si>
    <t>12,27</t>
  </si>
  <si>
    <t>13,94</t>
  </si>
  <si>
    <t>1,78</t>
  </si>
  <si>
    <t>3,62</t>
  </si>
  <si>
    <t>4,46</t>
  </si>
  <si>
    <t>5,30</t>
  </si>
  <si>
    <t>6,13</t>
  </si>
  <si>
    <t>90,28</t>
  </si>
  <si>
    <t>11,41</t>
  </si>
  <si>
    <t>6,35</t>
  </si>
  <si>
    <t>5,38</t>
  </si>
  <si>
    <t>2,86</t>
  </si>
  <si>
    <t>4,61</t>
  </si>
  <si>
    <t>11,61</t>
  </si>
  <si>
    <t>1,73</t>
  </si>
  <si>
    <t>3,51</t>
  </si>
  <si>
    <t>1,29</t>
  </si>
  <si>
    <t>5,35</t>
  </si>
  <si>
    <t>10,49</t>
  </si>
  <si>
    <t>6,88</t>
  </si>
  <si>
    <t>10,36</t>
  </si>
  <si>
    <t>16,04</t>
  </si>
  <si>
    <t>15,15</t>
  </si>
  <si>
    <t>13,66</t>
  </si>
  <si>
    <t>8,00</t>
  </si>
  <si>
    <t>2,09</t>
  </si>
  <si>
    <t>0,18</t>
  </si>
  <si>
    <t>16,28</t>
  </si>
  <si>
    <t>MÁQUINA JATO DE PRESSAO PORTÁTIL, CAMARA DE 1 SAIDA, CAPACIDADE 280 L, DIAMETRO 670 MM, BICO DE JATO CURTO VENTURI DE 5/16'' , MANGUEIRA DE 1'' COM COMPRESSOR DE AR REBOCÁVEL 189 PCM E MOTOR DIESEL 63 CV - CHP DIURNO. AF_03/2016</t>
  </si>
  <si>
    <t>9,30</t>
  </si>
  <si>
    <t>0,06</t>
  </si>
  <si>
    <t>2,29</t>
  </si>
  <si>
    <t>6,00</t>
  </si>
  <si>
    <t>19,80</t>
  </si>
  <si>
    <t>1,02</t>
  </si>
  <si>
    <t>2,88</t>
  </si>
  <si>
    <t>1,01</t>
  </si>
  <si>
    <t>1,98</t>
  </si>
  <si>
    <t>0,15</t>
  </si>
  <si>
    <t>2,28</t>
  </si>
  <si>
    <t>44,85</t>
  </si>
  <si>
    <t>39,77</t>
  </si>
  <si>
    <t>30,00</t>
  </si>
  <si>
    <t>1,55</t>
  </si>
  <si>
    <t>2,65</t>
  </si>
  <si>
    <t>31,53</t>
  </si>
  <si>
    <t>3,75</t>
  </si>
  <si>
    <t>0,19</t>
  </si>
  <si>
    <t>5,18</t>
  </si>
  <si>
    <t>0,36</t>
  </si>
  <si>
    <t>0,71</t>
  </si>
  <si>
    <t>0,85</t>
  </si>
  <si>
    <t>4,43</t>
  </si>
  <si>
    <t>0,26</t>
  </si>
  <si>
    <t>0,30</t>
  </si>
  <si>
    <t>3,05</t>
  </si>
  <si>
    <t>1,09</t>
  </si>
  <si>
    <t>1,34</t>
  </si>
  <si>
    <t>0,32</t>
  </si>
  <si>
    <t>5,09</t>
  </si>
  <si>
    <t>0,54</t>
  </si>
  <si>
    <t>3,31</t>
  </si>
  <si>
    <t>3,54</t>
  </si>
  <si>
    <t>4,20</t>
  </si>
  <si>
    <t>34,37</t>
  </si>
  <si>
    <t>3,55</t>
  </si>
  <si>
    <t>9,03</t>
  </si>
  <si>
    <t>33,30</t>
  </si>
  <si>
    <t>0,73</t>
  </si>
  <si>
    <t>4,56</t>
  </si>
  <si>
    <t>0,79</t>
  </si>
  <si>
    <t>0,08</t>
  </si>
  <si>
    <t>0,16</t>
  </si>
  <si>
    <t>0,33</t>
  </si>
  <si>
    <t>17,91</t>
  </si>
  <si>
    <t>MÁQUINA JATO DE PRESSAO PORTÁTIL, CAMARA DE 1 SAIDA, CAPACIDADE 280 L, DIAMETRO 670 MM, BICO DE JATO CURTO VENTURI DE 5/16'' , MANGUEIRA DE 1'' COM COMPRESSOR DE AR REBOCÁVEL 189 PCM E MOTOR DIESEL 63 CV - CHI DIURNO. AF_03/2016</t>
  </si>
  <si>
    <t>24,64</t>
  </si>
  <si>
    <t>0,24</t>
  </si>
  <si>
    <t>3,25</t>
  </si>
  <si>
    <t>0,04</t>
  </si>
  <si>
    <t>0,88</t>
  </si>
  <si>
    <t>0,46</t>
  </si>
  <si>
    <t>0,45</t>
  </si>
  <si>
    <t>18,79</t>
  </si>
  <si>
    <t>7,36</t>
  </si>
  <si>
    <t>0,12</t>
  </si>
  <si>
    <t>0,13</t>
  </si>
  <si>
    <t>3,23</t>
  </si>
  <si>
    <t>42,55</t>
  </si>
  <si>
    <t>8,24</t>
  </si>
  <si>
    <t>5,98</t>
  </si>
  <si>
    <t>27,29</t>
  </si>
  <si>
    <t>14,24</t>
  </si>
  <si>
    <t>1,92</t>
  </si>
  <si>
    <t>2,54</t>
  </si>
  <si>
    <t>2,92</t>
  </si>
  <si>
    <t>0,29</t>
  </si>
  <si>
    <t>0,53</t>
  </si>
  <si>
    <t>6,04</t>
  </si>
  <si>
    <t>24,74</t>
  </si>
  <si>
    <t>0,17</t>
  </si>
  <si>
    <t>0,02</t>
  </si>
  <si>
    <t>3,04</t>
  </si>
  <si>
    <t>27,46</t>
  </si>
  <si>
    <t>10,29</t>
  </si>
  <si>
    <t>1,42</t>
  </si>
  <si>
    <t>11,25</t>
  </si>
  <si>
    <t>35,00</t>
  </si>
  <si>
    <t>2,51</t>
  </si>
  <si>
    <t>1,36</t>
  </si>
  <si>
    <t>0,94</t>
  </si>
  <si>
    <t>37,36</t>
  </si>
  <si>
    <t>1,38</t>
  </si>
  <si>
    <t>1,14</t>
  </si>
  <si>
    <t>4,39</t>
  </si>
  <si>
    <t>3,91</t>
  </si>
  <si>
    <t>16,46</t>
  </si>
  <si>
    <t>18,00</t>
  </si>
  <si>
    <t>10,80</t>
  </si>
  <si>
    <t>9,36</t>
  </si>
  <si>
    <t>11,70</t>
  </si>
  <si>
    <t>25,92</t>
  </si>
  <si>
    <t>1,05</t>
  </si>
  <si>
    <t>0,03</t>
  </si>
  <si>
    <t>0,31</t>
  </si>
  <si>
    <t>2,19</t>
  </si>
  <si>
    <t>0,64</t>
  </si>
  <si>
    <t>0,07</t>
  </si>
  <si>
    <t>0,80</t>
  </si>
  <si>
    <t>1,87</t>
  </si>
  <si>
    <t>0,76</t>
  </si>
  <si>
    <t>0,09</t>
  </si>
  <si>
    <t>0,95</t>
  </si>
  <si>
    <t>2,81</t>
  </si>
  <si>
    <t>0,60</t>
  </si>
  <si>
    <t>1,12</t>
  </si>
  <si>
    <t>3,96</t>
  </si>
  <si>
    <t>0,47</t>
  </si>
  <si>
    <t>2,85</t>
  </si>
  <si>
    <t>5,25</t>
  </si>
  <si>
    <t>0,62</t>
  </si>
  <si>
    <t>2,46</t>
  </si>
  <si>
    <t>0,22</t>
  </si>
  <si>
    <t>0,75</t>
  </si>
  <si>
    <t>3,08</t>
  </si>
  <si>
    <t>18,10</t>
  </si>
  <si>
    <t>4,07</t>
  </si>
  <si>
    <t>14,55</t>
  </si>
  <si>
    <t>0,14</t>
  </si>
  <si>
    <t>0,01</t>
  </si>
  <si>
    <t>1,66</t>
  </si>
  <si>
    <t>3,59</t>
  </si>
  <si>
    <t>5,04</t>
  </si>
  <si>
    <t>13,30</t>
  </si>
  <si>
    <t>16,53</t>
  </si>
  <si>
    <t>2,01</t>
  </si>
  <si>
    <t>0,27</t>
  </si>
  <si>
    <t>2,62</t>
  </si>
  <si>
    <t>17,29</t>
  </si>
  <si>
    <t>1,04</t>
  </si>
  <si>
    <t>4,05</t>
  </si>
  <si>
    <t>15,83</t>
  </si>
  <si>
    <t>15,18</t>
  </si>
  <si>
    <t>2,39</t>
  </si>
  <si>
    <t>0,98</t>
  </si>
  <si>
    <t>0,11</t>
  </si>
  <si>
    <t>0,92</t>
  </si>
  <si>
    <t>14,54</t>
  </si>
  <si>
    <t>11,84</t>
  </si>
  <si>
    <t>9,70</t>
  </si>
  <si>
    <t>9,98</t>
  </si>
  <si>
    <t>2,08</t>
  </si>
  <si>
    <t>8,08</t>
  </si>
  <si>
    <t>1,68</t>
  </si>
  <si>
    <t>0,65</t>
  </si>
  <si>
    <t>26,42</t>
  </si>
  <si>
    <t>1,84</t>
  </si>
  <si>
    <t>1,20</t>
  </si>
  <si>
    <t>4,38</t>
  </si>
  <si>
    <t>19,44</t>
  </si>
  <si>
    <t>2,69</t>
  </si>
  <si>
    <t>1,39</t>
  </si>
  <si>
    <t>1,46</t>
  </si>
  <si>
    <t>1,47</t>
  </si>
  <si>
    <t>3,45</t>
  </si>
  <si>
    <t>3,33</t>
  </si>
  <si>
    <t>4,98</t>
  </si>
  <si>
    <t>0,49</t>
  </si>
  <si>
    <t>0,05</t>
  </si>
  <si>
    <t>5,80</t>
  </si>
  <si>
    <t>0,35</t>
  </si>
  <si>
    <t>3,24</t>
  </si>
  <si>
    <t>3,81</t>
  </si>
  <si>
    <t>3,17</t>
  </si>
  <si>
    <t>0,37</t>
  </si>
  <si>
    <t>3,47</t>
  </si>
  <si>
    <t>3,77</t>
  </si>
  <si>
    <t>21,46</t>
  </si>
  <si>
    <t>17,08</t>
  </si>
  <si>
    <t>27,06</t>
  </si>
  <si>
    <t>2,33</t>
  </si>
  <si>
    <t>1,10</t>
  </si>
  <si>
    <t>3,70</t>
  </si>
  <si>
    <t>0,51</t>
  </si>
  <si>
    <t>4,63</t>
  </si>
  <si>
    <t>3,21</t>
  </si>
  <si>
    <t>11,43</t>
  </si>
  <si>
    <t>2,40</t>
  </si>
  <si>
    <t>0,81</t>
  </si>
  <si>
    <t>12,15</t>
  </si>
  <si>
    <t>1,86</t>
  </si>
  <si>
    <t>0,72</t>
  </si>
  <si>
    <t>10,06</t>
  </si>
  <si>
    <t>2,11</t>
  </si>
  <si>
    <t>12,98</t>
  </si>
  <si>
    <t>0,93</t>
  </si>
  <si>
    <t>0,61</t>
  </si>
  <si>
    <t>14,67</t>
  </si>
  <si>
    <t>2,70</t>
  </si>
  <si>
    <t>1,06</t>
  </si>
  <si>
    <t>9,60</t>
  </si>
  <si>
    <t>0,77</t>
  </si>
  <si>
    <t>12,91</t>
  </si>
  <si>
    <t>0,89</t>
  </si>
  <si>
    <t>2,99</t>
  </si>
  <si>
    <t>3,68</t>
  </si>
  <si>
    <t>9,25</t>
  </si>
  <si>
    <t>1,93</t>
  </si>
  <si>
    <t>1,63</t>
  </si>
  <si>
    <t>1,90</t>
  </si>
  <si>
    <t>4,13</t>
  </si>
  <si>
    <t>3,44</t>
  </si>
  <si>
    <t>14,40</t>
  </si>
  <si>
    <t>1,17</t>
  </si>
  <si>
    <t>0,55</t>
  </si>
  <si>
    <t>0,10</t>
  </si>
  <si>
    <t>7,69</t>
  </si>
  <si>
    <t>0,48</t>
  </si>
  <si>
    <t>9,61</t>
  </si>
  <si>
    <t>2,34</t>
  </si>
  <si>
    <t>2,93</t>
  </si>
  <si>
    <t>3,09</t>
  </si>
  <si>
    <t>0,44</t>
  </si>
  <si>
    <t>4,11</t>
  </si>
  <si>
    <t>4,78</t>
  </si>
  <si>
    <t>0,28</t>
  </si>
  <si>
    <t>0,66</t>
  </si>
  <si>
    <t>3,00</t>
  </si>
  <si>
    <t>2,87</t>
  </si>
  <si>
    <t>26,44</t>
  </si>
  <si>
    <t>5,61</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</si>
  <si>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</si>
  <si>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</si>
  <si>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</si>
  <si>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5,49</t>
  </si>
  <si>
    <t>MÁQUINA JATO DE PRESSAO PORTÁTIL, CAMARA DE 1 SAIDA, CAPACIDADE 280 L, DIAMETRO 670 MM, BICO DE JATO CURTO VENTURI DE 5/16'' , MANGUEIRA DE 1'' COM COMPRESSOR DE AR REBOCÁVEL 189 PCM E MOTOR DIESEL 63 CV - MATERIAIS NA OPERAÇÃO. AF_03/2016</t>
  </si>
  <si>
    <t>0,21</t>
  </si>
  <si>
    <t>8,88</t>
  </si>
  <si>
    <t>2,76</t>
  </si>
  <si>
    <t>34,63</t>
  </si>
  <si>
    <t>0,70</t>
  </si>
  <si>
    <t>3,48</t>
  </si>
  <si>
    <t>11,88</t>
  </si>
  <si>
    <t>3,57</t>
  </si>
  <si>
    <t>31,99</t>
  </si>
  <si>
    <t>6,12</t>
  </si>
  <si>
    <t>1,79</t>
  </si>
  <si>
    <t>12,47</t>
  </si>
  <si>
    <t>20,23</t>
  </si>
  <si>
    <t>3,64</t>
  </si>
  <si>
    <t>16,65</t>
  </si>
  <si>
    <t>2,75</t>
  </si>
  <si>
    <t>0,42</t>
  </si>
  <si>
    <t>0,41</t>
  </si>
  <si>
    <t>3,28</t>
  </si>
  <si>
    <t>29,64</t>
  </si>
  <si>
    <t>0,38</t>
  </si>
  <si>
    <t>4,09</t>
  </si>
  <si>
    <t>20,92</t>
  </si>
  <si>
    <t>3,78</t>
  </si>
  <si>
    <t>5,57</t>
  </si>
  <si>
    <t>6,24</t>
  </si>
  <si>
    <t>12,20</t>
  </si>
  <si>
    <t>12,09</t>
  </si>
  <si>
    <t>1,67</t>
  </si>
  <si>
    <t>13,22</t>
  </si>
  <si>
    <t>9,34</t>
  </si>
  <si>
    <t>1,22</t>
  </si>
  <si>
    <t>9,45</t>
  </si>
  <si>
    <t>1,30</t>
  </si>
  <si>
    <t>1,97</t>
  </si>
  <si>
    <t>18,15</t>
  </si>
  <si>
    <t>14,59</t>
  </si>
  <si>
    <t>38,42</t>
  </si>
  <si>
    <t>5,55</t>
  </si>
  <si>
    <t>16,69</t>
  </si>
  <si>
    <t>14,18</t>
  </si>
  <si>
    <t>25,26</t>
  </si>
  <si>
    <t>18,82</t>
  </si>
  <si>
    <t>13,73</t>
  </si>
  <si>
    <t>15,82</t>
  </si>
  <si>
    <t>15,25</t>
  </si>
  <si>
    <t>15,02</t>
  </si>
  <si>
    <t>2,52</t>
  </si>
  <si>
    <t>24,58</t>
  </si>
  <si>
    <t>10,43</t>
  </si>
  <si>
    <t>19,08</t>
  </si>
  <si>
    <t>39,06</t>
  </si>
  <si>
    <t>20,74</t>
  </si>
  <si>
    <t>41,51</t>
  </si>
  <si>
    <t>28,61</t>
  </si>
  <si>
    <t>7,05</t>
  </si>
  <si>
    <t>6,46</t>
  </si>
  <si>
    <t>6,10</t>
  </si>
  <si>
    <t>100,62</t>
  </si>
  <si>
    <t>10,35</t>
  </si>
  <si>
    <t>9,41</t>
  </si>
  <si>
    <t>8,27</t>
  </si>
  <si>
    <t>7,08</t>
  </si>
  <si>
    <t>6,85</t>
  </si>
  <si>
    <t>26,48</t>
  </si>
  <si>
    <t>33,76</t>
  </si>
  <si>
    <t>36,58</t>
  </si>
  <si>
    <t>65,16</t>
  </si>
  <si>
    <t>29,47</t>
  </si>
  <si>
    <t>18,26</t>
  </si>
  <si>
    <t>25,08</t>
  </si>
  <si>
    <t>14,38</t>
  </si>
  <si>
    <t>17,95</t>
  </si>
  <si>
    <t>17,17</t>
  </si>
  <si>
    <t>9,91</t>
  </si>
  <si>
    <t>16,85</t>
  </si>
  <si>
    <t>38,26</t>
  </si>
  <si>
    <t>29,46</t>
  </si>
  <si>
    <t>6,81</t>
  </si>
  <si>
    <t>42,57</t>
  </si>
  <si>
    <t>35,65</t>
  </si>
  <si>
    <t>51,46</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</si>
  <si>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</si>
  <si>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</si>
  <si>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</si>
  <si>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</si>
  <si>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</si>
  <si>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</si>
  <si>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</si>
  <si>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</si>
  <si>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</si>
  <si>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</si>
  <si>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</si>
  <si>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</si>
  <si>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</si>
  <si>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</si>
  <si>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</si>
  <si>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</si>
  <si>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</si>
  <si>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</si>
  <si>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38,58</t>
  </si>
  <si>
    <t>5,47</t>
  </si>
  <si>
    <t>6,32</t>
  </si>
  <si>
    <t>ESTACA METÁLICA PARA FUNDAÇÃO, UTILIZANDO PERFIL LAMINADO HP250X62 (EXCLUSIVE MOBILIZAÇÃO E DESMOBILIZAÇÃO). AF_01/2020</t>
  </si>
  <si>
    <t>7,61</t>
  </si>
  <si>
    <t>ESTACA METÁLICA PARA FUNDAÇÃO, UTILIZANDO PERFIL LAMINADO HP310X79 (EXCLUSIVE MOBILIZAÇÃO E DESMOBILIZAÇÃO). AF_01/2020</t>
  </si>
  <si>
    <t>7,51</t>
  </si>
  <si>
    <t>ESTACA METÁLICA PARA CONTENÇÃO, UTILIZANDO PERFIL LAMINADO W250X32,7 (EXCLUSIVE MOBILIZAÇÃO E DESMOBILIZAÇÃO). AF_01/2020</t>
  </si>
  <si>
    <t>7,33</t>
  </si>
  <si>
    <t>ESTACA METÁLICA PARA CONTENÇÃO, UTILIZANDO PERFIL LAMINADO W250X38,5 (EXCLUSIVE MOBILIZAÇÃO E DESMOBILIZAÇÃO). AF_01/2020</t>
  </si>
  <si>
    <t>7,22</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</si>
  <si>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</si>
  <si>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</si>
  <si>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</si>
  <si>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</si>
  <si>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</si>
  <si>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</si>
  <si>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</si>
  <si>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</si>
  <si>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</si>
  <si>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</si>
  <si>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ACABAMENTO POLIDO PARA PISO DE CONCRETO ARMADO DE ALTA RESISTÊNCIA. AF_09/2017</t>
  </si>
  <si>
    <t>17,61</t>
  </si>
  <si>
    <t>16,16</t>
  </si>
  <si>
    <t>13,62</t>
  </si>
  <si>
    <t>18,23</t>
  </si>
  <si>
    <t>53,26</t>
  </si>
  <si>
    <t>37,66</t>
  </si>
  <si>
    <t>34,51</t>
  </si>
  <si>
    <t>164,74</t>
  </si>
  <si>
    <t>33,56</t>
  </si>
  <si>
    <t>29,19</t>
  </si>
  <si>
    <t>51,78</t>
  </si>
  <si>
    <t>20,49</t>
  </si>
  <si>
    <t>18,59</t>
  </si>
  <si>
    <t>17,92</t>
  </si>
  <si>
    <t>17,70</t>
  </si>
  <si>
    <t>16,59</t>
  </si>
  <si>
    <t>6,11</t>
  </si>
  <si>
    <t>7,14</t>
  </si>
  <si>
    <t>8,79</t>
  </si>
  <si>
    <t>7,95</t>
  </si>
  <si>
    <t>8,54</t>
  </si>
  <si>
    <t>7,87</t>
  </si>
  <si>
    <t>5,66</t>
  </si>
  <si>
    <t>8,70</t>
  </si>
  <si>
    <t>11,02</t>
  </si>
  <si>
    <t>6,74</t>
  </si>
  <si>
    <t>6,33</t>
  </si>
  <si>
    <t>7,01</t>
  </si>
  <si>
    <t>6,80</t>
  </si>
  <si>
    <t>9,04</t>
  </si>
  <si>
    <t>6,78</t>
  </si>
  <si>
    <t>13,54</t>
  </si>
  <si>
    <t>10,60</t>
  </si>
  <si>
    <t>9,16</t>
  </si>
  <si>
    <t>7,52</t>
  </si>
  <si>
    <t>11,44</t>
  </si>
  <si>
    <t>9,38</t>
  </si>
  <si>
    <t>6,98</t>
  </si>
  <si>
    <t>7,20</t>
  </si>
  <si>
    <t>5,42</t>
  </si>
  <si>
    <t>5,34</t>
  </si>
  <si>
    <t>6,26</t>
  </si>
  <si>
    <t>7,84</t>
  </si>
  <si>
    <t>6,93</t>
  </si>
  <si>
    <t>6,82</t>
  </si>
  <si>
    <t>6,28</t>
  </si>
  <si>
    <t>5,37</t>
  </si>
  <si>
    <t>6,64</t>
  </si>
  <si>
    <t>6,68</t>
  </si>
  <si>
    <t>6,60</t>
  </si>
  <si>
    <t>6,72</t>
  </si>
  <si>
    <t>8,53</t>
  </si>
  <si>
    <t>12,28</t>
  </si>
  <si>
    <t>9,88</t>
  </si>
  <si>
    <t>8,61</t>
  </si>
  <si>
    <t>6,59</t>
  </si>
  <si>
    <t>7,19</t>
  </si>
  <si>
    <t>5,81</t>
  </si>
  <si>
    <t>CORTE E DOBRA DE AÇO CA-50, DIÂMERO DE 32 MM, UTILIZADO EM ESTRUTURAS DIVERSAS, EXCETO LAJE. AF_10/2016</t>
  </si>
  <si>
    <t>8,32</t>
  </si>
  <si>
    <t>6,66</t>
  </si>
  <si>
    <t>7,38</t>
  </si>
  <si>
    <t>MONTAGEM DE ARMADURA LONGITUDINAL DE ESTACAS DE SEÇÃO CIRCULAR, DIÂMETRO = 32,0 MM. AF_11/2016</t>
  </si>
  <si>
    <t>7,68</t>
  </si>
  <si>
    <t>12,83</t>
  </si>
  <si>
    <t>10,69</t>
  </si>
  <si>
    <t>8,65</t>
  </si>
  <si>
    <t>MONTAGEM DE ARMADURA LONGITUDINAL DE ESTACAS DE SEÇÃO RETANGULAR (BARRETE), DIÂMETRO = 32,0 MM. AF_11/2016</t>
  </si>
  <si>
    <t>7,77</t>
  </si>
  <si>
    <t>15,81</t>
  </si>
  <si>
    <t>12,49</t>
  </si>
  <si>
    <t>6,77</t>
  </si>
  <si>
    <t>7,66</t>
  </si>
  <si>
    <t>7,29</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</si>
  <si>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</si>
  <si>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</si>
  <si>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16,36</t>
  </si>
  <si>
    <t>45,62</t>
  </si>
  <si>
    <t>5,20</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</si>
  <si>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</si>
  <si>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</si>
  <si>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</si>
  <si>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8,35</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</si>
  <si>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</si>
  <si>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PARAFUSADAS, INCLUSOS MÃO DE OBRA, TRANSPORTE E IÇAMENTO UTILIZANDO GUINDASTE, PARA EDIFÍCIOS DE 3 A 5 PAVIMENTOS - FORNECIMENTO E INSTALAÇÃO. AF_01/2020_P</t>
  </si>
  <si>
    <t>13,74</t>
  </si>
  <si>
    <t>CONTRAVENTAMENTO COM CANTONEIRAS DE AÇO, ABAS IGUAIS, COM CONEXÕES PARAFUSADAS, INCLUSOS MÃO DE OBRA, TRANSPORTE E IÇAMENTO UTILIZANDO GRUA, PARA EDIFÍCIOS DE 6 A 10 PAVIMENTOS - FORNECIMENTO E INSTALAÇÃO. AF_01/2020_P</t>
  </si>
  <si>
    <t>ESTRUTURA TRELIÇADA DE COBERTURA, TIPO ARCO, COM LIGAÇÕES SOLDADAS, INCLUSOS PERFIS METÁLICOS, CHAPAS METÁLICAS, MÃO DE OBRA E TRANSPORTE COM GUINDASTE - FORNECIMENTO E INSTALAÇÃO. AF_01/2020_P</t>
  </si>
  <si>
    <t>12,35</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</si>
  <si>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</si>
  <si>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</si>
  <si>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8,05</t>
  </si>
  <si>
    <t>ESTRUTURA TRELIÇADA DE COBERTURA, TIPO ARCO, COM LIGAÇÕES PARAFUSADAS, INCLUSOS PERFIS METÁLICOS, CHAPAS METÁLICAS, MÃO DE OBRA E TRANSPORTE COM GUINDASTE - FORNECIMENTO E INSTALAÇÃO. AF_01/2020_P</t>
  </si>
  <si>
    <t>12,41</t>
  </si>
  <si>
    <t>ESTRUTURA TRELIÇADA DE COBERTURA, TIPO SHED, COM LIGAÇÕES PARAFUSADAS, INCLUSOS PERFIS METÁLICOS, CHAPAS METÁLICAS, MÃO DE OBRA E TRANSPORTE COM GUINDASTE - FORNECIMENTO E INSTALAÇÃO. AF_01/2020_P</t>
  </si>
  <si>
    <t>8,55</t>
  </si>
  <si>
    <t>ESTRUTURA TRELIÇADA DE COBERTURA, TIPO FINK, COM LIGAÇÕES PARAFUSADAS, INCLUSOS PERFIS METÁLICOS, CHAPAS METÁLICAS, MÃO DE OBRA E TRANSPORTE COM GUINDASTE - FORNECIMENTO E INSTALAÇÃO. AF_01/2020_P</t>
  </si>
  <si>
    <t>34,16</t>
  </si>
  <si>
    <t>21,03</t>
  </si>
  <si>
    <t>3,56</t>
  </si>
  <si>
    <t>IMPERMEABILIZAÇÃO DE SUPERFÍCIE COM MEMBRANA À BASE DE POLIURETANO, 2 DEMÃOS. AF_06/2018</t>
  </si>
  <si>
    <t>IMPERMEABILIZAÇÃO DE SUPERFÍCIE COM MEMBRANA À BASE DE RESINA ACRÍLICA, 3 DEMÃOS. AF_06/2018</t>
  </si>
  <si>
    <t>33,33</t>
  </si>
  <si>
    <t>35,94</t>
  </si>
  <si>
    <t>6,49</t>
  </si>
  <si>
    <t>6,87</t>
  </si>
  <si>
    <t>7,75</t>
  </si>
  <si>
    <t>10,91</t>
  </si>
  <si>
    <t>8,29</t>
  </si>
  <si>
    <t>10,41</t>
  </si>
  <si>
    <t>4,81</t>
  </si>
  <si>
    <t>5,19</t>
  </si>
  <si>
    <t>6,07</t>
  </si>
  <si>
    <t>6,61</t>
  </si>
  <si>
    <t>8,15</t>
  </si>
  <si>
    <t>8,72</t>
  </si>
  <si>
    <t>10,78</t>
  </si>
  <si>
    <t>11,26</t>
  </si>
  <si>
    <t>13,91</t>
  </si>
  <si>
    <t>7,07</t>
  </si>
  <si>
    <t>15,03</t>
  </si>
  <si>
    <t>11,79</t>
  </si>
  <si>
    <t>17,11</t>
  </si>
  <si>
    <t>23,59</t>
  </si>
  <si>
    <t>5,73</t>
  </si>
  <si>
    <t>7,15</t>
  </si>
  <si>
    <t>7,45</t>
  </si>
  <si>
    <t>17,39</t>
  </si>
  <si>
    <t>6,48</t>
  </si>
  <si>
    <t>15,92</t>
  </si>
  <si>
    <t>20,44</t>
  </si>
  <si>
    <t>3,85</t>
  </si>
  <si>
    <t>7,81</t>
  </si>
  <si>
    <t>6,27</t>
  </si>
  <si>
    <t>8,38</t>
  </si>
  <si>
    <t>6,56</t>
  </si>
  <si>
    <t>8,18</t>
  </si>
  <si>
    <t>9,43</t>
  </si>
  <si>
    <t>12,31</t>
  </si>
  <si>
    <t>14,96</t>
  </si>
  <si>
    <t>8,25</t>
  </si>
  <si>
    <t>11,12</t>
  </si>
  <si>
    <t>12,75</t>
  </si>
  <si>
    <t>15,34</t>
  </si>
  <si>
    <t>10,38</t>
  </si>
  <si>
    <t>10,19</t>
  </si>
  <si>
    <t>11,36</t>
  </si>
  <si>
    <t>12,61</t>
  </si>
  <si>
    <t>15,54</t>
  </si>
  <si>
    <t>16,89</t>
  </si>
  <si>
    <t>11,27</t>
  </si>
  <si>
    <t>55,82</t>
  </si>
  <si>
    <t>4,50</t>
  </si>
  <si>
    <t>6,08</t>
  </si>
  <si>
    <t>7,24</t>
  </si>
  <si>
    <t>5,95</t>
  </si>
  <si>
    <t>9,05</t>
  </si>
  <si>
    <t>10,16</t>
  </si>
  <si>
    <t>12,86</t>
  </si>
  <si>
    <t>15,75</t>
  </si>
  <si>
    <t>9,73</t>
  </si>
  <si>
    <t>2,14</t>
  </si>
  <si>
    <t>3,94</t>
  </si>
  <si>
    <t>7,44</t>
  </si>
  <si>
    <t>10,96</t>
  </si>
  <si>
    <t>17,76</t>
  </si>
  <si>
    <t>11,85</t>
  </si>
  <si>
    <t>19,63</t>
  </si>
  <si>
    <t>25,70</t>
  </si>
  <si>
    <t>36,99</t>
  </si>
  <si>
    <t>106,56</t>
  </si>
  <si>
    <t>9,64</t>
  </si>
  <si>
    <t>8,45</t>
  </si>
  <si>
    <t>11,83</t>
  </si>
  <si>
    <t>27,52</t>
  </si>
  <si>
    <t>13,88</t>
  </si>
  <si>
    <t>21,89</t>
  </si>
  <si>
    <t>21,99</t>
  </si>
  <si>
    <t>33,48</t>
  </si>
  <si>
    <t>18,16</t>
  </si>
  <si>
    <t>20,98</t>
  </si>
  <si>
    <t>10,79</t>
  </si>
  <si>
    <t>12,57</t>
  </si>
  <si>
    <t>20,69</t>
  </si>
  <si>
    <t>11,60</t>
  </si>
  <si>
    <t>11,06</t>
  </si>
  <si>
    <t>10,11</t>
  </si>
  <si>
    <t>20,68</t>
  </si>
  <si>
    <t>33,29</t>
  </si>
  <si>
    <t>39,07</t>
  </si>
  <si>
    <t>18,13</t>
  </si>
  <si>
    <t>28,54</t>
  </si>
  <si>
    <t>18,71</t>
  </si>
  <si>
    <t>34,97</t>
  </si>
  <si>
    <t>55,06</t>
  </si>
  <si>
    <t>63,00</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</si>
  <si>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</si>
  <si>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</si>
  <si>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</si>
  <si>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</si>
  <si>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</si>
  <si>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</si>
  <si>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29,93</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</si>
  <si>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</si>
  <si>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</si>
  <si>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</si>
  <si>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</si>
  <si>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</si>
  <si>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</si>
  <si>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54,86</t>
  </si>
  <si>
    <t>SENSOR DE PRESENÇA SEM FOTOCÉLULA, FIXAÇÃO EM PAREDE - FORNECIMENTO E INSTALAÇÃO. AF_02/2020</t>
  </si>
  <si>
    <t>40,39</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</si>
  <si>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</si>
  <si>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</si>
  <si>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</si>
  <si>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</si>
  <si>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</si>
  <si>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</si>
  <si>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17,96</t>
  </si>
  <si>
    <t>LÂMPADA COMPACTA FLUORESCENTE DE 20 W, BASE E27 - FORNECIMENTO E INSTALAÇÃO. AF_02/2020</t>
  </si>
  <si>
    <t>19,47</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</si>
  <si>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</si>
  <si>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</si>
  <si>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</si>
  <si>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</si>
  <si>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</si>
  <si>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</si>
  <si>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</si>
  <si>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26,60</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</si>
  <si>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</si>
  <si>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</si>
  <si>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</si>
  <si>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</si>
  <si>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</si>
  <si>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</si>
  <si>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</si>
  <si>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</si>
  <si>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28,11</t>
  </si>
  <si>
    <t>REATOR DE PARTIDA RÁPIDA PARA LÂMPADA FLUORESCENTE 1X40W - FORNECIMENTO E INSTALAÇÃO. AF_02/2020</t>
  </si>
  <si>
    <t>10,32</t>
  </si>
  <si>
    <t>7,48</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</si>
  <si>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</si>
  <si>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</si>
  <si>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</si>
  <si>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</si>
  <si>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</si>
  <si>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</si>
  <si>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38,32</t>
  </si>
  <si>
    <t>22,96</t>
  </si>
  <si>
    <t>6,19</t>
  </si>
  <si>
    <t>10,26</t>
  </si>
  <si>
    <t>21,90</t>
  </si>
  <si>
    <t>2,48</t>
  </si>
  <si>
    <t>3,29</t>
  </si>
  <si>
    <t>3,76</t>
  </si>
  <si>
    <t>7,82</t>
  </si>
  <si>
    <t>8,84</t>
  </si>
  <si>
    <t>27,18</t>
  </si>
  <si>
    <t>1,31</t>
  </si>
  <si>
    <t>2,90</t>
  </si>
  <si>
    <t>2,00</t>
  </si>
  <si>
    <t>14,97</t>
  </si>
  <si>
    <t>24,12</t>
  </si>
  <si>
    <t>3,58</t>
  </si>
  <si>
    <t>20,02</t>
  </si>
  <si>
    <t>32,99</t>
  </si>
  <si>
    <t>15,05</t>
  </si>
  <si>
    <t>15,51</t>
  </si>
  <si>
    <t>15,56</t>
  </si>
  <si>
    <t>23,76</t>
  </si>
  <si>
    <t>35,35</t>
  </si>
  <si>
    <t>29,68</t>
  </si>
  <si>
    <t>25,05</t>
  </si>
  <si>
    <t>20,07</t>
  </si>
  <si>
    <t>26,67</t>
  </si>
  <si>
    <t>38,90</t>
  </si>
  <si>
    <t>11,72</t>
  </si>
  <si>
    <t>16,77</t>
  </si>
  <si>
    <t>16,03</t>
  </si>
  <si>
    <t>22,80</t>
  </si>
  <si>
    <t>28,33</t>
  </si>
  <si>
    <t>23,94</t>
  </si>
  <si>
    <t>17,40</t>
  </si>
  <si>
    <t>15,61</t>
  </si>
  <si>
    <t>20,64</t>
  </si>
  <si>
    <t>11,31</t>
  </si>
  <si>
    <t>20,00</t>
  </si>
  <si>
    <t>8,67</t>
  </si>
  <si>
    <t>12,04</t>
  </si>
  <si>
    <t>19,45</t>
  </si>
  <si>
    <t>33,62</t>
  </si>
  <si>
    <t>43,89</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</si>
  <si>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</si>
  <si>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</si>
  <si>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</si>
  <si>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</si>
  <si>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</si>
  <si>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</si>
  <si>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13,67</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</si>
  <si>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</si>
  <si>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</si>
  <si>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</si>
  <si>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144,77</t>
  </si>
  <si>
    <t>6,41</t>
  </si>
  <si>
    <t>7,10</t>
  </si>
  <si>
    <t>7,85</t>
  </si>
  <si>
    <t>12,17</t>
  </si>
  <si>
    <t>9,85</t>
  </si>
  <si>
    <t>5,02</t>
  </si>
  <si>
    <t>7,90</t>
  </si>
  <si>
    <t>4,59</t>
  </si>
  <si>
    <t>7,16</t>
  </si>
  <si>
    <t>5,36</t>
  </si>
  <si>
    <t>7,53</t>
  </si>
  <si>
    <t>9,84</t>
  </si>
  <si>
    <t>5,99</t>
  </si>
  <si>
    <t>24,15</t>
  </si>
  <si>
    <t>16,78</t>
  </si>
  <si>
    <t>7,17</t>
  </si>
  <si>
    <t>19,69</t>
  </si>
  <si>
    <t>8,49</t>
  </si>
  <si>
    <t>15,12</t>
  </si>
  <si>
    <t>15,77</t>
  </si>
  <si>
    <t>23,82</t>
  </si>
  <si>
    <t>4,08</t>
  </si>
  <si>
    <t>4,34</t>
  </si>
  <si>
    <t>4,89</t>
  </si>
  <si>
    <t>6,65</t>
  </si>
  <si>
    <t>6,92</t>
  </si>
  <si>
    <t>10,53</t>
  </si>
  <si>
    <t>3,18</t>
  </si>
  <si>
    <t>8,28</t>
  </si>
  <si>
    <t>10,84</t>
  </si>
  <si>
    <t>9,86</t>
  </si>
  <si>
    <t>3,83</t>
  </si>
  <si>
    <t>7,88</t>
  </si>
  <si>
    <t>5,24</t>
  </si>
  <si>
    <t>8,43</t>
  </si>
  <si>
    <t>20,04</t>
  </si>
  <si>
    <t>9,17</t>
  </si>
  <si>
    <t>6,83</t>
  </si>
  <si>
    <t>9,76</t>
  </si>
  <si>
    <t>8,63</t>
  </si>
  <si>
    <t>19,40</t>
  </si>
  <si>
    <t>17,24</t>
  </si>
  <si>
    <t>28,83</t>
  </si>
  <si>
    <t>10,03</t>
  </si>
  <si>
    <t>37,06</t>
  </si>
  <si>
    <t>3,02</t>
  </si>
  <si>
    <t>8,74</t>
  </si>
  <si>
    <t>10,20</t>
  </si>
  <si>
    <t>24,86</t>
  </si>
  <si>
    <t>16,25</t>
  </si>
  <si>
    <t>18,77</t>
  </si>
  <si>
    <t>9,29</t>
  </si>
  <si>
    <t>14,45</t>
  </si>
  <si>
    <t>47,51</t>
  </si>
  <si>
    <t>6,30</t>
  </si>
  <si>
    <t>43,35</t>
  </si>
  <si>
    <t>8,39</t>
  </si>
  <si>
    <t>8,59</t>
  </si>
  <si>
    <t>15,68</t>
  </si>
  <si>
    <t>11,04</t>
  </si>
  <si>
    <t>8,26</t>
  </si>
  <si>
    <t>15,21</t>
  </si>
  <si>
    <t>11,90</t>
  </si>
  <si>
    <t>12,97</t>
  </si>
  <si>
    <t>14,86</t>
  </si>
  <si>
    <t>8,60</t>
  </si>
  <si>
    <t>10,10</t>
  </si>
  <si>
    <t>60,80</t>
  </si>
  <si>
    <t>17,48</t>
  </si>
  <si>
    <t>13,83</t>
  </si>
  <si>
    <t>11,30</t>
  </si>
  <si>
    <t>9,02</t>
  </si>
  <si>
    <t>13,42</t>
  </si>
  <si>
    <t>10,71</t>
  </si>
  <si>
    <t>17,20</t>
  </si>
  <si>
    <t>34,34</t>
  </si>
  <si>
    <t>28,58</t>
  </si>
  <si>
    <t>8,46</t>
  </si>
  <si>
    <t>11,54</t>
  </si>
  <si>
    <t>7,62</t>
  </si>
  <si>
    <t>8,33</t>
  </si>
  <si>
    <t>8,73</t>
  </si>
  <si>
    <t>13,06</t>
  </si>
  <si>
    <t>13,72</t>
  </si>
  <si>
    <t>14,00</t>
  </si>
  <si>
    <t>8,96</t>
  </si>
  <si>
    <t>14,57</t>
  </si>
  <si>
    <t>27,20</t>
  </si>
  <si>
    <t>12,01</t>
  </si>
  <si>
    <t>11,74</t>
  </si>
  <si>
    <t>18,49</t>
  </si>
  <si>
    <t>19,94</t>
  </si>
  <si>
    <t>49,16</t>
  </si>
  <si>
    <t>10,95</t>
  </si>
  <si>
    <t>13,86</t>
  </si>
  <si>
    <t>9,52</t>
  </si>
  <si>
    <t>33,15</t>
  </si>
  <si>
    <t>4,80</t>
  </si>
  <si>
    <t>13,18</t>
  </si>
  <si>
    <t>22,11</t>
  </si>
  <si>
    <t>17,59</t>
  </si>
  <si>
    <t>11,93</t>
  </si>
  <si>
    <t>17,21</t>
  </si>
  <si>
    <t>11,33</t>
  </si>
  <si>
    <t>19,71</t>
  </si>
  <si>
    <t>28,50</t>
  </si>
  <si>
    <t>13,46</t>
  </si>
  <si>
    <t>4,68</t>
  </si>
  <si>
    <t>2,97</t>
  </si>
  <si>
    <t>6,45</t>
  </si>
  <si>
    <t>11,32</t>
  </si>
  <si>
    <t>17,42</t>
  </si>
  <si>
    <t>7,27</t>
  </si>
  <si>
    <t>32,54</t>
  </si>
  <si>
    <t>16,37</t>
  </si>
  <si>
    <t>9,39</t>
  </si>
  <si>
    <t>10,31</t>
  </si>
  <si>
    <t>12,99</t>
  </si>
  <si>
    <t>119,91</t>
  </si>
  <si>
    <t>31,11</t>
  </si>
  <si>
    <t>22,68</t>
  </si>
  <si>
    <t>35,10</t>
  </si>
  <si>
    <t>26,97</t>
  </si>
  <si>
    <t>36,08</t>
  </si>
  <si>
    <t>33,23</t>
  </si>
  <si>
    <t>10,44</t>
  </si>
  <si>
    <t>16,40</t>
  </si>
  <si>
    <t>15,09</t>
  </si>
  <si>
    <t>14,31</t>
  </si>
  <si>
    <t>19,27</t>
  </si>
  <si>
    <t>30,60</t>
  </si>
  <si>
    <t>88,87</t>
  </si>
  <si>
    <t>19,74</t>
  </si>
  <si>
    <t>37,35</t>
  </si>
  <si>
    <t>29,74</t>
  </si>
  <si>
    <t>30,53</t>
  </si>
  <si>
    <t>9,37</t>
  </si>
  <si>
    <t>20,91</t>
  </si>
  <si>
    <t>22,55</t>
  </si>
  <si>
    <t>20,17</t>
  </si>
  <si>
    <t>9,72</t>
  </si>
  <si>
    <t>9,14</t>
  </si>
  <si>
    <t>14,37</t>
  </si>
  <si>
    <t>13,36</t>
  </si>
  <si>
    <t>16,17</t>
  </si>
  <si>
    <t>11,20</t>
  </si>
  <si>
    <t>18,03</t>
  </si>
  <si>
    <t>12,22</t>
  </si>
  <si>
    <t>18,46</t>
  </si>
  <si>
    <t>14,58</t>
  </si>
  <si>
    <t>66,50</t>
  </si>
  <si>
    <t>4,94</t>
  </si>
  <si>
    <t>5,72</t>
  </si>
  <si>
    <t>9,58</t>
  </si>
  <si>
    <t>21,04</t>
  </si>
  <si>
    <t>18,20</t>
  </si>
  <si>
    <t>33,96</t>
  </si>
  <si>
    <t>11,55</t>
  </si>
  <si>
    <t>11,13</t>
  </si>
  <si>
    <t>12,63</t>
  </si>
  <si>
    <t>19,75</t>
  </si>
  <si>
    <t>113,15</t>
  </si>
  <si>
    <t>19,86</t>
  </si>
  <si>
    <t>45,06</t>
  </si>
  <si>
    <t>4,97</t>
  </si>
  <si>
    <t>26,29</t>
  </si>
  <si>
    <t>13,76</t>
  </si>
  <si>
    <t>26,31</t>
  </si>
  <si>
    <t>10,87</t>
  </si>
  <si>
    <t>11,82</t>
  </si>
  <si>
    <t>36,22</t>
  </si>
  <si>
    <t>13,99</t>
  </si>
  <si>
    <t>10,93</t>
  </si>
  <si>
    <t>15,98</t>
  </si>
  <si>
    <t>5,89</t>
  </si>
  <si>
    <t>12,74</t>
  </si>
  <si>
    <t>22,74</t>
  </si>
  <si>
    <t>20,56</t>
  </si>
  <si>
    <t>3,49</t>
  </si>
  <si>
    <t>9,44</t>
  </si>
  <si>
    <t>13,57</t>
  </si>
  <si>
    <t>4,00</t>
  </si>
  <si>
    <t>5,07</t>
  </si>
  <si>
    <t>15,72</t>
  </si>
  <si>
    <t>15,20</t>
  </si>
  <si>
    <t>6,39</t>
  </si>
  <si>
    <t>18,37</t>
  </si>
  <si>
    <t>12,81</t>
  </si>
  <si>
    <t>13,31</t>
  </si>
  <si>
    <t>18,39</t>
  </si>
  <si>
    <t>17,41</t>
  </si>
  <si>
    <t>19,87</t>
  </si>
  <si>
    <t>35,20</t>
  </si>
  <si>
    <t>30,35</t>
  </si>
  <si>
    <t>22,90</t>
  </si>
  <si>
    <t>40,38</t>
  </si>
  <si>
    <t>51,45</t>
  </si>
  <si>
    <t>33,44</t>
  </si>
  <si>
    <t>22,82</t>
  </si>
  <si>
    <t>9,57</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</si>
  <si>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</si>
  <si>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</si>
  <si>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</si>
  <si>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</si>
  <si>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</si>
  <si>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</si>
  <si>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</si>
  <si>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</si>
  <si>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</si>
  <si>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</si>
  <si>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16,20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</si>
  <si>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</si>
  <si>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</si>
  <si>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</si>
  <si>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</si>
  <si>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</si>
  <si>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</si>
  <si>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</si>
  <si>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</si>
  <si>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</si>
  <si>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</si>
  <si>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</si>
  <si>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</si>
  <si>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</si>
  <si>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</si>
  <si>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</si>
  <si>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</si>
  <si>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</si>
  <si>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</si>
  <si>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</si>
  <si>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</si>
  <si>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</si>
  <si>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</si>
  <si>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</si>
  <si>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</si>
  <si>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</si>
  <si>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</si>
  <si>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21,77</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</si>
  <si>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</si>
  <si>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</si>
  <si>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</si>
  <si>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</si>
  <si>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</si>
  <si>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</si>
  <si>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</si>
  <si>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</si>
  <si>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</si>
  <si>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</si>
  <si>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</si>
  <si>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</si>
  <si>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</si>
  <si>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</si>
  <si>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</si>
  <si>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</si>
  <si>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</si>
  <si>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</si>
  <si>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</si>
  <si>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</si>
  <si>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</si>
  <si>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</si>
  <si>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</si>
  <si>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</si>
  <si>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</si>
  <si>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</si>
  <si>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</si>
  <si>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</si>
  <si>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</si>
  <si>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</si>
  <si>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</si>
  <si>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</si>
  <si>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</si>
  <si>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</si>
  <si>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</si>
  <si>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</si>
  <si>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</si>
  <si>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</si>
  <si>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</si>
  <si>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</si>
  <si>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</si>
  <si>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</si>
  <si>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</si>
  <si>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</si>
  <si>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</si>
  <si>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22,92</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</si>
  <si>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</si>
  <si>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</si>
  <si>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</si>
  <si>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</si>
  <si>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</si>
  <si>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</si>
  <si>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</si>
  <si>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</si>
  <si>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</si>
  <si>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</si>
  <si>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</si>
  <si>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</si>
  <si>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</si>
  <si>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</si>
  <si>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</si>
  <si>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</si>
  <si>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</si>
  <si>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</si>
  <si>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22,29</t>
  </si>
  <si>
    <t>42,14</t>
  </si>
  <si>
    <t>11,09</t>
  </si>
  <si>
    <t>25,82</t>
  </si>
  <si>
    <t>5,10</t>
  </si>
  <si>
    <t>SUPORTE PARA ATÉ 3 TUBOS HORIZONTAIS, ESPAÇADO A CADA 1 M, EM PERFILADO DE SEÇÃO 38X76 MM, POR METRO DE TUBULAÇÃO FIXADA. AF_05/2015</t>
  </si>
  <si>
    <t>27,11</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</si>
  <si>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</si>
  <si>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</si>
  <si>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</si>
  <si>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2,59</t>
  </si>
  <si>
    <t>9,28</t>
  </si>
  <si>
    <t>7,00</t>
  </si>
  <si>
    <t>2,98</t>
  </si>
  <si>
    <t>2,36</t>
  </si>
  <si>
    <t>23,41</t>
  </si>
  <si>
    <t>4,22</t>
  </si>
  <si>
    <t>4,48</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</si>
  <si>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</si>
  <si>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</si>
  <si>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</si>
  <si>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</si>
  <si>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ELETRECOLHA FIXADA. AF_07/2017</t>
  </si>
  <si>
    <t>2,42</t>
  </si>
  <si>
    <t>1,25</t>
  </si>
  <si>
    <t>2,44</t>
  </si>
  <si>
    <t>2,03</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</si>
  <si>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</si>
  <si>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</si>
  <si>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</si>
  <si>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5,52</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</si>
  <si>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</si>
  <si>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5,11</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</si>
  <si>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</si>
  <si>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</si>
  <si>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</si>
  <si>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</si>
  <si>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</si>
  <si>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</si>
  <si>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</si>
  <si>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</si>
  <si>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10,66</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</si>
  <si>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</si>
  <si>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</si>
  <si>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</si>
  <si>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8,57</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</si>
  <si>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</si>
  <si>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</si>
  <si>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10,54</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</si>
  <si>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</si>
  <si>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</si>
  <si>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14,68</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</si>
  <si>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</si>
  <si>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</si>
  <si>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</si>
  <si>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</si>
  <si>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10,25</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</si>
  <si>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</si>
  <si>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12,89</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</si>
  <si>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</si>
  <si>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</si>
  <si>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</si>
  <si>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</si>
  <si>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4,53</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</si>
  <si>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</si>
  <si>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8,93</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</si>
  <si>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</si>
  <si>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</si>
  <si>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</si>
  <si>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</si>
  <si>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</si>
  <si>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</si>
  <si>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</si>
  <si>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</si>
  <si>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10,76</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</si>
  <si>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</si>
  <si>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13,05</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</si>
  <si>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</si>
  <si>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</si>
  <si>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</si>
  <si>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10,14</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</si>
  <si>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</si>
  <si>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</si>
  <si>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14,07</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</si>
  <si>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</si>
  <si>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</si>
  <si>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</si>
  <si>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</si>
  <si>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9,80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</si>
  <si>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</si>
  <si>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12,33</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</si>
  <si>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</si>
  <si>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</si>
  <si>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</si>
  <si>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10,23</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</si>
  <si>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</si>
  <si>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</si>
  <si>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</si>
  <si>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</si>
  <si>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</si>
  <si>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</si>
  <si>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</si>
  <si>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11,77</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</si>
  <si>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</si>
  <si>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</si>
  <si>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</si>
  <si>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</si>
  <si>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</si>
  <si>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</si>
  <si>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</si>
  <si>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11,95</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</si>
  <si>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</si>
  <si>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13,25</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</si>
  <si>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</si>
  <si>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</si>
  <si>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</si>
  <si>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</si>
  <si>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</si>
  <si>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</si>
  <si>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15,95</t>
  </si>
  <si>
    <t>6,53</t>
  </si>
  <si>
    <t>3,37</t>
  </si>
  <si>
    <t>4,92</t>
  </si>
  <si>
    <t>4,86</t>
  </si>
  <si>
    <t>29,99</t>
  </si>
  <si>
    <t>4,45</t>
  </si>
  <si>
    <t>6,58</t>
  </si>
  <si>
    <t>12,00</t>
  </si>
  <si>
    <t>0,69</t>
  </si>
  <si>
    <t>0,56</t>
  </si>
  <si>
    <t>0,52</t>
  </si>
  <si>
    <t>1,77</t>
  </si>
  <si>
    <t>0,83</t>
  </si>
  <si>
    <t>8,30</t>
  </si>
  <si>
    <t>2,07</t>
  </si>
  <si>
    <t>20,12</t>
  </si>
  <si>
    <t>3,07</t>
  </si>
  <si>
    <t>1,35</t>
  </si>
  <si>
    <t>0,63</t>
  </si>
  <si>
    <t>1,03</t>
  </si>
  <si>
    <t>35,96</t>
  </si>
  <si>
    <t>69,34</t>
  </si>
  <si>
    <t>ALVENARIA DE VEDAÇÃO DE BLOCOS CERÂMICOS MACIÇOS DE 5X10X20CM (ESPESSURA 10CM) E ARGAMASSA DE ASSENTAMENTO COM PREPARO EM BETONEIRA. AF_05/2020</t>
  </si>
  <si>
    <t>67,22</t>
  </si>
  <si>
    <t>ALVENARIA DE VEDAÇÃO COM ELEMENTO VAZADO DE CERÂMICA (COBOGÓ) DE 7X20X20CM E ARGAMASSA DE ASSENTAMENTO COM PREPARO EM BETONEIRA. AF_05/2020</t>
  </si>
  <si>
    <t>52,48</t>
  </si>
  <si>
    <t>74,36</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</si>
  <si>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</si>
  <si>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</si>
  <si>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</si>
  <si>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16,35</t>
  </si>
  <si>
    <t>7,37</t>
  </si>
  <si>
    <t>27,43</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</si>
  <si>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</si>
  <si>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</si>
  <si>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</si>
  <si>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1,37</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</si>
  <si>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</si>
  <si>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</si>
  <si>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PEDRA RACHÃO  - EXCLUSIVE CARGA E TRANSPORTE. AF_11/2019</t>
  </si>
  <si>
    <t>6,44</t>
  </si>
  <si>
    <t>1,65</t>
  </si>
  <si>
    <t>PAVIMENTO COM TRATAMENTO SUPERFICIAL SIMPLES, COM EMULSÃO ASFÁLTICA RR-2C. AF_01/2020</t>
  </si>
  <si>
    <t>4,47</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</si>
  <si>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</si>
  <si>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</si>
  <si>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</si>
  <si>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</si>
  <si>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</si>
  <si>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</si>
  <si>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</si>
  <si>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</si>
  <si>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</si>
  <si>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</si>
  <si>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</si>
  <si>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</si>
  <si>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15,28</t>
  </si>
  <si>
    <t>4,02</t>
  </si>
  <si>
    <t>USINAGEM DE BRITA GRADUADA SIMPLES. AF_03/2020</t>
  </si>
  <si>
    <t>USINAGEM DE BRITA GRADUADA TRATADA COM CIMENTO. AF_03/2020</t>
  </si>
  <si>
    <t>USINAGEM DE CONCRETO PARA COMPACTAÇÃO COM ROLO. AF_03/2020</t>
  </si>
  <si>
    <t>183,23</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</si>
  <si>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</si>
  <si>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</si>
  <si>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</si>
  <si>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</si>
  <si>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</si>
  <si>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</si>
  <si>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</si>
  <si>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</si>
  <si>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3,80</t>
  </si>
  <si>
    <t>15,36</t>
  </si>
  <si>
    <t>17,34</t>
  </si>
  <si>
    <t>12,71</t>
  </si>
  <si>
    <t>15,50</t>
  </si>
  <si>
    <t>11,76</t>
  </si>
  <si>
    <t>23,08</t>
  </si>
  <si>
    <t>21,40</t>
  </si>
  <si>
    <t>16,41</t>
  </si>
  <si>
    <t>17,67</t>
  </si>
  <si>
    <t>17,55</t>
  </si>
  <si>
    <t>19,76</t>
  </si>
  <si>
    <t>9,62</t>
  </si>
  <si>
    <t>16,18</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</si>
  <si>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</si>
  <si>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</si>
  <si>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</si>
  <si>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</si>
  <si>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18,51</t>
  </si>
  <si>
    <t>PINTURA COM TINTA ALQUÍDICA DE FUNDO (TIPO ZARCÃO) APLICADA A ROLO OU PINCEL SOBRE SUPERFÍCIES METÁLICAS (EXCETO PERFIL) EXECUTADO EM OBRA (POR DEMÃO). AF_01/2020</t>
  </si>
  <si>
    <t>18,85</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</si>
  <si>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</si>
  <si>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</si>
  <si>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</si>
  <si>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12,29</t>
  </si>
  <si>
    <t>PINTURA COM TINTA EPOXÍDICA DE ACABAMENTO APLICADA A ROLO OU PINCEL SOBRE PERFIL METÁLICO EXECUTADO EM FÁBRICA (POR DEMÃO). AF_01/2020</t>
  </si>
  <si>
    <t>18,32</t>
  </si>
  <si>
    <t>9,99</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</si>
  <si>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</si>
  <si>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</si>
  <si>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11,53</t>
  </si>
  <si>
    <t>PINTURA COM TINTA ALQUÍDICA DE ACABAMENTO (ESMALTE SINTÉTICO ACETINADO) APLICADA A ROLO OU PINCEL SOBRE PERFIL METÁLICO EXECUTADO EM FÁBRICA (POR DEMÃO). AF_01/2020</t>
  </si>
  <si>
    <t>18,61</t>
  </si>
  <si>
    <t>PINTURA COM TINTA ALQUÍDICA DE ACABAMENTO (ESMALTE SINTÉTICO ACETINADO) APLICADA A ROLO OU PINCEL SOBRE SUPERFÍCIES METÁLICAS (EXCETO PERFIL) EXECUTADO EM OBRA (POR DEMÃO). AF_01/2020</t>
  </si>
  <si>
    <t>19,38</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</si>
  <si>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</si>
  <si>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</si>
  <si>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</si>
  <si>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</si>
  <si>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</si>
  <si>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</si>
  <si>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23,07</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</si>
  <si>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</si>
  <si>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</si>
  <si>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</si>
  <si>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13,03</t>
  </si>
  <si>
    <t>20,62</t>
  </si>
  <si>
    <t>39,62</t>
  </si>
  <si>
    <t>29,33</t>
  </si>
  <si>
    <t>30,49</t>
  </si>
  <si>
    <t>40,64</t>
  </si>
  <si>
    <t>142,44</t>
  </si>
  <si>
    <t>23,77</t>
  </si>
  <si>
    <t>PISO EM PEDRA PORTUGUESA ASSENTADO SOBRE ARGAMASSA SECA DE CIMENTO E AREIA, TRAÇO 1:3, REJUNTADO COM CIMENTO COMUM. AF_05/2020</t>
  </si>
  <si>
    <t>PISO EM LADRILHO HIDRÁULICO APLICADO EM AMBIENTES EXTERNOS. AF_05/2020</t>
  </si>
  <si>
    <t>PISO PODOTÁTIL, DIRECIONAL OU ALERTA, ASSENTADO SOBRE ARGAMASSA. AF_05/2020</t>
  </si>
  <si>
    <t>PISO EM GRANITO APLICADO EM CALÇADAS OU PISOS EXTERNOS. AF_05/2020</t>
  </si>
  <si>
    <t>PISO EM MÁRMORE APLICADO EM CALÇADAS OU PISOS EXTERNOS. AF_05/2020</t>
  </si>
  <si>
    <t>17,50</t>
  </si>
  <si>
    <t>5,17</t>
  </si>
  <si>
    <t>9,40</t>
  </si>
  <si>
    <t>4,26</t>
  </si>
  <si>
    <t>74,21</t>
  </si>
  <si>
    <t>71,44</t>
  </si>
  <si>
    <t>19,15</t>
  </si>
  <si>
    <t>26,93</t>
  </si>
  <si>
    <t>12,84</t>
  </si>
  <si>
    <t>4,72</t>
  </si>
  <si>
    <t>6,47</t>
  </si>
  <si>
    <t>18,08</t>
  </si>
  <si>
    <t>6,16</t>
  </si>
  <si>
    <t>5,69</t>
  </si>
  <si>
    <t>4,60</t>
  </si>
  <si>
    <t>7,25</t>
  </si>
  <si>
    <t>18,42</t>
  </si>
  <si>
    <t>17,80</t>
  </si>
  <si>
    <t>14,41</t>
  </si>
  <si>
    <t>23,26</t>
  </si>
  <si>
    <t>13,52</t>
  </si>
  <si>
    <t>21,62</t>
  </si>
  <si>
    <t>26,53</t>
  </si>
  <si>
    <t>44,83</t>
  </si>
  <si>
    <t>36,53</t>
  </si>
  <si>
    <t>69,63</t>
  </si>
  <si>
    <t>19,03</t>
  </si>
  <si>
    <t>28,63</t>
  </si>
  <si>
    <t>36,04</t>
  </si>
  <si>
    <t>36,05</t>
  </si>
  <si>
    <t>23,87</t>
  </si>
  <si>
    <t>12,50</t>
  </si>
  <si>
    <t>ARGAMASSA TRAÇO 1:1,93 (EM VOLUME DE CIMENTO E AREIA MÉDIA ÚMIDA), FCK 20 MPA, PREPARO MECÂNICO COM MISTURADOR DUPLO HORIZONTAL DE ALTA TURBULÊNCIA. AF_03/2020</t>
  </si>
  <si>
    <t>0,25</t>
  </si>
  <si>
    <t>5,32</t>
  </si>
  <si>
    <t>5,88</t>
  </si>
  <si>
    <t>2,78</t>
  </si>
  <si>
    <t>0,74</t>
  </si>
  <si>
    <t>1,95</t>
  </si>
  <si>
    <t>1,33</t>
  </si>
  <si>
    <t>1,69</t>
  </si>
  <si>
    <t>0,78</t>
  </si>
  <si>
    <t>5,14</t>
  </si>
  <si>
    <t>2,05</t>
  </si>
  <si>
    <t>2,60</t>
  </si>
  <si>
    <t>30,38</t>
  </si>
  <si>
    <t>1,27</t>
  </si>
  <si>
    <t>1,24</t>
  </si>
  <si>
    <t>0,59</t>
  </si>
  <si>
    <t>2,38</t>
  </si>
  <si>
    <t>10,59</t>
  </si>
  <si>
    <t>20,72</t>
  </si>
  <si>
    <t>1,60</t>
  </si>
  <si>
    <t>8,37</t>
  </si>
  <si>
    <t>2,73</t>
  </si>
  <si>
    <t>1,48</t>
  </si>
  <si>
    <t>27,72</t>
  </si>
  <si>
    <t>5,45</t>
  </si>
  <si>
    <t>99,45</t>
  </si>
  <si>
    <t>9,63</t>
  </si>
  <si>
    <t>12,30</t>
  </si>
  <si>
    <t>2,02</t>
  </si>
  <si>
    <t>1,28</t>
  </si>
  <si>
    <t>1,59</t>
  </si>
  <si>
    <t>3,36</t>
  </si>
  <si>
    <t>LOCAÇÃO COM CAVALETE COM ALTURA DE 1,00 M - 2 UTILIZAÇÕES. AF_10/2018</t>
  </si>
  <si>
    <t>LOCAÇÃO COM CAVALETE COM ALTURA DE 0,50 M - 2 UTILIZAÇÕES. AF_10/2018</t>
  </si>
  <si>
    <t>1,26</t>
  </si>
  <si>
    <t>0,97</t>
  </si>
  <si>
    <t>0,90</t>
  </si>
  <si>
    <t>1,54</t>
  </si>
  <si>
    <t>1,53</t>
  </si>
  <si>
    <t>1,70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</si>
  <si>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</si>
  <si>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</si>
  <si>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</si>
  <si>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</si>
  <si>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</si>
  <si>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</si>
  <si>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</si>
  <si>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</si>
  <si>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</si>
  <si>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</si>
  <si>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</si>
  <si>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</si>
  <si>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</si>
  <si>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</si>
  <si>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</si>
  <si>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</si>
  <si>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3,72</t>
  </si>
  <si>
    <t>17,33</t>
  </si>
  <si>
    <t>18,81</t>
  </si>
  <si>
    <t>11,65</t>
  </si>
  <si>
    <t>22,38</t>
  </si>
  <si>
    <t>22,66</t>
  </si>
  <si>
    <t>30,54</t>
  </si>
  <si>
    <t>22,57</t>
  </si>
  <si>
    <t>17,78</t>
  </si>
  <si>
    <t>17,56</t>
  </si>
  <si>
    <t>20,31</t>
  </si>
  <si>
    <t>19,33</t>
  </si>
  <si>
    <t>23,89</t>
  </si>
  <si>
    <t>16,14</t>
  </si>
  <si>
    <t>24,99</t>
  </si>
  <si>
    <t>23,81</t>
  </si>
  <si>
    <t>13,26</t>
  </si>
  <si>
    <t>0,20</t>
  </si>
  <si>
    <t>0,23</t>
  </si>
  <si>
    <t>0,99</t>
  </si>
  <si>
    <t>2,35</t>
  </si>
  <si>
    <t>18,93</t>
  </si>
  <si>
    <t>17,89</t>
  </si>
  <si>
    <t>16,84</t>
  </si>
  <si>
    <t>!EM PROCESSO DE DESATIVACAO! CHAPA DE MADEIRA COMPENSADA DE PINUS, VIROLA OU EQUIVALENTE, DE *2,2 X 1,6* M, E = 6 MM</t>
  </si>
  <si>
    <t>!EM PROCESSO DE DESATIVACAO! CHAPA DE MADEIRA COMPENSADA PLASTIFICADA PARA FORMA DE CONCRETO, DE 2,20 x 1,10 M, E = 6 MM</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</si>
  <si>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</si>
  <si>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</si>
  <si>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</si>
  <si>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!EM PROCESSO DE DESATIVACAO! CHAPA DE MADEIRA COMPENSADA RESINADA PARA FORMA DE CONCRETO, DE *2,2 X 1,1* M, E = 20 MM</t>
  </si>
  <si>
    <t>!EM PROCESSO DE DESATIVACAO! CHAPA DE MADEIRA COMPENSADA RESINADA PARA FORMA DE CONCRETO, DE *2,2 X 1,1* M, E = 6 MM</t>
  </si>
  <si>
    <t>!EM PROCESSO DE DESATIVACAO! DOBRADICA EM ACO/FERRO, 3" X 2 1/2", E= 1,2 A 1,8 MM, SEM ANEL,  CROMADO OU ZINCADO, TAMPA BOLA, COM PARAFUSOS</t>
  </si>
  <si>
    <t>7,97</t>
  </si>
  <si>
    <t>!EM PROCESSO DE DESATIVACAO! FUNDO SINTETICO NIVELADOR BRANCO FOSCO PARA MADEIRA</t>
  </si>
  <si>
    <t>73,71</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</si>
  <si>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</si>
  <si>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</si>
  <si>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13,50</t>
  </si>
  <si>
    <t>16,15</t>
  </si>
  <si>
    <t>22,12</t>
  </si>
  <si>
    <t>!EM PROCESSO DE DESATIVACAO! MASSA CORRIDA PVA PARA PAREDES INTERNAS</t>
  </si>
  <si>
    <t>!EM PROCESSO DE DESATIVACAO! TINTA LATEX PVA PREMIUM, COR BRANCA</t>
  </si>
  <si>
    <t>!EM PROCESSO DE DESATIVACAO! VERNIZ POLIURETANO BRILHANTE PARA MADEIRA, SEM FILTRO SOLAR, USO INTERNO E EXTERNO</t>
  </si>
  <si>
    <t>!EM PROCESSO DE DESATIVACAO!JANELA DE CORRER, ACO, BATENTE/REQUADRO DE 6 A 14 CM,  COM DIVISAO HORIZ , PINT ANTICORROSIVA, SEM VIDRO, BANDEIRA COM BASCULA, 4 FLS, 120  X 150 CM (A X L)</t>
  </si>
  <si>
    <t>!EM PROCESSO DE DESATIVACAO!MASSA A OLEO PARA MADEIRA</t>
  </si>
  <si>
    <t>55,54</t>
  </si>
  <si>
    <t>!EM PROCESSO DE DESATIVACAO!MASSA ACRILICA PARA PAREDES INTERIOR/EXTERIOR</t>
  </si>
  <si>
    <t>2,21</t>
  </si>
  <si>
    <t>2,24</t>
  </si>
  <si>
    <t>2,15</t>
  </si>
  <si>
    <t>3,20</t>
  </si>
  <si>
    <t>2,32</t>
  </si>
  <si>
    <t>4,64</t>
  </si>
  <si>
    <t>1,16</t>
  </si>
  <si>
    <t>1,13</t>
  </si>
  <si>
    <t>5,22</t>
  </si>
  <si>
    <t>12,36</t>
  </si>
  <si>
    <t>1,85</t>
  </si>
  <si>
    <t>1,32</t>
  </si>
  <si>
    <t>6,09</t>
  </si>
  <si>
    <t>62,83</t>
  </si>
  <si>
    <t>ACO CA-25, 16,0 MM, BARRA DE TRANSFERENCIA</t>
  </si>
  <si>
    <t>5,62</t>
  </si>
  <si>
    <t>4,74</t>
  </si>
  <si>
    <t>3,30</t>
  </si>
  <si>
    <t>8,80</t>
  </si>
  <si>
    <t>11,52</t>
  </si>
  <si>
    <t>13,10</t>
  </si>
  <si>
    <t>26,87</t>
  </si>
  <si>
    <t>21,86</t>
  </si>
  <si>
    <t>4,06</t>
  </si>
  <si>
    <t>60,11</t>
  </si>
  <si>
    <t>11,38</t>
  </si>
  <si>
    <t>4,73</t>
  </si>
  <si>
    <t>5,28</t>
  </si>
  <si>
    <t>12,34</t>
  </si>
  <si>
    <t>8,66</t>
  </si>
  <si>
    <t>25,52</t>
  </si>
  <si>
    <t>1,91</t>
  </si>
  <si>
    <t>1,15</t>
  </si>
  <si>
    <t>1,44</t>
  </si>
  <si>
    <t>177,24</t>
  </si>
  <si>
    <t>108,80</t>
  </si>
  <si>
    <t>APONTADOR OU APROPRIADOR DE MAO DE OBRA</t>
  </si>
  <si>
    <t>21,12</t>
  </si>
  <si>
    <t>18,65</t>
  </si>
  <si>
    <t>15,19</t>
  </si>
  <si>
    <t>0,40</t>
  </si>
  <si>
    <t>1,11</t>
  </si>
  <si>
    <t>2,72</t>
  </si>
  <si>
    <t>2,18</t>
  </si>
  <si>
    <t>28,06</t>
  </si>
  <si>
    <t>22,40</t>
  </si>
  <si>
    <t>0,34</t>
  </si>
  <si>
    <t>12,45</t>
  </si>
  <si>
    <t>23,99</t>
  </si>
  <si>
    <t>AUXILIAR DE LABORATORISTA DE SOLOS E DE CONCRETO</t>
  </si>
  <si>
    <t>11,49</t>
  </si>
  <si>
    <t>AZULEJISTA OU LADRILHEIRO</t>
  </si>
  <si>
    <t>8,90</t>
  </si>
  <si>
    <t>10,52</t>
  </si>
  <si>
    <t>16,02</t>
  </si>
  <si>
    <t>9,82</t>
  </si>
  <si>
    <t>1,61</t>
  </si>
  <si>
    <t>2,79</t>
  </si>
  <si>
    <t>5,27</t>
  </si>
  <si>
    <t>1,99</t>
  </si>
  <si>
    <t>1,94</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</si>
  <si>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</si>
  <si>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</si>
  <si>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82,32</t>
  </si>
  <si>
    <t>34,54</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</si>
  <si>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</si>
  <si>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</si>
  <si>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</si>
  <si>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2,41</t>
  </si>
  <si>
    <t>159,90</t>
  </si>
  <si>
    <t>18,68</t>
  </si>
  <si>
    <t>5,58</t>
  </si>
  <si>
    <t>12,08</t>
  </si>
  <si>
    <t>9,49</t>
  </si>
  <si>
    <t>5,84</t>
  </si>
  <si>
    <t>4,03</t>
  </si>
  <si>
    <t>1,83</t>
  </si>
  <si>
    <t>8,83</t>
  </si>
  <si>
    <t>12,58</t>
  </si>
  <si>
    <t>11,10</t>
  </si>
  <si>
    <t>24,69</t>
  </si>
  <si>
    <t>2,68</t>
  </si>
  <si>
    <t>13,29</t>
  </si>
  <si>
    <t>5,70</t>
  </si>
  <si>
    <t>1,08</t>
  </si>
  <si>
    <t>1,58</t>
  </si>
  <si>
    <t>41,77</t>
  </si>
  <si>
    <t>19,32</t>
  </si>
  <si>
    <t>20,35</t>
  </si>
  <si>
    <t>5,00</t>
  </si>
  <si>
    <t>17,00</t>
  </si>
  <si>
    <t>40,94</t>
  </si>
  <si>
    <t>23,14</t>
  </si>
  <si>
    <t>16,30</t>
  </si>
  <si>
    <t>10,94</t>
  </si>
  <si>
    <t>22,72</t>
  </si>
  <si>
    <t>3,53</t>
  </si>
  <si>
    <t>4,01</t>
  </si>
  <si>
    <t>1,75</t>
  </si>
  <si>
    <t>20,47</t>
  </si>
  <si>
    <t>13,53</t>
  </si>
  <si>
    <t>6,25</t>
  </si>
  <si>
    <t>29,26</t>
  </si>
  <si>
    <t>47,80</t>
  </si>
  <si>
    <t>3,16</t>
  </si>
  <si>
    <t>25,91</t>
  </si>
  <si>
    <t>31,69</t>
  </si>
  <si>
    <t>13,24</t>
  </si>
  <si>
    <t>43,49</t>
  </si>
  <si>
    <t>11,98</t>
  </si>
  <si>
    <t>15,17</t>
  </si>
  <si>
    <t>2,61</t>
  </si>
  <si>
    <t>4,69</t>
  </si>
  <si>
    <t>38,79</t>
  </si>
  <si>
    <t>3,15</t>
  </si>
  <si>
    <t>2,67</t>
  </si>
  <si>
    <t>16,07</t>
  </si>
  <si>
    <t>38,12</t>
  </si>
  <si>
    <t>14,17</t>
  </si>
  <si>
    <t>0,91</t>
  </si>
  <si>
    <t>6,63</t>
  </si>
  <si>
    <t>30,18</t>
  </si>
  <si>
    <t>21,24</t>
  </si>
  <si>
    <t>19,50</t>
  </si>
  <si>
    <t>23,32</t>
  </si>
  <si>
    <t>25,83</t>
  </si>
  <si>
    <t>24,91</t>
  </si>
  <si>
    <t>20,79</t>
  </si>
  <si>
    <t>61,49</t>
  </si>
  <si>
    <t>CHAPA/BOBINA LISA EM ALUMINIO, LIGA 1.200 - H14, QUALQUER ESPESSURA, QUALQUER LARGURA</t>
  </si>
  <si>
    <t>2,83</t>
  </si>
  <si>
    <t>2,37</t>
  </si>
  <si>
    <t>19,48</t>
  </si>
  <si>
    <t>15,53</t>
  </si>
  <si>
    <t>11,50</t>
  </si>
  <si>
    <t>15,24</t>
  </si>
  <si>
    <t>13,70</t>
  </si>
  <si>
    <t>7,11</t>
  </si>
  <si>
    <t>7,65</t>
  </si>
  <si>
    <t>15,58</t>
  </si>
  <si>
    <t>21,80</t>
  </si>
  <si>
    <t>8,89</t>
  </si>
  <si>
    <t>9,75</t>
  </si>
  <si>
    <t>5,54</t>
  </si>
  <si>
    <t>10,13</t>
  </si>
  <si>
    <t>8,56</t>
  </si>
  <si>
    <t>5,39</t>
  </si>
  <si>
    <t>77,93</t>
  </si>
  <si>
    <t>24,78</t>
  </si>
  <si>
    <t>9,27</t>
  </si>
  <si>
    <t>8,06</t>
  </si>
  <si>
    <t>18,19</t>
  </si>
  <si>
    <t>12,19</t>
  </si>
  <si>
    <t>14,02</t>
  </si>
  <si>
    <t>15,23</t>
  </si>
  <si>
    <t>15,39</t>
  </si>
  <si>
    <t>8,41</t>
  </si>
  <si>
    <t>8,85</t>
  </si>
  <si>
    <t>4,82</t>
  </si>
  <si>
    <t>12,14</t>
  </si>
  <si>
    <t>4,04</t>
  </si>
  <si>
    <t>6,05</t>
  </si>
  <si>
    <t>4,66</t>
  </si>
  <si>
    <t>4,14</t>
  </si>
  <si>
    <t>23,69</t>
  </si>
  <si>
    <t>39,93</t>
  </si>
  <si>
    <t>16,49</t>
  </si>
  <si>
    <t>11,73</t>
  </si>
  <si>
    <t>21,76</t>
  </si>
  <si>
    <t>7,96</t>
  </si>
  <si>
    <t>3,14</t>
  </si>
  <si>
    <t>5,71</t>
  </si>
  <si>
    <t>3,90</t>
  </si>
  <si>
    <t>10,50</t>
  </si>
  <si>
    <t>15,16</t>
  </si>
  <si>
    <t>12,54</t>
  </si>
  <si>
    <t>26,11</t>
  </si>
  <si>
    <t>2,25</t>
  </si>
  <si>
    <t>3,60</t>
  </si>
  <si>
    <t>2,64</t>
  </si>
  <si>
    <t>14,95</t>
  </si>
  <si>
    <t>3,99</t>
  </si>
  <si>
    <t>13,98</t>
  </si>
  <si>
    <t>12,95</t>
  </si>
  <si>
    <t>4,58</t>
  </si>
  <si>
    <t>29,40</t>
  </si>
  <si>
    <t>8,22</t>
  </si>
  <si>
    <t>14,90</t>
  </si>
  <si>
    <t>10,65</t>
  </si>
  <si>
    <t>17,86</t>
  </si>
  <si>
    <t>5,82</t>
  </si>
  <si>
    <t>10,00</t>
  </si>
  <si>
    <t>9,93</t>
  </si>
  <si>
    <t>14,56</t>
  </si>
  <si>
    <t>8,16</t>
  </si>
  <si>
    <t>21,92</t>
  </si>
  <si>
    <t>18,62</t>
  </si>
  <si>
    <t>12,38</t>
  </si>
  <si>
    <t>3,63</t>
  </si>
  <si>
    <t>10,17</t>
  </si>
  <si>
    <t>24,20</t>
  </si>
  <si>
    <t>0,57</t>
  </si>
  <si>
    <t>40,42</t>
  </si>
  <si>
    <t>1,07</t>
  </si>
  <si>
    <t>2,12</t>
  </si>
  <si>
    <t>2,20</t>
  </si>
  <si>
    <t>ESTABILIZADOR BIVOLT AUTOMATICO, 1000 VA</t>
  </si>
  <si>
    <t>ESTABILIZADOR BIVOLT AUTOMATICO, 1500 VA</t>
  </si>
  <si>
    <t>ESTABILIZADOR BIVOLT AUTOMATICO, 2000 VA</t>
  </si>
  <si>
    <t>ESTABILIZADOR BIVOLT AUTOMATICO, 300 VA</t>
  </si>
  <si>
    <t>ESTABILIZADOR BIVOLT AUTOMATICO, 500 VA</t>
  </si>
  <si>
    <t>65,94</t>
  </si>
  <si>
    <t>34,24</t>
  </si>
  <si>
    <t>27,49</t>
  </si>
  <si>
    <t>3,61</t>
  </si>
  <si>
    <t>14,26</t>
  </si>
  <si>
    <t>1,45</t>
  </si>
  <si>
    <t>0,86</t>
  </si>
  <si>
    <t>39,48</t>
  </si>
  <si>
    <t>30,86</t>
  </si>
  <si>
    <t>24,52</t>
  </si>
  <si>
    <t>77,85</t>
  </si>
  <si>
    <t>43,56</t>
  </si>
  <si>
    <t>13,23</t>
  </si>
  <si>
    <t>14,61</t>
  </si>
  <si>
    <t>45,43</t>
  </si>
  <si>
    <t>11,03</t>
  </si>
  <si>
    <t>13,82</t>
  </si>
  <si>
    <t>4,99</t>
  </si>
  <si>
    <t>50,78</t>
  </si>
  <si>
    <t>26,02</t>
  </si>
  <si>
    <t>21,50</t>
  </si>
  <si>
    <t>12,64</t>
  </si>
  <si>
    <t>18,41</t>
  </si>
  <si>
    <t>13,39</t>
  </si>
  <si>
    <t>15,87</t>
  </si>
  <si>
    <t>10,48</t>
  </si>
  <si>
    <t>3,50</t>
  </si>
  <si>
    <t>9,68</t>
  </si>
  <si>
    <t>12,37</t>
  </si>
  <si>
    <t>1,49</t>
  </si>
  <si>
    <t>2,89</t>
  </si>
  <si>
    <t>3,65</t>
  </si>
  <si>
    <t>38,34</t>
  </si>
  <si>
    <t>15,65</t>
  </si>
  <si>
    <t>10,68</t>
  </si>
  <si>
    <t>21,47</t>
  </si>
  <si>
    <t>68,69</t>
  </si>
  <si>
    <t>12,73</t>
  </si>
  <si>
    <t>7,94</t>
  </si>
  <si>
    <t>8,50</t>
  </si>
  <si>
    <t>6,38</t>
  </si>
  <si>
    <t>8,75</t>
  </si>
  <si>
    <t>7,80</t>
  </si>
  <si>
    <t>22,50</t>
  </si>
  <si>
    <t>2,27</t>
  </si>
  <si>
    <t>27,38</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</si>
  <si>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</si>
  <si>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</si>
  <si>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</si>
  <si>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</si>
  <si>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</si>
  <si>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</si>
  <si>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</si>
  <si>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8,68</t>
  </si>
  <si>
    <t>103,36</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</si>
  <si>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</si>
  <si>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32,53</t>
  </si>
  <si>
    <t>20,83</t>
  </si>
  <si>
    <t>18,76</t>
  </si>
  <si>
    <t>11,34</t>
  </si>
  <si>
    <t>11,01</t>
  </si>
  <si>
    <t>13,38</t>
  </si>
  <si>
    <t>37,40</t>
  </si>
  <si>
    <t>14,22</t>
  </si>
  <si>
    <t>22,76</t>
  </si>
  <si>
    <t>15,78</t>
  </si>
  <si>
    <t>18,69</t>
  </si>
  <si>
    <t>23,90</t>
  </si>
  <si>
    <t>4,10</t>
  </si>
  <si>
    <t>3,03</t>
  </si>
  <si>
    <t>28,53</t>
  </si>
  <si>
    <t>14,80</t>
  </si>
  <si>
    <t>24,90</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</si>
  <si>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</si>
  <si>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</si>
  <si>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</si>
  <si>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</si>
  <si>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</si>
  <si>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OPERADOR DE BETONEIRA ESTACIONARIA / MISTURADOR</t>
  </si>
  <si>
    <t>OPERADOR DE GUINCHO OU GUINCHEIRO</t>
  </si>
  <si>
    <t>OPERADOR DE PAVIMENTADORA / MESA VIBROACABADORA</t>
  </si>
  <si>
    <t>OPERADOR DE PAVIMENTADORA / MESA VIBROACABADORA (MENSALISTA)</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</si>
  <si>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</si>
  <si>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</si>
  <si>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</si>
  <si>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</si>
  <si>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</si>
  <si>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98,27</t>
  </si>
  <si>
    <t>15,37</t>
  </si>
  <si>
    <t>16,11</t>
  </si>
  <si>
    <t>3,69</t>
  </si>
  <si>
    <t>14,84</t>
  </si>
  <si>
    <t>47,85</t>
  </si>
  <si>
    <t>4,95</t>
  </si>
  <si>
    <t>17,09</t>
  </si>
  <si>
    <t>43,99</t>
  </si>
  <si>
    <t>12,16</t>
  </si>
  <si>
    <t>86,52</t>
  </si>
  <si>
    <t>16,75</t>
  </si>
  <si>
    <t>17,81</t>
  </si>
  <si>
    <t>12,07</t>
  </si>
  <si>
    <t>26,01</t>
  </si>
  <si>
    <t>10,27</t>
  </si>
  <si>
    <t>QUADRO DE DISTRIBUICAO COM BARRAMENTO TRIFASICO, DE SOBREPOR, EM CHAPA DE ACO GALVANIZADO, PARA *42* DISJUNTORES DIN, 100 A</t>
  </si>
  <si>
    <t>44,11</t>
  </si>
  <si>
    <t>15,73</t>
  </si>
  <si>
    <t>17,35</t>
  </si>
  <si>
    <t>5,64</t>
  </si>
  <si>
    <t>25,58</t>
  </si>
  <si>
    <t>21,88</t>
  </si>
  <si>
    <t>70,08</t>
  </si>
  <si>
    <t>2,22</t>
  </si>
  <si>
    <t>12,10</t>
  </si>
  <si>
    <t>15,80</t>
  </si>
  <si>
    <t>24,55</t>
  </si>
  <si>
    <t>30,63</t>
  </si>
  <si>
    <t>11,68</t>
  </si>
  <si>
    <t>12,40</t>
  </si>
  <si>
    <t>34,99</t>
  </si>
  <si>
    <t>3,39</t>
  </si>
  <si>
    <t>5,67</t>
  </si>
  <si>
    <t>10,86</t>
  </si>
  <si>
    <t>46,58</t>
  </si>
  <si>
    <t>19,29</t>
  </si>
  <si>
    <t>12,60</t>
  </si>
  <si>
    <t>29,56</t>
  </si>
  <si>
    <t>7,55</t>
  </si>
  <si>
    <t>37,29</t>
  </si>
  <si>
    <t>27,50</t>
  </si>
  <si>
    <t>16,61</t>
  </si>
  <si>
    <t>2,23</t>
  </si>
  <si>
    <t>43,79</t>
  </si>
  <si>
    <t>6,79</t>
  </si>
  <si>
    <t>19,19</t>
  </si>
  <si>
    <t>17,44</t>
  </si>
  <si>
    <t>20,89</t>
  </si>
  <si>
    <t>55,43</t>
  </si>
  <si>
    <t>16,05</t>
  </si>
  <si>
    <t>15,14</t>
  </si>
  <si>
    <t>24,45</t>
  </si>
  <si>
    <t>36,18</t>
  </si>
  <si>
    <t>22,58</t>
  </si>
  <si>
    <t>TELHA GALVALUME COM ISOLAMENTO TERMOACUSTICO EM ESPUMA RIGIDA DE POLIURETANO (PU) INJETADO, ESPESSURA DE 30 MM, DENSIDADE DE 35 KG/M3, COM DUAS FACES TRAPEZOIDAIS, ACABAMENTO NATURAL (NAO INCLUI ACESSORIOS DE FIXACAO)</t>
  </si>
  <si>
    <t>TELHADOR  (MENSALISTA)</t>
  </si>
  <si>
    <t>3,79</t>
  </si>
  <si>
    <t>11,45</t>
  </si>
  <si>
    <t>14,78</t>
  </si>
  <si>
    <t>3,92</t>
  </si>
  <si>
    <t>26,62</t>
  </si>
  <si>
    <t>14,39</t>
  </si>
  <si>
    <t>33,06</t>
  </si>
  <si>
    <t>12,96</t>
  </si>
  <si>
    <t>17,52</t>
  </si>
  <si>
    <t>257,26</t>
  </si>
  <si>
    <t>6,94</t>
  </si>
  <si>
    <t>12,68</t>
  </si>
  <si>
    <t>24,30</t>
  </si>
  <si>
    <t>25,01</t>
  </si>
  <si>
    <t>84,02</t>
  </si>
  <si>
    <t>25,71</t>
  </si>
  <si>
    <t>21,84</t>
  </si>
  <si>
    <t>12,80</t>
  </si>
  <si>
    <t>19,39</t>
  </si>
  <si>
    <t>62,77</t>
  </si>
  <si>
    <t>10,88</t>
  </si>
  <si>
    <t>11,58</t>
  </si>
  <si>
    <t>59,87</t>
  </si>
  <si>
    <t>24,97</t>
  </si>
  <si>
    <t>0,82</t>
  </si>
  <si>
    <t>27,78</t>
  </si>
  <si>
    <t>17,46</t>
  </si>
  <si>
    <t>26,16</t>
  </si>
  <si>
    <t>19,11</t>
  </si>
  <si>
    <t>8,91</t>
  </si>
  <si>
    <t>24,59</t>
  </si>
  <si>
    <t>2,17</t>
  </si>
  <si>
    <t>29,53</t>
  </si>
  <si>
    <t>32,49</t>
  </si>
  <si>
    <t>54,46</t>
  </si>
  <si>
    <t>23,45</t>
  </si>
  <si>
    <t>15,62</t>
  </si>
  <si>
    <t>23,16</t>
  </si>
  <si>
    <t>13,51</t>
  </si>
  <si>
    <t>392.649,25</t>
  </si>
  <si>
    <t>527.982,35</t>
  </si>
  <si>
    <t>647.029,46</t>
  </si>
  <si>
    <t>700.000,00</t>
  </si>
  <si>
    <t>62,04</t>
  </si>
  <si>
    <t>44,27</t>
  </si>
  <si>
    <t>1,89</t>
  </si>
  <si>
    <t>14,92</t>
  </si>
  <si>
    <t>20,96</t>
  </si>
  <si>
    <t>CCU - 03.003</t>
  </si>
  <si>
    <t>CCU - 03.007</t>
  </si>
  <si>
    <t xml:space="preserve">03.03.000 </t>
  </si>
  <si>
    <t xml:space="preserve">03.03.100 </t>
  </si>
  <si>
    <t>ESTRUTURAS METÁLICAS</t>
  </si>
  <si>
    <t>ESTRUTURA METÁLICA COMPLETA</t>
  </si>
  <si>
    <t>CCU - 03.009</t>
  </si>
  <si>
    <t>CCU - 03.010</t>
  </si>
  <si>
    <t>COBERTURA E FECHAMENTO LATERAL</t>
  </si>
  <si>
    <t>CAIXAS E ACESSÓRIOS</t>
  </si>
  <si>
    <t xml:space="preserve"> </t>
  </si>
  <si>
    <t>CCU - 05.008</t>
  </si>
  <si>
    <t>06.01.520.6</t>
  </si>
  <si>
    <t>CONSIDERADO: 1 SERVENTES, 1 HORA POR DIA, 22 DIAS</t>
  </si>
  <si>
    <t>20,94% (OBRA)  /  10,89% (EQUIPAMENTOS)</t>
  </si>
  <si>
    <t>AGO-20</t>
  </si>
  <si>
    <t>SET-20</t>
  </si>
  <si>
    <t>MAI19 A SET20</t>
  </si>
  <si>
    <t>MAI20 A JUN20</t>
  </si>
  <si>
    <t>MAI20 A JUL20</t>
  </si>
  <si>
    <t>MAI20 A AGO20</t>
  </si>
  <si>
    <t>20,94%
(obra)</t>
  </si>
  <si>
    <t>CCA - 10.001</t>
  </si>
  <si>
    <t>CCA - 10.002</t>
  </si>
  <si>
    <t>06.01.302.2</t>
  </si>
  <si>
    <t>06.01.302.3</t>
  </si>
  <si>
    <t>06.01.302.4</t>
  </si>
  <si>
    <t>CABOS</t>
  </si>
  <si>
    <t>COEFICIENTE</t>
  </si>
  <si>
    <t>COT - 06.007</t>
  </si>
  <si>
    <t>COT - 06.008</t>
  </si>
  <si>
    <t>COT - 06.009</t>
  </si>
  <si>
    <t>COT - 06.010</t>
  </si>
  <si>
    <t>COT - 06.011</t>
  </si>
  <si>
    <t>COT - 06.012</t>
  </si>
  <si>
    <t>COT - 06.013</t>
  </si>
  <si>
    <t>CCU - 06.013</t>
  </si>
  <si>
    <t>CCU - 06.014</t>
  </si>
  <si>
    <t>CCU - 06.015</t>
  </si>
  <si>
    <t>CCU - 06.016</t>
  </si>
  <si>
    <t>CCU - 06.017</t>
  </si>
  <si>
    <t>CCU - 06.018</t>
  </si>
  <si>
    <t>CCU - 06.019</t>
  </si>
  <si>
    <t>CCU - 06.020</t>
  </si>
  <si>
    <t>CCU - 06.021</t>
  </si>
  <si>
    <t>CCU - 06.022</t>
  </si>
  <si>
    <t>CCU - 06.023</t>
  </si>
  <si>
    <t>CCU - 06.024</t>
  </si>
  <si>
    <t>CCU - 06.025</t>
  </si>
  <si>
    <t>CCU - 06.026</t>
  </si>
  <si>
    <t>fim da fórmula</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</si>
  <si>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</si>
  <si>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</si>
  <si>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</si>
  <si>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</si>
  <si>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</si>
  <si>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</si>
  <si>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</si>
  <si>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</si>
  <si>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</si>
  <si>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</si>
  <si>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</si>
  <si>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</si>
  <si>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</si>
  <si>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</si>
  <si>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</si>
  <si>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</si>
  <si>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</si>
  <si>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</si>
  <si>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</si>
  <si>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</si>
  <si>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</si>
  <si>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</si>
  <si>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</si>
  <si>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</si>
  <si>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</si>
  <si>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</si>
  <si>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ARAME RECOZIDO 16 BWG, D = 1,65 MM (0,016 KG/M) OU 18 BWG, D = 1,25 MM (0,01 KG/M)</t>
  </si>
  <si>
    <t>ARGAMASSA COLANTE AC II</t>
  </si>
  <si>
    <t>ARGAMASSA COLANTE TIPO AC III</t>
  </si>
  <si>
    <t>ARGAMASSA COLANTE TIPO AC III E</t>
  </si>
  <si>
    <t>ARGAMASSA PARA REVESTIMENTO DECORATIVO MONOCAMADA</t>
  </si>
  <si>
    <t>ARRUELA LISA, REDONDA, DE LATAO POLIDO, DIAMETRO NOMINAL 5/8", DIAMETRO EXTERNO = 34 MM, DIAMETRO DO FURO = 17 MM, ESPESSURA = *2,5* MM</t>
  </si>
  <si>
    <t>BARRA ANTIPANICO DUPLA, CEGA EM LADO OPOSTO, COR CINZA</t>
  </si>
  <si>
    <t>BARRA ANTIPANICO SIMPLES, CEGA EM LADO OPOSTO, COR CINZA</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</si>
  <si>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</si>
  <si>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</si>
  <si>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</si>
  <si>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</si>
  <si>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</si>
  <si>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</si>
  <si>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</si>
  <si>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</si>
  <si>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</si>
  <si>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</si>
  <si>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</si>
  <si>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</si>
  <si>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BLOCO CERAMICO VAZADO PARA ALVENARIA DE VEDACAO, DE 9 X 19 X 19 CM (L X A X C)</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</si>
  <si>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</si>
  <si>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</si>
  <si>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</si>
  <si>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</si>
  <si>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</si>
  <si>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</si>
  <si>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</si>
  <si>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</si>
  <si>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</si>
  <si>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</si>
  <si>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</si>
  <si>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</si>
  <si>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</si>
  <si>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</si>
  <si>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</si>
  <si>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</si>
  <si>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</si>
  <si>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</si>
  <si>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</si>
  <si>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</si>
  <si>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</si>
  <si>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</si>
  <si>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</si>
  <si>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</si>
  <si>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</si>
  <si>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</si>
  <si>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</si>
  <si>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GESSO COMPACTO / MACICO, BRANCO, E = 10 CM, DIMENSOES *67 X 50* CM</t>
  </si>
  <si>
    <t>BLOCO DE GESSO VAZADO, BRANCO, E = *7* CM, DIMENSOES *67 X 50* CM</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</si>
  <si>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</si>
  <si>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</si>
  <si>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</si>
  <si>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</si>
  <si>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</si>
  <si>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</si>
  <si>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</si>
  <si>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</si>
  <si>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</si>
  <si>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</si>
  <si>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VEDACAO CONCRETO CELULAR AUTOCLAVADO 12,5 X 30 X 60 CM (E X A X C)</t>
  </si>
  <si>
    <t>BLOCO VEDACAO CONCRETO CELULAR AUTOCLAVADO 7,5 X 30 X 60 CM (E X A X C)</t>
  </si>
  <si>
    <t>BORBOLETA PARA JANELA TIPO GUILHOTINA, EM ZAMAC CROMADO</t>
  </si>
  <si>
    <t>BUCHA DE REDUCAO, PVC, LONGA, SERIE R, DN 50 X 40 MM, PARA ESGOTO OU AGUAS PLUVIAIS PREDIAIS</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</si>
  <si>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</si>
  <si>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</si>
  <si>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</si>
  <si>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</si>
  <si>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</si>
  <si>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</si>
  <si>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</si>
  <si>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</si>
  <si>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</si>
  <si>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</si>
  <si>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</si>
  <si>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</si>
  <si>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</si>
  <si>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</si>
  <si>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</si>
  <si>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</si>
  <si>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</si>
  <si>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</si>
  <si>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</si>
  <si>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</si>
  <si>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</si>
  <si>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</si>
  <si>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</si>
  <si>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</si>
  <si>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GORDURA CILINDRICA EM CONCRETO SIMPLES,  PRE-MOLDADA, COM DIAMETRO DE 40 CM E ALTURA DE 45 CM, COM TAMPA</t>
  </si>
  <si>
    <t>CAIXA PARA HIDROMETRO CONCRETO PRE MOLDADO, *0,24 M X 0,45 M X 0,30* M (L X C X A)</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</si>
  <si>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</si>
  <si>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</si>
  <si>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</si>
  <si>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</si>
  <si>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</si>
  <si>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</si>
  <si>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</si>
  <si>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</si>
  <si>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</si>
  <si>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</si>
  <si>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</si>
  <si>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</si>
  <si>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</si>
  <si>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</si>
  <si>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</si>
  <si>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</si>
  <si>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CANTONEIRA (ABAS IGUAIS) EM FERRO GALVANIZADO, 25,4 MM X 3,17 MM (L X E), 0,86 KG/M</t>
  </si>
  <si>
    <t>CANTONEIRA (ABAS IGUAIS) EM FERRO GALVANIZADO, 25,4 MM X 3,17 MM (L X E), 1,27KG/M</t>
  </si>
  <si>
    <t>CANTONEIRA (ABAS IGUAIS) EM FERRO GALVANIZADO, 38,1 MM X 3,17 MM (L X E), 3,48 KG/M</t>
  </si>
  <si>
    <t>CANTONEIRA (ABAS IGUAIS) EM FERRO GALVANIZADO, 50,8 MM X 9,53 MM (L X E), 6,99 KG/M</t>
  </si>
  <si>
    <t>CAP PVC, SERIE R, DN 100 MM, PARA ESGOTO OU AGUAS PLUVIAIS PREDIAIS</t>
  </si>
  <si>
    <t>CAP PVC, SERIE R, DN 150 MM, PARA ESGOTO OU AGUAS PLUVIAIS PREDIAIS</t>
  </si>
  <si>
    <t>CAP PVC, SERIE R, DN 75 MM, PARA ESGOTO OU AGUAS PLUVIAIS PREDIAIS</t>
  </si>
  <si>
    <t>CONCRETO USINADO BOMBEAVEL, CLASSE DE RESISTENCIA C30, COM BRITA 0 E 1, SLUMP = 220 +/- 30 MM, EXCLUI SERVICO DE BOMBEAMENTO (NBR 8953)</t>
  </si>
  <si>
    <t>CONJ. DE FERRAGENS PARA PORTA DE VIDRO TEMPERADO, EM ZAMAC CROMADO, CONTEMPLANDO: DOBRADICA INF.; DOBRADICA SUP.; PIVO PARA DOBRADICA INF.; PIVO PARA DOBRADICA SUP.; FECHADURA CENTRAL EM ZAMC CROMADO; CONTRA FECHADURA DE PRESSAO</t>
  </si>
  <si>
    <t>CONJUNTO PRE-MOLDADO COMPOSTO POR GRELHA (0,99 X 0,45 M), QUADRO (1,10 X 0,52 M) E CANTONEIRA (1,10 X 0,35 M), EM CONCRETO ARMADO, COM FCK DE 21 MPA</t>
  </si>
  <si>
    <t>CREMONA RETANGULAR INJETADA LISA COM CHAVE, COM CASTANHA / ALCA, EM LATAO, COM ACABAMENTO CROMADO, DE SOBREPOR / EMBUTIR</t>
  </si>
  <si>
    <t>CREMONA RETANGULAR INJETADA LISA, COM CASTANHA / ALCA, EM LATAO, COM ACABAMENTO CROMADO, DE SOBREPOR / EMBUTIR</t>
  </si>
  <si>
    <t>CRUZETA DE MADEIRA TRATADA, *90 X 115 X 2400* MM, EM EUCALIPTO OU EQUIVALENTE DA REGIAO</t>
  </si>
  <si>
    <t>CUMEEIRA PARA TELHA DE CONCRETO, PARA 2 AGUAS DE TELHADO, COR CINZA, RENDIMENTO DE *3* TELHAS/M</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</si>
  <si>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</si>
  <si>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</si>
  <si>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</si>
  <si>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</si>
  <si>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</si>
  <si>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</si>
  <si>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</si>
  <si>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ELEMENTO VAZADO CERAMICO DIAGONAL (TIPO FLOR/QUADRADO/XIS) 25 X 18 X 7 CM</t>
  </si>
  <si>
    <t>ELEMENTO VAZADO CERAMICO QUADRADO (RETO OU REDONDO), *7 A 9 X 20 X 20* CM (L X A X C)</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</si>
  <si>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</si>
  <si>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</si>
  <si>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SEGURANÃA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</si>
  <si>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</si>
  <si>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</si>
  <si>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</si>
  <si>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</si>
  <si>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</si>
  <si>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</si>
  <si>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</si>
  <si>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</si>
  <si>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</si>
  <si>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</si>
  <si>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</si>
  <si>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</si>
  <si>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</si>
  <si>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</si>
  <si>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</si>
  <si>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</si>
  <si>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t>
  </si>
  <si>
    <t>FECHADURA ROSETA REDONDA PARA PORTA INTERNA, EM ACO INOX (MAQUINA, TESTA E CONTRA-TESTA) E EM ZAMAC (MACANETA, LINGUETA E TRINCOS) COM ACABAMENTO CROMADO, MAQUINA DE 55 MM, INCLUINDO CHAVE TIPO INTERNA</t>
  </si>
  <si>
    <t>FECHO / TRINCO TIPO AVIAO, EM ZAMAC CROMADO, *60* MM, PARA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</si>
  <si>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</si>
  <si>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</si>
  <si>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</si>
  <si>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</si>
  <si>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</si>
  <si>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</si>
  <si>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</si>
  <si>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</si>
  <si>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</si>
  <si>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</si>
  <si>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</si>
  <si>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</si>
  <si>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</si>
  <si>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</si>
  <si>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</si>
  <si>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</si>
  <si>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</si>
  <si>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GESSO EM PO PARA REVESTIMENTOS/MOLDURAS/SANCAS E USO GERAL</t>
  </si>
  <si>
    <t>JOELHO COM VISITA, PVC SERIE R, 90 GRAUS, 100 X 75 MM, PARA ESGOTO OU AGUAS PLUVIAIS PREDIAIS</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</si>
  <si>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</si>
  <si>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</si>
  <si>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</si>
  <si>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</si>
  <si>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</si>
  <si>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</si>
  <si>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</si>
  <si>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</si>
  <si>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</si>
  <si>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</si>
  <si>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JUNCAO DUPLA, PVC SERIE R, DN 100 X 100 X 100 MM, PARA ESGOTO OU AGUAS PLUVIAIS PREDIAIS</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</si>
  <si>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</si>
  <si>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</si>
  <si>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</si>
  <si>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</si>
  <si>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</si>
  <si>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</si>
  <si>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</si>
  <si>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</si>
  <si>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</si>
  <si>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</si>
  <si>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</si>
  <si>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</si>
  <si>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</si>
  <si>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</si>
  <si>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</si>
  <si>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</si>
  <si>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</si>
  <si>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</si>
  <si>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</si>
  <si>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</si>
  <si>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</si>
  <si>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</si>
  <si>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</si>
  <si>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</si>
  <si>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</si>
  <si>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</si>
  <si>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LOCACAO DE ANDAIME METALICO TUBULAR DE ENCAIXE, TIPO DE TORRE, COM LARGURA DE 1 ATE 1,5 M E ALTURA DE *1,00* M (INCLUSO SAPATAS FIXAS OU RODIZIOS)</t>
  </si>
  <si>
    <t>LONA PLASTICA EXTRA FORTE PRETA, E = 200 MICRA</t>
  </si>
  <si>
    <t>LONA PLASTICA PESADA PRETA, E = 150 MICRA</t>
  </si>
  <si>
    <t>LUVA DE CORRER, PVC SERIE R, 100 MM, PARA ESGOTO OU AGUAS PLUVIAIS PREDIAIS</t>
  </si>
  <si>
    <t>LUVA DE CORRER, PVC SERIE R, 150 MM, PARA ESGOTO OU AGUAS PLUVIAIS PREDIAIS</t>
  </si>
  <si>
    <t>LUVA DE CORRER, PVC SERIE R, 75 MM, PARA ESGOTO OU AGUAS PLUVIAIS PREDIAIS</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</si>
  <si>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</si>
  <si>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</si>
  <si>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</si>
  <si>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</si>
  <si>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</si>
  <si>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MACANETA ALAVANCA RETA OCA, EM ZAMAC COM ACABAMENTO CROMADO, COMPRIMENTO APROX DE 15 CM</t>
  </si>
  <si>
    <t>MACANETA BOLA, EM ZAMAC COM ACABAMENTO CROMADO, DIAMETRO DE APROX 2 1/2"</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</si>
  <si>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</si>
  <si>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</si>
  <si>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</si>
  <si>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</si>
  <si>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</si>
  <si>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</si>
  <si>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</si>
  <si>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</si>
  <si>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</si>
  <si>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</si>
  <si>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</si>
  <si>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MASSA DE REJUNTE EM PO PARA DRYWALL, A BASE DE GESSO, SECAGEM RAPIDA, PARA TRATAMENTO DE JUNTAS DE CHAPA DE GESSO (NECESSITA ADICAO DE AGUA)</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</si>
  <si>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</si>
  <si>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</si>
  <si>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</si>
  <si>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</si>
  <si>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</si>
  <si>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</si>
  <si>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</si>
  <si>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</si>
  <si>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</si>
  <si>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</si>
  <si>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</si>
  <si>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</si>
  <si>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</si>
  <si>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</si>
  <si>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</si>
  <si>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</si>
  <si>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</si>
  <si>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</si>
  <si>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</si>
  <si>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</si>
  <si>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80 CM, *45 X 12/18* CM (H X L1/L2)</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</si>
  <si>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</si>
  <si>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</si>
  <si>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</si>
  <si>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</si>
  <si>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MOURAO DE CONCRETO CURVO, *10 X 10* CM, H= *2,60* M + CURVA DE 0,40 M</t>
  </si>
  <si>
    <t>MOURAO DE CONCRETO RETO, SECAO QUADARA *10 X 10* CM, H= *2,30* M</t>
  </si>
  <si>
    <t>MOURAO DE CONCRETO RETO, SECAO QUADRADA, *10 X 10* CM, H= 3,00 M</t>
  </si>
  <si>
    <t>MOURAO ROLICO DE MADEIRA TRATADA, D = 16 A 20 CM, H = 2,20 M, EM EUCALIPTO OU EQUIVALENTE DA REGIAO (PARA CERCA)</t>
  </si>
  <si>
    <t>MOURAO ROLICO DE MADEIRA TRATADA, D = 8 A 11 CM, H = 2,20 M, EM EUCALIPTO OU EQUIVALENTE DA REGIAO (PARA CERCA)</t>
  </si>
  <si>
    <t>NUMERO / ALGARISMO PARA RESIDENCIA (FACHADA), EM ZAMAC, COM ALTURA DE APROX *45* MM, INCLUSIVE PARAFUSOS</t>
  </si>
  <si>
    <t>NUMERO / ALGARISMO PARA RESIDENCIA (FACHADA), EM ZAMAC, COM ALTURA DE APROX 125 MM, INCLUSIVE PARAFUSOS</t>
  </si>
  <si>
    <t>OLHO MAGICO PARA PORTAS, EM LATAO, COM LENTE DE POLICARBONATO, ANGULO DE *200* GRAUS, ESPESSURA ENTRE *25 E 46* MM, INCLUINDO FECHO JANELA</t>
  </si>
  <si>
    <t>PARALELEPIPEDO GRANITICO OU BASALTICO, PARA PAVIMENTACAO, SEM FRETE (VARIACAO REGIONAL DE PECAS POR M2)</t>
  </si>
  <si>
    <t>PERFIL U DE ABAS IGUAIS, EM ALUMINIO, 1/2" (1,27 X 1,27 CM), PARA PORTA OU JANELA DE CORRER</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</si>
  <si>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</si>
  <si>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</si>
  <si>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</si>
  <si>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PINO GUIA RETO, EM LATAO, CHAPA COM 3 MM DE ESPESSURA E GUIA COM ROLETE DE 9 MM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</si>
  <si>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</si>
  <si>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</si>
  <si>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</si>
  <si>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</si>
  <si>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</si>
  <si>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</si>
  <si>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</si>
  <si>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</si>
  <si>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DE GESSO PARA FORRO, *60 X 60* CM, ESPESSURA DE 12 MM (SEM COLOCACAO)</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</si>
  <si>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</si>
  <si>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</si>
  <si>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</si>
  <si>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PORTA CADEADO EM ACO GALVANIZADO, COMPRIMENTO DE 3  1/2"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</si>
  <si>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</si>
  <si>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</si>
  <si>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</si>
  <si>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</si>
  <si>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</si>
  <si>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</si>
  <si>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</si>
  <si>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</si>
  <si>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</si>
  <si>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</si>
  <si>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</si>
  <si>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</si>
  <si>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</si>
  <si>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</si>
  <si>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</si>
  <si>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</si>
  <si>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</si>
  <si>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</si>
  <si>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</si>
  <si>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</si>
  <si>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</si>
  <si>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POSTE ROLICO DE MADEIRA TRATADA, D = 20 A 25 CM, H = 12,00 M, EM EUCALIPTO OU EQUIVALENTE DA REGIAO</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</si>
  <si>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</si>
  <si>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</si>
  <si>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</si>
  <si>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</si>
  <si>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</si>
  <si>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</si>
  <si>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</si>
  <si>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</si>
  <si>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</si>
  <si>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</si>
  <si>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</si>
  <si>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</si>
  <si>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</si>
  <si>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</si>
  <si>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</si>
  <si>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</si>
  <si>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REJUNTE CIMENTICIO, QUALQUER COR</t>
  </si>
  <si>
    <t>REJUNTE EPOXI, QUALQUER COR</t>
  </si>
  <si>
    <t>RIPA  APARELHADA *1,5 X 5* CM, EM MACARANDUBA, ANGELIM OU EQUIVALENTE DA REGIAO</t>
  </si>
  <si>
    <t>RIPA NAO APARELHADA  *1 X 3* CM, EM MACARANDUBA, ANGELIM OU EQUIVALENTE DA REGIAO - BRUTA</t>
  </si>
  <si>
    <t>RIPA NAO APARELHADA,  *1,5 X 5* CM, EM MACARANDUBA, ANGELIM OU EQUIVALENTE DA REGIAO -  BRUTA</t>
  </si>
  <si>
    <t>RODIZIO TIPO NAPOLEAO PARA JANELAS DE CORRER, EM ZAMAC, COMPRIMENTO DE APROX 60 CM, COM ROLAMENTO EM ACO</t>
  </si>
  <si>
    <t>ROLDANA CONCAVA DUPLA, 4 RODAS, EM ZAMAC COM CHAPA DE LATAO, ROLAMENTOS EM ACO, PARA PORTAS E JANELAS DE CORRER</t>
  </si>
  <si>
    <t>ROLDANA CONCAVA DUPLA, 4 RODAS, PARA PORTA DE CORRER, EM ZAMAC COM CHAPA DE ACO,  ROLAMENTO INTERNO BLINDADO DE ACO REVESTIDO EM NYLON</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</si>
  <si>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</si>
  <si>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</si>
  <si>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</si>
  <si>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</si>
  <si>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</si>
  <si>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</si>
  <si>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</si>
  <si>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</si>
  <si>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</si>
  <si>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</si>
  <si>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</si>
  <si>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</si>
  <si>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</si>
  <si>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</si>
  <si>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NAO APARELHADA *2,5 X 15* CM, EM MACARANDUBA, ANGELIM OU EQUIVALENTE DA REGIAO - BRUTA</t>
  </si>
  <si>
    <t>TABUA NAO APARELHADA *2,5 X 30* CM, EM MACARANDUBA, ANGELIM OU EQUIVALENTE DA REGIAO - BRUTA</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</si>
  <si>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</si>
  <si>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</si>
  <si>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</si>
  <si>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</si>
  <si>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</si>
  <si>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</si>
  <si>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</si>
  <si>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</si>
  <si>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</si>
  <si>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</si>
  <si>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</si>
  <si>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</si>
  <si>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</si>
  <si>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</si>
  <si>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TARJETA LIVRE / OCUPADO PARA PORTA DE BANHEIRO, CORPO EM ZAMAC E ESPELHO EM LATAO</t>
  </si>
  <si>
    <t>TE DE INSPECAO, PVC, SERIE R, 100 X 75 MM, PARA ESGOTO OU AGUAS PLUVIAIS PREDIAIS</t>
  </si>
  <si>
    <t>TE DE INSPECAO, PVC, SERIE R, 150 X 100 MM, PARA ESGOTO OU AGUAS PLUVIAIS PREDIAIS</t>
  </si>
  <si>
    <t>TE DE INSPECAO, PVC, SERIE R, 75 X 75 MM, PARA ESGOTO OU AGUAS PLUVIAIS PREDIAIS</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</si>
  <si>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</si>
  <si>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</si>
  <si>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</si>
  <si>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</si>
  <si>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</si>
  <si>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TELHA DE CONCRETO TIPO CLASSICA, COR CINZA, COMPRIMENTO DE *42* CM,  RENDIMENTO DE *10* TELHAS/M2</t>
  </si>
  <si>
    <t>TELHA TERMOISOLANTE REVESTIDA EM ACO GALVALUME, FACE SUPERIOR TRAPEZOIDAL E FACE INFERIOR PLANA (NAO INCLUI ACESSORIOS DE FIXACAO), REVEST COM ESPESSURA DE 0,50 MM, COM PRE-PINTURA DE COR BRANCA NAS DUAS FACES, NUCLEO EM POLIIOCIANURATO (PIR) COM ESPESSURA DE 50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</si>
  <si>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</si>
  <si>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</si>
  <si>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</si>
  <si>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</si>
  <si>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</si>
  <si>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</si>
  <si>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TINTA A OLEO BRILHANTE, PARA MADEIRAS E METAIS</t>
  </si>
  <si>
    <t>TINTA EPOXI BASE AGUA PREMIUM, BRANCA</t>
  </si>
  <si>
    <t>TINTA ESMALTE BASE AGUA PREMIUM ACETINADO</t>
  </si>
  <si>
    <t>TINTA ESMALTE BASE AGUA PREMIUM BRILHANTE</t>
  </si>
  <si>
    <t>TINTA ESMALTE SINTETICO PREMIUM DE DUPLA ACAO GRAFITE FOSCO PARA SUPERFICIES METALICAS FERROSAS</t>
  </si>
  <si>
    <t>TINTA ESMALTE SINTETICO PREMIUM DE EFEITO PROTETOR DE SUPERFICIE METALICA ALUMINIO</t>
  </si>
  <si>
    <t>TINTA ESMALTE SINTETICO STANDARD ACETINADO</t>
  </si>
  <si>
    <t>TINTA ESMALTE SINTETICO STANDARD BRILHANTE</t>
  </si>
  <si>
    <t>TINTA ESMALTE SINTETICO STANDARD FOSCO</t>
  </si>
  <si>
    <t>TRAVA / PRENDEDOR DE PORTA, EM LATAO CROMADO, MONTADO EM PISO</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</si>
  <si>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</si>
  <si>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</si>
  <si>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</si>
  <si>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TUBO ACO CARBONO SEM COSTURA 1 1/4", E= *3,56 MM, SCHEDULE 40, *3,38* KG/M</t>
  </si>
  <si>
    <t>TUBO ACO CARBONO SEM COSTURA 1", E= *3,38 MM, SCHEDULE 40, *2,50* KG/M</t>
  </si>
  <si>
    <t>TUBO ACO CARBONO SEM COSTURA 3", E= *5,49 MM, SCHEDULE 40, *11,28* KG/M</t>
  </si>
  <si>
    <t>TUBO ACO CARBONO SEM COSTURA 5", E= *6,55 MM, SCHEDULE 40, *21,75* KG/M</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</si>
  <si>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</si>
  <si>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</si>
  <si>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</si>
  <si>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</si>
  <si>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</si>
  <si>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</si>
  <si>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</si>
  <si>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</si>
  <si>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</si>
  <si>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</si>
  <si>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</si>
  <si>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</si>
  <si>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</si>
  <si>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</si>
  <si>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</si>
  <si>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</si>
  <si>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</si>
  <si>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</si>
  <si>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</si>
  <si>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</si>
  <si>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</si>
  <si>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</si>
  <si>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</si>
  <si>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</si>
  <si>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</si>
  <si>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</si>
  <si>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</si>
  <si>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</si>
  <si>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</si>
  <si>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</si>
  <si>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</si>
  <si>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</si>
  <si>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</si>
  <si>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</si>
  <si>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</si>
  <si>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</si>
  <si>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</si>
  <si>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</si>
  <si>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</si>
  <si>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</si>
  <si>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</si>
  <si>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</si>
  <si>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</si>
  <si>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</si>
  <si>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</si>
  <si>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</si>
  <si>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</si>
  <si>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</si>
  <si>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</si>
  <si>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</si>
  <si>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</si>
  <si>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</si>
  <si>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</si>
  <si>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</si>
  <si>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</si>
  <si>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</si>
  <si>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</si>
  <si>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</si>
  <si>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</si>
  <si>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</si>
  <si>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</si>
  <si>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</si>
  <si>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</si>
  <si>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</si>
  <si>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</si>
  <si>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</si>
  <si>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</si>
  <si>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</si>
  <si>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</si>
  <si>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</si>
  <si>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</si>
  <si>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</si>
  <si>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</si>
  <si>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</si>
  <si>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</si>
  <si>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</si>
  <si>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</si>
  <si>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</si>
  <si>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</si>
  <si>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</si>
  <si>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</si>
  <si>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VARA FINA PARA CREMONA, EM FERRO ZINCADO BRANCO, COM DIAMETRO DE APROX 10 MM E COMPRIMENTO DE 1,20 M</t>
  </si>
  <si>
    <t>VARA FINA PARA CREMONA, EM FERRO ZINCADO BRANCO, COM DIAMETRO DE APROX 10 MM E COMPRIMENTO DE 1,50 M</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</si>
  <si>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</si>
  <si>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</si>
  <si>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</si>
  <si>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</si>
  <si>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</si>
  <si>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</si>
  <si>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</si>
  <si>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</si>
  <si>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20,25</t>
  </si>
  <si>
    <t>51,77</t>
  </si>
  <si>
    <t>10,42</t>
  </si>
  <si>
    <t>17,77</t>
  </si>
  <si>
    <t>3,82</t>
  </si>
  <si>
    <t>7,41</t>
  </si>
  <si>
    <t>18,53</t>
  </si>
  <si>
    <t>41,49</t>
  </si>
  <si>
    <t>35,68</t>
  </si>
  <si>
    <t>21,69</t>
  </si>
  <si>
    <t>5,63</t>
  </si>
  <si>
    <t>35,70</t>
  </si>
  <si>
    <t>12,18</t>
  </si>
  <si>
    <t>12,62</t>
  </si>
  <si>
    <t>14,27</t>
  </si>
  <si>
    <t>8,34</t>
  </si>
  <si>
    <t>494,57</t>
  </si>
  <si>
    <t>4.652,54</t>
  </si>
  <si>
    <t>2,82</t>
  </si>
  <si>
    <t>16,06</t>
  </si>
  <si>
    <t>10,58</t>
  </si>
  <si>
    <t>96,72</t>
  </si>
  <si>
    <t>63,16</t>
  </si>
  <si>
    <t>31,36</t>
  </si>
  <si>
    <t>5.589,85</t>
  </si>
  <si>
    <t>18,83</t>
  </si>
  <si>
    <t>15,90</t>
  </si>
  <si>
    <t>18,47</t>
  </si>
  <si>
    <t>95,00</t>
  </si>
  <si>
    <t>2,58</t>
  </si>
  <si>
    <t>30,19</t>
  </si>
  <si>
    <t>15,89</t>
  </si>
  <si>
    <t>66,92</t>
  </si>
  <si>
    <t>11.927,10</t>
  </si>
  <si>
    <t>74,15</t>
  </si>
  <si>
    <t>13.213,92</t>
  </si>
  <si>
    <t>95,07</t>
  </si>
  <si>
    <t>16.941,44</t>
  </si>
  <si>
    <t>125,69</t>
  </si>
  <si>
    <t>22.398,10</t>
  </si>
  <si>
    <t>0,58</t>
  </si>
  <si>
    <t>4,87</t>
  </si>
  <si>
    <t>29,90</t>
  </si>
  <si>
    <t>36,85</t>
  </si>
  <si>
    <t>3.565,00</t>
  </si>
  <si>
    <t>3.896,75</t>
  </si>
  <si>
    <t>5.090,00</t>
  </si>
  <si>
    <t>6.360,05</t>
  </si>
  <si>
    <t>35,90</t>
  </si>
  <si>
    <t>4,24</t>
  </si>
  <si>
    <t>39,50</t>
  </si>
  <si>
    <t>2,66</t>
  </si>
  <si>
    <t>17,72</t>
  </si>
  <si>
    <t>56,41</t>
  </si>
  <si>
    <t>43,88</t>
  </si>
  <si>
    <t>38,15</t>
  </si>
  <si>
    <t>7,64</t>
  </si>
  <si>
    <t>78,41</t>
  </si>
  <si>
    <t>8,20</t>
  </si>
  <si>
    <t>16,42</t>
  </si>
  <si>
    <t>40,55</t>
  </si>
  <si>
    <t>53,21</t>
  </si>
  <si>
    <t>19,84</t>
  </si>
  <si>
    <t>21,20</t>
  </si>
  <si>
    <t>18,84</t>
  </si>
  <si>
    <t>36,25</t>
  </si>
  <si>
    <t>17,31</t>
  </si>
  <si>
    <t>310,39</t>
  </si>
  <si>
    <t>5,16</t>
  </si>
  <si>
    <t>153,20</t>
  </si>
  <si>
    <t>25,59</t>
  </si>
  <si>
    <t>6,06</t>
  </si>
  <si>
    <t>72,62</t>
  </si>
  <si>
    <t>165,03</t>
  </si>
  <si>
    <t>50,59</t>
  </si>
  <si>
    <t>35,22</t>
  </si>
  <si>
    <t>26,30</t>
  </si>
  <si>
    <t>18,33</t>
  </si>
  <si>
    <t>8,98</t>
  </si>
  <si>
    <t>14,29</t>
  </si>
  <si>
    <t>18,74</t>
  </si>
  <si>
    <t>17,45</t>
  </si>
  <si>
    <t>20,55</t>
  </si>
  <si>
    <t>29,80</t>
  </si>
  <si>
    <t>98,01</t>
  </si>
  <si>
    <t>130,95</t>
  </si>
  <si>
    <t>21,02</t>
  </si>
  <si>
    <t>15,59</t>
  </si>
  <si>
    <t>1,57</t>
  </si>
  <si>
    <t>4,23</t>
  </si>
  <si>
    <t>8,31</t>
  </si>
  <si>
    <t>8,40</t>
  </si>
  <si>
    <t>10,30</t>
  </si>
  <si>
    <t>9,19</t>
  </si>
  <si>
    <t>8,13</t>
  </si>
  <si>
    <t>25,78</t>
  </si>
  <si>
    <t>23,34</t>
  </si>
  <si>
    <t>20,75</t>
  </si>
  <si>
    <t>31,08</t>
  </si>
  <si>
    <t>330,99</t>
  </si>
  <si>
    <t>497,71</t>
  </si>
  <si>
    <t>13,27</t>
  </si>
  <si>
    <t>20,46</t>
  </si>
  <si>
    <t>11,47</t>
  </si>
  <si>
    <t>27,42</t>
  </si>
  <si>
    <t>76,14</t>
  </si>
  <si>
    <t>20,58</t>
  </si>
  <si>
    <t>8,52</t>
  </si>
  <si>
    <t>16,94</t>
  </si>
  <si>
    <t>10,37</t>
  </si>
  <si>
    <t>59,40</t>
  </si>
  <si>
    <t>8,01</t>
  </si>
  <si>
    <t>34,29</t>
  </si>
  <si>
    <t>6,51</t>
  </si>
  <si>
    <t>19,49</t>
  </si>
  <si>
    <t>15,06</t>
  </si>
  <si>
    <t>7,18</t>
  </si>
  <si>
    <t>133,12</t>
  </si>
  <si>
    <t>23.720,03</t>
  </si>
  <si>
    <t>17,02</t>
  </si>
  <si>
    <t>18,29</t>
  </si>
  <si>
    <t>97,05</t>
  </si>
  <si>
    <t>7,46</t>
  </si>
  <si>
    <t>52,25</t>
  </si>
  <si>
    <t>27,76</t>
  </si>
  <si>
    <t>51,38</t>
  </si>
  <si>
    <t>19,46</t>
  </si>
  <si>
    <t>4,40</t>
  </si>
  <si>
    <t>2,16</t>
  </si>
  <si>
    <t>98,07</t>
  </si>
  <si>
    <t>12,82</t>
  </si>
  <si>
    <t>27,54</t>
  </si>
  <si>
    <t>22,33</t>
  </si>
  <si>
    <t>26,63</t>
  </si>
  <si>
    <t>8,69</t>
  </si>
  <si>
    <t>50,70</t>
  </si>
  <si>
    <t>17,54</t>
  </si>
  <si>
    <t>20,20</t>
  </si>
  <si>
    <t>17,68</t>
  </si>
  <si>
    <t>12,56</t>
  </si>
  <si>
    <t>26,83</t>
  </si>
  <si>
    <t>25,03</t>
  </si>
  <si>
    <t>26,38</t>
  </si>
  <si>
    <t>31,54</t>
  </si>
  <si>
    <t>103,42</t>
  </si>
  <si>
    <t>3,73</t>
  </si>
  <si>
    <t>14,43</t>
  </si>
  <si>
    <t>22,16</t>
  </si>
  <si>
    <t>6,29</t>
  </si>
  <si>
    <t>28,45</t>
  </si>
  <si>
    <t>24,89</t>
  </si>
  <si>
    <t>32,96</t>
  </si>
  <si>
    <t>90,81</t>
  </si>
  <si>
    <t>16.181,11</t>
  </si>
  <si>
    <t>18.417,42</t>
  </si>
  <si>
    <t>141,29</t>
  </si>
  <si>
    <t>25.176,12</t>
  </si>
  <si>
    <t>92,14</t>
  </si>
  <si>
    <t>16.417,16</t>
  </si>
  <si>
    <t>103,93</t>
  </si>
  <si>
    <t>18.521,79</t>
  </si>
  <si>
    <t>25.382,36</t>
  </si>
  <si>
    <t>18.988,81</t>
  </si>
  <si>
    <t>17.930,71</t>
  </si>
  <si>
    <t>197,14</t>
  </si>
  <si>
    <t>171,87</t>
  </si>
  <si>
    <t>151,31</t>
  </si>
  <si>
    <t>103,22</t>
  </si>
  <si>
    <t>119,49</t>
  </si>
  <si>
    <t>178,44</t>
  </si>
  <si>
    <t>250,26</t>
  </si>
  <si>
    <t>191,25</t>
  </si>
  <si>
    <t>244,54</t>
  </si>
  <si>
    <t>145,71</t>
  </si>
  <si>
    <t>1,82</t>
  </si>
  <si>
    <t>4,96</t>
  </si>
  <si>
    <t>5,33</t>
  </si>
  <si>
    <t>12,66</t>
  </si>
  <si>
    <t>103,70</t>
  </si>
  <si>
    <t>31,66</t>
  </si>
  <si>
    <t>43,30</t>
  </si>
  <si>
    <t>98,72</t>
  </si>
  <si>
    <t>44,54</t>
  </si>
  <si>
    <t>60,93</t>
  </si>
  <si>
    <t>19,92</t>
  </si>
  <si>
    <t>43,16</t>
  </si>
  <si>
    <t>117,38</t>
  </si>
  <si>
    <t>53,34</t>
  </si>
  <si>
    <t>110,22</t>
  </si>
  <si>
    <t>240,10</t>
  </si>
  <si>
    <t>76,97</t>
  </si>
  <si>
    <t>167,28</t>
  </si>
  <si>
    <t>5,40</t>
  </si>
  <si>
    <t>8,12</t>
  </si>
  <si>
    <t>14,13</t>
  </si>
  <si>
    <t>66,17</t>
  </si>
  <si>
    <t>100,00</t>
  </si>
  <si>
    <t>21,00</t>
  </si>
  <si>
    <t>24,50</t>
  </si>
  <si>
    <t>2,84</t>
  </si>
  <si>
    <t>17,15</t>
  </si>
  <si>
    <t>10,55</t>
  </si>
  <si>
    <t>4,30</t>
  </si>
  <si>
    <t>212,79</t>
  </si>
  <si>
    <t>31,27</t>
  </si>
  <si>
    <t>20,38</t>
  </si>
  <si>
    <t>84,32</t>
  </si>
  <si>
    <t>19,24</t>
  </si>
  <si>
    <t>27,65</t>
  </si>
  <si>
    <t>9,11</t>
  </si>
  <si>
    <t>24,57</t>
  </si>
  <si>
    <t>22,00</t>
  </si>
  <si>
    <t>4,41</t>
  </si>
  <si>
    <t>16,32</t>
  </si>
  <si>
    <t>15,46</t>
  </si>
  <si>
    <t>17,98</t>
  </si>
  <si>
    <t>25,67</t>
  </si>
  <si>
    <t>48,27</t>
  </si>
  <si>
    <t>12,51</t>
  </si>
  <si>
    <t>6,67</t>
  </si>
  <si>
    <t>32,94</t>
  </si>
  <si>
    <t>126,52</t>
  </si>
  <si>
    <t>18,96</t>
  </si>
  <si>
    <t>22,09</t>
  </si>
  <si>
    <t>24,28</t>
  </si>
  <si>
    <t>50,89</t>
  </si>
  <si>
    <t>4,88</t>
  </si>
  <si>
    <t>47,11</t>
  </si>
  <si>
    <t>20,16</t>
  </si>
  <si>
    <t>37,75</t>
  </si>
  <si>
    <t>32,65</t>
  </si>
  <si>
    <t>37,56</t>
  </si>
  <si>
    <t>21,96</t>
  </si>
  <si>
    <t>3.916,95</t>
  </si>
  <si>
    <t>73,31</t>
  </si>
  <si>
    <t>22,46</t>
  </si>
  <si>
    <t>45,56</t>
  </si>
  <si>
    <t>65,00</t>
  </si>
  <si>
    <t>45,26</t>
  </si>
  <si>
    <t>9,66</t>
  </si>
  <si>
    <t>29,24</t>
  </si>
  <si>
    <t>11,71</t>
  </si>
  <si>
    <t>12,90</t>
  </si>
  <si>
    <t>12,12</t>
  </si>
  <si>
    <t>19,66</t>
  </si>
  <si>
    <t>17,74</t>
  </si>
  <si>
    <t>17,26</t>
  </si>
  <si>
    <t>4,84</t>
  </si>
  <si>
    <t>1,62</t>
  </si>
  <si>
    <t>1,43</t>
  </si>
  <si>
    <t>18,34</t>
  </si>
  <si>
    <t>37,04</t>
  </si>
  <si>
    <t>143,16</t>
  </si>
  <si>
    <t>33,99</t>
  </si>
  <si>
    <t>16,00</t>
  </si>
  <si>
    <t>23,72</t>
  </si>
  <si>
    <t>13,14</t>
  </si>
  <si>
    <t>32,00</t>
  </si>
  <si>
    <t>32,80</t>
  </si>
  <si>
    <t>19,12</t>
  </si>
  <si>
    <t>23,98</t>
  </si>
  <si>
    <t>11,75</t>
  </si>
  <si>
    <t>15,96</t>
  </si>
  <si>
    <t>18,52</t>
  </si>
  <si>
    <t>48,95</t>
  </si>
  <si>
    <t>28,32</t>
  </si>
  <si>
    <t>33,81</t>
  </si>
  <si>
    <t>30,79</t>
  </si>
  <si>
    <t>15,66</t>
  </si>
  <si>
    <t>30,67</t>
  </si>
  <si>
    <t>6,36</t>
  </si>
  <si>
    <t>7,70</t>
  </si>
  <si>
    <t>49,10</t>
  </si>
  <si>
    <t>38,56</t>
  </si>
  <si>
    <t>31,55</t>
  </si>
  <si>
    <t>58,41</t>
  </si>
  <si>
    <t>28,80</t>
  </si>
  <si>
    <t>65,82</t>
  </si>
  <si>
    <t>241,45</t>
  </si>
  <si>
    <t>141,75</t>
  </si>
  <si>
    <t>69,25</t>
  </si>
  <si>
    <t>19,97</t>
  </si>
  <si>
    <t>33,79</t>
  </si>
  <si>
    <t>72,55</t>
  </si>
  <si>
    <t>18,12</t>
  </si>
  <si>
    <t>31,90</t>
  </si>
  <si>
    <t>22,35</t>
  </si>
  <si>
    <t>90,46</t>
  </si>
  <si>
    <t>55,65</t>
  </si>
  <si>
    <t>39,41</t>
  </si>
  <si>
    <t>25,90</t>
  </si>
  <si>
    <t>5,13</t>
  </si>
  <si>
    <t>40,92</t>
  </si>
  <si>
    <t>13,90</t>
  </si>
  <si>
    <t>30,83</t>
  </si>
  <si>
    <t>11,00</t>
  </si>
  <si>
    <t>139,10</t>
  </si>
  <si>
    <t>1.771,67</t>
  </si>
  <si>
    <t>1.427,31</t>
  </si>
  <si>
    <t>15,91</t>
  </si>
  <si>
    <t>39,82</t>
  </si>
  <si>
    <t>450,00</t>
  </si>
  <si>
    <t>39,55</t>
  </si>
  <si>
    <t>34,60</t>
  </si>
  <si>
    <t>29,58</t>
  </si>
  <si>
    <t>42,04</t>
  </si>
  <si>
    <t>35,62</t>
  </si>
  <si>
    <t>11,87</t>
  </si>
  <si>
    <t>23,28</t>
  </si>
  <si>
    <t>44,64</t>
  </si>
  <si>
    <t>18,40</t>
  </si>
  <si>
    <t>31,70</t>
  </si>
  <si>
    <t>24,46</t>
  </si>
  <si>
    <t>16,09</t>
  </si>
  <si>
    <t>8.131,74</t>
  </si>
  <si>
    <t>38,07</t>
  </si>
  <si>
    <t>6.786,70</t>
  </si>
  <si>
    <t>26,20</t>
  </si>
  <si>
    <t>15,74</t>
  </si>
  <si>
    <t>43,48</t>
  </si>
  <si>
    <t>35,71</t>
  </si>
  <si>
    <t>204,47</t>
  </si>
  <si>
    <t>40,36</t>
  </si>
  <si>
    <t>10,85</t>
  </si>
  <si>
    <t>5,90</t>
  </si>
  <si>
    <t>22,86</t>
  </si>
  <si>
    <t>59,78</t>
  </si>
  <si>
    <t>32,23</t>
  </si>
  <si>
    <t>15,38</t>
  </si>
  <si>
    <t>61,71</t>
  </si>
  <si>
    <t>142,76</t>
  </si>
  <si>
    <t>37,14</t>
  </si>
  <si>
    <t>22,02</t>
  </si>
  <si>
    <t>19,23</t>
  </si>
  <si>
    <t>20,86</t>
  </si>
  <si>
    <t>35,39</t>
  </si>
  <si>
    <t>16,38</t>
  </si>
  <si>
    <t>68,48</t>
  </si>
  <si>
    <t>67,85</t>
  </si>
  <si>
    <t>88,62</t>
  </si>
  <si>
    <t>10,04</t>
  </si>
  <si>
    <t>10,28</t>
  </si>
  <si>
    <t>14,64</t>
  </si>
  <si>
    <t>54,05</t>
  </si>
  <si>
    <t>31,31</t>
  </si>
  <si>
    <t>62,36</t>
  </si>
  <si>
    <t>19,01</t>
  </si>
  <si>
    <t>73,91</t>
  </si>
  <si>
    <t>2,53</t>
  </si>
  <si>
    <t>175,66</t>
  </si>
  <si>
    <t>135,31</t>
  </si>
  <si>
    <t>FIM DA FÓRMULA</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</si>
  <si>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</si>
  <si>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</si>
  <si>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</si>
  <si>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</si>
  <si>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</si>
  <si>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</si>
  <si>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</si>
  <si>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</si>
  <si>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</si>
  <si>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</si>
  <si>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</si>
  <si>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</si>
  <si>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</si>
  <si>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</si>
  <si>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</si>
  <si>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</si>
  <si>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</si>
  <si>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</si>
  <si>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</si>
  <si>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</si>
  <si>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</si>
  <si>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</si>
  <si>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</si>
  <si>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</si>
  <si>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</si>
  <si>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</si>
  <si>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</si>
  <si>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</si>
  <si>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</si>
  <si>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</si>
  <si>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</si>
  <si>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</si>
  <si>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</si>
  <si>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</si>
  <si>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</si>
  <si>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</si>
  <si>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</si>
  <si>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</si>
  <si>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</si>
  <si>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</si>
  <si>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</si>
  <si>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</si>
  <si>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</si>
  <si>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</si>
  <si>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</si>
  <si>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</si>
  <si>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</si>
  <si>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</si>
  <si>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</si>
  <si>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</si>
  <si>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</si>
  <si>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</si>
  <si>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</si>
  <si>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</si>
  <si>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ESTRUTURA DE MADEIRA PROVISÓRIA PARA SUPORTE DE CAIXA D ÁGUA ELEVADA DE 1000 LITROS. AF_05/2018_P</t>
  </si>
  <si>
    <t>ESTRUTURA DE MADEIRA PROVISÓRIA PARA SUPORTE DE CAIXA D ÁGUA ELEVADA DE 3000 LITROS. AF_05/2018_P</t>
  </si>
  <si>
    <t>MARTELO DEMOLIDOR ELÉTRICO, COM POTÊNCIA DE 2.000 W, 1.000 IMPACTOS POR MINUTO, PESO DE 30 KG - CHP DIURNO. AF_01/2021</t>
  </si>
  <si>
    <t>MARTELO DEMOLIDOR ELÉTRICO, COM POTÊNCIA DE 2.000 W, 1.000 IMPACTOS POR MINUTO, PESO DE 30 KG -  CHI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</si>
  <si>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</si>
  <si>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</si>
  <si>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</si>
  <si>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</si>
  <si>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</si>
  <si>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</si>
  <si>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</si>
  <si>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</si>
  <si>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</si>
  <si>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</si>
  <si>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</si>
  <si>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</si>
  <si>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</si>
  <si>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</si>
  <si>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</si>
  <si>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</si>
  <si>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</si>
  <si>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</si>
  <si>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</si>
  <si>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</si>
  <si>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</si>
  <si>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</si>
  <si>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</si>
  <si>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</si>
  <si>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</si>
  <si>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</si>
  <si>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</si>
  <si>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</si>
  <si>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</si>
  <si>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</si>
  <si>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</si>
  <si>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</si>
  <si>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</si>
  <si>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</si>
  <si>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</si>
  <si>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</si>
  <si>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</si>
  <si>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</si>
  <si>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</si>
  <si>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</si>
  <si>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</si>
  <si>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</si>
  <si>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</si>
  <si>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</si>
  <si>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</si>
  <si>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</si>
  <si>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</si>
  <si>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</si>
  <si>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</si>
  <si>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</si>
  <si>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</si>
  <si>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</si>
  <si>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</si>
  <si>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</si>
  <si>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</si>
  <si>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</si>
  <si>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</si>
  <si>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</si>
  <si>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</si>
  <si>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</si>
  <si>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</si>
  <si>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</si>
  <si>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</si>
  <si>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</si>
  <si>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</si>
  <si>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</si>
  <si>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</si>
  <si>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</si>
  <si>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</si>
  <si>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</si>
  <si>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</si>
  <si>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</si>
  <si>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</si>
  <si>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</si>
  <si>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</si>
  <si>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</si>
  <si>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</si>
  <si>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</si>
  <si>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</si>
  <si>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</si>
  <si>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</si>
  <si>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</si>
  <si>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</si>
  <si>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</si>
  <si>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</si>
  <si>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</si>
  <si>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</si>
  <si>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</si>
  <si>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</si>
  <si>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</si>
  <si>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</si>
  <si>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</si>
  <si>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</si>
  <si>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</si>
  <si>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</si>
  <si>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</si>
  <si>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</si>
  <si>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</si>
  <si>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</si>
  <si>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</si>
  <si>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</si>
  <si>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</si>
  <si>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</si>
  <si>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</si>
  <si>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</si>
  <si>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</si>
  <si>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</si>
  <si>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</si>
  <si>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</si>
  <si>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</si>
  <si>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</si>
  <si>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</si>
  <si>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</si>
  <si>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</si>
  <si>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</si>
  <si>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</si>
  <si>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</si>
  <si>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</si>
  <si>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</si>
  <si>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</si>
  <si>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</si>
  <si>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</si>
  <si>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</si>
  <si>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</si>
  <si>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</si>
  <si>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</si>
  <si>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</si>
  <si>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</si>
  <si>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</si>
  <si>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</si>
  <si>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</si>
  <si>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</si>
  <si>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CIRCULAR PARA DRENAGEM, EM CONCRETO PRÉ-MOLDADO, DIÂMETRO INTERNO = 1 M, PROFUNDIDADE = 1,45 M, EXCLUINDO TAMPÃO. AF_05/2018</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</si>
  <si>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</si>
  <si>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</si>
  <si>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</si>
  <si>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</si>
  <si>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</si>
  <si>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</si>
  <si>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</si>
  <si>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</si>
  <si>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</si>
  <si>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</si>
  <si>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</si>
  <si>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</si>
  <si>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</si>
  <si>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</si>
  <si>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</si>
  <si>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</si>
  <si>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</si>
  <si>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</si>
  <si>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</si>
  <si>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</si>
  <si>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</si>
  <si>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</si>
  <si>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</si>
  <si>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</si>
  <si>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</si>
  <si>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</si>
  <si>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</si>
  <si>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</si>
  <si>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</si>
  <si>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</si>
  <si>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</si>
  <si>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</si>
  <si>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</si>
  <si>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</si>
  <si>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</si>
  <si>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</si>
  <si>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</si>
  <si>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</si>
  <si>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</si>
  <si>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</si>
  <si>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</si>
  <si>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</si>
  <si>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</si>
  <si>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</si>
  <si>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</si>
  <si>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</si>
  <si>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</si>
  <si>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</si>
  <si>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</si>
  <si>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</si>
  <si>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</si>
  <si>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</si>
  <si>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</si>
  <si>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</si>
  <si>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</si>
  <si>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</si>
  <si>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</si>
  <si>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</si>
  <si>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</si>
  <si>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</si>
  <si>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</si>
  <si>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</si>
  <si>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</si>
  <si>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</si>
  <si>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</si>
  <si>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</si>
  <si>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</si>
  <si>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</si>
  <si>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</si>
  <si>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</si>
  <si>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</si>
  <si>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</si>
  <si>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</si>
  <si>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</si>
  <si>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</si>
  <si>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</si>
  <si>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</si>
  <si>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</si>
  <si>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</si>
  <si>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</si>
  <si>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</si>
  <si>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</si>
  <si>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</si>
  <si>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</si>
  <si>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</si>
  <si>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</si>
  <si>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</si>
  <si>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</si>
  <si>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</si>
  <si>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</si>
  <si>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</si>
  <si>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</si>
  <si>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</si>
  <si>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</si>
  <si>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</si>
  <si>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</si>
  <si>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</si>
  <si>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</si>
  <si>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</si>
  <si>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</si>
  <si>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</si>
  <si>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</si>
  <si>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</si>
  <si>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</si>
  <si>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</si>
  <si>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</si>
  <si>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</si>
  <si>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t>
  </si>
  <si>
    <t>INSTALAÇÃO DE VIDRO LISO INCOLOR, E = 4 MM, EM ESQUADRIA DE ALUMÍNIO OU PVC, FIXADO COM BAGUETE. AF_01/2021_P</t>
  </si>
  <si>
    <t>INSTALAÇÃO DE VIDRO LISO FUME, E = 4 MM, EM ESQUADRIA DE ALUMÍNIO OU PVC, FIXADO COM BAGUETE. AF_01/2021_P</t>
  </si>
  <si>
    <t>INSTALAÇÃO DE VIDRO LISO INCOLOR, E = 5 MM, EM ESQUADRIA DE ALUMÍNIO OU PVC, FIXADO COM BAGUETE. AF_01/2021_P</t>
  </si>
  <si>
    <t>INSTALAÇÃO DE VIDRO LISO FUME, E = 5 MM, EM ESQUADRIA DE ALUMÍNIO OU PVC, FIXADO COM BAGUETE. AF_01/2021_P</t>
  </si>
  <si>
    <t>INSTALAÇÃO DE VIDRO LISO INCOLOR, E = 6 MM, EM ESQUADRIA DE ALUMÍNIO OU PVC, FIXADO COM BAGUETE. AF_01/2021_P</t>
  </si>
  <si>
    <t>INSTALAÇÃO DE VIDRO LISO FUME, E = 6 MM, EM ESQUADRIA DE ALUMÍNIO OU PVC, FIXADO COM BAGUETE. AF_01/2021_P</t>
  </si>
  <si>
    <t>INSTALAÇÃO DE VIDRO LISO INCOLOR, E = 8 MM, EM ESQUADRIA DE ALUMÍNIO OU PVC, FIXADO COM BAGUETE. AF_01/2021_P</t>
  </si>
  <si>
    <t>INSTALAÇÃO DE VIDRO LISO INCOLOR, E = 10 MM, EM ESQUADRIA DE ALUMÍNIO OU PVC, FIXADO COM BAGUETE. AF_01/2021_P</t>
  </si>
  <si>
    <t>INSTALAÇÃO DE VIDRO IMPRESSO, E = 4 MM, EM ESQUADRIA DE ALUMÍNIO OU PVC, FIXADO COM BAGUETE. AF_01/2021_P</t>
  </si>
  <si>
    <t>INSTALAÇÃO DE VIDRO ARAMADO, E = 6 MM, EM ESQUADRIA DE ALUMÍNIO OU PVC, FIXADO COM BAGUETE. AF_01/2021_P</t>
  </si>
  <si>
    <t>INSTALAÇÃO DE VIDRO ARAMADO, E = 7 MM, EM ESQUADRIA DE ALUMÍNIO OU PVC, FIXADO COM BAGUETE. AF_01/2021_P</t>
  </si>
  <si>
    <t>INSTALAÇÃO DE VIDRO LAMINADO, E = 8 MM (4+4), ENCAIXADO EM PERFIL U. AF_01/2021_P</t>
  </si>
  <si>
    <t>INSTALAÇÃO DE VIDRO LAMINADO, E = 12 MM (4+4+4), ENCAIXADO EM PERFIL U. AF_01/2021_P</t>
  </si>
  <si>
    <t>INSTALAÇÃO DE VIDRO LAMINADO, E = 15 MM (5+5+5), ENCAIXADO EM PERFIL U. AF_01/2021_P</t>
  </si>
  <si>
    <t>INSTALAÇÃO DE VIDRO TEMPERADO, E = 6 MM, ENCAIXADO EM PERFIL U. AF_01/2021_P</t>
  </si>
  <si>
    <t>INSTALAÇÃO DE VIDRO TEMPERADO, E = 8 MM, ENCAIXADO EM PERFIL U. AF_01/2021_P</t>
  </si>
  <si>
    <t>INSTALAÇÃO DE VIDRO TEMPERADO, E = 10 MM, ENCAIXADO EM PERFIL U. AF_01/2021_P</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</si>
  <si>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</si>
  <si>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</si>
  <si>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</si>
  <si>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</si>
  <si>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</si>
  <si>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</si>
  <si>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</si>
  <si>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</si>
  <si>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</si>
  <si>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</si>
  <si>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</si>
  <si>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</si>
  <si>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CAMADA SEPARADORA PARA EXECUÇÃO DE RADIER, EM LONA PLÁSTICA. AF_09/2017</t>
  </si>
  <si>
    <t>ARMAÇÃO PARA EXECUÇÃO DE RADIER, COM USO DE TELA Q-92. AF_09/2017</t>
  </si>
  <si>
    <t>ARMAÇÃO PARA EXECUÇÃO DE RADIER, COM USO DE TELA Q-113. AF_09/2017</t>
  </si>
  <si>
    <t>ARMAÇÃO PARA EXECUÇÃO DE RADIER, COM USO DE TELA Q-138. AF_09/2017</t>
  </si>
  <si>
    <t>ARMAÇÃO PARA EXECUÇÃO DE RADIER, COM USO DE TELA Q-159. AF_09/2017</t>
  </si>
  <si>
    <t>ARMAÇÃO PARA EXECUÇÃO DE RADIER, COM USO DE TELA Q-196. AF_09/2017</t>
  </si>
  <si>
    <t>ARMAÇÃO PARA EXECUÇÃO DE RADIER, COM USO DE TELA Q-283. AF_09/2017</t>
  </si>
  <si>
    <t>EXECUÇÃO DE RADIER, ESPESSURA DE 10 CM, FCK = 30 MPA, COM USO DE FORMAS EM MADEIRA SERRADA. AF_09/2017</t>
  </si>
  <si>
    <t>EXECUÇÃO DE RADIER, ESPESSURA DE 15 CM, FCK = 30 MPA, COM USO DE FORMAS EM MADEIRA SERRADA. AF_09/2017</t>
  </si>
  <si>
    <t>EXECUÇÃO DE RADIER, ESPESSURA DE 20 CM, FCK = 30 MPA, COM USO DE FORMAS EM MADEIRA SERRADA. AF_09/2017</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</si>
  <si>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</si>
  <si>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</si>
  <si>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</si>
  <si>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</si>
  <si>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</si>
  <si>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</si>
  <si>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</si>
  <si>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</si>
  <si>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</si>
  <si>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</si>
  <si>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</si>
  <si>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</si>
  <si>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</si>
  <si>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</si>
  <si>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</si>
  <si>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</si>
  <si>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</si>
  <si>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</si>
  <si>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</si>
  <si>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</si>
  <si>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</si>
  <si>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</si>
  <si>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</si>
  <si>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</si>
  <si>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</si>
  <si>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</si>
  <si>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</si>
  <si>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</si>
  <si>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</si>
  <si>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</si>
  <si>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</si>
  <si>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</si>
  <si>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</si>
  <si>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</si>
  <si>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</si>
  <si>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</si>
  <si>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</si>
  <si>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</si>
  <si>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</si>
  <si>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</si>
  <si>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</si>
  <si>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</si>
  <si>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</si>
  <si>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</si>
  <si>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</si>
  <si>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</si>
  <si>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</si>
  <si>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</si>
  <si>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</si>
  <si>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</si>
  <si>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</si>
  <si>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</si>
  <si>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</si>
  <si>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</si>
  <si>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</si>
  <si>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</si>
  <si>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</si>
  <si>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</si>
  <si>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</si>
  <si>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</si>
  <si>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</si>
  <si>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</si>
  <si>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</si>
  <si>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</si>
  <si>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</si>
  <si>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</si>
  <si>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</si>
  <si>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</si>
  <si>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</si>
  <si>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</si>
  <si>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</si>
  <si>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</si>
  <si>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</si>
  <si>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</si>
  <si>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</si>
  <si>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</si>
  <si>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</si>
  <si>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</si>
  <si>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</si>
  <si>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</si>
  <si>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</si>
  <si>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</si>
  <si>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</si>
  <si>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</si>
  <si>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</si>
  <si>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</si>
  <si>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</si>
  <si>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</si>
  <si>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</si>
  <si>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</si>
  <si>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</si>
  <si>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</si>
  <si>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</si>
  <si>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</si>
  <si>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</si>
  <si>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</si>
  <si>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</si>
  <si>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</si>
  <si>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</si>
  <si>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</si>
  <si>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</si>
  <si>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</si>
  <si>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</si>
  <si>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</si>
  <si>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</si>
  <si>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</si>
  <si>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</si>
  <si>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</si>
  <si>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</si>
  <si>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</si>
  <si>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</si>
  <si>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</si>
  <si>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</si>
  <si>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</si>
  <si>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</si>
  <si>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</si>
  <si>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</si>
  <si>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</si>
  <si>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</si>
  <si>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</si>
  <si>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</si>
  <si>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</si>
  <si>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</si>
  <si>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</si>
  <si>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</si>
  <si>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</si>
  <si>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</si>
  <si>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</si>
  <si>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</si>
  <si>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</si>
  <si>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</si>
  <si>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</si>
  <si>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</si>
  <si>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</si>
  <si>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</si>
  <si>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</si>
  <si>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</si>
  <si>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</si>
  <si>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</si>
  <si>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</si>
  <si>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</si>
  <si>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</si>
  <si>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</si>
  <si>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</si>
  <si>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</si>
  <si>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</si>
  <si>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</si>
  <si>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</si>
  <si>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</si>
  <si>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</si>
  <si>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</si>
  <si>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</si>
  <si>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</si>
  <si>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</si>
  <si>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</si>
  <si>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</si>
  <si>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</si>
  <si>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</si>
  <si>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</si>
  <si>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</si>
  <si>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</si>
  <si>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</si>
  <si>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</si>
  <si>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</si>
  <si>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</si>
  <si>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</si>
  <si>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</si>
  <si>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</si>
  <si>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</si>
  <si>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</si>
  <si>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</si>
  <si>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</si>
  <si>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</si>
  <si>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</si>
  <si>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</si>
  <si>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</si>
  <si>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</si>
  <si>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</si>
  <si>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</si>
  <si>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</si>
  <si>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</si>
  <si>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</si>
  <si>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</si>
  <si>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</si>
  <si>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</si>
  <si>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</si>
  <si>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</si>
  <si>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</si>
  <si>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</si>
  <si>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</si>
  <si>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</si>
  <si>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</si>
  <si>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</si>
  <si>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</si>
  <si>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</si>
  <si>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</si>
  <si>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</si>
  <si>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</si>
  <si>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</si>
  <si>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</si>
  <si>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</si>
  <si>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</si>
  <si>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</si>
  <si>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</si>
  <si>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</si>
  <si>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</si>
  <si>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</si>
  <si>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</si>
  <si>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</si>
  <si>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</si>
  <si>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</si>
  <si>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</si>
  <si>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</si>
  <si>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</si>
  <si>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</si>
  <si>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</si>
  <si>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</si>
  <si>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</si>
  <si>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</si>
  <si>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</si>
  <si>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</si>
  <si>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</si>
  <si>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</si>
  <si>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</si>
  <si>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</si>
  <si>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</si>
  <si>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</si>
  <si>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</si>
  <si>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</si>
  <si>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</si>
  <si>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</si>
  <si>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</si>
  <si>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</si>
  <si>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</si>
  <si>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</si>
  <si>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</si>
  <si>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</si>
  <si>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</si>
  <si>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</si>
  <si>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</si>
  <si>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</si>
  <si>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</si>
  <si>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</si>
  <si>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</si>
  <si>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</si>
  <si>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</si>
  <si>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</si>
  <si>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</si>
  <si>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</si>
  <si>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</si>
  <si>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</si>
  <si>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</si>
  <si>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</si>
  <si>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</si>
  <si>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</si>
  <si>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</si>
  <si>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</si>
  <si>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</si>
  <si>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</si>
  <si>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</si>
  <si>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</si>
  <si>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</si>
  <si>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</si>
  <si>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</si>
  <si>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</si>
  <si>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</si>
  <si>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</si>
  <si>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</si>
  <si>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</si>
  <si>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</si>
  <si>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</si>
  <si>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</si>
  <si>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</si>
  <si>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</si>
  <si>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</si>
  <si>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</si>
  <si>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</si>
  <si>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</si>
  <si>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</si>
  <si>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</si>
  <si>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</si>
  <si>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</si>
  <si>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</si>
  <si>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</si>
  <si>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</si>
  <si>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</si>
  <si>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</si>
  <si>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</si>
  <si>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</si>
  <si>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</si>
  <si>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</si>
  <si>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</si>
  <si>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</si>
  <si>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</si>
  <si>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</si>
  <si>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</si>
  <si>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</si>
  <si>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</si>
  <si>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</si>
  <si>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</si>
  <si>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</si>
  <si>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</si>
  <si>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</si>
  <si>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</si>
  <si>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</si>
  <si>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</si>
  <si>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</si>
  <si>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</si>
  <si>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</si>
  <si>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</si>
  <si>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</si>
  <si>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</si>
  <si>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</si>
  <si>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</si>
  <si>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</si>
  <si>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</si>
  <si>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</si>
  <si>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</si>
  <si>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</si>
  <si>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</si>
  <si>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</si>
  <si>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</si>
  <si>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</si>
  <si>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</si>
  <si>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</si>
  <si>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</si>
  <si>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</si>
  <si>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</si>
  <si>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</si>
  <si>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</si>
  <si>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</si>
  <si>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</si>
  <si>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</si>
  <si>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</si>
  <si>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</si>
  <si>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</si>
  <si>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</si>
  <si>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</si>
  <si>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</si>
  <si>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</si>
  <si>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</si>
  <si>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</si>
  <si>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</si>
  <si>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</si>
  <si>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</si>
  <si>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</si>
  <si>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</si>
  <si>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</si>
  <si>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</si>
  <si>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</si>
  <si>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</si>
  <si>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</si>
  <si>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</si>
  <si>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</si>
  <si>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</si>
  <si>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</si>
  <si>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</si>
  <si>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</si>
  <si>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</si>
  <si>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</si>
  <si>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</si>
  <si>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</si>
  <si>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</si>
  <si>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</si>
  <si>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</si>
  <si>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</si>
  <si>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</si>
  <si>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</si>
  <si>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</si>
  <si>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</si>
  <si>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</si>
  <si>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</si>
  <si>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</si>
  <si>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</si>
  <si>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</si>
  <si>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</si>
  <si>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</si>
  <si>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</si>
  <si>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</si>
  <si>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</si>
  <si>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</si>
  <si>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</si>
  <si>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</si>
  <si>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</si>
  <si>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</si>
  <si>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</si>
  <si>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</si>
  <si>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</si>
  <si>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</si>
  <si>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</si>
  <si>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</si>
  <si>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</si>
  <si>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</si>
  <si>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</si>
  <si>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</si>
  <si>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</si>
  <si>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</si>
  <si>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</si>
  <si>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</si>
  <si>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</si>
  <si>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</si>
  <si>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</si>
  <si>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</si>
  <si>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</si>
  <si>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</si>
  <si>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</si>
  <si>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</si>
  <si>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</si>
  <si>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</si>
  <si>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</si>
  <si>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</si>
  <si>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</si>
  <si>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</si>
  <si>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</si>
  <si>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</si>
  <si>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</si>
  <si>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</si>
  <si>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</si>
  <si>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</si>
  <si>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</si>
  <si>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</si>
  <si>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</si>
  <si>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</si>
  <si>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</si>
  <si>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</si>
  <si>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</si>
  <si>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</si>
  <si>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</si>
  <si>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</si>
  <si>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</si>
  <si>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</si>
  <si>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</si>
  <si>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</si>
  <si>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</si>
  <si>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</si>
  <si>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</si>
  <si>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</si>
  <si>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</si>
  <si>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</si>
  <si>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</si>
  <si>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</si>
  <si>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</si>
  <si>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</si>
  <si>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</si>
  <si>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</si>
  <si>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</si>
  <si>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</si>
  <si>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</si>
  <si>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</si>
  <si>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</si>
  <si>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</si>
  <si>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</si>
  <si>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</si>
  <si>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</si>
  <si>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</si>
  <si>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</si>
  <si>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</si>
  <si>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</si>
  <si>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</si>
  <si>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</si>
  <si>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</si>
  <si>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</si>
  <si>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</si>
  <si>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</si>
  <si>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</si>
  <si>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</si>
  <si>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</si>
  <si>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</si>
  <si>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</si>
  <si>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</si>
  <si>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</si>
  <si>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</si>
  <si>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</si>
  <si>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</si>
  <si>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</si>
  <si>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</si>
  <si>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</si>
  <si>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</si>
  <si>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</si>
  <si>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</si>
  <si>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</si>
  <si>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</si>
  <si>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</si>
  <si>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</si>
  <si>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</si>
  <si>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</si>
  <si>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</si>
  <si>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</si>
  <si>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</si>
  <si>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</si>
  <si>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</si>
  <si>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</si>
  <si>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</si>
  <si>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</si>
  <si>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</si>
  <si>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</si>
  <si>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</si>
  <si>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</si>
  <si>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</si>
  <si>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</si>
  <si>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</si>
  <si>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</si>
  <si>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</si>
  <si>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</si>
  <si>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</si>
  <si>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</si>
  <si>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</si>
  <si>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</si>
  <si>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</si>
  <si>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</si>
  <si>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</si>
  <si>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</si>
  <si>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</si>
  <si>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</si>
  <si>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</si>
  <si>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</si>
  <si>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</si>
  <si>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</si>
  <si>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</si>
  <si>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</si>
  <si>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</si>
  <si>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</si>
  <si>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</si>
  <si>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</si>
  <si>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</si>
  <si>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</si>
  <si>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</si>
  <si>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</si>
  <si>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</si>
  <si>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</si>
  <si>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</si>
  <si>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</si>
  <si>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</si>
  <si>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</si>
  <si>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</si>
  <si>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</si>
  <si>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</si>
  <si>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</si>
  <si>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</si>
  <si>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</si>
  <si>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</si>
  <si>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</si>
  <si>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</si>
  <si>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</si>
  <si>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</si>
  <si>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</si>
  <si>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</si>
  <si>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</si>
  <si>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</si>
  <si>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</si>
  <si>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</si>
  <si>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</si>
  <si>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</si>
  <si>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</si>
  <si>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</si>
  <si>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</si>
  <si>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</si>
  <si>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</si>
  <si>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</si>
  <si>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</si>
  <si>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</si>
  <si>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</si>
  <si>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</si>
  <si>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</si>
  <si>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</si>
  <si>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</si>
  <si>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</si>
  <si>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</si>
  <si>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</si>
  <si>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</si>
  <si>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</si>
  <si>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</si>
  <si>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</si>
  <si>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</si>
  <si>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</si>
  <si>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</si>
  <si>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</si>
  <si>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</si>
  <si>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</si>
  <si>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</si>
  <si>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</si>
  <si>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</si>
  <si>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</si>
  <si>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</si>
  <si>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</si>
  <si>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</si>
  <si>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</si>
  <si>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</si>
  <si>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</si>
  <si>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</si>
  <si>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</si>
  <si>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</si>
  <si>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</si>
  <si>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</si>
  <si>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</si>
  <si>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</si>
  <si>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</si>
  <si>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</si>
  <si>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</si>
  <si>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</si>
  <si>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</si>
  <si>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</si>
  <si>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</si>
  <si>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</si>
  <si>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</si>
  <si>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</si>
  <si>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</si>
  <si>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</si>
  <si>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</si>
  <si>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</si>
  <si>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</si>
  <si>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</si>
  <si>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</si>
  <si>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</si>
  <si>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</si>
  <si>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</si>
  <si>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</si>
  <si>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</si>
  <si>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</si>
  <si>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</si>
  <si>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</si>
  <si>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</si>
  <si>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</si>
  <si>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</si>
  <si>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</si>
  <si>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</si>
  <si>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</si>
  <si>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</si>
  <si>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</si>
  <si>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</si>
  <si>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</si>
  <si>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</si>
  <si>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</si>
  <si>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</si>
  <si>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</si>
  <si>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</si>
  <si>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</si>
  <si>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</si>
  <si>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</si>
  <si>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</si>
  <si>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</si>
  <si>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</si>
  <si>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</si>
  <si>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</si>
  <si>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</si>
  <si>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</si>
  <si>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</si>
  <si>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</si>
  <si>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</si>
  <si>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</si>
  <si>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</si>
  <si>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</si>
  <si>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</si>
  <si>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</si>
  <si>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</si>
  <si>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</si>
  <si>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</si>
  <si>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</si>
  <si>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</si>
  <si>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</si>
  <si>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</si>
  <si>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</si>
  <si>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</si>
  <si>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</si>
  <si>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</si>
  <si>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</si>
  <si>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</si>
  <si>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</si>
  <si>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</si>
  <si>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</si>
  <si>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</si>
  <si>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</si>
  <si>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</si>
  <si>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</si>
  <si>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</si>
  <si>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</si>
  <si>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</si>
  <si>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</si>
  <si>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</si>
  <si>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</si>
  <si>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</si>
  <si>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</si>
  <si>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</si>
  <si>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</si>
  <si>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</si>
  <si>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</si>
  <si>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</si>
  <si>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</si>
  <si>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</si>
  <si>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</si>
  <si>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</si>
  <si>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</si>
  <si>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</si>
  <si>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</si>
  <si>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</si>
  <si>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</si>
  <si>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</si>
  <si>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</si>
  <si>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</si>
  <si>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</si>
  <si>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</si>
  <si>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</si>
  <si>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</si>
  <si>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</si>
  <si>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</si>
  <si>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</si>
  <si>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</si>
  <si>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</si>
  <si>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</si>
  <si>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</si>
  <si>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</si>
  <si>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</si>
  <si>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</si>
  <si>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</si>
  <si>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</si>
  <si>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</si>
  <si>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</si>
  <si>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</si>
  <si>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</si>
  <si>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</si>
  <si>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</si>
  <si>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</si>
  <si>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</si>
  <si>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</si>
  <si>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</si>
  <si>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</si>
  <si>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</si>
  <si>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</si>
  <si>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</si>
  <si>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</si>
  <si>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</si>
  <si>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</si>
  <si>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</si>
  <si>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</si>
  <si>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</si>
  <si>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</si>
  <si>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</si>
  <si>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</si>
  <si>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</si>
  <si>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</si>
  <si>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</si>
  <si>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</si>
  <si>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</si>
  <si>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</si>
  <si>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</si>
  <si>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</si>
  <si>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</si>
  <si>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</si>
  <si>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</si>
  <si>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</si>
  <si>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</si>
  <si>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</si>
  <si>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</si>
  <si>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</si>
  <si>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</si>
  <si>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</si>
  <si>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</si>
  <si>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</si>
  <si>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</si>
  <si>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</si>
  <si>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</si>
  <si>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</si>
  <si>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</si>
  <si>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</si>
  <si>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</si>
  <si>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</si>
  <si>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</si>
  <si>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</si>
  <si>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</si>
  <si>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</si>
  <si>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</si>
  <si>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</si>
  <si>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</si>
  <si>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</si>
  <si>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</si>
  <si>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</si>
  <si>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</si>
  <si>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</si>
  <si>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</si>
  <si>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</si>
  <si>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</si>
  <si>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</si>
  <si>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</si>
  <si>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</si>
  <si>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</si>
  <si>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</si>
  <si>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</si>
  <si>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</si>
  <si>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</si>
  <si>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</si>
  <si>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</si>
  <si>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</si>
  <si>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</si>
  <si>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</si>
  <si>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</si>
  <si>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</si>
  <si>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</si>
  <si>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</si>
  <si>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</si>
  <si>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</si>
  <si>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</si>
  <si>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</si>
  <si>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</si>
  <si>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</si>
  <si>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</si>
  <si>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</si>
  <si>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</si>
  <si>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</si>
  <si>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</si>
  <si>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</si>
  <si>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</si>
  <si>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</si>
  <si>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</si>
  <si>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</si>
  <si>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</si>
  <si>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</si>
  <si>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</si>
  <si>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</si>
  <si>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</si>
  <si>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</si>
  <si>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</si>
  <si>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</si>
  <si>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</si>
  <si>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</si>
  <si>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</si>
  <si>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</si>
  <si>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</si>
  <si>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</si>
  <si>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</si>
  <si>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</si>
  <si>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</si>
  <si>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</si>
  <si>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</si>
  <si>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</si>
  <si>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</si>
  <si>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</si>
  <si>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</si>
  <si>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</si>
  <si>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</si>
  <si>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</si>
  <si>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</si>
  <si>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</si>
  <si>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</si>
  <si>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</si>
  <si>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</si>
  <si>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</si>
  <si>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</si>
  <si>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</si>
  <si>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</si>
  <si>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</si>
  <si>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</si>
  <si>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</si>
  <si>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</si>
  <si>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</si>
  <si>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</si>
  <si>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</si>
  <si>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</si>
  <si>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</si>
  <si>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DIVISÓRIA FIXA EM VIDRO TEMPERADO 10 MM, SEM ABERTURA.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</si>
  <si>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</si>
  <si>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</si>
  <si>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</si>
  <si>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</si>
  <si>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</si>
  <si>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</si>
  <si>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EXECUÇÃO DE TAPA BURACO COM APLICAÇÃO DE CONCRETO ASFÁLTICO (USINAGEM PRÓPRIA) E PINTURA DE LIGAÇÃO. AF_12/2020</t>
  </si>
  <si>
    <t>EXECUÇÃO DE TAPA BURACO COM APLICAÇÃO DE PRÉ MISTURADO A FRIO (USINAGEM PRÓPRIA) E PINTURA DE LIGAÇÃO. AF_12/2020</t>
  </si>
  <si>
    <t>EXECUÇÃO DE TAPA BURACO COM APLICAÇÃO DE CONCRETO ASFÁLTICO (AQUISIÇÃO EM USINA) E PINTURA DE LIGAÇÃO. AF_12/2020</t>
  </si>
  <si>
    <t>EXECUÇÃO DE PINTURA DE LIGAÇÃO COM EMULSÃO ASFÁLTICA RR-2C, PARA O FECHAMENTO DE VALAS. AF_12/2020</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</si>
  <si>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</si>
  <si>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</si>
  <si>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</si>
  <si>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</si>
  <si>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20,0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</si>
  <si>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</si>
  <si>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</si>
  <si>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</si>
  <si>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</si>
  <si>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</si>
  <si>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</si>
  <si>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</si>
  <si>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</si>
  <si>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</si>
  <si>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</si>
  <si>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</si>
  <si>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EXECUÇÃO DE PAVIMENTO EM PEDRAS POLIÉDRICAS, REJUNTAMENTO COM PEDRISCO E EMULSÃO ASFÁLTICA. AF_05/2020_P</t>
  </si>
  <si>
    <t>EXECUÇÃO DE PAVIMENTO COM APLICAÇÃO DE PRÉ-MISTURADO A FRIO, CAMADA DE ROLAMENTO - EXCLUSIVE CARGA E TRANSPORTE. AF_11/2019</t>
  </si>
  <si>
    <t>EXECUÇÃO DE PAVIMENTO COM APLICAÇÃO DE PRÉ-MISTURADO A FRIO, CAMADA DE BINDER - EXCLUSIVE CARGA E TRANSPORTE. AF_11/2019</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</si>
  <si>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</si>
  <si>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</si>
  <si>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</si>
  <si>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</si>
  <si>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</si>
  <si>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</si>
  <si>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</si>
  <si>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</si>
  <si>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</si>
  <si>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</si>
  <si>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</si>
  <si>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</si>
  <si>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</si>
  <si>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</si>
  <si>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</si>
  <si>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</si>
  <si>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</si>
  <si>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</si>
  <si>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</si>
  <si>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</si>
  <si>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</si>
  <si>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</si>
  <si>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</si>
  <si>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</si>
  <si>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</si>
  <si>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</si>
  <si>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</si>
  <si>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</si>
  <si>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</si>
  <si>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</si>
  <si>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</si>
  <si>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</si>
  <si>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</si>
  <si>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</si>
  <si>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</si>
  <si>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</si>
  <si>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</si>
  <si>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</si>
  <si>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</si>
  <si>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</si>
  <si>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</si>
  <si>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</si>
  <si>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</si>
  <si>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</si>
  <si>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</si>
  <si>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</si>
  <si>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</si>
  <si>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</si>
  <si>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</si>
  <si>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</si>
  <si>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EM GRANILITE, MARMORITE OU GRANITINA EM AMBIENTES INTERNOS.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</si>
  <si>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</si>
  <si>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</si>
  <si>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</si>
  <si>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</si>
  <si>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</si>
  <si>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</si>
  <si>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</si>
  <si>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</si>
  <si>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</si>
  <si>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</si>
  <si>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</si>
  <si>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</si>
  <si>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</si>
  <si>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</si>
  <si>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PISO TÊXTIL (CARPETE) EM PLACA. AF_09/2020</t>
  </si>
  <si>
    <t>PISO TÊXTIL (CARPETE) EM MANTA (ROLO) E = 6 A 7 MM. AF_09/2020</t>
  </si>
  <si>
    <t>PISO TÊXTIL (CARPETE) EM MANTA (ROLO) E = 9 A 10 MM. AF_09/2020</t>
  </si>
  <si>
    <t>RODAPÉ BORRACHA LISO, ALTURA = 7CM, ESPESSURA = 2 MM, PARA ARGAMASSA. AF_09/2020</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</si>
  <si>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</si>
  <si>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</si>
  <si>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</si>
  <si>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</si>
  <si>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</si>
  <si>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INSTALAÇÃO DE SINALIZADOR NOTURNO LED. AF_11/2017</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</si>
  <si>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</si>
  <si>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</si>
  <si>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</si>
  <si>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</si>
  <si>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</si>
  <si>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</si>
  <si>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</si>
  <si>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</si>
  <si>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</si>
  <si>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</si>
  <si>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</si>
  <si>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</si>
  <si>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</si>
  <si>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</si>
  <si>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</si>
  <si>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</si>
  <si>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</si>
  <si>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</si>
  <si>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</si>
  <si>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</si>
  <si>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</si>
  <si>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</si>
  <si>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</si>
  <si>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</si>
  <si>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</si>
  <si>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</si>
  <si>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</si>
  <si>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</si>
  <si>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</si>
  <si>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</si>
  <si>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</si>
  <si>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</si>
  <si>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</si>
  <si>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</si>
  <si>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</si>
  <si>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</si>
  <si>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</si>
  <si>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</si>
  <si>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</si>
  <si>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</si>
  <si>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</si>
  <si>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</si>
  <si>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</si>
  <si>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</si>
  <si>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</si>
  <si>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</si>
  <si>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</si>
  <si>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</si>
  <si>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</si>
  <si>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</si>
  <si>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</si>
  <si>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</si>
  <si>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</si>
  <si>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</si>
  <si>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</si>
  <si>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</si>
  <si>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</si>
  <si>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</si>
  <si>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</si>
  <si>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</si>
  <si>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</si>
  <si>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</si>
  <si>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</si>
  <si>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</si>
  <si>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</si>
  <si>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</si>
  <si>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</si>
  <si>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</si>
  <si>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</si>
  <si>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</si>
  <si>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</si>
  <si>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</si>
  <si>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</si>
  <si>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</si>
  <si>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</si>
  <si>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</si>
  <si>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</si>
  <si>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</si>
  <si>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</si>
  <si>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</si>
  <si>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</si>
  <si>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</si>
  <si>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</si>
  <si>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</si>
  <si>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</si>
  <si>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</si>
  <si>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</si>
  <si>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</si>
  <si>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</si>
  <si>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</si>
  <si>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</si>
  <si>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</si>
  <si>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</si>
  <si>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</si>
  <si>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</si>
  <si>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</si>
  <si>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</si>
  <si>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</si>
  <si>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</si>
  <si>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</si>
  <si>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</si>
  <si>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</si>
  <si>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</si>
  <si>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</si>
  <si>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</si>
  <si>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</si>
  <si>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</si>
  <si>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</si>
  <si>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</si>
  <si>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</si>
  <si>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</si>
  <si>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</si>
  <si>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</si>
  <si>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</si>
  <si>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</si>
  <si>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</si>
  <si>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</si>
  <si>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</si>
  <si>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</si>
  <si>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</si>
  <si>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</si>
  <si>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</si>
  <si>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</si>
  <si>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</si>
  <si>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</si>
  <si>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</si>
  <si>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</si>
  <si>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</si>
  <si>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</si>
  <si>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</si>
  <si>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</si>
  <si>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</si>
  <si>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</si>
  <si>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</si>
  <si>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</si>
  <si>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</si>
  <si>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</si>
  <si>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</si>
  <si>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</si>
  <si>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</si>
  <si>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</si>
  <si>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</si>
  <si>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</si>
  <si>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</si>
  <si>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</si>
  <si>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</si>
  <si>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</si>
  <si>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</si>
  <si>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</si>
  <si>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</si>
  <si>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</si>
  <si>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</si>
  <si>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</si>
  <si>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</si>
  <si>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</si>
  <si>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</si>
  <si>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</si>
  <si>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</si>
  <si>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</si>
  <si>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</si>
  <si>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</si>
  <si>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</si>
  <si>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</si>
  <si>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</si>
  <si>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</si>
  <si>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</si>
  <si>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</si>
  <si>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</si>
  <si>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</si>
  <si>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</si>
  <si>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</si>
  <si>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</si>
  <si>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</si>
  <si>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</si>
  <si>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</si>
  <si>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</si>
  <si>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</si>
  <si>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</si>
  <si>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</si>
  <si>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</si>
  <si>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</si>
  <si>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</si>
  <si>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</si>
  <si>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</si>
  <si>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</si>
  <si>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</si>
  <si>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</si>
  <si>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</si>
  <si>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</si>
  <si>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</si>
  <si>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</si>
  <si>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</si>
  <si>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</si>
  <si>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</si>
  <si>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</si>
  <si>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</si>
  <si>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</si>
  <si>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</si>
  <si>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</si>
  <si>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</si>
  <si>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</si>
  <si>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</si>
  <si>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</si>
  <si>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</si>
  <si>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</si>
  <si>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</si>
  <si>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</si>
  <si>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</si>
  <si>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</si>
  <si>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</si>
  <si>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</si>
  <si>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</si>
  <si>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</si>
  <si>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</si>
  <si>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</si>
  <si>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</si>
  <si>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</si>
  <si>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</si>
  <si>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</si>
  <si>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</si>
  <si>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</si>
  <si>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</si>
  <si>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</si>
  <si>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</si>
  <si>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</si>
  <si>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</si>
  <si>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</si>
  <si>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</si>
  <si>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</si>
  <si>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</si>
  <si>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</si>
  <si>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</si>
  <si>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</si>
  <si>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</si>
  <si>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</si>
  <si>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</si>
  <si>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</si>
  <si>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</si>
  <si>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</si>
  <si>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</si>
  <si>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</si>
  <si>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</si>
  <si>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</si>
  <si>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</si>
  <si>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</si>
  <si>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</si>
  <si>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</si>
  <si>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</si>
  <si>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</si>
  <si>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</si>
  <si>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</si>
  <si>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</si>
  <si>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</si>
  <si>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</si>
  <si>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</si>
  <si>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</si>
  <si>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</si>
  <si>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</si>
  <si>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</si>
  <si>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</si>
  <si>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</si>
  <si>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</si>
  <si>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</si>
  <si>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</si>
  <si>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</si>
  <si>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</si>
  <si>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12,24</t>
  </si>
  <si>
    <t>27,77</t>
  </si>
  <si>
    <t>3,74</t>
  </si>
  <si>
    <t>4,16</t>
  </si>
  <si>
    <t>11,97</t>
  </si>
  <si>
    <t>39,19</t>
  </si>
  <si>
    <t>114,14</t>
  </si>
  <si>
    <t>12,05</t>
  </si>
  <si>
    <t>13,17</t>
  </si>
  <si>
    <t>96,49</t>
  </si>
  <si>
    <t>150,45</t>
  </si>
  <si>
    <t>7,91</t>
  </si>
  <si>
    <t>25,06</t>
  </si>
  <si>
    <t>20,80</t>
  </si>
  <si>
    <t>124,90</t>
  </si>
  <si>
    <t>6,20</t>
  </si>
  <si>
    <t>34,77</t>
  </si>
  <si>
    <t>55,58</t>
  </si>
  <si>
    <t>54,77</t>
  </si>
  <si>
    <t>50,37</t>
  </si>
  <si>
    <t>46,74</t>
  </si>
  <si>
    <t>52,09</t>
  </si>
  <si>
    <t>58,64</t>
  </si>
  <si>
    <t>24,49</t>
  </si>
  <si>
    <t>19,37</t>
  </si>
  <si>
    <t>48,62</t>
  </si>
  <si>
    <t>10,89</t>
  </si>
  <si>
    <t>22,20</t>
  </si>
  <si>
    <t>8,36</t>
  </si>
  <si>
    <t>0,39</t>
  </si>
  <si>
    <t>17,87</t>
  </si>
  <si>
    <t>23,57</t>
  </si>
  <si>
    <t>8,14</t>
  </si>
  <si>
    <t>10,57</t>
  </si>
  <si>
    <t>64,00</t>
  </si>
  <si>
    <t>102,88</t>
  </si>
  <si>
    <t>42,07</t>
  </si>
  <si>
    <t>23,02</t>
  </si>
  <si>
    <t>10,63</t>
  </si>
  <si>
    <t>19,16</t>
  </si>
  <si>
    <t>29,59</t>
  </si>
  <si>
    <t>31,85</t>
  </si>
  <si>
    <t>29,60</t>
  </si>
  <si>
    <t>82,79</t>
  </si>
  <si>
    <t>27,33</t>
  </si>
  <si>
    <t>57,07</t>
  </si>
  <si>
    <t>14,36</t>
  </si>
  <si>
    <t>10,77</t>
  </si>
  <si>
    <t>34,59</t>
  </si>
  <si>
    <t>65,29</t>
  </si>
  <si>
    <t>55,66</t>
  </si>
  <si>
    <t>130,43</t>
  </si>
  <si>
    <t>62,89</t>
  </si>
  <si>
    <t>50,72</t>
  </si>
  <si>
    <t>192,37</t>
  </si>
  <si>
    <t>23,04</t>
  </si>
  <si>
    <t>61,29</t>
  </si>
  <si>
    <t>49,86</t>
  </si>
  <si>
    <t>29,81</t>
  </si>
  <si>
    <t>56,68</t>
  </si>
  <si>
    <t>43,60</t>
  </si>
  <si>
    <t>51,98</t>
  </si>
  <si>
    <t>37,62</t>
  </si>
  <si>
    <t>63,67</t>
  </si>
  <si>
    <t>46,11</t>
  </si>
  <si>
    <t>98,22</t>
  </si>
  <si>
    <t>103,38</t>
  </si>
  <si>
    <t>139,32</t>
  </si>
  <si>
    <t>11,92</t>
  </si>
  <si>
    <t>11,37</t>
  </si>
  <si>
    <t>10,92</t>
  </si>
  <si>
    <t>11,99</t>
  </si>
  <si>
    <t>16,34</t>
  </si>
  <si>
    <t>15,84</t>
  </si>
  <si>
    <t>12,92</t>
  </si>
  <si>
    <t>11,07</t>
  </si>
  <si>
    <t>11,56</t>
  </si>
  <si>
    <t>27,82</t>
  </si>
  <si>
    <t>16,22</t>
  </si>
  <si>
    <t>36,13</t>
  </si>
  <si>
    <t>134,76</t>
  </si>
  <si>
    <t>34,31</t>
  </si>
  <si>
    <t>8,07</t>
  </si>
  <si>
    <t>13,81</t>
  </si>
  <si>
    <t>34,27</t>
  </si>
  <si>
    <t>34,89</t>
  </si>
  <si>
    <t>16,82</t>
  </si>
  <si>
    <t>18,86</t>
  </si>
  <si>
    <t>24,04</t>
  </si>
  <si>
    <t>28,66</t>
  </si>
  <si>
    <t>132,23</t>
  </si>
  <si>
    <t>162,98</t>
  </si>
  <si>
    <t>9,59</t>
  </si>
  <si>
    <t>24,09</t>
  </si>
  <si>
    <t>30,40</t>
  </si>
  <si>
    <t>27,10</t>
  </si>
  <si>
    <t>152,75</t>
  </si>
  <si>
    <t>123,86</t>
  </si>
  <si>
    <t>13,16</t>
  </si>
  <si>
    <t>23,19</t>
  </si>
  <si>
    <t>21,49</t>
  </si>
  <si>
    <t>40,44</t>
  </si>
  <si>
    <t>48,50</t>
  </si>
  <si>
    <t>50,23</t>
  </si>
  <si>
    <t>62,31</t>
  </si>
  <si>
    <t>73,83</t>
  </si>
  <si>
    <t>41,80</t>
  </si>
  <si>
    <t>39,59</t>
  </si>
  <si>
    <t>45,41</t>
  </si>
  <si>
    <t>63,27</t>
  </si>
  <si>
    <t>54,13</t>
  </si>
  <si>
    <t>54,57</t>
  </si>
  <si>
    <t>52,87</t>
  </si>
  <si>
    <t>55,36</t>
  </si>
  <si>
    <t>43,27</t>
  </si>
  <si>
    <t>25,98</t>
  </si>
  <si>
    <t>18,06</t>
  </si>
  <si>
    <t>21,68</t>
  </si>
  <si>
    <t>52,75</t>
  </si>
  <si>
    <t>47,02</t>
  </si>
  <si>
    <t>46,71</t>
  </si>
  <si>
    <t>81,16</t>
  </si>
  <si>
    <t>35,99</t>
  </si>
  <si>
    <t>14,53</t>
  </si>
  <si>
    <t>28,16</t>
  </si>
  <si>
    <t>45,61</t>
  </si>
  <si>
    <t>46,48</t>
  </si>
  <si>
    <t>50,69</t>
  </si>
  <si>
    <t>51,26</t>
  </si>
  <si>
    <t>65,28</t>
  </si>
  <si>
    <t>42,49</t>
  </si>
  <si>
    <t>64,48</t>
  </si>
  <si>
    <t>40,88</t>
  </si>
  <si>
    <t>21,30</t>
  </si>
  <si>
    <t>21,35</t>
  </si>
  <si>
    <t>39,20</t>
  </si>
  <si>
    <t>45,46</t>
  </si>
  <si>
    <t>24,25</t>
  </si>
  <si>
    <t>11,08</t>
  </si>
  <si>
    <t>10,81</t>
  </si>
  <si>
    <t>4,28</t>
  </si>
  <si>
    <t>32,09</t>
  </si>
  <si>
    <t>38,40</t>
  </si>
  <si>
    <t>45,80</t>
  </si>
  <si>
    <t>31,63</t>
  </si>
  <si>
    <t>52,95</t>
  </si>
  <si>
    <t>32,78</t>
  </si>
  <si>
    <t>28,93</t>
  </si>
  <si>
    <t>5,65</t>
  </si>
  <si>
    <t>21,81</t>
  </si>
  <si>
    <t>19,43</t>
  </si>
  <si>
    <t>21,22</t>
  </si>
  <si>
    <t>14,65</t>
  </si>
  <si>
    <t>40,22</t>
  </si>
  <si>
    <t>50,15</t>
  </si>
  <si>
    <t>59,34</t>
  </si>
  <si>
    <t>27,66</t>
  </si>
  <si>
    <t>46,39</t>
  </si>
  <si>
    <t>34,95</t>
  </si>
  <si>
    <t>67,42</t>
  </si>
  <si>
    <t>16,66</t>
  </si>
  <si>
    <t>92,93</t>
  </si>
  <si>
    <t>33,17</t>
  </si>
  <si>
    <t>10,15</t>
  </si>
  <si>
    <t>26,57</t>
  </si>
  <si>
    <t>66,14</t>
  </si>
  <si>
    <t>99,69</t>
  </si>
  <si>
    <t>24,26</t>
  </si>
  <si>
    <t>24,32</t>
  </si>
  <si>
    <t>19,10</t>
  </si>
  <si>
    <t>45,51</t>
  </si>
  <si>
    <t>31,96</t>
  </si>
  <si>
    <t>28,27</t>
  </si>
  <si>
    <t>18,64</t>
  </si>
  <si>
    <t>21,97</t>
  </si>
  <si>
    <t>39,58</t>
  </si>
  <si>
    <t>29,73</t>
  </si>
  <si>
    <t>21,18</t>
  </si>
  <si>
    <t>27,83</t>
  </si>
  <si>
    <t>86,41</t>
  </si>
  <si>
    <t>19,68</t>
  </si>
  <si>
    <t>124,76</t>
  </si>
  <si>
    <t>18,17</t>
  </si>
  <si>
    <t>20,15</t>
  </si>
  <si>
    <t>110,31</t>
  </si>
  <si>
    <t>32,58</t>
  </si>
  <si>
    <t>107,74</t>
  </si>
  <si>
    <t>7,79</t>
  </si>
  <si>
    <t>126,09</t>
  </si>
  <si>
    <t>80,06</t>
  </si>
  <si>
    <t>7,89</t>
  </si>
  <si>
    <t>16,90</t>
  </si>
  <si>
    <t>13,02</t>
  </si>
  <si>
    <t>65,93</t>
  </si>
  <si>
    <t>76,54</t>
  </si>
  <si>
    <t>90,52</t>
  </si>
  <si>
    <t>82,46</t>
  </si>
  <si>
    <t>66,69</t>
  </si>
  <si>
    <t>80,35</t>
  </si>
  <si>
    <t>168,01</t>
  </si>
  <si>
    <t>45,75</t>
  </si>
  <si>
    <t>30,03</t>
  </si>
  <si>
    <t>9,83</t>
  </si>
  <si>
    <t>14,21</t>
  </si>
  <si>
    <t>18,44</t>
  </si>
  <si>
    <t>39,86</t>
  </si>
  <si>
    <t>39,96</t>
  </si>
  <si>
    <t>51,22</t>
  </si>
  <si>
    <t>61,20</t>
  </si>
  <si>
    <t>11,21</t>
  </si>
  <si>
    <t>70,13</t>
  </si>
  <si>
    <t>40,33</t>
  </si>
  <si>
    <t>50,33</t>
  </si>
  <si>
    <t>25,93</t>
  </si>
  <si>
    <t>24,73</t>
  </si>
  <si>
    <t>29,15</t>
  </si>
  <si>
    <t>25,53</t>
  </si>
  <si>
    <t>39,95</t>
  </si>
  <si>
    <t>114,56</t>
  </si>
  <si>
    <t>124,05</t>
  </si>
  <si>
    <t>56,85</t>
  </si>
  <si>
    <t>52,78</t>
  </si>
  <si>
    <t>53,75</t>
  </si>
  <si>
    <t>42,03</t>
  </si>
  <si>
    <t>135,20</t>
  </si>
  <si>
    <t>375,18</t>
  </si>
  <si>
    <t>444,42</t>
  </si>
  <si>
    <t>42,17</t>
  </si>
  <si>
    <t>31,51</t>
  </si>
  <si>
    <t>125,28</t>
  </si>
  <si>
    <t>92,62</t>
  </si>
  <si>
    <t>45,14</t>
  </si>
  <si>
    <t>223,09</t>
  </si>
  <si>
    <t>77,82</t>
  </si>
  <si>
    <t>18,07</t>
  </si>
  <si>
    <t>17,37</t>
  </si>
  <si>
    <t>22,49</t>
  </si>
  <si>
    <t>96,80</t>
  </si>
  <si>
    <t>127,60</t>
  </si>
  <si>
    <t>105,61</t>
  </si>
  <si>
    <t>143,94</t>
  </si>
  <si>
    <t>102,15</t>
  </si>
  <si>
    <t>4.897,09</t>
  </si>
  <si>
    <t>5.886,22</t>
  </si>
  <si>
    <t>16.531,82</t>
  </si>
  <si>
    <t>4.139,19</t>
  </si>
  <si>
    <t>18.786,25</t>
  </si>
  <si>
    <t>25.599,69</t>
  </si>
  <si>
    <t>12.201,61</t>
  </si>
  <si>
    <t>17.239,02</t>
  </si>
  <si>
    <t>22.720,78</t>
  </si>
  <si>
    <t>64,84</t>
  </si>
  <si>
    <t>131,06</t>
  </si>
  <si>
    <t>149,18</t>
  </si>
  <si>
    <t>203,92</t>
  </si>
  <si>
    <t>103,03</t>
  </si>
  <si>
    <t>75,58</t>
  </si>
  <si>
    <t>94,06</t>
  </si>
  <si>
    <t>105,95</t>
  </si>
  <si>
    <t>39,78</t>
  </si>
  <si>
    <t>66,41</t>
  </si>
  <si>
    <t>95,14</t>
  </si>
  <si>
    <t>116,68</t>
  </si>
  <si>
    <t>3.806,51</t>
  </si>
  <si>
    <t>24.006,09</t>
  </si>
  <si>
    <t>13.528,71</t>
  </si>
  <si>
    <t>16.740,23</t>
  </si>
  <si>
    <t>18.858,12</t>
  </si>
  <si>
    <t>7.084,73</t>
  </si>
  <si>
    <t>29,25</t>
  </si>
  <si>
    <t>48,06</t>
  </si>
  <si>
    <t>355,09</t>
  </si>
  <si>
    <t>50,20</t>
  </si>
  <si>
    <t>19,88</t>
  </si>
  <si>
    <t>5.344,94</t>
  </si>
  <si>
    <t>6.608,95</t>
  </si>
  <si>
    <t>25.761,91</t>
  </si>
  <si>
    <t>19.563,55</t>
  </si>
  <si>
    <t>18.200,56</t>
  </si>
  <si>
    <t>4.159,44</t>
  </si>
  <si>
    <t>8.400,67</t>
  </si>
  <si>
    <t>ENCARGOS SOCIAIS SOBRE PREÇOS DA MÃO-DE-OBRA: 113,69%(HORA)   73,06%(MÊS)</t>
  </si>
  <si>
    <t xml:space="preserve">CODIGO </t>
  </si>
  <si>
    <t>CCU - 06.027</t>
  </si>
  <si>
    <t>CCU - 06.028</t>
  </si>
  <si>
    <t>REF: 95745 SINAPI - JAN 2021</t>
  </si>
  <si>
    <t>CCU - 06.029</t>
  </si>
  <si>
    <t>COT - 06.017</t>
  </si>
  <si>
    <t>COT - 06.018</t>
  </si>
  <si>
    <t>ELETRODUTO EM ACO GALVANIZADO ELETROLITICO, SEMI-PESADO, DIAMETRO 2"</t>
  </si>
  <si>
    <t>CCU - 06.030</t>
  </si>
  <si>
    <t>REF: 95748 SINAPI - JAN 2021</t>
  </si>
  <si>
    <t>PLANILHA DE COMPOSIÇÕES AUXILIARES</t>
  </si>
  <si>
    <t>AUX</t>
  </si>
  <si>
    <t>CCU - 06.031</t>
  </si>
  <si>
    <t>06.01.304.8</t>
  </si>
  <si>
    <t>06.01.304.9</t>
  </si>
  <si>
    <t>06.01.304.10</t>
  </si>
  <si>
    <t>06.01.304.11</t>
  </si>
  <si>
    <t>06.01.304.12</t>
  </si>
  <si>
    <t>06.01.304.13</t>
  </si>
  <si>
    <t>06.01.304.14</t>
  </si>
  <si>
    <t>CCU - 06.032</t>
  </si>
  <si>
    <t>CCU - 06.033</t>
  </si>
  <si>
    <t>CCU - 06.002 AUX</t>
  </si>
  <si>
    <t>EMENDA PARA ELETROCALHA, LISA OU PERFURADA EM AÇO GALVANIZADO, LARGURA 150MM E ALTURA 50MM - FORNECIMENTO E INSTALAÇÃO</t>
  </si>
  <si>
    <t>PARAFUSO CABEÇA LENTILHA ¼” X ¾”</t>
  </si>
  <si>
    <t>CCU - 06.003 AUX</t>
  </si>
  <si>
    <t>CCU - 06.034</t>
  </si>
  <si>
    <t>COT - 06.019</t>
  </si>
  <si>
    <t>COT - 06.020</t>
  </si>
  <si>
    <t>COT - 06.021</t>
  </si>
  <si>
    <t>COT - 06.022</t>
  </si>
  <si>
    <t>CCU - 06.035</t>
  </si>
  <si>
    <t>COT - 06.023</t>
  </si>
  <si>
    <t>COT - 06.024</t>
  </si>
  <si>
    <t>COT - 06.025</t>
  </si>
  <si>
    <t>CCU - 06.036</t>
  </si>
  <si>
    <t>CCU - 06.005 AUX</t>
  </si>
  <si>
    <t>CCU - 06.037</t>
  </si>
  <si>
    <t>COT - 06.026</t>
  </si>
  <si>
    <t>COT - 06.027</t>
  </si>
  <si>
    <t>COT - 06.028</t>
  </si>
  <si>
    <t>COT - 06.029</t>
  </si>
  <si>
    <t>COT - 06.030</t>
  </si>
  <si>
    <t>COT - 06.031</t>
  </si>
  <si>
    <t>06.01.304.15</t>
  </si>
  <si>
    <t>06.01.304.16</t>
  </si>
  <si>
    <t>06.01.304.17</t>
  </si>
  <si>
    <t>06.01.304.18</t>
  </si>
  <si>
    <t>06.01.304.19</t>
  </si>
  <si>
    <t>CCU - 06.038</t>
  </si>
  <si>
    <t>CCU - 06.039</t>
  </si>
  <si>
    <t>CCU - 06.040</t>
  </si>
  <si>
    <t>CCU - 06.041</t>
  </si>
  <si>
    <t>CCU - 06.042</t>
  </si>
  <si>
    <t>COT - 06.032</t>
  </si>
  <si>
    <t>COT - 06.033</t>
  </si>
  <si>
    <t>COT - 06.034</t>
  </si>
  <si>
    <t>COT - 06.035</t>
  </si>
  <si>
    <t>COT - 06.036</t>
  </si>
  <si>
    <t>COT - 06.037</t>
  </si>
  <si>
    <t>COT - 06.038</t>
  </si>
  <si>
    <t>COT - 06.039</t>
  </si>
  <si>
    <t>COT - 06.040</t>
  </si>
  <si>
    <t>COT - 06.041</t>
  </si>
  <si>
    <t>COT - 06.042</t>
  </si>
  <si>
    <t>COT - 06.043</t>
  </si>
  <si>
    <t>CCU - 06.043</t>
  </si>
  <si>
    <t>CCU - 06.044</t>
  </si>
  <si>
    <t>CCU - 06.045</t>
  </si>
  <si>
    <t>CCU - 06.047</t>
  </si>
  <si>
    <t>CCU - 06.048</t>
  </si>
  <si>
    <t>CCU - 06.049</t>
  </si>
  <si>
    <t>CCU - 06.050</t>
  </si>
  <si>
    <t>CCU - 06.051</t>
  </si>
  <si>
    <t>CCU - 06.052</t>
  </si>
  <si>
    <t>CCU - 06.053</t>
  </si>
  <si>
    <t>CCU - 06.054</t>
  </si>
  <si>
    <t>CCU - 06.055</t>
  </si>
  <si>
    <t>COT - 06.047</t>
  </si>
  <si>
    <t>COT - 06.050</t>
  </si>
  <si>
    <t>COT - 06.052</t>
  </si>
  <si>
    <t>COT - 06.053</t>
  </si>
  <si>
    <t>CCU - 06.056</t>
  </si>
  <si>
    <t>CCU - 06.057</t>
  </si>
  <si>
    <t>CCU - 06.058</t>
  </si>
  <si>
    <t>CCU - 06.061</t>
  </si>
  <si>
    <t>CCU - 06.062</t>
  </si>
  <si>
    <t>CCU - 06.063</t>
  </si>
  <si>
    <t>CCU - 06.064</t>
  </si>
  <si>
    <t>COT - 06.055</t>
  </si>
  <si>
    <t>COT - 06.057</t>
  </si>
  <si>
    <t>COT - 06.059</t>
  </si>
  <si>
    <t>COT - 06.060</t>
  </si>
  <si>
    <t>COT - 06.064</t>
  </si>
  <si>
    <t>COT - 06.065</t>
  </si>
  <si>
    <t>COT - 06.066</t>
  </si>
  <si>
    <t>COT - 06.067</t>
  </si>
  <si>
    <t>CCU - 06.065</t>
  </si>
  <si>
    <t>CCU - 06.066</t>
  </si>
  <si>
    <t>REF: 11817/8/ORSE NOV 2020</t>
  </si>
  <si>
    <t>REF: 12460/ORSE NOV 2020</t>
  </si>
  <si>
    <t>CCU - 06.069</t>
  </si>
  <si>
    <t>CCU - 06.070</t>
  </si>
  <si>
    <t>CCU - 06.071</t>
  </si>
  <si>
    <t>CCU - 06.072</t>
  </si>
  <si>
    <t>06.01.305.2</t>
  </si>
  <si>
    <t>06.01.305.3</t>
  </si>
  <si>
    <t>06.01.305.4</t>
  </si>
  <si>
    <t>06.01.305.5</t>
  </si>
  <si>
    <t>06.01.305.6</t>
  </si>
  <si>
    <t>06.01.401.2</t>
  </si>
  <si>
    <t>06.01.401.3</t>
  </si>
  <si>
    <t>06.01.401.4</t>
  </si>
  <si>
    <t>06.01.401.5</t>
  </si>
  <si>
    <t>INTERRUPTORES E TOMADAS</t>
  </si>
  <si>
    <t>06.01.404.3</t>
  </si>
  <si>
    <t>06.01.404.4</t>
  </si>
  <si>
    <t>CCU - 06.074</t>
  </si>
  <si>
    <t>CCU - 06.075</t>
  </si>
  <si>
    <t>CCU - 06.076</t>
  </si>
  <si>
    <t>CCU - 06.077</t>
  </si>
  <si>
    <t>06.01.404.5</t>
  </si>
  <si>
    <t>06.01.404.6</t>
  </si>
  <si>
    <t>06.01.404.7</t>
  </si>
  <si>
    <t>06.01.404.8</t>
  </si>
  <si>
    <t>06.01.410.2</t>
  </si>
  <si>
    <t>06.01.410.3</t>
  </si>
  <si>
    <t>06.01.410.4</t>
  </si>
  <si>
    <t>06.01.410.5</t>
  </si>
  <si>
    <t>06.01.407.8</t>
  </si>
  <si>
    <t>06.01.407.9</t>
  </si>
  <si>
    <t>06.01.407.10</t>
  </si>
  <si>
    <t>CCU - 06.078</t>
  </si>
  <si>
    <t>06.01.407.11</t>
  </si>
  <si>
    <t>CCU - 06.079</t>
  </si>
  <si>
    <t>CCU - 06.080</t>
  </si>
  <si>
    <t>CCU - 06.081</t>
  </si>
  <si>
    <t>REF: 00650/ORSE NOV 2020</t>
  </si>
  <si>
    <t>CCU - 06.082</t>
  </si>
  <si>
    <t>CCU - 06.084</t>
  </si>
  <si>
    <t>REF: 10572/ORSE</t>
  </si>
  <si>
    <t>06.01.410.6</t>
  </si>
  <si>
    <t>06.01.410.7</t>
  </si>
  <si>
    <t>06.01.410.9</t>
  </si>
  <si>
    <t>06.01.410.10</t>
  </si>
  <si>
    <t>DIAS 91 A 120</t>
  </si>
  <si>
    <t>DIAS 121 A 150</t>
  </si>
  <si>
    <t>DIAS 211 A 240</t>
  </si>
  <si>
    <t>DIAS 151 A 180</t>
  </si>
  <si>
    <t>DIAS 181 A 210</t>
  </si>
  <si>
    <t xml:space="preserve">TAB. REF.: </t>
  </si>
  <si>
    <r>
      <t xml:space="preserve"> B.D.I. : </t>
    </r>
    <r>
      <rPr>
        <sz val="10"/>
        <rFont val="Calibri"/>
        <family val="2"/>
        <scheme val="minor"/>
      </rPr>
      <t>10,89% (equipamentos)</t>
    </r>
  </si>
  <si>
    <r>
      <t xml:space="preserve"> B.D.I. : </t>
    </r>
    <r>
      <rPr>
        <sz val="10"/>
        <rFont val="Calibri"/>
        <family val="2"/>
        <scheme val="minor"/>
      </rPr>
      <t>20,94% (obra)</t>
    </r>
  </si>
  <si>
    <t xml:space="preserve">06.02.000 </t>
  </si>
  <si>
    <t>06.02.200</t>
  </si>
  <si>
    <t>06.02.300</t>
  </si>
  <si>
    <t>06.02.400</t>
  </si>
  <si>
    <t>06.02.700</t>
  </si>
  <si>
    <t>06.02.900</t>
  </si>
  <si>
    <t>06.02.200.1</t>
  </si>
  <si>
    <t>06.02.200.2</t>
  </si>
  <si>
    <t>06.02.300.1</t>
  </si>
  <si>
    <t>06.02.400.1</t>
  </si>
  <si>
    <t>06.02.700.1</t>
  </si>
  <si>
    <t>06.02.900.1</t>
  </si>
  <si>
    <t>06.01.510</t>
  </si>
  <si>
    <t>06.01.510.1</t>
  </si>
  <si>
    <t>06.01.510.2</t>
  </si>
  <si>
    <t>PÓ EXOTÉRMICO IGNIÇÃO, COM PALITO - Nº 150</t>
  </si>
  <si>
    <t>ELETROMAC</t>
  </si>
  <si>
    <t>FOXTELL</t>
  </si>
  <si>
    <t>MONTAL</t>
  </si>
  <si>
    <t>leandromarcelo@eletromac.com.br</t>
  </si>
  <si>
    <t>vendas@foxtell.com.br</t>
  </si>
  <si>
    <t xml:space="preserve">comercial@montal.com.br </t>
  </si>
  <si>
    <t>21.770.011/0001-20</t>
  </si>
  <si>
    <t>-</t>
  </si>
  <si>
    <t>(34) 3292-4400</t>
  </si>
  <si>
    <t>(88) 99793-0101</t>
  </si>
  <si>
    <t xml:space="preserve">31) 3476-7675 </t>
  </si>
  <si>
    <t>CCU - 06.088</t>
  </si>
  <si>
    <t>REF: 10332/ORSE SINAPI JAN 2021</t>
  </si>
  <si>
    <t>06.01.520.7</t>
  </si>
  <si>
    <t>48.539.548/0001-30</t>
  </si>
  <si>
    <t>CCU - 06.091</t>
  </si>
  <si>
    <t>REF: 10907/ORSE SINAPI JAN 2021</t>
  </si>
  <si>
    <t>CCU - 06.092</t>
  </si>
  <si>
    <t>11514/ORSE</t>
  </si>
  <si>
    <t>Fixador universal estanhado para cabos 16 a 70mm2</t>
  </si>
  <si>
    <t>REF: 07923/ORSE SINAPI JAN 2021</t>
  </si>
  <si>
    <t xml:space="preserve">TERMINAL A COMPRESSAO EM COBRE ESTANHADO PARA CABO 50 MM2, 1 FURO E 1 COMPRESSAO, COM PARAFUSO DE FIXACAO </t>
  </si>
  <si>
    <t>Parafuso de fixação com bucha plástica 8 mm</t>
  </si>
  <si>
    <t>1689/ORSE</t>
  </si>
  <si>
    <t>06.02.200.3</t>
  </si>
  <si>
    <t>QUADROS E CAIXAS DE DISTRIBUIÇÃO</t>
  </si>
  <si>
    <t>06.02.300.2</t>
  </si>
  <si>
    <t>06.02.300.3</t>
  </si>
  <si>
    <t>06.02.300.4</t>
  </si>
  <si>
    <t>06.02.300.5</t>
  </si>
  <si>
    <t>06.02.300.6</t>
  </si>
  <si>
    <t>06.02.300.7</t>
  </si>
  <si>
    <t>06.02.300.8</t>
  </si>
  <si>
    <t>06.02.300.9</t>
  </si>
  <si>
    <t>06.02.300.10</t>
  </si>
  <si>
    <t>06.02.300.11</t>
  </si>
  <si>
    <t>06.02.300.12</t>
  </si>
  <si>
    <t>06.02.300.13</t>
  </si>
  <si>
    <t>ELETRODUTO DE AÇO GALVANIZADO, CLASSE LEVE, DN 20 MM (3/4), APARENTE, FIXADO NA ESTRUTURA E PAREDES - FORNECIMENTO E INSTALAÇÃO</t>
  </si>
  <si>
    <t>06.02.400.2</t>
  </si>
  <si>
    <t>CCU - 06.096</t>
  </si>
  <si>
    <t>CCU - 06.097</t>
  </si>
  <si>
    <t>COT - 06.068</t>
  </si>
  <si>
    <t>COT - 06.069</t>
  </si>
  <si>
    <t>COT - 06.070</t>
  </si>
  <si>
    <t>COT - 06.071</t>
  </si>
  <si>
    <t>SAÍDA PARA ELETRODUTO 3/4" DE ELETROCALHA</t>
  </si>
  <si>
    <t>CCU - 06.098</t>
  </si>
  <si>
    <t>ANTENA DIGITAL EXTERNA 38 ELEMENTOS. FREQUÊNCIA DE 54 a 862 MHz, IMPEDÂNCIA 75 ohms GANHO DE 16dBi. REFERÊNCIA PROHB-1300BD PRO ELETRONIC OU EQUIVALENTE TÉCNICO</t>
  </si>
  <si>
    <t>CCU - 06.099</t>
  </si>
  <si>
    <t>ANTENA DIGITAL EXTERNA 38 ELEMENTOS. FREQUÊNCIA DE 54 a 862 MHz, IMPEDÂNCIA 75 ohms GANHO DE 16dBi. REFERÊNCIA PROHB-1300BD PRO ELETRONIC OU EQUIVALENTE TÉCNICO - FORNECIMENTO E INSTALAÇÃO</t>
  </si>
  <si>
    <t>06.02.600</t>
  </si>
  <si>
    <t>CCU - 06.100</t>
  </si>
  <si>
    <t>CCU - 06.101</t>
  </si>
  <si>
    <t>06.02.600.1</t>
  </si>
  <si>
    <t>06.02.600.2</t>
  </si>
  <si>
    <t>06.02.600.3</t>
  </si>
  <si>
    <t>06.02.600.4</t>
  </si>
  <si>
    <t>06.02.600.5</t>
  </si>
  <si>
    <t>06.02.600.6</t>
  </si>
  <si>
    <t>06.02.700.2</t>
  </si>
  <si>
    <t>REF: 12657/ORSE NOV 2020</t>
  </si>
  <si>
    <t>06.02.900.2</t>
  </si>
  <si>
    <t>06.02.900.3</t>
  </si>
  <si>
    <t>06.02.900.4</t>
  </si>
  <si>
    <t>COT - 06.072</t>
  </si>
  <si>
    <t>COT - 06.073</t>
  </si>
  <si>
    <t>COT - 06.074</t>
  </si>
  <si>
    <t>COT - 06.075</t>
  </si>
  <si>
    <t>COT - 06.076</t>
  </si>
  <si>
    <t>COT - 06.077</t>
  </si>
  <si>
    <t>COT - 06.078</t>
  </si>
  <si>
    <t>06.02.600.7</t>
  </si>
  <si>
    <t>COT - 06.079</t>
  </si>
  <si>
    <t>COT - 06.080</t>
  </si>
  <si>
    <t>COT - 06.081</t>
  </si>
  <si>
    <t>REF: 08663/ORSE NOV 2020</t>
  </si>
  <si>
    <t>CAIXAS</t>
  </si>
  <si>
    <t>REF: 98296 SINAPI JAN 2021</t>
  </si>
  <si>
    <t>CABO DE PAR TRANCADO UTP, 4 PARES, CATEGORIA 6 - FORNECIMENTO E INSTALAÇÃO</t>
  </si>
  <si>
    <t>REF: 10726/ORSE NOV 2020</t>
  </si>
  <si>
    <t>COT - 06.087</t>
  </si>
  <si>
    <t>REF: 00755/ORSE NOV 2020</t>
  </si>
  <si>
    <t>08.00.000</t>
  </si>
  <si>
    <t>INSTALAÇÕES DE PREVENÇÃO E COMBATE A INCÊNDIO</t>
  </si>
  <si>
    <t>05.01.000</t>
  </si>
  <si>
    <t>05.01.200</t>
  </si>
  <si>
    <t>AGUA FRIA</t>
  </si>
  <si>
    <t>TUBULAÇÕES E CONEXÕES DE PVC RÍGIDO</t>
  </si>
  <si>
    <t xml:space="preserve">TUBULAÇÕES E CONEXÕES DE PVC </t>
  </si>
  <si>
    <t>TUBULAÇÕES E CONEXÕES DE AÇO</t>
  </si>
  <si>
    <t>05.01.200.1</t>
  </si>
  <si>
    <t>05.01.200.2</t>
  </si>
  <si>
    <t>05.01.200.3</t>
  </si>
  <si>
    <t>05.01.200.4</t>
  </si>
  <si>
    <t>05.01.200.5</t>
  </si>
  <si>
    <t>05.01.200.6</t>
  </si>
  <si>
    <t>05.01.200.7</t>
  </si>
  <si>
    <t>05.01.200.8</t>
  </si>
  <si>
    <t>05.01.200.9</t>
  </si>
  <si>
    <t>05.01.200.10</t>
  </si>
  <si>
    <t>05.01.200.11</t>
  </si>
  <si>
    <t>05.01.200.12</t>
  </si>
  <si>
    <t>05.01.200.13</t>
  </si>
  <si>
    <t>05.01.200.14</t>
  </si>
  <si>
    <t>05.01.200.15</t>
  </si>
  <si>
    <t>05.01.200.16</t>
  </si>
  <si>
    <t>05.01.200.17</t>
  </si>
  <si>
    <t>05.01.200.18</t>
  </si>
  <si>
    <t>05.01.200.19</t>
  </si>
  <si>
    <t>05.01.200.20</t>
  </si>
  <si>
    <t>05.01.200.21</t>
  </si>
  <si>
    <t>05.01.200.22</t>
  </si>
  <si>
    <t>05.01.200.23</t>
  </si>
  <si>
    <t>05.01.200.24</t>
  </si>
  <si>
    <t>05.01.200.25</t>
  </si>
  <si>
    <t>05.01.200.26</t>
  </si>
  <si>
    <t>05.01.200.27</t>
  </si>
  <si>
    <t>COT - 05.001</t>
  </si>
  <si>
    <t>COT - 07.001</t>
  </si>
  <si>
    <t>DUTO FLEXÍVEL COM DUPLA CAMADA DE PAREDE DE ALUMÍNIO, POLIÉSTER E ESPIRAL DE ARAME DE AÇO BRONZEADO ALUDEC 60 - 6"</t>
  </si>
  <si>
    <t>COT - 07.002</t>
  </si>
  <si>
    <t>GRELHA FIXA MULTIVAC 150MM</t>
  </si>
  <si>
    <t>COT - 07.003</t>
  </si>
  <si>
    <t>COT - 07.004</t>
  </si>
  <si>
    <t>COT - 07.005</t>
  </si>
  <si>
    <t>EXAUSTOR MULTIVAC TURBO 200</t>
  </si>
  <si>
    <t>COT - 07.008</t>
  </si>
  <si>
    <t>COT - 07.009</t>
  </si>
  <si>
    <t>COT - 07.012</t>
  </si>
  <si>
    <t>COT - 07.013</t>
  </si>
  <si>
    <t>COT - 07.014</t>
  </si>
  <si>
    <t>COT - 07.019</t>
  </si>
  <si>
    <t>FILTRO GLP 1" NPT 300</t>
  </si>
  <si>
    <t>COT - 07.020</t>
  </si>
  <si>
    <t>MANGUEIRA METÁLICA P/ GLP 3/4" - 1M</t>
  </si>
  <si>
    <t>COT - 07.023</t>
  </si>
  <si>
    <t>COT - 07.026</t>
  </si>
  <si>
    <t>COT - 08.001</t>
  </si>
  <si>
    <t>COT - 08.002</t>
  </si>
  <si>
    <t>COT - 08.003</t>
  </si>
  <si>
    <t>COT - 08.006</t>
  </si>
  <si>
    <t>COT - 08.008</t>
  </si>
  <si>
    <t>REF: 89605 SINAPI JAN 2021</t>
  </si>
  <si>
    <t>BUCHA DE REDUCAO DE PVC, SOLDAVEL, LONGA, COM 75 X 50 MM, PARA AGUA FRIA PREDIAL - FORNECIMENTO E INSTALAÇÃO</t>
  </si>
  <si>
    <t>BUCHA DE REDUCAO DE PVC, SOLDAVEL, LONGA, COM 50 X 25 MM, PARA AGUA FRIA PREDIAL - FORNECIMENTO E INSTALAÇÃO</t>
  </si>
  <si>
    <t>REF: 89579 SINAPI JAN 2021</t>
  </si>
  <si>
    <t>BUCHA DE REDUCAO DE PVC, SOLDAVEL, CURTA, COM 75 X 60 MM, PARA AGUA FRIA PREDIAL - FORNECIMENTO E INSTALAÇÃO</t>
  </si>
  <si>
    <t>REF: 89611 SINAPI JAN 2021</t>
  </si>
  <si>
    <t>BUCHA DE REDUCAO DE PVC, SOLDAVEL, CURTA, COM 60 X 50 MM, PARA AGUA FRIA PREDIAL - FORNECIMENTO E INSTALAÇÃO</t>
  </si>
  <si>
    <t>REF: 89609 SINAPI JAN 2021</t>
  </si>
  <si>
    <t>BUCHA DE REDUCAO DE PVC, SOLDAVEL, LONGA, COM 60 X 25 MM, PARA AGUA FRIA PREDIAL - FORNECIMENTO E INSTALAÇÃO</t>
  </si>
  <si>
    <t>REF: 90373 SINAPI JAN 2021</t>
  </si>
  <si>
    <t>CCU - 05.009</t>
  </si>
  <si>
    <t>REF: 89380 SINAPI JAN 2021</t>
  </si>
  <si>
    <t>REGISTROS</t>
  </si>
  <si>
    <t xml:space="preserve">05.01.580 </t>
  </si>
  <si>
    <t>05.01.540</t>
  </si>
  <si>
    <t>05.01.540.1</t>
  </si>
  <si>
    <t>05.01.540.2</t>
  </si>
  <si>
    <t>05.01.540.3</t>
  </si>
  <si>
    <t>05.01.540.4</t>
  </si>
  <si>
    <t>05.01.540.5</t>
  </si>
  <si>
    <t>05.01.580.1</t>
  </si>
  <si>
    <t>05.01.580.2</t>
  </si>
  <si>
    <t>05.01.580.3</t>
  </si>
  <si>
    <t>CCU - 05.010</t>
  </si>
  <si>
    <t>CCU - 05.011</t>
  </si>
  <si>
    <t>CCU - 05.012</t>
  </si>
  <si>
    <t>REF: CONFORME PROJETO</t>
  </si>
  <si>
    <t>05.01.700</t>
  </si>
  <si>
    <t>RESERVATÓRIOS</t>
  </si>
  <si>
    <t>05.01.800</t>
  </si>
  <si>
    <t>05.01.800.1</t>
  </si>
  <si>
    <t>05.01.800.2</t>
  </si>
  <si>
    <t>05.01.800.3</t>
  </si>
  <si>
    <t>05.01.800.4</t>
  </si>
  <si>
    <t>05.01.800.5</t>
  </si>
  <si>
    <t>05.01.800.6</t>
  </si>
  <si>
    <t>05.01.700.1</t>
  </si>
  <si>
    <t xml:space="preserve">REF: </t>
  </si>
  <si>
    <t>CCU - 05.014</t>
  </si>
  <si>
    <t>P-006</t>
  </si>
  <si>
    <t>05.01.800.7</t>
  </si>
  <si>
    <t>05.01.800.8</t>
  </si>
  <si>
    <t>05.01.800.9</t>
  </si>
  <si>
    <t>05.01.800.10</t>
  </si>
  <si>
    <t>05.01.800.11</t>
  </si>
  <si>
    <t>05.01.800.12</t>
  </si>
  <si>
    <t>CCU - 05.015</t>
  </si>
  <si>
    <t>05.03.300.3</t>
  </si>
  <si>
    <t>05.03.300.4</t>
  </si>
  <si>
    <t>05.03.300.5</t>
  </si>
  <si>
    <t>CCU - 05.016</t>
  </si>
  <si>
    <t>CCU - 05.017</t>
  </si>
  <si>
    <t>CCU - 05.018</t>
  </si>
  <si>
    <t>CCU - 05.021</t>
  </si>
  <si>
    <t>CCU - 05.022</t>
  </si>
  <si>
    <t>REF: 84798 SINAPI JAN 2019</t>
  </si>
  <si>
    <t>CCU - 05.023</t>
  </si>
  <si>
    <t>CCU - 05.024</t>
  </si>
  <si>
    <t>CCU - 05.025</t>
  </si>
  <si>
    <t>REF: 6316/ORSE NOV 2020</t>
  </si>
  <si>
    <t xml:space="preserve">LASTRO DE AREIA </t>
  </si>
  <si>
    <t>CCU - 05.026</t>
  </si>
  <si>
    <t>PINTURA COM TINTA ALQUÍDICA DE ACABAMENTO (ESMALTE SINTÉTICO ACETINADO) PULVERIZADA</t>
  </si>
  <si>
    <t>05.04.000</t>
  </si>
  <si>
    <t>ESGOTOS SANITÁRIOS</t>
  </si>
  <si>
    <t xml:space="preserve">05.04.100 </t>
  </si>
  <si>
    <t>05.04.100.1</t>
  </si>
  <si>
    <t>05.04.100.2</t>
  </si>
  <si>
    <t>05.04.100.3</t>
  </si>
  <si>
    <t>05.04.100.4</t>
  </si>
  <si>
    <t>05.04.100.5</t>
  </si>
  <si>
    <t>05.04.800</t>
  </si>
  <si>
    <t>05.04.950</t>
  </si>
  <si>
    <t>05.04.800.1</t>
  </si>
  <si>
    <t>05.04.800.2</t>
  </si>
  <si>
    <t>05.04.800.3</t>
  </si>
  <si>
    <t>05.04.800.4</t>
  </si>
  <si>
    <t>05.04.950.1</t>
  </si>
  <si>
    <t>05.04.950.2</t>
  </si>
  <si>
    <t>05.04.950.3</t>
  </si>
  <si>
    <t>05.04.950.4</t>
  </si>
  <si>
    <t>05.04.950.5</t>
  </si>
  <si>
    <t>05.04.950.6</t>
  </si>
  <si>
    <t>05.04.950.7</t>
  </si>
  <si>
    <t>05.04.950.8</t>
  </si>
  <si>
    <t>05.04.100.6</t>
  </si>
  <si>
    <t>05.04.100.7</t>
  </si>
  <si>
    <t>05.04.100.8</t>
  </si>
  <si>
    <t>05.04.100.9</t>
  </si>
  <si>
    <t>05.04.100.10</t>
  </si>
  <si>
    <t>05.04.100.11</t>
  </si>
  <si>
    <t>05.04.100.12</t>
  </si>
  <si>
    <t>05.04.100.13</t>
  </si>
  <si>
    <t>05.04.100.14</t>
  </si>
  <si>
    <t>05.04.100.15</t>
  </si>
  <si>
    <t>05.04.100.16</t>
  </si>
  <si>
    <t>05.04.100.17</t>
  </si>
  <si>
    <t>CCU - 05.028</t>
  </si>
  <si>
    <t>REF: 89724 SINAPI JAN 2021</t>
  </si>
  <si>
    <t>REF: 89796 SINAPI JAN 2021</t>
  </si>
  <si>
    <t>CCU - 05.030</t>
  </si>
  <si>
    <t>CCU - 05.031</t>
  </si>
  <si>
    <t>REF: 89786 SINAPI JAN 2021</t>
  </si>
  <si>
    <t>CCU - 05.032</t>
  </si>
  <si>
    <t>REF: 07594/ORSE NOV 2020</t>
  </si>
  <si>
    <t>COPAFER</t>
  </si>
  <si>
    <t>(11) 4996-6000</t>
  </si>
  <si>
    <t>POLEODUTO</t>
  </si>
  <si>
    <t>stefanny.borges@poleoduto.com.b</t>
  </si>
  <si>
    <t>72.797.913/0001-91</t>
  </si>
  <si>
    <t>(11) 2413-1200</t>
  </si>
  <si>
    <t>ELETROCASTRO</t>
  </si>
  <si>
    <t>85.014.793/0001-50</t>
  </si>
  <si>
    <t>LEROY MERLIN</t>
  </si>
  <si>
    <t>www.leroymerlin.com.br</t>
  </si>
  <si>
    <t>01.438.784/0001-05</t>
  </si>
  <si>
    <t>4007-1380</t>
  </si>
  <si>
    <t>AMERICANAS</t>
  </si>
  <si>
    <t>www.americanas.com</t>
  </si>
  <si>
    <t>00.776.574/0006-60</t>
  </si>
  <si>
    <t>4003-4848</t>
  </si>
  <si>
    <t>MAGAZINE LUIZA</t>
  </si>
  <si>
    <t>0800 773 3838</t>
  </si>
  <si>
    <t>EXTRA</t>
  </si>
  <si>
    <t xml:space="preserve">www.extra.com.br </t>
  </si>
  <si>
    <t>33.041.260/0652-90</t>
  </si>
  <si>
    <t>4003-0363</t>
  </si>
  <si>
    <t>SUBMARINO</t>
  </si>
  <si>
    <t>www.submarino.com</t>
  </si>
  <si>
    <t>4003-5544</t>
  </si>
  <si>
    <t>P-014</t>
  </si>
  <si>
    <t>P-016</t>
  </si>
  <si>
    <t>P-022</t>
  </si>
  <si>
    <t>P-023</t>
  </si>
  <si>
    <t>07.04.000</t>
  </si>
  <si>
    <t>VENTILAÇÃO MECÂNICA</t>
  </si>
  <si>
    <t>07.04.100.1</t>
  </si>
  <si>
    <t>07.04.100</t>
  </si>
  <si>
    <t>VENTILADORES</t>
  </si>
  <si>
    <t>07.04.200</t>
  </si>
  <si>
    <t>07.04.203</t>
  </si>
  <si>
    <t>DUTOS</t>
  </si>
  <si>
    <t>07.04.900</t>
  </si>
  <si>
    <t>07.04.100.2</t>
  </si>
  <si>
    <t>07.04.200.1</t>
  </si>
  <si>
    <t>07.04.203.1</t>
  </si>
  <si>
    <t>07.04.900.1</t>
  </si>
  <si>
    <t>CCU - 07.001</t>
  </si>
  <si>
    <t>REF: 11148/ORSE NOV 2020</t>
  </si>
  <si>
    <t>CCU - 07.002</t>
  </si>
  <si>
    <t>EXAUSTOR MULTIVAC TURBO 200 - FORNECIMENTO E INSTALAÇÃO</t>
  </si>
  <si>
    <t>07.04.200.2</t>
  </si>
  <si>
    <t>CCU - 07.003</t>
  </si>
  <si>
    <t>TUBO PVC  SERIE NORMAL, DN 150 MM, PARA EXAUSTÃO - FORNECIMENTO E INSTALAÇÃO</t>
  </si>
  <si>
    <t>CCU - 07.004</t>
  </si>
  <si>
    <t>DUTO FLEXÍVEL COM DUPLA CAMADA DE PAREDE DE ALUMÍNIO, POLIÉSTER E ESPIRAL DE ARAME DE AÇO BRONZEADO ALUDEC 60 - 6" - FORNECIMENTO E INSTALAÇÃO</t>
  </si>
  <si>
    <t>REF: 91851 SINAPI JAN 2021</t>
  </si>
  <si>
    <t>07.04.203.2</t>
  </si>
  <si>
    <t>07.04.200.3</t>
  </si>
  <si>
    <t>CCU - 07.005</t>
  </si>
  <si>
    <t>TUBO PVC, SÉRIE R, ÁGUA PLUVIAL, DN 150 MM - FORNECIMENTO E INSTALAÇÃO</t>
  </si>
  <si>
    <t>TUBO PVC, SÉRIE R, ÁGUA PLUVIAL, DN 200 MM - FORNECIMENTO E INSTALAÇÃO</t>
  </si>
  <si>
    <t>TÊ SANITARIO, PVC, DN 100 X 75 MM, SERIE NORMAL PARA ESGOTO PREDIAL  - FORNECIMENTO E INSTALAÇÃO</t>
  </si>
  <si>
    <t>TÊ SANITARIO, PVC, DN 100 X 50 MM, SERIE NORMAL PARA ESGOTO PREDIAL  - FORNECIMENTO E INSTALAÇÃO</t>
  </si>
  <si>
    <t>TÊ SANITARIO, PVC, DN 75 X 50 MM, SERIE NORMAL PARA ESGOTO PREDIAL  - FORNECIMENTO E INSTALAÇÃO</t>
  </si>
  <si>
    <t>TERMINAL DE VENTILACAO, 75 MM, SERIE NORMAL, ESGOTO PREDIAL - FORNECIMENTO E INSTALAÇÃO</t>
  </si>
  <si>
    <t>REF: 89862 SINAPI JAN 2021</t>
  </si>
  <si>
    <t>CCU - 07.006</t>
  </si>
  <si>
    <t>REF: 09845/ORSE NOV 2020</t>
  </si>
  <si>
    <t>CCU - 07.007</t>
  </si>
  <si>
    <t>GRELHA FIXA MULTIVAC 150MM - FORNECIMENTO E INSTALAÇÃO</t>
  </si>
  <si>
    <t>TÊ SANITARIO, PVC, DN 150 MM, SERIE NORMAL PARA EXAUSTÃO - FORNECIMENTO E INSTALAÇÃO</t>
  </si>
  <si>
    <t>GÂS COMBUSTIVEL</t>
  </si>
  <si>
    <t>07.07.100</t>
  </si>
  <si>
    <t>DUTOS, TUBOS E CONEXÕES</t>
  </si>
  <si>
    <t>07.07.300</t>
  </si>
  <si>
    <t>07.07.900</t>
  </si>
  <si>
    <t>SERVIÇOES DIVERSOS</t>
  </si>
  <si>
    <t>07.07.100.1</t>
  </si>
  <si>
    <t>07.07.300.1</t>
  </si>
  <si>
    <t>07.07.300.2</t>
  </si>
  <si>
    <t>07.07.300.3</t>
  </si>
  <si>
    <t>07.07.300.4</t>
  </si>
  <si>
    <t>07.07.900.1</t>
  </si>
  <si>
    <t>07.07.900.2</t>
  </si>
  <si>
    <t>07.07.900.3</t>
  </si>
  <si>
    <t>07.07.900.4</t>
  </si>
  <si>
    <t>07.07.900.5</t>
  </si>
  <si>
    <t>07.07.900.6</t>
  </si>
  <si>
    <t>07.07.100.2</t>
  </si>
  <si>
    <t>07.07.100.3</t>
  </si>
  <si>
    <t>07.07.100.4</t>
  </si>
  <si>
    <t>07.07.100.5</t>
  </si>
  <si>
    <t>07.07.100.6</t>
  </si>
  <si>
    <t>07.07.100.7</t>
  </si>
  <si>
    <t>07.07.100.8</t>
  </si>
  <si>
    <t>07.07.100.9</t>
  </si>
  <si>
    <t>07.07.100.10</t>
  </si>
  <si>
    <t>COT - 07.027</t>
  </si>
  <si>
    <t>CCU - 07.008</t>
  </si>
  <si>
    <t>CCU - 07.009</t>
  </si>
  <si>
    <t>COT - 07.029</t>
  </si>
  <si>
    <t>COT - 07.030</t>
  </si>
  <si>
    <t>CCU - 07.011</t>
  </si>
  <si>
    <t>07.07.100.11</t>
  </si>
  <si>
    <t>07.07.100.12</t>
  </si>
  <si>
    <t>07.07.100.13</t>
  </si>
  <si>
    <t>07.07.100.14</t>
  </si>
  <si>
    <t>07.07.100.15</t>
  </si>
  <si>
    <t>07.07.100.16</t>
  </si>
  <si>
    <t>CCU - 07.012</t>
  </si>
  <si>
    <t>CCU - 07.013</t>
  </si>
  <si>
    <t>CCU - 07.014</t>
  </si>
  <si>
    <t>CCU - 07.015</t>
  </si>
  <si>
    <t>07.07.100.17</t>
  </si>
  <si>
    <t>JOELHO EM AÇO GALV. 3/8"</t>
  </si>
  <si>
    <t>lojaqualitytubos.com.br</t>
  </si>
  <si>
    <t>P-028</t>
  </si>
  <si>
    <t>LOJA QUALITY</t>
  </si>
  <si>
    <t>29.851.289/0001-34</t>
  </si>
  <si>
    <t>(11) 3107-0000</t>
  </si>
  <si>
    <t>plastolandia.com.br</t>
  </si>
  <si>
    <t>PLASTOLANDIA</t>
  </si>
  <si>
    <t>43.235.522/0001-85</t>
  </si>
  <si>
    <t>(11) 2168-8533</t>
  </si>
  <si>
    <t>himater.com.br</t>
  </si>
  <si>
    <t>HIMATER</t>
  </si>
  <si>
    <t>(21) 2441-2266</t>
  </si>
  <si>
    <t>30.250.781/0001-33</t>
  </si>
  <si>
    <t>JOELHO 90 GRAUS, EM FERRO GALVANIZADO, CONEXÃO ROSQUEADA, DN (3/8"), INSTALADO EM RAMAIS E SUB-RAMAIS DE GÁS - FORNECIMENTO E INSTALAÇÃO</t>
  </si>
  <si>
    <t>REF: 92699 SINAPI - JAN 2021</t>
  </si>
  <si>
    <t>getelequipamentos.com.br</t>
  </si>
  <si>
    <t>P-033</t>
  </si>
  <si>
    <t>GETEL EQUIP.</t>
  </si>
  <si>
    <t>(61) 3387-6171</t>
  </si>
  <si>
    <t>00.713.986/0001-47</t>
  </si>
  <si>
    <t>tecnoarcompressores.com.br</t>
  </si>
  <si>
    <t>52.801.362/0001-85</t>
  </si>
  <si>
    <t>11 2955-7424</t>
  </si>
  <si>
    <t>TECNOAR COMPRESS.</t>
  </si>
  <si>
    <t>trucaoautopecas.com.br</t>
  </si>
  <si>
    <t>TRUCAO AUTO PEÇAS</t>
  </si>
  <si>
    <t>29.701.937/0001-76</t>
  </si>
  <si>
    <t>(44) 3246-2571</t>
  </si>
  <si>
    <t>REF: 92918 SINAPI - JAN 2021</t>
  </si>
  <si>
    <t>CCU - 07.020</t>
  </si>
  <si>
    <t>COT - 07.031</t>
  </si>
  <si>
    <t>P-040</t>
  </si>
  <si>
    <t>BUCHA DE REDUÇÃO EM AÇO 3/4" X 1/4"</t>
  </si>
  <si>
    <t>BUCHA DE REDUÇÃO EM AÇO 3/4" X 1/4" - FORNECIMENTO E INSTALAÇÃO</t>
  </si>
  <si>
    <t>CCU - 07.021</t>
  </si>
  <si>
    <t>REF: 92905 SINAPI - JAN 2021</t>
  </si>
  <si>
    <t>CAP DE FERRO GALVANIZADO, COM ROSCA BSP, DE 3/4" - FORNECIMENTO E INSTALAÇÃO</t>
  </si>
  <si>
    <t>COT - 07.032</t>
  </si>
  <si>
    <t>CCU - 07.022</t>
  </si>
  <si>
    <t>PORCA FLANGE 5/8" DE LATÃO</t>
  </si>
  <si>
    <t>P-046</t>
  </si>
  <si>
    <t>refrigeracaocatavento.com.br</t>
  </si>
  <si>
    <t>REFRIGERAÇÃO CATAVENTO</t>
  </si>
  <si>
    <t>10.834.465/0001-00</t>
  </si>
  <si>
    <t>(21) 3893-9812</t>
  </si>
  <si>
    <t>eletrofrigor.com.br</t>
  </si>
  <si>
    <t>ELETROFRIGOR</t>
  </si>
  <si>
    <t>(21) 3803-1400</t>
  </si>
  <si>
    <t>07.885.198/0001-87</t>
  </si>
  <si>
    <t>refricompany.com.br</t>
  </si>
  <si>
    <t>REFRICOMPANY</t>
  </si>
  <si>
    <t>21.083. 029/0001-54</t>
  </si>
  <si>
    <t>(48)3344-8888</t>
  </si>
  <si>
    <t>COT - 07.033</t>
  </si>
  <si>
    <t>UNIÃO DE LATÃO 3/4" X 5/8" SAE</t>
  </si>
  <si>
    <t>embrar.com.br</t>
  </si>
  <si>
    <t>EMBRAR</t>
  </si>
  <si>
    <t>(54) 3212.4466</t>
  </si>
  <si>
    <t>03.343.938/0001-00</t>
  </si>
  <si>
    <t>CCU - 07.023</t>
  </si>
  <si>
    <t>COT - 07.034</t>
  </si>
  <si>
    <t>P-053</t>
  </si>
  <si>
    <t>americanas.com.br</t>
  </si>
  <si>
    <t>CCU - 07.024</t>
  </si>
  <si>
    <t>NIPLE DE LATÃO COM BORBOLETA 5/8" X 1/8"</t>
  </si>
  <si>
    <t>consigaspecas.com.br</t>
  </si>
  <si>
    <t>CONSIGAS</t>
  </si>
  <si>
    <t>01.067.986/0001-80</t>
  </si>
  <si>
    <t>(41) 3345-7442</t>
  </si>
  <si>
    <t>casamimosa.com.br</t>
  </si>
  <si>
    <t>CASA MIMOSA</t>
  </si>
  <si>
    <t>62.978.978/0001-80</t>
  </si>
  <si>
    <t>(11) 2782-5500</t>
  </si>
  <si>
    <t>obramax.com.br</t>
  </si>
  <si>
    <t>OBRA MAX</t>
  </si>
  <si>
    <t>(11) 3003-3400</t>
  </si>
  <si>
    <t>23.476.033/0001-08</t>
  </si>
  <si>
    <t>COT - 07.035</t>
  </si>
  <si>
    <t>MANÔMETRO NPT 1/4", 0-300 PSI</t>
  </si>
  <si>
    <t>P-056</t>
  </si>
  <si>
    <t>shoptime.com.br</t>
  </si>
  <si>
    <t>SHOP TIME</t>
  </si>
  <si>
    <t>4003-9898</t>
  </si>
  <si>
    <t>CCU - 07.025</t>
  </si>
  <si>
    <t>REF: 101917 SINAPI JAN 2021</t>
  </si>
  <si>
    <t>MANÔMETRO NPT 1/4", 0-300 PSI - FORNECIMENTO E INSTALAÇÃO</t>
  </si>
  <si>
    <t>COT - 07.036</t>
  </si>
  <si>
    <t>COT - 07.037</t>
  </si>
  <si>
    <t>REGULADOR DE GÃS SEGUNDO ESTÁGIO 12KG</t>
  </si>
  <si>
    <t>P-057</t>
  </si>
  <si>
    <t>coopersolaquecedores.com.br</t>
  </si>
  <si>
    <t>COOPER SOLA</t>
  </si>
  <si>
    <t>(11) 4807-1357</t>
  </si>
  <si>
    <t>10.745.337/0001-81</t>
  </si>
  <si>
    <t>recorre.com.br</t>
  </si>
  <si>
    <t>RECORRE</t>
  </si>
  <si>
    <t>43 3323-1180</t>
  </si>
  <si>
    <t>78.631.884/0001-70</t>
  </si>
  <si>
    <t>P-058</t>
  </si>
  <si>
    <t>CCU - 07.026</t>
  </si>
  <si>
    <t>REF: 10881/ORSE NOV 2020</t>
  </si>
  <si>
    <t>CCU - 07.027</t>
  </si>
  <si>
    <t>REF: 09092/ORSE NOV 2020</t>
  </si>
  <si>
    <t>MULTIVAC</t>
  </si>
  <si>
    <t>NOVA EXAUSTORES</t>
  </si>
  <si>
    <t>https://loja.multivac.com.br/</t>
  </si>
  <si>
    <t>vendas1@novaexaustores.com.br</t>
  </si>
  <si>
    <t>03.287.370/0003-01</t>
  </si>
  <si>
    <t>08.022.764/0001-90</t>
  </si>
  <si>
    <t>(19) 4042-6414</t>
  </si>
  <si>
    <t>(11) 2943-4499</t>
  </si>
  <si>
    <t>P -001</t>
  </si>
  <si>
    <t>P-005</t>
  </si>
  <si>
    <t>IGOR MARINE</t>
  </si>
  <si>
    <t>admigormarine@gmail.com</t>
  </si>
  <si>
    <t>10.606.722/0001-48</t>
  </si>
  <si>
    <t>(24) 3361-3625</t>
  </si>
  <si>
    <t>P-009</t>
  </si>
  <si>
    <t>MADEIRA MADEIRA</t>
  </si>
  <si>
    <t>www.madeiramadeira.com.br</t>
  </si>
  <si>
    <t>10.490.181/0001-35</t>
  </si>
  <si>
    <t>41 99877-0911</t>
  </si>
  <si>
    <t>P-007</t>
  </si>
  <si>
    <t>CIA VENTO</t>
  </si>
  <si>
    <t>P-060</t>
  </si>
  <si>
    <t>marcia@ciavento.com.br</t>
  </si>
  <si>
    <t>(11) 2021-6118</t>
  </si>
  <si>
    <t>04.547.627/0001-18</t>
  </si>
  <si>
    <t>madeiramadeira.com.br</t>
  </si>
  <si>
    <t>P-061</t>
  </si>
  <si>
    <t>P-062</t>
  </si>
  <si>
    <t>REGULADOR INDUSTRIAL DE GÃS 1º ESTÁGIO COM MANÔMETRO - APS1000R OU EQUIVALENTE</t>
  </si>
  <si>
    <t>REGULADOR INDUSTRIAL DE GÃS 1º ESTÁGIO COM MANÔMETRO - APS1000R OU EQUIVALENTE - FORNECIMENTO E INSTALAÇÃO</t>
  </si>
  <si>
    <t>REGULADOR DE GÃS SEGUNDO ESTÁGIO 12KG - FORNECIMENTO E INSTALAÇÃO</t>
  </si>
  <si>
    <t>FILTRO GLP 1" NPT 300 - FORNECIMENTO E INSTALAÇÃO</t>
  </si>
  <si>
    <t>CCU - 07.028</t>
  </si>
  <si>
    <t>MANGUEIRA METÁLICA P/ GLP 3/4" - 1M - FORNECIMENTO E INSTALAÇÃO</t>
  </si>
  <si>
    <t>CCU - 07.029</t>
  </si>
  <si>
    <t>CCU - 07.030</t>
  </si>
  <si>
    <t>CCU - 07.031</t>
  </si>
  <si>
    <t>HORTUS</t>
  </si>
  <si>
    <t>P-010</t>
  </si>
  <si>
    <t>hortuscultivourbano.com.br</t>
  </si>
  <si>
    <t>71 9620-6288</t>
  </si>
  <si>
    <t>31.356.414/0001-81</t>
  </si>
  <si>
    <t>CCU - 07.032</t>
  </si>
  <si>
    <t>NET ALARMES</t>
  </si>
  <si>
    <t>www.americanas.com.br</t>
  </si>
  <si>
    <t>www.casasbahia.com.br</t>
  </si>
  <si>
    <t>20.544.487/0001-80</t>
  </si>
  <si>
    <t>P-050</t>
  </si>
  <si>
    <t>P-043</t>
  </si>
  <si>
    <t xml:space="preserve">MAGAZINE LUIZA </t>
  </si>
  <si>
    <t>www.magazineluiza.com.br</t>
  </si>
  <si>
    <t>47.960.950/1088-36</t>
  </si>
  <si>
    <t>P-055</t>
  </si>
  <si>
    <t>P-048</t>
  </si>
  <si>
    <t>REF: 10-13-78 PMSP JAN 2020</t>
  </si>
  <si>
    <t>REF: 10883/ORSE NOV 2020</t>
  </si>
  <si>
    <t>CCU - 07.033</t>
  </si>
  <si>
    <t>07.07.900.7</t>
  </si>
  <si>
    <t>NIPLE DE LATÃO 3/4" X 3/8"</t>
  </si>
  <si>
    <t>casasimoes.com.br</t>
  </si>
  <si>
    <t>CASA SIMÕES</t>
  </si>
  <si>
    <t>58.242.645.0001-10</t>
  </si>
  <si>
    <t>(11) 2065-9145</t>
  </si>
  <si>
    <t>conexopecas.com.br</t>
  </si>
  <si>
    <t>CONEXÕES PEÇAS</t>
  </si>
  <si>
    <t>(47) 3633 6724</t>
  </si>
  <si>
    <t>29.212.287/0001-03</t>
  </si>
  <si>
    <t>ccpvirtual.com.br</t>
  </si>
  <si>
    <t>CCP VIRTUAL</t>
  </si>
  <si>
    <t>30.000.593./0001- 57</t>
  </si>
  <si>
    <t>(11) 2026-6736</t>
  </si>
  <si>
    <t>HIDROJÁ</t>
  </si>
  <si>
    <t xml:space="preserve">comercial@hidroja.com </t>
  </si>
  <si>
    <t>www.magazineluiza.com.br/</t>
  </si>
  <si>
    <t>contato@madeiramadeira.com.br</t>
  </si>
  <si>
    <t>22.740.220/0001-94</t>
  </si>
  <si>
    <t>(11) 2618-5666</t>
  </si>
  <si>
    <t>FITA DE ADIVERTÊNCIA PARA TUBULAÇÃO ENTERRADA 100MM</t>
  </si>
  <si>
    <t>CCU - 07.034</t>
  </si>
  <si>
    <t>ELETRO FRIGOR</t>
  </si>
  <si>
    <t>P-067</t>
  </si>
  <si>
    <t>balcaorural.com.br</t>
  </si>
  <si>
    <t>BALCÃO RURAL</t>
  </si>
  <si>
    <t>01.815.092/0006-35</t>
  </si>
  <si>
    <t>(11) 3197-8121</t>
  </si>
  <si>
    <t>elastobor.com.br</t>
  </si>
  <si>
    <t>ELASTOBOR</t>
  </si>
  <si>
    <t>(11) 5525 9744</t>
  </si>
  <si>
    <t>538405420002/10</t>
  </si>
  <si>
    <t>FITA ADESIVA P/ TUBOS ENTERRADOS ARMAFLEX OU EQUIV. - 3MM</t>
  </si>
  <si>
    <t>CCU - 07.035</t>
  </si>
  <si>
    <t>FITA DE ADIVERTÊNCIA PARA TUBULAÇÃO ENTERRADA 100MM - FORNECIMENTO E INSTALAÇÃO</t>
  </si>
  <si>
    <t>FITA ADESIVA P/ TUBOS ENTERRADOS ARMAFLEX OU EQUIV. - 3MM - FORNECIMENTO E INSTALAÇÃO</t>
  </si>
  <si>
    <t>REF: 12639/ORSE NOV 2020</t>
  </si>
  <si>
    <t>REF: 11622/ORSE NOV 2020</t>
  </si>
  <si>
    <t>08.01.100</t>
  </si>
  <si>
    <t>08.01.500</t>
  </si>
  <si>
    <t>EQUIPAMENTOS E ACESSÓRIOS</t>
  </si>
  <si>
    <t>08.01.900</t>
  </si>
  <si>
    <t>08.01.100.1</t>
  </si>
  <si>
    <t>08.01.100.2</t>
  </si>
  <si>
    <t>08.01.100.3</t>
  </si>
  <si>
    <t>08.01.100.4</t>
  </si>
  <si>
    <t>08.01.100.5</t>
  </si>
  <si>
    <t>08.01.500.1</t>
  </si>
  <si>
    <t>08.01.900.1</t>
  </si>
  <si>
    <t>CCU - 08.001</t>
  </si>
  <si>
    <t>REF: 92364 SINAPI JAN 2021</t>
  </si>
  <si>
    <t>TUBO DE AÇO GALVANIZADO COM COSTURA, CLASSE MÉDIA, DN 25 (1"), CONEXÃO ROSQUEADA, INSTALADO EM REDE DE ALIMENTAÇÃO PARA HIDRANTE - FORNECIMENTO E INSTALAÇÃO</t>
  </si>
  <si>
    <t>08.01.100.6</t>
  </si>
  <si>
    <t>08.01.100.7</t>
  </si>
  <si>
    <t>08.01.100.8</t>
  </si>
  <si>
    <t>08.01.500.2</t>
  </si>
  <si>
    <t>08.01.500.3</t>
  </si>
  <si>
    <t>08.01.700</t>
  </si>
  <si>
    <t>08.01.700.1</t>
  </si>
  <si>
    <t>PLACAS</t>
  </si>
  <si>
    <t>08.01.500.4</t>
  </si>
  <si>
    <t>CCU - 08.002</t>
  </si>
  <si>
    <t>REF: 92379 SINAPI JAN 2021</t>
  </si>
  <si>
    <t>08.01.100.9</t>
  </si>
  <si>
    <t>08.01.100.10</t>
  </si>
  <si>
    <t>08.01.100.11</t>
  </si>
  <si>
    <t>08.01.100.12</t>
  </si>
  <si>
    <t>08.01.100.13</t>
  </si>
  <si>
    <t>08.01.100.14</t>
  </si>
  <si>
    <t>CCU - 08.003</t>
  </si>
  <si>
    <t>COT - 08.009</t>
  </si>
  <si>
    <t>CCU - 08.004</t>
  </si>
  <si>
    <t>NIPLE DUPLO, EM FERRO GALVANIZADO, DN 2. 1/2" P/ , CONEXÃO ROSQUEADA, INSTALADO EM REDE DE ALIMENTAÇÃO PARA HIDRANTE - FORNECIMENTO E INSTALAÇÃO</t>
  </si>
  <si>
    <t>COT - 08.010</t>
  </si>
  <si>
    <t>CCU - 08.005</t>
  </si>
  <si>
    <t>CCU - 08.006</t>
  </si>
  <si>
    <t>REF: 96765 SINAPI JAN 2021</t>
  </si>
  <si>
    <t>08.01.500.5</t>
  </si>
  <si>
    <t>CCU - 08.007</t>
  </si>
  <si>
    <t>ABRIGO PARA HIDRANTE, 90X60X17CM, COM REGISTRO GLOBO ANGULAR 45 GRAUS 2 1/2", ADAPTADOR STORZ 2 1/2", MANGUEIRA DE INCÊNDIO 20M, REDUÇÃO 2 1/2" X 1 1/2" E ESGUICHO EM LATÃO 1 1/2" COM DUAS MANGUEIRAS DE 15M - FORNECIMENTO E INSTALAÇÃO</t>
  </si>
  <si>
    <t>PRESSOSTATO DE AR E ÁGUA - FORNECIMENTO E INSTALAÇÃO</t>
  </si>
  <si>
    <t>REF: 09670/ORSE NOV 2020</t>
  </si>
  <si>
    <t>eletrorastro.com.br</t>
  </si>
  <si>
    <t>08.01.900.2</t>
  </si>
  <si>
    <t>08.01.900.3</t>
  </si>
  <si>
    <t>08.01.600</t>
  </si>
  <si>
    <t>08.01.600.1</t>
  </si>
  <si>
    <t>COT - 08.011</t>
  </si>
  <si>
    <t>P-072</t>
  </si>
  <si>
    <t>copafer.com.br</t>
  </si>
  <si>
    <t>TAMPAO STORZ 2.1/2" LATÃO P/ HIDRANTE - FORNECIMENTO E INSTALAÇÃO</t>
  </si>
  <si>
    <t>55.728.224/0003-78</t>
  </si>
  <si>
    <t>08.01.800</t>
  </si>
  <si>
    <t>CCU - 08.009</t>
  </si>
  <si>
    <t>CURVA 90 GRAUS DE FERRO GALVANIZADO, COM ROSCA BSP MACHO/FEMEA, DE 2 1/2" - FORNECIMENTO E INSTALAÇÃO</t>
  </si>
  <si>
    <t>CCU - 08.010</t>
  </si>
  <si>
    <t>CCU - 08.011</t>
  </si>
  <si>
    <t>REF: 02555/ORSE NOV 2020</t>
  </si>
  <si>
    <t>PLACA DE SINALIZACAO DE SEGURANCA CONTRA INCENDIO, FOTOLUMINESCENTE, QUADRADA, *20 X 20* CM, EM PVC *2* MM ANTI-CHAMAS (SIMBOLOS, CORES E PICTOGRAMAS CONFORME NBR 13434), COD. 13 - FORNECIMENTO E INSTALAÇÃO</t>
  </si>
  <si>
    <t>CCU - 08.012</t>
  </si>
  <si>
    <t>PLACA DE SINALIZACAO DE SEGURANCA CONTRA INCENDIO, FOTOLUMINESCENTE, QUADRADA, *20 X 20* CM, EM PVC *2* MM ANTI-CHAMAS (SIMBOLOS, CORES E PICTOGRAMAS CONFORME NBR 13434), COD. 14 - FORNECIMENTO E INSTALAÇÃO</t>
  </si>
  <si>
    <t>CCU - 08.013</t>
  </si>
  <si>
    <t>PLACA DE SINALIZACAO DE SEGURANCA CONTRA INCENDIO, FOTOLUMINESCENTE, QUADRADA, *20 X 20* CM, EM PVC *2* MM ANTI-CHAMAS (SIMBOLOS, CORES E PICTOGRAMAS CONFORME NBR 13434), COD. 17 - FORNECIMENTO E INSTALAÇÃO</t>
  </si>
  <si>
    <t>PLACA DE SINALIZACAO DE SEGURANCA CONTRA INCENDIO, FOTOLUMINESCENTE, QUADRADA, *20 X 20* CM, EM PVC *2* MM ANTI-CHAMAS (SIMBOLOS, CORES E PICTOGRAMAS CONFORME NBR 13434), COD. 20 - FORNECIMENTO E INSTALAÇÃO</t>
  </si>
  <si>
    <t>PLACA DE SINALIZACAO DE SEGURANCA CONTRA INCENDIO, FOTOLUMINESCENTE, QUADRADA, *20 X 20* CM, EM PVC *2* MM ANTI-CHAMAS (SIMBOLOS, CORES E PICTOGRAMAS CONFORME NBR 13434), COD. 21 - FORNECIMENTO E INSTALAÇÃO</t>
  </si>
  <si>
    <t>PLACA DE SINALIZACAO DE SEGURANCA CONTRA INCENDIO, FOTOLUMINESCENTE, QUADRADA, *20 X 20* CM, EM PVC *2* MM ANTI-CHAMAS (SIMBOLOS, CORES E PICTOGRAMAS CONFORME NBR 13434), COD. 23 - FORNECIMENTO E INSTALAÇÃO</t>
  </si>
  <si>
    <t>CCU - 08.014</t>
  </si>
  <si>
    <t>CCU - 08.015</t>
  </si>
  <si>
    <t>CCU - 08.016</t>
  </si>
  <si>
    <t>CCU - 08.017</t>
  </si>
  <si>
    <t>PLACA DE SINALIZACAO DE SEGURANCA CONTRA INCENDIO, FOTOLUMINESCENTE, QUADRADA, *20 X 20* CM, EM PVC *2* MM ANTI-CHAMAS (SIMBOLOS, CORES E PICTOGRAMAS CONFORME NBR 13434), COD. 25 - FORNECIMENTO E INSTALAÇÃO</t>
  </si>
  <si>
    <t>08.01.900.5</t>
  </si>
  <si>
    <t>CCU - 08.018</t>
  </si>
  <si>
    <t>REF: 12136/ORSE NOV 2020</t>
  </si>
  <si>
    <t>CENTRAL DE ALARME DE INCÊNDIO ENDERAÇÁVEL CIE 1125 INTELBRAS OU SIMILAR - FORNECIMENTO E INSTALAÇÃO</t>
  </si>
  <si>
    <t>CCU - 08.019</t>
  </si>
  <si>
    <t>ACIONADOR MANUAL ENDEREÇÁVEL AME 520 INTELBRAS OU SIMILAR - FORNECIMENTO E INSTALAÇÃO</t>
  </si>
  <si>
    <t>REF: 07861/ORSE NOV 2020</t>
  </si>
  <si>
    <t>CCU - 08.020</t>
  </si>
  <si>
    <t>SINALIZADOR AUDIOVISUAL ENDEREÇÁVEL SAV 520E INTELBRAS OU SIMILAR - FORNECIMENTO E INSTALAÇÃO</t>
  </si>
  <si>
    <t>REF: 07942/ORSE NOV 2020</t>
  </si>
  <si>
    <t>COT - 08.012</t>
  </si>
  <si>
    <t>CCU - 08.021</t>
  </si>
  <si>
    <t>CABO 2X1,5MM2 TRANÇADO - FORNECIMENTO E INSTALAÇÃO</t>
  </si>
  <si>
    <t>REF: 08466/ORSE NOV 2020</t>
  </si>
  <si>
    <t>CCU - 08.022</t>
  </si>
  <si>
    <t>REF: 102121 SINAPI JAN 2021</t>
  </si>
  <si>
    <t>CCU - 08.023</t>
  </si>
  <si>
    <t>CCU - 08.024</t>
  </si>
  <si>
    <t>CAIXA ENTERRADA RETANGULAR EM ALVENARIA COM TIJOLOS CERÂMICOS FURADOS DE 14X9X19CM NA HORIZÔNTAL, LAJE DE FUNDO DE CONCRETO COM 10CM, DIMENSÕES INTERNAS: 90X50X50 CM PARA REDE DE HIDRANTE</t>
  </si>
  <si>
    <t>COT - 08.013</t>
  </si>
  <si>
    <t>CCU - 08.025</t>
  </si>
  <si>
    <t>CCU - 08.026</t>
  </si>
  <si>
    <t>CCU - 08.027</t>
  </si>
  <si>
    <t>(17) 2139-5000</t>
  </si>
  <si>
    <t>TAMPÃO 50X50CM DE FERRO FUNDIDO - FORNECIMENTO E INSTALAÇÃO</t>
  </si>
  <si>
    <t>POSTO DE VIGIA - contempla o período após a jornada de trabalho diária</t>
  </si>
  <si>
    <r>
      <t xml:space="preserve">• A mão de obra do vigia noturno é considerada 7 horas com adicional noturno concordante com sua descrição na tabela oficial “VIGIA NOTURNO, HORA EFETIVAMENTE TRABALHADA DE 22 H AS 5 H (COM ADICIONAL NOTURNO)”. Portanto, seguindo todas as premissas anteriormente referida, o coeficiente da composição resulta num total de </t>
    </r>
    <r>
      <rPr>
        <b/>
        <sz val="10"/>
        <color rgb="FF000000"/>
        <rFont val="Arial"/>
        <family val="2"/>
      </rPr>
      <t>210 h</t>
    </r>
    <r>
      <rPr>
        <sz val="10"/>
        <color rgb="FF000000"/>
        <rFont val="Arial"/>
        <family val="2"/>
      </rPr>
      <t xml:space="preserve"> mensais (7h x 30 dias no mês).
• Nos dias de expediente (22 dias) foi considerado para o vigia diurno 3H das 5H às 8H da manhã + 5H das 17H ÀS 22H. Eq1= 3+5= 8h *22 dias = 176 horas
• Nos sábados referentes ao mês o vigia diurno nos finais de semana, foi considerado 3H das 5H às 8H DA MANHÃ (Jornada 8h a 12h) + 10 H das 13h às 22h. Eq2 = 3+10 = 13H → Eq = 13h *4 dias = 52 H
• Nos domingos referentes ao mês o vigia diurno nos finais de semana foi considerado das 17H DAS 5H ÀS 22H. Eq3 = 17h*4dias = 68H
• Resultando no ajuste do coeficiente da composição do posto de vigia: Eq1 + eq2 + Eq3 = 176 + 52 + 68 = </t>
    </r>
    <r>
      <rPr>
        <b/>
        <sz val="10"/>
        <color rgb="FF000000"/>
        <rFont val="Arial"/>
        <family val="2"/>
      </rPr>
      <t xml:space="preserve">296 horas </t>
    </r>
    <r>
      <rPr>
        <sz val="10"/>
        <color rgb="FF000000"/>
        <rFont val="Arial"/>
        <family val="2"/>
      </rPr>
      <t xml:space="preserve">mensais.
</t>
    </r>
  </si>
  <si>
    <t>VIGIA DIURNO COM ENCARGOS COMPLEMENTARES DE MENSALISTA</t>
  </si>
  <si>
    <t>VIGIA NOTURNO COM ENCARGOS COMPLEMENTARES DE MENSALISTA</t>
  </si>
  <si>
    <t>REF: FOI TRANSFORMADO OS ENCARGOS TRABALHISTAS DE HORISTA P/ MENSALISTA DE ACORDO COM O SINAPI.</t>
  </si>
  <si>
    <t>CCA - 10.003</t>
  </si>
  <si>
    <t>horista=113,69% / mensalista=73,06%</t>
  </si>
  <si>
    <t>CUSTO UNIT(R$)</t>
  </si>
  <si>
    <t>CUSTO TOTAL (R$)</t>
  </si>
  <si>
    <t>EXEMPLO</t>
  </si>
  <si>
    <t>Taxa Representativa da Incidência de Impostos é aplicada sobre o preço de venda da prestação do serviço, enquanto que as demais taxas são aplicadas sobre o custo</t>
  </si>
  <si>
    <t>ITEM 10</t>
  </si>
  <si>
    <t>amoedo.com.br</t>
  </si>
  <si>
    <t>AMOEDO</t>
  </si>
  <si>
    <t>P-080</t>
  </si>
  <si>
    <t>05.879.152/0009-87</t>
  </si>
  <si>
    <t>(21) 2490-9110</t>
  </si>
  <si>
    <t>CONEXÃO PEÇAS</t>
  </si>
  <si>
    <t>www.pontofrio.com.br</t>
  </si>
  <si>
    <t>(11) 4003-3383</t>
  </si>
  <si>
    <t>(11) 97462-7106</t>
  </si>
  <si>
    <t xml:space="preserve">SHOP TIME </t>
  </si>
  <si>
    <t>www.shoptime.com.br</t>
  </si>
  <si>
    <t>00.776.574//0006-60</t>
  </si>
  <si>
    <t>ELETROTRAFO</t>
  </si>
  <si>
    <t>LOJA ZAAZ</t>
  </si>
  <si>
    <t>www.eletrotrafo.com.br</t>
  </si>
  <si>
    <t>www.lojazaaz.com.br</t>
  </si>
  <si>
    <t>80.224.785/0001-15</t>
  </si>
  <si>
    <t>34.592.391/0001-00</t>
  </si>
  <si>
    <t>(43) 3520-5000</t>
  </si>
  <si>
    <t>SANTIL</t>
  </si>
  <si>
    <t>www.extra.com.br</t>
  </si>
  <si>
    <t>www.santil.com.br</t>
  </si>
  <si>
    <t>49.474.398/0008-63</t>
  </si>
  <si>
    <t>(11) 3998-3000</t>
  </si>
  <si>
    <t>10.661.497/0001-42</t>
  </si>
  <si>
    <t>BREITHAUPT</t>
  </si>
  <si>
    <t>www.breithaupt.com.br</t>
  </si>
  <si>
    <t>84.429.810/0001-58</t>
  </si>
  <si>
    <t>0800 644 9909</t>
  </si>
  <si>
    <t>anhangueraferramentas.com.br</t>
  </si>
  <si>
    <t>ANHANGUERA</t>
  </si>
  <si>
    <t>00.565.813/0001-29</t>
  </si>
  <si>
    <t>(19) 3116-4000</t>
  </si>
  <si>
    <t>P-083</t>
  </si>
  <si>
    <t>elitegas.com.br</t>
  </si>
  <si>
    <t>ELITE GÁS</t>
  </si>
  <si>
    <t>(11) 4425-1827</t>
  </si>
  <si>
    <t>10.838.714/0001-27</t>
  </si>
  <si>
    <t>CONSIGÁS</t>
  </si>
  <si>
    <t>LOJAS AMERICANAS</t>
  </si>
  <si>
    <t>lojaverdesmares.com.br</t>
  </si>
  <si>
    <t>LOJA VERDES MARES</t>
  </si>
  <si>
    <t>(74) 3651-1100</t>
  </si>
  <si>
    <t>P-089</t>
  </si>
  <si>
    <t>magazineluiza.com.br</t>
  </si>
  <si>
    <t>balaroti.com.br</t>
  </si>
  <si>
    <t>BALAROTI</t>
  </si>
  <si>
    <t>77.044.618/0001-88</t>
  </si>
  <si>
    <t xml:space="preserve">REGISTRO DE CORTE RÁPIDO 5/8" </t>
  </si>
  <si>
    <t>WM PLOTAGEM</t>
  </si>
  <si>
    <t>EBBER</t>
  </si>
  <si>
    <t>ebberplotagem@gmail.com</t>
  </si>
  <si>
    <t>05.235.252/0001-13</t>
  </si>
  <si>
    <t>24.883.608/001-70</t>
  </si>
  <si>
    <t>(61)3201-3660</t>
  </si>
  <si>
    <t>(61)3362-8243</t>
  </si>
  <si>
    <t>(61) 3226-1645</t>
  </si>
  <si>
    <t>CCU - 03.011</t>
  </si>
  <si>
    <t>CCU - 03.012</t>
  </si>
  <si>
    <t>PILARES</t>
  </si>
  <si>
    <t>03.02.120</t>
  </si>
  <si>
    <t>VIGAS</t>
  </si>
  <si>
    <t>03.02.121</t>
  </si>
  <si>
    <t>03.02.121.1</t>
  </si>
  <si>
    <t>03.02.122</t>
  </si>
  <si>
    <t>03.02.122.1</t>
  </si>
  <si>
    <t>03.02.122.2</t>
  </si>
  <si>
    <t>03.02.122.3</t>
  </si>
  <si>
    <t>03.02.122.4</t>
  </si>
  <si>
    <t>03.02.123</t>
  </si>
  <si>
    <t>03.02.123.1</t>
  </si>
  <si>
    <t>03.02.130</t>
  </si>
  <si>
    <t>LAJES</t>
  </si>
  <si>
    <t>03.02.131</t>
  </si>
  <si>
    <t>03.02.131.1</t>
  </si>
  <si>
    <t>03.02.132</t>
  </si>
  <si>
    <t>03.02.132.1</t>
  </si>
  <si>
    <t>03.02.133</t>
  </si>
  <si>
    <t>03.02.133.1</t>
  </si>
  <si>
    <t>REAL PERFIL</t>
  </si>
  <si>
    <t>PERFIL LÍDER</t>
  </si>
  <si>
    <t>noelia@realperfil.com.br</t>
  </si>
  <si>
    <t>abigail@perfillider.com.br</t>
  </si>
  <si>
    <t>69.179.448/0001-10</t>
  </si>
  <si>
    <t>18.787.482/0001-37</t>
  </si>
  <si>
    <t>(11) 2134-0002</t>
  </si>
  <si>
    <t>(11) 2412-7787</t>
  </si>
  <si>
    <t>P-088</t>
  </si>
  <si>
    <t>P-095</t>
  </si>
  <si>
    <t>INCOMPLETA</t>
  </si>
  <si>
    <t>P-103</t>
  </si>
  <si>
    <t>P-104</t>
  </si>
  <si>
    <t>P-106</t>
  </si>
  <si>
    <t>BRASÍLIA DISK CAÇAMBA</t>
  </si>
  <si>
    <t>AMELIA</t>
  </si>
  <si>
    <t>21.970.564/0001-27</t>
  </si>
  <si>
    <t>3361-8000</t>
  </si>
  <si>
    <t>MARTINS LOCAÇÕES</t>
  </si>
  <si>
    <t>RANIERE</t>
  </si>
  <si>
    <t>99644-4410</t>
  </si>
  <si>
    <t>DELTA LOCAÇÕES</t>
  </si>
  <si>
    <t>RICARDO</t>
  </si>
  <si>
    <t>CONTAINER PARA ENTULHO INCLUINDO TAXA DE DEPOSIÇÃO FINAL</t>
  </si>
  <si>
    <t>COT - 09.003</t>
  </si>
  <si>
    <t>09.01.100.3</t>
  </si>
  <si>
    <t>ENSAIO DE PROVA DE CARGA ESTÁTICA DE FUNDAÇÃO</t>
  </si>
  <si>
    <t>FUNDEX</t>
  </si>
  <si>
    <t>JUNIELLY</t>
  </si>
  <si>
    <t>09.070.704/0001-05</t>
  </si>
  <si>
    <t>3363-8606</t>
  </si>
  <si>
    <t>SETE ENGENHARIA</t>
  </si>
  <si>
    <t>LUCIANO</t>
  </si>
  <si>
    <t>37.264.066/0001-07</t>
  </si>
  <si>
    <t>62 99242-0600</t>
  </si>
  <si>
    <t>D&amp;M</t>
  </si>
  <si>
    <t>LEONARDO</t>
  </si>
  <si>
    <t>P-107</t>
  </si>
  <si>
    <t>P-108</t>
  </si>
  <si>
    <t>P-109</t>
  </si>
  <si>
    <t>15.245.072/0001-76</t>
  </si>
  <si>
    <t>COT - 04.001</t>
  </si>
  <si>
    <t>TRAVA LATERAL PARA PORTA DE ENROLAR COM DUAS PEÇAS</t>
  </si>
  <si>
    <t>CJ</t>
  </si>
  <si>
    <t>ALADIM METAIS</t>
  </si>
  <si>
    <t>A MEGA LOJA</t>
  </si>
  <si>
    <t>ecomm@aladimmetais.com.br</t>
  </si>
  <si>
    <t>sac@amegaloja.com.br</t>
  </si>
  <si>
    <t>51.225.522/0001-22</t>
  </si>
  <si>
    <t>65.640.591/0001-07</t>
  </si>
  <si>
    <t>(11) 5613-5777</t>
  </si>
  <si>
    <t>(11) 2394 2222</t>
  </si>
  <si>
    <t>P-068</t>
  </si>
  <si>
    <t>COT - 04.002</t>
  </si>
  <si>
    <t>ABC MAIOR</t>
  </si>
  <si>
    <t>contato@abcmaior.com.br</t>
  </si>
  <si>
    <t>13.769.008/0001-69</t>
  </si>
  <si>
    <t>(11) 95143-6035</t>
  </si>
  <si>
    <t>P-069</t>
  </si>
  <si>
    <t>COT - 04.003</t>
  </si>
  <si>
    <t>CUMEEIRA TRAPEZOIDAL EM CHAPA DE AÇO GALVANIZADO</t>
  </si>
  <si>
    <t>OBRAMAX</t>
  </si>
  <si>
    <t>USIMINAS</t>
  </si>
  <si>
    <t>www.obramax.com.br</t>
  </si>
  <si>
    <t>maissolucoes.usiminas.com</t>
  </si>
  <si>
    <t>60.894.730/0001-05</t>
  </si>
  <si>
    <t>(31) 98456-9039</t>
  </si>
  <si>
    <t>COT - 04.004</t>
  </si>
  <si>
    <t>P-073</t>
  </si>
  <si>
    <t>COT - 04.005</t>
  </si>
  <si>
    <t>LAVATÓRIO COM COLUNA LINHA VOGUE PLUS, COR BRANCO GELO - CÓD. L51+CS1</t>
  </si>
  <si>
    <t>PADOVANI</t>
  </si>
  <si>
    <t>OBRA FÁCIL</t>
  </si>
  <si>
    <t>www.padovani.com.br</t>
  </si>
  <si>
    <t>vendastatuape@lojaobrafacil.com.br</t>
  </si>
  <si>
    <t>vendas@copafer.com.br</t>
  </si>
  <si>
    <t>50.223.692/0004-58</t>
  </si>
  <si>
    <t>07.679.878/0001-44</t>
  </si>
  <si>
    <t>(11)4013-7000</t>
  </si>
  <si>
    <t>(11) 2268-0126</t>
  </si>
  <si>
    <t>(11)4996-6000</t>
  </si>
  <si>
    <t>P-085</t>
  </si>
  <si>
    <t>COT - 04.006</t>
  </si>
  <si>
    <t>BARRA DE APOIO EM AÇO INÓX COM 40CM</t>
  </si>
  <si>
    <t>01.438.784/0048-60</t>
  </si>
  <si>
    <t>COT - 04.007</t>
  </si>
  <si>
    <t>BEBEDOURO PURIFICADOR DE PRESSÃO IBBL BAG40C OU EQUIVALENTE</t>
  </si>
  <si>
    <t>PONTO FRIO</t>
  </si>
  <si>
    <t>CARREFOUR</t>
  </si>
  <si>
    <t>atendimento@carrefour.com.br</t>
  </si>
  <si>
    <t>45.543.915/0846-95</t>
  </si>
  <si>
    <t xml:space="preserve"> (11) 4003-3383</t>
  </si>
  <si>
    <t>3004-2222</t>
  </si>
  <si>
    <t>P-087</t>
  </si>
  <si>
    <t>COT - 04.008</t>
  </si>
  <si>
    <t>EFENOVE</t>
  </si>
  <si>
    <t>NEW COMUNICAÇÃO VISUAL</t>
  </si>
  <si>
    <t>PERFECT VISION</t>
  </si>
  <si>
    <t>JAQUELINE</t>
  </si>
  <si>
    <t>ALEXANDRE LIMA</t>
  </si>
  <si>
    <t>RAFHAEL POMARO</t>
  </si>
  <si>
    <t>24.765.768/0001-14</t>
  </si>
  <si>
    <t>56.790.439/0001-10</t>
  </si>
  <si>
    <t>(41) 3888-5000</t>
  </si>
  <si>
    <t>(61) 3532-9063</t>
  </si>
  <si>
    <t xml:space="preserve"> (11) 3335-4040</t>
  </si>
  <si>
    <t>P-097</t>
  </si>
  <si>
    <t>P-098</t>
  </si>
  <si>
    <t>P-102</t>
  </si>
  <si>
    <t>COT - 04.009</t>
  </si>
  <si>
    <t>COT - 04.010</t>
  </si>
  <si>
    <t>COT - 04.011</t>
  </si>
  <si>
    <t xml:space="preserve">PLACA EM PVC EXPANDIDO BRANCO 3 MM 40X15CM, COM APLICAÇÃO EM VINIL ADESIVO RECORTADO COLORIDO EM UMA FACE. FIXADAS  COM FITA AUTO ADESIVA </t>
  </si>
  <si>
    <t>COT - 04.012</t>
  </si>
  <si>
    <t>COT - 04.013</t>
  </si>
  <si>
    <t>COT - 04.014</t>
  </si>
  <si>
    <t>COT - 04.015</t>
  </si>
  <si>
    <t>COT - 04.017</t>
  </si>
  <si>
    <t>FIXPAR</t>
  </si>
  <si>
    <t>25.631.151/0001-79</t>
  </si>
  <si>
    <t>(34) 3233-5300</t>
  </si>
  <si>
    <t>CCU - 04.001 AUX</t>
  </si>
  <si>
    <t>CCU - 04.002 AUX</t>
  </si>
  <si>
    <t>PERFIL</t>
  </si>
  <si>
    <t>Comprimento (m)</t>
  </si>
  <si>
    <t>Quantidade</t>
  </si>
  <si>
    <t>Kg/M ou m2</t>
  </si>
  <si>
    <t>Unidade</t>
  </si>
  <si>
    <t>Total</t>
  </si>
  <si>
    <t>Pintura</t>
  </si>
  <si>
    <t>kg</t>
  </si>
  <si>
    <t>total</t>
  </si>
  <si>
    <t>REF: 73970/2 SINAPI JUL 2019</t>
  </si>
  <si>
    <t>CCU - 04.003 AUX</t>
  </si>
  <si>
    <t>PORTÃO EM TUBO DE FERRO GALVANIZADO DE 2", DE ABRIR, COM TELA DE ARAME GALVANIZADO, FIO 14 BWG E MALHA QUADRADA 5X5CM, INCLUSIVE DOBRADIÇAS E TRANCAS/FERROLHO</t>
  </si>
  <si>
    <t>REF:  12953/ORSE NOV 2020</t>
  </si>
  <si>
    <t>CCU - 04.004 AUX</t>
  </si>
  <si>
    <t>BARRA DE APOIO COM 40CM EM AÇO INOX - FORNECIMENTO E INTALAÇÃO</t>
  </si>
  <si>
    <t>REF: 100866 SINAPI JAN 2020</t>
  </si>
  <si>
    <t>CCU - 04.005 AUX</t>
  </si>
  <si>
    <t>CCU - 04.006 AUX</t>
  </si>
  <si>
    <t>REF:  90838 SINAPI JAN 2021</t>
  </si>
  <si>
    <t>CCU - 04.007 AUX</t>
  </si>
  <si>
    <t>PORTA DE ENROLAR DE CHAPA REIADA, EM AÇO GALVANIZADO - FORNECIMENTO E INSTALAÇÃO</t>
  </si>
  <si>
    <t>REF:  12710/ORSE NOV 2020</t>
  </si>
  <si>
    <t>CCU - 04.008 AUX</t>
  </si>
  <si>
    <t>TRAVA LATERAL PARA PORTA DE ENROLAR - FORNECIMENTO E INSTALAÇÃO</t>
  </si>
  <si>
    <t>REF:  90830 SINAPI JAN 2021</t>
  </si>
  <si>
    <t>CCU - 04.009 AUX</t>
  </si>
  <si>
    <t>CADEADO TERA DE PISO PARA PORTA DE ENROLAR - FORNECIMENTO E INSTALAÇÃO</t>
  </si>
  <si>
    <t>CCU - 04.010 AUX</t>
  </si>
  <si>
    <t>X</t>
  </si>
  <si>
    <t>CCU - 04.011 AUX</t>
  </si>
  <si>
    <t>CCU - 04.012 AUX</t>
  </si>
  <si>
    <t>CORRIMÃO EM TUBO DE AÇO GALVANIZADO (ALTURA = 1,00 M), COM BARRAS VERTICAIS A CADA 2.00M (1 1/2"), BARRA HORIZONTAL INTERMEDIÁRIA (1 1/4") E BARRA HORIZONTAL SUPERIOR (1 1/4")</t>
  </si>
  <si>
    <t>REF:  08613/ORSE NOV 2020</t>
  </si>
  <si>
    <t>CCU - 04.013 AUX</t>
  </si>
  <si>
    <t>REF:  04819/ORSE NOV 2020</t>
  </si>
  <si>
    <t>CCU - 04.014 AUX</t>
  </si>
  <si>
    <t>Perímetro (m)</t>
  </si>
  <si>
    <t>CCU - 04.016 AUX</t>
  </si>
  <si>
    <t>REF:  10759/ORSE NOV 2020</t>
  </si>
  <si>
    <t>CCU - 04.017 AUX</t>
  </si>
  <si>
    <t>LASTRO DE BRITA Nº1</t>
  </si>
  <si>
    <t>REF: 02656/ORSE MAIO 2020</t>
  </si>
  <si>
    <t>CCU - 04.018 AUX</t>
  </si>
  <si>
    <t>CCU - 04.019 AUX</t>
  </si>
  <si>
    <t>CCU - 04.020 AUX</t>
  </si>
  <si>
    <t>CCU - 04.021 AUX</t>
  </si>
  <si>
    <t>CCU - 04.022 AUX</t>
  </si>
  <si>
    <t>M1800</t>
  </si>
  <si>
    <t>MANTA ASFÁLTICA ANTIRAIZ</t>
  </si>
  <si>
    <t>CCU - 02.003</t>
  </si>
  <si>
    <t>LOCACAO DE CONTAINER 2,30  X  6,00 M, ALT. 2,50 M, PARA ALMOXARIFADO, SEM DIVISORIAS INTERNAS E SEM SANITARIO</t>
  </si>
  <si>
    <t>REF: 10776 SINAPI MAIO 2020</t>
  </si>
  <si>
    <t>CCU - 02.004</t>
  </si>
  <si>
    <t>ENTRADA PROVISORIA DE ENERGIA ELETRICA AEREA TRIFASICA 40A EM POSTE MADEIRA</t>
  </si>
  <si>
    <t>2,0000000</t>
  </si>
  <si>
    <t>1,0000000</t>
  </si>
  <si>
    <t>REF: 41598 SINAPI DEZ 2019</t>
  </si>
  <si>
    <t>CCU - 02.005</t>
  </si>
  <si>
    <t xml:space="preserve">LIGAÇÃO PROVISÓRIA DE ÁGUA PARA CANTEIRO DE OBRAS - FORNECIMENTO E INSTALAÇÃO </t>
  </si>
  <si>
    <t>CCU - 02.006</t>
  </si>
  <si>
    <t xml:space="preserve">LIGAÇÃO PROVISÓRIA DE ESGOTO PARA CANTEIRO DE OBRAS - FORNECIMENTO E INSTALAÇÃO </t>
  </si>
  <si>
    <t>REF: 73658 SINAPI JAN 2020</t>
  </si>
  <si>
    <t>CCU - 02.007</t>
  </si>
  <si>
    <t>CONSUMO MENSAL DE ÁGUA, ESGOTO, ENERGIA E INTERNET</t>
  </si>
  <si>
    <t>REF: PLANILHA DE CÁLCULO - CANTEIRO</t>
  </si>
  <si>
    <t>CCU - 02.008</t>
  </si>
  <si>
    <t>PLACA DE OBRA EM CHAPA DE ACO GALVANIZADO ADESIVADA - FORNECIMENTO E INSTALAÇÃO</t>
  </si>
  <si>
    <t>REF: 74209/1 SINAPI JAN 2020</t>
  </si>
  <si>
    <t>CCU - 02.009</t>
  </si>
  <si>
    <t>DEMOLIÇÃO MANUAL DE CONSTRUÇÕES PROVISÓRIAS DE MADEIRA - SEM REAPROVEITAMENTO</t>
  </si>
  <si>
    <t>REF: 1600895 SICRO JUL 2019</t>
  </si>
  <si>
    <t>CCU - 04.001</t>
  </si>
  <si>
    <t>CCU - 04.002</t>
  </si>
  <si>
    <t>REF:  Projeto e caderno de arquitetura</t>
  </si>
  <si>
    <t>CCU - 04.003</t>
  </si>
  <si>
    <t>CCU - 04.004</t>
  </si>
  <si>
    <t>CCU - 04.005</t>
  </si>
  <si>
    <t>CCU - 04.006</t>
  </si>
  <si>
    <t>CCU - 04.007</t>
  </si>
  <si>
    <t>CCU - 04.008</t>
  </si>
  <si>
    <t>CCU - 04.009</t>
  </si>
  <si>
    <t>CCU - 04.010</t>
  </si>
  <si>
    <t>CCU - 04.011</t>
  </si>
  <si>
    <t>CCU - 04.012</t>
  </si>
  <si>
    <t>CCU - 04.013</t>
  </si>
  <si>
    <t>CCU - 04.014</t>
  </si>
  <si>
    <t>CCU - 04.015</t>
  </si>
  <si>
    <t>CCU - 04.016</t>
  </si>
  <si>
    <t>CCU - 04.017</t>
  </si>
  <si>
    <t>CCU - 04.018</t>
  </si>
  <si>
    <t>CCU - 04.019</t>
  </si>
  <si>
    <t>CCU - 04.020</t>
  </si>
  <si>
    <t>CCU - 04.021</t>
  </si>
  <si>
    <t>CCU - 04.022</t>
  </si>
  <si>
    <t>CCU - 04.023</t>
  </si>
  <si>
    <t>CCU - 04.024</t>
  </si>
  <si>
    <t>CCU - 04.025</t>
  </si>
  <si>
    <t>CCU - 04.026</t>
  </si>
  <si>
    <t>CCU - 04.027</t>
  </si>
  <si>
    <t>CCU - 04.028</t>
  </si>
  <si>
    <t>CCU - 04.029</t>
  </si>
  <si>
    <t>CCU - 04.030</t>
  </si>
  <si>
    <t>CCU - 04.031</t>
  </si>
  <si>
    <t>CCU - 04.032</t>
  </si>
  <si>
    <t>CCU - 04.033</t>
  </si>
  <si>
    <t>CCU - 04.034</t>
  </si>
  <si>
    <t>CCU - 04.035</t>
  </si>
  <si>
    <t>CCU - 04.036</t>
  </si>
  <si>
    <t>CCU - 04.037</t>
  </si>
  <si>
    <t>ALÇAPÃO EM CHAPA DE AÇO - FORNECIMENTO E INSTALAÇÃO</t>
  </si>
  <si>
    <t>CCU - 04.038</t>
  </si>
  <si>
    <t>CCU - 04.039</t>
  </si>
  <si>
    <t>CCU - 04.040</t>
  </si>
  <si>
    <t>CCU - 04.041</t>
  </si>
  <si>
    <t>4,1500000</t>
  </si>
  <si>
    <t>0,0970000</t>
  </si>
  <si>
    <t>0,0910000</t>
  </si>
  <si>
    <t>0,0009000</t>
  </si>
  <si>
    <t>0,0013000</t>
  </si>
  <si>
    <t>REF:  94213 SINAPI JAN 2021</t>
  </si>
  <si>
    <t>CCU - 04.042</t>
  </si>
  <si>
    <t>CUMEEIRA TRAPEZOIDAL EM CHAPA DE AÇO GALVANIZADO - FORNECIMENTO E INSTALAÇÃO</t>
  </si>
  <si>
    <t>4,2000000</t>
  </si>
  <si>
    <t>1,0290000</t>
  </si>
  <si>
    <t>0,0550000</t>
  </si>
  <si>
    <t>0,0410000</t>
  </si>
  <si>
    <t>0,0018000</t>
  </si>
  <si>
    <t>0,0026000</t>
  </si>
  <si>
    <t>REF:  100325  SINAPI JAN 2021</t>
  </si>
  <si>
    <t>CCU - 04.043</t>
  </si>
  <si>
    <t>ESPELHO CRISTAL ESPESSURA 4MM, COM MOLDURA EM ALUMINIO E COMPENSADO 6MM PLASTIFICADO COLADO - FORNECIMENTO E INSTALAÇÃO</t>
  </si>
  <si>
    <t>REF:  741252  SINAPI JAN 2020</t>
  </si>
  <si>
    <t>CCU - 04.044</t>
  </si>
  <si>
    <t>CCU - 04.045</t>
  </si>
  <si>
    <t>REF:  87262  SINAPI JAN 2021</t>
  </si>
  <si>
    <t>CCU - 04.046</t>
  </si>
  <si>
    <t>CCU - 04.047</t>
  </si>
  <si>
    <t>CCU - 04.048</t>
  </si>
  <si>
    <t>REF: 101752 SINAPI JAN 2021</t>
  </si>
  <si>
    <t>CCU - 04.049</t>
  </si>
  <si>
    <t>CCU - 04.050</t>
  </si>
  <si>
    <t>CCU - 04.051</t>
  </si>
  <si>
    <t>CCU - 04.052</t>
  </si>
  <si>
    <t>CCU - 04.053</t>
  </si>
  <si>
    <t>CCU - 04.054</t>
  </si>
  <si>
    <t>ALAMBRADO EM TUBOS DE ACO GALVANIZADO, COM COSTURA, DIN 2440, DIAMETRO 2", ALTURA 3M, FIXADOS A CADA 2M EM BLOCOS DE CONCRETO, COM TELA DE ARAME GALVANIZADO REVESTIDO COM PVC, FIO 12 BWG E MALHA 7,5X7,5CM</t>
  </si>
  <si>
    <t>0,0400000</t>
  </si>
  <si>
    <t>0,0480000</t>
  </si>
  <si>
    <t>0,4000000</t>
  </si>
  <si>
    <t>0,7200000</t>
  </si>
  <si>
    <t>1,1000000</t>
  </si>
  <si>
    <t>0,0320000</t>
  </si>
  <si>
    <t>0,5000000</t>
  </si>
  <si>
    <t>3,3800000</t>
  </si>
  <si>
    <t>0,0180000</t>
  </si>
  <si>
    <t>REF:  73787/1 SINAPI JAN 2020</t>
  </si>
  <si>
    <t>CCU - 04.055</t>
  </si>
  <si>
    <t>CCU - 04.056</t>
  </si>
  <si>
    <t>CCU - 04.057</t>
  </si>
  <si>
    <t>TORNEIRA EM AÇO INOX PARA LAVATÓRIO, FECHAMENTO AUTOMÁTICO - FORNECIMENTO E INSTALAÇÃO</t>
  </si>
  <si>
    <t>REF: 86915 SINAPI JAN 2021</t>
  </si>
  <si>
    <t>CCU - 04.058</t>
  </si>
  <si>
    <t>REF: 98685 SINAPI JAN 2021</t>
  </si>
  <si>
    <t>CCU - 04.059</t>
  </si>
  <si>
    <t>LAVATÓRIO COM COLUNA LINHA VOGUE PLUS, COR BRANCO GELO - CÓD. L51+CS1 - FORNECIMENTO E INSTALAÇÃO</t>
  </si>
  <si>
    <t>REF: 96903 SINAPI JAN 2021</t>
  </si>
  <si>
    <t>CCU - 04.060</t>
  </si>
  <si>
    <t>DUCHA HIGIÊNICA COM REGISTRO E GATILHO, LINHA ASPEN 1984C.35 - FORNECIMENTO E INSTALAÇÃO</t>
  </si>
  <si>
    <t>REF: 08211/ORSE NOV 2020</t>
  </si>
  <si>
    <t>CCU - 04.061</t>
  </si>
  <si>
    <t>DISPENSER PARA PAPEL HIGIÊNICO TIPO ROLÃO - INCLUSO FIXAÇÃO</t>
  </si>
  <si>
    <t>REF: 95547 SINAPI JAN 2021</t>
  </si>
  <si>
    <t>CCU - 04.062</t>
  </si>
  <si>
    <t>DISPENSER PARA TOALHA DE PAPÉL INTERFOLHADO - INCLUSO FIXAÇÃO</t>
  </si>
  <si>
    <t>CCU - 04.063</t>
  </si>
  <si>
    <t>CCU - 04.064</t>
  </si>
  <si>
    <t>BEBEDOURO PURIFICADOR DE PRESSÃO IBBL BAG40C OU EQUIVALENTE - FORNECIMENTO E INSTALAÇÃO</t>
  </si>
  <si>
    <t>REF: 11149/ORSE NOV 2020</t>
  </si>
  <si>
    <t>CCU - 04.065</t>
  </si>
  <si>
    <t>CCU - 04.066</t>
  </si>
  <si>
    <t>REF: 12884/ORSE NOV 2020</t>
  </si>
  <si>
    <t>CCU - 04.067</t>
  </si>
  <si>
    <t>CCU - 04.068</t>
  </si>
  <si>
    <t>CCU - 04.069</t>
  </si>
  <si>
    <t>CCU - 04.070</t>
  </si>
  <si>
    <t>CCU - 04.071</t>
  </si>
  <si>
    <t>CCU - 04.072</t>
  </si>
  <si>
    <t>CCU - 04.073</t>
  </si>
  <si>
    <t>CCU - 04.074</t>
  </si>
  <si>
    <t>FORNECIMENTO E ESPALHAMENTO DE TERRA VEGETAL PREPARADA</t>
  </si>
  <si>
    <t>REF: 02394/ORSE NOV 2020</t>
  </si>
  <si>
    <t>CCU - 04.075</t>
  </si>
  <si>
    <t>CCU - 04.076</t>
  </si>
  <si>
    <t>CCU - 04.077</t>
  </si>
  <si>
    <t>CCU - 04.078</t>
  </si>
  <si>
    <t>CCU - 04.079</t>
  </si>
  <si>
    <t>CCU - 04.080</t>
  </si>
  <si>
    <t>CCU - 04.081</t>
  </si>
  <si>
    <t>CCU - 04.082</t>
  </si>
  <si>
    <t>CCU - 04.083</t>
  </si>
  <si>
    <t>CORTE EM PAVIMENTO DE CONCRETO PARA JUNTA DE DILATAÇÃO EXECUTADO COM MÁQUINA DE CORTAR PISO, UTILIZANDO DISCO DE CORTE DIAMANTADO</t>
  </si>
  <si>
    <t>REF: CAESB -12-2011/COD:8001508040030</t>
  </si>
  <si>
    <t xml:space="preserve">02.01.200 </t>
  </si>
  <si>
    <t>LIGAÇÕES PROVISÓRIAS</t>
  </si>
  <si>
    <t>02.01.200.1</t>
  </si>
  <si>
    <t>02.01.200.2</t>
  </si>
  <si>
    <t>02.01.200.3</t>
  </si>
  <si>
    <t>02.01.200.4</t>
  </si>
  <si>
    <t>02.01.200.5</t>
  </si>
  <si>
    <t xml:space="preserve">02.01.400 </t>
  </si>
  <si>
    <t>PROTEÇÃO E SINALIZAÇÃO</t>
  </si>
  <si>
    <t>02.01.400.1</t>
  </si>
  <si>
    <t>02.01.400.2</t>
  </si>
  <si>
    <t xml:space="preserve">02.02.000 </t>
  </si>
  <si>
    <t>DEMOLIÇÃO</t>
  </si>
  <si>
    <t xml:space="preserve">02.02.100 </t>
  </si>
  <si>
    <t>DEMOLIÇÃO MECÂNIZADA/CONVENCIONAL</t>
  </si>
  <si>
    <t>VEGETAÇÃO</t>
  </si>
  <si>
    <t>02.02.195</t>
  </si>
  <si>
    <t>02.02.195.1</t>
  </si>
  <si>
    <t>02.02.195.2</t>
  </si>
  <si>
    <t>02.02.330</t>
  </si>
  <si>
    <t>CARGA, TRANSPORTE, DESCARGA DE MATERIAL DE DEMOLIÇÃO</t>
  </si>
  <si>
    <t>02.02.330.1</t>
  </si>
  <si>
    <t>02.02.330.2</t>
  </si>
  <si>
    <t>02.03.000</t>
  </si>
  <si>
    <t>LOCAÇÃO DE OBRAS</t>
  </si>
  <si>
    <t>02.03.100</t>
  </si>
  <si>
    <t>DE EDIFICAÇÕES</t>
  </si>
  <si>
    <t>02.03.100.1</t>
  </si>
  <si>
    <t>04.01.100</t>
  </si>
  <si>
    <t>PAREDES</t>
  </si>
  <si>
    <t>04.01.100.1</t>
  </si>
  <si>
    <t>04.01.100.2</t>
  </si>
  <si>
    <t>04.01.100.3</t>
  </si>
  <si>
    <t>04.01.100.4</t>
  </si>
  <si>
    <t>04.01.100.5</t>
  </si>
  <si>
    <t>04.01.100.6</t>
  </si>
  <si>
    <t>04.01.100.7</t>
  </si>
  <si>
    <t>04.01.100.8</t>
  </si>
  <si>
    <t>04.01.200</t>
  </si>
  <si>
    <t>ESQUADRIAS</t>
  </si>
  <si>
    <t>04.01.200.1</t>
  </si>
  <si>
    <t>04.01.200.2</t>
  </si>
  <si>
    <t>04.01.200.3</t>
  </si>
  <si>
    <t>04.01.200.4</t>
  </si>
  <si>
    <t>04.01.200.5</t>
  </si>
  <si>
    <t>04.01.200.6</t>
  </si>
  <si>
    <t>04.01.200.7</t>
  </si>
  <si>
    <t>04.01.200.8</t>
  </si>
  <si>
    <t>04.01.200.9</t>
  </si>
  <si>
    <t>04.01.200.10</t>
  </si>
  <si>
    <t>04.01.200.11</t>
  </si>
  <si>
    <t>04.01.200.12</t>
  </si>
  <si>
    <t>04.01.200.13</t>
  </si>
  <si>
    <t>04.01.200.14</t>
  </si>
  <si>
    <t>04.01.200.15</t>
  </si>
  <si>
    <t>04.01.200.16</t>
  </si>
  <si>
    <t>04.01.200.17</t>
  </si>
  <si>
    <t>04.01.200.18</t>
  </si>
  <si>
    <t>04.01.200.19</t>
  </si>
  <si>
    <t>04.01.200.20</t>
  </si>
  <si>
    <t>04.01.200.21</t>
  </si>
  <si>
    <t>04.01.200.22</t>
  </si>
  <si>
    <t>04.01.200.23</t>
  </si>
  <si>
    <t>04.01.200.24</t>
  </si>
  <si>
    <t>04.01.200.25</t>
  </si>
  <si>
    <t>04.01.200.26</t>
  </si>
  <si>
    <t>04.01.200.27</t>
  </si>
  <si>
    <t>04.01.300</t>
  </si>
  <si>
    <t>VIDROS E PLÁSTICOS</t>
  </si>
  <si>
    <t>04.01.300.1</t>
  </si>
  <si>
    <t>04.01.400.5</t>
  </si>
  <si>
    <t>04.01.400.6</t>
  </si>
  <si>
    <t>04.01.500</t>
  </si>
  <si>
    <t>REVESTIMENTOS INTERNOS</t>
  </si>
  <si>
    <t>04.01.505</t>
  </si>
  <si>
    <t>04.01.505.1</t>
  </si>
  <si>
    <t>04.01.505.2</t>
  </si>
  <si>
    <t>04.01.505.3</t>
  </si>
  <si>
    <t>04.01.505.4</t>
  </si>
  <si>
    <t>04.01.505.5</t>
  </si>
  <si>
    <t>04.01.510</t>
  </si>
  <si>
    <t>REVESTIMENTOS DE PISOS</t>
  </si>
  <si>
    <t>04.01.510.1</t>
  </si>
  <si>
    <t>04.01.510.2</t>
  </si>
  <si>
    <t>04.01.510.3</t>
  </si>
  <si>
    <t>04.01.510.4</t>
  </si>
  <si>
    <t>04.01.510.5</t>
  </si>
  <si>
    <t>04.01.510.6</t>
  </si>
  <si>
    <t>04.01.510.7</t>
  </si>
  <si>
    <t>04.01.530</t>
  </si>
  <si>
    <t>REVESTIMENTOS DE PAREDES</t>
  </si>
  <si>
    <t>04.01.530.1</t>
  </si>
  <si>
    <t>04.01.530.2</t>
  </si>
  <si>
    <t>04.01.530.3</t>
  </si>
  <si>
    <t>04.01.530.4</t>
  </si>
  <si>
    <t>04.01.530.5</t>
  </si>
  <si>
    <t>04.01.530.6</t>
  </si>
  <si>
    <t>04.01.530.7</t>
  </si>
  <si>
    <t>04.01.550</t>
  </si>
  <si>
    <t>REVESTIMENTOS DE FORROS</t>
  </si>
  <si>
    <t>04.01.550.1</t>
  </si>
  <si>
    <t>04.01.550.2</t>
  </si>
  <si>
    <t>04.01.560</t>
  </si>
  <si>
    <t>PINTURA</t>
  </si>
  <si>
    <t>04.01.800</t>
  </si>
  <si>
    <t>04.01.800.1</t>
  </si>
  <si>
    <t>04.01.800.2</t>
  </si>
  <si>
    <t>04.01.810</t>
  </si>
  <si>
    <t>DE SANITÁRIOS, VESTIÁRIOS E COZINHAS</t>
  </si>
  <si>
    <t>04.01.810.1</t>
  </si>
  <si>
    <t>04.01.810.2</t>
  </si>
  <si>
    <t>04.01.810.3</t>
  </si>
  <si>
    <t>04.01.810.4</t>
  </si>
  <si>
    <t>04.01.810.5</t>
  </si>
  <si>
    <t>04.01.810.6</t>
  </si>
  <si>
    <t>04.01.810.7</t>
  </si>
  <si>
    <t>04.01.810.8</t>
  </si>
  <si>
    <t>04.01.810.9</t>
  </si>
  <si>
    <t>04.01.810.10</t>
  </si>
  <si>
    <t>04.01.810.11</t>
  </si>
  <si>
    <t>04.01.810.12</t>
  </si>
  <si>
    <t>04.01.810.13</t>
  </si>
  <si>
    <t>04.01.810.14</t>
  </si>
  <si>
    <t>04.01.810.15</t>
  </si>
  <si>
    <t>04.01.810.16</t>
  </si>
  <si>
    <t>04.01.810.17</t>
  </si>
  <si>
    <t>04.01.810.18</t>
  </si>
  <si>
    <t>04.01.810.19</t>
  </si>
  <si>
    <t>04.01.810.20</t>
  </si>
  <si>
    <t>04.01.810.21</t>
  </si>
  <si>
    <t>04.01.810.22</t>
  </si>
  <si>
    <t>04.02.000</t>
  </si>
  <si>
    <t>COMUNICAÇÃO VISUAL</t>
  </si>
  <si>
    <t>04.02.102.1</t>
  </si>
  <si>
    <t>04.02.102.2</t>
  </si>
  <si>
    <t>04.02.102.3</t>
  </si>
  <si>
    <t>04.02.102.4</t>
  </si>
  <si>
    <t>04.02.102.5</t>
  </si>
  <si>
    <t>04.04.103</t>
  </si>
  <si>
    <t>CERCAMENTO</t>
  </si>
  <si>
    <t>04.04.103.1</t>
  </si>
  <si>
    <t>04.04.300</t>
  </si>
  <si>
    <t>04.04.300.1</t>
  </si>
  <si>
    <t>04.04.300.2</t>
  </si>
  <si>
    <t>04.05.000</t>
  </si>
  <si>
    <t>PAVIMENTAÇÃO</t>
  </si>
  <si>
    <t>04.05.100</t>
  </si>
  <si>
    <t>04.05.100.1</t>
  </si>
  <si>
    <t>04.05.100.2</t>
  </si>
  <si>
    <t>04.05.100.3</t>
  </si>
  <si>
    <t>04.05.100.4</t>
  </si>
  <si>
    <t>P-113</t>
  </si>
  <si>
    <t>CADEADO TETRA DE PISO PARA PORTA DE ENROLAR</t>
  </si>
  <si>
    <t>P-114</t>
  </si>
  <si>
    <t>P-115</t>
  </si>
  <si>
    <t>CCU - 04.084</t>
  </si>
  <si>
    <t>02.01.100.4</t>
  </si>
  <si>
    <t>CCU - 04.085</t>
  </si>
  <si>
    <t>TELEFONIA E TV</t>
  </si>
  <si>
    <t>01.056.640/0001-86</t>
  </si>
  <si>
    <t>COT - 07.018</t>
  </si>
  <si>
    <t>VÁLVULA SOLENOIDE EVR 6 v2 da Danfoss</t>
  </si>
  <si>
    <t>VÁLVULA SOLENOIDE EVR 3 v2 da Danfoss</t>
  </si>
  <si>
    <t>VÁLVULA SOLENOIDE T2-3 da Danfoss</t>
  </si>
  <si>
    <t>COT - 07.024</t>
  </si>
  <si>
    <t>CHAMINE TIPO CHAPEU CHINES 300mm</t>
  </si>
  <si>
    <t>GRELHA TROX VAT DG 1025x525 mm</t>
  </si>
  <si>
    <t>COT - 07.038</t>
  </si>
  <si>
    <t>COT - 07.039</t>
  </si>
  <si>
    <t>COT - 07.040</t>
  </si>
  <si>
    <t>COT - 07.041</t>
  </si>
  <si>
    <t>COT - 07.042</t>
  </si>
  <si>
    <t>COT - 07.043</t>
  </si>
  <si>
    <t>COT - 07.044</t>
  </si>
  <si>
    <t>COT - 07.045</t>
  </si>
  <si>
    <t>RESFRIADOR EVAPORATIVO LUFTMÁXI LF18000 TELHADO OU EQUIVALENTE</t>
  </si>
  <si>
    <t>COT - 07.047</t>
  </si>
  <si>
    <t>COT - 07.048</t>
  </si>
  <si>
    <t>COT - 07.049</t>
  </si>
  <si>
    <t>EXAUSTOR OTAM RLD 450 CLASSE 1</t>
  </si>
  <si>
    <t>COT - 07.050</t>
  </si>
  <si>
    <t>COT - 07.051</t>
  </si>
  <si>
    <t>CABO ALUMÍNIO XLPE - 15KV - 50MM²</t>
  </si>
  <si>
    <t xml:space="preserve">QDG - QUADRO ELÉTRICO DE BAIXA TENSÃO TTA </t>
  </si>
  <si>
    <t xml:space="preserve">QDF - QUADRO ELÉTRICO DE BAIXA TENSÃO TTA </t>
  </si>
  <si>
    <t xml:space="preserve">QD-CALD - QUADRO ELÉTRICO DE BAIXA TENSÃO TTA </t>
  </si>
  <si>
    <t>LUMINÁRIA LED HERMÉTICA, IP65, 37W, 5000K, ALTA EFICIÊNCIA (&gt;100lm/W), BIVOLT (FORNECIDA COMPLETA) - REF. LHT24-S LUMICENTER OU EQUIVALENTE</t>
  </si>
  <si>
    <t>LUMINÁRIA LED QUADRADA, 30W, 5000K, ALTA EFICIÊNCIA (&gt;100lm/W), BIVOLT (FORNECIDA COMPLETA) - REF. LHT03-E LUMICENTER OU EQUIVALENTE</t>
  </si>
  <si>
    <t>CURVA HORIZONTAL P/ ELETROCALHA PERFURADA, DE 100X50MM EM CHAPA 22</t>
  </si>
  <si>
    <t>ELETROCALHA PERFURADA TIPO C, DE 100X50MM EM CHAPA 22</t>
  </si>
  <si>
    <t>ELETROCALHA PERFURADA TIPO C, DE 50X50MM EM CHAPA 22</t>
  </si>
  <si>
    <t>REDUÇÃO CONCÊNTRICA P/ ELETROCALHA PERFURADA, DE 100X50MM EM CHAPA 22</t>
  </si>
  <si>
    <t>SAÍDA LATERAL DUPLA P/ ELETRODUTO DE 3/4"</t>
  </si>
  <si>
    <t>TÊ HORIZONTAL P/ ELETROCALHA PERFURADA, DE 50X50MM EM CHAPA 22</t>
  </si>
  <si>
    <t>TALA PARA EMENDA DE ELETROCALHA LISA OU PERFURADA 50MM</t>
  </si>
  <si>
    <t>TAMPA P/ TÊ HORIZONTAL, DE 50MM EM CHAPA 22</t>
  </si>
  <si>
    <t>TAMPA P/ CURVA HORIZONTAL, DE 100MM EM CHAPA 22</t>
  </si>
  <si>
    <t>TAMPA P/ REDUÇÃO CONCÊNTRICA, DE 100X50MM EM CHAPA 22</t>
  </si>
  <si>
    <t>TAMPA DE PRESSÃO 100MM CHAPA 24 P/ ELETROCALHA</t>
  </si>
  <si>
    <t>TAMPA DE PRESSÃO 50MM CHAPA 24 P/ ELETROCALHA</t>
  </si>
  <si>
    <t>Tomada blindada 2P+T - 16A</t>
  </si>
  <si>
    <t>Tomada blindada 2P+T - 32A</t>
  </si>
  <si>
    <t>Tomada blindada 3P+T - 16A</t>
  </si>
  <si>
    <t>Tomada blindada 3P+T - 32A</t>
  </si>
  <si>
    <t>VERGALHÃO GALVANIZADO A FOGO, 3/8", TIPO REBAR</t>
  </si>
  <si>
    <t>ACCESS  POINT DUAL BAND (2,4/5,0GHZ - 300/867MBPS), SUPORTAR 802.11ac, ALIMENTAÇÃO PoE, INSTALAÇÃO NO FORRO. REF. UNIFI-UAP-AC-LITE OU EQUIVALENTE TÉCNICO</t>
  </si>
  <si>
    <t>CÂMERA IP, TIPO DOME FIXO, ALIMENTAÇÃO PoE, INTERNA (IP 42), INSTALADA EMBUTIDA NO FORRO, RESOLUÇÃO 1,3 MP, VARIFOCAL . REFERÊNCIA: INTELBRAS VIP-S4120VF OU EQUIVALENTE TÉCNICO</t>
  </si>
  <si>
    <t>CABO COAXIAL RGC-6, 75 OHMS</t>
  </si>
  <si>
    <t>Gravador de Vídeo - NVR, 24 canais</t>
  </si>
  <si>
    <t>NOBREAK DE 600VA, MONOFÁSICO, ENTRADA E SAÍDA EM 220V</t>
  </si>
  <si>
    <t>COT - 06.054</t>
  </si>
  <si>
    <t>RÉGUA 19" - 8 TOMADAS</t>
  </si>
  <si>
    <t>BANDEJA DE EQUIPAMENTOS - 2U P/ RACK</t>
  </si>
  <si>
    <t>48 UNIDADE</t>
  </si>
  <si>
    <t>GBIC PARA RACK</t>
  </si>
  <si>
    <t>2 UNIDADE</t>
  </si>
  <si>
    <t>ELETROCALHA LISA TIPO U, DE 100X50MM EM CHAPA 22</t>
  </si>
  <si>
    <t>ELETROCALHA LISA TIPO U, DE 50X50MM EM CHAPA 22</t>
  </si>
  <si>
    <t>CURVA HORIZONTAL P/ ELETROCALHA, DE 50X50MM EM CHAPA 22</t>
  </si>
  <si>
    <t>TAMPA P/ CURVA HORIZONTAL, DE 50X50MM EM CHAPA 22</t>
  </si>
  <si>
    <t>TAMPA P/ TÊ HORIZONTAL HORIZONTAL, DE 100MM EM CHAPA 22</t>
  </si>
  <si>
    <t>6,89</t>
  </si>
  <si>
    <t>15,94</t>
  </si>
  <si>
    <t>19,62</t>
  </si>
  <si>
    <t>32,17</t>
  </si>
  <si>
    <t>31,14</t>
  </si>
  <si>
    <t>22,17</t>
  </si>
  <si>
    <t>32,76</t>
  </si>
  <si>
    <t>35,27</t>
  </si>
  <si>
    <t>29,76</t>
  </si>
  <si>
    <t>39,23</t>
  </si>
  <si>
    <t>414,25</t>
  </si>
  <si>
    <t>28,57</t>
  </si>
  <si>
    <t>85,98</t>
  </si>
  <si>
    <t>112,12</t>
  </si>
  <si>
    <t>105,97</t>
  </si>
  <si>
    <t>84,13</t>
  </si>
  <si>
    <t>74,30</t>
  </si>
  <si>
    <t>106,95</t>
  </si>
  <si>
    <t>93,46</t>
  </si>
  <si>
    <t>88,89</t>
  </si>
  <si>
    <t>197,04</t>
  </si>
  <si>
    <t>154,36</t>
  </si>
  <si>
    <t>155,00</t>
  </si>
  <si>
    <t>127,88</t>
  </si>
  <si>
    <t>195,97</t>
  </si>
  <si>
    <t>18,91</t>
  </si>
  <si>
    <t>21,32</t>
  </si>
  <si>
    <t>159,41</t>
  </si>
  <si>
    <t>8,17</t>
  </si>
  <si>
    <t>28,35</t>
  </si>
  <si>
    <t>196,24</t>
  </si>
  <si>
    <t>91,49</t>
  </si>
  <si>
    <t>63,74</t>
  </si>
  <si>
    <t>30,59</t>
  </si>
  <si>
    <t>19,77</t>
  </si>
  <si>
    <t>59,24</t>
  </si>
  <si>
    <t>33,94</t>
  </si>
  <si>
    <t>21,31</t>
  </si>
  <si>
    <t>26,54</t>
  </si>
  <si>
    <t>6,75</t>
  </si>
  <si>
    <t>19,25</t>
  </si>
  <si>
    <t>29,28</t>
  </si>
  <si>
    <t>27,97</t>
  </si>
  <si>
    <t>12,43</t>
  </si>
  <si>
    <t>68,39</t>
  </si>
  <si>
    <t>129,92</t>
  </si>
  <si>
    <t>54,01</t>
  </si>
  <si>
    <t>2,55</t>
  </si>
  <si>
    <t>83,69</t>
  </si>
  <si>
    <t>26,91</t>
  </si>
  <si>
    <t>2,45</t>
  </si>
  <si>
    <t>9,69</t>
  </si>
  <si>
    <t>19,59</t>
  </si>
  <si>
    <t>4,51</t>
  </si>
  <si>
    <t>1,76</t>
  </si>
  <si>
    <t>4,77</t>
  </si>
  <si>
    <t>6,22</t>
  </si>
  <si>
    <t>106,17</t>
  </si>
  <si>
    <t>55,59</t>
  </si>
  <si>
    <t>13,65</t>
  </si>
  <si>
    <t>3,26</t>
  </si>
  <si>
    <t>46,09</t>
  </si>
  <si>
    <t>34,11</t>
  </si>
  <si>
    <t>33,69</t>
  </si>
  <si>
    <t>7,34</t>
  </si>
  <si>
    <t>29,84</t>
  </si>
  <si>
    <t>57,35</t>
  </si>
  <si>
    <t>92,20</t>
  </si>
  <si>
    <t>16,26</t>
  </si>
  <si>
    <t>14,72</t>
  </si>
  <si>
    <t>33,16</t>
  </si>
  <si>
    <t>33,92</t>
  </si>
  <si>
    <t>18,57</t>
  </si>
  <si>
    <t>19,41</t>
  </si>
  <si>
    <t>30,31</t>
  </si>
  <si>
    <t>49,63</t>
  </si>
  <si>
    <t>147,51</t>
  </si>
  <si>
    <t>36,24</t>
  </si>
  <si>
    <t>28,56</t>
  </si>
  <si>
    <t>135,17</t>
  </si>
  <si>
    <t>170,01</t>
  </si>
  <si>
    <t>125,02</t>
  </si>
  <si>
    <t>174,55</t>
  </si>
  <si>
    <t>26,21</t>
  </si>
  <si>
    <t>278,85</t>
  </si>
  <si>
    <t>444,76</t>
  </si>
  <si>
    <t>64,02</t>
  </si>
  <si>
    <t>41,58</t>
  </si>
  <si>
    <t>45,16</t>
  </si>
  <si>
    <t>60,09</t>
  </si>
  <si>
    <t>39,44</t>
  </si>
  <si>
    <t>21,59</t>
  </si>
  <si>
    <t>41,02</t>
  </si>
  <si>
    <t>31,72</t>
  </si>
  <si>
    <t>92,40</t>
  </si>
  <si>
    <t>62,88</t>
  </si>
  <si>
    <t>5,75</t>
  </si>
  <si>
    <t>768,80</t>
  </si>
  <si>
    <t>67,84</t>
  </si>
  <si>
    <t>320,58</t>
  </si>
  <si>
    <t>227,13</t>
  </si>
  <si>
    <t>324,86</t>
  </si>
  <si>
    <t>70,49</t>
  </si>
  <si>
    <t>61,91</t>
  </si>
  <si>
    <t>LASTRO DE CONCRETO MAGRO, APLICADO EM PISOS, LAJES SOBRE SOLO OU RADIERS, ESPESSURA DE 3 CM. AF_07/2016</t>
  </si>
  <si>
    <t>LASTRO DE CONCRETO MAGRO, APLICADO EM PISOS, LAJES SOBRE SOLO OU RADIERS, ESPESSURA DE 5 CM. AF_07/2016</t>
  </si>
  <si>
    <t>LASTRO DE CONCRETO MAGRO, APLICADO EM PISOS, LAJES SOBRE SOLO OU RADIERS. AF_08/2017</t>
  </si>
  <si>
    <t>506,75</t>
  </si>
  <si>
    <t>LASTRO COM MATERIAL GRANULAR, APLICADO EM PISOS OU LAJES SOBRE SOLO, ESPESSURA DE *5 CM*. AF_08/2017</t>
  </si>
  <si>
    <t>LASTRO COM MATERIAL GRANULAR (PEDRA BRITADA N.2), APLICADO EM PISOS OU LAJES SOBRE SOLO, ESPESSURA DE *10 CM*. AF_08/2017</t>
  </si>
  <si>
    <t>170,75</t>
  </si>
  <si>
    <t>17,60</t>
  </si>
  <si>
    <t>17,06</t>
  </si>
  <si>
    <t>LASTRO COM MATERIAL GRANULAR (PEDRA BRITADA N.3), APLICADO EM PISOS OU LAJES SOBRE SOLO, ESPESSURA DE *10 CM*. AF_07/2019</t>
  </si>
  <si>
    <t>162,26</t>
  </si>
  <si>
    <t>LASTRO COM MATERIAL GRANULAR (AREIA MÉDIA), APLICADO EM PISOS OU LAJES SOBRE SOLO, ESPESSURA DE *10 CM*. AF_07/2019</t>
  </si>
  <si>
    <t>LASTRO COM MATERIAL GRANULAR (PEDRA BRITADA N.1 E PEDRA BRITADA N.2), APLICADO EM PISOS OU LAJES SOBRE SOLO, ESPESSURA DE *10 CM*. AF_07/2019</t>
  </si>
  <si>
    <t>38,25</t>
  </si>
  <si>
    <t>124,12</t>
  </si>
  <si>
    <t>98,84</t>
  </si>
  <si>
    <t>121,16</t>
  </si>
  <si>
    <t>63,54</t>
  </si>
  <si>
    <t>38,03</t>
  </si>
  <si>
    <t>47,27</t>
  </si>
  <si>
    <t>99,52</t>
  </si>
  <si>
    <t>133,92</t>
  </si>
  <si>
    <t>76,15</t>
  </si>
  <si>
    <t>67,72</t>
  </si>
  <si>
    <t>88,30</t>
  </si>
  <si>
    <t>67,28</t>
  </si>
  <si>
    <t>39,79</t>
  </si>
  <si>
    <t>38,09</t>
  </si>
  <si>
    <t>44,62</t>
  </si>
  <si>
    <t>23,01</t>
  </si>
  <si>
    <t>21,13</t>
  </si>
  <si>
    <t>182,70</t>
  </si>
  <si>
    <t>176,97</t>
  </si>
  <si>
    <t>100,38</t>
  </si>
  <si>
    <t>88,46</t>
  </si>
  <si>
    <t>71,57</t>
  </si>
  <si>
    <t>155,85</t>
  </si>
  <si>
    <t>19,14</t>
  </si>
  <si>
    <t>115,40</t>
  </si>
  <si>
    <t>127,18</t>
  </si>
  <si>
    <t>108,22</t>
  </si>
  <si>
    <t>380,11</t>
  </si>
  <si>
    <t>130,16</t>
  </si>
  <si>
    <t>228,41</t>
  </si>
  <si>
    <t>410,14</t>
  </si>
  <si>
    <t>12,52</t>
  </si>
  <si>
    <t>12,72</t>
  </si>
  <si>
    <t>14,83</t>
  </si>
  <si>
    <t>16,83</t>
  </si>
  <si>
    <t>13,84</t>
  </si>
  <si>
    <t>9,23</t>
  </si>
  <si>
    <t>12,02</t>
  </si>
  <si>
    <t>9,20</t>
  </si>
  <si>
    <t>13,85</t>
  </si>
  <si>
    <t>13,04</t>
  </si>
  <si>
    <t>12,32</t>
  </si>
  <si>
    <t>11,89</t>
  </si>
  <si>
    <t>16,97</t>
  </si>
  <si>
    <t>14,71</t>
  </si>
  <si>
    <t>13,28</t>
  </si>
  <si>
    <t>9,78</t>
  </si>
  <si>
    <t>448,59</t>
  </si>
  <si>
    <t>388,81</t>
  </si>
  <si>
    <t>65,20</t>
  </si>
  <si>
    <t>52,12</t>
  </si>
  <si>
    <t>70,23</t>
  </si>
  <si>
    <t>93,06</t>
  </si>
  <si>
    <t>48,78</t>
  </si>
  <si>
    <t>56,14</t>
  </si>
  <si>
    <t>147,74</t>
  </si>
  <si>
    <t>10,90</t>
  </si>
  <si>
    <t>11,17</t>
  </si>
  <si>
    <t>16,60</t>
  </si>
  <si>
    <t>16,19</t>
  </si>
  <si>
    <t>14,89</t>
  </si>
  <si>
    <t>36,15</t>
  </si>
  <si>
    <t>34,36</t>
  </si>
  <si>
    <t>39,46</t>
  </si>
  <si>
    <t>51,69</t>
  </si>
  <si>
    <t>18,01</t>
  </si>
  <si>
    <t>39,87</t>
  </si>
  <si>
    <t>28,02</t>
  </si>
  <si>
    <t>6,86</t>
  </si>
  <si>
    <t>13,33</t>
  </si>
  <si>
    <t>16,33</t>
  </si>
  <si>
    <t>21,43</t>
  </si>
  <si>
    <t>29,65</t>
  </si>
  <si>
    <t>27,75</t>
  </si>
  <si>
    <t>40,45</t>
  </si>
  <si>
    <t>177,18</t>
  </si>
  <si>
    <t>12,03</t>
  </si>
  <si>
    <t>14,28</t>
  </si>
  <si>
    <t>76,41</t>
  </si>
  <si>
    <t>59,43</t>
  </si>
  <si>
    <t>82,31</t>
  </si>
  <si>
    <t>193,28</t>
  </si>
  <si>
    <t>95,05</t>
  </si>
  <si>
    <t>71,56</t>
  </si>
  <si>
    <t>50,93</t>
  </si>
  <si>
    <t>27,41</t>
  </si>
  <si>
    <t>28,01</t>
  </si>
  <si>
    <t>34,53</t>
  </si>
  <si>
    <t>125,92</t>
  </si>
  <si>
    <t>24,17</t>
  </si>
  <si>
    <t>20,67</t>
  </si>
  <si>
    <t>40,93</t>
  </si>
  <si>
    <t>49,75</t>
  </si>
  <si>
    <t>41,10</t>
  </si>
  <si>
    <t>63,80</t>
  </si>
  <si>
    <t>59,75</t>
  </si>
  <si>
    <t>61,19</t>
  </si>
  <si>
    <t>6,57</t>
  </si>
  <si>
    <t>23,50</t>
  </si>
  <si>
    <t>37,37</t>
  </si>
  <si>
    <t>101,35</t>
  </si>
  <si>
    <t>27,44</t>
  </si>
  <si>
    <t>4,79</t>
  </si>
  <si>
    <t>17,62</t>
  </si>
  <si>
    <t>52,10</t>
  </si>
  <si>
    <t>78,23</t>
  </si>
  <si>
    <t>63,03</t>
  </si>
  <si>
    <t>51,25</t>
  </si>
  <si>
    <t>108,24</t>
  </si>
  <si>
    <t>65,67</t>
  </si>
  <si>
    <t>137,99</t>
  </si>
  <si>
    <t>58,42</t>
  </si>
  <si>
    <t>147,54</t>
  </si>
  <si>
    <t>51,29</t>
  </si>
  <si>
    <t>161,70</t>
  </si>
  <si>
    <t>9,46</t>
  </si>
  <si>
    <t>70,68</t>
  </si>
  <si>
    <t>28,09</t>
  </si>
  <si>
    <t>24,68</t>
  </si>
  <si>
    <t>17,51</t>
  </si>
  <si>
    <t>12,85</t>
  </si>
  <si>
    <t>29,50</t>
  </si>
  <si>
    <t>14,46</t>
  </si>
  <si>
    <t>24,38</t>
  </si>
  <si>
    <t>37,49</t>
  </si>
  <si>
    <t>46,80</t>
  </si>
  <si>
    <t>58,11</t>
  </si>
  <si>
    <t>73,78</t>
  </si>
  <si>
    <t>39,80</t>
  </si>
  <si>
    <t>76,88</t>
  </si>
  <si>
    <t>73,86</t>
  </si>
  <si>
    <t>5,15</t>
  </si>
  <si>
    <t>9,87</t>
  </si>
  <si>
    <t>6,21</t>
  </si>
  <si>
    <t>18,78</t>
  </si>
  <si>
    <t>13,45</t>
  </si>
  <si>
    <t>30,24</t>
  </si>
  <si>
    <t>23,97</t>
  </si>
  <si>
    <t>6,62</t>
  </si>
  <si>
    <t>8,02</t>
  </si>
  <si>
    <t>14,74</t>
  </si>
  <si>
    <t>9,08</t>
  </si>
  <si>
    <t>18,73</t>
  </si>
  <si>
    <t>13,40</t>
  </si>
  <si>
    <t>26,59</t>
  </si>
  <si>
    <t>39,69</t>
  </si>
  <si>
    <t>29,32</t>
  </si>
  <si>
    <t>22,01</t>
  </si>
  <si>
    <t>23,05</t>
  </si>
  <si>
    <t>48,41</t>
  </si>
  <si>
    <t>72,12</t>
  </si>
  <si>
    <t>34,46</t>
  </si>
  <si>
    <t>31,91</t>
  </si>
  <si>
    <t>20,28</t>
  </si>
  <si>
    <t>53,35</t>
  </si>
  <si>
    <t>20,30</t>
  </si>
  <si>
    <t>14,33</t>
  </si>
  <si>
    <t>44,88</t>
  </si>
  <si>
    <t>33,88</t>
  </si>
  <si>
    <t>28,51</t>
  </si>
  <si>
    <t>57,40</t>
  </si>
  <si>
    <t>60,05</t>
  </si>
  <si>
    <t>66,84</t>
  </si>
  <si>
    <t>63,91</t>
  </si>
  <si>
    <t>16,10</t>
  </si>
  <si>
    <t>17,82</t>
  </si>
  <si>
    <t>41,25</t>
  </si>
  <si>
    <t>10,82</t>
  </si>
  <si>
    <t>15,29</t>
  </si>
  <si>
    <t>41,81</t>
  </si>
  <si>
    <t>68,43</t>
  </si>
  <si>
    <t>32,43</t>
  </si>
  <si>
    <t>37,26</t>
  </si>
  <si>
    <t>36,80</t>
  </si>
  <si>
    <t>38,31</t>
  </si>
  <si>
    <t>13,61</t>
  </si>
  <si>
    <t>36,31</t>
  </si>
  <si>
    <t>26,75</t>
  </si>
  <si>
    <t>42,86</t>
  </si>
  <si>
    <t>54,63</t>
  </si>
  <si>
    <t>191,50</t>
  </si>
  <si>
    <t>74,81</t>
  </si>
  <si>
    <t>35,81</t>
  </si>
  <si>
    <t>23,33</t>
  </si>
  <si>
    <t>33,49</t>
  </si>
  <si>
    <t>48,23</t>
  </si>
  <si>
    <t>39,64</t>
  </si>
  <si>
    <t>93,79</t>
  </si>
  <si>
    <t>138,13</t>
  </si>
  <si>
    <t>23,71</t>
  </si>
  <si>
    <t>24,77</t>
  </si>
  <si>
    <t>28,20</t>
  </si>
  <si>
    <t>77,87</t>
  </si>
  <si>
    <t>28,13</t>
  </si>
  <si>
    <t>53,23</t>
  </si>
  <si>
    <t>110,81</t>
  </si>
  <si>
    <t>20,09</t>
  </si>
  <si>
    <t>52,84</t>
  </si>
  <si>
    <t>192,17</t>
  </si>
  <si>
    <t>40,61</t>
  </si>
  <si>
    <t>93,25</t>
  </si>
  <si>
    <t>95,62</t>
  </si>
  <si>
    <t>28,29</t>
  </si>
  <si>
    <t>72,58</t>
  </si>
  <si>
    <t>29,08</t>
  </si>
  <si>
    <t>8,77</t>
  </si>
  <si>
    <t>32,90</t>
  </si>
  <si>
    <t>11,16</t>
  </si>
  <si>
    <t>22,39</t>
  </si>
  <si>
    <t>33,68</t>
  </si>
  <si>
    <t>24,61</t>
  </si>
  <si>
    <t>17,53</t>
  </si>
  <si>
    <t>15,67</t>
  </si>
  <si>
    <t>12,88</t>
  </si>
  <si>
    <t>18,18</t>
  </si>
  <si>
    <t>26,96</t>
  </si>
  <si>
    <t>66,75</t>
  </si>
  <si>
    <t>36,19</t>
  </si>
  <si>
    <t>36,21</t>
  </si>
  <si>
    <t>142,16</t>
  </si>
  <si>
    <t>27,15</t>
  </si>
  <si>
    <t>27,13</t>
  </si>
  <si>
    <t>56,48</t>
  </si>
  <si>
    <t>147,10</t>
  </si>
  <si>
    <t>14,01</t>
  </si>
  <si>
    <t>24,67</t>
  </si>
  <si>
    <t>32,88</t>
  </si>
  <si>
    <t>19,28</t>
  </si>
  <si>
    <t>51,05</t>
  </si>
  <si>
    <t>24,62</t>
  </si>
  <si>
    <t>31,62</t>
  </si>
  <si>
    <t>49,01</t>
  </si>
  <si>
    <t>79,10</t>
  </si>
  <si>
    <t>185,75</t>
  </si>
  <si>
    <t>159,54</t>
  </si>
  <si>
    <t>16,39</t>
  </si>
  <si>
    <t>201,95</t>
  </si>
  <si>
    <t>42,05</t>
  </si>
  <si>
    <t>48,81</t>
  </si>
  <si>
    <t>29,21</t>
  </si>
  <si>
    <t>22,25</t>
  </si>
  <si>
    <t>78,79</t>
  </si>
  <si>
    <t>19,17</t>
  </si>
  <si>
    <t>9,92</t>
  </si>
  <si>
    <t>13,00</t>
  </si>
  <si>
    <t>16,27</t>
  </si>
  <si>
    <t>25,25</t>
  </si>
  <si>
    <t>29,16</t>
  </si>
  <si>
    <t>20,32</t>
  </si>
  <si>
    <t>19,99</t>
  </si>
  <si>
    <t>40,85</t>
  </si>
  <si>
    <t>28,84</t>
  </si>
  <si>
    <t>34,62</t>
  </si>
  <si>
    <t>56,56</t>
  </si>
  <si>
    <t>86,24</t>
  </si>
  <si>
    <t>43,40</t>
  </si>
  <si>
    <t>38,62</t>
  </si>
  <si>
    <t>80,95</t>
  </si>
  <si>
    <t>206,25</t>
  </si>
  <si>
    <t>232,17</t>
  </si>
  <si>
    <t>42,78</t>
  </si>
  <si>
    <t>40,69</t>
  </si>
  <si>
    <t>111,84</t>
  </si>
  <si>
    <t>116,88</t>
  </si>
  <si>
    <t>32,13</t>
  </si>
  <si>
    <t>59,09</t>
  </si>
  <si>
    <t>72,44</t>
  </si>
  <si>
    <t>109,49</t>
  </si>
  <si>
    <t>52,74</t>
  </si>
  <si>
    <t>83,05</t>
  </si>
  <si>
    <t>21,01</t>
  </si>
  <si>
    <t>36,01</t>
  </si>
  <si>
    <t>68,25</t>
  </si>
  <si>
    <t>32,27</t>
  </si>
  <si>
    <t>56,28</t>
  </si>
  <si>
    <t>10,45</t>
  </si>
  <si>
    <t>8,92</t>
  </si>
  <si>
    <t>41,99</t>
  </si>
  <si>
    <t>75,10</t>
  </si>
  <si>
    <t>35,45</t>
  </si>
  <si>
    <t>77,01</t>
  </si>
  <si>
    <t>80,99</t>
  </si>
  <si>
    <t>35,52</t>
  </si>
  <si>
    <t>57,90</t>
  </si>
  <si>
    <t>76,75</t>
  </si>
  <si>
    <t>72,14</t>
  </si>
  <si>
    <t>102,44</t>
  </si>
  <si>
    <t>109,16</t>
  </si>
  <si>
    <t>133,19</t>
  </si>
  <si>
    <t>53,61</t>
  </si>
  <si>
    <t>24,56</t>
  </si>
  <si>
    <t>4,49</t>
  </si>
  <si>
    <t>40,52</t>
  </si>
  <si>
    <t>20,73</t>
  </si>
  <si>
    <t>2,80</t>
  </si>
  <si>
    <t>12,39</t>
  </si>
  <si>
    <t>8,64</t>
  </si>
  <si>
    <t>13,43</t>
  </si>
  <si>
    <t>13,11</t>
  </si>
  <si>
    <t>12,42</t>
  </si>
  <si>
    <t>ESCAVAÇÃO MECANIZADA DE VALA COM PROF. ATÉ 1,5 M (MÉDIA ENTRE MONTANTE E JUSANTE/UMA COMPOSIÇÃO POR TRECHO), COM ESCAVADEIRA HIDRÁULICA (0,8 M3), LARG. DE 1,5 M A 2,5 M, EM SOLO DE 1A CATEGORIA, EM LOCAIS COM ALTO NÍVEL DE INTERFERÊNCIA. AF_02/2021</t>
  </si>
  <si>
    <t>ESCAVAÇÃO MECANIZADA DE VALA COM PROF. MAIOR QUE 1,5 M ATÉ 3,0 M (MÉDIA ENTRE MONTANTE E JUSANTE/UMA COMPOSIÇÃO POR TRECHO), COM ESCAVADEIRA HIDRÁULICA (0,8 M3/111 HP), LARGURA ATÉ 1,5 M, EM SOLO DE 1A CATEGORIA, EM LOCAIS COM ALTO NÍVEL DE INTERFERÊNCIA. AF_02/2021</t>
  </si>
  <si>
    <t>7,02</t>
  </si>
  <si>
    <t>ESCAVAÇÃO MECANIZADA DE VALA COM PROF. MAIOR QUE 3,0 M ATÉ 4,5 M(MÉDIA ENTRE MONTANTE E JUSANTE/UMA COMPOSIÇÃO POR TRECHO), COM ESCAVADEIRA HIDRÁULICA (0,8 M3/111 HP), LARG. MENOR QUE 1,5 M, EM SOLO DE 1A CATEGORIA, EM LOCAIS COM ALTO NÍVEL DE INTERFERÊNCIA. AF_02/2021</t>
  </si>
  <si>
    <t>ESCAVAÇÃO MECANIZADA DE VALA COM PROF. DE 3,0 M ATÉ 4,5 M(MÉDIA ENTRE MONTANTE E JUSANTE/UMA COMPOSIÇÃO POR TRECHO), COM ESCAVADEIRA HIDRÁULICA (1,2 M3/155 HP), LARG. DE 1,5 M A 2,5 M, EM SOLO DE 1A CATEGORIA, EM LOCAIS COM ALTO NÍVEL DE INTERFERÊNCIA. AF_02/2021</t>
  </si>
  <si>
    <t>6,03</t>
  </si>
  <si>
    <t>ESCAVAÇÃO MECANIZADA DE VALA COM PROF. MAIOR QUE 4,5 M ATÉ 6,0 M(MÉDIA ENTRE MONTANTE E JUSANTE/UMA COMPOSIÇÃO POR TRECHO), COM ESCAVADEIRA HIDRÁULICA (1,2 M3/155 HP), LARG. DE 1,5 M A 2,5 M, EM SOLO DE 1A CATEGORIA, EM LOCAIS COM ALTO NÍVEL DE INTERFERÊNCIA. AF_02/2021</t>
  </si>
  <si>
    <t>ESCAVAÇÃO MECANIZADA DE VALA COM PROF. ATÉ 1,5 M(MÉDIA ENTRE MONTANTE E JUSANTE/UMA COMPOSIÇÃO POR TRECHO), COM ESCAVADEIRA HIDRÁULICA (0,8 M3), LARG. DE 1,5M A 2,5 M, EM SOLO DE 1A CATEGORIA, LOCAIS COM BAIXO NÍVEL DE INTERFERÊNCIA. AF_02/2021</t>
  </si>
  <si>
    <t>ESCAVAÇÃO MECANIZADA DE VALA COM PROF. MAIOR QUE 1,5 M E ATÉ 3,0 M(MÉDIA ENTRE MONTANTE E JUSANTE/UMA COMPOSIÇÃO POR TRECHO), COM ESCAVADEIRA HIDRÁULICA (0,8 M3/111 HP), LARG. MENOR QUE 1,5 M, EM SOLO DE 1A CATEGORIA, LOCAIS COM BAIXO NÍVEL DE INTERFERÊNCIA. AF_02/2021</t>
  </si>
  <si>
    <t>ESCAVAÇÃO MECANIZADA DE VALA COM PROF. MAIOR QUE 3,0 M ATÉ 4,5 M (MÉDIA ENTRE MONTANTE E JUSANTE/UMA COMPOSIÇÃO POR TRECHO), COM ESCAVADEIRA HIDRÁULICA (0,8 M3/111 HP), LARG. MENOR QUE 1,5 M, EM SOLO DE 1A CATEGORIA, LOCAIS COM BAIXO NÍVEL DE INTERFERÊNCIA. AF_02/2021</t>
  </si>
  <si>
    <t>ESCAVAÇÃO MECANIZADA DE VALA COM PROF. MAIOR QUE 3,0 M ATÉ 4,5 M (MÉDIA ENTRE MONTANTE E JUSANTE/UMA COMPOSIÇÃO POR TRECHO), COM ESCAVADEIRA HIDRÁULICA (1,2 M3/155 HP), LARG. DE 1,5 M A 2,5 M, EM SOLO DE 1A CATEGORIA, LOCAIS COM BAIXO NÍVEL DE INTERFERÊNCIA. AF_02/2021</t>
  </si>
  <si>
    <t>3,32</t>
  </si>
  <si>
    <t>ESCAVAÇÃO MECANIZADA DE VALA COM PROF. MAIOR QUE 4,5 M ATÉ 6,0 M (MÉDIA ENTRE MONTANTE E JUSANTE/UMA COMPOSIÇÃO POR TRECHO), COM ESCAVADEIRA HIDRÁULICA (1,2 M3/155 HP), LARG. DE 1,5 M A 2,5 M, EM SOLO DE 1A CATEGORIA, LOCAIS COM BAIXO NÍVEL DE INTERFERÊNCIA. AF_02/2021</t>
  </si>
  <si>
    <t>ESCAVAÇÃO MECANIZADA DE VALA COM PROF. ATÉ 1,5 M (MÉDIA ENTRE MONTANTE E JUSANTE/UMA COMPOSIÇÃO POR TRECHO), COM RETROESCAVADEIRA (0,26 M3/88 HP), LARG. MENOR QUE 0,8 M, EM SOLO DE 1A CATEGORIA, EM LOCAIS COM ALTO NÍVEL DE INTERFERÊNCIA. AF_02/2021</t>
  </si>
  <si>
    <t>ESCAVAÇÃO MECANIZADA DE VALA COM PROF. ATÉ 1,5 M (MÉDIA ENTRE MONTANTE E JUSANTE/UMA COMPOSIÇÃO POR TRECHO), COM RETROESCAVADEIRA (0,26 M3/88 HP), LARG. DE 0,8 M A 1,5 M, EM SOLO DE 1A CATEGORIA, EM LOCAIS COM ALTO NÍVEL DE INTERFERÊNCIA. AF_02/2021</t>
  </si>
  <si>
    <t>ESCAVAÇÃO MECANIZADA DE VALA COM PROF. MAIOR QUE 1,5 M ATÉ 3,0 M (MÉDIA ENTRE MONTANTE E JUSANTE/UMA COMPOSIÇÃO POR TRECHO), COM RETROESCAVADEIRA (0,26 M3/88 HP), LARG. MENOR QUE 0,8 M, EM SOLO DE 1A CATEGORIA, EM LOCAIS COM ALTO NÍVEL DE INTERFERÊNCIA.AF_02/2021</t>
  </si>
  <si>
    <t>ESCAVAÇÃO MECANIZADA DE VALA COM PROF. MAIOR QUE 1,5 M ATÉ 3,0 M (MÉDIA ENTRE MONTANTE E JUSANTE/UMA COMPOSIÇÃO POR TRECHO), COM RETROESCAVADEIRA (0,26 M3/ POTÊNCIA:88 HP), LARGURA DE 0,8 M A 1,5 M, EM SOLO DE 1A CATEGORIA, EM LOCAIS COM ALTO NÍVEL DE INTERFERÊNCIA. AF_02/2021</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</si>
  <si>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AF_02/2021</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</si>
  <si>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AF_02/2021</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</si>
  <si>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AF_02/2021</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</si>
  <si>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AF_02/2021</t>
  </si>
  <si>
    <t>ESCAVAÇÃO MANUAL DE VALA COM PROFUNDIDADE MENOR OU IGUAL A 1,30 M. AF_02/2021</t>
  </si>
  <si>
    <t>ESCAVAÇÃO MECANIZADA DE VALA COM PROF. ATÉ 1,5 M (MÉDIA ENTRE MONTANTE E JUSANTE/UMA COMPOSIÇÃO POR TRECHO), COM ESCAVADEIRA HIDRÁULICA (0,8 M3/111 HP), LARG. MENOR QUE  1,5 M, EM SOLO DE 1A CATEGORIA, EM LOCAIS COM ALTO NÍVEL DE INTERFERÊNCIA. AF_02/2021</t>
  </si>
  <si>
    <t>ESCAVAÇÃO MECANIZADA DE VALA COM PROF. MAIOR QUE  4,5 M ATÉ 6,0 M (MÉDIA ENTRE MONTANTE E JUSANTE/UMA COMPOSIÇÃO POR TRECHO), COM ESCAVADEIRA HIDRÁULICA (0,8 M3/111 H P), LARG. MENOR QUE 1,5 M, EM SOLO DE 1A CATEGORIA, EM LOCAIS COM ALTO NÍVEL DE INTERFERÊNCIA. AF_02/2021</t>
  </si>
  <si>
    <t>ESCAVAÇÃO MECANIZADA DE VALA COM PROF. MAIOR QUE 1,50 M ATÉ 3,0 M (MÉDIA ENTRE MONTANTE E JUSANTE/UMA COMPOSIÇÃO POR TRECHO), COM ESCAVADEIRA HIDRÁULICA (1,2 M3/155 HP), LARG. DE 1,5 M A 2,5 M, EM SOLO DE 1A CATEGORIA, EM LOCAIS COM ALTO NÍVEL DE INTERFERÊNCIA. AF_02/2021</t>
  </si>
  <si>
    <t>ESCAVAÇÃO MECANIZADA DE VALA COM PROF. ATÉ 1,5 M (MÉDIA ENTRE MONTANTE E JUSANTE/UMA COMPOSIÇÃO POR TRECHO), COM ESCAVADEIRA HIDRÁULICA (0,8 M3/111 HP),LARG. MENOR QUE 1,5 M, EM SOLO DE 1A CATEGORIA, LOCAIS COM BAIXO NÍVEL DE INTERFERÊNCIA. AF_02/2021</t>
  </si>
  <si>
    <t>ESCAVAÇÃO MECANIZADA DE VALA COM PROF. MAIOR QUE 4,5 M ATÉ 6,0 M (MÉDIA ENTRE MONTANTE E JUSANTE/UMA COMPOSIÇÃO POR TRECHO),COM ESCAVADEIRA HIDRÁULICA (0,8 M3/111 HP), LARG. MENOR QUE 1,5 M, EM SOLO DE 1A CATEGORIA, LOCAIS COM BAIXO NÍVEL DE INTERFERÊNCIA. AF_02/2021</t>
  </si>
  <si>
    <t>ESCAVAÇÃO MECANIZADA DE VALA COM PROF. MAIOR QUE 1,5 M ATÉ 3,0 M (MÉDIA ENTRE MONTANTE E JUSANTE/UMA COMPOSIÇÃO POR TRECHO),COM ESCAVADEIRA HIDRÁULICA (1,2 M3/155 HP),LARG. DE 1,5 M A 2,5 M, EM SOLO DE 1A CATEGORIA, LOCAIS COM BAIXO NÍVEL DE INTERFERÊNCIA. AF_02/2021</t>
  </si>
  <si>
    <t>ESCAVAÇÃO MECANIZADA DE VALA COM PROF. ATÉ 1,5 M (MÉDIA ENTRE MONTANTE E JUSANTE/UMA COMPOSIÇÃO POR TRECHO), COM ESCAVADEIRA HIDRÁULICA (0,8 M3/111 HP),LARG. MENOR QUE 1,5 M, EM SOLO DE MOLE, EM LOCAIS COM ALTO NÍVEL DE INTERFERÊNCIA. AF_02/2021</t>
  </si>
  <si>
    <t>ESCAVAÇÃO MECANIZADA DE VALA COM PROF. ATÉ 1,5 M (MÉDIA ENTRE MONTANTE E JUSANTE/UMA COMPOSIÇÃO POR TRECHO), COM ESCAVADEIRA HIDRÁULICA (0,8 M3/111 HP), LARG. DE 1,5 M A 2,5 M, EM SOLO MOLE, EM LOCAIS COM ALTO NÍVEL DE INTERFERÊNCIA. AF_02/2021</t>
  </si>
  <si>
    <t>ESCAVAÇÃO MECANIZADA DE VALA COM PROF. MAIOR QUE 1,5 M ATÉ 3,0 M (MÉDIA ENTRE MONTANTE E JUSANTE/UMA COMPOSIÇÃO POR TRECHO), COM ESCAVADEIRA HIDRÁULICA (0,8 M3/111 HP), LARGURA ATÉ 1,5 M, EM SOLO MOLE, EM LOCAIS COM ALTO NÍVEL DE INTERFERÊNCIA. AF_02/2021</t>
  </si>
  <si>
    <t>ESCAVAÇÃO MECANIZADA DE VALA COM PROF. MAIOR QUE 3,0 M ATÉ 4,5 M (MÉDIA ENTRE MONTANTE E JUSANTE/UMA COMPOSIÇÃO POR TRECHO), COM ESCAVADEIRA HIDRÁULICA (0,8 M3/111 HP), LARG. MENOR QUE 1,5 M, EM SOLO  MOLE, EM LOCAIS COM ALTO NÍVEL DE INTERFERÊNCIA. AF_02/2021</t>
  </si>
  <si>
    <t>ESCAVAÇÃO MECANIZADA DE VALA COM PROF. MAIOR QUE 1,5 M ATÉ 3,0 M (MÉDIA ENTRE MONTANTE E JUSANTE/UMA COMPOSIÇÃO POR TRECHO),COM ESCAVADEIRA HIDRÁULICA (1,2 M3/155 HP),LARG. DE 1,5 M A 2,5 M, EM SOLO MOLE, EM LOCAIS COM ALTO NÍVEL DE INTERFERÊNCIA. AF_02/2021</t>
  </si>
  <si>
    <t>ESCAVAÇÃO MECANIZADA DE VALA COM PROF. DE 3,0 M ATÉ 4,5 M (MÉDIA ENTRE MONTANTE E JUSANTE/UMA COMPOSIÇÃO POR TRECHO), COM ESCAVADEIRA HIDRÁULICA (1,2 M3/155 HP), LARG. DE 1,5 M A 2,5 M, EM SOLO MOLE, EM LOCAIS COM ALTO NÍVEL DE INTERFERÊNCIA. AF_02/2021</t>
  </si>
  <si>
    <t>6,71</t>
  </si>
  <si>
    <t>ESCAVAÇÃO MECANIZADA DE VALA COM PROF. MAIOR QUE 4,5 M ATÉ 6,0 M (MÉDIA ENTRE MONTANTE E JUSANTE/UMA COMPOSIÇÃO POR TRECHO), COM ESCAVADEIRA HIDRÁULICA (1,2 M3/155 HP), LARG. DE 1,5 M A 2,5 M, EM SOLO MOLE , EM LOCAIS COM ALTO NÍVEL DE INTERFERÊNCIA. AF_02/2021</t>
  </si>
  <si>
    <t>ESCAVAÇÃO MECANIZADA DE VALA COM PROF. ATÉ 1,5 M (MÉDIA ENTRE MONTANTE E JUSANTE/UMA COMPOSIÇÃO POR TRECHO), COM ESCAVADEIRA HIDRÁULICA (0,8 M3/111 HP),LARG. MENOR QUE 1,5 M, EM SOLO MOLE, LOCAIS COM BAIXO NÍVEL DE INTERFERÊNCIA. AF_02/2021</t>
  </si>
  <si>
    <t>ESCAVAÇÃO MECANIZADA DE VALA COM PROF. ATÉ 1,5 M (MÉDIA ENTRE MONTANTE E JUSANTE/UMA COMPOSIÇÃO POR TRECHO), COM ESCAVADEIRA HIDRÁULICA (0,8 M3/111 HP), LARG. DE 1,5 M A 2,5 M, EM SOLO MOLE, LOCAIS COM BAIXO NÍVEL DE INTERFERÊNCIA. AF_02/2021</t>
  </si>
  <si>
    <t>ESCAVAÇÃO MECANIZADA DE VALA COM PROF. MAIOR QUE 1,5 M E ATÉ 3,0 M (MÉDIA ENTRE MONTANTE E JUSANTE/UMA COMPOSIÇÃO POR TRECHO), COM ESCAVADEIRA HIDRÁULICA (0,8 M3/111 HP), LARG. MENOR QUE 1,5 M, EM SOLO MOLE, LOCAIS COM BAIXO NÍVEL DE INTERFERÊNCIA. AF_02/2021</t>
  </si>
  <si>
    <t>ESCAVAÇÃO MECANIZADA DE VALA COM PROF.MAIOR QUE 3,0 M ATÉ 4,5 M (MÉDIA ENTRE MONTANTE E JUSANTE/UMA COMPOSIÇÃO POR TRECHO), COM ESCAVADEIRA HIDRÁULICA (0,8 M3/111 HP), LARG. MENOR QUE 1,5 M, EM SOLO MOLE, LOCAIS COM BAIXO NÍVEL DE INTERFERÊNCIA. AF_02/2021</t>
  </si>
  <si>
    <t>ESCAVAÇÃO MECANIZADA DE VALA COM PROF. MAIOR QUE 4,5 M ATÉ 6,0 M (MÉDIA ENTRE MONTANTE E JUSANTE/UMA COMPOSIÇÃO POR TRECHO),COM ESCAVADEIRA HIDRÁULICA (0,8 M3/111 HP), LARG. MENOR QUE 1,5 M, EM SOLO MOLE, LOCAIS COM BAIXO NÍVEL DE INTERFERÊNCIA. AF_02/2021</t>
  </si>
  <si>
    <t>ESCAVAÇÃO MECANIZADA DE VALA COM PROF. MAIOR QUE 1,5 M ATÉ 3,0 M (MÉDIA ENTRE MONTANTE E JUSANTE/UMA COMPOSIÇÃO POR TRECHO),COM ESCAVADEIRA HIDRÁULICA (1,2 M3/155 HP), LARG. DE 1,5 M A 2,5 M, EM SOLO MOLE, LOCAIS COM BAIXO NÍVEL DE INTERFERÊNCIA. AF_02/2021</t>
  </si>
  <si>
    <t>ESCAVAÇÃO MECANIZADA DE VALA COM PROF. MAIOR QUE 3,0 M ATÉ 4,5 M (MÉDIA ENTRE MONTANTE E JUSANTE/UMA COMPOSIÇÃO POR TRECHO), COM ESCAVADEIRA HIDRÁULICA (1,2 M3/155 HP), LARG. DE 1,5 M A 2,5 M, EM SOLO MOLE, LOCAIS COM BAIXO NÍVEL DE INTERFERÊNCIA. AF_02/2021</t>
  </si>
  <si>
    <t>ESCAVAÇÃO MECANIZADA DE VALA COM PROF. MAIOR QUE 4,5 M ATÉ 6,0 M (MÉDIA ENTRE MONTANTE E JUSANTE/UMA COMPOSIÇÃO POR TRECHO), COM ESCAVADEIRA HIDRÁULICA (1,2 M3/155 HP), LARG. DE 1,5 M A 2,5 M, EM SOLO MOLE, LOCAIS COM BAIXO NÍVEL DE INTERFERÊNCIA. AF_02/2021</t>
  </si>
  <si>
    <t>ESCAVAÇÃO MECANIZADA DE VALA COM PROF. ATÉ 1,5 M (MÉDIA ENTRE MONTANTE E JUSANTE/UMA COMPOSIÇÃO POR TRECHO), COM RETROESCAVADEIRA (0,26 M3/88 HP), LARG. MENOR QUE 0,8 M, EM SOLO MOLE, EM LOCAIS COM ALTO NÍVEL DE INTERFERÊNCIA. AF_02/2021</t>
  </si>
  <si>
    <t>ESCAVAÇÃO MECANIZADA DE VALA COM PROF. ATÉ 1,5 M (MÉDIA ENTRE MONTANTE E JUSANTE/UMA COMPOSIÇÃO POR TRECHO), COM RETROESCAVADEIRA (0,26 M3/88 HP), LARG. DE 0,8 M A 1,5 M, EM SOLO MOLE, EM LOCAIS COM ALTO NÍVEL DE INTERFERÊNCIA. AF_02/2021</t>
  </si>
  <si>
    <t>ESCAVAÇÃO MECANIZADA DE VALA COM PROF. MAIOR QUE 1,5 M ATÉ 3,0 M (MÉDIA ENTRE MONTANTE E JUSANTE/UMA COMPOSIÇÃO POR TRECHO), COM RETROESCAVADEIRA (0,26 M3/88 HP), LARG. MENOR QUE 0,8 M, EM SOLO MOLE, EM LOCAIS COM ALTO NÍVEL DE INTERFERÊNCIA. AF_02/2021</t>
  </si>
  <si>
    <t>ESCAVAÇÃO MECANIZADA DE VALA COM PROF. MAIOR QUE 1,5 M ATÉ 3,0 M (MÉDIA ENTRE MONTANTE E JUSANTE/UMA COMPOSIÇÃO POR TRECHO), COM RETROESCAVADEIRA (0,26 M3/ 88 HP), LARG. DE 0,8 M A 1,5 M, EM SOLO MOLE, EM LOCAIS COM ALTO NÍVEL DE INTERFERÊNCIA. AF_02/2021</t>
  </si>
  <si>
    <t>ESCAVAÇÃO MECANIZADA DE VALA COM PROF. ATÉ 1,5 M (MÉDIA ENTRE MONTANTE E JUSANTE/UMA COMPOSIÇÃO POR TRECHO) COM RETROESCAVADEIRA (0,26 M3 /88 HP), LARG. MENOR  QUE 0,8 M, EM SOLO MOLE, LOCAIS COM BAIXO NÍVEL DE NTERFERÊNCIA.  AF_02/2021</t>
  </si>
  <si>
    <t>6,54</t>
  </si>
  <si>
    <t>ESCAVAÇÃO MECANIZADA DE VALA COM PROF. ATÉ 1,5 M (MÉDIA ENTRE MONTANTE E JUSANTE/UMA COMPOSIÇÃO POR TRECHO) COM RETROESCAVADEIRA (0,26 M3 / 88 HP), LARG. DE 0,8 M A 1,5 M, EM SOLO MOLE, LOCAIS COM BAIXO NÍVEL DE INTERFERÊNCIA. AF_02/2021</t>
  </si>
  <si>
    <t>ESCAVAÇÃO MECANIZADA DE VALA COM PROF. MAIOR QUE 1,5 M ATÉ 3,0 M (MÉDIA ENTRE MONTANTE E JUSANTE/UMA COMPOSIÇÃO POR TRECHO) COM RETROESCAVADEIRA (0,26 M3 /88 HP),LARG. MENOR QUE 0,8 M, EM SOLO MOLE, LOCAIS COM BAIXO NÍVEL DE INTERFERÊNCIA. AF_02/2021</t>
  </si>
  <si>
    <t>ESCAVAÇÃO MECANIZADA DE VALA COM PROF. MAIOR QUE 1,5 M ATÉ 3,0 M (MÉDIA ENTRE MONTANTE E JUSANTE/UMA COMPOSIÇÃO POR TRECHO) COM RETROESCAVADEIRA (0,26 M3 / 88 HP), LARG. DE 0,8 M A 1,5 M, EM SOLO MOLE, LOCAIS COM BAIXO NÍVEL DE INTERFERÊNCIA. AF_02/2021</t>
  </si>
  <si>
    <t>ESCAVAÇÃO MECANIZADA DE VALA COM PROF. ATÉ 1,5 M (MÉDIA ENTRE MONTANTE E JUSANTE/UMA COMPOSIÇÃO POR TRECHO), COM ESCAVADEIRA HIDRÁULICA (0,8 M3/111 HP),LARG. ATÉ 1,5 M, EM SOLO DE 2A CATEGORIA, EM LOCAIS COM ALTO NÍVEL DE INTERFERÊNCIA.  AF_02/2021</t>
  </si>
  <si>
    <t>ESCAVAÇÃO MECANIZADA DE VALA COM PROF. ATÉ 1,5 M (MÉDIA ENTRE MONTANTE E JUSANTE/UMA COMPOSIÇÃO POR TRECHO), COM ESCAVADEIRA HIDRÁULICA (0,8 M3/111 HP), LARG. DE 1,5 M A 2,5 M, EM SOLO DE 2A CATEGORIA, EM LOCAIS COM ALTO NÍVEL DE INTERFERÊNCIA.  AF_02/2021</t>
  </si>
  <si>
    <t>ESCAVAÇÃO MECANIZADA DE VALA COM PROF. MAIOR QUE 1,5 M ATÉ 3,0 M (MÉDIA ENTRE MONTANTE E JUSANTE/UMA COMPOSIÇÃO POR TRECHO), COM ESCAVADEIRA HIDRÁULICA (0,8 M3/111 HP), LARG. ATÉ 1,5 M, EM SOLO DE 2A CATEGORIA, EM LOCAIS COM ALTO NÍVEL DE INTERFERÊNCIA.AF_02/2021</t>
  </si>
  <si>
    <t>ESCAVAÇÃO MECANIZADA DE VALA COM PROF. MAIOR QUE 3,0 M ATÉ 4,5 M (MÉDIA ENTRE MONTANTE E JUSANTE/UMA COMPOSIÇÃO POR TRECHO), COM ESCAVADEIRA HIDRÁULICA (0,8 M3/111 HP), LARG. MENOR QUE 1,5 M, EM SOLO DE 2A CATEGORIA, EM LOCAIS COM ALTO NÍVEL DE INTERFERÊNCIA.  AF_02/2021</t>
  </si>
  <si>
    <t>ESCAVAÇÃO MECANIZADA DE VALA COM PROF.MAIOR QUE 4,5 M ATÉ 6,0 M (MÉDIA ENTRE MONTANTE E JUSANTE/UMA COMPOSIÇÃO POR TRECHO),COM ESCAVADEIRA HIDRÁULICA (0,8 M3/111 HP), LARG. MENOR QUE 1,5 M, EM SOLO DE 2A CATEGORIA, EM LOCAIS COM ALTO NÍVEL DE INTERFERÊNCIA. AF_02/2021</t>
  </si>
  <si>
    <t>ESCAVAÇÃO MECANIZADA DE VALA COM PROF. MAIOR QUE 1,5 M ATÉ 3,0 M (MÉDIA ENTRE MONTANTE E JUSANTE/UMA COMPOSIÇÃO POR TRECHO),COM ESCAVADEIRA HIDRÁULICA (1,2 M3/155 HP),LARG. DE 1,5 M A 2,5 M, EM SOLO DE 2A CATEGORIA, EM LOCAIS COM ALTO NÍVEL DE INTERFERÊNCIA.  AF_02/2021</t>
  </si>
  <si>
    <t>ESCAVAÇÃO MECANIZADA DE VALA COM PROF. DE 3,0 M ATÉ 4,5 M (MÉDIA ENTRE MONTANTE E JUSANTE/UMA COMPOSIÇÃO POR TRECHO), COM ESCAVADEIRA HIDRÁULICA (1,2 M3/155 HP), LARG. DE 1,5 M A 2,5 M, EM SOLO DE 2A CATEGORIA, EM LOCAIS COM ALTO NÍVEL DE INTERFERÊNCIA.AF_02/2021</t>
  </si>
  <si>
    <t>ESCAVAÇÃO MECANIZADA DE VALA COM PROF. MAIOR QUE 4,5 M ATÉ 6,0 M (MÉDIA ENTRE MONTANTE E JUSANTE/UMA COMPOSIÇÃO POR TRECHO), COM ESCAVADEIRA HIDRÁULICA (1,2 M3/155 HP), LARG. DE 1,5 M A 2,5 M, EM SOLO DE 2A CATEGORIA, EM LOCAIS COM ALTO NÍVEL DE INTERFERÊNCIA. AF_02/2021</t>
  </si>
  <si>
    <t>ESCAVAÇÃO MECANIZADA DE VALA COM PROF. ATÉ 1,5 M (MÉDIA ENTRE MONTANTE E JUSANTE/UMA COMPOSIÇÃO POR TRECHO),COM ESCAVADEIRA HIDRÁULICA (0,8 M3/111 HP), LARG. MENOR QUE 1,5 M, EM SOLO DE 2A CATEGORIA, LOCAIS COM BAIXO NÍVEL DE INTERFERÊNCIA. AF_02/2021</t>
  </si>
  <si>
    <t>ESCAVAÇÃO MECANIZADA DE VALA COM PROF. ATÉ 1,5 M (MÉDIA ENTRE MONTANTE E JUSANTE/UMA COMPOSIÇÃO POR TRECHO), COM ESCAVADEIRA HIDRÁULICA (0,8 M3/111 HP), LARG. DE 1,5 M A 2,5 M, EM SOLO DE 2A CATEGORIA, LOCAIS COM BAIXO NÍVEL DE INTERFERÊNCIA. AF_02/2021</t>
  </si>
  <si>
    <t>ESCAVAÇÃO MECANIZADA DE VALA COM PROF. MAIOR QUE 1,5 M E ATÉ 3,0 M (MÉDIA ENTRE MONTANTE E JUSANTE/UMA COMPOSIÇÃO POR TRECHO), COM ESCAVADEIRA HIDRÁULICA (0,8 M3/111 HP), LARG. MENOR QUE 1,5 M, EM SOLO DE 2A CATEGORIA, LOCAIS COM BAIXO NÍVEL DE INTERFERÊNCIA. AF_02/2021</t>
  </si>
  <si>
    <t>ESCAVAÇÃO MECANIZADA DE VALA COM PROF.MAIOR QUE 3,0 M ATÉ 4,5 M (MÉDIA ENTRE MONTANTE E JUSANTE/UMA COMPOSIÇÃO POR TRECHO), COM ESCAVADEIRA HIDRÁULICA (0,8 M3/111 HP), LARG. MENOR QUE 1,5 M, EM SOLO DE 2A CATEGORIA, LOCAIS COM BAIXO NÍVEL DE INTERFERÊNCIA. AF_02/2021</t>
  </si>
  <si>
    <t>ESCAVAÇÃO MECANIZADA DE VALA COM PROF.MAIOR QUE 4,5 M ATÉ 6,0 M (MÉDIA ENTRE MONTANTE E JUSANTE/UMA COMPOSIÇÃO POR TRECHO),COM ESCAVADEIRA HIDRÁULICA (0,8 M3/111 HP), LARG. MENOR QUE 1,5 M, EM SOLO DE 2A CATEGORIA, EM LOCAIS COM BAIXO NÍVEL DE INTERFERÊNCIA. AF_02/2021</t>
  </si>
  <si>
    <t>ESCAVAÇÃO MECANIZADA DE VALA COM PROF. MAIOR QUE 1,5 M ATÉ 3,0 M (MÉDIA ENTRE MONTANTE E JUSANTE/UMA COMPOSIÇÃO POR TRECHO),COM ESCAVADEIRA HIDRÁULICA (1,2 M3/155 HP),LARG. DE 1,5 M A 2,5 M, EM SOLO DE 2A CATEGORIA, LOCAIS COM BAIXO NÍVEL DE INTERFERÊNCIA. AF_02/2021</t>
  </si>
  <si>
    <t>4,33</t>
  </si>
  <si>
    <t>ESCAVAÇÃO MECANIZADA DE VALA COM PROF. MAIOR QUE 3,0 M ATÉ 4,5 M (MÉDIA ENTRE MONTANTE E JUSANTE/UMA COMPOSIÇÃO POR TRECHO), COM ESCAVADEIRA HIDRÁULICA (1,2 M3/155 HP), LARG. DE 1,5 M A 2,5 M, EM SOLO DE 2A CATEGORIA, LOCAIS COM BAIXO NÍVEL DE INTERFERÊNCIA. AF_02/2021</t>
  </si>
  <si>
    <t>4,15</t>
  </si>
  <si>
    <t>ESCAVAÇÃO MECANIZADA DE VALA COM PROF. MAIOR QUE 4,5 M ATÉ 6,0 M (MÉDIA ENTRE MONTANTE E JUSANTE/UMA COMPOSIÇÃO POR TRECHO), COM ESCAVADEIRA HIDRÁULICA (1,2 M3/155 HP), LARG. DE 1,5 M A 2,5 M, EM SOLO DE 2A CATEGORIA, LOCAIS COM BAIXO NÍVEL DE INTERFERÊNCIA. AF_02/2021</t>
  </si>
  <si>
    <t>ESCAVAÇÃO MECANIZADA DE VALA COM PROF. ATÉ 1,5 M (MÉDIA ENTRE MONTANTE E JUSANTE/UMA COMPOSIÇÃO POR TRECHO), COM RETROESCAVADEIRA (0,26 M3/88 HP), LARG. MENOR QUE 0,8 M, EM SOLO DE 2A CATEGORIA, EM LOCAIS COM ALTO NÍVEL DE INTERFERÊNCIA. AF_02/2021</t>
  </si>
  <si>
    <t>ESCAVAÇÃO MECANIZADA DE VALA COM PROF. ATÉ 1,5 M (MÉDIA ENTRE MONTANTE E JUSANTE/UMA COMPOSIÇÃO POR TRECHO), COM RETROESCAVADEIRA (0,26 M3/88 HP), LARG. DE 0,8 M A 1,5 M, EM SOLO DE 2A CATEGORIA, EM LOCAIS COM ALTO NÍVEL DE INTERFERÊNCIA. AF_02/2021</t>
  </si>
  <si>
    <t>11,35</t>
  </si>
  <si>
    <t>ESCAVAÇÃO MECANIZADA DE VALA COM PROF. MAIOR QUE 1,5 M ATÉ 3,0 M (MÉDIA ENTRE MONTANTE E JUSANTE/UMA COMPOSIÇÃO POR TRECHO), COM RETROESCAVADEIRA (0,26 M3/88 HP), LARG. MENOR QUE 0,8 M, EM SOLO DE 2A CATEGORIA, EM LOCAIS COM ALTO NÍVEL DE INTERFERÊNCIA.AF_02/2021</t>
  </si>
  <si>
    <t>ESCAVAÇÃO MECANIZADA DE VALA COM PROF. MAIOR QUE 1,5 M ATÉ 3,0 M (MÉDIA ENTRE MONTANTE E JUSANTE/UMA COMPOSIÇÃO POR TRECHO), COM RETROESCAVADEIRA (0,26 M3/88 HP), LARG. DE 0,8 M A 1,5 M, EM SOLO DE 2ª CATEGORIA, EM LOCAIS COM ALTO NÍVEL DE INTERFERÊNCIA.AF_02/2021</t>
  </si>
  <si>
    <t>ESCAVAÇÃO MECANIZADA DE VALA COM PROF. ATÉ 1,5 M (MÉDIA ENTRE MONTANTE E JUSANTE/UMA COMPOSIÇÃO POR TRECHO) COM RETROESCAVADEIRA (0,26 M3/88 HP), LARGURA MENOR  QUE 0,8 M, EM SOLO DE 2A CATEGORIA, EM LOCAIS COM BAIXO NÍVEL DE NTERFERÊNCIA. AF_02/2021</t>
  </si>
  <si>
    <t>ESCAVAÇÃO MECANIZADA DE VALA COM PROF. ATÉ 1,5 M (MÉDIA ENTRE MONTANTE E JUSANTE/UMA COMPOSIÇÃO POR TRECHO) COM RETROESCAVADEIRA (0,26 M3 /88 HP), LARG. DE 0,8 M A 1,5 M, EM SOLO DE 2A CATEGORIA, EM LOCAIS COM BAIXO NÍVEL DE INTERFERÊNCIA. AF_02/2021</t>
  </si>
  <si>
    <t>ESCAVAÇÃO MECANIZADA DE VALA COM PROF. MAIOR QUE 1,5 M ATÉ 3,0 M (MÉDIA ENTRE MONTANTE E JUSANTE/UMA COMPOSIÇÃO POR TRECHO) COM RETROESCAVADEIRA (0,26 M3/ 88 HP),LARG. MENOR QUE 0,8 M, EM SOLO DE 2ª CATEGORIA, EM LOCAIS COM BAIXO NÍVEL DE INTERFERÊNCIA.AF_02/2021</t>
  </si>
  <si>
    <t>ESCAVAÇÃO MECANIZADA DE VALA COM PROF. MAIOR QUE 1,5 M ATÉ 3,0 M (MÉDIA ENTRE MONTANTE E JUSANTE/UMA COMPOSIÇÃO POR TRECHO) COM RETROESCAVADEIRA (0,26 M3 / 88 HP), LARG. DE 0,8 M A 1,5 M, EM SOLO DE 2ª CATEGORIA, EM LOCAIS COM BAIXO NÍVEL DE INTERFERÊNCIA. AF_02/2021</t>
  </si>
  <si>
    <t>23,58</t>
  </si>
  <si>
    <t>13,09</t>
  </si>
  <si>
    <t>65,97</t>
  </si>
  <si>
    <t>95,76</t>
  </si>
  <si>
    <t>86,54</t>
  </si>
  <si>
    <t>149,52</t>
  </si>
  <si>
    <t>71,41</t>
  </si>
  <si>
    <t>110,58</t>
  </si>
  <si>
    <t>70,41</t>
  </si>
  <si>
    <t>76,34</t>
  </si>
  <si>
    <t>88,63</t>
  </si>
  <si>
    <t>79,25</t>
  </si>
  <si>
    <t>90,63</t>
  </si>
  <si>
    <t>84,56</t>
  </si>
  <si>
    <t>72,19</t>
  </si>
  <si>
    <t>64,80</t>
  </si>
  <si>
    <t>99,35</t>
  </si>
  <si>
    <t>100,69</t>
  </si>
  <si>
    <t>57,49</t>
  </si>
  <si>
    <t>57,74</t>
  </si>
  <si>
    <t>91,89</t>
  </si>
  <si>
    <t>79,88</t>
  </si>
  <si>
    <t>118,88</t>
  </si>
  <si>
    <t>88,38</t>
  </si>
  <si>
    <t>20,52</t>
  </si>
  <si>
    <t>86,56</t>
  </si>
  <si>
    <t>43,84</t>
  </si>
  <si>
    <t>70,15</t>
  </si>
  <si>
    <t>46,32</t>
  </si>
  <si>
    <t>45,65</t>
  </si>
  <si>
    <t>115,88</t>
  </si>
  <si>
    <t>195,42</t>
  </si>
  <si>
    <t>256,05</t>
  </si>
  <si>
    <t>22,44</t>
  </si>
  <si>
    <t>50,53</t>
  </si>
  <si>
    <t>64,51</t>
  </si>
  <si>
    <t>56,55</t>
  </si>
  <si>
    <t>87,97</t>
  </si>
  <si>
    <t>138,19</t>
  </si>
  <si>
    <t>18,88</t>
  </si>
  <si>
    <t>11,69</t>
  </si>
  <si>
    <t>44,26</t>
  </si>
  <si>
    <t>26,84</t>
  </si>
  <si>
    <t>20,22</t>
  </si>
  <si>
    <t>11,59</t>
  </si>
  <si>
    <t>13,68</t>
  </si>
  <si>
    <t>17,43</t>
  </si>
  <si>
    <t>24,21</t>
  </si>
  <si>
    <t>6,31</t>
  </si>
  <si>
    <t>20,01</t>
  </si>
  <si>
    <t>12,59</t>
  </si>
  <si>
    <t>11,78</t>
  </si>
  <si>
    <t>19,90</t>
  </si>
  <si>
    <t>19,95</t>
  </si>
  <si>
    <t>38,37</t>
  </si>
  <si>
    <t>39,91</t>
  </si>
  <si>
    <t>20,88</t>
  </si>
  <si>
    <t>36,27</t>
  </si>
  <si>
    <t>43,78</t>
  </si>
  <si>
    <t>37,18</t>
  </si>
  <si>
    <t>86,16</t>
  </si>
  <si>
    <t>38,66</t>
  </si>
  <si>
    <t>31,94</t>
  </si>
  <si>
    <t>25,81</t>
  </si>
  <si>
    <t>32,62</t>
  </si>
  <si>
    <t>154,25</t>
  </si>
  <si>
    <t>106,71</t>
  </si>
  <si>
    <t>71,08</t>
  </si>
  <si>
    <t>131,87</t>
  </si>
  <si>
    <t>101,58</t>
  </si>
  <si>
    <t>49,19</t>
  </si>
  <si>
    <t>54,54</t>
  </si>
  <si>
    <t>39,54</t>
  </si>
  <si>
    <t>58,74</t>
  </si>
  <si>
    <t>73,59</t>
  </si>
  <si>
    <t>66,02</t>
  </si>
  <si>
    <t>72,03</t>
  </si>
  <si>
    <t>41,29</t>
  </si>
  <si>
    <t>24,98</t>
  </si>
  <si>
    <t>22,21</t>
  </si>
  <si>
    <t>25,10</t>
  </si>
  <si>
    <t>34,28</t>
  </si>
  <si>
    <t>29,89</t>
  </si>
  <si>
    <t>25,12</t>
  </si>
  <si>
    <t>69,69</t>
  </si>
  <si>
    <t>32,48</t>
  </si>
  <si>
    <t>35,53</t>
  </si>
  <si>
    <t>130,15</t>
  </si>
  <si>
    <t>68,41</t>
  </si>
  <si>
    <t>43,75</t>
  </si>
  <si>
    <t>247,14</t>
  </si>
  <si>
    <t>58,47</t>
  </si>
  <si>
    <t>63,93</t>
  </si>
  <si>
    <t>65,43</t>
  </si>
  <si>
    <t>138,30</t>
  </si>
  <si>
    <t>32,71</t>
  </si>
  <si>
    <t>35,08</t>
  </si>
  <si>
    <t>48,67</t>
  </si>
  <si>
    <t>53,25</t>
  </si>
  <si>
    <t>423,27</t>
  </si>
  <si>
    <t>530,85</t>
  </si>
  <si>
    <t>443,35</t>
  </si>
  <si>
    <t>24,48</t>
  </si>
  <si>
    <t>40,78</t>
  </si>
  <si>
    <t>26,94</t>
  </si>
  <si>
    <t>37,57</t>
  </si>
  <si>
    <t>27,85</t>
  </si>
  <si>
    <t>57,80</t>
  </si>
  <si>
    <t>133,81</t>
  </si>
  <si>
    <t>82,45</t>
  </si>
  <si>
    <t>1,51</t>
  </si>
  <si>
    <t>1,88</t>
  </si>
  <si>
    <t>3,10</t>
  </si>
  <si>
    <t>27,69</t>
  </si>
  <si>
    <t>21,33</t>
  </si>
  <si>
    <t>8,03</t>
  </si>
  <si>
    <t>6,84</t>
  </si>
  <si>
    <t>52,46</t>
  </si>
  <si>
    <t>48,10</t>
  </si>
  <si>
    <t>72,08</t>
  </si>
  <si>
    <t>60,55</t>
  </si>
  <si>
    <t>50,64</t>
  </si>
  <si>
    <t>61,25</t>
  </si>
  <si>
    <t>10,05</t>
  </si>
  <si>
    <t>7,43</t>
  </si>
  <si>
    <t>18,58</t>
  </si>
  <si>
    <t>46,01</t>
  </si>
  <si>
    <t>126,93</t>
  </si>
  <si>
    <t>66,28</t>
  </si>
  <si>
    <t>108,84</t>
  </si>
  <si>
    <t>83,11</t>
  </si>
  <si>
    <t>77,59</t>
  </si>
  <si>
    <t>151,09</t>
  </si>
  <si>
    <t>164,64</t>
  </si>
  <si>
    <t>2.891,25</t>
  </si>
  <si>
    <t>120,50</t>
  </si>
  <si>
    <t>70,35</t>
  </si>
  <si>
    <t>106,00</t>
  </si>
  <si>
    <t>636,81</t>
  </si>
  <si>
    <t>135,94</t>
  </si>
  <si>
    <t>139,89</t>
  </si>
  <si>
    <t>47,65</t>
  </si>
  <si>
    <t>35,33</t>
  </si>
  <si>
    <t>40,56</t>
  </si>
  <si>
    <t>22,70</t>
  </si>
  <si>
    <t>18,56</t>
  </si>
  <si>
    <t>26,90</t>
  </si>
  <si>
    <t>17,10</t>
  </si>
  <si>
    <t>14,19</t>
  </si>
  <si>
    <t>21,10</t>
  </si>
  <si>
    <t>22,59</t>
  </si>
  <si>
    <t>24,75</t>
  </si>
  <si>
    <t>36,98</t>
  </si>
  <si>
    <t>18,67</t>
  </si>
  <si>
    <t>19,02</t>
  </si>
  <si>
    <t>97,41</t>
  </si>
  <si>
    <t>148,95</t>
  </si>
  <si>
    <t>256,67</t>
  </si>
  <si>
    <t>44,76</t>
  </si>
  <si>
    <t>47,91</t>
  </si>
  <si>
    <t>75,62</t>
  </si>
  <si>
    <t>25,47</t>
  </si>
  <si>
    <t>127,56</t>
  </si>
  <si>
    <t>15,00</t>
  </si>
  <si>
    <t>247,31</t>
  </si>
  <si>
    <t>36,83</t>
  </si>
  <si>
    <t>60,56</t>
  </si>
  <si>
    <t>75,35</t>
  </si>
  <si>
    <t>138,16</t>
  </si>
  <si>
    <t>30,77</t>
  </si>
  <si>
    <t>31,00</t>
  </si>
  <si>
    <t>73,38</t>
  </si>
  <si>
    <t>32,75</t>
  </si>
  <si>
    <t>10,62</t>
  </si>
  <si>
    <t>3.675,16</t>
  </si>
  <si>
    <t>3.327,93</t>
  </si>
  <si>
    <t>72,20</t>
  </si>
  <si>
    <t>115,52</t>
  </si>
  <si>
    <t>138,55</t>
  </si>
  <si>
    <t>9.331,17</t>
  </si>
  <si>
    <t>26,18</t>
  </si>
  <si>
    <t>30,78</t>
  </si>
  <si>
    <t>36,91</t>
  </si>
  <si>
    <t>50,00</t>
  </si>
  <si>
    <t>36,37</t>
  </si>
  <si>
    <t>18,95</t>
  </si>
  <si>
    <t>22,69</t>
  </si>
  <si>
    <t>314,92</t>
  </si>
  <si>
    <t>18,43</t>
  </si>
  <si>
    <t>142,17</t>
  </si>
  <si>
    <t>195,47</t>
  </si>
  <si>
    <t>29,01</t>
  </si>
  <si>
    <t>9,15</t>
  </si>
  <si>
    <t>7,35</t>
  </si>
  <si>
    <t>28,70</t>
  </si>
  <si>
    <t>20,51</t>
  </si>
  <si>
    <t>15,69</t>
  </si>
  <si>
    <t>26,80</t>
  </si>
  <si>
    <t>67,18</t>
  </si>
  <si>
    <t>26,12</t>
  </si>
  <si>
    <t>66,35</t>
  </si>
  <si>
    <t>62,09</t>
  </si>
  <si>
    <t>72,90</t>
  </si>
  <si>
    <t>4,27</t>
  </si>
  <si>
    <t>23,39</t>
  </si>
  <si>
    <t>47,21</t>
  </si>
  <si>
    <t>25,43</t>
  </si>
  <si>
    <t>40,24</t>
  </si>
  <si>
    <t>31,41</t>
  </si>
  <si>
    <t>37,82</t>
  </si>
  <si>
    <t>29,02</t>
  </si>
  <si>
    <t>52,28</t>
  </si>
  <si>
    <t>55,83</t>
  </si>
  <si>
    <t>78,20</t>
  </si>
  <si>
    <t>105,77</t>
  </si>
  <si>
    <t>81,48</t>
  </si>
  <si>
    <t>81,79</t>
  </si>
  <si>
    <t>15,99</t>
  </si>
  <si>
    <t>24,10</t>
  </si>
  <si>
    <t>28,75</t>
  </si>
  <si>
    <t>39,16</t>
  </si>
  <si>
    <t>26,99</t>
  </si>
  <si>
    <t>24,29</t>
  </si>
  <si>
    <t>2.139,13</t>
  </si>
  <si>
    <t>64,53</t>
  </si>
  <si>
    <t>106,57</t>
  </si>
  <si>
    <t>137,58</t>
  </si>
  <si>
    <t>161,41</t>
  </si>
  <si>
    <t>176,05</t>
  </si>
  <si>
    <t>496,91</t>
  </si>
  <si>
    <t>2,94</t>
  </si>
  <si>
    <t>19,79</t>
  </si>
  <si>
    <t>30,69</t>
  </si>
  <si>
    <t>56,60</t>
  </si>
  <si>
    <t>E.P.I</t>
  </si>
  <si>
    <t>60,28</t>
  </si>
  <si>
    <t>66,12</t>
  </si>
  <si>
    <t>164,00</t>
  </si>
  <si>
    <t>EXAME</t>
  </si>
  <si>
    <t>162,63</t>
  </si>
  <si>
    <t>254,41</t>
  </si>
  <si>
    <t>52,81</t>
  </si>
  <si>
    <t>40,54</t>
  </si>
  <si>
    <t>141,90</t>
  </si>
  <si>
    <t>9,10</t>
  </si>
  <si>
    <t>14,91</t>
  </si>
  <si>
    <t>21,16</t>
  </si>
  <si>
    <t>141,55</t>
  </si>
  <si>
    <t>146,83</t>
  </si>
  <si>
    <t>2.398,82</t>
  </si>
  <si>
    <t>2.738,51</t>
  </si>
  <si>
    <t>4.768,16</t>
  </si>
  <si>
    <t>1.100,00</t>
  </si>
  <si>
    <t>389,74</t>
  </si>
  <si>
    <t>663,58</t>
  </si>
  <si>
    <t>22,60</t>
  </si>
  <si>
    <t>95,33</t>
  </si>
  <si>
    <t>292,88</t>
  </si>
  <si>
    <t>153,88</t>
  </si>
  <si>
    <t>27,16</t>
  </si>
  <si>
    <t>6,97</t>
  </si>
  <si>
    <t>7,56</t>
  </si>
  <si>
    <t>14,23</t>
  </si>
  <si>
    <t>31,74</t>
  </si>
  <si>
    <t>24,82</t>
  </si>
  <si>
    <t>43,64</t>
  </si>
  <si>
    <t>21,34</t>
  </si>
  <si>
    <t>25,29</t>
  </si>
  <si>
    <t>43,97</t>
  </si>
  <si>
    <t>30,17</t>
  </si>
  <si>
    <t>46,42</t>
  </si>
  <si>
    <t>20,65</t>
  </si>
  <si>
    <t>21,63</t>
  </si>
  <si>
    <t>50,29</t>
  </si>
  <si>
    <t>49,39</t>
  </si>
  <si>
    <t>40,25</t>
  </si>
  <si>
    <t>46,02</t>
  </si>
  <si>
    <t>60,68</t>
  </si>
  <si>
    <t>54,68</t>
  </si>
  <si>
    <t>48,61</t>
  </si>
  <si>
    <t>83,41</t>
  </si>
  <si>
    <t>81,99</t>
  </si>
  <si>
    <t>LOCACAO DE GRUPO GERADOR *80 A 125* KVA, MOTOR DIESEL, REBOCAVEL, ACIONAMENTO MANUAL</t>
  </si>
  <si>
    <t>LOCACAO DE GRUPO GERADOR ACIMA DE * 125 ATE 180* KVA, MOTOR DIESEL, REBOCAVEL, ACIONAMENTO MANUAL</t>
  </si>
  <si>
    <t>LOCACAO DE GRUPO GERADOR DE *260* KVA, DIESEL REBOCAVEL, ACIONAMENTO MANUAL</t>
  </si>
  <si>
    <t>57,66</t>
  </si>
  <si>
    <t>25,04</t>
  </si>
  <si>
    <t>29,70</t>
  </si>
  <si>
    <t>143,40</t>
  </si>
  <si>
    <t>44,15</t>
  </si>
  <si>
    <t>21,44</t>
  </si>
  <si>
    <t>30,02</t>
  </si>
  <si>
    <t>29,95</t>
  </si>
  <si>
    <t>94,85</t>
  </si>
  <si>
    <t>17,57</t>
  </si>
  <si>
    <t>41,56</t>
  </si>
  <si>
    <t>112,89</t>
  </si>
  <si>
    <t>81,66</t>
  </si>
  <si>
    <t>80,39</t>
  </si>
  <si>
    <t>34,78</t>
  </si>
  <si>
    <t>42,71</t>
  </si>
  <si>
    <t>15,47</t>
  </si>
  <si>
    <t>43,08</t>
  </si>
  <si>
    <t>533,87</t>
  </si>
  <si>
    <t>2.579,13</t>
  </si>
  <si>
    <t>10,47</t>
  </si>
  <si>
    <t>33,12</t>
  </si>
  <si>
    <t>83,78</t>
  </si>
  <si>
    <t>24,76</t>
  </si>
  <si>
    <t>6.068,40</t>
  </si>
  <si>
    <t>30,43</t>
  </si>
  <si>
    <t>142,96</t>
  </si>
  <si>
    <t>123,83</t>
  </si>
  <si>
    <t>124,48</t>
  </si>
  <si>
    <t>116,97</t>
  </si>
  <si>
    <t>115,95</t>
  </si>
  <si>
    <t>106,14</t>
  </si>
  <si>
    <t>114,37</t>
  </si>
  <si>
    <t>116,39</t>
  </si>
  <si>
    <t>91,69</t>
  </si>
  <si>
    <t>51,48</t>
  </si>
  <si>
    <t>86,93</t>
  </si>
  <si>
    <t>35,89</t>
  </si>
  <si>
    <t>38,39</t>
  </si>
  <si>
    <t>50,92</t>
  </si>
  <si>
    <t>83,00</t>
  </si>
  <si>
    <t>119,52</t>
  </si>
  <si>
    <t>48,94</t>
  </si>
  <si>
    <t>66,79</t>
  </si>
  <si>
    <t>11,67</t>
  </si>
  <si>
    <t>351,68</t>
  </si>
  <si>
    <t>773,28</t>
  </si>
  <si>
    <t>31,23</t>
  </si>
  <si>
    <t>16,50</t>
  </si>
  <si>
    <t>74,51</t>
  </si>
  <si>
    <t>619,40</t>
  </si>
  <si>
    <t>77,41</t>
  </si>
  <si>
    <t>106,35</t>
  </si>
  <si>
    <t>54,48</t>
  </si>
  <si>
    <t>29,11</t>
  </si>
  <si>
    <t>85,57</t>
  </si>
  <si>
    <t>33,38</t>
  </si>
  <si>
    <t>111,91</t>
  </si>
  <si>
    <t>24,47</t>
  </si>
  <si>
    <t>41,73</t>
  </si>
  <si>
    <t>28,86</t>
  </si>
  <si>
    <t>159,27</t>
  </si>
  <si>
    <t>56,81</t>
  </si>
  <si>
    <t>82,16</t>
  </si>
  <si>
    <t>181,20</t>
  </si>
  <si>
    <t>10.631,87</t>
  </si>
  <si>
    <t>769,25</t>
  </si>
  <si>
    <t>1.121,97</t>
  </si>
  <si>
    <t>143,91</t>
  </si>
  <si>
    <t>38,92</t>
  </si>
  <si>
    <t>71,63</t>
  </si>
  <si>
    <t>172,98</t>
  </si>
  <si>
    <t>38,17</t>
  </si>
  <si>
    <t>6,96</t>
  </si>
  <si>
    <t>30,82</t>
  </si>
  <si>
    <t>28,41</t>
  </si>
  <si>
    <t>43,04</t>
  </si>
  <si>
    <t>91,07</t>
  </si>
  <si>
    <t>76,95</t>
  </si>
  <si>
    <t>133,72</t>
  </si>
  <si>
    <t>31,03</t>
  </si>
  <si>
    <t>45,27</t>
  </si>
  <si>
    <t>21,65</t>
  </si>
  <si>
    <t>31,78</t>
  </si>
  <si>
    <t>81,20</t>
  </si>
  <si>
    <t>154,82</t>
  </si>
  <si>
    <t>7,74</t>
  </si>
  <si>
    <t>33,71</t>
  </si>
  <si>
    <t>54,19</t>
  </si>
  <si>
    <t>TELHA DE BARRO / CERAMICA, NAO ESMALTADA, TIPO ROMANA, AMERICANA, PORTUGUESA, FRANCESA, COMPRIMENTO DE *41* CM,  RENDIMENTO DE *16* TELHAS/M2</t>
  </si>
  <si>
    <t>31,15</t>
  </si>
  <si>
    <t>75,00</t>
  </si>
  <si>
    <t>97,64</t>
  </si>
  <si>
    <t>88,15</t>
  </si>
  <si>
    <t>23,12</t>
  </si>
  <si>
    <t>27,05</t>
  </si>
  <si>
    <t>31,97</t>
  </si>
  <si>
    <t>16,58</t>
  </si>
  <si>
    <t>41,47</t>
  </si>
  <si>
    <t>166,78</t>
  </si>
  <si>
    <t>156,73</t>
  </si>
  <si>
    <t>64,40</t>
  </si>
  <si>
    <t>621,13</t>
  </si>
  <si>
    <t>41,91</t>
  </si>
  <si>
    <t>46,92</t>
  </si>
  <si>
    <t>45,52</t>
  </si>
  <si>
    <t>16,81</t>
  </si>
  <si>
    <t>55,84</t>
  </si>
  <si>
    <t>70,05</t>
  </si>
  <si>
    <t>34,03</t>
  </si>
  <si>
    <t>47,98</t>
  </si>
  <si>
    <t>92,31</t>
  </si>
  <si>
    <t>17,07</t>
  </si>
  <si>
    <t>36,02</t>
  </si>
  <si>
    <t>84,37</t>
  </si>
  <si>
    <t>212,66</t>
  </si>
  <si>
    <t>253,82</t>
  </si>
  <si>
    <t>415,78</t>
  </si>
  <si>
    <t>21,51</t>
  </si>
  <si>
    <t>2,10</t>
  </si>
  <si>
    <t>9,24</t>
  </si>
  <si>
    <t>166,38</t>
  </si>
  <si>
    <t>20,87</t>
  </si>
  <si>
    <t>27,61</t>
  </si>
  <si>
    <t>40,27</t>
  </si>
  <si>
    <t>84,21</t>
  </si>
  <si>
    <t>29,85</t>
  </si>
  <si>
    <t>51,84</t>
  </si>
  <si>
    <t>27,96</t>
  </si>
  <si>
    <t>57,17</t>
  </si>
  <si>
    <t>34,26</t>
  </si>
  <si>
    <t>21,95</t>
  </si>
  <si>
    <t>81,90</t>
  </si>
  <si>
    <t>13,69</t>
  </si>
  <si>
    <t>67,96</t>
  </si>
  <si>
    <t>63,68</t>
  </si>
  <si>
    <t>36,28</t>
  </si>
  <si>
    <t>223,81</t>
  </si>
  <si>
    <t>51,19</t>
  </si>
  <si>
    <t>14,14</t>
  </si>
  <si>
    <t>127,99</t>
  </si>
  <si>
    <t>24,13</t>
  </si>
  <si>
    <t>PLANILHA ESTIMATIVA - IMPLANTAÇÃO</t>
  </si>
  <si>
    <t>GRUPO GERADOR-MOTOR CARENADO - 85dB
Potência Standby: 111kVA, 89kW, 60Hz, 380/220V Dim. aprox.: 2,490m x 0,985m x 1,535m (C x L x A) Massa aproximada: 1359kg</t>
  </si>
  <si>
    <t>B-LIGHT</t>
  </si>
  <si>
    <t>www.blight.com.br</t>
  </si>
  <si>
    <t>10.434.​457/0001-68</t>
  </si>
  <si>
    <t>(11) 93239-9324</t>
  </si>
  <si>
    <t>www.amazon.com.br</t>
  </si>
  <si>
    <t>15.436.940/0001-03</t>
  </si>
  <si>
    <t>P-018</t>
  </si>
  <si>
    <t>LOJAS  AMERICANAS</t>
  </si>
  <si>
    <t xml:space="preserve">CASAS BAHIA </t>
  </si>
  <si>
    <t xml:space="preserve">ESTRA </t>
  </si>
  <si>
    <t>www.lojasamericanas.com.br</t>
  </si>
  <si>
    <t>4003-2773</t>
  </si>
  <si>
    <t>4003 0363</t>
  </si>
  <si>
    <t>08/042021</t>
  </si>
  <si>
    <t>ITCOM</t>
  </si>
  <si>
    <t>www.itcom.com.br</t>
  </si>
  <si>
    <t>13.393.011/0001-20</t>
  </si>
  <si>
    <t>(11) 3403.5806</t>
  </si>
  <si>
    <t>P-031</t>
  </si>
  <si>
    <t>KABUM</t>
  </si>
  <si>
    <t>www.kabum.com.br</t>
  </si>
  <si>
    <t> 05.570.714/0001-59</t>
  </si>
  <si>
    <t xml:space="preserve"> (19) 2114-4444</t>
  </si>
  <si>
    <t>www.submarino.com.br</t>
  </si>
  <si>
    <t>00.776.574/0006-60 </t>
  </si>
  <si>
    <t>P-035</t>
  </si>
  <si>
    <t> 07.885.198/0001-87</t>
  </si>
  <si>
    <t xml:space="preserve">LOAS AMERICANAS </t>
  </si>
  <si>
    <t>P-039</t>
  </si>
  <si>
    <t xml:space="preserve">REFRIGERAÇÃO CONTA VENTO </t>
  </si>
  <si>
    <t>refrigeracaocatavento.com.Br</t>
  </si>
  <si>
    <t> 33.041.260/0652-90</t>
  </si>
  <si>
    <t>P-041</t>
  </si>
  <si>
    <t>CALHAS SANTA CÂNDIDA</t>
  </si>
  <si>
    <t>CHAMINÉ CURITIBA</t>
  </si>
  <si>
    <t>www.calhassantacandida.com.br</t>
  </si>
  <si>
    <t>www.chaminescuritiba.com.br</t>
  </si>
  <si>
    <t>09.405.357/0001-24</t>
  </si>
  <si>
    <t>38.377.053/0001-07</t>
  </si>
  <si>
    <t>(41) 98536-3269</t>
  </si>
  <si>
    <t>(41) 98448-1844</t>
  </si>
  <si>
    <t>(41) 99877-0911</t>
  </si>
  <si>
    <t>0800-773-3838</t>
  </si>
  <si>
    <t>LUFTMAXI</t>
  </si>
  <si>
    <t>WhatsApp</t>
  </si>
  <si>
    <t>79.233.110/0001-53</t>
  </si>
  <si>
    <t>(47) 9686-3000</t>
  </si>
  <si>
    <t>P-019</t>
  </si>
  <si>
    <t xml:space="preserve">07.02.000 </t>
  </si>
  <si>
    <t xml:space="preserve">AR CONDICIONADO </t>
  </si>
  <si>
    <t xml:space="preserve">07.02.100 </t>
  </si>
  <si>
    <t xml:space="preserve">07.02.300 </t>
  </si>
  <si>
    <t>REDES DE DUTOS</t>
  </si>
  <si>
    <t xml:space="preserve">07.02.301 </t>
  </si>
  <si>
    <t xml:space="preserve">07.02.600 </t>
  </si>
  <si>
    <t>EQUIPAMENTOS</t>
  </si>
  <si>
    <t>07.02.100.1</t>
  </si>
  <si>
    <t>07.02.600.1</t>
  </si>
  <si>
    <t>07.02.301.1</t>
  </si>
  <si>
    <t>07.02.300.1</t>
  </si>
  <si>
    <t>COT - 07.052</t>
  </si>
  <si>
    <t>COT - 07.053</t>
  </si>
  <si>
    <t>SHOPTIME</t>
  </si>
  <si>
    <t xml:space="preserve">47960950/0449-27 </t>
  </si>
  <si>
    <t>4003-1000</t>
  </si>
  <si>
    <t>(11) 3508-9900</t>
  </si>
  <si>
    <t>CABO DE COBRE PP 2 x 2,5 MM2</t>
  </si>
  <si>
    <t>CABO DE COBRE PP 3 x 2,5 MM2</t>
  </si>
  <si>
    <t>REF: 05023 ORSE OUT/2020</t>
  </si>
  <si>
    <t>CABO DE COBRE PP 2 x 2,5 MM2 - FORNECIMENTO E INSTALAÇÃO</t>
  </si>
  <si>
    <t>CABO DE COBRE PP 3 x 2,5 MM2 - FORNECIMENTO E INSTALAÇÃO</t>
  </si>
  <si>
    <t>07.02.100.2</t>
  </si>
  <si>
    <t>CABOS E ELETRODUTOS</t>
  </si>
  <si>
    <t>07.02.100.3</t>
  </si>
  <si>
    <t>CCU - 07.010</t>
  </si>
  <si>
    <t>07.02.301.2</t>
  </si>
  <si>
    <t>07.02.301.3</t>
  </si>
  <si>
    <t>COT - 07.054</t>
  </si>
  <si>
    <t>REF: 97328 SINAPI FEV 2021</t>
  </si>
  <si>
    <t>REF: 97327 SINAPI FEV 2021</t>
  </si>
  <si>
    <t>Tubo de cobre 22mm CLASSE I</t>
  </si>
  <si>
    <t>COT - 07.057</t>
  </si>
  <si>
    <t>Revestimento em borracha elastómerica 13 mm p/ tubo de 1/4"</t>
  </si>
  <si>
    <t>P-090</t>
  </si>
  <si>
    <t>08//04/2021</t>
  </si>
  <si>
    <t xml:space="preserve">(54) 3212.4466 </t>
  </si>
  <si>
    <t>P-091</t>
  </si>
  <si>
    <t>resfriarpecas.com.br</t>
  </si>
  <si>
    <t>RESFRI PEÇAS</t>
  </si>
  <si>
    <t>14 9 9740-2646</t>
  </si>
  <si>
    <t>Revestimento em borracha elastómerica 13 mm p/ tubo de 3/8"</t>
  </si>
  <si>
    <t>REF: CRIADA</t>
  </si>
  <si>
    <t>COT - 07.059</t>
  </si>
  <si>
    <t xml:space="preserve">FITA ALUMINIZADA 40MX45MM PARA AR CONDICIONADO </t>
  </si>
  <si>
    <t xml:space="preserve">SAMATEC </t>
  </si>
  <si>
    <t>PAINEL DE PREÇOS</t>
  </si>
  <si>
    <t>www.samatec.com.br</t>
  </si>
  <si>
    <t>paineldeprecos.planejamento.gov.br</t>
  </si>
  <si>
    <t>(11) 4977-7510</t>
  </si>
  <si>
    <t xml:space="preserve">PROTEÇÃO DE TUBULAÇÃO COM FITA ALUMINIZADA 40MX45MM </t>
  </si>
  <si>
    <t>COT - 07.060</t>
  </si>
  <si>
    <t>COT - 07.061</t>
  </si>
  <si>
    <t>TUBO EM COBRE FLEXÍVEL, DN 1/4, COM ISOLAMENTO, INSTALADO EM RAMAL DE ALIMENTAÇÃO DE AR CONDICIONADO COM CONDENSADORA INDIVIDUAL - FORNECIMENTO E INSTALAÇÃO</t>
  </si>
  <si>
    <t>TUBO EM COBRE FLEXÍVEL, DN 3/8, COM ISOLAMENTO, INSTALADO EM RAMAL DE ALIMENTAÇÃO DE AR CONDICIONADO COM CONDENSADORA INDIVIDUAL - FORNECIMENTO E INSTALAÇÃO</t>
  </si>
  <si>
    <t>REF: 17010.8.1.12 - TCPO 13</t>
  </si>
  <si>
    <t>07.02.600.2</t>
  </si>
  <si>
    <t>07.02.600.3</t>
  </si>
  <si>
    <t>07.02.600.4</t>
  </si>
  <si>
    <t>07.02.600.5</t>
  </si>
  <si>
    <t>07.02.600.6</t>
  </si>
  <si>
    <t>07.02.600.7</t>
  </si>
  <si>
    <t>M1526</t>
  </si>
  <si>
    <t>REF: 1408148 SICRO OUT 2020</t>
  </si>
  <si>
    <t xml:space="preserve">PERFURAÇÃO EM CONCRETO COM COROA DIAMANTADA D=100mm </t>
  </si>
  <si>
    <t>COROA DIAMANTADA - D=100 MM</t>
  </si>
  <si>
    <t>PERFURATRIZ MANUAL PARA COROA DIAMANTADA - 1,6 KW</t>
  </si>
  <si>
    <t>CALÇO DE BORRACHA P/ CONDENSADORA SPLIT</t>
  </si>
  <si>
    <t>COT - 07.062</t>
  </si>
  <si>
    <t>04.01.850</t>
  </si>
  <si>
    <t>CÂMARA FRIGORÍFICA</t>
  </si>
  <si>
    <t>04.01.850.1</t>
  </si>
  <si>
    <t>04.01.850.2</t>
  </si>
  <si>
    <t>VÁLVULA SOLENOIDE EVR 6 v2 da Danfoss - FORNECIMENTO E INSTALAÇÃO</t>
  </si>
  <si>
    <t>REF: 08984/ORSE JAN/2021</t>
  </si>
  <si>
    <t>VÁLVULA SOLENOIDE EVR 3 v2 da Danfoss - FORNECIMENTO E INSTALAÇÃO</t>
  </si>
  <si>
    <t>VÁLVULA SOLENOIDE T2-3 da Danfoss - FORNECIMENTO E INSTALAÇÃO</t>
  </si>
  <si>
    <t>ELETRORASTRO</t>
  </si>
  <si>
    <t>www.eletrorastro.com.br</t>
  </si>
  <si>
    <t>(41) 3661-3100</t>
  </si>
  <si>
    <t>P-049</t>
  </si>
  <si>
    <t>P-051</t>
  </si>
  <si>
    <t>P-052</t>
  </si>
  <si>
    <t>07.04.100.3</t>
  </si>
  <si>
    <t>07.04.100.4</t>
  </si>
  <si>
    <t>07.04.100.5</t>
  </si>
  <si>
    <t>07.04.100.6</t>
  </si>
  <si>
    <t>07.04.100.7</t>
  </si>
  <si>
    <t>REF: 11501/ORSE JAN/2021</t>
  </si>
  <si>
    <t>DUTO EM CHAPA DE AÇO N° 24 PARA VENTILAÇÃO - FORNECIMENTO, MONTAGEM E INSTALAÇÃO</t>
  </si>
  <si>
    <t>07.04.900.2</t>
  </si>
  <si>
    <t>07.04.900.3</t>
  </si>
  <si>
    <t>07.04.900.4</t>
  </si>
  <si>
    <t>07.04.900.5</t>
  </si>
  <si>
    <t>07.04.200.4</t>
  </si>
  <si>
    <t>07.04.200.5</t>
  </si>
  <si>
    <t>07.04.200.6</t>
  </si>
  <si>
    <t>07.04.203.3</t>
  </si>
  <si>
    <t>07.04.203.4</t>
  </si>
  <si>
    <t>07.04.203.5</t>
  </si>
  <si>
    <t>07.04.203.6</t>
  </si>
  <si>
    <t>REF: 11890/ORSE JAN/21</t>
  </si>
  <si>
    <t>EXAUSTOR OTAM RLD-Q 280 CLASSE 1 - FORNECIMENTO E INSTALAÇÃO</t>
  </si>
  <si>
    <t>07.04.250</t>
  </si>
  <si>
    <t>07.04.250.1</t>
  </si>
  <si>
    <t>07.04.250.2</t>
  </si>
  <si>
    <t>07.04.250.3</t>
  </si>
  <si>
    <t>07.04.250.4</t>
  </si>
  <si>
    <t>COIFAS</t>
  </si>
  <si>
    <t>BOCAS DE AR, GRELHAS E ACESSÓRIOS</t>
  </si>
  <si>
    <t>REF: 09850/ORSE JAN/21</t>
  </si>
  <si>
    <t>CCU - 07.036</t>
  </si>
  <si>
    <t>CCU - 07.037</t>
  </si>
  <si>
    <t>07.04.203.7</t>
  </si>
  <si>
    <t>07.04.203.8</t>
  </si>
  <si>
    <t>CCU - 07.038</t>
  </si>
  <si>
    <t>REF: 09026/ORSE JAN/21</t>
  </si>
  <si>
    <t>CHAMINE TIPO CHAPEU CHINES 300mm - FORNECIMENTO E INSTALAÇÃO</t>
  </si>
  <si>
    <t>07.04.203.9</t>
  </si>
  <si>
    <t>CCU - 07.039</t>
  </si>
  <si>
    <t>GRELHA TROX VAT DG 1025x525 mm - FORNECIMENTO E INSTALAÇÃO</t>
  </si>
  <si>
    <t>REF: 10177/ORSE JAN/2021</t>
  </si>
  <si>
    <t>CCU - 07.040</t>
  </si>
  <si>
    <t>REF: 10762/ORSE JAN/2021</t>
  </si>
  <si>
    <t>CCU - 07.041</t>
  </si>
  <si>
    <t>CCU - 07.042</t>
  </si>
  <si>
    <t>CCU - 07.043</t>
  </si>
  <si>
    <t>CCU - 07.044</t>
  </si>
  <si>
    <t>CCU - 07.045</t>
  </si>
  <si>
    <t>REF: 132.06.010 CPOS JUL/19</t>
  </si>
  <si>
    <t>COT - 07.063</t>
  </si>
  <si>
    <t>BUCHA DE REDUÇÃO 3/4" X 3/8"</t>
  </si>
  <si>
    <t>P-092</t>
  </si>
  <si>
    <t>CONEXO PEÇAS</t>
  </si>
  <si>
    <t>CCU - 07.046</t>
  </si>
  <si>
    <t>BUCHA DE REDUÇÃO EM AÇO 3/4" X 3/8" - FORNECIMENTO E INSTALAÇÃO</t>
  </si>
  <si>
    <t>CCU - 07.047</t>
  </si>
  <si>
    <t>CCU - 07.048</t>
  </si>
  <si>
    <t>CCU - 07.049</t>
  </si>
  <si>
    <t>CCU - 07.050</t>
  </si>
  <si>
    <t>RESFRIADOR EVAPORATIVO LUFTMÁXI LF18000 TELHADO OU EQUIVALENTE, INCLUSO DISPLAY - FORNECIMENTO E INSTALAÇÃO</t>
  </si>
  <si>
    <t>CCU - 07.051</t>
  </si>
  <si>
    <t>CAIXA DE PASSAGEM METALICA, COM TAMPA APARAFUSADA, DIMENSOES 15 X 15 X *10* CM - FORNECIMENTO E INSTALAÇÃO</t>
  </si>
  <si>
    <t>MAXTIL</t>
  </si>
  <si>
    <t>RRC</t>
  </si>
  <si>
    <t>angelica.cunha@maxtil.com.br</t>
  </si>
  <si>
    <t>anilton.costa@yahoo.com.br</t>
  </si>
  <si>
    <t>07.265.878/0003-60</t>
  </si>
  <si>
    <t>10.987.​399/0001-08</t>
  </si>
  <si>
    <t>(11) 2631-9090</t>
  </si>
  <si>
    <t>(11) 2682-6802</t>
  </si>
  <si>
    <t>P-024</t>
  </si>
  <si>
    <t>CASA DO ELETRICISTA</t>
  </si>
  <si>
    <t xml:space="preserve">casadoeletricistakmc@gmail.com </t>
  </si>
  <si>
    <t xml:space="preserve">08.042.043/0001-41 </t>
  </si>
  <si>
    <t xml:space="preserve">(51) 99945-7160 </t>
  </si>
  <si>
    <t>P-027</t>
  </si>
  <si>
    <t>P-029</t>
  </si>
  <si>
    <t>ITCOMTECH</t>
  </si>
  <si>
    <t>AZ NET</t>
  </si>
  <si>
    <t>13.861.466/0001-23</t>
  </si>
  <si>
    <t>(11) 94530-6384</t>
  </si>
  <si>
    <t>(41) 98516-7456</t>
  </si>
  <si>
    <t>P-002</t>
  </si>
  <si>
    <t xml:space="preserve">LOJAS AMERICANAS </t>
  </si>
  <si>
    <t>P-094</t>
  </si>
  <si>
    <t>ZICOSHOP</t>
  </si>
  <si>
    <t>ELETROINFO</t>
  </si>
  <si>
    <t>www.zicoshop.com.br</t>
  </si>
  <si>
    <t>www.ELETROINFO.COM.BR</t>
  </si>
  <si>
    <t>16.605.464/0001-61</t>
  </si>
  <si>
    <t>(51) 4042-1172</t>
  </si>
  <si>
    <t>(67) 4062-7202</t>
  </si>
  <si>
    <t>TUDO FORT</t>
  </si>
  <si>
    <t>www.tudoforte.com.br</t>
  </si>
  <si>
    <t>17.666.002/0001-17 </t>
  </si>
  <si>
    <t>(11) 3522-8255</t>
  </si>
  <si>
    <t>UPERSEGUE</t>
  </si>
  <si>
    <t>www.uperseg.com.br</t>
  </si>
  <si>
    <t>netalarmes.com.br</t>
  </si>
  <si>
    <t>17.354.683/0001-88</t>
  </si>
  <si>
    <t>(43) 3024-5144</t>
  </si>
  <si>
    <t>(43) 3344-4002</t>
  </si>
  <si>
    <t xml:space="preserve">KALUNGA </t>
  </si>
  <si>
    <t xml:space="preserve">AMAZON </t>
  </si>
  <si>
    <t>www.calunga.com.br</t>
  </si>
  <si>
    <t> 43.283.811/0001-50</t>
  </si>
  <si>
    <t>0800 773 38338</t>
  </si>
  <si>
    <t>(11) 3346-9966</t>
  </si>
  <si>
    <t>P-082</t>
  </si>
  <si>
    <t>CCU - 07.052</t>
  </si>
  <si>
    <t>CCU - 07.053</t>
  </si>
  <si>
    <t>CCU - 07.054</t>
  </si>
  <si>
    <t>CCU - 07.055</t>
  </si>
  <si>
    <t>CCU - 07.056</t>
  </si>
  <si>
    <t>CCU - 07.058</t>
  </si>
  <si>
    <t>CCU - 07.059</t>
  </si>
  <si>
    <t>TÊ DE REDUÇÃO DE FERRO GALVANIZADO 1" X 3/4" - FORNECIMENTO E INSTALAÇÃO</t>
  </si>
  <si>
    <t>REF: 92706 SINAPI - JAN 2021</t>
  </si>
  <si>
    <t>QDG - QUADRO ELÉTRICO DE BAIXA TENSÃO -  PAINEL TTA - INSTALAÇÃO, FORNECIMENTO E COMISSIONAMENTO</t>
  </si>
  <si>
    <t>REF: 11112/ORSE (QUADRO) + 0806+07925+07926 (TERMINAIS) NOV/2020</t>
  </si>
  <si>
    <t>QDF - QUADRO ELÉTRICO DE BAIXA TENSÃO -  PAINEL TTA - INSTALAÇÃO, FORNECIMENTO E COMISSIONAMENTO</t>
  </si>
  <si>
    <t>REF: 101878 (QUADRO) + 0806+07925+07926 (TERMINAIS) NOV/2020</t>
  </si>
  <si>
    <t>ELETRODUTO DE AÇO GALVANIZADO, CLASSE SEMI-PESADO, DN 40 MM (1 1/2 ), APARENTE, FIXADO NA ESTRUTURA - FORNECIMENTO E INSTALAÇÃO</t>
  </si>
  <si>
    <t>REF: 97667 SINAPI - JAN 2021</t>
  </si>
  <si>
    <t>ELETROCALHA PERFURADA EM AÇO GALVANIZADO TIPO C, LARGURA 100MM E ALTURA 50MM CHAPA 22, INCLUSIVE EMENDA E FIXAÇÃO - FORNECIMENTO E INSTALAÇÃO</t>
  </si>
  <si>
    <t>REF: 97238 SINAPI - JAN 2021</t>
  </si>
  <si>
    <t>EMENDA LISA, EM CHAPA DE ACO GALVANIZADO, LARGURA X ALTURA = 100 MM X 50 MM</t>
  </si>
  <si>
    <t>INFRAELETROCALHAS</t>
  </si>
  <si>
    <t>infraeletrocalhas.com.br</t>
  </si>
  <si>
    <t>(21) 3148-2253</t>
  </si>
  <si>
    <t>12.801.322/0001-19</t>
  </si>
  <si>
    <t>P-096</t>
  </si>
  <si>
    <t>REF: 97251 SINAPI - JAN 2021</t>
  </si>
  <si>
    <t>ELETROCALHA PERFURADA EM AÇO GALVANIZADO TIPO C, LARGURA 50MM E ALTURA 50MM CHAPA 22, INCLUSIVE EMENDA E FIXAÇÃO - FORNECIMENTO E INSTALAÇÃO</t>
  </si>
  <si>
    <t>REF: 97236 SINAPI - JAN 2021</t>
  </si>
  <si>
    <t>EMENDA PARA ELETROCALHA, LISA OU PERFURADA EM AÇO GALVANIZADO, LARGURA 50MM E ALTURA 50MM - FORNECIMENTO E INSTALAÇÃO</t>
  </si>
  <si>
    <t>REF: 97249 SINAPI - JAN 2021</t>
  </si>
  <si>
    <t>EMENDA LISA, EM CHAPA DE ACO GALVANIZADO, LARGURA X ALTURA = 50 MM X 50 MM</t>
  </si>
  <si>
    <t>REF: 97315 SINAPI - JAN 2021</t>
  </si>
  <si>
    <t>CURVA HORIZONTAL 90º, PARA ELETROCALHA, PERFURADA EM AÇO GALVANIZADO CHAPA 22, LARGURA DE 100MM E ALTURA DE 50MM - FORNECIMENTO E INSTALAÇÃO</t>
  </si>
  <si>
    <t>REF: 97278 SINAPI - JAN 2021</t>
  </si>
  <si>
    <t>REDUÇÃO CONCÊNTRICA PARA ELETROCALHA, PERFURADA EM AÇO GALVANIZADO CHAPA 22, LARGURA DE 100X50MM E ALTURA DE 50MM - FORNECIMENTO E INSTALAÇÃO</t>
  </si>
  <si>
    <t>REF: 97252 SINAPI - JAN 2021</t>
  </si>
  <si>
    <t>SAÍDA LATERAL PARA ELETRODUTO 3/4" DE ELETROCALHA - FORNECIMENTO E INSTALAÇÃO</t>
  </si>
  <si>
    <t>SAÍDA LATERAL DUPLA PARA ELETRODUTO 3/4" DE ELETROCALHA - FORNECIMENTO E INSTALAÇÃO</t>
  </si>
  <si>
    <t>REF: 38.07.130 CPOS JUL 2019</t>
  </si>
  <si>
    <t>TÊ HORIZONTAL 90°, PARA ELETROCALHA, PERFURADA EM AÇO GALVANIZADO CHAPA 22, LARGURA DE 50MM E ALTURA DE 50MM - FORNECIMENTO E INSTALAÇÃO</t>
  </si>
  <si>
    <t>REF: 97315/6 SINAPI - JAN 2021</t>
  </si>
  <si>
    <t>REF: 12532/ORSE - JAN 2021</t>
  </si>
  <si>
    <t>TAMPA PARA TÊ HORIZONTAL EM AÇO GALVANIZADO CHAPA 22, LARGURA DE 50MM - FORNECIMENTO E INSTALAÇÃO</t>
  </si>
  <si>
    <t>REF: 12585/ORSE - JAN 2021</t>
  </si>
  <si>
    <t>TAMPA PARA CURVA HORIZONTAL EM AÇO GALVANIZADO CHAPA 22, LARGURA DE 100MM - FORNECIMENTO E INSTALAÇÃO</t>
  </si>
  <si>
    <t>REF: 12526/ORSE - JAN 2021</t>
  </si>
  <si>
    <t>TAMPA PARA REDUÇÃO CONCÊNTRICA EM AÇO GALVANIZADO CHAPA 22, LARGURA DE 100X50MM - FORNECIMENTO E INSTALAÇÃO</t>
  </si>
  <si>
    <t>REF: 12588/ORSE - JAN 2021</t>
  </si>
  <si>
    <t>REF: 112523/ORSE - JAN 2021</t>
  </si>
  <si>
    <t>REF: 12901/ORSE - JAN 2021</t>
  </si>
  <si>
    <t>REF: 09624/ORSE - JAN 2021</t>
  </si>
  <si>
    <t>LUMINÁRIA LED HERMÉTICA, IP65, 37W, 5000K, ALTA EFICIÊNCIA (&gt;100lm/W), BIVOLT (FORNECIDA COMPLETA) - REF. LHT24-S LUMICENTER OU EQUIVALENTE - FORNECIMENTO E INSTALAÇÃO</t>
  </si>
  <si>
    <t>REF: 00614/ORSE - JAN 2021</t>
  </si>
  <si>
    <t>LUMINÁRIA LED QUADRADA, 30W, 5000K, ALTA EFICIÊNCIA (&gt;100lm/W), BIVOLT (FORNECIDA COMPLETA) - REF. LHT03-E LUMICENTER OU EQUIVALENTE - FORNECIMENTO E INSTALAÇÃO</t>
  </si>
  <si>
    <t>06.01.401.6</t>
  </si>
  <si>
    <t>06.01.404.9</t>
  </si>
  <si>
    <t>06.01.404.10</t>
  </si>
  <si>
    <t>06.01.404.11</t>
  </si>
  <si>
    <t>06.01.404.12</t>
  </si>
  <si>
    <t>06.01.404.13</t>
  </si>
  <si>
    <t>REF: 91998 + 92000 + 91946 SINAPI JAN 2021</t>
  </si>
  <si>
    <t>PLACA DE TOMADA DE PISO METÁLICA DE 4X2</t>
  </si>
  <si>
    <t>portaleletrico.com.br</t>
  </si>
  <si>
    <t>PORTAL ELÉTRICO</t>
  </si>
  <si>
    <t>P-100</t>
  </si>
  <si>
    <t>47 997330608</t>
  </si>
  <si>
    <t>32.212.269/0001-28</t>
  </si>
  <si>
    <t>lojasetta.com</t>
  </si>
  <si>
    <t>LOJA SETTA</t>
  </si>
  <si>
    <t>01.134.726/0001-80</t>
  </si>
  <si>
    <t>(34) 3818-2727</t>
  </si>
  <si>
    <t>TOMADA DE PISO DE EMBUTIR (1 MÓDULO), 2P+T 10 A, INCLUINDO SUPORTE E PLACA DE PISO METÁLICA - FORNECIMENTO E INSTALAÇÃO</t>
  </si>
  <si>
    <t>REF: 92869 SINAPI JAN 2021</t>
  </si>
  <si>
    <t>CAIXA RETANGULAR 4" X 2", METÁLICA, INSTALADA EM PISO - FORNECIMENTO E INSTALAÇÃO</t>
  </si>
  <si>
    <t>06.01.404.15</t>
  </si>
  <si>
    <t>REF: 09558/ORSE NOV 2020</t>
  </si>
  <si>
    <t>P-101</t>
  </si>
  <si>
    <t>CAIXA DE PASSAGEM EM ALUMÍNIO COM TAMPA REVERSÍVEL, DE 30X30X12CM</t>
  </si>
  <si>
    <t>b2c.dimensional.com.br</t>
  </si>
  <si>
    <t>B2C DIMENSIONAL</t>
  </si>
  <si>
    <t>06.913.480/0015-63</t>
  </si>
  <si>
    <t>(19) 99150-1751</t>
  </si>
  <si>
    <t>eletrotrafo.com.br</t>
  </si>
  <si>
    <t>CAIXA DE PASSAGEM EM ALUMÍNIO, COM TAMPA REVERSÍVEL, DIMENSOES 30 X 30 X 12 CM - FORNECIMENTO E INSTALAÇÃO</t>
  </si>
  <si>
    <t>REF: 91941 SINAPI JAN 2021</t>
  </si>
  <si>
    <t>CAIXA RETANGULAR 4" X 2", PVC - FORNECIMENTO E INSTALAÇÃO</t>
  </si>
  <si>
    <t>CAIXA RETANGULAR 4" X 4", PVC - FORNECIMENTO E INSTALAÇÃO</t>
  </si>
  <si>
    <t>TOMADA PARA CONDULETE 2P + T 10A</t>
  </si>
  <si>
    <t>TAMPA DE CONDULETE EM ALUMÍNIO PARA TOMADA</t>
  </si>
  <si>
    <t>REF: 91990 SINAPI JAN 2021</t>
  </si>
  <si>
    <t>TOMADA (1 MÓDULO), 2P+T 10 A P/ CONDULETE, INCLUINDO PLACA METÁLICA - FORNECIMENTO E INSTALAÇÃO</t>
  </si>
  <si>
    <t>REF: 09545/ORSE JAN 2021</t>
  </si>
  <si>
    <t>TOMADA BLINDADA, 2P+T 16 A DE SOBREPOR - FORNECIMENTO E INSTALAÇÃO</t>
  </si>
  <si>
    <t>TOMADA BLINDADA, 2P+T 32 A DE SOBREPOR - FORNECIMENTO E INSTALAÇÃO</t>
  </si>
  <si>
    <t>TOMADA BLINDADA, 3P+T 16 A DE SOBREPOR - FORNECIMENTO E INSTALAÇÃO</t>
  </si>
  <si>
    <t>TOMADA BLINDADA, 3P+T 32 A DE SOBREPOR - FORNECIMENTO E INSTALAÇÃO</t>
  </si>
  <si>
    <t>CONDUSCAMP</t>
  </si>
  <si>
    <t>02.080.427/0001-72</t>
  </si>
  <si>
    <t>(19) 97406-4137</t>
  </si>
  <si>
    <t>P-064</t>
  </si>
  <si>
    <t>LUMICENTER</t>
  </si>
  <si>
    <t xml:space="preserve">hernanecesar@uol.com.br </t>
  </si>
  <si>
    <t>78.331.899/0011-94</t>
  </si>
  <si>
    <t xml:space="preserve">(61) 3242-5076 </t>
  </si>
  <si>
    <t>P-030</t>
  </si>
  <si>
    <t>AMES</t>
  </si>
  <si>
    <t>ames@amesiluminacao.com.br</t>
  </si>
  <si>
    <t>10.832.609/0001-80</t>
  </si>
  <si>
    <t>(11) 2835-7421</t>
  </si>
  <si>
    <t>P-021</t>
  </si>
  <si>
    <t>marcos.cavalcante@poleoduto.com.br</t>
  </si>
  <si>
    <t>orcamento@realperfil.com.br</t>
  </si>
  <si>
    <t xml:space="preserve"> (11) 2413-1200</t>
  </si>
  <si>
    <t xml:space="preserve">(11) 2134-0002 </t>
  </si>
  <si>
    <t>P-042</t>
  </si>
  <si>
    <t>P-044</t>
  </si>
  <si>
    <t>TEKY</t>
  </si>
  <si>
    <t>DLIGHT</t>
  </si>
  <si>
    <t>ZEUS DO BRASIL</t>
  </si>
  <si>
    <t>www.teky.com.br</t>
  </si>
  <si>
    <t>comercial42@zeusdobrasil.com.br</t>
  </si>
  <si>
    <t>22.193.309/000-188</t>
  </si>
  <si>
    <t>17.251.220/0001-90</t>
  </si>
  <si>
    <t>82.699.588/0001-88</t>
  </si>
  <si>
    <t>(51) 4042-2076</t>
  </si>
  <si>
    <t>(11) 99295-8617</t>
  </si>
  <si>
    <t>(47) 3231-1111</t>
  </si>
  <si>
    <t>P-054</t>
  </si>
  <si>
    <t>P-059</t>
  </si>
  <si>
    <t>IG SHOP</t>
  </si>
  <si>
    <t>igshop.com.br</t>
  </si>
  <si>
    <t>04.609.573/0001-78</t>
  </si>
  <si>
    <t>(47) 99601-1892</t>
  </si>
  <si>
    <t>PERMETAL</t>
  </si>
  <si>
    <t>vendas.eletrocalhas1@permetal.com.br</t>
  </si>
  <si>
    <t>61.139.192/0004-59</t>
  </si>
  <si>
    <t>(16)3518-7100</t>
  </si>
  <si>
    <t>P-047</t>
  </si>
  <si>
    <t>ULTRARUBBER</t>
  </si>
  <si>
    <t>PLAST FRIO</t>
  </si>
  <si>
    <t>IMPERIAL PORTAS E CORTINAS FLEXÍVEIS</t>
  </si>
  <si>
    <t>vendas@ultrarubber.com.br</t>
  </si>
  <si>
    <t>contato@plastfrio.com.br</t>
  </si>
  <si>
    <t>comercial@imperialportasflexiveis.com.br</t>
  </si>
  <si>
    <t>19.344.083/0001-64</t>
  </si>
  <si>
    <t>22.704.202/0001-57</t>
  </si>
  <si>
    <t>29.069.706/0001 - 91</t>
  </si>
  <si>
    <t>(11) 3487-0199</t>
  </si>
  <si>
    <t>(11) 2729-8206</t>
  </si>
  <si>
    <t>11 2025-5552</t>
  </si>
  <si>
    <t>P-074</t>
  </si>
  <si>
    <t>P-075</t>
  </si>
  <si>
    <t>(11) 3368-5079</t>
  </si>
  <si>
    <t>ELETRODUTO DE AÇO GALVANIZADO, CLASSE LEVE, DN 25 MM (1), APARENTE, FIXADO NA ESTRUTURA E PAREDES - FORNECIMENTO E INSTALAÇÃO</t>
  </si>
  <si>
    <t>REF: 95746 SINAPI - JAN 2021</t>
  </si>
  <si>
    <t>REF: 10908/ORSE JAN 2021</t>
  </si>
  <si>
    <t>VERGALHÃO GALVANIZADO A FOGO, 3/8", TIPO REBAR - FORNECIMENTO E INSTALAÇÃO</t>
  </si>
  <si>
    <t>ORSE janeiro/2021</t>
  </si>
  <si>
    <t>SOLDA EXOTÉRMICA T - FORNECIMENTO E EXECUÇÃO</t>
  </si>
  <si>
    <t>TAMPÃO FOFO SIMPLES, T-16 PARA REDE DE ÁGUA PLUVIAL/ESGOTO/ELÉTRICA - FORNECIMENTO E INSTALAÇÃO</t>
  </si>
  <si>
    <t>FIXADOR UNIVERSAL ESTANHADO PARA CABOS 16 A 70MM2 - FORNECIMENTO E INSTALAÇÃO</t>
  </si>
  <si>
    <t>CONECTOR DE MEDIÇÃO LATÃO DE 35 A 70MM² REF.:TEL-562</t>
  </si>
  <si>
    <t>mavilux.com.br</t>
  </si>
  <si>
    <t>MAVILUX</t>
  </si>
  <si>
    <t>(43) 3336-1183</t>
  </si>
  <si>
    <t>19.115.107/0001-03</t>
  </si>
  <si>
    <t>CONECTOR DE MEDIÇÃO LATÃO DE 35 A 70MM² REF.:TEL-560 COM 4 PARAFUSOS - FORNECIMENTO E INSTALAÇÃO</t>
  </si>
  <si>
    <t>CLIPS ZINCADO PARA RE-BAR 3/8" TEL-5238</t>
  </si>
  <si>
    <t>lfmaquinaseferramentas.com.br</t>
  </si>
  <si>
    <t>IF MAQUINAS</t>
  </si>
  <si>
    <t>91.845.735/0004-14</t>
  </si>
  <si>
    <t>(51) 3103.0100</t>
  </si>
  <si>
    <t>parafusofacil.com.br</t>
  </si>
  <si>
    <t>PARAFUSO FACIL</t>
  </si>
  <si>
    <t>REF: 08389/ORSE SINAPI JAN 2021</t>
  </si>
  <si>
    <t>CLIPS ZINCADO PARA RE-BAR 3/8" TEL-5238 - FORNECIMENTO E INSTALAÇÃO</t>
  </si>
  <si>
    <t>REF: 97667 SINAPI JAN 2021</t>
  </si>
  <si>
    <t>ELETRODUTO PVC FLEXIVEL CORRUGADO, COR AMARELA, DE 25 MM - FORNECIMENTO E INSTALAÇÃO</t>
  </si>
  <si>
    <t>ELETRODUTO PVC FLEXIVEL CORRUGADO, COR AMARELA, DE 32 MM - FORNECIMENTO E INSTALAÇÃO</t>
  </si>
  <si>
    <t>CURVA HORIZONTAL 90º, PARA ELETROCALHA, PERFURADA EM AÇO GALVANIZADO CHAPA 22, LARGURA DE 50MM E ALTURA DE 50MM - FORNECIMENTO E INSTALAÇÃO</t>
  </si>
  <si>
    <t>REF: 97274 SINAPI - JAN 2021</t>
  </si>
  <si>
    <t>TAMPA PARA CURVA HORIZONTAL EM AÇO GALVANIZADO CHAPA 22, LARGURA DE 50MM - FORNECIMENTO E INSTALAÇÃO</t>
  </si>
  <si>
    <t>TAMPA PARA TÊ HORIZONTAL EM AÇO GALVANIZADO CHAPA 22, LARGURA DE 100MM - FORNECIMENTO E INSTALAÇÃO</t>
  </si>
  <si>
    <t>TAMPA DE PRESSÃO CHAPA 24 PARA ELETROCALHA EM AÇO GALVANIZADO, LARGURA DE 100MM - FORNECIMENTO E INSTALAÇÃO</t>
  </si>
  <si>
    <t>TAMPA DE PRESSÃO CHAPA 24 PARA ELETROCALHA EM AÇO GALVANIZADO, LARGURA DE 50MM - FORNECIMENTO E INSTALAÇÃO</t>
  </si>
  <si>
    <t>ELETROCALHA LISA EM AÇO GALVANIZADO TIPO U, LARGURA 100MM E ALTURA 50MM CHAPA 22, INCLUSIVE EMENDA E FIXAÇÃO - FORNECIMENTO E INSTALAÇÃO</t>
  </si>
  <si>
    <t>ELETROCALHA LISA EM AÇO GALVANIZADO TIPO U, LARGURA 50MM E ALTURA 50MM CHAPA 22, INCLUSIVE EMENDA E FIXAÇÃO - FORNECIMENTO E INSTALAÇÃO</t>
  </si>
  <si>
    <t>CABO COAXIAL RGC-6, 75 OHMS - FORNECIMENTO E INSTALAÇÃO</t>
  </si>
  <si>
    <t>TOMADA COM 1 POSTO PARA TV/ANTENA COM CONECTOR, INCLUSO (PLACA + SUPORTE + MODULO - FORNECIMENTO E INSTALAÇÃO</t>
  </si>
  <si>
    <t>06.02.700.3</t>
  </si>
  <si>
    <t>06.02.700.4</t>
  </si>
  <si>
    <t>06.02.700.5</t>
  </si>
  <si>
    <t>PLACA DE TOMADA RJ45 DE PISO METÁLICA DE 4X2</t>
  </si>
  <si>
    <t>diba695.com.br</t>
  </si>
  <si>
    <t>DIBA 695</t>
  </si>
  <si>
    <t>05.255.141/0005-00</t>
  </si>
  <si>
    <t>(21) 3312-3900</t>
  </si>
  <si>
    <t>ferreiracosta.com</t>
  </si>
  <si>
    <t>FERREICA COSTA</t>
  </si>
  <si>
    <t>10.230.480/0019-60</t>
  </si>
  <si>
    <t>83 3219-5050</t>
  </si>
  <si>
    <t>comlines.com.br</t>
  </si>
  <si>
    <t>COMLINES</t>
  </si>
  <si>
    <t>02.804.744/0001-94</t>
  </si>
  <si>
    <t>TOMADA COM 1 MÓDULO RJ45 CAT6 INSTALADA NO PISO, INCLUSO (PLACA METÁLICA + MODULO) - FORNECIMENTO E INSTALAÇÃO</t>
  </si>
  <si>
    <t>REF: 98307/SINAPI JAN 2021</t>
  </si>
  <si>
    <t>ACCESS  POINT DUAL BAND (2,4/5,0GHZ - 300/867MBPS), SUPORTAR 802.11ac, ALIMENTAÇÃO PoE, INSTALAÇÃO NO FORRO. REF. UNIFI-UAP-AC-LITE OU EQUIVALENTE TÉCNICO - FORNECIMENTO E INSTALAÇÃO</t>
  </si>
  <si>
    <t>TOMADAS E CAIXAS</t>
  </si>
  <si>
    <t>TELEFONIA, TV E CFTV</t>
  </si>
  <si>
    <t>REF: 12791/ORSE NOV 2020</t>
  </si>
  <si>
    <t>06.02.600.8</t>
  </si>
  <si>
    <t>06.02.600.9</t>
  </si>
  <si>
    <t>06.02.600.10</t>
  </si>
  <si>
    <t>06.02.600.11</t>
  </si>
  <si>
    <t>CÂMERA IP, TIPO DOME FIXO, ALIMENTAÇÃO PoE, INTERNA (IP 42), INSTALADA EMBUTIDA NO FORRO, RESOLUÇÃO 1,3 MP, VARIFOCAL . REFERÊNCIA: INTELBRAS VIP-S4120VF OU EQUIVALENTE TÉCNICO - FORNECIMENTO E INSTALAÇÃO</t>
  </si>
  <si>
    <t>GRAVADOR DE VÍDEO - NVR, 24 canais - FORNECIMENTO E INSTALAÇÃO</t>
  </si>
  <si>
    <t>06.02.600.12</t>
  </si>
  <si>
    <t>06.02.600.13</t>
  </si>
  <si>
    <t>06.02.600.14</t>
  </si>
  <si>
    <t>REF: 08460/ORSE NOV 2020</t>
  </si>
  <si>
    <t>NOBREAK DE 600VA, MONOFÁSICO, ENTRADA E SAÍDA EM 220V - FORNECIMENTO E INSTALAÇÃO</t>
  </si>
  <si>
    <t>REF: 66.20.150 CPOS JUL 2019</t>
  </si>
  <si>
    <t>ORGANIZADOR HORIZONTAL DE CABOS 19"</t>
  </si>
  <si>
    <t>ORGANIZADOR HORIZONTAL DE CABOS 19" - FORNECIMENTO E INSTALAÇÃO</t>
  </si>
  <si>
    <t xml:space="preserve">CASAS BHAIA </t>
  </si>
  <si>
    <t>ISAR</t>
  </si>
  <si>
    <t>vendas@isar.com.br</t>
  </si>
  <si>
    <t>46.085.486/0001-09</t>
  </si>
  <si>
    <t>(11) 2107-0488</t>
  </si>
  <si>
    <t>P-076</t>
  </si>
  <si>
    <t>REF: 11417/ORSE JAN 2021</t>
  </si>
  <si>
    <t>BANDEJA DE EQUIPAMENTOS - 2U P/ RACK - FORNECIMENTO E INSTALAÇÃO</t>
  </si>
  <si>
    <t>RÉGUA 19" - 8 TOMADAS - FORNECIMENTO E INSTALAÇÃO</t>
  </si>
  <si>
    <t>REF: 69.20.230 JUL CPOS</t>
  </si>
  <si>
    <t>GBIC PARA RACK - FORNECIMENTO E INSTALAÇÃO</t>
  </si>
  <si>
    <t>REF: 11307/ORSE JAN 2021</t>
  </si>
  <si>
    <t>REF: 12782/ORSE JAN 2021</t>
  </si>
  <si>
    <t>REF: 11230/ORSE JAN 2021</t>
  </si>
  <si>
    <t>ACESSÓRIOS E EQUIPAMENTOS</t>
  </si>
  <si>
    <t>ENTRADA DE ENERGIA</t>
  </si>
  <si>
    <t>BOX RETO DE ALUMIÍNIO P/ ELETRODUTO DE 3" - FORNECIMENTO E INSTALAÇÃO</t>
  </si>
  <si>
    <t>06.01.601</t>
  </si>
  <si>
    <t>GERADOR</t>
  </si>
  <si>
    <t>06.01.601.1</t>
  </si>
  <si>
    <t>CCO VIRTUAL</t>
  </si>
  <si>
    <t>www.ccpvirtual.com.br</t>
  </si>
  <si>
    <t xml:space="preserve">33.041.260/0652-90
</t>
  </si>
  <si>
    <t>(11) 94727-5366</t>
  </si>
  <si>
    <t>TROPICAL GRELHAS</t>
  </si>
  <si>
    <t>tropicalgrelhas@gmail.com</t>
  </si>
  <si>
    <t>02.977.354/0001-16</t>
  </si>
  <si>
    <t>(62) 3233-6943</t>
  </si>
  <si>
    <t>P-116</t>
  </si>
  <si>
    <t>PEDRÃO PVC</t>
  </si>
  <si>
    <t>www.diba695.com.br</t>
  </si>
  <si>
    <t>www.pedraopvc.com.br</t>
  </si>
  <si>
    <t>60.344.348/0001-28</t>
  </si>
  <si>
    <t>(21) 99433-8662</t>
  </si>
  <si>
    <t>(16) 99325-9076</t>
  </si>
  <si>
    <t>UPPER SEG</t>
  </si>
  <si>
    <t>DIMENSIONAL</t>
  </si>
  <si>
    <t>www.upperseg.com.br</t>
  </si>
  <si>
    <t>www.b2c.dimensional.com.br</t>
  </si>
  <si>
    <t>(43) 9835-1678</t>
  </si>
  <si>
    <t>MULTIREDE DISTRIBUIDORA</t>
  </si>
  <si>
    <t>www.multiredebh.com.br</t>
  </si>
  <si>
    <t>01.115.345/0001-53</t>
  </si>
  <si>
    <t>(31) 3469-0303</t>
  </si>
  <si>
    <t>PARAENG</t>
  </si>
  <si>
    <t>vendas@paraeng.com.br</t>
  </si>
  <si>
    <t>06.250.480/0001-25</t>
  </si>
  <si>
    <t>(31) 3394-7433</t>
  </si>
  <si>
    <t>GMX</t>
  </si>
  <si>
    <t>contato@gmxenergia.com.br</t>
  </si>
  <si>
    <t>17.588.923/0001-09</t>
  </si>
  <si>
    <t>(43) 3064-2929</t>
  </si>
  <si>
    <t>P-121</t>
  </si>
  <si>
    <t>AGROMETAL</t>
  </si>
  <si>
    <t xml:space="preserve">LEROY MERLIN </t>
  </si>
  <si>
    <t>www.lojaagrometal.com.br</t>
  </si>
  <si>
    <t>01.438.784/00048-60</t>
  </si>
  <si>
    <t>(11) 4007-1380</t>
  </si>
  <si>
    <t>AÇO DUCTO</t>
  </si>
  <si>
    <t>G5 RESERVATÓRIOS METÁLICOS</t>
  </si>
  <si>
    <t>acoducto.tecnico@gmail.com</t>
  </si>
  <si>
    <t>vendas3@g5reservatorios.com</t>
  </si>
  <si>
    <t>33.776.540/0001-10</t>
  </si>
  <si>
    <t>20.694.506/0001-55</t>
  </si>
  <si>
    <t>(62) 98272-0013</t>
  </si>
  <si>
    <t>(16) 3287-1726</t>
  </si>
  <si>
    <t>05.276.557/0001-73</t>
  </si>
  <si>
    <t>08.394.423/0001-45</t>
  </si>
  <si>
    <t>P-099</t>
  </si>
  <si>
    <t>MAXI TRUST</t>
  </si>
  <si>
    <t>gill.maxitrust@gmail.com</t>
  </si>
  <si>
    <t>17.465.718/0001-56</t>
  </si>
  <si>
    <t>(41) 389-4800</t>
  </si>
  <si>
    <t xml:space="preserve">FRESA </t>
  </si>
  <si>
    <t>SINKO ENGENHARIA</t>
  </si>
  <si>
    <t>MCEIG</t>
  </si>
  <si>
    <t>fresa@montadorafresa.com.br</t>
  </si>
  <si>
    <t>felipe@sinkoengenharia.com.br</t>
  </si>
  <si>
    <t>mauro@mceig.com.br</t>
  </si>
  <si>
    <t>01.421.989/0001-70</t>
  </si>
  <si>
    <t>20.358.556/0001-61</t>
  </si>
  <si>
    <t>20.526.132/0001-69</t>
  </si>
  <si>
    <t>(61) 3026-3232</t>
  </si>
  <si>
    <t>(62) 3434-4041</t>
  </si>
  <si>
    <t>(11) 5893-2873</t>
  </si>
  <si>
    <t>06.01.301</t>
  </si>
  <si>
    <t>06.01.301.1</t>
  </si>
  <si>
    <t>06.01.301.2</t>
  </si>
  <si>
    <t>REF: 101564 SINAPI JAN 2021</t>
  </si>
  <si>
    <t>CABO ALUMÍNIO XLPE - 15KV - 50MM² PARA REDE AÉREA - FORNECIMENTO E INSTALAÇÃO</t>
  </si>
  <si>
    <t>CABO MENSAGEIRO - CORDOALHA DE AÇO 9,5MM²</t>
  </si>
  <si>
    <t>CABO MENSAGEIRO - CORDOALHA DE AÇO 9,5MM² - FORNECIMENTO E INSTALAÇÃO</t>
  </si>
  <si>
    <t>P-122</t>
  </si>
  <si>
    <t>P-001</t>
  </si>
  <si>
    <t>fixpar.com.br</t>
  </si>
  <si>
    <t>IF MAQ</t>
  </si>
  <si>
    <t>teky.com.br</t>
  </si>
  <si>
    <t>22.193.309/0001-88</t>
  </si>
  <si>
    <t>REF: 101560 SINAPI JAN 2021</t>
  </si>
  <si>
    <t>REF: 92988 SINAPI JAN 2021</t>
  </si>
  <si>
    <t>INSTALAÇÃO DE GRUPO GERADOR-MOTOR CARENADO - 85dB, Potência Standby: 111kVA</t>
  </si>
  <si>
    <t>06.01.410.8</t>
  </si>
  <si>
    <t>COT - 06.091</t>
  </si>
  <si>
    <t>COT - 06.092</t>
  </si>
  <si>
    <t>REBITE TIPO POP EM ALUMÍNIO REF.: TEL-5335</t>
  </si>
  <si>
    <t>CONECTOR MINI-GAR REF.:TEL-583 - FORNECIMENTO E INSTALAÇÃO</t>
  </si>
  <si>
    <t>REF: 10907/ORSE JAN 2021</t>
  </si>
  <si>
    <t>Conector cabo-haste em bronze natural para 2 cabos cobre de 16mm² a 70mm² com grampo "U" e porcas de aço galv.Ref:TEL-583 ou similar</t>
  </si>
  <si>
    <t>11848/ORSE</t>
  </si>
  <si>
    <t>REBITE TIPO POP EM ALUMÍNIO REF.: TEL-5335 - FORNECIMENTO E INSTALAÇÃO</t>
  </si>
  <si>
    <t>RPL RESERVATÓRIOS</t>
  </si>
  <si>
    <t>evandro@rplreservatorios.com.br</t>
  </si>
  <si>
    <t>34.503.254/0001-44</t>
  </si>
  <si>
    <t>(16) 3287-9100</t>
  </si>
  <si>
    <t>P-125</t>
  </si>
  <si>
    <t>P-131</t>
  </si>
  <si>
    <t>P-123</t>
  </si>
  <si>
    <t>RODOAGRO</t>
  </si>
  <si>
    <t>keila.martins@rodoagro.com.br</t>
  </si>
  <si>
    <t>24.797.158/0001-00</t>
  </si>
  <si>
    <t>(31) 3421-2577</t>
  </si>
  <si>
    <t>P-129</t>
  </si>
  <si>
    <t xml:space="preserve">ELETRO PAULO </t>
  </si>
  <si>
    <t>www.lojaeletropaulo.com.br</t>
  </si>
  <si>
    <t>06.912.516/0001-99</t>
  </si>
  <si>
    <t>P-136</t>
  </si>
  <si>
    <t>13.759.106/0001-15</t>
  </si>
  <si>
    <t>ARTESANA</t>
  </si>
  <si>
    <t>MBASTOS</t>
  </si>
  <si>
    <t>CCP PARAFUSOS</t>
  </si>
  <si>
    <t>www.artesana.com.br</t>
  </si>
  <si>
    <t>www.mbastos.com.br</t>
  </si>
  <si>
    <t>www.ccpparafusos.com.br</t>
  </si>
  <si>
    <t>55.010.060/0008-53 </t>
  </si>
  <si>
    <t> 21.538.069/0001-43</t>
  </si>
  <si>
    <t> 30.000.593./0001- 57</t>
  </si>
  <si>
    <t>(11) 2797-7444</t>
  </si>
  <si>
    <t>(11) 2768-8005</t>
  </si>
  <si>
    <t>(11) 9 4727-5366</t>
  </si>
  <si>
    <t>REF: 89452/1 SINAPI JAN 2021</t>
  </si>
  <si>
    <t>TUBO, PVC, SOLDÁVEL, DN 110MM - FORNECIMENTO E INSTALAÇÃO</t>
  </si>
  <si>
    <t>REF: 94686 SINAPI JAN 2021</t>
  </si>
  <si>
    <t>JOELHO 45 GRAUS, PVC, SOLDÁVEL, DN 110 MM INSTALADO EM RESERVAÇÃO DE ÁGUA DE EDIFICAÇÃO QUE POSSUA RESERVATÓRIO DE FIBRA/FIBROCIMENTO   FORNECIMENTO E INSTALAÇÃO</t>
  </si>
  <si>
    <t>P-139</t>
  </si>
  <si>
    <t>WDS</t>
  </si>
  <si>
    <t>vendas@wds.com.br</t>
  </si>
  <si>
    <t>00.248.850/0001-03</t>
  </si>
  <si>
    <t>(11) 3459-2533</t>
  </si>
  <si>
    <t>P-140</t>
  </si>
  <si>
    <t>BUCHA DE REDUCAO DE PVC, SOLDAVEL, LONGA, COM 110 X 60 MM, PARA AGUA FRIA PREDIAL - FORNECIMENTO E INSTALAÇÃO</t>
  </si>
  <si>
    <t>REF: 89615/2 SINAPI JAN 2021</t>
  </si>
  <si>
    <t>BUCHA DE REDUCAO DE PVC, SOLDAVEL, LONGA, COM 60 X 32 MM, PARA AGUA FRIA PREDIAL - FORNECIMENTO E INSTALAÇÃO</t>
  </si>
  <si>
    <t>BUCHA DE REDUCAO DE PVC, SOLDAVEL, CURTA, COM 32 X 25 MM, PARA AGUA FRIA PREDIAL - FORNECIMENTO E INSTALAÇÃO</t>
  </si>
  <si>
    <t>RESERVATORIO SUPERIOR METÁLICO TIPO TAÇA VOLUME TOTAL: 25.000 LITROS, INCLUSO FRETE E INSTALAÇÃO</t>
  </si>
  <si>
    <t>CAIXA ENTERRADA HIDRÁULICA RETANGULAR EM ALVENARIA COM TIJOLOS CERÂMICOS MACIÇOS, DIMENSÕES INTERNAS: 0,3X0,3X0,3 M - FORNECIMENTO E INSTALAÇÃO</t>
  </si>
  <si>
    <t>CAIXA ENTERRADA HIDRÁULICA RETANGULAR EM ALVENARIA COM TIJOLOS CERÂMICOS MACIÇOS, DIMENSÕES INTERNAS: 0,4X0,4X0,4 M - FORNECIMENTO E INSTALAÇÃO</t>
  </si>
  <si>
    <t>TORNEIRA METAL AMARELO COM BICO PARA JARDIM, PADRAO POPULAR, 3/4 " (REF 1128) - FORNECIMENTO E INSTALAÇÃO</t>
  </si>
  <si>
    <t>REF: 86914 SINAPI JAN 2021</t>
  </si>
  <si>
    <t>JOELHO PVC, SOLDAVEL, COM BUCHA DE LATAO, 90 GRAUS, 20 MM X 1/2", PARA ÁGUA FRIA PREDIAL - FORNECIMENTO E INSTALAÇÃO</t>
  </si>
  <si>
    <t>BUCHA DE REDUCAO DE PVC, SOLDAVEL, LONGA, COM 60 X 40 MM, PARA AGUA FRIA PREDIAL - FORNECIMENTO E INSTALAÇÃO</t>
  </si>
  <si>
    <t>BUCHA DE REDUCAO DE PVC, SOLDAVEL, LONGA, COM 50 X 32 MM, PARA AGUA FRIA PREDIAL - FORNECIMENTO E INSTALAÇÃO</t>
  </si>
  <si>
    <t>MULTIFAST</t>
  </si>
  <si>
    <t>www.multifast.com.br</t>
  </si>
  <si>
    <t>22.955.980/0004-61</t>
  </si>
  <si>
    <t>(11) 2135 5455 </t>
  </si>
  <si>
    <t>P-147</t>
  </si>
  <si>
    <t>PATROSOL</t>
  </si>
  <si>
    <t>UBERSOL</t>
  </si>
  <si>
    <t>32.482.528/0001-30</t>
  </si>
  <si>
    <t>30.656.408/0001-87</t>
  </si>
  <si>
    <t>14.235.798/0001-65</t>
  </si>
  <si>
    <t>P-142</t>
  </si>
  <si>
    <t>P-143</t>
  </si>
  <si>
    <t>P-145</t>
  </si>
  <si>
    <t>layllahanna1@gmail.com</t>
  </si>
  <si>
    <t>10.691.425/0001-48</t>
  </si>
  <si>
    <t>(61) 99591-3052</t>
  </si>
  <si>
    <t>P-144</t>
  </si>
  <si>
    <t>REPRESENTANTE ALEXANDRE BRESSAIM</t>
  </si>
  <si>
    <t>alexandre@bressanin.com.br</t>
  </si>
  <si>
    <t>13.716.330/0001-20</t>
  </si>
  <si>
    <t xml:space="preserve">(65) 98115-9225        </t>
  </si>
  <si>
    <t>P-124</t>
  </si>
  <si>
    <t>COT - 05.005</t>
  </si>
  <si>
    <t>REF: 89448 SINAPI JAN 2021</t>
  </si>
  <si>
    <t>TUBO DE DESCIDA DE 38MM PARA VÁLVULA DE DESCARGA, INCLUSO JOELHO - FORNECIMENTO E INSTALAÇÃO</t>
  </si>
  <si>
    <t xml:space="preserve">TUBO DE DESCIDA DE 38MM PARA VÁLVULA DE DESCARGA, INCLUSO JOELHO </t>
  </si>
  <si>
    <t>atacarejonet.com.br</t>
  </si>
  <si>
    <t>ATACAREJO NET</t>
  </si>
  <si>
    <t>P-148</t>
  </si>
  <si>
    <t>11.574.994/0001-76</t>
  </si>
  <si>
    <t>(48) 3658-3714</t>
  </si>
  <si>
    <t>17.865.202/0001-07</t>
  </si>
  <si>
    <t>ZICO SHOP</t>
  </si>
  <si>
    <t>leonardo@zikoshop.com.br</t>
  </si>
  <si>
    <t>(19) 99347-5987</t>
  </si>
  <si>
    <t>P-149</t>
  </si>
  <si>
    <t>JOELHO 90 GRAUS, PVC, SERIE NORMAL, ESGOTO PREDIAL, DN 40 MM, COM ANEL, FORNECIDO E INSTALADO EM RAMAL DE DESCARGA OU RAMAL DE ESGOTO SANITÁRIO</t>
  </si>
  <si>
    <t>CCU - 05.033</t>
  </si>
  <si>
    <t>CCU - 05.034</t>
  </si>
  <si>
    <t>CCU - 05.035</t>
  </si>
  <si>
    <t>JUNÇÃO SIMPLES, PVC, SERIE NORMAL, ESGOTO PREDIAL, DN 100 X 50 MM, JUNTA ELÁSTICA, FORNECIDO E INSTALADO EM RAMAL DE DESCARGA OU RAMAL DE ESGOTO SANITÁRIO</t>
  </si>
  <si>
    <t>REF: 89795 SINAPI JAN 2021</t>
  </si>
  <si>
    <t>05.04.800.5</t>
  </si>
  <si>
    <t>05.04.800.6</t>
  </si>
  <si>
    <t>05.04.800.7</t>
  </si>
  <si>
    <t>COT - 05.007</t>
  </si>
  <si>
    <t>COT - 05.008</t>
  </si>
  <si>
    <t>P-156</t>
  </si>
  <si>
    <t>GRELHA REDONDO EM INOX DE 10CM TIPO ABRE E FECHA</t>
  </si>
  <si>
    <t>P-157</t>
  </si>
  <si>
    <t>GRELHA REDONDO EM INOX DE 15CM TIPO ABRE E FECHA</t>
  </si>
  <si>
    <t>neteletrica.com.br</t>
  </si>
  <si>
    <t>NET ELETRICA</t>
  </si>
  <si>
    <t>59.404.947/0001-00</t>
  </si>
  <si>
    <t>(11) 94329-7167</t>
  </si>
  <si>
    <t>COT - 05.009</t>
  </si>
  <si>
    <t>P-158</t>
  </si>
  <si>
    <t>TAMPA CEGA EM INOX DE 15CM</t>
  </si>
  <si>
    <t>REF:12897/ORSE JAN 2021</t>
  </si>
  <si>
    <t>COT - 05.011</t>
  </si>
  <si>
    <t>COT - 05.012</t>
  </si>
  <si>
    <t>CALHA EM AÇO INOX COM GRELHA METÁLICA de 100x20cm, prof. 15cm</t>
  </si>
  <si>
    <t>CALHA EM AÇO INOX COM GRELHA METÁLICA de 120x60cm, prof. 15cm</t>
  </si>
  <si>
    <t>CCU - 05.037</t>
  </si>
  <si>
    <t>CALHA EM AÇO INOX COM GRELHA METÁLICA de 100x20cm, prof. 15cm - FORNECIMENTO E INSTALAÇÃO</t>
  </si>
  <si>
    <t>CCU - 05.038</t>
  </si>
  <si>
    <t>CALHA EM AÇO INOX COM GRELHA METÁLICA de 120x60cm, prof. 15cm - FORNECIMENTO E INSTALAÇÃO</t>
  </si>
  <si>
    <t>CCU - 05.039</t>
  </si>
  <si>
    <t>REF: 89714/3 SINAPI JAN 2021</t>
  </si>
  <si>
    <t>TUBO PVC, SERIE NORMAL, ESGOTO PREDIAL, DN 150 MM, FORNECIDO E INSTALADO EM RAMAL DE DESCARGA OU RAMAL DE ESGOTO SANITÁRIO</t>
  </si>
  <si>
    <t>CCU - 05.040</t>
  </si>
  <si>
    <t>CAIXA ENTERRADA HIDRÁULICA RETANGULAR, EM ALVENARIA COM BLOCOS DE CONCRETO, DIMENSÕES INTERNAS: 0,6X0,6X0,6 M PARA REDE DE ESGOTO, INCLUSO TAMPÃO T-33 - FORNECIMENTO E INSTALAÇÃO</t>
  </si>
  <si>
    <t>CCU - 05.041</t>
  </si>
  <si>
    <t xml:space="preserve">IONIX </t>
  </si>
  <si>
    <t>P-159</t>
  </si>
  <si>
    <t>(62)3284-1939</t>
  </si>
  <si>
    <t>06.272.988/0001-24</t>
  </si>
  <si>
    <t>ANDRE</t>
  </si>
  <si>
    <t>PLANILHA ESTIMATIVA - EDIFICAÇÃO PRINCIPAL</t>
  </si>
  <si>
    <t>PLANILHA ESTIMATIVA - CASA DE GÁS</t>
  </si>
  <si>
    <t>PLANILHA ESTIMATIVA - CALDEIRA</t>
  </si>
  <si>
    <t>ALFA ENGENHARIA</t>
  </si>
  <si>
    <t>10.736.565/0001-95</t>
  </si>
  <si>
    <t xml:space="preserve">(11) 3644-5476 </t>
  </si>
  <si>
    <t>P-160</t>
  </si>
  <si>
    <t>RAMPA DE LAVAGEM - INCLUSIVE DEMOLIÇÃO</t>
  </si>
  <si>
    <t>REF: 919210 SICRO OUTUBRO 2020</t>
  </si>
  <si>
    <t>COT - 02.001</t>
  </si>
  <si>
    <t>CAIXA D'ÁGUA EM POLIETILENO 3.000 LITROS</t>
  </si>
  <si>
    <t>P-151</t>
  </si>
  <si>
    <t>CARAJÁS</t>
  </si>
  <si>
    <t>03.656.804/0001-31</t>
  </si>
  <si>
    <t>(11) 4003-2020</t>
  </si>
  <si>
    <t>sac@carajasonline.com</t>
  </si>
  <si>
    <t>vendas@casamimosa.com.br</t>
  </si>
  <si>
    <t>LOCAÇÃO DE GRUPO GERADOR 13 CV PARA USO EMERGÊNCIAL</t>
  </si>
  <si>
    <t>02.01.100.5</t>
  </si>
  <si>
    <t>02.01.100.6</t>
  </si>
  <si>
    <t>02.01.100.7</t>
  </si>
  <si>
    <t>02.01.100.8</t>
  </si>
  <si>
    <t>02.01.100.9</t>
  </si>
  <si>
    <t>CONSUMO DE ÁGUA E ESGOTO</t>
  </si>
  <si>
    <t>CONSUMO DE ENERGIA ELETRICA</t>
  </si>
  <si>
    <t>PORTA DE ABRIR 90X210 CM, EM AÇO TIPO VENEZIANA - FORNECIMENTO E INSTALAÇÃO</t>
  </si>
  <si>
    <t>PF-9 - PORTA DE ABRIR 90X210 CM, EM AÇO TIPO VENEZIANA, INCLUSO FERRAGEM E PINTURA - FORNECIMENTO E INSTALAÇÃO</t>
  </si>
  <si>
    <t>REVESTIMENTOS</t>
  </si>
  <si>
    <t>PISO EM CONCRETO - CALÇADAS</t>
  </si>
  <si>
    <t>POLIMENTO MECANICO EM PISO DE CONCRETO</t>
  </si>
  <si>
    <t>APLICAÇÃO DE RESINA ACRÍLICA EM PISO DE CONCRETO</t>
  </si>
  <si>
    <t>REF: 02200/ORSE JAN 2021</t>
  </si>
  <si>
    <t>PLACAS ADESIVAS E LETREIROS</t>
  </si>
  <si>
    <t>04.01.561</t>
  </si>
  <si>
    <t>MURO</t>
  </si>
  <si>
    <t>04.01.561.1</t>
  </si>
  <si>
    <t>ALAMBRADO</t>
  </si>
  <si>
    <t>04.01.562</t>
  </si>
  <si>
    <t>04.01.562.1</t>
  </si>
  <si>
    <t>04.01.562.2</t>
  </si>
  <si>
    <t>04.01.563</t>
  </si>
  <si>
    <t>PISO</t>
  </si>
  <si>
    <t>04.01.563.1</t>
  </si>
  <si>
    <t>CCU - 04.024 AUX</t>
  </si>
  <si>
    <t>CORRIMÃO DUPLO EM TUBO DE AÇO GALVANIZADO (ALTURA = 1,00 M), COM BARRAS VERTICAIS A CADA 2.00M (1 1/2"), BARRA HORIZONTAL INTERMEDIÁRIA (1 1/4") E BARRA HORIZONTAL SUPERIOR (1 1/4")</t>
  </si>
  <si>
    <t>COEFICIENTE DUPLICADO DEVIDO AO MODELO DO CORRIMÃO (2 LADOS)</t>
  </si>
  <si>
    <t>Quantidade de acordo com projeto</t>
  </si>
  <si>
    <t>GUARDA-CORPO EM TUBOS DE AÇO GALVANIZADO 2" H = 1,10M, FECHAMENTO EM TELA DE AÇO GALVANIZADO, COM CORRIMÃO EM TUBO DE AÇO GALVANIZADO DUAS ALTURAS, BARRA HORIZONTAL INTERMEDIÁRIA (1 1/4") E BARRA HORIZONTAL SUPERIOR (1 1/4")</t>
  </si>
  <si>
    <t xml:space="preserve">M   </t>
  </si>
  <si>
    <t>BICICLETÁRIO COM CINCO DIVISORES EM TUBO DE AÇO GALVANIZADO E BASE EM PERFIL METÁLICO CONFORME PROJETO</t>
  </si>
  <si>
    <t>Tubo aço galv. 1"</t>
  </si>
  <si>
    <t>Perfil metálico 5x3cm</t>
  </si>
  <si>
    <t>BICICLETÁRIO COM CINCO DIVISORES EM TUBO DE AÇO GALVANIZADO E BASE EM PERFIL METÁLICO CONFORME PROJETO, PINTADOS COM TINTA EPOX - FORNECIMENTO E INSTALAÇÃO</t>
  </si>
  <si>
    <t>04.01.100.9</t>
  </si>
  <si>
    <t>PM-01- PORTA PARA BOX EM MADEIRA 80X160 CM, COM ACABAMENTO EM LAMINADO MELAMÍNICO, INCLUINDO DOBADIÇAS COM MOLA, TARGETA LIVRE/OCUPADO E BATENTE EM AÇO INÓX - FORNECIMENTO E INSTALAÇÃO</t>
  </si>
  <si>
    <t>REVESTIMENTO COM CHAPA EM FÓRMICA BRILHANTE, ESP. = 0,8 MM, COLADA C/ FORMICOLA OU SIMILAR</t>
  </si>
  <si>
    <t>REF:  01924/ORSE FEV 2020</t>
  </si>
  <si>
    <t>JCL FERRAGENS</t>
  </si>
  <si>
    <t>(11) 3081 - 6816</t>
  </si>
  <si>
    <t>43.837.483/0001-96</t>
  </si>
  <si>
    <t>www.jclfechaduras.com.br</t>
  </si>
  <si>
    <t>P-165</t>
  </si>
  <si>
    <t>REI DAS FECHADURAS</t>
  </si>
  <si>
    <t>P-166</t>
  </si>
  <si>
    <t>vendas@reidasfechaduras.com.br</t>
  </si>
  <si>
    <t>(41) 3016-8008</t>
  </si>
  <si>
    <t>77.620.599/0003-52</t>
  </si>
  <si>
    <t>BATENTE EM AÇO INÓX PARA GRANITO</t>
  </si>
  <si>
    <t>DOBRADIÇA COM MOLA EM AÇO INÓX PARA GRANITO</t>
  </si>
  <si>
    <t>P-167</t>
  </si>
  <si>
    <t>P-168</t>
  </si>
  <si>
    <t xml:space="preserve">PARAFUSO CROMADO PARA FIXAÇÃO DE FERRAGENS EM DIVISÓRIAS DE GRANITO </t>
  </si>
  <si>
    <t>P-169</t>
  </si>
  <si>
    <t>P-170</t>
  </si>
  <si>
    <t xml:space="preserve">CANTONEIRA CROMADO INTERNA PARA DIVISÓRIAS DE GRANITO </t>
  </si>
  <si>
    <t>P-171</t>
  </si>
  <si>
    <t>P-172</t>
  </si>
  <si>
    <t xml:space="preserve">CANTONEIRA CROMADO EXTERNA PARA DIVISÓRIAS DE GRANITO </t>
  </si>
  <si>
    <t xml:space="preserve">CHAPA CROMADO EXTERNA PARA DIVISÓRIAS DE GRANITO </t>
  </si>
  <si>
    <t>P-173</t>
  </si>
  <si>
    <t>P-174</t>
  </si>
  <si>
    <t>P-175</t>
  </si>
  <si>
    <t>P-176</t>
  </si>
  <si>
    <t>REF: 100700 SINAPI FEV 2021</t>
  </si>
  <si>
    <t>BICICLETÁRIO - MATERIAL PARA 1 UNIDADE</t>
  </si>
  <si>
    <t>PORTA 2,25X2,40M - MATERIAL PARA 1 UNIDADE</t>
  </si>
  <si>
    <t>Chapa de aço #16</t>
  </si>
  <si>
    <t>Perfil cadeirinha 100x30  #16</t>
  </si>
  <si>
    <t>Perfil cadeirinha 60x30  #16</t>
  </si>
  <si>
    <t>Perfil TE 60x30  #16</t>
  </si>
  <si>
    <t>Cantoneira 30x30 #16</t>
  </si>
  <si>
    <t>REF: 09736/ORSE JAN 2020</t>
  </si>
  <si>
    <t>BARRA ANTIPANICO SIMPLES, COM FECHADURA LADO OPOSTO, COR CINZA - FORNECIMENTO E INTALAÇÃO</t>
  </si>
  <si>
    <t>CASA DO EXAUSTOR</t>
  </si>
  <si>
    <t>vendas@casadoexaustor.com.br</t>
  </si>
  <si>
    <t>24.595.350/0001-06</t>
  </si>
  <si>
    <t>(11) 2020.7777</t>
  </si>
  <si>
    <t>P-164</t>
  </si>
  <si>
    <t>Trilho Inferior 16mm</t>
  </si>
  <si>
    <t>P-177</t>
  </si>
  <si>
    <t>ROLDANA DE AÇO 2" PARA PORTA DE CORRER</t>
  </si>
  <si>
    <t>P-178</t>
  </si>
  <si>
    <t>REF:  08694/ORSE JAN 2021</t>
  </si>
  <si>
    <t>PORTA EM CHAPA DE AÇO COM UMA FOLHA FIXA E TRES FOLHAS DE CORRER 6,67X215 CM, INCLUSO BATENTE, GUIAS E ROLDANAS, CONFECÇÃO</t>
  </si>
  <si>
    <t>ASSENTAMENTO DE BATENTE DE AÇO PARA PORTA DE ABRIR OU CORRER, COM ARGAMASSA DE CIMENTO E AREIA MÉDIA</t>
  </si>
  <si>
    <t>P-179</t>
  </si>
  <si>
    <t>X=</t>
  </si>
  <si>
    <t>PORTA 6,67X2,15M - MATERIAL PARA 1 UNIDADE</t>
  </si>
  <si>
    <t>PORTA 2,00X2,10M - MATERIAL PARA 1 UNIDADE</t>
  </si>
  <si>
    <t>PAINÉL ISOLANTE TÉRMICO PARA CÂMARA FRIGORÍFICA - FORNECIMENTO E INSTALAÇÃO</t>
  </si>
  <si>
    <t>REF: 12812/ORSE FEV 2021</t>
  </si>
  <si>
    <t>P-180</t>
  </si>
  <si>
    <t>CS-01 - PORTA SANFONADA PVC 210cmx100cm - FORNECIMENTO E INSTALAÇÃO</t>
  </si>
  <si>
    <t>JF-01 - JANELA DE FERRO BASCULANTE 300X120 CM, EM AÇO GALVANIZADO, INCLUSO FERRAGENS, VIDRO E PINTURA - FORNECIMENTO E INSTALAÇÃO.</t>
  </si>
  <si>
    <t>TELA DE NYLON TIPO MOSQUITEIRO COM MOLDURA EM CANTONEIRA DE AÇO - FORNECIMENTO E INSTALAÇÃO</t>
  </si>
  <si>
    <t>REF:  08970/ORSE JAN 2021</t>
  </si>
  <si>
    <t>Retangular 50,0x20,0mm. E=1,20mm</t>
  </si>
  <si>
    <t>GRADE DE PROTEÇÃO, CONFECCIONADO EM PERFIS DE AÇO RETANGULAR 50X20X1,20MM</t>
  </si>
  <si>
    <t>REF: 01845/ORSE FEV 2021</t>
  </si>
  <si>
    <t>04.01.250</t>
  </si>
  <si>
    <t>04.01.250.1</t>
  </si>
  <si>
    <t>04.01.250.2</t>
  </si>
  <si>
    <t>04.01.250.3</t>
  </si>
  <si>
    <t>04.01.250.4</t>
  </si>
  <si>
    <t>FERRAGENS PARA DIVISÓRIAS DE GRANITO</t>
  </si>
  <si>
    <t>TELHAMENTO COM TELHA TRAPEZOIDAL COM ISOLAMENTO TERMOACUSTICO DE EPS ESPESSURA DE 30MM, INCLUSO IÇAMENTO - FORNECIMENTO E INSTALAÇÃO</t>
  </si>
  <si>
    <t>FECHAMENTO LATERAL COM TELHA TRAPEZOIDAL EM AÇO GALVANIZADO, INCLUSO IÇAMENTO - FORNECIMENTO E INSTALAÇÃO</t>
  </si>
  <si>
    <t>REF:  12792/ORSE JAN 2021</t>
  </si>
  <si>
    <t>P-181</t>
  </si>
  <si>
    <t>P-182</t>
  </si>
  <si>
    <t>COBERTURA EM CHAPA DE POLICARBONATO CRISTAL E=6MM - FORNECIMENTO E INSTALAÇÃO</t>
  </si>
  <si>
    <t>CHAPA DE POLICARBONATO AVEOLAR CRISTAL, ESPESSURA= 6MM</t>
  </si>
  <si>
    <t>CASA DO POLICARBONATO</t>
  </si>
  <si>
    <t>(41) 3538-3641</t>
  </si>
  <si>
    <t>26.309.574/0001-30</t>
  </si>
  <si>
    <t>contato@casadopolicarbonato.com</t>
  </si>
  <si>
    <t>EMENDA PARA CHAPA DE POLICARBONATO ESPESSURA= 6MM</t>
  </si>
  <si>
    <t>LOJA DO POLI</t>
  </si>
  <si>
    <t>(47) 3271-5355</t>
  </si>
  <si>
    <t>P-183</t>
  </si>
  <si>
    <t>vendas@lojadopoli.com</t>
  </si>
  <si>
    <t>ACABAMENTO PARA CHAPA DE POLICARBONATO ESPESSURA= 6MM</t>
  </si>
  <si>
    <t>COBERCHAPAS</t>
  </si>
  <si>
    <t>(16) 99280-1289</t>
  </si>
  <si>
    <t>sac@coberchapas.com.br</t>
  </si>
  <si>
    <t>11.168.469/0001-50</t>
  </si>
  <si>
    <t>POLYSHEET</t>
  </si>
  <si>
    <t>(16) 3721-4235</t>
  </si>
  <si>
    <t>26.492.513/0001-50</t>
  </si>
  <si>
    <t>comercial@polysheet.com.br</t>
  </si>
  <si>
    <t>PISO EM CONCRETO SIMPLES</t>
  </si>
  <si>
    <t>REVESTIMENTO PARA PISO EM PLACA TIPO PORCELANATO 60X60CM - FORNECIMENTO E INSTALAÇÃO</t>
  </si>
  <si>
    <t>FORRO EM PLACA CIMENTÍCIA, PARA AMBIENTES COMÉRCIAIS, INCLUSIVE ESTRUTURA DE FIXAÇÃO</t>
  </si>
  <si>
    <t>REF:  96114 SINAPI JAN 2021</t>
  </si>
  <si>
    <t>REVESTIMENTO PARA PAREDES EM PLACA TIPO PORCELANATO 30X60CM - FORNECIMENTO E INSTALAÇÃO</t>
  </si>
  <si>
    <t>REF:  87259  SINAPI JAN 2021</t>
  </si>
  <si>
    <t>04.01.564</t>
  </si>
  <si>
    <t>LAJES E FORROS</t>
  </si>
  <si>
    <t>04.01.564.1</t>
  </si>
  <si>
    <t>04.01.564.2</t>
  </si>
  <si>
    <t>04.01.565</t>
  </si>
  <si>
    <t>PINTURA DE ACABAMENTO COM APLICAÇÃO DE FUNDO PREPARADOR EPOXI, 01 DEMÃO DE MASSA EPOXI E 02 DEMÃOS DE TINTA ESMALTE EPOXI BRANCO</t>
  </si>
  <si>
    <t>REF:  03761/ORSE JAN 2021</t>
  </si>
  <si>
    <t>04.01.565.1</t>
  </si>
  <si>
    <t>04.01.565.2</t>
  </si>
  <si>
    <t>REF:  12990/ORSE JAN 2021</t>
  </si>
  <si>
    <t>FORNECIMENTO E INSTALAÇÃO DE CATRACA PARA CONTROLE DE ACESSO - HENRY LUMEN OU EQUIVALENTE</t>
  </si>
  <si>
    <t>P-184</t>
  </si>
  <si>
    <t>CATRACA PARA CONTROLE DE ACESSO - HENRY LUMEN OU EQUIVALENTE</t>
  </si>
  <si>
    <t>CCU - 04.015 AUX</t>
  </si>
  <si>
    <t>GUIA EM TUBOS DE AÇO GALVANIZADO 2" H = 90 CM, FIXADO NO PISO A CADA 1,5M</t>
  </si>
  <si>
    <t>GUIA EM TUBOS DE AÇO GALVANIZADO 2" H = 90 CM, FIXADO NO PISO A CADA 1,5M, CVOM PINTURA EPÓX - FORNECIMENTO E INSTALAÇÃO</t>
  </si>
  <si>
    <t>CANTONEIRA COM GRAPAS DE ALUMÍNIO, REF. Y-678 PARA PROTEÇÃO DAS QUINAS DE PAREDES - FORNECIMENTO E INSTALAÇÃO</t>
  </si>
  <si>
    <t>04.01.700</t>
  </si>
  <si>
    <t>ACABAMENTOS E ARREMATES</t>
  </si>
  <si>
    <t>RODAPÉS</t>
  </si>
  <si>
    <t>04.01.701</t>
  </si>
  <si>
    <t>04.01.702</t>
  </si>
  <si>
    <t>04.01.705</t>
  </si>
  <si>
    <t>CANTONEIRAS</t>
  </si>
  <si>
    <t>04.01.705.1</t>
  </si>
  <si>
    <t>04.01.701.1</t>
  </si>
  <si>
    <t>04.01.702.1</t>
  </si>
  <si>
    <t>P-185</t>
  </si>
  <si>
    <t>CABIDE SIMPLES PARA BANHEIRO EM METAL CROMADO - INCLUSO FIXAÇÃO</t>
  </si>
  <si>
    <t>REF: 95542 SINAPI JAN 2021</t>
  </si>
  <si>
    <t>COT - 04.018</t>
  </si>
  <si>
    <t>MEIA SABONETEIRA EM LOUÇA BRANCA</t>
  </si>
  <si>
    <t>P-186</t>
  </si>
  <si>
    <t>LOJA MERC</t>
  </si>
  <si>
    <t>11 3579 8700</t>
  </si>
  <si>
    <t>vendas@merc.com.br</t>
  </si>
  <si>
    <t>08.760.239/0001-71</t>
  </si>
  <si>
    <t>REF:  02032/ORSE JAN 2021</t>
  </si>
  <si>
    <t>MEIA SABONETEIRA EM LOUÇA BRANCA - FORNECIMENTO E INSTALAÇÃO.</t>
  </si>
  <si>
    <t>TROCADOR DE FRALDA DE PAREDE EM AÇO INOX E POLIETILENO, 50X90CM - INCLUSO FIXAÇÃO</t>
  </si>
  <si>
    <t>COT - 04.019</t>
  </si>
  <si>
    <t>TROCADOR DE FRALDA DE PAREDE EM AÇO INOX E POLIETILENO, 50X90CM</t>
  </si>
  <si>
    <t>P-187</t>
  </si>
  <si>
    <t>BRAKEY</t>
  </si>
  <si>
    <t>comercial@brakey.com.br</t>
  </si>
  <si>
    <t>(11) 3095-9600</t>
  </si>
  <si>
    <t>15.462.217/0001-90</t>
  </si>
  <si>
    <t>GRUPO GRX</t>
  </si>
  <si>
    <t>04.074.444/0001-22</t>
  </si>
  <si>
    <t>(16) 3916-5800</t>
  </si>
  <si>
    <t>grx@grx.com.br</t>
  </si>
  <si>
    <t>REF: 95543 SINAPI JAN 2021</t>
  </si>
  <si>
    <t>ALARME DE EMERGÊNCIA PARA SANITÁRIO, CONFORME NBR 9050 - COR VERMELHA</t>
  </si>
  <si>
    <t>ALARME DE EMERGÊNCIA PARA SANITÁRIO, CONFORME NBR 9050 - COR VERMELHA - FORNECIMENTO E INSTALAÇÃO.</t>
  </si>
  <si>
    <t>REF: 11824/ORSE JAN 2021</t>
  </si>
  <si>
    <t>COT - 04.020</t>
  </si>
  <si>
    <t>P-188</t>
  </si>
  <si>
    <t>PLANETA ACESSÍVEL</t>
  </si>
  <si>
    <t>(11) 4036-6557</t>
  </si>
  <si>
    <t>comercial@planetaacessivel.com.br</t>
  </si>
  <si>
    <t>21.366.659/0001-36</t>
  </si>
  <si>
    <t>ALLBANHO</t>
  </si>
  <si>
    <t xml:space="preserve">(11) 2097-8314 </t>
  </si>
  <si>
    <t>01.876.433/0001-78</t>
  </si>
  <si>
    <t>vendasonline@allbanho.com.br</t>
  </si>
  <si>
    <t>ASSENTO SANITÁRIO</t>
  </si>
  <si>
    <t>(11) 2892-4543</t>
  </si>
  <si>
    <t>vendas@assentosanitario.com.br</t>
  </si>
  <si>
    <t>58.840.380/0001-52</t>
  </si>
  <si>
    <t>COT - 04.021</t>
  </si>
  <si>
    <t>P-189</t>
  </si>
  <si>
    <t>COT - 04.022</t>
  </si>
  <si>
    <t>P-190</t>
  </si>
  <si>
    <t>LOJA TRAMONTINA</t>
  </si>
  <si>
    <t>61.652.608/0001-95</t>
  </si>
  <si>
    <t>(11) 4861-3981</t>
  </si>
  <si>
    <t>www.tramontinastore.com</t>
  </si>
  <si>
    <t>DULAR</t>
  </si>
  <si>
    <t>20.838.661/0001-06</t>
  </si>
  <si>
    <t>(61) 99658 8121</t>
  </si>
  <si>
    <t>www.dular.com.br</t>
  </si>
  <si>
    <t>REF: 100852 SINAPI JAN 2021</t>
  </si>
  <si>
    <t>CUBA EM AÇO INÓX COM VÁLVULA PARA HIGIENIZAÇÃO DE BANDEIJAS - FORNECIMENTO E INSTALAÇÃO</t>
  </si>
  <si>
    <t>CUBA EM AÇO INÓX COM VÁLVULA PARA HIGIENIZAÇÃO DE BANDEIJAS</t>
  </si>
  <si>
    <t>SIFÃO DO TIPO GARRAFA EM METAL CROMADO 2 X 1.1/2 - FORNECIMENTO E INSTALAÇÃO</t>
  </si>
  <si>
    <t>REF: 86881 SINAPI JAN 2021</t>
  </si>
  <si>
    <t>TORNEIRA MISTURADOR DE PAREDE - ASPEN 1258 C35 OU EQUIVALENTE - FORNECIMENTO E INSTALAÇÃO</t>
  </si>
  <si>
    <t>REF: 86908 SINAPI JAN 2021</t>
  </si>
  <si>
    <t>COT - 04.023</t>
  </si>
  <si>
    <t>TORNEIRA MISTURADOR DE PAREDE - ASPEN 1258 C35 OU EQUIVALENTE</t>
  </si>
  <si>
    <t>P-191</t>
  </si>
  <si>
    <t>HIDROSHOP</t>
  </si>
  <si>
    <t>11.387.332/0001-97</t>
  </si>
  <si>
    <t>(41) 3366-2444</t>
  </si>
  <si>
    <t>contato@hidro-shop.com</t>
  </si>
  <si>
    <t>ACABAMENTO PARA VÁLVULA DE DESCARGA ANTIVANDALISMO SALVAGUA COD. 00572706 OU EQUIVALENTE - FORNECIMENTO E INSTALAÇÃO</t>
  </si>
  <si>
    <t>COT - 04.024</t>
  </si>
  <si>
    <t>P-192</t>
  </si>
  <si>
    <t>ACABAMENTO PARA VÁLVULA DE DESCARGA ANTIVANDALISMO SALVAGUA COD. 00572706 OU EQUIVALENTE</t>
  </si>
  <si>
    <t>REF: 02057/ORSE JAN 2021</t>
  </si>
  <si>
    <t>ACABAMENTO PARA VÁLVULA DE DESCARGA BENEFIT COD. 00184906 OU EQUIVALENTE - FORNECIMENTO E INSTALAÇÃO</t>
  </si>
  <si>
    <t>COT - 04.025</t>
  </si>
  <si>
    <t>ACABAMENTO PARA VÁLVULA DE DESCARGA BENEFIT COD. 00184906 OU EQUIVALENTE</t>
  </si>
  <si>
    <t>PONTO</t>
  </si>
  <si>
    <t>4002-3388</t>
  </si>
  <si>
    <t>www.pontofrio.com.br/</t>
  </si>
  <si>
    <t>CONDEC</t>
  </si>
  <si>
    <t>(61)3246-3117</t>
  </si>
  <si>
    <t xml:space="preserve">vendasonline@condec.com.br
</t>
  </si>
  <si>
    <t>04.520.163/0001-56</t>
  </si>
  <si>
    <t>P-193</t>
  </si>
  <si>
    <t>COT - 04.026</t>
  </si>
  <si>
    <t>0,0881000</t>
  </si>
  <si>
    <t>0,4968000</t>
  </si>
  <si>
    <t>0,3495000</t>
  </si>
  <si>
    <t>P-194</t>
  </si>
  <si>
    <t>BACIA CONVENCIONAL - LINHA VOGUE PLUS - COR BRANCO GELO - COD.P510 - FAB. DECA  OU EQUIVALENTE - FORNECIMENTO E INSTALAÇÃO</t>
  </si>
  <si>
    <t>REF: 95469 SINAPI FEV 2021</t>
  </si>
  <si>
    <t>ASSENTO EM POLIÉSTER - COR BRANCO GELO - COD.AP50 - FAB. DECA  OU EQUIVALENTE - FORNECIMENTO E INSTALAÇÃO</t>
  </si>
  <si>
    <t>ASSENTO EM POLIÉSTER - COR BRANCO GELO - COD.AP50 - FAB. DECA  OU EQUIVALENTE</t>
  </si>
  <si>
    <t>0,1536000</t>
  </si>
  <si>
    <t>0,0484000</t>
  </si>
  <si>
    <t>REF: 100849 SINAPI FEV 2021</t>
  </si>
  <si>
    <t>REF: 03707/ORSE FEV 2021</t>
  </si>
  <si>
    <t>COT - 04.027</t>
  </si>
  <si>
    <t>P-195</t>
  </si>
  <si>
    <t>TUBO DE LIGAÇÃO CROMADO PARA BACIA VASO SANITÁRIO</t>
  </si>
  <si>
    <t>TUBO DE LIGAÇÃO CROMADO PARA BACIA VASO SANITÁRIO - FORNECIMENTO E INSTALAÇÃO</t>
  </si>
  <si>
    <t>COT - 04.028</t>
  </si>
  <si>
    <t>COT - 04.029</t>
  </si>
  <si>
    <t>CHUVEIRO COM TUBO DE PAREDE DECA BALANCE 12 1954 CCT ARE CROMADO OU EQUIVALENTE - FORNECIMENTO E INSTALAÇÃO</t>
  </si>
  <si>
    <t>0,0210000</t>
  </si>
  <si>
    <t>0,4467000</t>
  </si>
  <si>
    <t>0,1407000</t>
  </si>
  <si>
    <t>REF: 100860 SINAPI NOV 2020</t>
  </si>
  <si>
    <t>P-196</t>
  </si>
  <si>
    <t>P-197</t>
  </si>
  <si>
    <t>BANCADA/TAMPO EM GRANITO CINZA ANDORINHA - FORNECIMENTO E INSTALAÇÃO</t>
  </si>
  <si>
    <t>CCU - 04.086</t>
  </si>
  <si>
    <t>CCU - 04.087</t>
  </si>
  <si>
    <t>CCU - 04.088</t>
  </si>
  <si>
    <t>RODABANCADA EM GRANITO CINZA ANDORINHA, ALTURA 10CM - FORNECIMENTO E INSTALAÇÃO</t>
  </si>
  <si>
    <t>04.01.810.23</t>
  </si>
  <si>
    <t>04.01.810.24</t>
  </si>
  <si>
    <t>04.01.810.25</t>
  </si>
  <si>
    <t>04.01.810.26</t>
  </si>
  <si>
    <t>04.01.810.27</t>
  </si>
  <si>
    <t>04.01.810.28</t>
  </si>
  <si>
    <t>04.01.810.29</t>
  </si>
  <si>
    <t>04.01.810.30</t>
  </si>
  <si>
    <t>04.01.810.31</t>
  </si>
  <si>
    <t>04.01.810.32</t>
  </si>
  <si>
    <t>04.01.810.33</t>
  </si>
  <si>
    <t>04.01.810.34</t>
  </si>
  <si>
    <t>04.01.810.35</t>
  </si>
  <si>
    <t>04.01.810.36</t>
  </si>
  <si>
    <t>04.01.810.37</t>
  </si>
  <si>
    <t>04.01.810.38</t>
  </si>
  <si>
    <t>04.01.810.39</t>
  </si>
  <si>
    <t>04.01.810.40</t>
  </si>
  <si>
    <t>04.01.810.41</t>
  </si>
  <si>
    <t>04.01.810.42</t>
  </si>
  <si>
    <t>04.01.810.43</t>
  </si>
  <si>
    <t>04.01.810.44</t>
  </si>
  <si>
    <t>04.01.810.45</t>
  </si>
  <si>
    <t>04.01.810.46</t>
  </si>
  <si>
    <t>04.01.810.47</t>
  </si>
  <si>
    <t>04.01.810.48</t>
  </si>
  <si>
    <t>BRÁS INOX</t>
  </si>
  <si>
    <t>37402810/0001-84</t>
  </si>
  <si>
    <t>11 94933-3083</t>
  </si>
  <si>
    <t>ANTONIO</t>
  </si>
  <si>
    <t>OMINIA</t>
  </si>
  <si>
    <t>P-199</t>
  </si>
  <si>
    <t>RODRIGO</t>
  </si>
  <si>
    <t>11 2372-0093</t>
  </si>
  <si>
    <t>12.904.509/0001-48</t>
  </si>
  <si>
    <t>COT - 04.030</t>
  </si>
  <si>
    <t>PLACA EM PVC EXPANDIDO BRANCO 3 MM 10X15CM, COM APLICAÇÃO EM VINIL ADESIVO RECORTADO COLORIDO COM INSCRITA EM BRILE FIXADAS COM FITA AUTO ADESIVA</t>
  </si>
  <si>
    <t>COT - 04.031</t>
  </si>
  <si>
    <t>COT - 04.032</t>
  </si>
  <si>
    <t xml:space="preserve">PLACA EM PVC EXPANDIDO BRANCO 3 MM 15X15CM, COM APLICAÇÃO EM VINIL ADESIVO RECORTADO COLORIDO EM UMA FACE. FIXADAS  COM FITA AUTO ADESIVA </t>
  </si>
  <si>
    <t xml:space="preserve">PLACA EM PVC EXPANDIDO BRANCO 3 MM 20X20CM, COM APLICAÇÃO EM VINIL ADESIVO RECORTADO COLORIDO EM UMA FACE. FIXADAS  COM FITA AUTO ADESIVA </t>
  </si>
  <si>
    <t>PLACA EM PVC EXPANDIDO BRANCO 3 MM 10X15CM, COM APLICAÇÃO EM VINIL ADESIVO RECORTADO COLORIDO COM INSCRITA EM BRILE FIXADAS COM FITA AUTO ADESIVA  - FORNECIMENTO E INSTALAÇÃO</t>
  </si>
  <si>
    <t>PLACA EM PVC EXPANDIDO BRANCO 3 MM 15X15CM, COM APLICAÇÃO EM VINIL ADESIVO RECORTADO COLORIDO EM UMA FACE. FIXADAS  COM FITA AUTO ADESIVA   - FORNECIMENTO E INSTALAÇÃO</t>
  </si>
  <si>
    <t>CCU - 04.089</t>
  </si>
  <si>
    <t>CCU - 04.090</t>
  </si>
  <si>
    <t>PLACA EM PVC EXPANDIDO BRANCO 3 MM 20X20CM, COM APLICAÇÃO EM VINIL ADESIVO RECORTADO COLORIDO EM UMA FACE. FIXADAS  COM FITA AUTO ADESIVA   - FORNECIMENTO E INSTALAÇÃO</t>
  </si>
  <si>
    <t>COT - 04.033</t>
  </si>
  <si>
    <t>COT - 04.034</t>
  </si>
  <si>
    <t xml:space="preserve">PLACA EM PVC EXPANDIDO BRANCO 3 MM 40X20CM, COM APLICAÇÃO EM VINIL ADESIVO RECORTADO COLORIDO EM UMA FACE. FIXADAS  COM FITA AUTO ADESIVA </t>
  </si>
  <si>
    <t>CCU - 04.091</t>
  </si>
  <si>
    <t>CCU - 04.092</t>
  </si>
  <si>
    <t>CCU - 04.093</t>
  </si>
  <si>
    <t>04.02.102.6</t>
  </si>
  <si>
    <t>PLACA EM PVC EXPANDIDO BRANCO 3 MM 15X40CM, COM APLICAÇÃO EM VINIL ADESIVO RECORTADO COLORIDO EM UMA FACE. FIXADAS  COM FITA AUTO ADESIVA   - FORNECIMENTO E INSTALAÇÃO</t>
  </si>
  <si>
    <t>PLACA EM PVC EXPANDIDO BRANCO 3 MM 20X40CM, COM APLICAÇÃO EM VINIL ADESIVO RECORTADO COLORIDO EM UMA FACE. FIXADAS  COM FITA AUTO ADESIVA   - FORNECIMENTO E INSTALAÇÃO</t>
  </si>
  <si>
    <t>COT - 04.035</t>
  </si>
  <si>
    <t>CCU - 04.094</t>
  </si>
  <si>
    <t>PLACA DE INAUGURAÇÃO DE OBRA EM AÇO ESCOVADO 40X60CM - FORNECIMENTO E INSTALAÇÃO</t>
  </si>
  <si>
    <t>CCU - 04.095</t>
  </si>
  <si>
    <t>REF: 00005/ORSE FEV 2021</t>
  </si>
  <si>
    <t>REF: 03761/ORSE FEV 2021</t>
  </si>
  <si>
    <t>04.02.102.7</t>
  </si>
  <si>
    <t>04.02.102.8</t>
  </si>
  <si>
    <t>04.02.102</t>
  </si>
  <si>
    <t>PINTURA DE LETREIRO EM TINATA EPÓXI</t>
  </si>
  <si>
    <t>P-201</t>
  </si>
  <si>
    <t>P-202</t>
  </si>
  <si>
    <t>P-203</t>
  </si>
  <si>
    <t>CCU - 04.096</t>
  </si>
  <si>
    <t>PORTA DE ABRIR DUAS FOLHAS 2,5X210 CM, EM AÇO TIPO VENEZIANA, INCLUSO PINTURA - FORNECIMENTO E INSTALAÇÃO</t>
  </si>
  <si>
    <t>JANELA VENEZIANA 100X30 CM, EM AÇO GALVANIZADO, INCLUSO FERRAGENS, INCLUSO PINTURA - FORNECIMENTO E INSTALAÇÃO.</t>
  </si>
  <si>
    <t>CCU - 04.097</t>
  </si>
  <si>
    <t>CCU - 04.098</t>
  </si>
  <si>
    <t>JANELA VENEZIANA 195X30 CM, EM AÇO GALVANIZADO, INCLUSO FERRAGENS, INCLUSO PINTURA - FORNECIMENTO E INSTALAÇÃO.</t>
  </si>
  <si>
    <t>07.08.201</t>
  </si>
  <si>
    <t>07.08.200.1</t>
  </si>
  <si>
    <t>MAQUINBAL</t>
  </si>
  <si>
    <t>www.maquinbal.com.br</t>
  </si>
  <si>
    <t>05.204.620/0001-66</t>
  </si>
  <si>
    <t>(11) 99883-2928</t>
  </si>
  <si>
    <t>P-163</t>
  </si>
  <si>
    <t xml:space="preserve"> 31 3981-8081</t>
  </si>
  <si>
    <t>P-211</t>
  </si>
  <si>
    <t>ARCOTEC</t>
  </si>
  <si>
    <t>arcotec.com.br</t>
  </si>
  <si>
    <t>19.935.118/0001-30</t>
  </si>
  <si>
    <t>11 2935-2680</t>
  </si>
  <si>
    <t>MULDIALL BRYSA</t>
  </si>
  <si>
    <t>mundialbrysa.com.br</t>
  </si>
  <si>
    <t>17.036.673/0001-02</t>
  </si>
  <si>
    <t>(17) 3216-2768</t>
  </si>
  <si>
    <t>P-209</t>
  </si>
  <si>
    <t>P-204</t>
  </si>
  <si>
    <t>P-205</t>
  </si>
  <si>
    <t>P-208</t>
  </si>
  <si>
    <t>P-206</t>
  </si>
  <si>
    <t>SAMATEC</t>
  </si>
  <si>
    <t>REFRIGERAÇÃO CLIMAT</t>
  </si>
  <si>
    <t>samatec.com.br</t>
  </si>
  <si>
    <t>refrigeracaoclimatec.com.br</t>
  </si>
  <si>
    <t>23.730.335/0001-60</t>
  </si>
  <si>
    <t>16.680.870/0001-99</t>
  </si>
  <si>
    <t>21 3803-1400</t>
  </si>
  <si>
    <t>(47) 3084-5755</t>
  </si>
  <si>
    <t>P-207</t>
  </si>
  <si>
    <t>07.08.200.2</t>
  </si>
  <si>
    <t>CCU - 07.060</t>
  </si>
  <si>
    <t>REF: 43.03.130 CPOS JUL/2019</t>
  </si>
  <si>
    <t xml:space="preserve">INSTALAÇÃO DE TROCADOR DE CALOR -  Weco CB400-80 </t>
  </si>
  <si>
    <t>REF: 09020-1-2/ORSE JAN/2021</t>
  </si>
  <si>
    <t>VAPORTEC</t>
  </si>
  <si>
    <t>00.793.959/0003-93</t>
  </si>
  <si>
    <t>49 3240-0907</t>
  </si>
  <si>
    <t>P-212</t>
  </si>
  <si>
    <t>P-216</t>
  </si>
  <si>
    <t>AGILIT AÇO CONSTRUÇÕES</t>
  </si>
  <si>
    <t xml:space="preserve"> 15.639.715/0001-66</t>
  </si>
  <si>
    <t>(61) 99437-4637</t>
  </si>
  <si>
    <t>P-214</t>
  </si>
  <si>
    <t>macsouto@terra.com.br</t>
  </si>
  <si>
    <t xml:space="preserve"> 03.593.705/0001-58</t>
  </si>
  <si>
    <t xml:space="preserve"> (71) 3242-4485</t>
  </si>
  <si>
    <t>P-217</t>
  </si>
  <si>
    <t xml:space="preserve">FRETE SP </t>
  </si>
  <si>
    <t>ANTT-TAB C</t>
  </si>
  <si>
    <t>PEDAGIOS</t>
  </si>
  <si>
    <t>CARGA E D.</t>
  </si>
  <si>
    <t>TROCADOR DE CALOR -  Weco CB400-80, INCLUSO FRETE</t>
  </si>
  <si>
    <t>FRETE SP 2</t>
  </si>
  <si>
    <t>FRETE RS</t>
  </si>
  <si>
    <t>COT - 07.064</t>
  </si>
  <si>
    <t>ESTACA 30</t>
  </si>
  <si>
    <t>ESTACA 25</t>
  </si>
  <si>
    <t>ESTACA 40</t>
  </si>
  <si>
    <t>REF: 100896 E 100897 SINAPI JANEIRO 2021</t>
  </si>
  <si>
    <t>CONCRETAGEM DE VIGAS E LAJES, FCK=30 MPA, PARA LAJES MACIÇAS OU NERVURADAS COM USO DE BOMBA  - LANÇAMENTO, ADENSAMENTO E ACABAMENTO.</t>
  </si>
  <si>
    <t>REF: 97094 SINAPI JANEIRO 2021</t>
  </si>
  <si>
    <t>ALVENARIA  SOBRE BALDRAME BLOCOS CANALETA 14X19X39 - PREENCHIDOS COM CONCRETO  -  FORNECIMENTO E INSTALAÇÃO</t>
  </si>
  <si>
    <t>5,3400000</t>
  </si>
  <si>
    <t>REF: 93205 SINAPI FEV 2021 - INCLUSO PREENCHIMENTO</t>
  </si>
  <si>
    <t>CCU - 03.013</t>
  </si>
  <si>
    <t>CCU - 03.014</t>
  </si>
  <si>
    <t>CCU - 03.015</t>
  </si>
  <si>
    <t>CCU - 03.016</t>
  </si>
  <si>
    <t>CCU - 03.017</t>
  </si>
  <si>
    <t>CCU - 03.018</t>
  </si>
  <si>
    <t>CCU - 03.019</t>
  </si>
  <si>
    <t>CCU - 03.020</t>
  </si>
  <si>
    <t>CCU - 03.021</t>
  </si>
  <si>
    <t>CCU - 03.022</t>
  </si>
  <si>
    <t>CCU - 03.023</t>
  </si>
  <si>
    <t>PINTURA COM TINTA ALQUÍDICA DE FUNDO (TIPO ZARCÃO) -  2 DEMÃO - PULVERIZADA SOBRE ESTRUTURA METALICA - FORNECIMENTO E INSTALAÇÃO</t>
  </si>
  <si>
    <t>REF: 100719 SINAPI FEV 2021</t>
  </si>
  <si>
    <t>CCU - 03.024</t>
  </si>
  <si>
    <t>CCU - 03.025</t>
  </si>
  <si>
    <t>insumo</t>
  </si>
  <si>
    <t>CCU - 03.027</t>
  </si>
  <si>
    <t>REF: 97083 SINAPI DEZ/2021</t>
  </si>
  <si>
    <t>CCU - 03.028</t>
  </si>
  <si>
    <t>CCU - 03.030</t>
  </si>
  <si>
    <t>IMPERMEABILIZAÇÃO COM APLICAÇÃO DE ARGAMASSA POLIMÉRICA- 2KG/M2 E RESINA TERMOPLÁSTICA ( 4KG/M2)- ESTRUTURADACOM TELA POLISTER-FORNECIMENTO E INSTALAÇÃO</t>
  </si>
  <si>
    <t>CCU - 05.110</t>
  </si>
  <si>
    <t>VALVULA DE AGULHA EM LATAO ∅1/2" - FORNECIMENTO E INSTALAÇÃO</t>
  </si>
  <si>
    <t>UN.</t>
  </si>
  <si>
    <t>COT - 05.110</t>
  </si>
  <si>
    <t>REF: 95252 SINAPI FEV/2021</t>
  </si>
  <si>
    <t>CCU - 05.111</t>
  </si>
  <si>
    <t>TUBO SIFÃO ∅1/2" - FORNECIMENTO E INSTALAÇÃO</t>
  </si>
  <si>
    <t>COT - 05.111</t>
  </si>
  <si>
    <t>REF: 86883 SINAPI FEV/2021</t>
  </si>
  <si>
    <t>CCU - 05.112</t>
  </si>
  <si>
    <t>BOMBA RECALQUE 380V-3∅ 60HZ 3.500RPM Hman = 28L mca POTENCIA 2HP - FORNECIMENTO E INSTALAÇÃO</t>
  </si>
  <si>
    <t>BOMBA RECALQUE 380V-3∅ 60HZ 3.500RPM Hman = 28L mca POTENCIA 2HP</t>
  </si>
  <si>
    <t>COT - 05.112</t>
  </si>
  <si>
    <t>CCU - 05.113</t>
  </si>
  <si>
    <t>COT - 05.113</t>
  </si>
  <si>
    <t>REF: 43.03.55 -CPOS</t>
  </si>
  <si>
    <t>CCU - 05.114</t>
  </si>
  <si>
    <t>COT - 05.114</t>
  </si>
  <si>
    <t>REF: 43.03.51 - CPOS</t>
  </si>
  <si>
    <t>CCU - 05.116</t>
  </si>
  <si>
    <t>TE DE FERRO, PARA CHAMINÉ  CALDEIRA, FORNECIMENTO E INSTALAÇÃO</t>
  </si>
  <si>
    <t>REF: 05284/ORSE-FEV/2021</t>
  </si>
  <si>
    <t>CURVA CHAMINE CALDEIRA, FORNECIMENTO E INSTALAÇÃO</t>
  </si>
  <si>
    <t>CCU - 05.117</t>
  </si>
  <si>
    <t xml:space="preserve"> CHAMINE CALDEIRA CONFORME CADERNO DE ESPECIFICAÇÕES, FORNECIMENTO E INSTALAÇÃO</t>
  </si>
  <si>
    <t>TE 1</t>
  </si>
  <si>
    <t>JOELHO 3</t>
  </si>
  <si>
    <t>TUBO 8</t>
  </si>
  <si>
    <t>REF: 05284+05361/ORSE, INCLUSO PROTETOR E SAIDA DE GASES, DE ACORDO COM DETALHE DA CALDEIRA</t>
  </si>
  <si>
    <t>CCU - 05.101</t>
  </si>
  <si>
    <t>CCU - 05.102</t>
  </si>
  <si>
    <t>REF: 89580 SINAPI DEZ 2019</t>
  </si>
  <si>
    <t>CCU - 05.103</t>
  </si>
  <si>
    <t>REF: 90696 SINAPI DEZ 2019</t>
  </si>
  <si>
    <t>CCU - 05.104</t>
  </si>
  <si>
    <t>ADAPTADOR PARA TAMPÃO STORZ 2.1/2"  - FORNECIMENTO E INSTALAÇÃO</t>
  </si>
  <si>
    <t>REF: 01521/ORSE JAN 2021</t>
  </si>
  <si>
    <t>COT - 08.004</t>
  </si>
  <si>
    <t>MOTOBOMBA HORIZONTAL, VAZÃO: 34,20 m³/h, ALTURA MANOMÉTRICA: 30,00 mca, POTÊNCIA: 4,0 cv - MODELO/MARCA: 416 TJM (DANCOR) - FORNECIMENTO E INSTALAÇÃO</t>
  </si>
  <si>
    <t>COT - 08.007</t>
  </si>
  <si>
    <t>EXTINTOR DE PÓ QUÍMICO ABC, SOBRE SUPORTE DE FIXAÇÃO P/ PAREDE
CARGA EXTINTORA 3A/ 20B/ C - FORNECIMENTO E INSTALAÇÃO</t>
  </si>
  <si>
    <t>REF: 101909 SINAPI JAN 2021</t>
  </si>
  <si>
    <t>PLACA DE SINALIZACAO PROIBIDO FUMAR, SIMBOLO: CIRCULAR FORNECIMENTO E INSTALAÇÃO</t>
  </si>
  <si>
    <t>PLACA DE SINALIZACAO DE SEGURANCA CONTRA INCENDIO, FOTOLUMINESCENTE, QUADRADA, *20 X 20* CM, EM PVC *2* MM ANTI-CHAMAS (SIMBOLOS, CORES E PICTOGRAMAS CONFORME NBR 13434), COD. 15 - FORNECIMENTO E INSTALAÇÃO</t>
  </si>
  <si>
    <t>TAMPAO STORZ 2.1/2" LATÃO P/ HIDRANTE</t>
  </si>
  <si>
    <t>PIA TEM</t>
  </si>
  <si>
    <t>ReA EXTINTORES</t>
  </si>
  <si>
    <t>piatatem.com.br</t>
  </si>
  <si>
    <t>raextintores.com.br</t>
  </si>
  <si>
    <t>02.939.491/0001-66</t>
  </si>
  <si>
    <t>14.314.086/0001-31</t>
  </si>
  <si>
    <t xml:space="preserve">ADAPTADOR PARA TAMPAO STORZ 2.1/2" </t>
  </si>
  <si>
    <t>Qualitytubos</t>
  </si>
  <si>
    <t>STILO</t>
  </si>
  <si>
    <t>QUALITYTUBOS.COM.BR</t>
  </si>
  <si>
    <t>STILOPLASTICOS.COM</t>
  </si>
  <si>
    <t>(11) 3227-2302</t>
  </si>
  <si>
    <t>NIPLE DUPLO 2 1/2" FERRO GALV.</t>
  </si>
  <si>
    <t>VALMACRP</t>
  </si>
  <si>
    <t>valmacrp.com.br</t>
  </si>
  <si>
    <t>02.054.705/0001-17</t>
  </si>
  <si>
    <t>(16) 3628-7097</t>
  </si>
  <si>
    <t>TAMPÃO 50X50cm EM FERRO FUNDIDO</t>
  </si>
  <si>
    <t>PRESSOSTATO DE AR E ÁGUA</t>
  </si>
  <si>
    <t>VIEW TECH</t>
  </si>
  <si>
    <t>viewtech.ind.br</t>
  </si>
  <si>
    <t>07.327.325/0001-22</t>
  </si>
  <si>
    <t>(14) 3301-8412</t>
  </si>
  <si>
    <t>MOTOBOMBA HORIZONTAL, VAZÃO: 34,20 m³/h, ALTURA MANOMÉTRICA: 30,00 mca, POTÊNCIA: 4,0 cv - MODELO/MARCA: 416 TJM (DANCOR)</t>
  </si>
  <si>
    <t>LOJA DO MECANICO</t>
  </si>
  <si>
    <t>MÉRITO COMERCIAL</t>
  </si>
  <si>
    <t>BOMBA SHOPPING</t>
  </si>
  <si>
    <t>LOJADOMECANICO.COM.BR</t>
  </si>
  <si>
    <t>MERITOCOMERCIAL</t>
  </si>
  <si>
    <t>BOMBASHOPPING.COM</t>
  </si>
  <si>
    <t>29.302.348/0001-15</t>
  </si>
  <si>
    <t>01.582.892/0001-49</t>
  </si>
  <si>
    <t xml:space="preserve"> 14.778.311/0001-90</t>
  </si>
  <si>
    <t>11 98394 0500</t>
  </si>
  <si>
    <t xml:space="preserve">(11) 4750-1470
</t>
  </si>
  <si>
    <t>EXTINTOR DE PÓ QUÍMICO ABC
CARGA EXTINTORA 3A/ 20B/ C</t>
  </si>
  <si>
    <t>RAEXTINTORES</t>
  </si>
  <si>
    <t>prontecdistribuidora</t>
  </si>
  <si>
    <t>RAEXTINTORES.COM.BR</t>
  </si>
  <si>
    <t>prontecdistribuidora.com.br</t>
  </si>
  <si>
    <t>AMERICANAS.COM</t>
  </si>
  <si>
    <t>(11) 98129-2363</t>
  </si>
  <si>
    <t>11-46370924</t>
  </si>
  <si>
    <t>PLACA DE SINALIZACAO PROIBIDO FUMAR, SIMBOLO: CIRCULAR</t>
  </si>
  <si>
    <t>ENFOQUE</t>
  </si>
  <si>
    <t>VALDÔ</t>
  </si>
  <si>
    <t>KALUNGA</t>
  </si>
  <si>
    <t>ENFOQUEVISUAL</t>
  </si>
  <si>
    <t>VALDOPLACAS.COM</t>
  </si>
  <si>
    <t>KALUNGA.COM</t>
  </si>
  <si>
    <t>53.982.666/0001-59</t>
  </si>
  <si>
    <t>00.321.078/0001-08</t>
  </si>
  <si>
    <t>43.283.811/0001-50</t>
  </si>
  <si>
    <t>(11) 4972 4933</t>
  </si>
  <si>
    <t>CENTRAL DE ALARME DE INCÊNDIO ENDERAÇÁVEL CIE 1125 INTELBRAS OU SIMILAR</t>
  </si>
  <si>
    <t>CASAS BAHIA</t>
  </si>
  <si>
    <t>www.netalarmes.com.br</t>
  </si>
  <si>
    <t xml:space="preserve">ACIONADOR MANUAL ENDEREÇÁVEL AME 520 INTELBRAS OU SIMILAR </t>
  </si>
  <si>
    <t>ELETRO GUIMARÃES</t>
  </si>
  <si>
    <t>www.egvirtual.com.br</t>
  </si>
  <si>
    <t>21.576.749/0001-51</t>
  </si>
  <si>
    <t>SINALIZADOR AUDIOVISUAL ENDEREÇÁVEL SAV 520E INTELBRAS OU SIMILAR</t>
  </si>
  <si>
    <t>ELETRÔNICA SANTANA</t>
  </si>
  <si>
    <t>www.eletronicasantana.com.br</t>
  </si>
  <si>
    <t>60717899/0001-90</t>
  </si>
  <si>
    <t>CABO 2X1,5MM2 TRANÇADO</t>
  </si>
  <si>
    <t>CASA E GARAGEM</t>
  </si>
  <si>
    <t>www.lojas americanas.com.br</t>
  </si>
  <si>
    <t>www.casaegaragem.com.br</t>
  </si>
  <si>
    <t>33.014.556/0001-96</t>
  </si>
  <si>
    <t>21.859.785/0001-22</t>
  </si>
  <si>
    <t>4.293.287/0001-46</t>
  </si>
  <si>
    <t>(024)2221-2353</t>
  </si>
  <si>
    <t>VALVULA DE AGULHA EM LATAO ∅1/2"</t>
  </si>
  <si>
    <t>CASAMIMOSA.COM.BR</t>
  </si>
  <si>
    <t xml:space="preserve"> (11) 2782-5500</t>
  </si>
  <si>
    <t xml:space="preserve">TUBO SIFÃO ∅1/2" </t>
  </si>
  <si>
    <t>WB2</t>
  </si>
  <si>
    <t>VAPORTEC.COM.BR</t>
  </si>
  <si>
    <t>WB2INSTRUMENTAÇÃO</t>
  </si>
  <si>
    <t>22.044.604/0001-72</t>
  </si>
  <si>
    <t>(54) 3028-8746</t>
  </si>
  <si>
    <t>11-20821077</t>
  </si>
  <si>
    <t>PALACIO DAS FERRAMENTAS</t>
  </si>
  <si>
    <t>FERPAM</t>
  </si>
  <si>
    <t>PALACIO DAS FERRAMENTAS.COM.BR</t>
  </si>
  <si>
    <t>FERPAM.COM</t>
  </si>
  <si>
    <t>68.422.419/0001-75</t>
  </si>
  <si>
    <t>01.040.887/0001-04</t>
  </si>
  <si>
    <t>SOLAR &amp; SOL</t>
  </si>
  <si>
    <t>JOAO RICARDO</t>
  </si>
  <si>
    <t>JESSICA</t>
  </si>
  <si>
    <t>(11) 4130
3204</t>
  </si>
  <si>
    <t>(34) 3316-2324</t>
  </si>
  <si>
    <t xml:space="preserve">05.02.000 </t>
  </si>
  <si>
    <t>ÁGUA QUENTE</t>
  </si>
  <si>
    <t xml:space="preserve">05.02.100 </t>
  </si>
  <si>
    <t>TUBULAÇÕES E CONEXÕES</t>
  </si>
  <si>
    <t>05.02.100.1</t>
  </si>
  <si>
    <t>05.02.100.2</t>
  </si>
  <si>
    <t>05.02.950</t>
  </si>
  <si>
    <t>05.02.950.1</t>
  </si>
  <si>
    <t>05.02.950.2</t>
  </si>
  <si>
    <t>05.02.950.3</t>
  </si>
  <si>
    <t>ccu</t>
  </si>
  <si>
    <t>05.02.950.4</t>
  </si>
  <si>
    <t>03.02.112.3</t>
  </si>
  <si>
    <t>03.02.112.4</t>
  </si>
  <si>
    <t>03.02.132.2</t>
  </si>
  <si>
    <t>03.02.132.3</t>
  </si>
  <si>
    <t>03.02.133.2</t>
  </si>
  <si>
    <t>03.02.133.3</t>
  </si>
  <si>
    <t>03.02.133.4</t>
  </si>
  <si>
    <t>03.02.133.5</t>
  </si>
  <si>
    <t>03.02.133.6</t>
  </si>
  <si>
    <t>03.02.133.7</t>
  </si>
  <si>
    <t>03.02.133.8</t>
  </si>
  <si>
    <t>05.02.100.3</t>
  </si>
  <si>
    <t>05.02.100.4</t>
  </si>
  <si>
    <t>05.02.100.5</t>
  </si>
  <si>
    <t>05.02.100.6</t>
  </si>
  <si>
    <t>05.02.100.7</t>
  </si>
  <si>
    <t>05.02.100.8</t>
  </si>
  <si>
    <t>05.02.100.9</t>
  </si>
  <si>
    <t>05.02.100.10</t>
  </si>
  <si>
    <t>05.02.100.11</t>
  </si>
  <si>
    <t>05.02.100.12</t>
  </si>
  <si>
    <t>05.02.100.13</t>
  </si>
  <si>
    <t>05.02.100.16</t>
  </si>
  <si>
    <t>05.02.100.14</t>
  </si>
  <si>
    <t>05.02.100.15</t>
  </si>
  <si>
    <t>05.02.100.18</t>
  </si>
  <si>
    <t>05.02.100.19</t>
  </si>
  <si>
    <t>05.02.100.20</t>
  </si>
  <si>
    <t>05.02.100.21</t>
  </si>
  <si>
    <t>05.02.100.22</t>
  </si>
  <si>
    <t>05.02.100.23</t>
  </si>
  <si>
    <t>05.02.100.24</t>
  </si>
  <si>
    <t>05.02.100.25</t>
  </si>
  <si>
    <t>05.02.100.26</t>
  </si>
  <si>
    <t>05.02.100.27</t>
  </si>
  <si>
    <t>05.02.100.28</t>
  </si>
  <si>
    <t>05.02.100.29</t>
  </si>
  <si>
    <t>05.02.100.30</t>
  </si>
  <si>
    <t>05.02.100.31</t>
  </si>
  <si>
    <t>05.02.100.32</t>
  </si>
  <si>
    <t>05.02.100.33</t>
  </si>
  <si>
    <t>05.02.100.34</t>
  </si>
  <si>
    <t>05.02.100.35</t>
  </si>
  <si>
    <t>05.02.100.36</t>
  </si>
  <si>
    <t>05.02.100.37</t>
  </si>
  <si>
    <t>05.02.100.38</t>
  </si>
  <si>
    <t>05.02.100.39</t>
  </si>
  <si>
    <t>05.02.100.40</t>
  </si>
  <si>
    <t>05.02.100.41</t>
  </si>
  <si>
    <t>05.02.300</t>
  </si>
  <si>
    <t>05.02.300.1</t>
  </si>
  <si>
    <t>05.02.400</t>
  </si>
  <si>
    <t>SISTEMA DE AQUECIMENTO</t>
  </si>
  <si>
    <t>05.02.400.1</t>
  </si>
  <si>
    <t>05.02.400.2</t>
  </si>
  <si>
    <t>05.02.800</t>
  </si>
  <si>
    <t>05.02.800.1</t>
  </si>
  <si>
    <t>05.02.800.2</t>
  </si>
  <si>
    <t>05.02.800.3</t>
  </si>
  <si>
    <t>05.02.800.4</t>
  </si>
  <si>
    <t>05.03.300.6</t>
  </si>
  <si>
    <t>BOILER PARA AGUA QUENTE COM CAPACIDADE DE ARMAZENAMENTO DE 5.000L INCLUSO O FRETE</t>
  </si>
  <si>
    <t>COLETOR SOLAR DE 1,00X2,00M CONFORME O PROJETO - FORNECIMENTO E INSTALAÇÃO, INCLUSO O FRETE</t>
  </si>
  <si>
    <t>ENG. GABRIEL DA CUNHA ARAUJO - CREA 23300/D-DF
ENG. GILMAR DA MOTA FERNANDES - CREA 23785/D-DF
ENG. TIAGO DE SOUZA OLIVEIRA - CREA 24935/D-DF</t>
  </si>
  <si>
    <t xml:space="preserve">ENG. GABRIEL DA CUNHA ARAUJO - CREA 23300/D-DF
ENG. GILMAR DA MOTA FERNANDES - CREA 23785/D-DF 
ENG. TIAGO DE SOUZA OLIVEIRA - CREA 24935/D-DF
</t>
  </si>
  <si>
    <t>NEGATIVA</t>
  </si>
  <si>
    <t>P-220</t>
  </si>
  <si>
    <t>P-221</t>
  </si>
  <si>
    <t>P-222</t>
  </si>
  <si>
    <t>P-223</t>
  </si>
  <si>
    <t>08.01.900.4</t>
  </si>
  <si>
    <t>08.01.900.6</t>
  </si>
  <si>
    <t>08.01.900.7</t>
  </si>
  <si>
    <t>08.01.800.1</t>
  </si>
  <si>
    <t>08.01.800.2</t>
  </si>
  <si>
    <t>05.01.200.28</t>
  </si>
  <si>
    <t>05.01.200.29</t>
  </si>
  <si>
    <t>05.01.200.30</t>
  </si>
  <si>
    <t>05.01.200.31</t>
  </si>
  <si>
    <t>05.01.200.32</t>
  </si>
  <si>
    <t>05.01.200.33</t>
  </si>
  <si>
    <t>05.01.200.34</t>
  </si>
  <si>
    <t>05.01.200.35</t>
  </si>
  <si>
    <t>05.02.100.42</t>
  </si>
  <si>
    <t>05.02.100.43</t>
  </si>
  <si>
    <t>05.02.100.44</t>
  </si>
  <si>
    <t>05.02.100.45</t>
  </si>
  <si>
    <t>05.02.100.46</t>
  </si>
  <si>
    <t>05.02.100.47</t>
  </si>
  <si>
    <t>05.04.100.18</t>
  </si>
  <si>
    <t>05.04.100.19</t>
  </si>
  <si>
    <t>05.04.100.20</t>
  </si>
  <si>
    <t>05.04.100.21</t>
  </si>
  <si>
    <t>05.04.100.22</t>
  </si>
  <si>
    <t>05.04.100.23</t>
  </si>
  <si>
    <t>06.01.401.7</t>
  </si>
  <si>
    <t>06.01.407.12</t>
  </si>
  <si>
    <t>06.01.407.13</t>
  </si>
  <si>
    <t>06.01.407.14</t>
  </si>
  <si>
    <t>06.01.407.15</t>
  </si>
  <si>
    <t>07.07.900.8</t>
  </si>
  <si>
    <t>07.07.900.9</t>
  </si>
  <si>
    <t>08.01.700.2</t>
  </si>
  <si>
    <t>08.01.700.3</t>
  </si>
  <si>
    <t>08.01.700.4</t>
  </si>
  <si>
    <t>08.01.700.5</t>
  </si>
  <si>
    <t>08.01.700.6</t>
  </si>
  <si>
    <t>08.01.700.7</t>
  </si>
  <si>
    <t>PLANILHA ESTIMATIVA - ADMINISTRAÇÃO DA OBRA</t>
  </si>
  <si>
    <t>ADMINISTRAÇÃO LOCAL</t>
  </si>
  <si>
    <t>10.03.100.3</t>
  </si>
  <si>
    <t>10.03.100.4</t>
  </si>
  <si>
    <t>240 DIAS CORRIDOS</t>
  </si>
  <si>
    <t>INTERNET 120 MB + TELEFONE</t>
  </si>
  <si>
    <t>02.02.330.3</t>
  </si>
  <si>
    <t xml:space="preserve">DISPOSIÇÃO FINAL DE RESÍDUOS SEGREGADOS DE CONSTRUÇÃO CIVIL </t>
  </si>
  <si>
    <t>PESO ESPECÍFICO DO ENTULHO DE OBRAS = 1500 KG/M3</t>
  </si>
  <si>
    <t>SLU-1</t>
  </si>
  <si>
    <t>SLU-2</t>
  </si>
  <si>
    <t>DISPOSIÇÃO FINAL DE RESÍDUOS DE PODAS E GALHADAS</t>
  </si>
  <si>
    <t>SICRO - JANEIRO DE 2021</t>
  </si>
  <si>
    <t>E9760 P</t>
  </si>
  <si>
    <t>E9760 I</t>
  </si>
  <si>
    <t>M3923</t>
  </si>
  <si>
    <t>M3922</t>
  </si>
  <si>
    <t>TINTA ESMALTE POLIURETANO DE DOIS COMPONENTES</t>
  </si>
  <si>
    <t>DILUENTE PARA ESMALTE POLIURETANO DE DOIS COMPONENTES</t>
  </si>
  <si>
    <t>FERROCENTER</t>
  </si>
  <si>
    <t>NATALIA</t>
  </si>
  <si>
    <t>28.889.565/0001-90</t>
  </si>
  <si>
    <t>(61) 3346-6677</t>
  </si>
  <si>
    <t>P-224</t>
  </si>
  <si>
    <t>CASA DO SERRALHEIRO</t>
  </si>
  <si>
    <t>P-245</t>
  </si>
  <si>
    <t>(11) 4217-3190</t>
  </si>
  <si>
    <t>contato@casadoserralheiro.com.br</t>
  </si>
  <si>
    <t>15.599.295/0001-31</t>
  </si>
  <si>
    <t>LOJA DO MECÂNICO</t>
  </si>
  <si>
    <t>(11) 3508-9979</t>
  </si>
  <si>
    <t>www.lojadomecanico.com.br</t>
  </si>
  <si>
    <t>P-226</t>
  </si>
  <si>
    <t>(21) 99107-1151</t>
  </si>
  <si>
    <t>P-229</t>
  </si>
  <si>
    <t>GB AUTOMAÇÃO</t>
  </si>
  <si>
    <t>ELEKTRA</t>
  </si>
  <si>
    <t>gbautomacao@gbgrupo.com.br</t>
  </si>
  <si>
    <t>01.697.638/0001-96</t>
  </si>
  <si>
    <t>11.051.258/0001-33</t>
  </si>
  <si>
    <t>(31) 3597-0255</t>
  </si>
  <si>
    <t>(47) 3308-5250</t>
  </si>
  <si>
    <t>MARCO SOUTO REPRES.</t>
  </si>
  <si>
    <t>P-233</t>
  </si>
  <si>
    <t>P-234</t>
  </si>
  <si>
    <t>P-235</t>
  </si>
  <si>
    <t>P-237</t>
  </si>
  <si>
    <t>P-238</t>
  </si>
  <si>
    <t>P-239</t>
  </si>
  <si>
    <t>P-240</t>
  </si>
  <si>
    <t>P-241</t>
  </si>
  <si>
    <t>P-242</t>
  </si>
  <si>
    <t>P-243</t>
  </si>
  <si>
    <t>P-244</t>
  </si>
  <si>
    <t>P-246</t>
  </si>
  <si>
    <t>COT - 07.021</t>
  </si>
  <si>
    <t>PLACA DE PERIGO INFLAMAVEL/NÃO FUME - 30X25CM</t>
  </si>
  <si>
    <t>SETON</t>
  </si>
  <si>
    <t>ENFOQUE VISUAL</t>
  </si>
  <si>
    <t>ISINALIZA</t>
  </si>
  <si>
    <t>seton.com.br</t>
  </si>
  <si>
    <t>enfoquevisual.com.br</t>
  </si>
  <si>
    <t>isinaliza.com</t>
  </si>
  <si>
    <t>01111039/0004-91</t>
  </si>
  <si>
    <t>82.962.127.0001-56</t>
  </si>
  <si>
    <t>(11) 4166-1202</t>
  </si>
  <si>
    <t>(11) 4972.4933</t>
  </si>
  <si>
    <t>(11) 93004-1270</t>
  </si>
  <si>
    <t>P-066</t>
  </si>
  <si>
    <t>PLACA DE SINALIZAÇÃO DE "PERIGO GÁS INFLAMÁVAL - NÃO FUME", 30x25CM - FORNECIMENTO E INSTALAÇÃO</t>
  </si>
  <si>
    <t>REF: 97.02.193 CPOS - JUL 2019</t>
  </si>
  <si>
    <t>CCU - 07.061</t>
  </si>
  <si>
    <t>P-247</t>
  </si>
  <si>
    <t>P-248</t>
  </si>
  <si>
    <t>P-249</t>
  </si>
  <si>
    <t xml:space="preserve">01.03.100 </t>
  </si>
  <si>
    <t>ESTUDOS E PROJETOS</t>
  </si>
  <si>
    <t>01.03.100.1</t>
  </si>
  <si>
    <t>COT - 01.001</t>
  </si>
  <si>
    <t>PIMENTEL SONDAGENS</t>
  </si>
  <si>
    <t>3964-8450</t>
  </si>
  <si>
    <t>VM SONDAGENS</t>
  </si>
  <si>
    <t>99915-5173</t>
  </si>
  <si>
    <t>99320-5687</t>
  </si>
  <si>
    <t>FURO DE SONDAGEM SPT</t>
  </si>
  <si>
    <t>P-231</t>
  </si>
  <si>
    <t>PREÇO PÚBLICO</t>
  </si>
  <si>
    <t>P-250</t>
  </si>
  <si>
    <t>NºPregão:22020
UASG:153289</t>
  </si>
  <si>
    <t>Dispensa de Licitação Nº 87/2020
UASG: 160068</t>
  </si>
  <si>
    <t>NºPregão:52020
UASG:160321</t>
  </si>
  <si>
    <t>NºPregão:1912020
UASG:984675</t>
  </si>
  <si>
    <t>NºPregão:52020
UASG:160239</t>
  </si>
  <si>
    <t>NºPregão:75782020
UASG:158578</t>
  </si>
  <si>
    <t>NºPregão:52020
UASG:200076</t>
  </si>
  <si>
    <t>NºPregão:1542020
UASG:974200</t>
  </si>
  <si>
    <t>NºPregão:112020
UASG:60030</t>
  </si>
  <si>
    <t>NºPregão:242021
UASG:986857</t>
  </si>
  <si>
    <t>Dispensa de Licitação Nº 294/2020
UASG: 113205</t>
  </si>
  <si>
    <t>NºLicitação:834192</t>
  </si>
  <si>
    <t>NºPregão:162020
UASG:158501</t>
  </si>
  <si>
    <t>NºPregão:82021
UASG:168008</t>
  </si>
  <si>
    <t>NºPregão:112020
UASG:135031</t>
  </si>
  <si>
    <t>NºPregão:132020
UASG:158437</t>
  </si>
  <si>
    <t>NºPregão:22020
UASG:158385</t>
  </si>
  <si>
    <t>NºLicitação:834195</t>
  </si>
  <si>
    <t>NºPregão:152020
UASG:160413</t>
  </si>
  <si>
    <t>NºPregão:42021
UASG:344002</t>
  </si>
  <si>
    <t>NºPregão:12020
UASG:158470</t>
  </si>
  <si>
    <t>NºPregão:72021
UASG:925170</t>
  </si>
  <si>
    <t>NºPregão:522020
UASG:155023</t>
  </si>
  <si>
    <t>NºPregão:172020
UASG:160086</t>
  </si>
  <si>
    <t>Dispensa de Licitação Nº 9/2021
UASG: 160446</t>
  </si>
  <si>
    <t>NºPregão:162021
UASG:983475</t>
  </si>
  <si>
    <t>NºPregão:152020
UASG:160250</t>
  </si>
  <si>
    <t>NºPregão:822020
UASG:20001</t>
  </si>
  <si>
    <t>NºPregão:72020
UASG:160070</t>
  </si>
  <si>
    <t>Dispensa de Licitação Nº 15/2021
UASG: 925045</t>
  </si>
  <si>
    <t>NºPregão:12021
UASG:928214</t>
  </si>
  <si>
    <t>NºPregão:22020
UASG:152143</t>
  </si>
  <si>
    <t>NºPregão:22021
UASG:160430</t>
  </si>
  <si>
    <t>CONECTOR MINI-GAR REF.:TEL-583</t>
  </si>
  <si>
    <t>NºPregão:122021
UASG:981083</t>
  </si>
  <si>
    <t>Dispensa de Licitação Nº 121/2020
UASG: 153028</t>
  </si>
  <si>
    <t>Dispensa de Licitação Nº 3/2021
UASG: 160360</t>
  </si>
  <si>
    <t>OC: 171312170482020OC00079</t>
  </si>
  <si>
    <t>NºPregão:92020
UASG:158312</t>
  </si>
  <si>
    <t>Dispensa de Licitação Nº 61/2020
UASG: 135030</t>
  </si>
  <si>
    <t>NºPregão:142020
UASG:160529</t>
  </si>
  <si>
    <t>NºPregão:142020
UASG:160086</t>
  </si>
  <si>
    <t>Dispensa de Licitação Nº 2037/2020
UASG: 785800</t>
  </si>
  <si>
    <t>NºPregão:502020
UASG:160106</t>
  </si>
  <si>
    <t>NºPregão:1452020
UASG:153152</t>
  </si>
  <si>
    <t>Dispensa de Licitação Nº 6/2021
UASG: 160090</t>
  </si>
  <si>
    <t>Dispensa de Licitação Nº 3/2021
UASG: 170092</t>
  </si>
  <si>
    <t>Dispensa de Licitação Nº 39/2021
UASG: 158125</t>
  </si>
  <si>
    <t>NºPregão:52021
UASG:926002</t>
  </si>
  <si>
    <t>DEMOLIÇÃO DE PISOS/CALÇADAS, DE FORMA MECANIZADA COM MARTELETE, SEM REAPROVEITAMENTO</t>
  </si>
  <si>
    <t>REF: 97629 SINAPI JAN 2021</t>
  </si>
  <si>
    <t>CCU - 02.010</t>
  </si>
  <si>
    <t xml:space="preserve">PREÇO TOTAL </t>
  </si>
  <si>
    <t>05.02.400.3</t>
  </si>
  <si>
    <t>05.02.400.4</t>
  </si>
  <si>
    <t>INSTALAÇÃO DE BOILER PARA AGUA QUENTE COM CAPACIDADE DE ARMAZENAMENTO DE 5.000L - INSTALAÇÃO</t>
  </si>
  <si>
    <t>INSTALAÇÃO DE COLETOR SOLAR CONFORME CADERNO DE ESPECIFICAÇÃO - INSTALAÇÃO</t>
  </si>
  <si>
    <t>WECO</t>
  </si>
  <si>
    <t>RAFAEL</t>
  </si>
  <si>
    <t>P-253</t>
  </si>
  <si>
    <t>(51) 3349 6200</t>
  </si>
  <si>
    <t>92.783.182/0001-32</t>
  </si>
  <si>
    <t>(34) 3831-5880</t>
  </si>
  <si>
    <t>JOÃO PEDRO</t>
  </si>
  <si>
    <t>(11) 2365-1000</t>
  </si>
  <si>
    <t>GLOBALMAR</t>
  </si>
  <si>
    <t>31.731.803/0001-40</t>
  </si>
  <si>
    <t>018/2021-SEORÇA-SDS-R00</t>
  </si>
  <si>
    <t>PROJ-DE-045-20</t>
  </si>
  <si>
    <t>COIFA ILHA DUPLA 4500x1700MM EM AÇO INOX AISI 304 – LIGA 18,8, INCLUSO FILTRO DE RETENÇÃO, Melting Wash-Pull OU EQUIVALENTE, INCLUSO FRETE</t>
  </si>
  <si>
    <t>COIFA PAREDE 6100x1700MM EM AÇO INOX AISI 304 – LIGA 18,8, INCLUSO FILTRO DE RETENÇÃO, Melting Wash-Pull OU EQUIVALENTE, INCLUSO FRETE</t>
  </si>
  <si>
    <t>COIFA ILHA SIMPLES 1300x1700MM EM AÇO INOX AISI 304 – LIGA 18,8, INCLUSO FILTRO DE RETENÇÃO, Melting Wash-Pull OU EQUIVALENTE, INCLUSO FRETE</t>
  </si>
  <si>
    <t>COIFA LAVA LOUÇAS 800x300MM EM AÇO INOX AISI 304 – LIGA 18,8, INCLUSO FILTRO DE RETENÇÃO, Melting Wash-Pull OU EQUIVALENTE, INCLUSO FRETE</t>
  </si>
  <si>
    <t>DAMPER Corta-Fogo TROX FKA-TA-BR 90 1300x500mm</t>
  </si>
  <si>
    <t>DAMPER Corta-Fogo TROX FKA-TA-BR 90 700x700mm</t>
  </si>
  <si>
    <t>DAMPER Corta-Fogo TROX FKA-TA-BR 90 900x500mm</t>
  </si>
  <si>
    <t>GRELHA FIXA MULTIVAC 100MM</t>
  </si>
  <si>
    <t>EXAUSTOR Multivac MURO PLUS 150B</t>
  </si>
  <si>
    <t>COT - 07.006</t>
  </si>
  <si>
    <t>COT - 07.007</t>
  </si>
  <si>
    <t>EXAUSTOR Multivac Turbo 150</t>
  </si>
  <si>
    <t>EXAUSTOR Multivac MURO PLUS 100</t>
  </si>
  <si>
    <t>COT - 07.010</t>
  </si>
  <si>
    <t>COT - 07.011</t>
  </si>
  <si>
    <t>GRELHA EXTERNA, MOD. REF. TROX AH-15/A, 325X165MM</t>
  </si>
  <si>
    <t>REGULADOR DE VAZÃO DE AR CONEXÃO CIRCULAR, MOD. REF. SICFLUX RVA 100</t>
  </si>
  <si>
    <t>PORTA DE INSPEÇÃO 400X300MM PARA DUTO DE EXAUSTÃO</t>
  </si>
  <si>
    <t>COT - 07.065</t>
  </si>
  <si>
    <t>COT - 07.066</t>
  </si>
  <si>
    <t>COT - 07.067</t>
  </si>
  <si>
    <t>CHAMINE TIPO CHAPEU CHINES 350mm</t>
  </si>
  <si>
    <t>CHAMINE TIPO CHAPEU CHINES 500mm</t>
  </si>
  <si>
    <t>CHAMINE TIPO CHAPEU CHINES 800mm</t>
  </si>
  <si>
    <t>CÃMARA FRIGORÍFICA RESFRIADA COM ÁREA DE 12,15M2 -  com painéis construídos com elemento isolante de poliestireno (EPS) retardante à chama conforme NBR 11948 e condutibilidade térmica de 0,040 W/m*K ou mais eficiente. O elemento isolante será revestido por chapas de aço galvanizado ou inoxidável com espessura total de 100 mm pintado na cor branca para produtos armazenados em 0 °C. As portas das câmaras frigoríficas serão reforçadas e construídas com revestimento de aço galvanizado, com tratamento anti-oxidação e pintura na cor branca. As vedações deverão ser em borracha EPDM, porcas e parafusos em inox e de preferência porta giratórias, incluso condensadora Danfoss carenada e forcador de ar com 2 ventiladoras Elgin com degelo - (incluso frete e instalação)</t>
  </si>
  <si>
    <t>CÃMARA FRIGORÍFICA CONGELADA COM ÁREA DE 12,57M2 -  com painéis construídos com elemento isolante de poliestireno (EPS) retardante à chama conforme NBR 11948 e condutibilidade térmica de 0,040 W/m*K ou mais eficiente. O elemento isolante será revestido por chapas de aço galvanizado ou inoxidável com espessura total de 200 mm pintado na cor branca para produtos armazenados em -20 °C. As portas das câmaras frigoríficas serão reforçadas e construídas com revestimento de aço galvanizado, com tratamento anti-oxidação e pintura na cor branca. As vedações deverão ser em borracha EPDM, porcas e parafusos em inox e de preferência porta giratórias, incluso condensadora Danfoss carenada e forcador de ar com 2 ventiladoras Elgin com degelo - (incluso frete e instalação)</t>
  </si>
  <si>
    <t>018.01/2021-SEORÇA: Administração da Obra.........................................................................................................</t>
  </si>
  <si>
    <t>018.02/2021-SEORÇA: Implantação .........................................................................................................</t>
  </si>
  <si>
    <t>018.03/2021-SEORÇA: Edificação Principal .........................................................................................................</t>
  </si>
  <si>
    <t>018.05/2021-SEORÇA: Casa de Gás .........................................................................................................</t>
  </si>
  <si>
    <t>018.07/2021-SEORÇA: Caldeira .........................................................................................................</t>
  </si>
  <si>
    <t>REFORMA DO RESTAURANTE COMUNITÁRIO DE ARNIQUEIRAS</t>
  </si>
  <si>
    <t>QS AVENIDA ÁGUAS CLRAS LT-03, ÁGUAS CLARAS-DF</t>
  </si>
  <si>
    <t>07.02.300.2</t>
  </si>
  <si>
    <t>07.02.300.3</t>
  </si>
  <si>
    <t>AR COND. SPLIT INVERTER HI WALL 18000 BTU/H, MOD. REF. TRANE 4MXW1618C1 + 4TXK1618C1 - FORNECIMENTO E INSTALAÇÃO</t>
  </si>
  <si>
    <t>AR COND, SPLIT INVERTER HI WALL 12000 BTU/H, MOD. REF. TRANE 4MXW1612C1 + 4TXK1612C1 - FORNECIMENTO E INSTALAÇÃO</t>
  </si>
  <si>
    <t>AR COND. SPLIT INVERTER HI WALL 9000 BTU/H, MOD. REF. TRANE 4MXW1609C1 + 4TXK1609C1 - FORNECIMENTO E INSTALAÇÃO</t>
  </si>
  <si>
    <t>CORTINA DE PVC PARA PORTA DE 5X 200X2000X1 MM</t>
  </si>
  <si>
    <t>CORTINA DE PVC PARA PORTA DE 5X 200X2000X1 MM - FORNECIMENTO E INSTALAÇÃO</t>
  </si>
  <si>
    <t>EXAUSTOR OTAM RLD-Q 710 CLASSE 1 - FORNECIMENTO E INSTALAÇÃO</t>
  </si>
  <si>
    <t>EXAUSTOR OTAM RLD-Q 400 CLASSE 1 - FORNECIMENTO E INSTALAÇÃO</t>
  </si>
  <si>
    <t>EXAUSTOR OTAM RLD-Q 450 CLASSE 1 - FORNECIMENTO E INSTALAÇÃO</t>
  </si>
  <si>
    <t>EXAUSTOR MULTIVAC TURBO 150 - FORNECIMENTO E INSTALAÇÃO</t>
  </si>
  <si>
    <t>EXAUSTOR MULTIVAC MURO PLUS 150B - FORNECIMENTO E INSTALAÇÃO</t>
  </si>
  <si>
    <t>07.04.100.8</t>
  </si>
  <si>
    <t>07.04.100.9</t>
  </si>
  <si>
    <t>EXAUSTOR MULTIVAC MURO PLUS 100 - FORNECIMENTO E INSTALAÇÃO</t>
  </si>
  <si>
    <t>DUTO FLEXÍVEL COM DUPLA CAMADA DE PAREDE DE ALUMÍNIO, POLIÉSTER E ESPIRAL DE ARAME DE AÇO BRONZEADO ALUDEC 60 - 4" - FORNECIMENTO E INSTALAÇÃO</t>
  </si>
  <si>
    <t>COT - 07.022</t>
  </si>
  <si>
    <t>DUTO FLEXÍVEL COM DUPLA CAMADA DE PAREDE DE ALUMÍNIO, POLIÉSTER E ESPIRAL DE ARAME DE AÇO BRONZEADO ALUDEC 60 - 4"</t>
  </si>
  <si>
    <t>CCU - 07.016</t>
  </si>
  <si>
    <t>REF: 89848 SINAPI FEV 2021</t>
  </si>
  <si>
    <t>LÃ DE ROCHA PARA REVESTIMENTO DE DUTO - FORNECIMENTO E INSTALAÇÃO</t>
  </si>
  <si>
    <t>07.04.200.7</t>
  </si>
  <si>
    <t>07.04.200.8</t>
  </si>
  <si>
    <t>CCU - 07.057</t>
  </si>
  <si>
    <t>REDUÇÃO EXCENTRICA PVC 150 X 100MM - FORNECIMENTO E INSTALAÇÃO</t>
  </si>
  <si>
    <t>REF: 89681/SINAPI - JAN 2021</t>
  </si>
  <si>
    <t>GRELHA FIXA MULTIVAC 100MM - FORNECIMENTO E INSTALAÇÃO</t>
  </si>
  <si>
    <t>GRELHA EXTERNA, MOD. REF. TROX AH-15/A, 325X165MM - FORNECIMENTO E INSTALAÇÃO</t>
  </si>
  <si>
    <t>REF: 09845/ORSE FEV 2021</t>
  </si>
  <si>
    <t>CCU - 07.017</t>
  </si>
  <si>
    <t>REGULADOR DE VAZÃO DE AR CONEXÃO CIRCULAR, MOD. REF. SICFLUX RVA 100 - FORNECIMENTO E INSTALAÇÃO</t>
  </si>
  <si>
    <t>DAMPER Corta-Fogo TROX FKA-TA-BR 90 1300x500mm - FORNECIMENTO E INSTALAÇÃO</t>
  </si>
  <si>
    <t>DAMPER Corta-Fogo TROX FKA-TA-BR 90 700x700mm - FORNECIMENTO E INSTALAÇÃO</t>
  </si>
  <si>
    <t>DAMPER Corta-Fogo TROX FKA-TA-BR 90 900x500mm - FORNECIMENTO E INSTALAÇÃO</t>
  </si>
  <si>
    <t>PORTA DE INSPEÇÃO 400X300MM PARA DUTO DE EXAUSTÃO - FORNECIMENTO E INSTALAÇÃO</t>
  </si>
  <si>
    <t>CCU - 07.062</t>
  </si>
  <si>
    <t>CCU - 07.063</t>
  </si>
  <si>
    <t>CCU - 07.064</t>
  </si>
  <si>
    <t>CHAMINE TIPO CHAPEU CHINES 800mm - FORNECIMENTO E INSTALAÇÃO</t>
  </si>
  <si>
    <t>CHAMINE TIPO CHAPEU CHINES 500mm - FORNECIMENTO E INSTALAÇÃO</t>
  </si>
  <si>
    <t>CHAMINE TIPO CHAPEU CHINES 350mm - FORNECIMENTO E INSTALAÇÃO</t>
  </si>
  <si>
    <t>07.04.203.10</t>
  </si>
  <si>
    <t>07.04.203.11</t>
  </si>
  <si>
    <t>07.04.203.12</t>
  </si>
  <si>
    <t>07.04.203.13</t>
  </si>
  <si>
    <t>COIFA ILHA DUPLA 4500x1700MM EM AÇO INOX AISI 304 – LIGA 18,8, INCLUSO FILTRO DE RETENÇÃO, Melting Wash-Pull OU EQUIVALENTE - FORNECIMENTO E INSTALAÇÃO</t>
  </si>
  <si>
    <t>COIFA PAREDE 6100x1700MM EM AÇO INOX AISI 304 – LIGA 18,8, INCLUSO FILTRO DE RETENÇÃO, Melting Wash-Pull OU EQUIVALENTE - FORNECIMENTO E INSTALAÇÃO</t>
  </si>
  <si>
    <t>COIFA ILHA SIMPLES 1300x1700MM EM AÇO INOX AISI 304 – LIGA 18,8, INCLUSO FILTRO DE RETENÇÃO, Melting Wash-Pull OU EQUIVALENTE - FORNECIMENTO E INSTALAÇÃO</t>
  </si>
  <si>
    <t>COIFA LAVA LOUÇAS 800x300MM EM AÇO INOX AISI 304 – LIGA 18,8, INCLUSO FILTRO DE RETENÇÃO, Melting Wash-Pull OU EQUIVALENTE - FORNECIMENTO E INSTALAÇÃO</t>
  </si>
  <si>
    <t>TODAS AS COMPOSIÇÕES DE COIFAS PESQUISADAS POSSUEM OS MESMO COEFICIENTE</t>
  </si>
  <si>
    <t>07.04.900.6</t>
  </si>
  <si>
    <t>CCU - 06.102</t>
  </si>
  <si>
    <t>ELETRODUTO FLEXÍVEL CORRUGADO, PVC, DN 50 MM (1 1/2"), PARA CIRCUITOS TERMINAIS, INSTALADO EM PAREDE - FORNECIMENTO E INSTALAÇÃO</t>
  </si>
  <si>
    <t>REF: 91855/6 SINAPI - JAN 2021</t>
  </si>
  <si>
    <t>CURVA VERTICAL, PARA ELETROCALHA, PERFURADA EM AÇO GALVANIZADO CHAPA 22, LARGURA DE 100MM E ALTURA DE 50MM - FORNECIMENTO E INSTALAÇÃO</t>
  </si>
  <si>
    <t>CURVA VERTICAL P/ ELETROCALHA PERFURADA, DE 100X50MM EM CHAPA 22</t>
  </si>
  <si>
    <t>06.01.304.20</t>
  </si>
  <si>
    <t>TAMPA PARA CURVA VERTICAL EM AÇO GALVANIZADO CHAPA 22, LARGURA DE 100MM - FORNECIMENTO E INSTALAÇÃO</t>
  </si>
  <si>
    <t>TAMPA P/ CURVA VERTICAL, DE 100MM EM CHAPA 22</t>
  </si>
  <si>
    <t>TÊ P/ ELETROCALHA, DE 100X50MM EM CHAPA 22</t>
  </si>
  <si>
    <t>TÊ HORIZONTAL 90°, PARA ELETROCALHA, PERFURADA EM AÇO GALVANIZADO CHAPA 22, DE 100 E ALTURA DE 50MM - FORNECIMENTO E INSTALAÇÃO</t>
  </si>
  <si>
    <t>LUMINÁRIA LED QUADRADA, 19W, 5000K, BIVOLT (FORNECIDA COMPLETA). DE EMBUTIR - REF. EF51-E LUMICENTER OU EQUIVALENTE</t>
  </si>
  <si>
    <t>LUMINÁRIA LED RETÂNGULAR, 15W, 5000K, BIVOLT (FORNECIDA COMPLETA). DE EMBUTIR - REF. LHT01-E LUMICENTER OU EQUIVALENTE</t>
  </si>
  <si>
    <t>LUMINÁRIA LED RETÂNGULAR, 19W, 3000K, BIVOLT (FORNECIDA COMPLETA). DE SOBREPOR - REF. LHT41-S LUMICENTER OU EQUIVALENTE</t>
  </si>
  <si>
    <t>COT - 06.014</t>
  </si>
  <si>
    <t>COT - 06.015</t>
  </si>
  <si>
    <t>LUMINÁRIA LED RETÂNGULAR, 37W, 5000K, BIVOLT (FORNECIDA COMPLETA). DE SOBREPOR - REF. LHT42-S LUMICENTER OU EQUIVALENTE</t>
  </si>
  <si>
    <t>LUMINÁRIA LED QUADRADA, 37W, 5000K, BIVOLT (FORNECIDA COMPLETA). DE SOBREPOR - REF. LHT43-S LUMICENTER OU EQUIVALENTE</t>
  </si>
  <si>
    <t>LUMINÁRIA LED QUADRADA, 19W, 5000K, BIVOLT (FORNECIDA COMPLETA). DE EMBUTIR - REF. EF51-E LUMICENTER OU EQUIVALENTE - FORNECIMENTO E INSTALAÇÃO</t>
  </si>
  <si>
    <t>LUMINÁRIA LED CIRCULA, 19W, 5000K, BIVOLT (FORNECIDA COMPLETA). DE SOBREPOR - REF. EF72-S LUMICENTER OU EQUIVALENTE - FORNECIMENTO E INSTALAÇÃO</t>
  </si>
  <si>
    <t>LUMINÁRIA LED RETÂNGULAR, 15W, 5000K, BIVOLT (FORNECIDA COMPLETA). DE EMBUTIR - REF. LHT01-E LUMICENTER OU EQUIVALENTE - FORNECIMENTO E INSTALAÇÃO</t>
  </si>
  <si>
    <t>LUMINÁRIA LED RETÂNGULAR, 19W, 3000K, BIVOLT (FORNECIDA COMPLETA). DE SOBREPOR - REF. LHT41-S LUMICENTER OU EQUIVALENTE - FORNECIMENTO E INSTALAÇÃO</t>
  </si>
  <si>
    <t>CCU - 06.103</t>
  </si>
  <si>
    <t>LUMINÁRIA LED RETÂNGULAR, 37W, 5000K, BIVOLT (FORNECIDA COMPLETA). DE SOBREPOR - REF. LHT42-S LUMICENTER OU EQUIVALENTE - FORNECIMENTO E INSTALAÇÃO</t>
  </si>
  <si>
    <t>CCU - 06.104</t>
  </si>
  <si>
    <t>LUMINÁRIA LED QUADRADA, 37W, 5000K, BIVOLT (FORNECIDA COMPLETA). DE SOBREPOR - REF. LHT43-S LUMICENTER OU EQUIVALENTE - FORNECIMENTO E INSTALAÇÃO</t>
  </si>
  <si>
    <t>06.01.401.8</t>
  </si>
  <si>
    <t>POSTE</t>
  </si>
  <si>
    <t>CCU - 06.105</t>
  </si>
  <si>
    <t>CAIXA RETANGULAR 4" X 2", METÁLICA, INSTALADA EM TETO - FORNECIMENTO E INSTALAÇÃO</t>
  </si>
  <si>
    <t>CCU - 06.106</t>
  </si>
  <si>
    <t>CAIXA RETANGULAR 4" X 4", METÁLICA, MÉDIA - FORNECIMENTO E INSTALAÇÃO</t>
  </si>
  <si>
    <t>CCU - 06.107</t>
  </si>
  <si>
    <t>REF: 100556 SINAPI JAN 2021</t>
  </si>
  <si>
    <t>CAIXA DE PASSAGEM METALICA, DE SOBREPOR, COM TAMPA APARAFUSADA, DIMENSOES 15 X 15 X *10* CM - FORNECIMENTO E INSTALAÇÃO</t>
  </si>
  <si>
    <t>06.01.505</t>
  </si>
  <si>
    <t>06.01.505.1</t>
  </si>
  <si>
    <t>06.01.510.3</t>
  </si>
  <si>
    <t>06.01.510.4</t>
  </si>
  <si>
    <t>CCU - 06.108</t>
  </si>
  <si>
    <t>REF: 96971 SINAPI JAN 2021</t>
  </si>
  <si>
    <t>CORDOALHA DE COBRE NU 6 MM², NÃO ENTERRADA, COM ISOLADOR - FORNECIMENTO E INSTALAÇÃO</t>
  </si>
  <si>
    <t>COT - 06.093</t>
  </si>
  <si>
    <t>CABO DE COBRE NU 6 MM2 MEIO-DURO</t>
  </si>
  <si>
    <t>COT - 06.094</t>
  </si>
  <si>
    <t>TRIUNFO</t>
  </si>
  <si>
    <t>sac@agrometal.com.br</t>
  </si>
  <si>
    <t>www.triunfo.com.br</t>
  </si>
  <si>
    <t>(17) 2139-5025</t>
  </si>
  <si>
    <t>(48) 3206-1007</t>
  </si>
  <si>
    <t>REF: 09051/ORSE NOV 2020</t>
  </si>
  <si>
    <t>CCU - 06.109</t>
  </si>
  <si>
    <t xml:space="preserve">TERMINAL A COMPRESSAO EM COBRE ESTANHADO PARA CABO 6 MM2, 1 FURO E 1 COMPRESSAO, COM PARAFUSO DE FIXACAO - FORNECIMENTO E INSTALAÇÃO  </t>
  </si>
  <si>
    <t>CCU - 06.110</t>
  </si>
  <si>
    <t xml:space="preserve">TERMINAL A COMPRESSAO EM COBRE ESTANHADO PARA CABO 35 MM2, 1 FURO E 1 COMPRESSAO, COM PARAFUSO DE FIXACAO - FORNECIMENTO E INSTALAÇÃO  </t>
  </si>
  <si>
    <t>COT - 06.095</t>
  </si>
  <si>
    <t>TERMINAL SPLIT BOLT 6MM</t>
  </si>
  <si>
    <t>CCU - 06.111</t>
  </si>
  <si>
    <t xml:space="preserve">TERMINAL SPLIT BOLT 6MM - FORNECIMENTO E INSTALAÇÃO  </t>
  </si>
  <si>
    <t>06.01.525.4</t>
  </si>
  <si>
    <t>06.01.525.5</t>
  </si>
  <si>
    <t>06.01.525.6</t>
  </si>
  <si>
    <t>RACK FECHADO PADRÃO 19", 24U, COR PRETO, COM PORTA EM VIDROS TEMPERADO,COM TRINCO FECHADURA COM TOMADAS MONOFÁSICAS E EXAUSTORES INSTALADOS NA PARTE SUPERIOR, TAMPAS LATERAIS FLANGEADAS. FORNECIDO COMPLETO - FORNECIMENTO E INSTALAÇÃO</t>
  </si>
  <si>
    <t>RACK FECHADO PADRÃO 19", 24U, COR PRETO, COM PORTA EM VIDROS TEMPERADO,COM TRINCO FECHADURA COM TOMADAS MONOFÁSICAS E EXAUSTORES INSTALADOS NA PARTE SUPERIOR, TAMPAS LATERAIS FLANGEADAS. FORNECIDO COMPLETO</t>
  </si>
  <si>
    <t>CURVA VERTICAL P/ ELETROCALHA, DE 50X50MM EM CHAPA 22</t>
  </si>
  <si>
    <t>COT - 06.080.1</t>
  </si>
  <si>
    <t>TAMPA P/ CURVA VERTICAL, DE 50X50MM EM CHAPA 22</t>
  </si>
  <si>
    <t>CCU - 06.112</t>
  </si>
  <si>
    <t>CCU - 06.113</t>
  </si>
  <si>
    <t>CURVA VERTICAL 90º, PARA ELETROCALHA, PERFURADA EM AÇO GALVANIZADO CHAPA 22, LARGURA DE 50MM E ALTURA DE 50MM - FORNECIMENTO E INSTALAÇÃO</t>
  </si>
  <si>
    <t>SWITCH DE 24 PORTAS RJ45-CAT.6</t>
  </si>
  <si>
    <t>SWITCH DE 24 PORTAS RJ45-CAT.6 - FORNECIMENTO E INSTALAÇÃO</t>
  </si>
  <si>
    <t>PATCH CORDS SERÃO DO TIPO: UTP 4 PARES CAT.6, COMPRIMENTO 2,5M</t>
  </si>
  <si>
    <t>COT - 06.044</t>
  </si>
  <si>
    <t>CÂMERA IP, TIPO BULLET, ALIMENTAÇÃO PoE, IP 67, INSTALADA NA PAREDE, RESOLUÇÃO 4 MP, LENTE 2,7 A 12MM MOTORIZADO, H.265. REFERÊNCIA: INTELBRAS VIP-5450Z OU EQUIVALENTE TÉCNICO</t>
  </si>
  <si>
    <t>CÂMERA IP, TIPO BULLET, ALIMENTAÇÃO PoE, IP 67, INSTALADA NA PAREDE, RESOLUÇÃO 4 MP, LENTE 2,7 A 12MM MOTORIZADO, H.265. REFERÊNCIA: INTELBRAS VIP-5450Z OU EQUIVALENTE TÉCNICO - FORNECIMENTO E INSTALAÇÃO</t>
  </si>
  <si>
    <t>06.02.900.5</t>
  </si>
  <si>
    <t>06.02.900.6</t>
  </si>
  <si>
    <t>06.02.900.7</t>
  </si>
  <si>
    <t>06.02.900.8</t>
  </si>
  <si>
    <t>REF: REF: 97361 ORSE NOV/2020</t>
  </si>
  <si>
    <t>PAINEL DE MEDIÇÃO CONFORME O PROJETO - FORNECIMENTO E INSTALAÇÃO</t>
  </si>
  <si>
    <t xml:space="preserve">MURETA EM ALVENARIA PARA INSTALAÇÃO DE PAINEL DE MEDIÇÃO </t>
  </si>
  <si>
    <t xml:space="preserve">QDB - QUADRO ELÉTRICO DE BAIXA TENSÃO TTA </t>
  </si>
  <si>
    <t>QDB - QUADRO ELÉTRICO DE BAIXA TENSÃO -  PAINEL TTA - INSTALAÇÃO, FORNECIMENTO E COMISSIONAMENTO</t>
  </si>
  <si>
    <t>QD-CALD - QUADRO ELÉTRICO DE BAIXA TENSÃO -  PAINEL TTA - INSTALAÇÃO, FORNECIMENTO E COMISSIONAMENTO</t>
  </si>
  <si>
    <t>ELETRODUTO FLEXÍVEL CORRUGADO, PEAD, 1"  - FORNECIMENTO E INSTALAÇÃO.</t>
  </si>
  <si>
    <t>REF: 97667/8 SINAPI - JAN 2021</t>
  </si>
  <si>
    <t>ELETRODUTO FLEXÍVEL CORRUGADO, PEAD, 1 1/2"  - FORNECIMENTO E INSTALAÇÃO.</t>
  </si>
  <si>
    <t>COT - 06.002</t>
  </si>
  <si>
    <t>POSTE CIRCULAR DE CONCRETO 11m/600dan</t>
  </si>
  <si>
    <t xml:space="preserve">POSTES INDAIAL </t>
  </si>
  <si>
    <t xml:space="preserve">IPT TEIXEIRA </t>
  </si>
  <si>
    <t>ICOTEMA</t>
  </si>
  <si>
    <t>www.postes.com.br</t>
  </si>
  <si>
    <t>josecarlos@iptteixeira.com.br</t>
  </si>
  <si>
    <t>icotema.com.br</t>
  </si>
  <si>
    <t>83.547.315/0001-80</t>
  </si>
  <si>
    <t>66.802.877/0001-04</t>
  </si>
  <si>
    <t>50.229.749/0003-45</t>
  </si>
  <si>
    <t>(47) 3333-8100</t>
  </si>
  <si>
    <t>(17) 3827-9102</t>
  </si>
  <si>
    <t>11 4024 8433</t>
  </si>
  <si>
    <t>P-003</t>
  </si>
  <si>
    <t>P-020</t>
  </si>
  <si>
    <t>COT - 06.085</t>
  </si>
  <si>
    <t>COT - 06.084</t>
  </si>
  <si>
    <t>COT - 06.083</t>
  </si>
  <si>
    <t>1/4"</t>
  </si>
  <si>
    <t>ISOLADOR DE ANCORAGEM POLIMÉRICO 15KV</t>
  </si>
  <si>
    <t>NºPregão:12020
UASG:786800</t>
  </si>
  <si>
    <t>P-134</t>
  </si>
  <si>
    <t>BRAÇO TIPO "C"</t>
  </si>
  <si>
    <t>CENTER ELETRIC</t>
  </si>
  <si>
    <t xml:space="preserve">JUDY CABOS </t>
  </si>
  <si>
    <t>carla@centereletric.com.br</t>
  </si>
  <si>
    <t>www.judycabos.com.br</t>
  </si>
  <si>
    <t>10.903.212/0001-32</t>
  </si>
  <si>
    <t>4033-9898</t>
  </si>
  <si>
    <t>(11) 98783-1073</t>
  </si>
  <si>
    <t>(71) 3342-1818</t>
  </si>
  <si>
    <t>19/072021</t>
  </si>
  <si>
    <t>P-127</t>
  </si>
  <si>
    <t>P-128</t>
  </si>
  <si>
    <t>CANTONEIRA AUXILIAR PARA BRAÇO TIPO "C"</t>
  </si>
  <si>
    <t>EMBRAMATi</t>
  </si>
  <si>
    <t>EMBRAMATiris@embramataltatensao.com.br</t>
  </si>
  <si>
    <t> 22.193.309/000-188</t>
  </si>
  <si>
    <t>01.192.523/0001-40</t>
  </si>
  <si>
    <t>(11) 2098-0371</t>
  </si>
  <si>
    <t>P-126</t>
  </si>
  <si>
    <t xml:space="preserve">P-126 </t>
  </si>
  <si>
    <t>REF: 83397 SINAPI JAN 2019 + C4245 - SEINFRA ABRIL 2017 ACESSÓRIOS</t>
  </si>
  <si>
    <t xml:space="preserve">POSTE DE ENTREGA DE ENERGIA CIRCULAR DE CONCRETO H=11M CARGA NOMINAL 600KG COM ESCAVACAO, EXCLUSIVE TRANSPORTE, INCLUSO TODOS OS ACESSÓRIOS - FORNECIMENTO E INSTALACAO </t>
  </si>
  <si>
    <t>ELETRODUTO DE AÇO GALV., 2" - FORNECIMENTO E INSTALAÇÃO</t>
  </si>
  <si>
    <t>CURVA 90 GRAUS, PARA ELETRODUTO, EM ACO GALVANIZADO ELETROLITICO, DIAMETRO DE 50 MM (2") - FORNECIMENTO E INSTALAÇÃO</t>
  </si>
  <si>
    <t>06.01.305.7</t>
  </si>
  <si>
    <t>06.01.305.8</t>
  </si>
  <si>
    <t>CAIXA DE PASSAGEM TIPO CB-2, INCLUSO TAMPÃO T-55 - FORNECIMENTO E INSTALAÇÃO</t>
  </si>
  <si>
    <t>LAJE DE FUNDO</t>
  </si>
  <si>
    <t xml:space="preserve">PAREDES </t>
  </si>
  <si>
    <t xml:space="preserve">LAJE </t>
  </si>
  <si>
    <t>CCU - 06.007 AUX</t>
  </si>
  <si>
    <t xml:space="preserve">REF: CONFORME PROJETO </t>
  </si>
  <si>
    <t>CCU - 06.114</t>
  </si>
  <si>
    <t>TAMPAO FOFO ARTICULADO, CLASSE D400 CARGA MAX 40 T, REDONDO TAMPA *600 MM,  - FORNECIMENTO E INSTALAÇÃO</t>
  </si>
  <si>
    <t>REF: 84798 SINAPI - JAN 2021</t>
  </si>
  <si>
    <t>CAIXA DE PASSAGEM ENTERRADA 80X80CM COM ALVENARIA DE TIJOLOS CERÂMICOS MACIÇOS COM TAMPÃO T-33 - FORNECIMENTO E INSTALAÇÃO</t>
  </si>
  <si>
    <t>CCU - 06.115</t>
  </si>
  <si>
    <t>CCU - 06.116</t>
  </si>
  <si>
    <t>REF: 95760/59 SINAPI MAR/2021</t>
  </si>
  <si>
    <t>LUVA, PARA ELETRODUTO, EM ACO GALVANIZADO ELETROLITICO, DIAMETRO DE 50 MM (2") - FORNECIMENTO E INSTALAÇÃO</t>
  </si>
  <si>
    <t>BUCHA DE REDUCAO DE PVC, SOLDAVEL, LONGA, COM 110 X 75 MM, PARA AGUA FRIA PREDIAL - FORNECIMENTO E INSTALAÇÃO</t>
  </si>
  <si>
    <t>REF: 89629 SINAPI JAN 2021</t>
  </si>
  <si>
    <t>TÊ DE REDUÇÃO, PVC, SOLDÁVEL, DN 75X50MM, INSTALADO EM PRUMADA DE ÁGUA - FORNECIMENTO E INSTALAÇÃO</t>
  </si>
  <si>
    <t>REF: 89395 SINAPI JAN 2021</t>
  </si>
  <si>
    <t>TÊ DE REDUÇÃO, PVC, SOLDÁVEL, DN 32X25MM, INSTALADO EM PRUMADA DE ÁGUA - FORNECIMENTO E INSTALAÇÃO</t>
  </si>
  <si>
    <t>05.01.540.6</t>
  </si>
  <si>
    <t>TERMINAL DE VENTILACAO, 50 MM, SERIE NORMAL, ESGOTO PREDIAL - FORNECIMENTO E INSTALAÇÃO</t>
  </si>
  <si>
    <t>05.04.100.24</t>
  </si>
  <si>
    <t>CCU - 05.042</t>
  </si>
  <si>
    <t>JUNÇÃO SIMPLES, PVC, SERIE NORMAL, ESGOTO PREDIAL, DN 100 X 75 MM, JUNTA ELÁSTICA, FORNECIDO E INSTALADO EM RAMAL DE DESCARGA OU RAMAL DE ESGOTO SANITÁRIO</t>
  </si>
  <si>
    <t>CCU - 05.043</t>
  </si>
  <si>
    <t>JUNÇÃO SIMPLES, PVC, SERIE NORMAL, ESGOTO PREDIAL, DN 75 X 50 MM, JUNTA ELÁSTICA, FORNECIDO E INSTALADO EM RAMAL DE DESCARGA OU RAMAL DE ESGOTO SANITÁRIO</t>
  </si>
  <si>
    <t>REF: COEFICIENTE 99251</t>
  </si>
  <si>
    <t>PISO E PAREDES</t>
  </si>
  <si>
    <t>LIMPEZA E REPARO DE CAIXA DE PASSAGEM EXISTENTE COM ARGAMASSA COM IMPERMEABILIZANTE E CONCRETO</t>
  </si>
  <si>
    <t>CAIXA DE GORDURA, EM ALVENARIA COM BLOCOS DE CONCRETO, DIMENSÕES INTERNAS: 0,6X0,6X0,6 M PARA REDE DE ESGOTO, INCLUSO TAMPÃO T-33 - FORNECIMENTO E INSTALAÇÃO</t>
  </si>
  <si>
    <t>REF: 84798 SINAPI JAN 2019 (tampa)</t>
  </si>
  <si>
    <t>CCU - 05.041.1</t>
  </si>
  <si>
    <t>tampão</t>
  </si>
  <si>
    <t>CAIXA DE GORDURA, EM ALVENARIA COM BLOCOS DE CONCRETO, DIMENSÕES INTERNAS: 2,00X0,80X0,90 M PARA REDE DE ESGOTO, INCLUSO TAMPÃO T-33 - FORNECIMENTO E INSTALAÇÃO</t>
  </si>
  <si>
    <t>REF: 84798 SINAPI JAN 2019 (tampa) + CONFORME O PROJETO</t>
  </si>
  <si>
    <t>LAJE DE FUNDO E TAMPA</t>
  </si>
  <si>
    <t>40 KG POR M3 DA LAJE DA TAMPA</t>
  </si>
  <si>
    <t>TAMPA</t>
  </si>
  <si>
    <t>PLANILHA ESTIMATIVA - CASA DE BOMBAS</t>
  </si>
  <si>
    <t>018.06/2021-SEORÇA: Casa de Bombas .........................................................................................................</t>
  </si>
  <si>
    <t>018.04/2021-SEORÇA: Lixeira .........................................................................................................</t>
  </si>
  <si>
    <t>P-254</t>
  </si>
  <si>
    <t>HERNANE</t>
  </si>
  <si>
    <t>41 2103-2750</t>
  </si>
  <si>
    <t>RACK PARA SERVIDOR</t>
  </si>
  <si>
    <t>www.aznet.com.br</t>
  </si>
  <si>
    <t>racksparaservidor.com.br</t>
  </si>
  <si>
    <t>13.578.459/0001-19</t>
  </si>
  <si>
    <t>29.720.771/0001-35</t>
  </si>
  <si>
    <t>(41) 3027-2165</t>
  </si>
  <si>
    <t>(41) 3514-5838</t>
  </si>
  <si>
    <t>P-255</t>
  </si>
  <si>
    <t>P-256</t>
  </si>
  <si>
    <t>P-257</t>
  </si>
  <si>
    <t>submarino.com.br</t>
  </si>
  <si>
    <t>LOJA DAS CÂMERAS</t>
  </si>
  <si>
    <t>lojadascameras.com</t>
  </si>
  <si>
    <t>(11) 2241-4447</t>
  </si>
  <si>
    <t>59.474.478/0001-04</t>
  </si>
  <si>
    <t>cameraviva.com.br</t>
  </si>
  <si>
    <t>CÂMERA VIVA</t>
  </si>
  <si>
    <t>12.277.580/0001-48</t>
  </si>
  <si>
    <t>67 99904-7232</t>
  </si>
  <si>
    <t>kabum.com.br</t>
  </si>
  <si>
    <t>P-258</t>
  </si>
  <si>
    <t>05.570.714/0001-59</t>
  </si>
  <si>
    <t>(19) 2114-4444</t>
  </si>
  <si>
    <t>processtec.com.br</t>
  </si>
  <si>
    <t>PROCESSTEC</t>
  </si>
  <si>
    <t>4003-6179</t>
  </si>
  <si>
    <t>05.690.866/0001-95</t>
  </si>
  <si>
    <t>g10distribuidora.com.br</t>
  </si>
  <si>
    <t>G10 DISTRIBUIDORA</t>
  </si>
  <si>
    <t>(45) 3197-9350</t>
  </si>
  <si>
    <t xml:space="preserve">28.287.893/0001-17 </t>
  </si>
  <si>
    <t>DISTRIBUIDOR INTERNO ÓPTICO (DIO-24F), COMPLETO</t>
  </si>
  <si>
    <t>DISTRIBUIDOR INTERNO ÓPTICO (DIO-24F), COMPLETO - FORNECIMENTO E INSTALAÇÃO</t>
  </si>
  <si>
    <t>lojamatel.com.br</t>
  </si>
  <si>
    <t>LOJA MATEL</t>
  </si>
  <si>
    <t>P-259</t>
  </si>
  <si>
    <t>11 9.8783-0559</t>
  </si>
  <si>
    <t>57.644.825/0001-66</t>
  </si>
  <si>
    <t>P-260</t>
  </si>
  <si>
    <t>zikoshop.com.br</t>
  </si>
  <si>
    <t>ZIKO SHOP</t>
  </si>
  <si>
    <t>(11) 4210-0138</t>
  </si>
  <si>
    <t>PATCH CORDS SERÃO DO TIPO: UTP 4 PARES CAT.6, COMPRIMENTO 2,5M - FORNECIMENTO E INSTALAÇÃO</t>
  </si>
  <si>
    <t>P-261</t>
  </si>
  <si>
    <t>CAIXA DE EQUALIZAÇÃO DE POTENCIAL COM 11 TERMINAIS 40X40CM</t>
  </si>
  <si>
    <t>CAIXA DE EQUALIZAÇÃO DE POTENCIAL COM 11 TERMINAIS 40X40CM - FORNECIMENTO E INSTALAÇÃO</t>
  </si>
  <si>
    <t>P-262</t>
  </si>
  <si>
    <t>Barbosa Atacadista</t>
  </si>
  <si>
    <t>(11)2949.1400</t>
  </si>
  <si>
    <t>contato@atacadobarbosa.com.br
(11)2949.1400</t>
  </si>
  <si>
    <t>04.793.202/0002-70</t>
  </si>
  <si>
    <t>P-263</t>
  </si>
  <si>
    <t>carajasonline.com</t>
  </si>
  <si>
    <t>CARAJAS ONLINE</t>
  </si>
  <si>
    <t>DISMETAL</t>
  </si>
  <si>
    <t>P-264</t>
  </si>
  <si>
    <t>(45)3264-5056</t>
  </si>
  <si>
    <t>CRISTINA</t>
  </si>
  <si>
    <t>20.475.312/0001-69</t>
  </si>
  <si>
    <t>P-266</t>
  </si>
  <si>
    <t>P-267</t>
  </si>
  <si>
    <t>P-268</t>
  </si>
  <si>
    <t>MÁRCIA</t>
  </si>
  <si>
    <t>P-269</t>
  </si>
  <si>
    <t>cultivoindoor.com.br</t>
  </si>
  <si>
    <t>CULTIVO INDOOR</t>
  </si>
  <si>
    <t>P-270</t>
  </si>
  <si>
    <t>21 2179-8650</t>
  </si>
  <si>
    <t>21.982.627/0004-08</t>
  </si>
  <si>
    <t>sgarefrigeracao.com</t>
  </si>
  <si>
    <t>SAGA REFR.</t>
  </si>
  <si>
    <t>P-271</t>
  </si>
  <si>
    <t>(81) 3140-7300</t>
  </si>
  <si>
    <t>23.419.428/0001-79</t>
  </si>
  <si>
    <t>gramacultivo.com.br</t>
  </si>
  <si>
    <t>GRAMA CULTIVO</t>
  </si>
  <si>
    <t>P-272</t>
  </si>
  <si>
    <t>(11) 99803-6984</t>
  </si>
  <si>
    <t>38.369.241/0001-85</t>
  </si>
  <si>
    <t>ledsindoor.com.br</t>
  </si>
  <si>
    <t>LEDS INDOOR</t>
  </si>
  <si>
    <t>14.579.419/0001-54</t>
  </si>
  <si>
    <t>(11)974070207</t>
  </si>
  <si>
    <t>P-273</t>
  </si>
  <si>
    <t>P-274</t>
  </si>
  <si>
    <t>P-275</t>
  </si>
  <si>
    <t>P-276</t>
  </si>
  <si>
    <t xml:space="preserve"> 04.432.918/0001-60</t>
  </si>
  <si>
    <t>SYLMARA</t>
  </si>
  <si>
    <t>TCA</t>
  </si>
  <si>
    <t>P-277</t>
  </si>
  <si>
    <t>(11) 2609-0721</t>
  </si>
  <si>
    <t>tcaindustria.com.br</t>
  </si>
  <si>
    <t>22.036.975/0001-02</t>
  </si>
  <si>
    <t>P-278</t>
  </si>
  <si>
    <t>EXAUSTOR OTAM RLD-Q 710 CLASSE 1</t>
  </si>
  <si>
    <t>EXAUSTOR OTAM RLD-Q 400 CLASSE 1</t>
  </si>
  <si>
    <t>P-279</t>
  </si>
  <si>
    <t>P-280</t>
  </si>
  <si>
    <t>EXAUSTOR OTAM RLD-Q 280 CLASSE 1</t>
  </si>
  <si>
    <t>COT - 05.115</t>
  </si>
  <si>
    <t>BUCHA DE REDUÇÃO CPVC 42X35MM</t>
  </si>
  <si>
    <t>COT - 05.116</t>
  </si>
  <si>
    <t>BUCHA DE REDUÇÃO CPVC 42X28MM</t>
  </si>
  <si>
    <t>P-281</t>
  </si>
  <si>
    <t>pedraopvc.com.br</t>
  </si>
  <si>
    <t>padovani.com.br</t>
  </si>
  <si>
    <t>(16) 3434-3535</t>
  </si>
  <si>
    <t>(11) 4380-1480</t>
  </si>
  <si>
    <t>CARJAS ONLINE</t>
  </si>
  <si>
    <t>11) 4003-2020</t>
  </si>
  <si>
    <t>CCU - 05.118</t>
  </si>
  <si>
    <t>BUCHA DE REDUÇÃO, CPVC, SOLDÁVEL, DN 42MM X 35MM, INSTALADO EM RAMAL DE DISTRIBUIÇÃO DE ÁGUA - FORNECIMENTO E INSTALAÇÃO</t>
  </si>
  <si>
    <t>REF: 89832 SINAPI 03/2021</t>
  </si>
  <si>
    <t>CCU - 05.119</t>
  </si>
  <si>
    <t>BUCHA DE REDUÇÃO, CPVC, SOLDÁVEL, DN 42MM X 28MM, INSTALADO EM RAMAL DE DISTRIBUIÇÃO DE ÁGUA - FORNECIMENTO E INSTALAÇÃO</t>
  </si>
  <si>
    <t>CCU - 05.120</t>
  </si>
  <si>
    <t>REF: 92928 SINAPI 03/2021</t>
  </si>
  <si>
    <t>LUVA DE REDUÇÃO, EM FERRO GALVANIZADO, 1 1/2" X 1/2", CONEXÃO ROSQUEADA, INSTALADO EM REDE DE ALIMENTAÇÃO PARA HIDRANTE - FORNECIMENTO E INSTALAÇÃO</t>
  </si>
  <si>
    <t>05.02.800.5</t>
  </si>
  <si>
    <t>05.02.800.6</t>
  </si>
  <si>
    <t>COT - 05.117</t>
  </si>
  <si>
    <t>MANTA DE BORRACHA NEOPRENE 6,4MM</t>
  </si>
  <si>
    <t>fermaquinas.com.br</t>
  </si>
  <si>
    <t>FER MAQUINAS</t>
  </si>
  <si>
    <t>P-282</t>
  </si>
  <si>
    <t>68.452.762/0001-62</t>
  </si>
  <si>
    <t>(11) 2065-9002</t>
  </si>
  <si>
    <t>COT - 05.119</t>
  </si>
  <si>
    <t>COT - 05.120</t>
  </si>
  <si>
    <t>COT - 05.121</t>
  </si>
  <si>
    <t>TUBO ELUMAFLEX 28MM OU EQUIVALENTE</t>
  </si>
  <si>
    <t>TUBO ELUMAFLEX 42MM OU EQUIVALENTE</t>
  </si>
  <si>
    <t>TUBO ELUMAFLEX 35MM OU EQUIVALENTE</t>
  </si>
  <si>
    <t>estoqueparado.com.br</t>
  </si>
  <si>
    <t>ESTOQUE PARADO</t>
  </si>
  <si>
    <t>P-283</t>
  </si>
  <si>
    <t>30.019.043/0001-80</t>
  </si>
  <si>
    <t>(19)2144-8587</t>
  </si>
  <si>
    <t>REF: 11391/ORSE JAN 2021</t>
  </si>
  <si>
    <t>CCU - 05.122</t>
  </si>
  <si>
    <t>CCU - 05.123</t>
  </si>
  <si>
    <t>CCU - 05.124</t>
  </si>
  <si>
    <t>TUBO ELUMAFLEX 42MM OU EQUIVALENTE - FORNECIMENTO E INSTALAÇÃO</t>
  </si>
  <si>
    <t>TUBO ELUMAFLEX 35MM OU EQUIVALENTE - FORNECIMENTO E INSTALAÇÃO</t>
  </si>
  <si>
    <t>TUBO ELUMAFLEX 28MM OU EQUIVALENTE - FORNECIMENTO E INSTALAÇÃO</t>
  </si>
  <si>
    <t>REF: 11393/ORSE JAN 2021</t>
  </si>
  <si>
    <t>05.02.800.7</t>
  </si>
  <si>
    <t>05.02.800.8</t>
  </si>
  <si>
    <t>(11) 2168.8533</t>
  </si>
  <si>
    <t>tateti.com.br</t>
  </si>
  <si>
    <t>TATETI</t>
  </si>
  <si>
    <t>65.369.985/0003-34</t>
  </si>
  <si>
    <t>(15) 3229-0010</t>
  </si>
  <si>
    <t>05.02.100.48</t>
  </si>
  <si>
    <t>TUBO PVC, SÉRIE R, ÁGUA PLUVIAL, DN 250 MM - FORNECIMENTO E INSTALAÇÃO</t>
  </si>
  <si>
    <t>REF: 90697 SINAPI DEZ 2019</t>
  </si>
  <si>
    <t>05.03.900.3</t>
  </si>
  <si>
    <t>RALO FOFO SEMIESFERICO, 100 MM - FORNECIMENTO E INSTALAÇÃO</t>
  </si>
  <si>
    <t>REF: 04283/ORSE NOV 2020</t>
  </si>
  <si>
    <t>CCU - 05.100</t>
  </si>
  <si>
    <t>RALO FOFO SEMIESFERICO, 75 MM - FORNECIMENTO E INSTALAÇÃO</t>
  </si>
  <si>
    <t>REF: 09752/ORSE NOV 2020</t>
  </si>
  <si>
    <t>05.03.300.7</t>
  </si>
  <si>
    <t>05.03.300.8</t>
  </si>
  <si>
    <t>REF: 101175 SINAPI JANEIRO 2021</t>
  </si>
  <si>
    <t>ESTACA BROCA DE CONCRETO, DIÂMETRO DE 30CM, ESCAVAÇÃO MANUAL COM TRADO CONCHA</t>
  </si>
  <si>
    <t>REF: 92720 SINAPI JANEIRO 2021</t>
  </si>
  <si>
    <t>CONCRETAGEM DE PILARES, FCK = 30 MPA, COM USO DE BOMBA EM EDIFICAÇÃO COM SEÇÃO MÉDIA DE PILARES MENOR OU IGUAL A 0,25 M² - LANÇAMENTO, ADENSAMENTO E ACABAMENTO</t>
  </si>
  <si>
    <t>CCU - 03.032</t>
  </si>
  <si>
    <t>M0719</t>
  </si>
  <si>
    <t>APLICAÇÃO DE ADESIVO ESTRUTURAL A BASE DE RESINA EPÓXI</t>
  </si>
  <si>
    <t>03.02.128</t>
  </si>
  <si>
    <t>03.02.128.1</t>
  </si>
  <si>
    <t>CHUMABAMENTO DAS ARMADURAS NA ESTRUTURA EXISTENTE</t>
  </si>
  <si>
    <t>Diluente epóxi</t>
  </si>
  <si>
    <t>03.02.128.2</t>
  </si>
  <si>
    <t>CCU - 03.033</t>
  </si>
  <si>
    <t>Furadeira Industrial</t>
  </si>
  <si>
    <t>04983/ORSE</t>
  </si>
  <si>
    <t>07897/ORSE</t>
  </si>
  <si>
    <t>Compressor Chiaperini Ar Direto G3 com KIT Pintura, Limpeza, Encher e Calibrar Pneus</t>
  </si>
  <si>
    <t>07898/ORSE</t>
  </si>
  <si>
    <t>Broca SDS plus 12x260mm</t>
  </si>
  <si>
    <t>15CM</t>
  </si>
  <si>
    <t>100CM</t>
  </si>
  <si>
    <t>FURO EM CONCRETO COM FURADEIRA INDUSTRIAL PARA ANCORAGEM DE ARMADURAS</t>
  </si>
  <si>
    <t>Densidade: Componente A + B : 1,70 g/cm3 g/cm³</t>
  </si>
  <si>
    <t>1,7kg/L</t>
  </si>
  <si>
    <t>1,5KG</t>
  </si>
  <si>
    <t>1,7KG</t>
  </si>
  <si>
    <t>CATALAGO PRODUTO VEDACIT COMPOUND ADESIVO</t>
  </si>
  <si>
    <t>REF: 03-40-60 PM-SP JAN/2020 TRANSFORMADO O CONSUMO PARA LITROS CONF. O PROJETO</t>
  </si>
  <si>
    <t>REF: 07948/ORSE MARÇO 2021 TRANSFORMADO PARA METROS</t>
  </si>
  <si>
    <t>22,05</t>
  </si>
  <si>
    <t>159,51</t>
  </si>
  <si>
    <t>123,98</t>
  </si>
  <si>
    <t>78,97</t>
  </si>
  <si>
    <t>80,32</t>
  </si>
  <si>
    <t>56,23</t>
  </si>
  <si>
    <t>54,29</t>
  </si>
  <si>
    <t>440,90</t>
  </si>
  <si>
    <t>692,61</t>
  </si>
  <si>
    <t>319,16</t>
  </si>
  <si>
    <t>63,98</t>
  </si>
  <si>
    <t>993,83</t>
  </si>
  <si>
    <t>60,87</t>
  </si>
  <si>
    <t>32,01</t>
  </si>
  <si>
    <t>12,70</t>
  </si>
  <si>
    <t>24,44</t>
  </si>
  <si>
    <t>3,35</t>
  </si>
  <si>
    <t>5,31</t>
  </si>
  <si>
    <t>4,29</t>
  </si>
  <si>
    <t>61,40</t>
  </si>
  <si>
    <t>47,78</t>
  </si>
  <si>
    <t>13,48</t>
  </si>
  <si>
    <t>9,65</t>
  </si>
  <si>
    <t>3,89</t>
  </si>
  <si>
    <t>23,68</t>
  </si>
  <si>
    <t>4,52</t>
  </si>
  <si>
    <t>8,86</t>
  </si>
  <si>
    <t>16,72</t>
  </si>
  <si>
    <t>49,73</t>
  </si>
  <si>
    <t>13,08</t>
  </si>
  <si>
    <t>21,28</t>
  </si>
  <si>
    <t>36,00</t>
  </si>
  <si>
    <t>375,22</t>
  </si>
  <si>
    <t>38,87</t>
  </si>
  <si>
    <t>39,01</t>
  </si>
  <si>
    <t>59,62</t>
  </si>
  <si>
    <t>190,42</t>
  </si>
  <si>
    <t>265,85</t>
  </si>
  <si>
    <t>403,86</t>
  </si>
  <si>
    <t>19,20</t>
  </si>
  <si>
    <t>21,42</t>
  </si>
  <si>
    <t>31,68</t>
  </si>
  <si>
    <t>36,29</t>
  </si>
  <si>
    <t>62,07</t>
  </si>
  <si>
    <t>240,97</t>
  </si>
  <si>
    <t>282,12</t>
  </si>
  <si>
    <t>5,86</t>
  </si>
  <si>
    <t>37,95</t>
  </si>
  <si>
    <t>31,73</t>
  </si>
  <si>
    <t>46,06</t>
  </si>
  <si>
    <t>57,36</t>
  </si>
  <si>
    <t>44,89</t>
  </si>
  <si>
    <t>53,68</t>
  </si>
  <si>
    <t>148,10</t>
  </si>
  <si>
    <t>77,34</t>
  </si>
  <si>
    <t>91,79</t>
  </si>
  <si>
    <t>61,39</t>
  </si>
  <si>
    <t>26,82</t>
  </si>
  <si>
    <t>132,80</t>
  </si>
  <si>
    <t>47,28</t>
  </si>
  <si>
    <t>105,29</t>
  </si>
  <si>
    <t>25,51</t>
  </si>
  <si>
    <t>27,22</t>
  </si>
  <si>
    <t>13,37</t>
  </si>
  <si>
    <t>16,51</t>
  </si>
  <si>
    <t>ADUELA/ GALERIA PRE-MOLDADA DE CONCRETO ARMADO, SECAO QUADRADA INTERNA DE 1,50 X 1,50 M (L X A), MISULA DE 20 X 20 CM, C = 1,00 M, ESPESSURA MIN = 15 CM, TB-45 E FCK DO CONCRETO = 30 MPA</t>
  </si>
  <si>
    <t>2.759,85</t>
  </si>
  <si>
    <t>ADUELA/ GALERIA PRE-MOLDADA DE CONCRETO ARMADO, SECAO RETANGULAR INTERNA DE 2,00 X 2,00 M (L X A), MISULA DE 20 X 20 CM, C = 1,00 M, ESPESSURA MIN = 15 CM, TB-45 E FCK DO CONCRETO = 30 MPA</t>
  </si>
  <si>
    <t>3.456,78</t>
  </si>
  <si>
    <t>ADUELA/ GALERIA PRE-MOLDADA DE CONCRETO ARMADO, SECAO RETANGULAR INTERNA DE 2,50 X 2,50 M (L X A), MISULA DE 20 X 20 CM, C = 1,00 M, ESPESSURA MIN = 15 CM, TB-45 E FCK DO CONCRETO = 30 MPA</t>
  </si>
  <si>
    <t>4.683,38</t>
  </si>
  <si>
    <t>ADUELA/ GALERIA PRE-MOLDADA DE CONCRETO ARMADO, SECAO RETANGULAR INTERNA DE 3,00 X 3,00 M (L X A), MISULA DE 20 X 20 CM, C = 1.00 M, ESPESSURA MIN = 20 CM, TB-45 E FCK DO CONCRETO = 30 MPA</t>
  </si>
  <si>
    <t>5.554,55</t>
  </si>
  <si>
    <t>10,39</t>
  </si>
  <si>
    <t>36,45</t>
  </si>
  <si>
    <t>2.177,82</t>
  </si>
  <si>
    <t>2.196,16</t>
  </si>
  <si>
    <t>1.648,41</t>
  </si>
  <si>
    <t>2.253,53</t>
  </si>
  <si>
    <t>2.335,92</t>
  </si>
  <si>
    <t>2.643,64</t>
  </si>
  <si>
    <t>45,00</t>
  </si>
  <si>
    <t>122,80</t>
  </si>
  <si>
    <t>132,04</t>
  </si>
  <si>
    <t>74,29</t>
  </si>
  <si>
    <t>81,75</t>
  </si>
  <si>
    <t>7.000,00</t>
  </si>
  <si>
    <t>1.944,00</t>
  </si>
  <si>
    <t>2,30</t>
  </si>
  <si>
    <t>98,82</t>
  </si>
  <si>
    <t>151,79</t>
  </si>
  <si>
    <t>24,37</t>
  </si>
  <si>
    <t>49,94</t>
  </si>
  <si>
    <t>63,34</t>
  </si>
  <si>
    <t>512,02</t>
  </si>
  <si>
    <t>807,04</t>
  </si>
  <si>
    <t>1.133,21</t>
  </si>
  <si>
    <t>105,93</t>
  </si>
  <si>
    <t>333,83</t>
  </si>
  <si>
    <t>8,99</t>
  </si>
  <si>
    <t>13,59</t>
  </si>
  <si>
    <t>76,53</t>
  </si>
  <si>
    <t>90,62</t>
  </si>
  <si>
    <t>114,88</t>
  </si>
  <si>
    <t>140,94</t>
  </si>
  <si>
    <t>149,02</t>
  </si>
  <si>
    <t>186,06</t>
  </si>
  <si>
    <t>175,03</t>
  </si>
  <si>
    <t>216,42</t>
  </si>
  <si>
    <t>428,98</t>
  </si>
  <si>
    <t>1.479,58</t>
  </si>
  <si>
    <t>518,87</t>
  </si>
  <si>
    <t>696,93</t>
  </si>
  <si>
    <t>975,70</t>
  </si>
  <si>
    <t>125,44</t>
  </si>
  <si>
    <t>58,54</t>
  </si>
  <si>
    <t>303,16</t>
  </si>
  <si>
    <t>216,30</t>
  </si>
  <si>
    <t>167,26</t>
  </si>
  <si>
    <t>219,53</t>
  </si>
  <si>
    <t>118,47</t>
  </si>
  <si>
    <t>159,34</t>
  </si>
  <si>
    <t>418,15</t>
  </si>
  <si>
    <t>299,17</t>
  </si>
  <si>
    <t>188,17</t>
  </si>
  <si>
    <t>397,25</t>
  </si>
  <si>
    <t>487,85</t>
  </si>
  <si>
    <t>682,99</t>
  </si>
  <si>
    <t>105,02</t>
  </si>
  <si>
    <t>2.513,13</t>
  </si>
  <si>
    <t>2.766,60</t>
  </si>
  <si>
    <t>2.950,00</t>
  </si>
  <si>
    <t>6.421,41</t>
  </si>
  <si>
    <t>8.062,94</t>
  </si>
  <si>
    <t>10.444,66</t>
  </si>
  <si>
    <t>3.993,64</t>
  </si>
  <si>
    <t>231.521,19</t>
  </si>
  <si>
    <t>5.423,12</t>
  </si>
  <si>
    <t>8.388,89</t>
  </si>
  <si>
    <t>2.581,00</t>
  </si>
  <si>
    <t>4.375,16</t>
  </si>
  <si>
    <t>5.806,68</t>
  </si>
  <si>
    <t>2.208,77</t>
  </si>
  <si>
    <t>3.279,00</t>
  </si>
  <si>
    <t>4.531,89</t>
  </si>
  <si>
    <t>1.972,63</t>
  </si>
  <si>
    <t>17.960,56</t>
  </si>
  <si>
    <t>8.503,77</t>
  </si>
  <si>
    <t>9.533,42</t>
  </si>
  <si>
    <t>10.770,75</t>
  </si>
  <si>
    <t>14.803,59</t>
  </si>
  <si>
    <t>5.212,55</t>
  </si>
  <si>
    <t>6.460,21</t>
  </si>
  <si>
    <t>9.599,72</t>
  </si>
  <si>
    <t>9.951,49</t>
  </si>
  <si>
    <t>11.420,06</t>
  </si>
  <si>
    <t>6.237,30</t>
  </si>
  <si>
    <t>6.716,21</t>
  </si>
  <si>
    <t>9.925,27</t>
  </si>
  <si>
    <t>11.482,57</t>
  </si>
  <si>
    <t>12.012,23</t>
  </si>
  <si>
    <t>1.772,68</t>
  </si>
  <si>
    <t>1.917,59</t>
  </si>
  <si>
    <t>2.550,66</t>
  </si>
  <si>
    <t>2.844,38</t>
  </si>
  <si>
    <t>3.341,13</t>
  </si>
  <si>
    <t>3.761,26</t>
  </si>
  <si>
    <t>1.518,61</t>
  </si>
  <si>
    <t>1.672,15</t>
  </si>
  <si>
    <t>4.751,95</t>
  </si>
  <si>
    <t>5.012,35</t>
  </si>
  <si>
    <t>6.651,43</t>
  </si>
  <si>
    <t>8.059,10</t>
  </si>
  <si>
    <t>9.065,14</t>
  </si>
  <si>
    <t>71.437,01</t>
  </si>
  <si>
    <t>22.359,63</t>
  </si>
  <si>
    <t>28.855,55</t>
  </si>
  <si>
    <t>41.982,56</t>
  </si>
  <si>
    <t>5.156,22</t>
  </si>
  <si>
    <t>20.226,68</t>
  </si>
  <si>
    <t>1,21</t>
  </si>
  <si>
    <t>124,09</t>
  </si>
  <si>
    <t>2.031,97</t>
  </si>
  <si>
    <t>325,70</t>
  </si>
  <si>
    <t>66,55</t>
  </si>
  <si>
    <t>85,76</t>
  </si>
  <si>
    <t>72,80</t>
  </si>
  <si>
    <t>3.122,00</t>
  </si>
  <si>
    <t>0,50</t>
  </si>
  <si>
    <t>4,71</t>
  </si>
  <si>
    <t>2.369,58</t>
  </si>
  <si>
    <t>63,63</t>
  </si>
  <si>
    <t>43,00</t>
  </si>
  <si>
    <t>2.275,80</t>
  </si>
  <si>
    <t>2.213,45</t>
  </si>
  <si>
    <t>2.024,10</t>
  </si>
  <si>
    <t>2.027,03</t>
  </si>
  <si>
    <t>2.192,92</t>
  </si>
  <si>
    <t>7,13</t>
  </si>
  <si>
    <t>1.275,29</t>
  </si>
  <si>
    <t>38,61</t>
  </si>
  <si>
    <t>381,01</t>
  </si>
  <si>
    <t>142,90</t>
  </si>
  <si>
    <t>711,94</t>
  </si>
  <si>
    <t>10,22</t>
  </si>
  <si>
    <t>200,43</t>
  </si>
  <si>
    <t>451,68</t>
  </si>
  <si>
    <t>796,64</t>
  </si>
  <si>
    <t>312,73</t>
  </si>
  <si>
    <t>198,91</t>
  </si>
  <si>
    <t>264,50</t>
  </si>
  <si>
    <t>383,21</t>
  </si>
  <si>
    <t>194,43</t>
  </si>
  <si>
    <t>231,20</t>
  </si>
  <si>
    <t>540,30</t>
  </si>
  <si>
    <t>860,86</t>
  </si>
  <si>
    <t>1.078,61</t>
  </si>
  <si>
    <t>177,29</t>
  </si>
  <si>
    <t>688,97</t>
  </si>
  <si>
    <t>1.033,93</t>
  </si>
  <si>
    <t>9,35</t>
  </si>
  <si>
    <t>1.040,55</t>
  </si>
  <si>
    <t>1.147,84</t>
  </si>
  <si>
    <t>463,83</t>
  </si>
  <si>
    <t>708,40</t>
  </si>
  <si>
    <t>758,76</t>
  </si>
  <si>
    <t>305,17</t>
  </si>
  <si>
    <t>350,22</t>
  </si>
  <si>
    <t>378,93</t>
  </si>
  <si>
    <t>134,35</t>
  </si>
  <si>
    <t>149,21</t>
  </si>
  <si>
    <t>159,10</t>
  </si>
  <si>
    <t>166,68</t>
  </si>
  <si>
    <t>120,09</t>
  </si>
  <si>
    <t>137,70</t>
  </si>
  <si>
    <t>155,97</t>
  </si>
  <si>
    <t>15,33</t>
  </si>
  <si>
    <t>23,86</t>
  </si>
  <si>
    <t>35,86</t>
  </si>
  <si>
    <t>64,54</t>
  </si>
  <si>
    <t>127,79</t>
  </si>
  <si>
    <t>395,49</t>
  </si>
  <si>
    <t>68,73</t>
  </si>
  <si>
    <t>71,40</t>
  </si>
  <si>
    <t>81,58</t>
  </si>
  <si>
    <t>412.117,18</t>
  </si>
  <si>
    <t>225,00</t>
  </si>
  <si>
    <t>148,71</t>
  </si>
  <si>
    <t>182,78</t>
  </si>
  <si>
    <t>182,14</t>
  </si>
  <si>
    <t>246,42</t>
  </si>
  <si>
    <t>4.200,00</t>
  </si>
  <si>
    <t>5.727,66</t>
  </si>
  <si>
    <t>5.253,55</t>
  </si>
  <si>
    <t>22.850,84</t>
  </si>
  <si>
    <t>4.805,08</t>
  </si>
  <si>
    <t>17.084,74</t>
  </si>
  <si>
    <t>20.765,08</t>
  </si>
  <si>
    <t>2.193,84</t>
  </si>
  <si>
    <t>3,27</t>
  </si>
  <si>
    <t>799,90</t>
  </si>
  <si>
    <t>5,06</t>
  </si>
  <si>
    <t>43,01</t>
  </si>
  <si>
    <t>24,07</t>
  </si>
  <si>
    <t>578,34</t>
  </si>
  <si>
    <t>61,27</t>
  </si>
  <si>
    <t>90,00</t>
  </si>
  <si>
    <t>137,87</t>
  </si>
  <si>
    <t>19,89</t>
  </si>
  <si>
    <t>20,10</t>
  </si>
  <si>
    <t>85,99</t>
  </si>
  <si>
    <t>50,83</t>
  </si>
  <si>
    <t>102,43</t>
  </si>
  <si>
    <t>65,44</t>
  </si>
  <si>
    <t>54,30</t>
  </si>
  <si>
    <t>49,79</t>
  </si>
  <si>
    <t>42,98</t>
  </si>
  <si>
    <t>43,29</t>
  </si>
  <si>
    <t>54,53</t>
  </si>
  <si>
    <t>209,95</t>
  </si>
  <si>
    <t>2.393,16</t>
  </si>
  <si>
    <t>2.012,21</t>
  </si>
  <si>
    <t>820,00</t>
  </si>
  <si>
    <t>11.848,92</t>
  </si>
  <si>
    <t>798,06</t>
  </si>
  <si>
    <t>1.245,43</t>
  </si>
  <si>
    <t>1.363,60</t>
  </si>
  <si>
    <t>1.345,27</t>
  </si>
  <si>
    <t>7.543,86</t>
  </si>
  <si>
    <t>3.498,03</t>
  </si>
  <si>
    <t>7.096,79</t>
  </si>
  <si>
    <t>1.442,12</t>
  </si>
  <si>
    <t>51.199,28</t>
  </si>
  <si>
    <t>54.853,68</t>
  </si>
  <si>
    <t>2.981,05</t>
  </si>
  <si>
    <t>4.286,16</t>
  </si>
  <si>
    <t>7.265,41</t>
  </si>
  <si>
    <t>6.897,92</t>
  </si>
  <si>
    <t>28.305,74</t>
  </si>
  <si>
    <t>10.410,33</t>
  </si>
  <si>
    <t>30.871,20</t>
  </si>
  <si>
    <t>14.017,50</t>
  </si>
  <si>
    <t>3.094,71</t>
  </si>
  <si>
    <t>3.738,00</t>
  </si>
  <si>
    <t>5.021,76</t>
  </si>
  <si>
    <t>28.035,00</t>
  </si>
  <si>
    <t>4.415,51</t>
  </si>
  <si>
    <t>7.008,75</t>
  </si>
  <si>
    <t>203.851,63</t>
  </si>
  <si>
    <t>78.645,79</t>
  </si>
  <si>
    <t>37,44</t>
  </si>
  <si>
    <t>62,40</t>
  </si>
  <si>
    <t>1,40</t>
  </si>
  <si>
    <t>5,77</t>
  </si>
  <si>
    <t>47,64</t>
  </si>
  <si>
    <t>148,51</t>
  </si>
  <si>
    <t>80,90</t>
  </si>
  <si>
    <t>221,43</t>
  </si>
  <si>
    <t>233,97</t>
  </si>
  <si>
    <t>250,99</t>
  </si>
  <si>
    <t>81,38</t>
  </si>
  <si>
    <t>14,66</t>
  </si>
  <si>
    <t>45,64</t>
  </si>
  <si>
    <t>21,71</t>
  </si>
  <si>
    <t>10,99</t>
  </si>
  <si>
    <t>11,63</t>
  </si>
  <si>
    <t>8,97</t>
  </si>
  <si>
    <t>34,52</t>
  </si>
  <si>
    <t>36,06</t>
  </si>
  <si>
    <t>37,19</t>
  </si>
  <si>
    <t>41,27</t>
  </si>
  <si>
    <t>41,61</t>
  </si>
  <si>
    <t>33,59</t>
  </si>
  <si>
    <t>65,84</t>
  </si>
  <si>
    <t>67,43</t>
  </si>
  <si>
    <t>63,97</t>
  </si>
  <si>
    <t>17,01</t>
  </si>
  <si>
    <t>1,74</t>
  </si>
  <si>
    <t>27,98</t>
  </si>
  <si>
    <t>10,83</t>
  </si>
  <si>
    <t>32,06</t>
  </si>
  <si>
    <t>34,87</t>
  </si>
  <si>
    <t>66,67</t>
  </si>
  <si>
    <t>63,62</t>
  </si>
  <si>
    <t>63,02</t>
  </si>
  <si>
    <t>24,42</t>
  </si>
  <si>
    <t>97,17</t>
  </si>
  <si>
    <t>123,57</t>
  </si>
  <si>
    <t>148,60</t>
  </si>
  <si>
    <t>256,06</t>
  </si>
  <si>
    <t>37,38</t>
  </si>
  <si>
    <t>430,02</t>
  </si>
  <si>
    <t>52,66</t>
  </si>
  <si>
    <t>74,18</t>
  </si>
  <si>
    <t>61,13</t>
  </si>
  <si>
    <t>90,77</t>
  </si>
  <si>
    <t>97,14</t>
  </si>
  <si>
    <t>102,66</t>
  </si>
  <si>
    <t>103,29</t>
  </si>
  <si>
    <t>123,29</t>
  </si>
  <si>
    <t>138,61</t>
  </si>
  <si>
    <t>126,14</t>
  </si>
  <si>
    <t>153,34</t>
  </si>
  <si>
    <t>148,63</t>
  </si>
  <si>
    <t>165,89</t>
  </si>
  <si>
    <t>187,74</t>
  </si>
  <si>
    <t>198,60</t>
  </si>
  <si>
    <t>203,45</t>
  </si>
  <si>
    <t>147,30</t>
  </si>
  <si>
    <t>180,57</t>
  </si>
  <si>
    <t>237,77</t>
  </si>
  <si>
    <t>297,56</t>
  </si>
  <si>
    <t>34,82</t>
  </si>
  <si>
    <t>388,17</t>
  </si>
  <si>
    <t>498,63</t>
  </si>
  <si>
    <t>68,75</t>
  </si>
  <si>
    <t>91,33</t>
  </si>
  <si>
    <t>117,64</t>
  </si>
  <si>
    <t>146,87</t>
  </si>
  <si>
    <t>178,74</t>
  </si>
  <si>
    <t>236,24</t>
  </si>
  <si>
    <t>24,53</t>
  </si>
  <si>
    <t>33,73</t>
  </si>
  <si>
    <t>49,50</t>
  </si>
  <si>
    <t>69,61</t>
  </si>
  <si>
    <t>91,26</t>
  </si>
  <si>
    <t>235,58</t>
  </si>
  <si>
    <t>276,95</t>
  </si>
  <si>
    <t>301,78</t>
  </si>
  <si>
    <t>442,21</t>
  </si>
  <si>
    <t>520,31</t>
  </si>
  <si>
    <t>158,21</t>
  </si>
  <si>
    <t>711,18</t>
  </si>
  <si>
    <t>187,75</t>
  </si>
  <si>
    <t>224,01</t>
  </si>
  <si>
    <t>144,01</t>
  </si>
  <si>
    <t>176,75</t>
  </si>
  <si>
    <t>233,55</t>
  </si>
  <si>
    <t>25,16</t>
  </si>
  <si>
    <t>289,06</t>
  </si>
  <si>
    <t>34,19</t>
  </si>
  <si>
    <t>373,98</t>
  </si>
  <si>
    <t>463,37</t>
  </si>
  <si>
    <t>66,99</t>
  </si>
  <si>
    <t>90,75</t>
  </si>
  <si>
    <t>27,23</t>
  </si>
  <si>
    <t>18,21</t>
  </si>
  <si>
    <t>51,64</t>
  </si>
  <si>
    <t>6,34</t>
  </si>
  <si>
    <t>389,49</t>
  </si>
  <si>
    <t>81,67</t>
  </si>
  <si>
    <t>14,30</t>
  </si>
  <si>
    <t>162,90</t>
  </si>
  <si>
    <t>20,36</t>
  </si>
  <si>
    <t>228,57</t>
  </si>
  <si>
    <t>299,62</t>
  </si>
  <si>
    <t>67.195,41</t>
  </si>
  <si>
    <t>76.304,48</t>
  </si>
  <si>
    <t>50.382,86</t>
  </si>
  <si>
    <t>60.711,35</t>
  </si>
  <si>
    <t>17,85</t>
  </si>
  <si>
    <t>37,96</t>
  </si>
  <si>
    <t>938,53</t>
  </si>
  <si>
    <t>21,41</t>
  </si>
  <si>
    <t>350,44</t>
  </si>
  <si>
    <t>419,90</t>
  </si>
  <si>
    <t>852,81</t>
  </si>
  <si>
    <t>957,93</t>
  </si>
  <si>
    <t>241,08</t>
  </si>
  <si>
    <t>413,43</t>
  </si>
  <si>
    <t>481,63</t>
  </si>
  <si>
    <t>4.652,02</t>
  </si>
  <si>
    <t>781,44</t>
  </si>
  <si>
    <t>1.007,32</t>
  </si>
  <si>
    <t>2.243,47</t>
  </si>
  <si>
    <t>77,35</t>
  </si>
  <si>
    <t>83,63</t>
  </si>
  <si>
    <t>153,32</t>
  </si>
  <si>
    <t>268,31</t>
  </si>
  <si>
    <t>486,45</t>
  </si>
  <si>
    <t>871,16</t>
  </si>
  <si>
    <t>128,93</t>
  </si>
  <si>
    <t>236,95</t>
  </si>
  <si>
    <t>301,07</t>
  </si>
  <si>
    <t>66,71</t>
  </si>
  <si>
    <t>214,65</t>
  </si>
  <si>
    <t>446,03</t>
  </si>
  <si>
    <t>703,20</t>
  </si>
  <si>
    <t>283,55</t>
  </si>
  <si>
    <t>301,33</t>
  </si>
  <si>
    <t>38,50</t>
  </si>
  <si>
    <t>851,05</t>
  </si>
  <si>
    <t>659,29</t>
  </si>
  <si>
    <t>212,38</t>
  </si>
  <si>
    <t>268,64</t>
  </si>
  <si>
    <t>222,50</t>
  </si>
  <si>
    <t>271,80</t>
  </si>
  <si>
    <t>76,96</t>
  </si>
  <si>
    <t>255,10</t>
  </si>
  <si>
    <t>155,12</t>
  </si>
  <si>
    <t>605,58</t>
  </si>
  <si>
    <t>122,81</t>
  </si>
  <si>
    <t>183,69</t>
  </si>
  <si>
    <t>245,16</t>
  </si>
  <si>
    <t>296,28</t>
  </si>
  <si>
    <t>375,53</t>
  </si>
  <si>
    <t>27,26</t>
  </si>
  <si>
    <t>89,50</t>
  </si>
  <si>
    <t>1.721,06</t>
  </si>
  <si>
    <t>74,09</t>
  </si>
  <si>
    <t>3.361,83</t>
  </si>
  <si>
    <t>164,12</t>
  </si>
  <si>
    <t>271,97</t>
  </si>
  <si>
    <t>406,59</t>
  </si>
  <si>
    <t>817,91</t>
  </si>
  <si>
    <t>509,29</t>
  </si>
  <si>
    <t>4,17</t>
  </si>
  <si>
    <t>3.198,59</t>
  </si>
  <si>
    <t>1.023,48</t>
  </si>
  <si>
    <t>324,36</t>
  </si>
  <si>
    <t>525,20</t>
  </si>
  <si>
    <t>168,10</t>
  </si>
  <si>
    <t>85,02</t>
  </si>
  <si>
    <t>2.139,47</t>
  </si>
  <si>
    <t>3.589,32</t>
  </si>
  <si>
    <t>4.514,36</t>
  </si>
  <si>
    <t>87,76</t>
  </si>
  <si>
    <t>208,16</t>
  </si>
  <si>
    <t>390,28</t>
  </si>
  <si>
    <t>20,05</t>
  </si>
  <si>
    <t>46,70</t>
  </si>
  <si>
    <t>50,74</t>
  </si>
  <si>
    <t>63,13</t>
  </si>
  <si>
    <t>130,58</t>
  </si>
  <si>
    <t>16,21</t>
  </si>
  <si>
    <t>2.890,50</t>
  </si>
  <si>
    <t>35,16</t>
  </si>
  <si>
    <t>114,63</t>
  </si>
  <si>
    <t>44,98</t>
  </si>
  <si>
    <t>58,60</t>
  </si>
  <si>
    <t>19,81</t>
  </si>
  <si>
    <t>54,37</t>
  </si>
  <si>
    <t>101,62</t>
  </si>
  <si>
    <t>303.500,00</t>
  </si>
  <si>
    <t>316.946,20</t>
  </si>
  <si>
    <t>322.660,83</t>
  </si>
  <si>
    <t>267.003,15</t>
  </si>
  <si>
    <t>371.691,44</t>
  </si>
  <si>
    <t>373.132,12</t>
  </si>
  <si>
    <t>373.132,09</t>
  </si>
  <si>
    <t>338.364,07</t>
  </si>
  <si>
    <t>356.324,35</t>
  </si>
  <si>
    <t>248.754,76</t>
  </si>
  <si>
    <t>272.717,78</t>
  </si>
  <si>
    <t>271.757,35</t>
  </si>
  <si>
    <t>270.796,90</t>
  </si>
  <si>
    <t>388.018,98</t>
  </si>
  <si>
    <t>437.962,03</t>
  </si>
  <si>
    <t>394.069,77</t>
  </si>
  <si>
    <t>415.871,84</t>
  </si>
  <si>
    <t>411.069,62</t>
  </si>
  <si>
    <t>200.549,17</t>
  </si>
  <si>
    <t>118,41</t>
  </si>
  <si>
    <t>4,67</t>
  </si>
  <si>
    <t>2,63</t>
  </si>
  <si>
    <t>15,85</t>
  </si>
  <si>
    <t>41,68</t>
  </si>
  <si>
    <t>87,82</t>
  </si>
  <si>
    <t>32,29</t>
  </si>
  <si>
    <t>20,34</t>
  </si>
  <si>
    <t>54,39</t>
  </si>
  <si>
    <t>6,76</t>
  </si>
  <si>
    <t>47,36</t>
  </si>
  <si>
    <t>79,21</t>
  </si>
  <si>
    <t>13,15</t>
  </si>
  <si>
    <t>33,83</t>
  </si>
  <si>
    <t>8,94</t>
  </si>
  <si>
    <t>83,18</t>
  </si>
  <si>
    <t>55,34</t>
  </si>
  <si>
    <t>37,60</t>
  </si>
  <si>
    <t>99,57</t>
  </si>
  <si>
    <t>155,01</t>
  </si>
  <si>
    <t>145,89</t>
  </si>
  <si>
    <t>247,88</t>
  </si>
  <si>
    <t>35,48</t>
  </si>
  <si>
    <t>31,12</t>
  </si>
  <si>
    <t>113,80</t>
  </si>
  <si>
    <t>139,81</t>
  </si>
  <si>
    <t>44,05</t>
  </si>
  <si>
    <t>13,80</t>
  </si>
  <si>
    <t>2.459,68</t>
  </si>
  <si>
    <t>169,90</t>
  </si>
  <si>
    <t>15.662,50</t>
  </si>
  <si>
    <t>21.248,42</t>
  </si>
  <si>
    <t>23.000,87</t>
  </si>
  <si>
    <t>24.753,32</t>
  </si>
  <si>
    <t>26.505,76</t>
  </si>
  <si>
    <t>30.229,71</t>
  </si>
  <si>
    <t>547.220,17</t>
  </si>
  <si>
    <t>469.317,40</t>
  </si>
  <si>
    <t>475.017,53</t>
  </si>
  <si>
    <t>540.000,00</t>
  </si>
  <si>
    <t>662.174,46</t>
  </si>
  <si>
    <t>10,64</t>
  </si>
  <si>
    <t>1.898,13</t>
  </si>
  <si>
    <t>7.021,32</t>
  </si>
  <si>
    <t>9.361,76</t>
  </si>
  <si>
    <t>1.631,55</t>
  </si>
  <si>
    <t>3.600,67</t>
  </si>
  <si>
    <t>1.156,66</t>
  </si>
  <si>
    <t>771,09</t>
  </si>
  <si>
    <t>45,37</t>
  </si>
  <si>
    <t>13,44</t>
  </si>
  <si>
    <t>14,32</t>
  </si>
  <si>
    <t>13,77</t>
  </si>
  <si>
    <t>15,01</t>
  </si>
  <si>
    <t>40,07</t>
  </si>
  <si>
    <t>46,46</t>
  </si>
  <si>
    <t>56,63</t>
  </si>
  <si>
    <t>61,26</t>
  </si>
  <si>
    <t>77,99</t>
  </si>
  <si>
    <t>86,97</t>
  </si>
  <si>
    <t>99,11</t>
  </si>
  <si>
    <t>58,83</t>
  </si>
  <si>
    <t>43,39</t>
  </si>
  <si>
    <t>42,79</t>
  </si>
  <si>
    <t>42,74</t>
  </si>
  <si>
    <t>54,24</t>
  </si>
  <si>
    <t>77,90</t>
  </si>
  <si>
    <t>28,21</t>
  </si>
  <si>
    <t>36,86</t>
  </si>
  <si>
    <t>54,95</t>
  </si>
  <si>
    <t>37,22</t>
  </si>
  <si>
    <t>31,07</t>
  </si>
  <si>
    <t>39,98</t>
  </si>
  <si>
    <t>53,15</t>
  </si>
  <si>
    <t>130,33</t>
  </si>
  <si>
    <t>152,17</t>
  </si>
  <si>
    <t>197,35</t>
  </si>
  <si>
    <t>126,55</t>
  </si>
  <si>
    <t>576,63</t>
  </si>
  <si>
    <t>195,00</t>
  </si>
  <si>
    <t>306,47</t>
  </si>
  <si>
    <t>457,71</t>
  </si>
  <si>
    <t>255,55</t>
  </si>
  <si>
    <t>403,12</t>
  </si>
  <si>
    <t>274,65</t>
  </si>
  <si>
    <t>297,92</t>
  </si>
  <si>
    <t>412,99</t>
  </si>
  <si>
    <t>145,01</t>
  </si>
  <si>
    <t>205,53</t>
  </si>
  <si>
    <t>3.681,57</t>
  </si>
  <si>
    <t>CIMENTO PORTLAND DE ALTO FORNO (AF) CP III-40</t>
  </si>
  <si>
    <t>25,84</t>
  </si>
  <si>
    <t>115,38</t>
  </si>
  <si>
    <t>17,99</t>
  </si>
  <si>
    <t>17,18</t>
  </si>
  <si>
    <t>10.500,00</t>
  </si>
  <si>
    <t>8.814,67</t>
  </si>
  <si>
    <t>7.608,69</t>
  </si>
  <si>
    <t>5.881,81</t>
  </si>
  <si>
    <t>103.998,46</t>
  </si>
  <si>
    <t>13.692,08</t>
  </si>
  <si>
    <t>13.010,86</t>
  </si>
  <si>
    <t>118.484,54</t>
  </si>
  <si>
    <t>95.479,67</t>
  </si>
  <si>
    <t>204.409,09</t>
  </si>
  <si>
    <t>222.030,38</t>
  </si>
  <si>
    <t>80.284,25</t>
  </si>
  <si>
    <t>51.694,37</t>
  </si>
  <si>
    <t>60.119,93</t>
  </si>
  <si>
    <t>80.514,63</t>
  </si>
  <si>
    <t>335,88</t>
  </si>
  <si>
    <t>349,03</t>
  </si>
  <si>
    <t>352,95</t>
  </si>
  <si>
    <t>363,18</t>
  </si>
  <si>
    <t>377,64</t>
  </si>
  <si>
    <t>385,00</t>
  </si>
  <si>
    <t>372,99</t>
  </si>
  <si>
    <t>298,50</t>
  </si>
  <si>
    <t>322,26</t>
  </si>
  <si>
    <t>309,18</t>
  </si>
  <si>
    <t>354,33</t>
  </si>
  <si>
    <t>359,47</t>
  </si>
  <si>
    <t>306,91</t>
  </si>
  <si>
    <t>332,49</t>
  </si>
  <si>
    <t>318,72</t>
  </si>
  <si>
    <t>352,79</t>
  </si>
  <si>
    <t>317,14</t>
  </si>
  <si>
    <t>342,72</t>
  </si>
  <si>
    <t>336,55</t>
  </si>
  <si>
    <t>355,20</t>
  </si>
  <si>
    <t>370,37</t>
  </si>
  <si>
    <t>327,37</t>
  </si>
  <si>
    <t>341,50</t>
  </si>
  <si>
    <t>379,48</t>
  </si>
  <si>
    <t>405,44</t>
  </si>
  <si>
    <t>433,58</t>
  </si>
  <si>
    <t>281,84</t>
  </si>
  <si>
    <t>286,45</t>
  </si>
  <si>
    <t>8,76</t>
  </si>
  <si>
    <t>9,06</t>
  </si>
  <si>
    <t>120,19</t>
  </si>
  <si>
    <t>5,87</t>
  </si>
  <si>
    <t>65,48</t>
  </si>
  <si>
    <t>109,09</t>
  </si>
  <si>
    <t>14,76</t>
  </si>
  <si>
    <t>28,31</t>
  </si>
  <si>
    <t>83,74</t>
  </si>
  <si>
    <t>130,65</t>
  </si>
  <si>
    <t>22,27</t>
  </si>
  <si>
    <t>16,74</t>
  </si>
  <si>
    <t>6,95</t>
  </si>
  <si>
    <t>94,22</t>
  </si>
  <si>
    <t>129,29</t>
  </si>
  <si>
    <t>69,37</t>
  </si>
  <si>
    <t>20,66</t>
  </si>
  <si>
    <t>129,16</t>
  </si>
  <si>
    <t>8,82</t>
  </si>
  <si>
    <t>9,22</t>
  </si>
  <si>
    <t>9,71</t>
  </si>
  <si>
    <t>11,29</t>
  </si>
  <si>
    <t>159,31</t>
  </si>
  <si>
    <t>67,06</t>
  </si>
  <si>
    <t>22,03</t>
  </si>
  <si>
    <t>31,13</t>
  </si>
  <si>
    <t>23,92</t>
  </si>
  <si>
    <t>12,87</t>
  </si>
  <si>
    <t>26,07</t>
  </si>
  <si>
    <t>41,96</t>
  </si>
  <si>
    <t>63,36</t>
  </si>
  <si>
    <t>10,40</t>
  </si>
  <si>
    <t>5,60</t>
  </si>
  <si>
    <t>49,76</t>
  </si>
  <si>
    <t>21,08</t>
  </si>
  <si>
    <t>129,98</t>
  </si>
  <si>
    <t>158,85</t>
  </si>
  <si>
    <t>15,22</t>
  </si>
  <si>
    <t>19,73</t>
  </si>
  <si>
    <t>28,37</t>
  </si>
  <si>
    <t>12,53</t>
  </si>
  <si>
    <t>14,93</t>
  </si>
  <si>
    <t>29,07</t>
  </si>
  <si>
    <t>138,06</t>
  </si>
  <si>
    <t>70,54</t>
  </si>
  <si>
    <t>4.506,50</t>
  </si>
  <si>
    <t>2.735,84</t>
  </si>
  <si>
    <t>336,61</t>
  </si>
  <si>
    <t>13.865,00</t>
  </si>
  <si>
    <t>1.464,30</t>
  </si>
  <si>
    <t>2.190,04</t>
  </si>
  <si>
    <t>152,96</t>
  </si>
  <si>
    <t>4.942,02</t>
  </si>
  <si>
    <t>322,23</t>
  </si>
  <si>
    <t>12.027,71</t>
  </si>
  <si>
    <t>615,93</t>
  </si>
  <si>
    <t>124,75</t>
  </si>
  <si>
    <t>171,60</t>
  </si>
  <si>
    <t>3.778,28</t>
  </si>
  <si>
    <t>5.811,06</t>
  </si>
  <si>
    <t>265,58</t>
  </si>
  <si>
    <t>6.937,15</t>
  </si>
  <si>
    <t>474,99</t>
  </si>
  <si>
    <t>17.051,85</t>
  </si>
  <si>
    <t>891,96</t>
  </si>
  <si>
    <t>117,48</t>
  </si>
  <si>
    <t>1.225,69</t>
  </si>
  <si>
    <t>24,83</t>
  </si>
  <si>
    <t>554,87</t>
  </si>
  <si>
    <t>5,50</t>
  </si>
  <si>
    <t>29,20</t>
  </si>
  <si>
    <t>10.900,47</t>
  </si>
  <si>
    <t>89.859,80</t>
  </si>
  <si>
    <t>768,51</t>
  </si>
  <si>
    <t>38,23</t>
  </si>
  <si>
    <t>58,67</t>
  </si>
  <si>
    <t>93,14</t>
  </si>
  <si>
    <t>324,33</t>
  </si>
  <si>
    <t>311,01</t>
  </si>
  <si>
    <t>23,85</t>
  </si>
  <si>
    <t>67,03</t>
  </si>
  <si>
    <t>34,68</t>
  </si>
  <si>
    <t>98,00</t>
  </si>
  <si>
    <t>171,73</t>
  </si>
  <si>
    <t>181,32</t>
  </si>
  <si>
    <t>1.185,46</t>
  </si>
  <si>
    <t>25,14</t>
  </si>
  <si>
    <t>22,22</t>
  </si>
  <si>
    <t>78,70</t>
  </si>
  <si>
    <t>38,85</t>
  </si>
  <si>
    <t>119,70</t>
  </si>
  <si>
    <t>21,61</t>
  </si>
  <si>
    <t>60,35</t>
  </si>
  <si>
    <t>85,12</t>
  </si>
  <si>
    <t>161,88</t>
  </si>
  <si>
    <t>236,21</t>
  </si>
  <si>
    <t>603,75</t>
  </si>
  <si>
    <t>1.690,63</t>
  </si>
  <si>
    <t>135,77</t>
  </si>
  <si>
    <t>104,92</t>
  </si>
  <si>
    <t>50,97</t>
  </si>
  <si>
    <t>39,92</t>
  </si>
  <si>
    <t>27,45</t>
  </si>
  <si>
    <t>127,34</t>
  </si>
  <si>
    <t>70,39</t>
  </si>
  <si>
    <t>182,77</t>
  </si>
  <si>
    <t>158,66</t>
  </si>
  <si>
    <t>109,90</t>
  </si>
  <si>
    <t>144,32</t>
  </si>
  <si>
    <t>24,41</t>
  </si>
  <si>
    <t>102,03</t>
  </si>
  <si>
    <t>51,58</t>
  </si>
  <si>
    <t>6,15</t>
  </si>
  <si>
    <t>32,18</t>
  </si>
  <si>
    <t>40,98</t>
  </si>
  <si>
    <t>148,36</t>
  </si>
  <si>
    <t>1,96</t>
  </si>
  <si>
    <t>34,40</t>
  </si>
  <si>
    <t>196,65</t>
  </si>
  <si>
    <t>40,77</t>
  </si>
  <si>
    <t>57,97</t>
  </si>
  <si>
    <t>83,30</t>
  </si>
  <si>
    <t>56,80</t>
  </si>
  <si>
    <t>71,05</t>
  </si>
  <si>
    <t>166,12</t>
  </si>
  <si>
    <t>65,38</t>
  </si>
  <si>
    <t>238,54</t>
  </si>
  <si>
    <t>21,78</t>
  </si>
  <si>
    <t>604,33</t>
  </si>
  <si>
    <t>941,30</t>
  </si>
  <si>
    <t>36,56</t>
  </si>
  <si>
    <t>45,83</t>
  </si>
  <si>
    <t>31,43</t>
  </si>
  <si>
    <t>158,47</t>
  </si>
  <si>
    <t>65,14</t>
  </si>
  <si>
    <t>156,93</t>
  </si>
  <si>
    <t>84,54</t>
  </si>
  <si>
    <t>42,93</t>
  </si>
  <si>
    <t>29,06</t>
  </si>
  <si>
    <t>5,78</t>
  </si>
  <si>
    <t>529,24</t>
  </si>
  <si>
    <t>870,57</t>
  </si>
  <si>
    <t>661,94</t>
  </si>
  <si>
    <t>978,59</t>
  </si>
  <si>
    <t>145,98</t>
  </si>
  <si>
    <t>212,37</t>
  </si>
  <si>
    <t>29,86</t>
  </si>
  <si>
    <t>79,99</t>
  </si>
  <si>
    <t>108,19</t>
  </si>
  <si>
    <t>9,21</t>
  </si>
  <si>
    <t>46,69</t>
  </si>
  <si>
    <t>74,55</t>
  </si>
  <si>
    <t>110,73</t>
  </si>
  <si>
    <t>263,17</t>
  </si>
  <si>
    <t>133,02</t>
  </si>
  <si>
    <t>193,46</t>
  </si>
  <si>
    <t>398,82</t>
  </si>
  <si>
    <t>33,34</t>
  </si>
  <si>
    <t>21,72</t>
  </si>
  <si>
    <t>119,07</t>
  </si>
  <si>
    <t>66,04</t>
  </si>
  <si>
    <t>166,72</t>
  </si>
  <si>
    <t>63,77</t>
  </si>
  <si>
    <t>43,66</t>
  </si>
  <si>
    <t>181,13</t>
  </si>
  <si>
    <t>90,66</t>
  </si>
  <si>
    <t>470,14</t>
  </si>
  <si>
    <t>34,18</t>
  </si>
  <si>
    <t>42,28</t>
  </si>
  <si>
    <t>152,43</t>
  </si>
  <si>
    <t>87,84</t>
  </si>
  <si>
    <t>205,76</t>
  </si>
  <si>
    <t>49,45</t>
  </si>
  <si>
    <t>40,62</t>
  </si>
  <si>
    <t>139,27</t>
  </si>
  <si>
    <t>82,89</t>
  </si>
  <si>
    <t>199,18</t>
  </si>
  <si>
    <t>399,32</t>
  </si>
  <si>
    <t>59,89</t>
  </si>
  <si>
    <t>45,94</t>
  </si>
  <si>
    <t>189,89</t>
  </si>
  <si>
    <t>84,97</t>
  </si>
  <si>
    <t>247,32</t>
  </si>
  <si>
    <t>472,17</t>
  </si>
  <si>
    <t>1.181,09</t>
  </si>
  <si>
    <t>194,58</t>
  </si>
  <si>
    <t>99,07</t>
  </si>
  <si>
    <t>409,81</t>
  </si>
  <si>
    <t>22,52</t>
  </si>
  <si>
    <t>37,86</t>
  </si>
  <si>
    <t>2,43</t>
  </si>
  <si>
    <t>41,98</t>
  </si>
  <si>
    <t>150,05</t>
  </si>
  <si>
    <t>26,61</t>
  </si>
  <si>
    <t>67,39</t>
  </si>
  <si>
    <t>88,47</t>
  </si>
  <si>
    <t>2.325,28</t>
  </si>
  <si>
    <t>27,86</t>
  </si>
  <si>
    <t>4.967,11</t>
  </si>
  <si>
    <t>4.439,68</t>
  </si>
  <si>
    <t>5.305,08</t>
  </si>
  <si>
    <t>35,03</t>
  </si>
  <si>
    <t>111,34</t>
  </si>
  <si>
    <t>27,00</t>
  </si>
  <si>
    <t>639,24</t>
  </si>
  <si>
    <t>1.562,96</t>
  </si>
  <si>
    <t>1.229,51</t>
  </si>
  <si>
    <t>1.903,67</t>
  </si>
  <si>
    <t>4.447,58</t>
  </si>
  <si>
    <t>361,73</t>
  </si>
  <si>
    <t>410,38</t>
  </si>
  <si>
    <t>575,92</t>
  </si>
  <si>
    <t>964,46</t>
  </si>
  <si>
    <t>843,56</t>
  </si>
  <si>
    <t>1.563,12</t>
  </si>
  <si>
    <t>1.324,81</t>
  </si>
  <si>
    <t>2.181,95</t>
  </si>
  <si>
    <t>4.664,62</t>
  </si>
  <si>
    <t>53,30</t>
  </si>
  <si>
    <t>66,32</t>
  </si>
  <si>
    <t>100,96</t>
  </si>
  <si>
    <t>32,14</t>
  </si>
  <si>
    <t>12,23</t>
  </si>
  <si>
    <t>82,10</t>
  </si>
  <si>
    <t>115,67</t>
  </si>
  <si>
    <t>70,66</t>
  </si>
  <si>
    <t>79,49</t>
  </si>
  <si>
    <t>101,68</t>
  </si>
  <si>
    <t>180,73</t>
  </si>
  <si>
    <t>73,62</t>
  </si>
  <si>
    <t>108,71</t>
  </si>
  <si>
    <t>188,88</t>
  </si>
  <si>
    <t>122,02</t>
  </si>
  <si>
    <t>130,07</t>
  </si>
  <si>
    <t>147,58</t>
  </si>
  <si>
    <t>277,82</t>
  </si>
  <si>
    <t>136,12</t>
  </si>
  <si>
    <t>140,33</t>
  </si>
  <si>
    <t>165,34</t>
  </si>
  <si>
    <t>341,18</t>
  </si>
  <si>
    <t>289,58</t>
  </si>
  <si>
    <t>145,40</t>
  </si>
  <si>
    <t>147,98</t>
  </si>
  <si>
    <t>158,25</t>
  </si>
  <si>
    <t>269,85</t>
  </si>
  <si>
    <t>179,57</t>
  </si>
  <si>
    <t>180,65</t>
  </si>
  <si>
    <t>302,31</t>
  </si>
  <si>
    <t>334,78</t>
  </si>
  <si>
    <t>165,66</t>
  </si>
  <si>
    <t>165,78</t>
  </si>
  <si>
    <t>337,25</t>
  </si>
  <si>
    <t>542,33</t>
  </si>
  <si>
    <t>205,69</t>
  </si>
  <si>
    <t>241,02</t>
  </si>
  <si>
    <t>232,28</t>
  </si>
  <si>
    <t>538,12</t>
  </si>
  <si>
    <t>284.665,83</t>
  </si>
  <si>
    <t>65.476,29</t>
  </si>
  <si>
    <t>52,04</t>
  </si>
  <si>
    <t>45,90</t>
  </si>
  <si>
    <t>57,18</t>
  </si>
  <si>
    <t>178,09</t>
  </si>
  <si>
    <t>192,99</t>
  </si>
  <si>
    <t>195,77</t>
  </si>
  <si>
    <t>191,51</t>
  </si>
  <si>
    <t>224,87</t>
  </si>
  <si>
    <t>239,98</t>
  </si>
  <si>
    <t>635,72</t>
  </si>
  <si>
    <t>396,31</t>
  </si>
  <si>
    <t>166,43</t>
  </si>
  <si>
    <t>95.236,94</t>
  </si>
  <si>
    <t>16,43</t>
  </si>
  <si>
    <t>1.391,50</t>
  </si>
  <si>
    <t>194,05</t>
  </si>
  <si>
    <t>436,36</t>
  </si>
  <si>
    <t>99.268,37</t>
  </si>
  <si>
    <t>23,83</t>
  </si>
  <si>
    <t>21,58</t>
  </si>
  <si>
    <t>3.125,61</t>
  </si>
  <si>
    <t>20,84</t>
  </si>
  <si>
    <t>19,09</t>
  </si>
  <si>
    <t>15,45</t>
  </si>
  <si>
    <t>22,54</t>
  </si>
  <si>
    <t>28,26</t>
  </si>
  <si>
    <t>37,00</t>
  </si>
  <si>
    <t>23,30</t>
  </si>
  <si>
    <t>51,41</t>
  </si>
  <si>
    <t>31,39</t>
  </si>
  <si>
    <t>9,53</t>
  </si>
  <si>
    <t>17,64</t>
  </si>
  <si>
    <t>4.605,14</t>
  </si>
  <si>
    <t>45.679,99</t>
  </si>
  <si>
    <t>215.060,51</t>
  </si>
  <si>
    <t>7,49</t>
  </si>
  <si>
    <t>2.572,56</t>
  </si>
  <si>
    <t>15,26</t>
  </si>
  <si>
    <t>37,08</t>
  </si>
  <si>
    <t>42,09</t>
  </si>
  <si>
    <t>229.881,24</t>
  </si>
  <si>
    <t>1.602.958,98</t>
  </si>
  <si>
    <t>2.386.083,98</t>
  </si>
  <si>
    <t>316,33</t>
  </si>
  <si>
    <t>895,84</t>
  </si>
  <si>
    <t>645.234,25</t>
  </si>
  <si>
    <t>584.685,59</t>
  </si>
  <si>
    <t>612.200,20</t>
  </si>
  <si>
    <t>525.046,94</t>
  </si>
  <si>
    <t>627.333,24</t>
  </si>
  <si>
    <t>481.505,78</t>
  </si>
  <si>
    <t>574.367,60</t>
  </si>
  <si>
    <t>550.292,32</t>
  </si>
  <si>
    <t>621.158,96</t>
  </si>
  <si>
    <t>43,86</t>
  </si>
  <si>
    <t>64,69</t>
  </si>
  <si>
    <t>153,78</t>
  </si>
  <si>
    <t>187,07</t>
  </si>
  <si>
    <t>46,94</t>
  </si>
  <si>
    <t>47,37</t>
  </si>
  <si>
    <t>51,01</t>
  </si>
  <si>
    <t>77,32</t>
  </si>
  <si>
    <t>84,80</t>
  </si>
  <si>
    <t>789,00</t>
  </si>
  <si>
    <t>84.400,00</t>
  </si>
  <si>
    <t>179.165,83</t>
  </si>
  <si>
    <t>16,99</t>
  </si>
  <si>
    <t>284,83</t>
  </si>
  <si>
    <t>12,79</t>
  </si>
  <si>
    <t>32,39</t>
  </si>
  <si>
    <t>5.157,55</t>
  </si>
  <si>
    <t>505,40</t>
  </si>
  <si>
    <t>916,71</t>
  </si>
  <si>
    <t>1.255,52</t>
  </si>
  <si>
    <t>200,76</t>
  </si>
  <si>
    <t>56,50</t>
  </si>
  <si>
    <t>76,83</t>
  </si>
  <si>
    <t>196,90</t>
  </si>
  <si>
    <t>41,94</t>
  </si>
  <si>
    <t>148,75</t>
  </si>
  <si>
    <t>470,76</t>
  </si>
  <si>
    <t>510,00</t>
  </si>
  <si>
    <t>235,38</t>
  </si>
  <si>
    <t>143,84</t>
  </si>
  <si>
    <t>170,00</t>
  </si>
  <si>
    <t>202,69</t>
  </si>
  <si>
    <t>230,81</t>
  </si>
  <si>
    <t>46,14</t>
  </si>
  <si>
    <t>189,75</t>
  </si>
  <si>
    <t>6,14</t>
  </si>
  <si>
    <t>8,10</t>
  </si>
  <si>
    <t>87,20</t>
  </si>
  <si>
    <t>110,79</t>
  </si>
  <si>
    <t>80,70</t>
  </si>
  <si>
    <t>47,10</t>
  </si>
  <si>
    <t>89,09</t>
  </si>
  <si>
    <t>59,90</t>
  </si>
  <si>
    <t>118,51</t>
  </si>
  <si>
    <t>53,46</t>
  </si>
  <si>
    <t>88,72</t>
  </si>
  <si>
    <t>44,33</t>
  </si>
  <si>
    <t>107,39</t>
  </si>
  <si>
    <t>125,58</t>
  </si>
  <si>
    <t>66,54</t>
  </si>
  <si>
    <t>61,55</t>
  </si>
  <si>
    <t>92,83</t>
  </si>
  <si>
    <t>121,42</t>
  </si>
  <si>
    <t>75,81</t>
  </si>
  <si>
    <t>FERR.</t>
  </si>
  <si>
    <t>10,33</t>
  </si>
  <si>
    <t>8,71</t>
  </si>
  <si>
    <t>1.128,85</t>
  </si>
  <si>
    <t>2.890,33</t>
  </si>
  <si>
    <t>3.950,56</t>
  </si>
  <si>
    <t>83,38</t>
  </si>
  <si>
    <t>80,65</t>
  </si>
  <si>
    <t>68,56</t>
  </si>
  <si>
    <t>7,60</t>
  </si>
  <si>
    <t>63,48</t>
  </si>
  <si>
    <t>8,87</t>
  </si>
  <si>
    <t>134,67</t>
  </si>
  <si>
    <t>119,10</t>
  </si>
  <si>
    <t>35,14</t>
  </si>
  <si>
    <t>27,92</t>
  </si>
  <si>
    <t>65,56</t>
  </si>
  <si>
    <t>41,71</t>
  </si>
  <si>
    <t>88,65</t>
  </si>
  <si>
    <t>220,19</t>
  </si>
  <si>
    <t>112,39</t>
  </si>
  <si>
    <t>120,22</t>
  </si>
  <si>
    <t>128,95</t>
  </si>
  <si>
    <t>77,06</t>
  </si>
  <si>
    <t>31,30</t>
  </si>
  <si>
    <t>23,00</t>
  </si>
  <si>
    <t>22,47</t>
  </si>
  <si>
    <t>4.598,26</t>
  </si>
  <si>
    <t>1.182,40</t>
  </si>
  <si>
    <t>3.638,57</t>
  </si>
  <si>
    <t>10.510,30</t>
  </si>
  <si>
    <t>6.218.708,49</t>
  </si>
  <si>
    <t>2.662.136,35</t>
  </si>
  <si>
    <t>15,08</t>
  </si>
  <si>
    <t>37,64</t>
  </si>
  <si>
    <t>427,42</t>
  </si>
  <si>
    <t>1.173,83</t>
  </si>
  <si>
    <t>1.266,37</t>
  </si>
  <si>
    <t>1.393,10</t>
  </si>
  <si>
    <t>112,61</t>
  </si>
  <si>
    <t>121,84</t>
  </si>
  <si>
    <t>133,64</t>
  </si>
  <si>
    <t>403,63</t>
  </si>
  <si>
    <t>536,78</t>
  </si>
  <si>
    <t>752,53</t>
  </si>
  <si>
    <t>538,21</t>
  </si>
  <si>
    <t>625,88</t>
  </si>
  <si>
    <t>774,10</t>
  </si>
  <si>
    <t>995,46</t>
  </si>
  <si>
    <t>1.097,25</t>
  </si>
  <si>
    <t>560,60</t>
  </si>
  <si>
    <t>357,91</t>
  </si>
  <si>
    <t>300,89</t>
  </si>
  <si>
    <t>376,26</t>
  </si>
  <si>
    <t>250,67</t>
  </si>
  <si>
    <t>312,57</t>
  </si>
  <si>
    <t>6,23</t>
  </si>
  <si>
    <t>4.930,84</t>
  </si>
  <si>
    <t>16,01</t>
  </si>
  <si>
    <t>55.727,04</t>
  </si>
  <si>
    <t>43.690,00</t>
  </si>
  <si>
    <t>7,71</t>
  </si>
  <si>
    <t>28,36</t>
  </si>
  <si>
    <t>145,48</t>
  </si>
  <si>
    <t>126,42</t>
  </si>
  <si>
    <t>150,90</t>
  </si>
  <si>
    <t>169,97</t>
  </si>
  <si>
    <t>573,58</t>
  </si>
  <si>
    <t>292,55</t>
  </si>
  <si>
    <t>404,65</t>
  </si>
  <si>
    <t>223,25</t>
  </si>
  <si>
    <t>283,72</t>
  </si>
  <si>
    <t>468.676,71</t>
  </si>
  <si>
    <t>530.991,68</t>
  </si>
  <si>
    <t>986.381,17</t>
  </si>
  <si>
    <t>136.546,26</t>
  </si>
  <si>
    <t>122.057,18</t>
  </si>
  <si>
    <t>2.662,65</t>
  </si>
  <si>
    <t>88.167,91</t>
  </si>
  <si>
    <t>GRUPO GERADOR DIESEL, COM CARENAGEM, POTENCIA STANDART ENTRE 140 E 150 KVA, VELOCIDADE DE 1800 RPM, FREQUENCIA DE 60 HZ</t>
  </si>
  <si>
    <t>103.414,99</t>
  </si>
  <si>
    <t>GRUPO GERADOR DIESEL, COM CARENAGEM, POTENCIA STANDART ENTRE 210 E 220 KVA, VELOCIDADE DE 1800 RPM, FREQUENCIA DE 60 HZ</t>
  </si>
  <si>
    <t>125.954,16</t>
  </si>
  <si>
    <t>GRUPO GERADOR DIESEL, COM CARENAGEM, POTENCIA STANDART ENTRE 250 E 260 KVA, VELOCIDADE DE 1800 RPM, FREQUENCIA DE 60 HZ</t>
  </si>
  <si>
    <t>145.841,66</t>
  </si>
  <si>
    <t>78.515,85</t>
  </si>
  <si>
    <t>76.633,16</t>
  </si>
  <si>
    <t>110.123,71</t>
  </si>
  <si>
    <t>71.595,00</t>
  </si>
  <si>
    <t>59.787,53</t>
  </si>
  <si>
    <t>102.482,52</t>
  </si>
  <si>
    <t>91.244,76</t>
  </si>
  <si>
    <t>109.693,68</t>
  </si>
  <si>
    <t>64.480,18</t>
  </si>
  <si>
    <t>126,01</t>
  </si>
  <si>
    <t>143,71</t>
  </si>
  <si>
    <t>9,12</t>
  </si>
  <si>
    <t>819.553,29</t>
  </si>
  <si>
    <t>1.576.064,02</t>
  </si>
  <si>
    <t>2.679.308,83</t>
  </si>
  <si>
    <t>164.207,38</t>
  </si>
  <si>
    <t>258.639,06</t>
  </si>
  <si>
    <t>957.817,18</t>
  </si>
  <si>
    <t>64.659,76</t>
  </si>
  <si>
    <t>90.950,00</t>
  </si>
  <si>
    <t>212.595,62</t>
  </si>
  <si>
    <t>25,54</t>
  </si>
  <si>
    <t>1,41</t>
  </si>
  <si>
    <t>4.065,00</t>
  </si>
  <si>
    <t>3.681,97</t>
  </si>
  <si>
    <t>2.176,20</t>
  </si>
  <si>
    <t>2.291,96</t>
  </si>
  <si>
    <t>139.524,93</t>
  </si>
  <si>
    <t>148.432,30</t>
  </si>
  <si>
    <t>HIDROMETRO MULTIJATO / MEDIDOR DE AGUA, DN 1 1/2", VAZAO MAXIMA DE 20 M3/H, PARA AGUA POTAVEL FRIA, RELOJOARIA PLANA, CLASSE B, HORIZONTAL (SEM CONEXOES)</t>
  </si>
  <si>
    <t>744,52</t>
  </si>
  <si>
    <t>HIDROMETRO MULTIJATO / MEDIDOR DE AGUA, DN 1", VAZAO MAXIMA DE 10 M3/H, PARA AGUA POTAVEL FRIA, RELOJOARIA PLANA, CLASSE B, HORIZONTAL (SEM CONEXOES)</t>
  </si>
  <si>
    <t>447,97</t>
  </si>
  <si>
    <t>HIDROMETRO MULTIJATO / MEDIDOR DE AGUA, DN 1", VAZAO MAXIMA DE 7 M3/H, PARA AGUA POTAVEL FRIA, RELOJOARIA PLANA, CLASSE B, HORIZONTAL (SEM CONEXOES)</t>
  </si>
  <si>
    <t>328,09</t>
  </si>
  <si>
    <t>HIDROMETRO MULTIJATO / MEDIDOR DE AGUA, DN 2", VAZAO MAXIMA DE 30 M3/H, PARA AGUA POTAVEL FRIA, RELOJOARIA PLANA, CLASSE B, HORIZONTAL (SEM CONEXOES)</t>
  </si>
  <si>
    <t>1.047,38</t>
  </si>
  <si>
    <t>HIDROMETRO UNIJATO / MEDIDOR DE AGUA, DN 1/2", VAZAO MAXIMA DE 1,5 M3/H, PARA AGUA POTAVEL FRIA, RELOJOARIA PLANA, CLASSE B, HORIZONTAL (SEM CONEXOES)</t>
  </si>
  <si>
    <t>85,81</t>
  </si>
  <si>
    <t>HIDROMETRO UNIJATO / MEDIDOR DE AGUA, DN 1/2", VAZAO MAXIMA DE 3 M3/H, PARA AGUA POTAVEL FRIA, RELOJOARIA PLANA, CLASSE B, HORIZONTAL (SEM CONEXOES)</t>
  </si>
  <si>
    <t>92,11</t>
  </si>
  <si>
    <t>HIDROMETRO UNIJATO / MEDIDOR DE AGUA, DN 3/4", VAZAO MAXIMA DE 5 M3/H, PARA AGUA POTAVEL FRIA, RELOJOARIA PLANA, CLASSE B, HORIZONTAL (SEM CONEXOES)0,</t>
  </si>
  <si>
    <t>113,57</t>
  </si>
  <si>
    <t>HIDROMETRO WOLTMANN, DN 2", VAZAO MAXIMA DE 50 M3/H, PARA AGUA POTAVEL FRIA, RELOJOARIA PLANA, TURBINA HORIZONTAL, EQUIPADO COM TELIMETRIA (SEM CONEXOES)</t>
  </si>
  <si>
    <t>1.690,96</t>
  </si>
  <si>
    <t>HIDROMETRO WOLTMANN, DN 3", VAZAO MAXIMA DE 80 M3/H, PARA AGUA POTAVEL FRIA, RELOJOARIA PLANA, TURBINA HORIZONTAL, EQUIPADO COM TELIMETRIA (SEM CONEXOES)</t>
  </si>
  <si>
    <t>2.208,34</t>
  </si>
  <si>
    <t>24,96</t>
  </si>
  <si>
    <t>2.405,93</t>
  </si>
  <si>
    <t>21,21</t>
  </si>
  <si>
    <t>19,07</t>
  </si>
  <si>
    <t>12,65</t>
  </si>
  <si>
    <t>15,13</t>
  </si>
  <si>
    <t>206,64</t>
  </si>
  <si>
    <t>214,54</t>
  </si>
  <si>
    <t>595,95</t>
  </si>
  <si>
    <t>179,95</t>
  </si>
  <si>
    <t>884,00</t>
  </si>
  <si>
    <t>505,07</t>
  </si>
  <si>
    <t>627,24</t>
  </si>
  <si>
    <t>872,58</t>
  </si>
  <si>
    <t>359,90</t>
  </si>
  <si>
    <t>422,75</t>
  </si>
  <si>
    <t>498,52</t>
  </si>
  <si>
    <t>590,64</t>
  </si>
  <si>
    <t>577,73</t>
  </si>
  <si>
    <t>843,19</t>
  </si>
  <si>
    <t>1.068,64</t>
  </si>
  <si>
    <t>657,03</t>
  </si>
  <si>
    <t>662,06</t>
  </si>
  <si>
    <t>312,11</t>
  </si>
  <si>
    <t>210,94</t>
  </si>
  <si>
    <t>933,66</t>
  </si>
  <si>
    <t>391,96</t>
  </si>
  <si>
    <t>3.021,78</t>
  </si>
  <si>
    <t>14,77</t>
  </si>
  <si>
    <t>51,94</t>
  </si>
  <si>
    <t>138,75</t>
  </si>
  <si>
    <t>161,86</t>
  </si>
  <si>
    <t>51,00</t>
  </si>
  <si>
    <t>157,22</t>
  </si>
  <si>
    <t>5,08</t>
  </si>
  <si>
    <t>168,33</t>
  </si>
  <si>
    <t>29,14</t>
  </si>
  <si>
    <t>73,64</t>
  </si>
  <si>
    <t>112,24</t>
  </si>
  <si>
    <t>55,53</t>
  </si>
  <si>
    <t>50,68</t>
  </si>
  <si>
    <t>58,22</t>
  </si>
  <si>
    <t>249,03</t>
  </si>
  <si>
    <t>26,56</t>
  </si>
  <si>
    <t>118,05</t>
  </si>
  <si>
    <t>7,40</t>
  </si>
  <si>
    <t>38,45</t>
  </si>
  <si>
    <t>20,29</t>
  </si>
  <si>
    <t>143,62</t>
  </si>
  <si>
    <t>19,83</t>
  </si>
  <si>
    <t>34,43</t>
  </si>
  <si>
    <t>47,34</t>
  </si>
  <si>
    <t>23,15</t>
  </si>
  <si>
    <t>31,24</t>
  </si>
  <si>
    <t>48,65</t>
  </si>
  <si>
    <t>35,95</t>
  </si>
  <si>
    <t>61,12</t>
  </si>
  <si>
    <t>15,55</t>
  </si>
  <si>
    <t>22,97</t>
  </si>
  <si>
    <t>32,08</t>
  </si>
  <si>
    <t>47,70</t>
  </si>
  <si>
    <t>79,42</t>
  </si>
  <si>
    <t>4,54</t>
  </si>
  <si>
    <t>102,31</t>
  </si>
  <si>
    <t>227,74</t>
  </si>
  <si>
    <t>31,17</t>
  </si>
  <si>
    <t>84,98</t>
  </si>
  <si>
    <t>99,71</t>
  </si>
  <si>
    <t>21,91</t>
  </si>
  <si>
    <t>28,30</t>
  </si>
  <si>
    <t>33,26</t>
  </si>
  <si>
    <t>48,74</t>
  </si>
  <si>
    <t>98,34</t>
  </si>
  <si>
    <t>21,45</t>
  </si>
  <si>
    <t>132,10</t>
  </si>
  <si>
    <t>58,03</t>
  </si>
  <si>
    <t>153,79</t>
  </si>
  <si>
    <t>173,42</t>
  </si>
  <si>
    <t>6,90</t>
  </si>
  <si>
    <t>23,18</t>
  </si>
  <si>
    <t>133,26</t>
  </si>
  <si>
    <t>276,02</t>
  </si>
  <si>
    <t>772,28</t>
  </si>
  <si>
    <t>1.163,07</t>
  </si>
  <si>
    <t>1.620,12</t>
  </si>
  <si>
    <t>630,83</t>
  </si>
  <si>
    <t>789,80</t>
  </si>
  <si>
    <t>1.095,42</t>
  </si>
  <si>
    <t>1.446,87</t>
  </si>
  <si>
    <t>432,61</t>
  </si>
  <si>
    <t>501,80</t>
  </si>
  <si>
    <t>551,16</t>
  </si>
  <si>
    <t>77,16</t>
  </si>
  <si>
    <t>114,81</t>
  </si>
  <si>
    <t>432,07</t>
  </si>
  <si>
    <t>357,46</t>
  </si>
  <si>
    <t>1,80</t>
  </si>
  <si>
    <t>301,35</t>
  </si>
  <si>
    <t>133,76</t>
  </si>
  <si>
    <t>146,68</t>
  </si>
  <si>
    <t>250,24</t>
  </si>
  <si>
    <t>215,34</t>
  </si>
  <si>
    <t>295,30</t>
  </si>
  <si>
    <t>294,31</t>
  </si>
  <si>
    <t>474,10</t>
  </si>
  <si>
    <t>386,93</t>
  </si>
  <si>
    <t>393,26</t>
  </si>
  <si>
    <t>399,93</t>
  </si>
  <si>
    <t>427,94</t>
  </si>
  <si>
    <t>482,23</t>
  </si>
  <si>
    <t>530,46</t>
  </si>
  <si>
    <t>614,12</t>
  </si>
  <si>
    <t>554,72</t>
  </si>
  <si>
    <t>658,71</t>
  </si>
  <si>
    <t>718,70</t>
  </si>
  <si>
    <t>886,40</t>
  </si>
  <si>
    <t>698,67</t>
  </si>
  <si>
    <t>738,17</t>
  </si>
  <si>
    <t>898,99</t>
  </si>
  <si>
    <t>742,34</t>
  </si>
  <si>
    <t>54,62</t>
  </si>
  <si>
    <t>64,65</t>
  </si>
  <si>
    <t>50,08</t>
  </si>
  <si>
    <t>46,90</t>
  </si>
  <si>
    <t>50,58</t>
  </si>
  <si>
    <t>54,06</t>
  </si>
  <si>
    <t>65,40</t>
  </si>
  <si>
    <t>373,25</t>
  </si>
  <si>
    <t>636,19</t>
  </si>
  <si>
    <t>79,22</t>
  </si>
  <si>
    <t>26,36</t>
  </si>
  <si>
    <t>66,25</t>
  </si>
  <si>
    <t>13,63</t>
  </si>
  <si>
    <t>16,67</t>
  </si>
  <si>
    <t>101,85</t>
  </si>
  <si>
    <t>9,50</t>
  </si>
  <si>
    <t>58,89</t>
  </si>
  <si>
    <t>68,67</t>
  </si>
  <si>
    <t>23,51</t>
  </si>
  <si>
    <t>57,19</t>
  </si>
  <si>
    <t>48,22</t>
  </si>
  <si>
    <t>94,35</t>
  </si>
  <si>
    <t>LAVADORA DE ALTA PRESSAO (LAVA - JATO) PARA AGUA FRIA, PRESSAO DE OPERACAO ENTRE 1400 E 1900 LIB/POL2, VAZAO MAXIMA ENTRE  400 E 700 L/H, POTENCIA DE OPERACAO ENTRE 2,50 E 3,00 CV</t>
  </si>
  <si>
    <t>2.149,00</t>
  </si>
  <si>
    <t>144,04</t>
  </si>
  <si>
    <t>211,47</t>
  </si>
  <si>
    <t>231,99</t>
  </si>
  <si>
    <t>111,22</t>
  </si>
  <si>
    <t>91,66</t>
  </si>
  <si>
    <t>99,82</t>
  </si>
  <si>
    <t>145,83</t>
  </si>
  <si>
    <t>261,47</t>
  </si>
  <si>
    <t>265,37</t>
  </si>
  <si>
    <t>81,02</t>
  </si>
  <si>
    <t>15,49</t>
  </si>
  <si>
    <t>120.000,00</t>
  </si>
  <si>
    <t>101.900,23</t>
  </si>
  <si>
    <t>170.593,82</t>
  </si>
  <si>
    <t>289.524,93</t>
  </si>
  <si>
    <t>4.918,52</t>
  </si>
  <si>
    <t>813,45</t>
  </si>
  <si>
    <t>1.057,95</t>
  </si>
  <si>
    <t>600,00</t>
  </si>
  <si>
    <t>585,00</t>
  </si>
  <si>
    <t>457,03</t>
  </si>
  <si>
    <t>731,25</t>
  </si>
  <si>
    <t>664,21</t>
  </si>
  <si>
    <t>6,18</t>
  </si>
  <si>
    <t>22,84</t>
  </si>
  <si>
    <t>470,94</t>
  </si>
  <si>
    <t>53,41</t>
  </si>
  <si>
    <t>216,17</t>
  </si>
  <si>
    <t>229,41</t>
  </si>
  <si>
    <t>814,61</t>
  </si>
  <si>
    <t>946,23</t>
  </si>
  <si>
    <t>1.567,58</t>
  </si>
  <si>
    <t>244,81</t>
  </si>
  <si>
    <t>451,75</t>
  </si>
  <si>
    <t>500,06</t>
  </si>
  <si>
    <t>602,98</t>
  </si>
  <si>
    <t>111,86</t>
  </si>
  <si>
    <t>299,52</t>
  </si>
  <si>
    <t>141,80</t>
  </si>
  <si>
    <t>174,67</t>
  </si>
  <si>
    <t>21,83</t>
  </si>
  <si>
    <t>49,64</t>
  </si>
  <si>
    <t>55,73</t>
  </si>
  <si>
    <t>171,85</t>
  </si>
  <si>
    <t>68,26</t>
  </si>
  <si>
    <t>87,96</t>
  </si>
  <si>
    <t>66,11</t>
  </si>
  <si>
    <t>112,20</t>
  </si>
  <si>
    <t>336,39</t>
  </si>
  <si>
    <t>360,01</t>
  </si>
  <si>
    <t>23,75</t>
  </si>
  <si>
    <t>30,12</t>
  </si>
  <si>
    <t>49,20</t>
  </si>
  <si>
    <t>161,25</t>
  </si>
  <si>
    <t>246,89</t>
  </si>
  <si>
    <t>133,91</t>
  </si>
  <si>
    <t>238,86</t>
  </si>
  <si>
    <t>435,08</t>
  </si>
  <si>
    <t>597,15</t>
  </si>
  <si>
    <t>11,14</t>
  </si>
  <si>
    <t>47,23</t>
  </si>
  <si>
    <t>91,05</t>
  </si>
  <si>
    <t>320,41</t>
  </si>
  <si>
    <t>535,61</t>
  </si>
  <si>
    <t>60,21</t>
  </si>
  <si>
    <t>37,83</t>
  </si>
  <si>
    <t>13,47</t>
  </si>
  <si>
    <t>11,05</t>
  </si>
  <si>
    <t>42,58</t>
  </si>
  <si>
    <t>64,24</t>
  </si>
  <si>
    <t>101,31</t>
  </si>
  <si>
    <t>184,56</t>
  </si>
  <si>
    <t>304,42</t>
  </si>
  <si>
    <t>13,35</t>
  </si>
  <si>
    <t>45,47</t>
  </si>
  <si>
    <t>69,28</t>
  </si>
  <si>
    <t>119,63</t>
  </si>
  <si>
    <t>42,35</t>
  </si>
  <si>
    <t>134,39</t>
  </si>
  <si>
    <t>181,73</t>
  </si>
  <si>
    <t>36,95</t>
  </si>
  <si>
    <t>131,95</t>
  </si>
  <si>
    <t>215,23</t>
  </si>
  <si>
    <t>33,04</t>
  </si>
  <si>
    <t>104,61</t>
  </si>
  <si>
    <t>52,07</t>
  </si>
  <si>
    <t>141,62</t>
  </si>
  <si>
    <t>1,81</t>
  </si>
  <si>
    <t>75,72</t>
  </si>
  <si>
    <t>52,01</t>
  </si>
  <si>
    <t>7,30</t>
  </si>
  <si>
    <t>16,12</t>
  </si>
  <si>
    <t>4,21</t>
  </si>
  <si>
    <t>52,26</t>
  </si>
  <si>
    <t>42,66</t>
  </si>
  <si>
    <t>5,41</t>
  </si>
  <si>
    <t>20,03</t>
  </si>
  <si>
    <t>2.081,50</t>
  </si>
  <si>
    <t>47,76</t>
  </si>
  <si>
    <t>164,60</t>
  </si>
  <si>
    <t>75,36</t>
  </si>
  <si>
    <t>141,16</t>
  </si>
  <si>
    <t>3.014,11</t>
  </si>
  <si>
    <t>1.349,27</t>
  </si>
  <si>
    <t>26,00</t>
  </si>
  <si>
    <t>250,00</t>
  </si>
  <si>
    <t>308,16</t>
  </si>
  <si>
    <t>383,66</t>
  </si>
  <si>
    <t>409,65</t>
  </si>
  <si>
    <t>370,04</t>
  </si>
  <si>
    <t>441,21</t>
  </si>
  <si>
    <t>445,54</t>
  </si>
  <si>
    <t>581,68</t>
  </si>
  <si>
    <t>496,28</t>
  </si>
  <si>
    <t>625,00</t>
  </si>
  <si>
    <t>759,90</t>
  </si>
  <si>
    <t>866,33</t>
  </si>
  <si>
    <t>451.380,11</t>
  </si>
  <si>
    <t>401.300,00</t>
  </si>
  <si>
    <t>89,23</t>
  </si>
  <si>
    <t>34,22</t>
  </si>
  <si>
    <t>35,41</t>
  </si>
  <si>
    <t>42,25</t>
  </si>
  <si>
    <t>34,05</t>
  </si>
  <si>
    <t>31,47</t>
  </si>
  <si>
    <t>28,47</t>
  </si>
  <si>
    <t>41,21</t>
  </si>
  <si>
    <t>577.028,25</t>
  </si>
  <si>
    <t>55.827,56</t>
  </si>
  <si>
    <t>23.370,89</t>
  </si>
  <si>
    <t>13.903,32</t>
  </si>
  <si>
    <t>231.958,35</t>
  </si>
  <si>
    <t>23.746,04</t>
  </si>
  <si>
    <t>3.191,12</t>
  </si>
  <si>
    <t>2.434,24</t>
  </si>
  <si>
    <t>8.233,53</t>
  </si>
  <si>
    <t>15.350,40</t>
  </si>
  <si>
    <t>17.664,39</t>
  </si>
  <si>
    <t>16.683,75</t>
  </si>
  <si>
    <t>18.771,49</t>
  </si>
  <si>
    <t>34.540,83</t>
  </si>
  <si>
    <t>19.317,81</t>
  </si>
  <si>
    <t>18.953,72</t>
  </si>
  <si>
    <t>50,06</t>
  </si>
  <si>
    <t>117,49</t>
  </si>
  <si>
    <t>157,52</t>
  </si>
  <si>
    <t>19,85</t>
  </si>
  <si>
    <t>3.538,15</t>
  </si>
  <si>
    <t>3.628,37</t>
  </si>
  <si>
    <t>2.291,69</t>
  </si>
  <si>
    <t>19,98</t>
  </si>
  <si>
    <t>38,43</t>
  </si>
  <si>
    <t>33,82</t>
  </si>
  <si>
    <t>78,18</t>
  </si>
  <si>
    <t>53,07</t>
  </si>
  <si>
    <t>7.986,37</t>
  </si>
  <si>
    <t>26,58</t>
  </si>
  <si>
    <t>4.738,40</t>
  </si>
  <si>
    <t>14.670,62</t>
  </si>
  <si>
    <t>554,34</t>
  </si>
  <si>
    <t>661,30</t>
  </si>
  <si>
    <t>730,88</t>
  </si>
  <si>
    <t>349,87</t>
  </si>
  <si>
    <t>165.000,00</t>
  </si>
  <si>
    <t>254.643,41</t>
  </si>
  <si>
    <t>250.468,92</t>
  </si>
  <si>
    <t>305.572,09</t>
  </si>
  <si>
    <t>314.765,46</t>
  </si>
  <si>
    <t>86,90</t>
  </si>
  <si>
    <t>212,97</t>
  </si>
  <si>
    <t>344,81</t>
  </si>
  <si>
    <t>10.525,07</t>
  </si>
  <si>
    <t>11.132,03</t>
  </si>
  <si>
    <t>13.245,63</t>
  </si>
  <si>
    <t>264,16</t>
  </si>
  <si>
    <t>52.683,82</t>
  </si>
  <si>
    <t>44,94</t>
  </si>
  <si>
    <t>240,27</t>
  </si>
  <si>
    <t>206,70</t>
  </si>
  <si>
    <t>110,19</t>
  </si>
  <si>
    <t>744,02</t>
  </si>
  <si>
    <t>16,56</t>
  </si>
  <si>
    <t>2.952,09</t>
  </si>
  <si>
    <t>2.297,07</t>
  </si>
  <si>
    <t>3.290,63</t>
  </si>
  <si>
    <t>2.713,34</t>
  </si>
  <si>
    <t>7.249,54</t>
  </si>
  <si>
    <t>3.603,28</t>
  </si>
  <si>
    <t>3.386,65</t>
  </si>
  <si>
    <t>4.176,14</t>
  </si>
  <si>
    <t>689.500,00</t>
  </si>
  <si>
    <t>856.789,73</t>
  </si>
  <si>
    <t>901.881,72</t>
  </si>
  <si>
    <t>4.094,61</t>
  </si>
  <si>
    <t>2.030,38</t>
  </si>
  <si>
    <t>1.672,65</t>
  </si>
  <si>
    <t>1.636,26</t>
  </si>
  <si>
    <t>2.568,19</t>
  </si>
  <si>
    <t>2.422,45</t>
  </si>
  <si>
    <t>3.429,66</t>
  </si>
  <si>
    <t>13,20</t>
  </si>
  <si>
    <t>2.355,53</t>
  </si>
  <si>
    <t>2.748,29</t>
  </si>
  <si>
    <t>62,26</t>
  </si>
  <si>
    <t>53,80</t>
  </si>
  <si>
    <t>56,89</t>
  </si>
  <si>
    <t>136,55</t>
  </si>
  <si>
    <t>42,10</t>
  </si>
  <si>
    <t>86,48</t>
  </si>
  <si>
    <t>85,34</t>
  </si>
  <si>
    <t>5.507,76</t>
  </si>
  <si>
    <t>35,75</t>
  </si>
  <si>
    <t>23,36</t>
  </si>
  <si>
    <t>58,16</t>
  </si>
  <si>
    <t>93,64</t>
  </si>
  <si>
    <t>206,71</t>
  </si>
  <si>
    <t>343,46</t>
  </si>
  <si>
    <t>49,52</t>
  </si>
  <si>
    <t>29,92</t>
  </si>
  <si>
    <t>5,96</t>
  </si>
  <si>
    <t>90,45</t>
  </si>
  <si>
    <t>40,47</t>
  </si>
  <si>
    <t>27,30</t>
  </si>
  <si>
    <t>9,33</t>
  </si>
  <si>
    <t>105,78</t>
  </si>
  <si>
    <t>66,59</t>
  </si>
  <si>
    <t>1.606,53</t>
  </si>
  <si>
    <t>70.003,66</t>
  </si>
  <si>
    <t>102.183,50</t>
  </si>
  <si>
    <t>123.658,76</t>
  </si>
  <si>
    <t>193.714,24</t>
  </si>
  <si>
    <t>55.974,19</t>
  </si>
  <si>
    <t>18,11</t>
  </si>
  <si>
    <t>2.667,33</t>
  </si>
  <si>
    <t>2.315,57</t>
  </si>
  <si>
    <t>2.234,61</t>
  </si>
  <si>
    <t>2.375,64</t>
  </si>
  <si>
    <t>2.849,95</t>
  </si>
  <si>
    <t>2.794,90</t>
  </si>
  <si>
    <t>2.374,27</t>
  </si>
  <si>
    <t>2.439,00</t>
  </si>
  <si>
    <t>2.898,53</t>
  </si>
  <si>
    <t>19,93</t>
  </si>
  <si>
    <t>3.555,96</t>
  </si>
  <si>
    <t>2.710,79</t>
  </si>
  <si>
    <t>2.992,44</t>
  </si>
  <si>
    <t>2.390,20</t>
  </si>
  <si>
    <t>2.569,81</t>
  </si>
  <si>
    <t>371.184,00</t>
  </si>
  <si>
    <t>418.000,00</t>
  </si>
  <si>
    <t>579.626,63</t>
  </si>
  <si>
    <t>659.882,63</t>
  </si>
  <si>
    <t>385.117,31</t>
  </si>
  <si>
    <t>42,80</t>
  </si>
  <si>
    <t>82,38</t>
  </si>
  <si>
    <t>153,41</t>
  </si>
  <si>
    <t>202,26</t>
  </si>
  <si>
    <t>286,94</t>
  </si>
  <si>
    <t>340,18</t>
  </si>
  <si>
    <t>20,41</t>
  </si>
  <si>
    <t>46,28</t>
  </si>
  <si>
    <t>1.872,79</t>
  </si>
  <si>
    <t>266,92</t>
  </si>
  <si>
    <t>443,41</t>
  </si>
  <si>
    <t>102,82</t>
  </si>
  <si>
    <t>7,63</t>
  </si>
  <si>
    <t>2,57</t>
  </si>
  <si>
    <t>22,07</t>
  </si>
  <si>
    <t>12,46</t>
  </si>
  <si>
    <t>2,91</t>
  </si>
  <si>
    <t>26,08</t>
  </si>
  <si>
    <t>25,97</t>
  </si>
  <si>
    <t>102,81</t>
  </si>
  <si>
    <t>111,27</t>
  </si>
  <si>
    <t>196,61</t>
  </si>
  <si>
    <t>175,69</t>
  </si>
  <si>
    <t>204,97</t>
  </si>
  <si>
    <t>318,82</t>
  </si>
  <si>
    <t>3.408,95</t>
  </si>
  <si>
    <t>20,06</t>
  </si>
  <si>
    <t>189,90</t>
  </si>
  <si>
    <t>277,83</t>
  </si>
  <si>
    <t>446,35</t>
  </si>
  <si>
    <t>28,71</t>
  </si>
  <si>
    <t>90,22</t>
  </si>
  <si>
    <t>53,67</t>
  </si>
  <si>
    <t>104,10</t>
  </si>
  <si>
    <t>163,21</t>
  </si>
  <si>
    <t>75,65</t>
  </si>
  <si>
    <t>91,38</t>
  </si>
  <si>
    <t>12.324,71</t>
  </si>
  <si>
    <t>176,02</t>
  </si>
  <si>
    <t>79,56</t>
  </si>
  <si>
    <t>23,93</t>
  </si>
  <si>
    <t>5,23</t>
  </si>
  <si>
    <t>2.700.776,76</t>
  </si>
  <si>
    <t>4.199.599,25</t>
  </si>
  <si>
    <t>1.028.177,78</t>
  </si>
  <si>
    <t>55.446,51</t>
  </si>
  <si>
    <t>7.990,41</t>
  </si>
  <si>
    <t>25.013,46</t>
  </si>
  <si>
    <t>13.680,22</t>
  </si>
  <si>
    <t>880.608,91</t>
  </si>
  <si>
    <t>564.049,62</t>
  </si>
  <si>
    <t>588.507,81</t>
  </si>
  <si>
    <t>61.160,75</t>
  </si>
  <si>
    <t>41,67</t>
  </si>
  <si>
    <t>153,91</t>
  </si>
  <si>
    <t>31,20</t>
  </si>
  <si>
    <t>3.369,47</t>
  </si>
  <si>
    <t>3.358,03</t>
  </si>
  <si>
    <t>84,92</t>
  </si>
  <si>
    <t>386,76</t>
  </si>
  <si>
    <t>234,91</t>
  </si>
  <si>
    <t>64,60</t>
  </si>
  <si>
    <t>376,49</t>
  </si>
  <si>
    <t>361,25</t>
  </si>
  <si>
    <t>87,00</t>
  </si>
  <si>
    <t>380,00</t>
  </si>
  <si>
    <t>286,79</t>
  </si>
  <si>
    <t>366,45</t>
  </si>
  <si>
    <t>59,50</t>
  </si>
  <si>
    <t>189,13</t>
  </si>
  <si>
    <t>167,04</t>
  </si>
  <si>
    <t>97,30</t>
  </si>
  <si>
    <t>231,07</t>
  </si>
  <si>
    <t>123,88</t>
  </si>
  <si>
    <t>136,41</t>
  </si>
  <si>
    <t>104,40</t>
  </si>
  <si>
    <t>70,27</t>
  </si>
  <si>
    <t>258,19</t>
  </si>
  <si>
    <t>245,94</t>
  </si>
  <si>
    <t>639,28</t>
  </si>
  <si>
    <t>569,19</t>
  </si>
  <si>
    <t>162,16</t>
  </si>
  <si>
    <t>302,72</t>
  </si>
  <si>
    <t>252,95</t>
  </si>
  <si>
    <t>260,00</t>
  </si>
  <si>
    <t>18,92</t>
  </si>
  <si>
    <t>58,91</t>
  </si>
  <si>
    <t>57,04</t>
  </si>
  <si>
    <t>74,25</t>
  </si>
  <si>
    <t>26,78</t>
  </si>
  <si>
    <t>1.080,01</t>
  </si>
  <si>
    <t>678,38</t>
  </si>
  <si>
    <t>PLACA DE SINALIZACAO DE SEGURANCA CONTRA INCENDIO - ALERTA, TRIANGULAR, BASE DE *30* CM, EM PVC *2* MM ANTI-CHAMAS (SIMBOLOS, CORES E PICTOGRAMAS CONFORME NBR 16820)</t>
  </si>
  <si>
    <t>44,09</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</si>
  <si>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</si>
  <si>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</si>
  <si>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</si>
  <si>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</si>
  <si>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</si>
  <si>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41,76</t>
  </si>
  <si>
    <t>519,75</t>
  </si>
  <si>
    <t>648,00</t>
  </si>
  <si>
    <t>33,75</t>
  </si>
  <si>
    <t>1.789,70</t>
  </si>
  <si>
    <t>181,56</t>
  </si>
  <si>
    <t>74,69</t>
  </si>
  <si>
    <t>8,04</t>
  </si>
  <si>
    <t>2,74</t>
  </si>
  <si>
    <t>27,70</t>
  </si>
  <si>
    <t>72,10</t>
  </si>
  <si>
    <t>38,98</t>
  </si>
  <si>
    <t>88,23</t>
  </si>
  <si>
    <t>179,16</t>
  </si>
  <si>
    <t>346,01</t>
  </si>
  <si>
    <t>1.017,40</t>
  </si>
  <si>
    <t>2.086,58</t>
  </si>
  <si>
    <t>6.438,55</t>
  </si>
  <si>
    <t>53,37</t>
  </si>
  <si>
    <t>410,62</t>
  </si>
  <si>
    <t>101,73</t>
  </si>
  <si>
    <t>179,65</t>
  </si>
  <si>
    <t>PORCA OLHAL M 16,  EM ACO GALVANIZADO, DIAMETRO = 16 MM</t>
  </si>
  <si>
    <t>800,75</t>
  </si>
  <si>
    <t>250,56</t>
  </si>
  <si>
    <t>235,02</t>
  </si>
  <si>
    <t>185,34</t>
  </si>
  <si>
    <t>165,00</t>
  </si>
  <si>
    <t>209,32</t>
  </si>
  <si>
    <t>233,93</t>
  </si>
  <si>
    <t>360,17</t>
  </si>
  <si>
    <t>445,43</t>
  </si>
  <si>
    <t>653,24</t>
  </si>
  <si>
    <t>529,66</t>
  </si>
  <si>
    <t>365,79</t>
  </si>
  <si>
    <t>669,83</t>
  </si>
  <si>
    <t>387,08</t>
  </si>
  <si>
    <t>339,30</t>
  </si>
  <si>
    <t>417,76</t>
  </si>
  <si>
    <t>678,86</t>
  </si>
  <si>
    <t>572,28</t>
  </si>
  <si>
    <t>852,57</t>
  </si>
  <si>
    <t>324,22</t>
  </si>
  <si>
    <t>218,86</t>
  </si>
  <si>
    <t>535,52</t>
  </si>
  <si>
    <t>309,54</t>
  </si>
  <si>
    <t>156,37</t>
  </si>
  <si>
    <t>183,67</t>
  </si>
  <si>
    <t>170,51</t>
  </si>
  <si>
    <t>163,23</t>
  </si>
  <si>
    <t>156,19</t>
  </si>
  <si>
    <t>170,33</t>
  </si>
  <si>
    <t>226,48</t>
  </si>
  <si>
    <t>318,02</t>
  </si>
  <si>
    <t>370,13</t>
  </si>
  <si>
    <t>398,86</t>
  </si>
  <si>
    <t>534,97</t>
  </si>
  <si>
    <t>1.274,59</t>
  </si>
  <si>
    <t>193,39</t>
  </si>
  <si>
    <t>497,43</t>
  </si>
  <si>
    <t>381,95</t>
  </si>
  <si>
    <t>346,63</t>
  </si>
  <si>
    <t>713,00</t>
  </si>
  <si>
    <t>457,32</t>
  </si>
  <si>
    <t>2.034,16</t>
  </si>
  <si>
    <t>2.311,96</t>
  </si>
  <si>
    <t>1.966,29</t>
  </si>
  <si>
    <t>1.963,44</t>
  </si>
  <si>
    <t>1.465,00</t>
  </si>
  <si>
    <t>1.483,60</t>
  </si>
  <si>
    <t>2.055,32</t>
  </si>
  <si>
    <t>505,86</t>
  </si>
  <si>
    <t>789,01</t>
  </si>
  <si>
    <t>1.098,73</t>
  </si>
  <si>
    <t>775,17</t>
  </si>
  <si>
    <t>1.102,08</t>
  </si>
  <si>
    <t>857,79</t>
  </si>
  <si>
    <t>1.402,46</t>
  </si>
  <si>
    <t>2.341,17</t>
  </si>
  <si>
    <t>1.096,85</t>
  </si>
  <si>
    <t>943,20</t>
  </si>
  <si>
    <t>783,00</t>
  </si>
  <si>
    <t>638,14</t>
  </si>
  <si>
    <t>840,94</t>
  </si>
  <si>
    <t>1.250,15</t>
  </si>
  <si>
    <t>1.309,17</t>
  </si>
  <si>
    <t>299,43</t>
  </si>
  <si>
    <t>900,45</t>
  </si>
  <si>
    <t>2.161,08</t>
  </si>
  <si>
    <t>310,71</t>
  </si>
  <si>
    <t>90,34</t>
  </si>
  <si>
    <t>75,28</t>
  </si>
  <si>
    <t>23,49</t>
  </si>
  <si>
    <t>21,79</t>
  </si>
  <si>
    <t>19,35</t>
  </si>
  <si>
    <t>22,13</t>
  </si>
  <si>
    <t>3.387,96</t>
  </si>
  <si>
    <t>169,48</t>
  </si>
  <si>
    <t>68.482,42</t>
  </si>
  <si>
    <t>90.773,11</t>
  </si>
  <si>
    <t>544,55</t>
  </si>
  <si>
    <t>53,19</t>
  </si>
  <si>
    <t>26,65</t>
  </si>
  <si>
    <t>221,00</t>
  </si>
  <si>
    <t>34,15</t>
  </si>
  <si>
    <t>38,94</t>
  </si>
  <si>
    <t>3.507,67</t>
  </si>
  <si>
    <t>126,39</t>
  </si>
  <si>
    <t>63,19</t>
  </si>
  <si>
    <t>433,46</t>
  </si>
  <si>
    <t>607,45</t>
  </si>
  <si>
    <t>638,37</t>
  </si>
  <si>
    <t>896,55</t>
  </si>
  <si>
    <t>732,09</t>
  </si>
  <si>
    <t>1.545,69</t>
  </si>
  <si>
    <t>735,79</t>
  </si>
  <si>
    <t>1.074,22</t>
  </si>
  <si>
    <t>1.257,24</t>
  </si>
  <si>
    <t>1.253,10</t>
  </si>
  <si>
    <t>449,94</t>
  </si>
  <si>
    <t>562,21</t>
  </si>
  <si>
    <t>519,87</t>
  </si>
  <si>
    <t>757,64</t>
  </si>
  <si>
    <t>935,69</t>
  </si>
  <si>
    <t>1.124,73</t>
  </si>
  <si>
    <t>159,73</t>
  </si>
  <si>
    <t>295,94</t>
  </si>
  <si>
    <t>641,37</t>
  </si>
  <si>
    <t>501,41</t>
  </si>
  <si>
    <t>97,15</t>
  </si>
  <si>
    <t>152,50</t>
  </si>
  <si>
    <t>261,58</t>
  </si>
  <si>
    <t>41,23</t>
  </si>
  <si>
    <t>137,56</t>
  </si>
  <si>
    <t>201,64</t>
  </si>
  <si>
    <t>281,30</t>
  </si>
  <si>
    <t>81,88</t>
  </si>
  <si>
    <t>64,18</t>
  </si>
  <si>
    <t>96,74</t>
  </si>
  <si>
    <t>119,06</t>
  </si>
  <si>
    <t>148,83</t>
  </si>
  <si>
    <t>234,41</t>
  </si>
  <si>
    <t>10,02</t>
  </si>
  <si>
    <t>23,48</t>
  </si>
  <si>
    <t>31,86</t>
  </si>
  <si>
    <t>164,51</t>
  </si>
  <si>
    <t>200,33</t>
  </si>
  <si>
    <t>91,82</t>
  </si>
  <si>
    <t>65,80</t>
  </si>
  <si>
    <t>63,81</t>
  </si>
  <si>
    <t>50,96</t>
  </si>
  <si>
    <t>5.403.660,58</t>
  </si>
  <si>
    <t>127,47</t>
  </si>
  <si>
    <t>245,19</t>
  </si>
  <si>
    <t>462,48</t>
  </si>
  <si>
    <t>49,71</t>
  </si>
  <si>
    <t>93,53</t>
  </si>
  <si>
    <t>33,97</t>
  </si>
  <si>
    <t>24,80</t>
  </si>
  <si>
    <t>33,03</t>
  </si>
  <si>
    <t>71,86</t>
  </si>
  <si>
    <t>109,97</t>
  </si>
  <si>
    <t>50,57</t>
  </si>
  <si>
    <t>67,63</t>
  </si>
  <si>
    <t>69,85</t>
  </si>
  <si>
    <t>127,92</t>
  </si>
  <si>
    <t>51,76</t>
  </si>
  <si>
    <t>89,06</t>
  </si>
  <si>
    <t>31,09</t>
  </si>
  <si>
    <t>257,27</t>
  </si>
  <si>
    <t>311,47</t>
  </si>
  <si>
    <t>32,79</t>
  </si>
  <si>
    <t>648,99</t>
  </si>
  <si>
    <t>97,93</t>
  </si>
  <si>
    <t>142,41</t>
  </si>
  <si>
    <t>136,16</t>
  </si>
  <si>
    <t>70,92</t>
  </si>
  <si>
    <t>80,00</t>
  </si>
  <si>
    <t>38,21</t>
  </si>
  <si>
    <t>72,99</t>
  </si>
  <si>
    <t>75,45</t>
  </si>
  <si>
    <t>45,69</t>
  </si>
  <si>
    <t>5.871,96</t>
  </si>
  <si>
    <t>12.717,43</t>
  </si>
  <si>
    <t>126,99</t>
  </si>
  <si>
    <t>73,58</t>
  </si>
  <si>
    <t>268.108,01</t>
  </si>
  <si>
    <t>290.805,00</t>
  </si>
  <si>
    <t>301.444,18</t>
  </si>
  <si>
    <t>205,77</t>
  </si>
  <si>
    <t>128,60</t>
  </si>
  <si>
    <t>42,34</t>
  </si>
  <si>
    <t>86,05</t>
  </si>
  <si>
    <t>2.804,79</t>
  </si>
  <si>
    <t>7.622,82</t>
  </si>
  <si>
    <t>30,95</t>
  </si>
  <si>
    <t>17,63</t>
  </si>
  <si>
    <t>26,51</t>
  </si>
  <si>
    <t>30,26</t>
  </si>
  <si>
    <t>49,99</t>
  </si>
  <si>
    <t>41,34</t>
  </si>
  <si>
    <t>599.332,15</t>
  </si>
  <si>
    <t>564.600,00</t>
  </si>
  <si>
    <t>500.789,69</t>
  </si>
  <si>
    <t>375.604,15</t>
  </si>
  <si>
    <t>484.635,13</t>
  </si>
  <si>
    <t>361.263,20</t>
  </si>
  <si>
    <t>493.621,70</t>
  </si>
  <si>
    <t>109.048,48</t>
  </si>
  <si>
    <t>540.402,88</t>
  </si>
  <si>
    <t>443.614,29</t>
  </si>
  <si>
    <t>33,05</t>
  </si>
  <si>
    <t>21.393,72</t>
  </si>
  <si>
    <t>2.075,51</t>
  </si>
  <si>
    <t>1.577,94</t>
  </si>
  <si>
    <t>32,52</t>
  </si>
  <si>
    <t>38,72</t>
  </si>
  <si>
    <t>44,46</t>
  </si>
  <si>
    <t>55,00</t>
  </si>
  <si>
    <t>261,30</t>
  </si>
  <si>
    <t>343,89</t>
  </si>
  <si>
    <t>7,72</t>
  </si>
  <si>
    <t>SEGURO</t>
  </si>
  <si>
    <t>579,03</t>
  </si>
  <si>
    <t>34,79</t>
  </si>
  <si>
    <t>138,98</t>
  </si>
  <si>
    <t>41,74</t>
  </si>
  <si>
    <t>59,28</t>
  </si>
  <si>
    <t>105,33</t>
  </si>
  <si>
    <t>136,51</t>
  </si>
  <si>
    <t>103,23</t>
  </si>
  <si>
    <t>195.616,95</t>
  </si>
  <si>
    <t>230.008,74</t>
  </si>
  <si>
    <t>177.873,42</t>
  </si>
  <si>
    <t>56,83</t>
  </si>
  <si>
    <t>64,10</t>
  </si>
  <si>
    <t>1.187,23</t>
  </si>
  <si>
    <t>4.783,26</t>
  </si>
  <si>
    <t>2.036,91</t>
  </si>
  <si>
    <t>185,68</t>
  </si>
  <si>
    <t>187,95</t>
  </si>
  <si>
    <t>156,46</t>
  </si>
  <si>
    <t>4.099,59</t>
  </si>
  <si>
    <t>4.430,20</t>
  </si>
  <si>
    <t>2.209,17</t>
  </si>
  <si>
    <t>55,55</t>
  </si>
  <si>
    <t>14,99</t>
  </si>
  <si>
    <t>244,75</t>
  </si>
  <si>
    <t>282,41</t>
  </si>
  <si>
    <t>19,55</t>
  </si>
  <si>
    <t>3.485,37</t>
  </si>
  <si>
    <t>83,21</t>
  </si>
  <si>
    <t>46,20</t>
  </si>
  <si>
    <t>25,30</t>
  </si>
  <si>
    <t>69,81</t>
  </si>
  <si>
    <t>48,20</t>
  </si>
  <si>
    <t>39,05</t>
  </si>
  <si>
    <t>27,90</t>
  </si>
  <si>
    <t>32,40</t>
  </si>
  <si>
    <t>134,23</t>
  </si>
  <si>
    <t>20,50</t>
  </si>
  <si>
    <t>2.312,38</t>
  </si>
  <si>
    <t>9,94</t>
  </si>
  <si>
    <t>25,40</t>
  </si>
  <si>
    <t>197,64</t>
  </si>
  <si>
    <t>213,31</t>
  </si>
  <si>
    <t>264,77</t>
  </si>
  <si>
    <t>123,80</t>
  </si>
  <si>
    <t>173,87</t>
  </si>
  <si>
    <t>34,96</t>
  </si>
  <si>
    <t>1.344,38</t>
  </si>
  <si>
    <t>110,11</t>
  </si>
  <si>
    <t>170,19</t>
  </si>
  <si>
    <t>254,28</t>
  </si>
  <si>
    <t>505,62</t>
  </si>
  <si>
    <t>930,82</t>
  </si>
  <si>
    <t>1.635,00</t>
  </si>
  <si>
    <t>232,07</t>
  </si>
  <si>
    <t>356,82</t>
  </si>
  <si>
    <t>669,05</t>
  </si>
  <si>
    <t>1.029,36</t>
  </si>
  <si>
    <t>8,21</t>
  </si>
  <si>
    <t>51,13</t>
  </si>
  <si>
    <t>68,59</t>
  </si>
  <si>
    <t>116,00</t>
  </si>
  <si>
    <t>178,08</t>
  </si>
  <si>
    <t>227,20</t>
  </si>
  <si>
    <t>281,38</t>
  </si>
  <si>
    <t>104,18</t>
  </si>
  <si>
    <t>260,46</t>
  </si>
  <si>
    <t>660,46</t>
  </si>
  <si>
    <t>809,30</t>
  </si>
  <si>
    <t>337,67</t>
  </si>
  <si>
    <t>158,13</t>
  </si>
  <si>
    <t>241,86</t>
  </si>
  <si>
    <t>520,93</t>
  </si>
  <si>
    <t>794,41</t>
  </si>
  <si>
    <t>2.531,16</t>
  </si>
  <si>
    <t>856,74</t>
  </si>
  <si>
    <t>396,90</t>
  </si>
  <si>
    <t>72.850,00</t>
  </si>
  <si>
    <t>89.661,53</t>
  </si>
  <si>
    <t>51.165,54</t>
  </si>
  <si>
    <t>60.789,55</t>
  </si>
  <si>
    <t>48.363,62</t>
  </si>
  <si>
    <t>101.295,60</t>
  </si>
  <si>
    <t>106.168,52</t>
  </si>
  <si>
    <t>124.624,66</t>
  </si>
  <si>
    <t>240,75</t>
  </si>
  <si>
    <t>623,93</t>
  </si>
  <si>
    <t>386,98</t>
  </si>
  <si>
    <t>294,98</t>
  </si>
  <si>
    <t>156,70</t>
  </si>
  <si>
    <t>198,30</t>
  </si>
  <si>
    <t>3.831,13</t>
  </si>
  <si>
    <t>40,87</t>
  </si>
  <si>
    <t>38,70</t>
  </si>
  <si>
    <t>62,99</t>
  </si>
  <si>
    <t>152,10</t>
  </si>
  <si>
    <t>185,07</t>
  </si>
  <si>
    <t>1.356,05</t>
  </si>
  <si>
    <t>54,69</t>
  </si>
  <si>
    <t>70,46</t>
  </si>
  <si>
    <t>139,26</t>
  </si>
  <si>
    <t>396,41</t>
  </si>
  <si>
    <t>620,21</t>
  </si>
  <si>
    <t>14,35</t>
  </si>
  <si>
    <t>83,71</t>
  </si>
  <si>
    <t>206,72</t>
  </si>
  <si>
    <t>295,28</t>
  </si>
  <si>
    <t>692,12</t>
  </si>
  <si>
    <t>39,56</t>
  </si>
  <si>
    <t>32,70</t>
  </si>
  <si>
    <t>90,48</t>
  </si>
  <si>
    <t>93,11</t>
  </si>
  <si>
    <t>246,44</t>
  </si>
  <si>
    <t>39,10</t>
  </si>
  <si>
    <t>32,84</t>
  </si>
  <si>
    <t>34,49</t>
  </si>
  <si>
    <t>33,43</t>
  </si>
  <si>
    <t>39,74</t>
  </si>
  <si>
    <t>59,08</t>
  </si>
  <si>
    <t>60,34</t>
  </si>
  <si>
    <t>61,53</t>
  </si>
  <si>
    <t>37,85</t>
  </si>
  <si>
    <t>106,25</t>
  </si>
  <si>
    <t>89,79</t>
  </si>
  <si>
    <t>51,79</t>
  </si>
  <si>
    <t>690,33</t>
  </si>
  <si>
    <t>766,40</t>
  </si>
  <si>
    <t>170,61</t>
  </si>
  <si>
    <t>6,69</t>
  </si>
  <si>
    <t>54,14</t>
  </si>
  <si>
    <t>84,09</t>
  </si>
  <si>
    <t>59,32</t>
  </si>
  <si>
    <t>149,44</t>
  </si>
  <si>
    <t>151,98</t>
  </si>
  <si>
    <t>230,36</t>
  </si>
  <si>
    <t>251,13</t>
  </si>
  <si>
    <t>255,06</t>
  </si>
  <si>
    <t>349,85</t>
  </si>
  <si>
    <t>118,62</t>
  </si>
  <si>
    <t>142,87</t>
  </si>
  <si>
    <t>49,26</t>
  </si>
  <si>
    <t>39,76</t>
  </si>
  <si>
    <t>53,50</t>
  </si>
  <si>
    <t>38,84</t>
  </si>
  <si>
    <t>183,14</t>
  </si>
  <si>
    <t>35,92</t>
  </si>
  <si>
    <t>75,02</t>
  </si>
  <si>
    <t>114,45</t>
  </si>
  <si>
    <t>59,00</t>
  </si>
  <si>
    <t>5,05</t>
  </si>
  <si>
    <t>5,12</t>
  </si>
  <si>
    <t>36,89</t>
  </si>
  <si>
    <t>53,81</t>
  </si>
  <si>
    <t>57,29</t>
  </si>
  <si>
    <t>35,79</t>
  </si>
  <si>
    <t>38,65</t>
  </si>
  <si>
    <t>40,05</t>
  </si>
  <si>
    <t>65,07</t>
  </si>
  <si>
    <t>64,66</t>
  </si>
  <si>
    <t>65,69</t>
  </si>
  <si>
    <t>107,73</t>
  </si>
  <si>
    <t>60,41</t>
  </si>
  <si>
    <t>46,56</t>
  </si>
  <si>
    <t>28,89</t>
  </si>
  <si>
    <t>171,52</t>
  </si>
  <si>
    <t>92,06</t>
  </si>
  <si>
    <t>271,13</t>
  </si>
  <si>
    <t>434,63</t>
  </si>
  <si>
    <t>94,01</t>
  </si>
  <si>
    <t>23,21</t>
  </si>
  <si>
    <t>46,97</t>
  </si>
  <si>
    <t>301,60</t>
  </si>
  <si>
    <t>154,45</t>
  </si>
  <si>
    <t>493,42</t>
  </si>
  <si>
    <t>25,22</t>
  </si>
  <si>
    <t>30,21</t>
  </si>
  <si>
    <t>51,28</t>
  </si>
  <si>
    <t>76,78</t>
  </si>
  <si>
    <t>133,71</t>
  </si>
  <si>
    <t>63,11</t>
  </si>
  <si>
    <t>51,83</t>
  </si>
  <si>
    <t>84,17</t>
  </si>
  <si>
    <t>124,86</t>
  </si>
  <si>
    <t>165,04</t>
  </si>
  <si>
    <t>530,06</t>
  </si>
  <si>
    <t>236,33</t>
  </si>
  <si>
    <t>792,73</t>
  </si>
  <si>
    <t>2.278,72</t>
  </si>
  <si>
    <t>2.836,25</t>
  </si>
  <si>
    <t>16,71</t>
  </si>
  <si>
    <t>2.978,10</t>
  </si>
  <si>
    <t>4.132,98</t>
  </si>
  <si>
    <t>61,50</t>
  </si>
  <si>
    <t>35,66</t>
  </si>
  <si>
    <t>40,89</t>
  </si>
  <si>
    <t>51,16</t>
  </si>
  <si>
    <t>73,22</t>
  </si>
  <si>
    <t>25,72</t>
  </si>
  <si>
    <t>37,80</t>
  </si>
  <si>
    <t>59,15</t>
  </si>
  <si>
    <t>45,86</t>
  </si>
  <si>
    <t>42,69</t>
  </si>
  <si>
    <t>999,55</t>
  </si>
  <si>
    <t>1.239,04</t>
  </si>
  <si>
    <t>131,54</t>
  </si>
  <si>
    <t>176,47</t>
  </si>
  <si>
    <t>203,67</t>
  </si>
  <si>
    <t>166,57</t>
  </si>
  <si>
    <t>227,15</t>
  </si>
  <si>
    <t>52,13</t>
  </si>
  <si>
    <t>51,36</t>
  </si>
  <si>
    <t>102,69</t>
  </si>
  <si>
    <t>94,70</t>
  </si>
  <si>
    <t>35,25</t>
  </si>
  <si>
    <t>141,95</t>
  </si>
  <si>
    <t>48,17</t>
  </si>
  <si>
    <t>87,78</t>
  </si>
  <si>
    <t>102,30</t>
  </si>
  <si>
    <t>147,56</t>
  </si>
  <si>
    <t>206,06</t>
  </si>
  <si>
    <t>226,76</t>
  </si>
  <si>
    <t>267,92</t>
  </si>
  <si>
    <t>296,65</t>
  </si>
  <si>
    <t>196,18</t>
  </si>
  <si>
    <t>312,62</t>
  </si>
  <si>
    <t>410,56</t>
  </si>
  <si>
    <t>504,75</t>
  </si>
  <si>
    <t>561,80</t>
  </si>
  <si>
    <t>628,96</t>
  </si>
  <si>
    <t>206,19</t>
  </si>
  <si>
    <t>189,41</t>
  </si>
  <si>
    <t>195,60</t>
  </si>
  <si>
    <t>201,98</t>
  </si>
  <si>
    <t>61,65</t>
  </si>
  <si>
    <t>491,21</t>
  </si>
  <si>
    <t>44,82</t>
  </si>
  <si>
    <t>22,31</t>
  </si>
  <si>
    <t>46,81</t>
  </si>
  <si>
    <t>56,18</t>
  </si>
  <si>
    <t>94,80</t>
  </si>
  <si>
    <t>19,53</t>
  </si>
  <si>
    <t>880,38</t>
  </si>
  <si>
    <t>1.235,62</t>
  </si>
  <si>
    <t>156,42</t>
  </si>
  <si>
    <t>TESTE</t>
  </si>
  <si>
    <t xml:space="preserve">CX    </t>
  </si>
  <si>
    <t>65,63</t>
  </si>
  <si>
    <t>539,84</t>
  </si>
  <si>
    <t>10,51</t>
  </si>
  <si>
    <t>60,58</t>
  </si>
  <si>
    <t>28,55</t>
  </si>
  <si>
    <t>31,33</t>
  </si>
  <si>
    <t>34,57</t>
  </si>
  <si>
    <t>21,05</t>
  </si>
  <si>
    <t>14,04</t>
  </si>
  <si>
    <t>100,81</t>
  </si>
  <si>
    <t>648,42</t>
  </si>
  <si>
    <t>166,95</t>
  </si>
  <si>
    <t>86,02</t>
  </si>
  <si>
    <t>164,42</t>
  </si>
  <si>
    <t>96,25</t>
  </si>
  <si>
    <t>51,35</t>
  </si>
  <si>
    <t>41,41</t>
  </si>
  <si>
    <t>185,40</t>
  </si>
  <si>
    <t>198,03</t>
  </si>
  <si>
    <t>47,46</t>
  </si>
  <si>
    <t>81,37</t>
  </si>
  <si>
    <t>328,70</t>
  </si>
  <si>
    <t>91,16</t>
  </si>
  <si>
    <t>124,14</t>
  </si>
  <si>
    <t>94,03</t>
  </si>
  <si>
    <t>137,78</t>
  </si>
  <si>
    <t>78,98</t>
  </si>
  <si>
    <t>82,29</t>
  </si>
  <si>
    <t>71.519,88</t>
  </si>
  <si>
    <t>11.055,44</t>
  </si>
  <si>
    <t>5.071,30</t>
  </si>
  <si>
    <t>13.943,55</t>
  </si>
  <si>
    <t>90.434,39</t>
  </si>
  <si>
    <t>19.560,74</t>
  </si>
  <si>
    <t>6.194,23</t>
  </si>
  <si>
    <t>22.820,86</t>
  </si>
  <si>
    <t>6.918,70</t>
  </si>
  <si>
    <t>37.240,03</t>
  </si>
  <si>
    <t>8.947,23</t>
  </si>
  <si>
    <t>51.081,07</t>
  </si>
  <si>
    <t>751.423,90</t>
  </si>
  <si>
    <t>3.095.602,10</t>
  </si>
  <si>
    <t>728.991,00</t>
  </si>
  <si>
    <t>945.060,10</t>
  </si>
  <si>
    <t>939.279,82</t>
  </si>
  <si>
    <t>1.392.215,09</t>
  </si>
  <si>
    <t>762.984,25</t>
  </si>
  <si>
    <t>221.377,27</t>
  </si>
  <si>
    <t>256.516,52</t>
  </si>
  <si>
    <t>75.549,38</t>
  </si>
  <si>
    <t>122.514,74</t>
  </si>
  <si>
    <t>187.995,00</t>
  </si>
  <si>
    <t>181.098,91</t>
  </si>
  <si>
    <t>202.050,69</t>
  </si>
  <si>
    <t>32,36</t>
  </si>
  <si>
    <t>53,18</t>
  </si>
  <si>
    <t>112,85</t>
  </si>
  <si>
    <t>62,01</t>
  </si>
  <si>
    <t>132,87</t>
  </si>
  <si>
    <t>83,85</t>
  </si>
  <si>
    <t>57,42</t>
  </si>
  <si>
    <t>1.778,14</t>
  </si>
  <si>
    <t>102,90</t>
  </si>
  <si>
    <t>3.411,90</t>
  </si>
  <si>
    <t>1.890,69</t>
  </si>
  <si>
    <t>51,02</t>
  </si>
  <si>
    <t>64,28</t>
  </si>
  <si>
    <t>209,90</t>
  </si>
  <si>
    <t>305,40</t>
  </si>
  <si>
    <t>436,60</t>
  </si>
  <si>
    <t>479,07</t>
  </si>
  <si>
    <t>823,19</t>
  </si>
  <si>
    <t>539,28</t>
  </si>
  <si>
    <t>1.081,82</t>
  </si>
  <si>
    <t>625,69</t>
  </si>
  <si>
    <t>682,57</t>
  </si>
  <si>
    <t>811,97</t>
  </si>
  <si>
    <t>188,22</t>
  </si>
  <si>
    <t>38,44</t>
  </si>
  <si>
    <t>56,03</t>
  </si>
  <si>
    <t>80,79</t>
  </si>
  <si>
    <t>113,05</t>
  </si>
  <si>
    <t>129,88</t>
  </si>
  <si>
    <t>61,97</t>
  </si>
  <si>
    <t>42,30</t>
  </si>
  <si>
    <t>110,91</t>
  </si>
  <si>
    <t>89,37</t>
  </si>
  <si>
    <t>149,24</t>
  </si>
  <si>
    <t>205,54</t>
  </si>
  <si>
    <t>307,73</t>
  </si>
  <si>
    <t>333,74</t>
  </si>
  <si>
    <t>40,15</t>
  </si>
  <si>
    <t>129,97</t>
  </si>
  <si>
    <t>221,63</t>
  </si>
  <si>
    <t>357,97</t>
  </si>
  <si>
    <t>574,24</t>
  </si>
  <si>
    <t>86,58</t>
  </si>
  <si>
    <t>2.289,11</t>
  </si>
  <si>
    <t>652,64</t>
  </si>
  <si>
    <t>1.722,22</t>
  </si>
  <si>
    <t>3.592,74</t>
  </si>
  <si>
    <t>250,31</t>
  </si>
  <si>
    <t>296,05</t>
  </si>
  <si>
    <t>1.220,40</t>
  </si>
  <si>
    <t>13,58</t>
  </si>
  <si>
    <t>56,39</t>
  </si>
  <si>
    <t>86,61</t>
  </si>
  <si>
    <t>137,25</t>
  </si>
  <si>
    <t>90,05</t>
  </si>
  <si>
    <t>106,82</t>
  </si>
  <si>
    <t>121,91</t>
  </si>
  <si>
    <t>84,30</t>
  </si>
  <si>
    <t>147,95</t>
  </si>
  <si>
    <t>95,19</t>
  </si>
  <si>
    <t>143,77</t>
  </si>
  <si>
    <t>46,25</t>
  </si>
  <si>
    <t>318,41</t>
  </si>
  <si>
    <t>469,10</t>
  </si>
  <si>
    <t>74,83</t>
  </si>
  <si>
    <t>711,26</t>
  </si>
  <si>
    <t>563,20</t>
  </si>
  <si>
    <t>29,87</t>
  </si>
  <si>
    <t>65,21</t>
  </si>
  <si>
    <t>185,46</t>
  </si>
  <si>
    <t>261,28</t>
  </si>
  <si>
    <t>381,94</t>
  </si>
  <si>
    <t>125,45</t>
  </si>
  <si>
    <t>220,49</t>
  </si>
  <si>
    <t>181,45</t>
  </si>
  <si>
    <t>305,33</t>
  </si>
  <si>
    <t>396,16</t>
  </si>
  <si>
    <t>586,74</t>
  </si>
  <si>
    <t>90,55</t>
  </si>
  <si>
    <t>863,64</t>
  </si>
  <si>
    <t>39,35</t>
  </si>
  <si>
    <t>59,20</t>
  </si>
  <si>
    <t>246,13</t>
  </si>
  <si>
    <t>165,87</t>
  </si>
  <si>
    <t>323,37</t>
  </si>
  <si>
    <t>453,00</t>
  </si>
  <si>
    <t>482,97</t>
  </si>
  <si>
    <t>699,72</t>
  </si>
  <si>
    <t>1.938,92</t>
  </si>
  <si>
    <t>75,96</t>
  </si>
  <si>
    <t>85,72</t>
  </si>
  <si>
    <t>226,08</t>
  </si>
  <si>
    <t>275,98</t>
  </si>
  <si>
    <t>317,10</t>
  </si>
  <si>
    <t>355,43</t>
  </si>
  <si>
    <t>490,64</t>
  </si>
  <si>
    <t>521,30</t>
  </si>
  <si>
    <t>748,50</t>
  </si>
  <si>
    <t>2.174,43</t>
  </si>
  <si>
    <t>90,60</t>
  </si>
  <si>
    <t>220,23</t>
  </si>
  <si>
    <t>595,87</t>
  </si>
  <si>
    <t>720,48</t>
  </si>
  <si>
    <t>1.094,18</t>
  </si>
  <si>
    <t>132,41</t>
  </si>
  <si>
    <t>178,41</t>
  </si>
  <si>
    <t>216,04</t>
  </si>
  <si>
    <t>372,16</t>
  </si>
  <si>
    <t>387,77</t>
  </si>
  <si>
    <t>415,37</t>
  </si>
  <si>
    <t>649,54</t>
  </si>
  <si>
    <t>135,90</t>
  </si>
  <si>
    <t>139,38</t>
  </si>
  <si>
    <t>257,86</t>
  </si>
  <si>
    <t>316,40</t>
  </si>
  <si>
    <t>413,28</t>
  </si>
  <si>
    <t>422,41</t>
  </si>
  <si>
    <t>640,48</t>
  </si>
  <si>
    <t>829,35</t>
  </si>
  <si>
    <t>164,47</t>
  </si>
  <si>
    <t>342,89</t>
  </si>
  <si>
    <t>363,10</t>
  </si>
  <si>
    <t>473,91</t>
  </si>
  <si>
    <t>519,21</t>
  </si>
  <si>
    <t>735,26</t>
  </si>
  <si>
    <t>23,78</t>
  </si>
  <si>
    <t>67,56</t>
  </si>
  <si>
    <t>77,81</t>
  </si>
  <si>
    <t>29,18</t>
  </si>
  <si>
    <t>40,00</t>
  </si>
  <si>
    <t>51,89</t>
  </si>
  <si>
    <t>86,91</t>
  </si>
  <si>
    <t>75,67</t>
  </si>
  <si>
    <t>124,32</t>
  </si>
  <si>
    <t>25,50</t>
  </si>
  <si>
    <t>3.989,62</t>
  </si>
  <si>
    <t>97,78</t>
  </si>
  <si>
    <t>6.997,20</t>
  </si>
  <si>
    <t>9.547,94</t>
  </si>
  <si>
    <t>209,88</t>
  </si>
  <si>
    <t>9.057,36</t>
  </si>
  <si>
    <t>3.618,56</t>
  </si>
  <si>
    <t>327,18</t>
  </si>
  <si>
    <t>801,69</t>
  </si>
  <si>
    <t>1.291,23</t>
  </si>
  <si>
    <t>2.266,93</t>
  </si>
  <si>
    <t>3.371,57</t>
  </si>
  <si>
    <t>1.690,75</t>
  </si>
  <si>
    <t>2.205,87</t>
  </si>
  <si>
    <t>22,19</t>
  </si>
  <si>
    <t>77,73</t>
  </si>
  <si>
    <t>101,24</t>
  </si>
  <si>
    <t>241,65</t>
  </si>
  <si>
    <t>3.218,17</t>
  </si>
  <si>
    <t>3.946,77</t>
  </si>
  <si>
    <t>4.574,63</t>
  </si>
  <si>
    <t>6.042,43</t>
  </si>
  <si>
    <t>1.071,00</t>
  </si>
  <si>
    <t>1.491,62</t>
  </si>
  <si>
    <t>2.123,99</t>
  </si>
  <si>
    <t>18,09</t>
  </si>
  <si>
    <t>25,33</t>
  </si>
  <si>
    <t>178,56</t>
  </si>
  <si>
    <t>43,22</t>
  </si>
  <si>
    <t>101,02</t>
  </si>
  <si>
    <t>203,28</t>
  </si>
  <si>
    <t>39,53</t>
  </si>
  <si>
    <t>52,41</t>
  </si>
  <si>
    <t>101,08</t>
  </si>
  <si>
    <t>149,64</t>
  </si>
  <si>
    <t>14,47</t>
  </si>
  <si>
    <t>37,02</t>
  </si>
  <si>
    <t>67,13</t>
  </si>
  <si>
    <t>109,85</t>
  </si>
  <si>
    <t>181,72</t>
  </si>
  <si>
    <t>253,23</t>
  </si>
  <si>
    <t>357,31</t>
  </si>
  <si>
    <t>414,31</t>
  </si>
  <si>
    <t>142,50</t>
  </si>
  <si>
    <t>253,41</t>
  </si>
  <si>
    <t>111,03</t>
  </si>
  <si>
    <t>192,53</t>
  </si>
  <si>
    <t>322,02</t>
  </si>
  <si>
    <t>376,23</t>
  </si>
  <si>
    <t>534,25</t>
  </si>
  <si>
    <t>64,94</t>
  </si>
  <si>
    <t>23,74</t>
  </si>
  <si>
    <t>46,63</t>
  </si>
  <si>
    <t>58,84</t>
  </si>
  <si>
    <t>29,23</t>
  </si>
  <si>
    <t>35,69</t>
  </si>
  <si>
    <t>28,69</t>
  </si>
  <si>
    <t>21,19</t>
  </si>
  <si>
    <t>101,91</t>
  </si>
  <si>
    <t>123,03</t>
  </si>
  <si>
    <t>176,93</t>
  </si>
  <si>
    <t>185,49</t>
  </si>
  <si>
    <t>85,92</t>
  </si>
  <si>
    <t>9,09</t>
  </si>
  <si>
    <t>53,56</t>
  </si>
  <si>
    <t>3.037,34</t>
  </si>
  <si>
    <t>3.871,88</t>
  </si>
  <si>
    <t>3.916,13</t>
  </si>
  <si>
    <t>172,12</t>
  </si>
  <si>
    <t>110,48</t>
  </si>
  <si>
    <t>278,32</t>
  </si>
  <si>
    <t>473,66</t>
  </si>
  <si>
    <t>191,92</t>
  </si>
  <si>
    <t>280,51</t>
  </si>
  <si>
    <t>354,34</t>
  </si>
  <si>
    <t>63,85</t>
  </si>
  <si>
    <t>46,03</t>
  </si>
  <si>
    <t>22,10</t>
  </si>
  <si>
    <t>112,00</t>
  </si>
  <si>
    <t>67,69</t>
  </si>
  <si>
    <t>21,37</t>
  </si>
  <si>
    <t>173,51</t>
  </si>
  <si>
    <t>243,58</t>
  </si>
  <si>
    <t>32,16</t>
  </si>
  <si>
    <t>36,48</t>
  </si>
  <si>
    <t>44,24</t>
  </si>
  <si>
    <t>243,35</t>
  </si>
  <si>
    <t>485,22</t>
  </si>
  <si>
    <t>31,05</t>
  </si>
  <si>
    <t>84,62</t>
  </si>
  <si>
    <t>262,55</t>
  </si>
  <si>
    <t>80,19</t>
  </si>
  <si>
    <t>114,73</t>
  </si>
  <si>
    <t>19,04</t>
  </si>
  <si>
    <t>103,72</t>
  </si>
  <si>
    <t>150,54</t>
  </si>
  <si>
    <t>221,96</t>
  </si>
  <si>
    <t>91.260,90</t>
  </si>
  <si>
    <t>113.664,24</t>
  </si>
  <si>
    <t>2.210.996,16</t>
  </si>
  <si>
    <t>5.821.474,86</t>
  </si>
  <si>
    <t>484.089,77</t>
  </si>
  <si>
    <t>1.800.000,00</t>
  </si>
  <si>
    <t>928.525,14</t>
  </si>
  <si>
    <t>228,90</t>
  </si>
  <si>
    <t>185,43</t>
  </si>
  <si>
    <t>46,60</t>
  </si>
  <si>
    <t>201,12</t>
  </si>
  <si>
    <t>53,79</t>
  </si>
  <si>
    <t>89,61</t>
  </si>
  <si>
    <t>56,45</t>
  </si>
  <si>
    <t>258,85</t>
  </si>
  <si>
    <t>144,85</t>
  </si>
  <si>
    <t>354,86</t>
  </si>
  <si>
    <t>624,52</t>
  </si>
  <si>
    <t>185,54</t>
  </si>
  <si>
    <t>166,02</t>
  </si>
  <si>
    <t>67,33</t>
  </si>
  <si>
    <t>110,90</t>
  </si>
  <si>
    <t>371,72</t>
  </si>
  <si>
    <t>259,94</t>
  </si>
  <si>
    <t>81,59</t>
  </si>
  <si>
    <t>513,42</t>
  </si>
  <si>
    <t>796,32</t>
  </si>
  <si>
    <t>98,77</t>
  </si>
  <si>
    <t>85,73</t>
  </si>
  <si>
    <t>57,15</t>
  </si>
  <si>
    <t>230,62</t>
  </si>
  <si>
    <t>143,92</t>
  </si>
  <si>
    <t>52,30</t>
  </si>
  <si>
    <t>546,57</t>
  </si>
  <si>
    <t>50,45</t>
  </si>
  <si>
    <t>3,86</t>
  </si>
  <si>
    <t>41,82</t>
  </si>
  <si>
    <t>70,28</t>
  </si>
  <si>
    <t>44,80</t>
  </si>
  <si>
    <t>46,30</t>
  </si>
  <si>
    <t>321,86</t>
  </si>
  <si>
    <t>59.070,66</t>
  </si>
  <si>
    <t>29,78</t>
  </si>
  <si>
    <t>1.334,25</t>
  </si>
  <si>
    <t>1.450,27</t>
  </si>
  <si>
    <t>1.626,86</t>
  </si>
  <si>
    <t>3.500,00</t>
  </si>
  <si>
    <t>3.139,80</t>
  </si>
  <si>
    <t>3.824,66</t>
  </si>
  <si>
    <t>4.337.218,30</t>
  </si>
  <si>
    <t>1.825.918,56</t>
  </si>
  <si>
    <t>1.839.149,99</t>
  </si>
  <si>
    <t>2.228.150,00</t>
  </si>
  <si>
    <t>1.974.109,03</t>
  </si>
  <si>
    <t>2.839,68</t>
  </si>
  <si>
    <t>475,59</t>
  </si>
  <si>
    <t>414,00</t>
  </si>
  <si>
    <t>1.076,39</t>
  </si>
  <si>
    <t>1.258,56</t>
  </si>
  <si>
    <t>370,94</t>
  </si>
  <si>
    <t>115,92</t>
  </si>
  <si>
    <t>267,44</t>
  </si>
  <si>
    <t>132,48</t>
  </si>
  <si>
    <t>198,72</t>
  </si>
  <si>
    <t>143,00</t>
  </si>
  <si>
    <t>248,39</t>
  </si>
  <si>
    <t>74,52</t>
  </si>
  <si>
    <t>140,76</t>
  </si>
  <si>
    <t>205,34</t>
  </si>
  <si>
    <t>188,60</t>
  </si>
  <si>
    <t>111,29</t>
  </si>
  <si>
    <t>145,28</t>
  </si>
  <si>
    <t>204,00</t>
  </si>
  <si>
    <t>237,70</t>
  </si>
  <si>
    <t>134,29</t>
  </si>
  <si>
    <t>181,43</t>
  </si>
  <si>
    <t>69,73</t>
  </si>
  <si>
    <t>44,77</t>
  </si>
  <si>
    <t>2.123,58</t>
  </si>
  <si>
    <t>TOTAL DE INSUMOS : 5182</t>
  </si>
  <si>
    <t>MES DE COLETA: 05/2021</t>
  </si>
  <si>
    <t>ENCARGOS SOCIAIS (%) HORISTA 113,69  MENSALISTA  73,06</t>
  </si>
  <si>
    <t>CODIGO  DA COMPOSICAO</t>
  </si>
  <si>
    <t>CLASSE</t>
  </si>
  <si>
    <t>ABRANGÊNCIA : NACIONAL                             LOCALIDADE  : BRASILIA                       DATA DE PREÇO   : 05/2021 REFERÊNCIA COLETA : MEDIANO</t>
  </si>
  <si>
    <t>PCI.817.01 - CUSTO DE COMPOSIÇÕES - SINTÉTICO                     DATA DE EMISSÃO: 11/06/2021 23:21:19            DATA DE RT: 11/06/2021</t>
  </si>
  <si>
    <t>12,78</t>
  </si>
  <si>
    <t>41,52</t>
  </si>
  <si>
    <t>45,67</t>
  </si>
  <si>
    <t>54,44</t>
  </si>
  <si>
    <t>50,46</t>
  </si>
  <si>
    <t>59,33</t>
  </si>
  <si>
    <t>68,19</t>
  </si>
  <si>
    <t>77,08</t>
  </si>
  <si>
    <t>98,26</t>
  </si>
  <si>
    <t>41,72</t>
  </si>
  <si>
    <t>73,67</t>
  </si>
  <si>
    <t>81,31</t>
  </si>
  <si>
    <t>45,17</t>
  </si>
  <si>
    <t>94,55</t>
  </si>
  <si>
    <t>140,68</t>
  </si>
  <si>
    <t>237,55</t>
  </si>
  <si>
    <t>381,32</t>
  </si>
  <si>
    <t>471,59</t>
  </si>
  <si>
    <t>610,76</t>
  </si>
  <si>
    <t>76,20</t>
  </si>
  <si>
    <t>121,98</t>
  </si>
  <si>
    <t>200,01</t>
  </si>
  <si>
    <t>277,02</t>
  </si>
  <si>
    <t>389,76</t>
  </si>
  <si>
    <t>453,92</t>
  </si>
  <si>
    <t>1.295,82</t>
  </si>
  <si>
    <t>19,31</t>
  </si>
  <si>
    <t>37,16</t>
  </si>
  <si>
    <t>41,60</t>
  </si>
  <si>
    <t>46,05</t>
  </si>
  <si>
    <t>50,49</t>
  </si>
  <si>
    <t>63,83</t>
  </si>
  <si>
    <t>264,65</t>
  </si>
  <si>
    <t>313,33</t>
  </si>
  <si>
    <t>1.830,09</t>
  </si>
  <si>
    <t>ASSENTAMENTO DE TUBO DE PEAD CORRUGADO DE DUPLA PAREDE PARA REDE COLETORA DE ESGOTO, DN 900 MM, JUNTA ELÁSTICA INTEGRADA (NÃO INCLUI FORNECIMENTO). AF_01/2021</t>
  </si>
  <si>
    <t>25,02</t>
  </si>
  <si>
    <t>TUBO DE PEAD CORRUGADO DE DUPLA PAREDE PARA REDE COLETORA DE ESGOTO, DN 1000 MM, JUNTA ELÁSTICA INTEGRADA - FORNECIMENTO E ASSENTAMENTO. AF_01/2021</t>
  </si>
  <si>
    <t>2.436,58</t>
  </si>
  <si>
    <t>ASSENTAMENTO DE TUBO DE PEAD CORRUGADO DE DUPLA PAREDE PARA REDE COLETORA DE ESGOTO, DN 1000 MM, JUNTA ELÁSTICA INTEGRADA (NÃO INCLUI FORNECIMENTO). AF_01/2021</t>
  </si>
  <si>
    <t>33,02</t>
  </si>
  <si>
    <t>TUBO DE PEAD CORRUGADO DE DUPLA PAREDE PARA REDE COLETORA DE ESGOTO, DN 1200 MM, JUNTA ELÁSTICA INTEGRADA - FORNECIMENTO E ASSENTAMENTO. AF_01/2021</t>
  </si>
  <si>
    <t>3.810,40</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</si>
  <si>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</si>
  <si>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</si>
  <si>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81,63</t>
  </si>
  <si>
    <t>103,90</t>
  </si>
  <si>
    <t>117,25</t>
  </si>
  <si>
    <t>143,93</t>
  </si>
  <si>
    <t>185,04</t>
  </si>
  <si>
    <t>197,57</t>
  </si>
  <si>
    <t>333,48</t>
  </si>
  <si>
    <t>408,73</t>
  </si>
  <si>
    <t>514,31</t>
  </si>
  <si>
    <t>14,10</t>
  </si>
  <si>
    <t>544,14</t>
  </si>
  <si>
    <t>764,98</t>
  </si>
  <si>
    <t>796,99</t>
  </si>
  <si>
    <t>19,72</t>
  </si>
  <si>
    <t>191,11</t>
  </si>
  <si>
    <t>205,16</t>
  </si>
  <si>
    <t>342,86</t>
  </si>
  <si>
    <t>419,73</t>
  </si>
  <si>
    <t>526,93</t>
  </si>
  <si>
    <t>26,70</t>
  </si>
  <si>
    <t>558,42</t>
  </si>
  <si>
    <t>781,01</t>
  </si>
  <si>
    <t>814,65</t>
  </si>
  <si>
    <t>127,64</t>
  </si>
  <si>
    <t>153,42</t>
  </si>
  <si>
    <t>227,93</t>
  </si>
  <si>
    <t>299,00</t>
  </si>
  <si>
    <t>361,05</t>
  </si>
  <si>
    <t>414,58</t>
  </si>
  <si>
    <t>433,96</t>
  </si>
  <si>
    <t>162,79</t>
  </si>
  <si>
    <t>238,89</t>
  </si>
  <si>
    <t>311,75</t>
  </si>
  <si>
    <t>375,32</t>
  </si>
  <si>
    <t>430,43</t>
  </si>
  <si>
    <t>451,69</t>
  </si>
  <si>
    <t>57,09</t>
  </si>
  <si>
    <t>76,80</t>
  </si>
  <si>
    <t>100,89</t>
  </si>
  <si>
    <t>623,70</t>
  </si>
  <si>
    <t>126,25</t>
  </si>
  <si>
    <t>890,65</t>
  </si>
  <si>
    <t>169,94</t>
  </si>
  <si>
    <t>46,91</t>
  </si>
  <si>
    <t>57,28</t>
  </si>
  <si>
    <t>68,05</t>
  </si>
  <si>
    <t>78,89</t>
  </si>
  <si>
    <t>103,82</t>
  </si>
  <si>
    <t>644,60</t>
  </si>
  <si>
    <t>147,15</t>
  </si>
  <si>
    <t>916,32</t>
  </si>
  <si>
    <t>195,61</t>
  </si>
  <si>
    <t>108,95</t>
  </si>
  <si>
    <t>71,92</t>
  </si>
  <si>
    <t>88,10</t>
  </si>
  <si>
    <t>120,45</t>
  </si>
  <si>
    <t>95,68</t>
  </si>
  <si>
    <t>129,85</t>
  </si>
  <si>
    <t>1.015,84</t>
  </si>
  <si>
    <t>970,36</t>
  </si>
  <si>
    <t>773,46</t>
  </si>
  <si>
    <t>826,65</t>
  </si>
  <si>
    <t>518,84</t>
  </si>
  <si>
    <t>519,74</t>
  </si>
  <si>
    <t>869,42</t>
  </si>
  <si>
    <t>901,71</t>
  </si>
  <si>
    <t>4.794,11</t>
  </si>
  <si>
    <t>7.407,00</t>
  </si>
  <si>
    <t>241,57</t>
  </si>
  <si>
    <t>394,07</t>
  </si>
  <si>
    <t>761,54</t>
  </si>
  <si>
    <t>1.013,01</t>
  </si>
  <si>
    <t>121,90</t>
  </si>
  <si>
    <t>105,45</t>
  </si>
  <si>
    <t>107,56</t>
  </si>
  <si>
    <t>192,24</t>
  </si>
  <si>
    <t>125,22</t>
  </si>
  <si>
    <t>159,35</t>
  </si>
  <si>
    <t>154,51</t>
  </si>
  <si>
    <t>158,82</t>
  </si>
  <si>
    <t>135,52</t>
  </si>
  <si>
    <t>138,14</t>
  </si>
  <si>
    <t>242,17</t>
  </si>
  <si>
    <t>160,33</t>
  </si>
  <si>
    <t>205,89</t>
  </si>
  <si>
    <t>133,38</t>
  </si>
  <si>
    <t>4.017,33</t>
  </si>
  <si>
    <t>6.082,44</t>
  </si>
  <si>
    <t>145,61</t>
  </si>
  <si>
    <t>103,92</t>
  </si>
  <si>
    <t>96,34</t>
  </si>
  <si>
    <t>108,34</t>
  </si>
  <si>
    <t>21,82</t>
  </si>
  <si>
    <t>176,46</t>
  </si>
  <si>
    <t>140,48</t>
  </si>
  <si>
    <t>338,52</t>
  </si>
  <si>
    <t>180,42</t>
  </si>
  <si>
    <t>187,78</t>
  </si>
  <si>
    <t>178,77</t>
  </si>
  <si>
    <t>474,27</t>
  </si>
  <si>
    <t>106,81</t>
  </si>
  <si>
    <t>96,27</t>
  </si>
  <si>
    <t>90,71</t>
  </si>
  <si>
    <t>89,87</t>
  </si>
  <si>
    <t>141,18</t>
  </si>
  <si>
    <t>137,62</t>
  </si>
  <si>
    <t>217,31</t>
  </si>
  <si>
    <t>27,31</t>
  </si>
  <si>
    <t>178,27</t>
  </si>
  <si>
    <t>166,07</t>
  </si>
  <si>
    <t>137,43</t>
  </si>
  <si>
    <t>151,66</t>
  </si>
  <si>
    <t>43,65</t>
  </si>
  <si>
    <t>179,98</t>
  </si>
  <si>
    <t>176,21</t>
  </si>
  <si>
    <t>150,66</t>
  </si>
  <si>
    <t>129,77</t>
  </si>
  <si>
    <t>143,78</t>
  </si>
  <si>
    <t>119,60</t>
  </si>
  <si>
    <t>217,69</t>
  </si>
  <si>
    <t>3,98</t>
  </si>
  <si>
    <t>149,78</t>
  </si>
  <si>
    <t>173,35</t>
  </si>
  <si>
    <t>134,63</t>
  </si>
  <si>
    <t>515,49</t>
  </si>
  <si>
    <t>1.214,06</t>
  </si>
  <si>
    <t>1.052,26</t>
  </si>
  <si>
    <t>290,41</t>
  </si>
  <si>
    <t>134,49</t>
  </si>
  <si>
    <t>236,81</t>
  </si>
  <si>
    <t>101,32</t>
  </si>
  <si>
    <t>22,81</t>
  </si>
  <si>
    <t>454,11</t>
  </si>
  <si>
    <t>273,19</t>
  </si>
  <si>
    <t>120,77</t>
  </si>
  <si>
    <t>91,56</t>
  </si>
  <si>
    <t>56,54</t>
  </si>
  <si>
    <t>146,12</t>
  </si>
  <si>
    <t>141,79</t>
  </si>
  <si>
    <t>173,21</t>
  </si>
  <si>
    <t>184,91</t>
  </si>
  <si>
    <t>26,23</t>
  </si>
  <si>
    <t>156,87</t>
  </si>
  <si>
    <t>339,97</t>
  </si>
  <si>
    <t>222,43</t>
  </si>
  <si>
    <t>64,45</t>
  </si>
  <si>
    <t>297,98</t>
  </si>
  <si>
    <t>673,01</t>
  </si>
  <si>
    <t>332,03</t>
  </si>
  <si>
    <t>175,42</t>
  </si>
  <si>
    <t>71,21</t>
  </si>
  <si>
    <t>2.484,45</t>
  </si>
  <si>
    <t>124,82</t>
  </si>
  <si>
    <t>218,64</t>
  </si>
  <si>
    <t>160,37</t>
  </si>
  <si>
    <t>116,43</t>
  </si>
  <si>
    <t>155,70</t>
  </si>
  <si>
    <t>28,90</t>
  </si>
  <si>
    <t>111,52</t>
  </si>
  <si>
    <t>177,76</t>
  </si>
  <si>
    <t>220,65</t>
  </si>
  <si>
    <t>187,43</t>
  </si>
  <si>
    <t>187,04</t>
  </si>
  <si>
    <t>193,09</t>
  </si>
  <si>
    <t>139,49</t>
  </si>
  <si>
    <t>102,65</t>
  </si>
  <si>
    <t>168,32</t>
  </si>
  <si>
    <t>143,79</t>
  </si>
  <si>
    <t>409,01</t>
  </si>
  <si>
    <t>872,79</t>
  </si>
  <si>
    <t>57,88</t>
  </si>
  <si>
    <t>42,06</t>
  </si>
  <si>
    <t>127,25</t>
  </si>
  <si>
    <t>54,40</t>
  </si>
  <si>
    <t>41,38</t>
  </si>
  <si>
    <t>37,69</t>
  </si>
  <si>
    <t>31,49</t>
  </si>
  <si>
    <t>57,81</t>
  </si>
  <si>
    <t>47,07</t>
  </si>
  <si>
    <t>39,29</t>
  </si>
  <si>
    <t>49,08</t>
  </si>
  <si>
    <t>4,90</t>
  </si>
  <si>
    <t>47,68</t>
  </si>
  <si>
    <t>61,82</t>
  </si>
  <si>
    <t>166,10</t>
  </si>
  <si>
    <t>358,51</t>
  </si>
  <si>
    <t>314,42</t>
  </si>
  <si>
    <t>108,26</t>
  </si>
  <si>
    <t>59,64</t>
  </si>
  <si>
    <t>54,47</t>
  </si>
  <si>
    <t>0,84</t>
  </si>
  <si>
    <t>182,57</t>
  </si>
  <si>
    <t>108,69</t>
  </si>
  <si>
    <t>49,22</t>
  </si>
  <si>
    <t>37,92</t>
  </si>
  <si>
    <t>19,42</t>
  </si>
  <si>
    <t>42,42</t>
  </si>
  <si>
    <t>30,30</t>
  </si>
  <si>
    <t>50,03</t>
  </si>
  <si>
    <t>273,54</t>
  </si>
  <si>
    <t>52,22</t>
  </si>
  <si>
    <t>98,09</t>
  </si>
  <si>
    <t>175,11</t>
  </si>
  <si>
    <t>133,97</t>
  </si>
  <si>
    <t>52,98</t>
  </si>
  <si>
    <t>63,92</t>
  </si>
  <si>
    <t>62,39</t>
  </si>
  <si>
    <t>33,41</t>
  </si>
  <si>
    <t>45,30</t>
  </si>
  <si>
    <t>33,60</t>
  </si>
  <si>
    <t>48,53</t>
  </si>
  <si>
    <t>38,81</t>
  </si>
  <si>
    <t>294,47</t>
  </si>
  <si>
    <t>30,81</t>
  </si>
  <si>
    <t>4,18</t>
  </si>
  <si>
    <t>38,52</t>
  </si>
  <si>
    <t>49,21</t>
  </si>
  <si>
    <t>37,65</t>
  </si>
  <si>
    <t>143,27</t>
  </si>
  <si>
    <t>68,00</t>
  </si>
  <si>
    <t>71,61</t>
  </si>
  <si>
    <t>165,61</t>
  </si>
  <si>
    <t>40,53</t>
  </si>
  <si>
    <t>32,92</t>
  </si>
  <si>
    <t>21,06</t>
  </si>
  <si>
    <t>120,78</t>
  </si>
  <si>
    <t>20,37</t>
  </si>
  <si>
    <t>17,16</t>
  </si>
  <si>
    <t>30,01</t>
  </si>
  <si>
    <t>53,74</t>
  </si>
  <si>
    <t>163,22</t>
  </si>
  <si>
    <t>30,09</t>
  </si>
  <si>
    <t>26,69</t>
  </si>
  <si>
    <t>33,40</t>
  </si>
  <si>
    <t>68,18</t>
  </si>
  <si>
    <t>62,24</t>
  </si>
  <si>
    <t>131,29</t>
  </si>
  <si>
    <t>40,76</t>
  </si>
  <si>
    <t>77,37</t>
  </si>
  <si>
    <t>88,97</t>
  </si>
  <si>
    <t>52,54</t>
  </si>
  <si>
    <t>172,11</t>
  </si>
  <si>
    <t>47,71</t>
  </si>
  <si>
    <t>87,10</t>
  </si>
  <si>
    <t>146,97</t>
  </si>
  <si>
    <t>61,10</t>
  </si>
  <si>
    <t>40,57</t>
  </si>
  <si>
    <t>136,04</t>
  </si>
  <si>
    <t>2,77</t>
  </si>
  <si>
    <t>36,75</t>
  </si>
  <si>
    <t>48,76</t>
  </si>
  <si>
    <t>59,68</t>
  </si>
  <si>
    <t>4,65</t>
  </si>
  <si>
    <t>42,85</t>
  </si>
  <si>
    <t>68,68</t>
  </si>
  <si>
    <t>21,66</t>
  </si>
  <si>
    <t>152,08</t>
  </si>
  <si>
    <t>22,67</t>
  </si>
  <si>
    <t>23,40</t>
  </si>
  <si>
    <t>2,96</t>
  </si>
  <si>
    <t>27,58</t>
  </si>
  <si>
    <t>221,75</t>
  </si>
  <si>
    <t>518,01</t>
  </si>
  <si>
    <t>337,54</t>
  </si>
  <si>
    <t>89,12</t>
  </si>
  <si>
    <t>252,35</t>
  </si>
  <si>
    <t>450,12</t>
  </si>
  <si>
    <t>287,72</t>
  </si>
  <si>
    <t>73,03</t>
  </si>
  <si>
    <t>117,40</t>
  </si>
  <si>
    <t>64,75</t>
  </si>
  <si>
    <t>52,69</t>
  </si>
  <si>
    <t>23,64</t>
  </si>
  <si>
    <t>5,21</t>
  </si>
  <si>
    <t>155,38</t>
  </si>
  <si>
    <t>39,25</t>
  </si>
  <si>
    <t>7,03</t>
  </si>
  <si>
    <t>11,42</t>
  </si>
  <si>
    <t>143,95</t>
  </si>
  <si>
    <t>180,14</t>
  </si>
  <si>
    <t>91,40</t>
  </si>
  <si>
    <t>75,48</t>
  </si>
  <si>
    <t>94,45</t>
  </si>
  <si>
    <t>43,46</t>
  </si>
  <si>
    <t>40,03</t>
  </si>
  <si>
    <t>46,29</t>
  </si>
  <si>
    <t>108,76</t>
  </si>
  <si>
    <t>34,58</t>
  </si>
  <si>
    <t>108,30</t>
  </si>
  <si>
    <t>163,92</t>
  </si>
  <si>
    <t>102,23</t>
  </si>
  <si>
    <t>26,98</t>
  </si>
  <si>
    <t>230,05</t>
  </si>
  <si>
    <t>30,25</t>
  </si>
  <si>
    <t>37,05</t>
  </si>
  <si>
    <t>210,90</t>
  </si>
  <si>
    <t>223,83</t>
  </si>
  <si>
    <t>280,11</t>
  </si>
  <si>
    <t>119,36</t>
  </si>
  <si>
    <t>63,04</t>
  </si>
  <si>
    <t>101,34</t>
  </si>
  <si>
    <t>132,60</t>
  </si>
  <si>
    <t>6,02</t>
  </si>
  <si>
    <t>122,43</t>
  </si>
  <si>
    <t>72,00</t>
  </si>
  <si>
    <t>115,74</t>
  </si>
  <si>
    <t>2.193,60</t>
  </si>
  <si>
    <t>112,46</t>
  </si>
  <si>
    <t>24,63</t>
  </si>
  <si>
    <t>33,98</t>
  </si>
  <si>
    <t>30,06</t>
  </si>
  <si>
    <t>208,57</t>
  </si>
  <si>
    <t>5,83</t>
  </si>
  <si>
    <t>14,20</t>
  </si>
  <si>
    <t>39,49</t>
  </si>
  <si>
    <t>46,93</t>
  </si>
  <si>
    <t>58,73</t>
  </si>
  <si>
    <t>37,51</t>
  </si>
  <si>
    <t>39,97</t>
  </si>
  <si>
    <t>88,43</t>
  </si>
  <si>
    <t>142,80</t>
  </si>
  <si>
    <t>232,85</t>
  </si>
  <si>
    <t>374,32</t>
  </si>
  <si>
    <t>395,39</t>
  </si>
  <si>
    <t>451,93</t>
  </si>
  <si>
    <t>595,00</t>
  </si>
  <si>
    <t>65,36</t>
  </si>
  <si>
    <t>85,71</t>
  </si>
  <si>
    <t>19,56</t>
  </si>
  <si>
    <t>867,24</t>
  </si>
  <si>
    <t>1.068,51</t>
  </si>
  <si>
    <t>1.128,95</t>
  </si>
  <si>
    <t>1.257,50</t>
  </si>
  <si>
    <t>1.579,24</t>
  </si>
  <si>
    <t>1.938,91</t>
  </si>
  <si>
    <t>2.016,39</t>
  </si>
  <si>
    <t>2.193,70</t>
  </si>
  <si>
    <t>2.524,62</t>
  </si>
  <si>
    <t>2.613,37</t>
  </si>
  <si>
    <t>855,66</t>
  </si>
  <si>
    <t>1.048,22</t>
  </si>
  <si>
    <t>1.108,66</t>
  </si>
  <si>
    <t>1.245,92</t>
  </si>
  <si>
    <t>1.557,68</t>
  </si>
  <si>
    <t>1.909,54</t>
  </si>
  <si>
    <t>1.987,82</t>
  </si>
  <si>
    <t>2.144,84</t>
  </si>
  <si>
    <t>2.467,48</t>
  </si>
  <si>
    <t>2.543,38</t>
  </si>
  <si>
    <t>33,19</t>
  </si>
  <si>
    <t>38,02</t>
  </si>
  <si>
    <t>46,34</t>
  </si>
  <si>
    <t>32,46</t>
  </si>
  <si>
    <t>46,16</t>
  </si>
  <si>
    <t>51,37</t>
  </si>
  <si>
    <t>42,08</t>
  </si>
  <si>
    <t>TELHAMENTO COM TELHA ESTRUTURAL DE FIBROCIMENTO E= 8 MM, COM ATÉ 2 ÁGUAS, INCLUSO IÇAMENTO. AF_07/2019_P</t>
  </si>
  <si>
    <t>92,50</t>
  </si>
  <si>
    <t>81,76</t>
  </si>
  <si>
    <t>244,67</t>
  </si>
  <si>
    <t>44,95</t>
  </si>
  <si>
    <t>22,85</t>
  </si>
  <si>
    <t>120,67</t>
  </si>
  <si>
    <t>57,00</t>
  </si>
  <si>
    <t>65,10</t>
  </si>
  <si>
    <t>87,23</t>
  </si>
  <si>
    <t>168,86</t>
  </si>
  <si>
    <t>49,32</t>
  </si>
  <si>
    <t>140,69</t>
  </si>
  <si>
    <t>173,97</t>
  </si>
  <si>
    <t>206,94</t>
  </si>
  <si>
    <t>259,97</t>
  </si>
  <si>
    <t>142,02</t>
  </si>
  <si>
    <t>79,54</t>
  </si>
  <si>
    <t>50,60</t>
  </si>
  <si>
    <t>148,88</t>
  </si>
  <si>
    <t>89,92</t>
  </si>
  <si>
    <t>53,44</t>
  </si>
  <si>
    <t>144,07</t>
  </si>
  <si>
    <t>151,47</t>
  </si>
  <si>
    <t>76,64</t>
  </si>
  <si>
    <t>52,36</t>
  </si>
  <si>
    <t>55,01</t>
  </si>
  <si>
    <t>725,16</t>
  </si>
  <si>
    <t>866,25</t>
  </si>
  <si>
    <t>1.007,34</t>
  </si>
  <si>
    <t>1.271,86</t>
  </si>
  <si>
    <t>1.412,95</t>
  </si>
  <si>
    <t>1.587,01</t>
  </si>
  <si>
    <t>1.853,96</t>
  </si>
  <si>
    <t>2.054,13</t>
  </si>
  <si>
    <t>2.195,22</t>
  </si>
  <si>
    <t>2.372,04</t>
  </si>
  <si>
    <t>830,53</t>
  </si>
  <si>
    <t>971,62</t>
  </si>
  <si>
    <t>1.200,41</t>
  </si>
  <si>
    <t>1.341,51</t>
  </si>
  <si>
    <t>1.515,57</t>
  </si>
  <si>
    <t>1.711,07</t>
  </si>
  <si>
    <t>1.946,97</t>
  </si>
  <si>
    <t>2.088,06</t>
  </si>
  <si>
    <t>2.229,15</t>
  </si>
  <si>
    <t>899,14</t>
  </si>
  <si>
    <t>1.224,85</t>
  </si>
  <si>
    <t>1.286,37</t>
  </si>
  <si>
    <t>1.426,80</t>
  </si>
  <si>
    <t>1.778,19</t>
  </si>
  <si>
    <t>2.359,55</t>
  </si>
  <si>
    <t>2.435,89</t>
  </si>
  <si>
    <t>2.645,70</t>
  </si>
  <si>
    <t>3.043,48</t>
  </si>
  <si>
    <t>3.244,64</t>
  </si>
  <si>
    <t>875,98</t>
  </si>
  <si>
    <t>1.196,28</t>
  </si>
  <si>
    <t>1.257,80</t>
  </si>
  <si>
    <t>1.486,73</t>
  </si>
  <si>
    <t>1.701,99</t>
  </si>
  <si>
    <t>2.229,02</t>
  </si>
  <si>
    <t>2.303,44</t>
  </si>
  <si>
    <t>2.470,26</t>
  </si>
  <si>
    <t>2.783,21</t>
  </si>
  <si>
    <t>2.728,38</t>
  </si>
  <si>
    <t>862,58</t>
  </si>
  <si>
    <t>178,37</t>
  </si>
  <si>
    <t>580,08</t>
  </si>
  <si>
    <t>553,62</t>
  </si>
  <si>
    <t>705,80</t>
  </si>
  <si>
    <t>647,09</t>
  </si>
  <si>
    <t>777,40</t>
  </si>
  <si>
    <t>700,71</t>
  </si>
  <si>
    <t>799,79</t>
  </si>
  <si>
    <t>1.331,39</t>
  </si>
  <si>
    <t>1.640,32</t>
  </si>
  <si>
    <t>1.947,99</t>
  </si>
  <si>
    <t>491,27</t>
  </si>
  <si>
    <t>449,33</t>
  </si>
  <si>
    <t>199,82</t>
  </si>
  <si>
    <t>229,24</t>
  </si>
  <si>
    <t>264,75</t>
  </si>
  <si>
    <t>649,89</t>
  </si>
  <si>
    <t>117,55</t>
  </si>
  <si>
    <t>128,11</t>
  </si>
  <si>
    <t>153,56</t>
  </si>
  <si>
    <t>164,15</t>
  </si>
  <si>
    <t>129,59</t>
  </si>
  <si>
    <t>141,40</t>
  </si>
  <si>
    <t>179,92</t>
  </si>
  <si>
    <t>113,08</t>
  </si>
  <si>
    <t>132,85</t>
  </si>
  <si>
    <t>118,45</t>
  </si>
  <si>
    <t>138,08</t>
  </si>
  <si>
    <t>126,56</t>
  </si>
  <si>
    <t>147,44</t>
  </si>
  <si>
    <t>136,03</t>
  </si>
  <si>
    <t>127,26</t>
  </si>
  <si>
    <t>138,12</t>
  </si>
  <si>
    <t>164,71</t>
  </si>
  <si>
    <t>175,74</t>
  </si>
  <si>
    <t>149,86</t>
  </si>
  <si>
    <t>176,98</t>
  </si>
  <si>
    <t>189,60</t>
  </si>
  <si>
    <t>118,55</t>
  </si>
  <si>
    <t>138,67</t>
  </si>
  <si>
    <t>121,48</t>
  </si>
  <si>
    <t>141,48</t>
  </si>
  <si>
    <t>131,88</t>
  </si>
  <si>
    <t>139,62</t>
  </si>
  <si>
    <t>160,88</t>
  </si>
  <si>
    <t>174,89</t>
  </si>
  <si>
    <t>162,43</t>
  </si>
  <si>
    <t>154,96</t>
  </si>
  <si>
    <t>149,70</t>
  </si>
  <si>
    <t>145,53</t>
  </si>
  <si>
    <t>189,27</t>
  </si>
  <si>
    <t>168,19</t>
  </si>
  <si>
    <t>162,68</t>
  </si>
  <si>
    <t>158,35</t>
  </si>
  <si>
    <t>165,16</t>
  </si>
  <si>
    <t>152,79</t>
  </si>
  <si>
    <t>145,31</t>
  </si>
  <si>
    <t>135,95</t>
  </si>
  <si>
    <t>179,53</t>
  </si>
  <si>
    <t>158,54</t>
  </si>
  <si>
    <t>153,07</t>
  </si>
  <si>
    <t>144,54</t>
  </si>
  <si>
    <t>904,76</t>
  </si>
  <si>
    <t>536,74</t>
  </si>
  <si>
    <t>705,77</t>
  </si>
  <si>
    <t>429,75</t>
  </si>
  <si>
    <t>404,17</t>
  </si>
  <si>
    <t>861,81</t>
  </si>
  <si>
    <t>1.402,03</t>
  </si>
  <si>
    <t>2.088,43</t>
  </si>
  <si>
    <t>2.929,67</t>
  </si>
  <si>
    <t>515,63</t>
  </si>
  <si>
    <t>782,90</t>
  </si>
  <si>
    <t>1.807,96</t>
  </si>
  <si>
    <t>663,28</t>
  </si>
  <si>
    <t>1.617,20</t>
  </si>
  <si>
    <t>1.489,76</t>
  </si>
  <si>
    <t>2.740,26</t>
  </si>
  <si>
    <t>1.551,29</t>
  </si>
  <si>
    <t>2.735,00</t>
  </si>
  <si>
    <t>2.425,51</t>
  </si>
  <si>
    <t>4.177,03</t>
  </si>
  <si>
    <t>1.054,47</t>
  </si>
  <si>
    <t>2.292,79</t>
  </si>
  <si>
    <t>1.165,04</t>
  </si>
  <si>
    <t>2.104,91</t>
  </si>
  <si>
    <t>1.867,14</t>
  </si>
  <si>
    <t>3.516,81</t>
  </si>
  <si>
    <t>372,43</t>
  </si>
  <si>
    <t>389,54</t>
  </si>
  <si>
    <t>970,15</t>
  </si>
  <si>
    <t>1.371,09</t>
  </si>
  <si>
    <t>747,24</t>
  </si>
  <si>
    <t>1.800,49</t>
  </si>
  <si>
    <t>1.031,14</t>
  </si>
  <si>
    <t>378,27</t>
  </si>
  <si>
    <t>1.247,43</t>
  </si>
  <si>
    <t>503,10</t>
  </si>
  <si>
    <t>2.662,55</t>
  </si>
  <si>
    <t>1.463,76</t>
  </si>
  <si>
    <t>714,17</t>
  </si>
  <si>
    <t>1.788,22</t>
  </si>
  <si>
    <t>2.209,27</t>
  </si>
  <si>
    <t>1.056,87</t>
  </si>
  <si>
    <t>2.800,63</t>
  </si>
  <si>
    <t>1.262,58</t>
  </si>
  <si>
    <t>1.468,33</t>
  </si>
  <si>
    <t>1.674,05</t>
  </si>
  <si>
    <t>4.596,53</t>
  </si>
  <si>
    <t>1.879,83</t>
  </si>
  <si>
    <t>2.085,58</t>
  </si>
  <si>
    <t>5.780,93</t>
  </si>
  <si>
    <t>2.291,31</t>
  </si>
  <si>
    <t>3.478,82</t>
  </si>
  <si>
    <t>4.244,47</t>
  </si>
  <si>
    <t>4.992,51</t>
  </si>
  <si>
    <t>5.740,53</t>
  </si>
  <si>
    <t>6.492,29</t>
  </si>
  <si>
    <t>7.236,64</t>
  </si>
  <si>
    <t>2.515,75</t>
  </si>
  <si>
    <t>5.136,22</t>
  </si>
  <si>
    <t>1.898,58</t>
  </si>
  <si>
    <t>6.034,65</t>
  </si>
  <si>
    <t>2.104,28</t>
  </si>
  <si>
    <t>6.966,53</t>
  </si>
  <si>
    <t>2.310,05</t>
  </si>
  <si>
    <t>7.864,35</t>
  </si>
  <si>
    <t>8.762,28</t>
  </si>
  <si>
    <t>2.725,35</t>
  </si>
  <si>
    <t>7.130,52</t>
  </si>
  <si>
    <t>2.313,96</t>
  </si>
  <si>
    <t>8.211,75</t>
  </si>
  <si>
    <t>2.519,66</t>
  </si>
  <si>
    <t>9.292,96</t>
  </si>
  <si>
    <t>10.374,19</t>
  </si>
  <si>
    <t>2.934,99</t>
  </si>
  <si>
    <t>9.489,17</t>
  </si>
  <si>
    <t>2.729,26</t>
  </si>
  <si>
    <t>10.732,91</t>
  </si>
  <si>
    <t>11.976,64</t>
  </si>
  <si>
    <t>3.144,64</t>
  </si>
  <si>
    <t>12.165,25</t>
  </si>
  <si>
    <t>13.579,03</t>
  </si>
  <si>
    <t>3.354,29</t>
  </si>
  <si>
    <t>15.798,87</t>
  </si>
  <si>
    <t>3.525,70</t>
  </si>
  <si>
    <t>209,25</t>
  </si>
  <si>
    <t>818,81</t>
  </si>
  <si>
    <t>2.230,70</t>
  </si>
  <si>
    <t>5.190,59</t>
  </si>
  <si>
    <t>3.391,86</t>
  </si>
  <si>
    <t>3.983,15</t>
  </si>
  <si>
    <t>286,64</t>
  </si>
  <si>
    <t>980,87</t>
  </si>
  <si>
    <t>967,72</t>
  </si>
  <si>
    <t>1.143,66</t>
  </si>
  <si>
    <t>1.156,85</t>
  </si>
  <si>
    <t>1.345,99</t>
  </si>
  <si>
    <t>1.450,61</t>
  </si>
  <si>
    <t>1.555,24</t>
  </si>
  <si>
    <t>1.696,85</t>
  </si>
  <si>
    <t>1.885,98</t>
  </si>
  <si>
    <t>2.075,12</t>
  </si>
  <si>
    <t>2.179,74</t>
  </si>
  <si>
    <t>2.284,37</t>
  </si>
  <si>
    <t>3.394,43</t>
  </si>
  <si>
    <t>4.126,31</t>
  </si>
  <si>
    <t>4.535,71</t>
  </si>
  <si>
    <t>4.945,12</t>
  </si>
  <si>
    <t>3.391,68</t>
  </si>
  <si>
    <t>4.123,56</t>
  </si>
  <si>
    <t>4.855,44</t>
  </si>
  <si>
    <t>5.264,84</t>
  </si>
  <si>
    <t>5.674,25</t>
  </si>
  <si>
    <t>500,10</t>
  </si>
  <si>
    <t>1.405,37</t>
  </si>
  <si>
    <t>2.576,93</t>
  </si>
  <si>
    <t>1.382,67</t>
  </si>
  <si>
    <t>4.141,61</t>
  </si>
  <si>
    <t>710,07</t>
  </si>
  <si>
    <t>1.601,83</t>
  </si>
  <si>
    <t>3.889,40</t>
  </si>
  <si>
    <t>1.694,51</t>
  </si>
  <si>
    <t>2.155,65</t>
  </si>
  <si>
    <t>1.012,42</t>
  </si>
  <si>
    <t>4.881,37</t>
  </si>
  <si>
    <t>2.732,21</t>
  </si>
  <si>
    <t>1.208,88</t>
  </si>
  <si>
    <t>1.798,35</t>
  </si>
  <si>
    <t>3.308,60</t>
  </si>
  <si>
    <t>3.886,73</t>
  </si>
  <si>
    <t>368,60</t>
  </si>
  <si>
    <t>494,89</t>
  </si>
  <si>
    <t>5.600,56</t>
  </si>
  <si>
    <t>931,61</t>
  </si>
  <si>
    <t>1.318,28</t>
  </si>
  <si>
    <t>4.483,72</t>
  </si>
  <si>
    <t>739,72</t>
  </si>
  <si>
    <t>1.994,84</t>
  </si>
  <si>
    <t>284,82</t>
  </si>
  <si>
    <t>5.062,98</t>
  </si>
  <si>
    <t>1.732,96</t>
  </si>
  <si>
    <t>2.210,59</t>
  </si>
  <si>
    <t>966,87</t>
  </si>
  <si>
    <t>6.330,15</t>
  </si>
  <si>
    <t>1.045,72</t>
  </si>
  <si>
    <t>5.638,53</t>
  </si>
  <si>
    <t>8.010,14</t>
  </si>
  <si>
    <t>445,14</t>
  </si>
  <si>
    <t>2.151,31</t>
  </si>
  <si>
    <t>3.394,51</t>
  </si>
  <si>
    <t>2.191,31</t>
  </si>
  <si>
    <t>2.153,71</t>
  </si>
  <si>
    <t>1.174,75</t>
  </si>
  <si>
    <t>7.011,66</t>
  </si>
  <si>
    <t>2.407,04</t>
  </si>
  <si>
    <t>2.403,71</t>
  </si>
  <si>
    <t>9.064,10</t>
  </si>
  <si>
    <t>2.603,46</t>
  </si>
  <si>
    <t>10.118,22</t>
  </si>
  <si>
    <t>5.016,36</t>
  </si>
  <si>
    <t>2.803,27</t>
  </si>
  <si>
    <t>9.255,12</t>
  </si>
  <si>
    <t>2.606,79</t>
  </si>
  <si>
    <t>10.467,80</t>
  </si>
  <si>
    <t>1.883,90</t>
  </si>
  <si>
    <t>11.677,28</t>
  </si>
  <si>
    <t>3.003,08</t>
  </si>
  <si>
    <t>11.873,76</t>
  </si>
  <si>
    <t>5.887,49</t>
  </si>
  <si>
    <t>13.242,67</t>
  </si>
  <si>
    <t>3.202,89</t>
  </si>
  <si>
    <t>14.805,00</t>
  </si>
  <si>
    <t>2.010,76</t>
  </si>
  <si>
    <t>208,43</t>
  </si>
  <si>
    <t>765,05</t>
  </si>
  <si>
    <t>6.797,51</t>
  </si>
  <si>
    <t>2.207,26</t>
  </si>
  <si>
    <t>7.673,49</t>
  </si>
  <si>
    <t>8.549,56</t>
  </si>
  <si>
    <t>6.955,87</t>
  </si>
  <si>
    <t>3.370,14</t>
  </si>
  <si>
    <t>1.325,15</t>
  </si>
  <si>
    <t>1.014,71</t>
  </si>
  <si>
    <t>458,34</t>
  </si>
  <si>
    <t>398,26</t>
  </si>
  <si>
    <t>384,71</t>
  </si>
  <si>
    <t>2.518,92</t>
  </si>
  <si>
    <t>1.358,82</t>
  </si>
  <si>
    <t>2.160,77</t>
  </si>
  <si>
    <t>2.126,80</t>
  </si>
  <si>
    <t>BASE PARA POÇO DE VISITA CIRCULAR PARA DRENAGEM, EM CONCRETO PRÉ-MOLDADO, DIÂMETRO INTERNO = 1,2 M, PROFUNDIDADE = 1,45 M, EXCLUINDO TAMPÃO. AF_05/2021</t>
  </si>
  <si>
    <t>1.338,67</t>
  </si>
  <si>
    <t>42,88</t>
  </si>
  <si>
    <t>54,52</t>
  </si>
  <si>
    <t>60,12</t>
  </si>
  <si>
    <t>66,30</t>
  </si>
  <si>
    <t>73,77</t>
  </si>
  <si>
    <t>48,97</t>
  </si>
  <si>
    <t>43,37</t>
  </si>
  <si>
    <t>41,55</t>
  </si>
  <si>
    <t>52,80</t>
  </si>
  <si>
    <t>63,50</t>
  </si>
  <si>
    <t>62,42</t>
  </si>
  <si>
    <t>73,66</t>
  </si>
  <si>
    <t>33,11</t>
  </si>
  <si>
    <t>42,94</t>
  </si>
  <si>
    <t>40,90</t>
  </si>
  <si>
    <t>50,75</t>
  </si>
  <si>
    <t>58,06</t>
  </si>
  <si>
    <t>120,97</t>
  </si>
  <si>
    <t>34,70</t>
  </si>
  <si>
    <t>34,39</t>
  </si>
  <si>
    <t>56,90</t>
  </si>
  <si>
    <t>46,57</t>
  </si>
  <si>
    <t>61,05</t>
  </si>
  <si>
    <t>68,28</t>
  </si>
  <si>
    <t>99,23</t>
  </si>
  <si>
    <t>51,80</t>
  </si>
  <si>
    <t>82,76</t>
  </si>
  <si>
    <t>36,68</t>
  </si>
  <si>
    <t>620,95</t>
  </si>
  <si>
    <t>640,66</t>
  </si>
  <si>
    <t>751,60</t>
  </si>
  <si>
    <t>793,94</t>
  </si>
  <si>
    <t>542,90</t>
  </si>
  <si>
    <t>549,35</t>
  </si>
  <si>
    <t>555,80</t>
  </si>
  <si>
    <t>562,23</t>
  </si>
  <si>
    <t>809,79</t>
  </si>
  <si>
    <t>836,51</t>
  </si>
  <si>
    <t>314,65</t>
  </si>
  <si>
    <t>393,77</t>
  </si>
  <si>
    <t>240,36</t>
  </si>
  <si>
    <t>246,04</t>
  </si>
  <si>
    <t>264,47</t>
  </si>
  <si>
    <t>324,91</t>
  </si>
  <si>
    <t>465,30</t>
  </si>
  <si>
    <t>518,43</t>
  </si>
  <si>
    <t>132,34</t>
  </si>
  <si>
    <t>864,87</t>
  </si>
  <si>
    <t>872,60</t>
  </si>
  <si>
    <t>911,83</t>
  </si>
  <si>
    <t>974,32</t>
  </si>
  <si>
    <t>1.112,66</t>
  </si>
  <si>
    <t>1.167,84</t>
  </si>
  <si>
    <t>732,53</t>
  </si>
  <si>
    <t>740,26</t>
  </si>
  <si>
    <t>760,74</t>
  </si>
  <si>
    <t>823,23</t>
  </si>
  <si>
    <t>961,57</t>
  </si>
  <si>
    <t>1.016,75</t>
  </si>
  <si>
    <t>248,77</t>
  </si>
  <si>
    <t>254,85</t>
  </si>
  <si>
    <t>298,61</t>
  </si>
  <si>
    <t>332,36</t>
  </si>
  <si>
    <t>740,94</t>
  </si>
  <si>
    <t>749,07</t>
  </si>
  <si>
    <t>794,88</t>
  </si>
  <si>
    <t>830,68</t>
  </si>
  <si>
    <t>238,68</t>
  </si>
  <si>
    <t>317,80</t>
  </si>
  <si>
    <t>275,19</t>
  </si>
  <si>
    <t>303,46</t>
  </si>
  <si>
    <t>614,16</t>
  </si>
  <si>
    <t>860,81</t>
  </si>
  <si>
    <t>92,48</t>
  </si>
  <si>
    <t>92,01</t>
  </si>
  <si>
    <t>730,81</t>
  </si>
  <si>
    <t>724,57</t>
  </si>
  <si>
    <t>758,75</t>
  </si>
  <si>
    <t>820,87</t>
  </si>
  <si>
    <t>959,58</t>
  </si>
  <si>
    <t>1.014,39</t>
  </si>
  <si>
    <t>638,80</t>
  </si>
  <si>
    <t>646,16</t>
  </si>
  <si>
    <t>666,27</t>
  </si>
  <si>
    <t>728,39</t>
  </si>
  <si>
    <t>867,10</t>
  </si>
  <si>
    <t>921,91</t>
  </si>
  <si>
    <t>647,21</t>
  </si>
  <si>
    <t>654,97</t>
  </si>
  <si>
    <t>700,41</t>
  </si>
  <si>
    <t>735,84</t>
  </si>
  <si>
    <t>748,22</t>
  </si>
  <si>
    <t>654,49</t>
  </si>
  <si>
    <t>769,41</t>
  </si>
  <si>
    <t>675,31</t>
  </si>
  <si>
    <t>799,73</t>
  </si>
  <si>
    <t>705,26</t>
  </si>
  <si>
    <t>1.110,43</t>
  </si>
  <si>
    <t>1.015,96</t>
  </si>
  <si>
    <t>1.357,08</t>
  </si>
  <si>
    <t>1.262,61</t>
  </si>
  <si>
    <t>706,44</t>
  </si>
  <si>
    <t>201,42</t>
  </si>
  <si>
    <t>873,28</t>
  </si>
  <si>
    <t>739,22</t>
  </si>
  <si>
    <t>881,41</t>
  </si>
  <si>
    <t>901,75</t>
  </si>
  <si>
    <t>753,72</t>
  </si>
  <si>
    <t>945,97</t>
  </si>
  <si>
    <t>792,89</t>
  </si>
  <si>
    <t>981,77</t>
  </si>
  <si>
    <t>828,32</t>
  </si>
  <si>
    <t>880,56</t>
  </si>
  <si>
    <t>746,50</t>
  </si>
  <si>
    <t>950,82</t>
  </si>
  <si>
    <t>797,74</t>
  </si>
  <si>
    <t>1.261,52</t>
  </si>
  <si>
    <t>1.108,44</t>
  </si>
  <si>
    <t>1.508,17</t>
  </si>
  <si>
    <t>1.355,09</t>
  </si>
  <si>
    <t>58,26</t>
  </si>
  <si>
    <t>64,19</t>
  </si>
  <si>
    <t>70,10</t>
  </si>
  <si>
    <t>83,66</t>
  </si>
  <si>
    <t>707,84</t>
  </si>
  <si>
    <t>733,38</t>
  </si>
  <si>
    <t>763,73</t>
  </si>
  <si>
    <t>606,74</t>
  </si>
  <si>
    <t>985,67</t>
  </si>
  <si>
    <t>1.208,94</t>
  </si>
  <si>
    <t>716,94</t>
  </si>
  <si>
    <t>953,24</t>
  </si>
  <si>
    <t>1.178,93</t>
  </si>
  <si>
    <t>767,32</t>
  </si>
  <si>
    <t>408,07</t>
  </si>
  <si>
    <t>660,09</t>
  </si>
  <si>
    <t>624,95</t>
  </si>
  <si>
    <t>67,14</t>
  </si>
  <si>
    <t>60,82</t>
  </si>
  <si>
    <t>606,66</t>
  </si>
  <si>
    <t>499,35</t>
  </si>
  <si>
    <t>820,47</t>
  </si>
  <si>
    <t>110,04</t>
  </si>
  <si>
    <t>79,80</t>
  </si>
  <si>
    <t>614,13</t>
  </si>
  <si>
    <t>532,03</t>
  </si>
  <si>
    <t>934,87</t>
  </si>
  <si>
    <t>635,20</t>
  </si>
  <si>
    <t>472,99</t>
  </si>
  <si>
    <t>731,94</t>
  </si>
  <si>
    <t>447,66</t>
  </si>
  <si>
    <t>534,51</t>
  </si>
  <si>
    <t>374,87</t>
  </si>
  <si>
    <t>815,47</t>
  </si>
  <si>
    <t>217,43</t>
  </si>
  <si>
    <t>70,59</t>
  </si>
  <si>
    <t>63,10</t>
  </si>
  <si>
    <t>129,44</t>
  </si>
  <si>
    <t>162,02</t>
  </si>
  <si>
    <t>112,05</t>
  </si>
  <si>
    <t>136,88</t>
  </si>
  <si>
    <t>173,20</t>
  </si>
  <si>
    <t>163,91</t>
  </si>
  <si>
    <t>221,87</t>
  </si>
  <si>
    <t>222,53</t>
  </si>
  <si>
    <t>263,44</t>
  </si>
  <si>
    <t>120,32</t>
  </si>
  <si>
    <t>201,59</t>
  </si>
  <si>
    <t>226,42</t>
  </si>
  <si>
    <t>259,55</t>
  </si>
  <si>
    <t>219,18</t>
  </si>
  <si>
    <t>246,26</t>
  </si>
  <si>
    <t>278,45</t>
  </si>
  <si>
    <t>264,46</t>
  </si>
  <si>
    <t>299,95</t>
  </si>
  <si>
    <t>209,86</t>
  </si>
  <si>
    <t>351,65</t>
  </si>
  <si>
    <t>336,40</t>
  </si>
  <si>
    <t>625,78</t>
  </si>
  <si>
    <t>1.209,69</t>
  </si>
  <si>
    <t>1.378,84</t>
  </si>
  <si>
    <t>227,09</t>
  </si>
  <si>
    <t>251,20</t>
  </si>
  <si>
    <t>285,81</t>
  </si>
  <si>
    <t>599,09</t>
  </si>
  <si>
    <t>1.208,43</t>
  </si>
  <si>
    <t>1.395,50</t>
  </si>
  <si>
    <t>2.800,97</t>
  </si>
  <si>
    <t>522,90</t>
  </si>
  <si>
    <t>330,38</t>
  </si>
  <si>
    <t>364,65</t>
  </si>
  <si>
    <t>535,35</t>
  </si>
  <si>
    <t>345,95</t>
  </si>
  <si>
    <t>1.035,11</t>
  </si>
  <si>
    <t>987,19</t>
  </si>
  <si>
    <t>927,00</t>
  </si>
  <si>
    <t>849,63</t>
  </si>
  <si>
    <t>785,07</t>
  </si>
  <si>
    <t>770,72</t>
  </si>
  <si>
    <t>756,80</t>
  </si>
  <si>
    <t>709,45</t>
  </si>
  <si>
    <t>926,95</t>
  </si>
  <si>
    <t>880,95</t>
  </si>
  <si>
    <t>824,03</t>
  </si>
  <si>
    <t>750,55</t>
  </si>
  <si>
    <t>672,81</t>
  </si>
  <si>
    <t>660,59</t>
  </si>
  <si>
    <t>650,41</t>
  </si>
  <si>
    <t>607,42</t>
  </si>
  <si>
    <t>707,45</t>
  </si>
  <si>
    <t>601,37</t>
  </si>
  <si>
    <t>ARRASAMENTO MECANICO DE ESTACA DE CONCRETO ARMADO, DIAMETROS DE ATÉ 40 CM. AF_05/2021</t>
  </si>
  <si>
    <t>13,78</t>
  </si>
  <si>
    <t>ARRASAMENTO MECANICO DE ESTACA DE CONCRETO ARMADO, DIAMETROS DE 41 CM A 60 CM. AF_05/2021</t>
  </si>
  <si>
    <t>22,06</t>
  </si>
  <si>
    <t>ARRASAMENTO MECANICO DE ESTACA DE CONCRETO ARMADO, DIAMETROS DE 61 CM A 80 CM. AF_05/2021</t>
  </si>
  <si>
    <t>ARRASAMENTO MECANICO DE ESTACA DE CONCRETO ARMADO, DIAMETROS DE 81 CM A 100 CM. AF_05/2021</t>
  </si>
  <si>
    <t>58,44</t>
  </si>
  <si>
    <t>ARRASAMENTO MECANICO DE ESTACA DE CONCRETO ARMADO, DIAMETROS DE 101 CM A 150 CM. AF_05/2021</t>
  </si>
  <si>
    <t>107,31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</si>
  <si>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</si>
  <si>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</si>
  <si>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</si>
  <si>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99,91</t>
  </si>
  <si>
    <t>184,92</t>
  </si>
  <si>
    <t>305,86</t>
  </si>
  <si>
    <t>429,78</t>
  </si>
  <si>
    <t>488,52</t>
  </si>
  <si>
    <t>105,64</t>
  </si>
  <si>
    <t>244,19</t>
  </si>
  <si>
    <t>83,23</t>
  </si>
  <si>
    <t>157,14</t>
  </si>
  <si>
    <t>179,05</t>
  </si>
  <si>
    <t>ESTACA RAÍZ, DIÂMETRO DE 20CM, SEM PRESENÇA DE ROCHA (EXCLUSIVE MOBILIZAÇÃO E DESMOBILIZAÇÃO). AF_03/2020_P</t>
  </si>
  <si>
    <t>242,74</t>
  </si>
  <si>
    <t>ESTACA RAÍZ, DIÂMETRO DE 40CM, SEM PRESENÇA DE ROCHA (EXCLUSIVE MOBILIZAÇÃO E DESMOBILIZAÇÃO). AF_03/2020_P</t>
  </si>
  <si>
    <t>423,48</t>
  </si>
  <si>
    <t>ESTACA RAÍZ, DIÂMETRO DE 45CM, SEM PRESENÇA DE ROCHA (EXCLUSIVE MOBILIZAÇÃO E DESMOBILIZAÇÃO). AF_03/2020_P</t>
  </si>
  <si>
    <t>578,74</t>
  </si>
  <si>
    <t>ESTACA RAÍZ, DIÂMETRO DE 20CM, PERFURADA EM ROCHA (EXCLUSIVE MOBILIZAÇÃO E DESMOBILIZAÇÃO). AF_03/2020_P</t>
  </si>
  <si>
    <t>297,08</t>
  </si>
  <si>
    <t>ESTACA RAÍZ, DIÂMETRO DE 31CM, PERFURADA EM ROCHA (EXCLUSIVE MOBILIZAÇÃO E DESMOBILIZAÇÃO). AF_03/2020_P</t>
  </si>
  <si>
    <t>413,27</t>
  </si>
  <si>
    <t>ESTACA RAÍZ, DIÂMETRO DE 40CM, PERFURADA EM ROCHA (EXCLUSIVE MOBILIZAÇÃO E DESMOBILIZAÇÃO). AF_03/2020_P</t>
  </si>
  <si>
    <t>508,90</t>
  </si>
  <si>
    <t>54,22</t>
  </si>
  <si>
    <t>74,50</t>
  </si>
  <si>
    <t>101,65</t>
  </si>
  <si>
    <t>136,14</t>
  </si>
  <si>
    <t>ARRASAMENTO MECÂNICO DE ESTACA BARRETE DE CONCRETO ARMADO, SEÇÃO DE 0,40 X 2,50 M. AF_05/2021</t>
  </si>
  <si>
    <t>88,52</t>
  </si>
  <si>
    <t>ARRASAMENTO MECÂNICO DE ESTACA BARRETE DE CONCRETO ARMADO, SEÇÃO DE 0,60 X 2,50 M. AF_05/2021</t>
  </si>
  <si>
    <t>129,87</t>
  </si>
  <si>
    <t>ARRASAMENTO MECÂNICO DE ESTACA BARRETE DE CONCRETO ARMADO, SEÇÃO DE 0,80 X 2,50 M. AF_05/2021</t>
  </si>
  <si>
    <t>171,22</t>
  </si>
  <si>
    <t>542,16</t>
  </si>
  <si>
    <t>519,92</t>
  </si>
  <si>
    <t>242,35</t>
  </si>
  <si>
    <t>171,61</t>
  </si>
  <si>
    <t>109,95</t>
  </si>
  <si>
    <t>24,72</t>
  </si>
  <si>
    <t>419,60</t>
  </si>
  <si>
    <t>393,71</t>
  </si>
  <si>
    <t>380,42</t>
  </si>
  <si>
    <t>223,44</t>
  </si>
  <si>
    <t>242,73</t>
  </si>
  <si>
    <t>319,27</t>
  </si>
  <si>
    <t>163,12</t>
  </si>
  <si>
    <t>171,24</t>
  </si>
  <si>
    <t>133,69</t>
  </si>
  <si>
    <t>117,90</t>
  </si>
  <si>
    <t>62,60</t>
  </si>
  <si>
    <t>180,94</t>
  </si>
  <si>
    <t>139,93</t>
  </si>
  <si>
    <t>87,45</t>
  </si>
  <si>
    <t>27,32</t>
  </si>
  <si>
    <t>267,93</t>
  </si>
  <si>
    <t>169,57</t>
  </si>
  <si>
    <t>106,59</t>
  </si>
  <si>
    <t>111,10</t>
  </si>
  <si>
    <t>130,98</t>
  </si>
  <si>
    <t>69,00</t>
  </si>
  <si>
    <t>84,25</t>
  </si>
  <si>
    <t>55,85</t>
  </si>
  <si>
    <t>69,12</t>
  </si>
  <si>
    <t>44,47</t>
  </si>
  <si>
    <t>53,42</t>
  </si>
  <si>
    <t>40,46</t>
  </si>
  <si>
    <t>47,52</t>
  </si>
  <si>
    <t>245,89</t>
  </si>
  <si>
    <t>171,12</t>
  </si>
  <si>
    <t>133,29</t>
  </si>
  <si>
    <t>218,35</t>
  </si>
  <si>
    <t>245,39</t>
  </si>
  <si>
    <t>150,60</t>
  </si>
  <si>
    <t>133,04</t>
  </si>
  <si>
    <t>186,27</t>
  </si>
  <si>
    <t>219,93</t>
  </si>
  <si>
    <t>123,04</t>
  </si>
  <si>
    <t>107,55</t>
  </si>
  <si>
    <t>203,76</t>
  </si>
  <si>
    <t>104,39</t>
  </si>
  <si>
    <t>88,05</t>
  </si>
  <si>
    <t>148,96</t>
  </si>
  <si>
    <t>193,50</t>
  </si>
  <si>
    <t>94,44</t>
  </si>
  <si>
    <t>117,89</t>
  </si>
  <si>
    <t>185,59</t>
  </si>
  <si>
    <t>107,53</t>
  </si>
  <si>
    <t>180,03</t>
  </si>
  <si>
    <t>69,79</t>
  </si>
  <si>
    <t>99,10</t>
  </si>
  <si>
    <t>175,21</t>
  </si>
  <si>
    <t>65,58</t>
  </si>
  <si>
    <t>81,19</t>
  </si>
  <si>
    <t>165,79</t>
  </si>
  <si>
    <t>52,93</t>
  </si>
  <si>
    <t>57,43</t>
  </si>
  <si>
    <t>274,87</t>
  </si>
  <si>
    <t>197,11</t>
  </si>
  <si>
    <t>136,81</t>
  </si>
  <si>
    <t>72,88</t>
  </si>
  <si>
    <t>42,83</t>
  </si>
  <si>
    <t>69,41</t>
  </si>
  <si>
    <t>25,11</t>
  </si>
  <si>
    <t>24,08</t>
  </si>
  <si>
    <t>51,71</t>
  </si>
  <si>
    <t>202,74</t>
  </si>
  <si>
    <t>168,83</t>
  </si>
  <si>
    <t>158,23</t>
  </si>
  <si>
    <t>190,31</t>
  </si>
  <si>
    <t>288,30</t>
  </si>
  <si>
    <t>155,51</t>
  </si>
  <si>
    <t>109,25</t>
  </si>
  <si>
    <t>184,02</t>
  </si>
  <si>
    <t>96,71</t>
  </si>
  <si>
    <t>76,81</t>
  </si>
  <si>
    <t>129,70</t>
  </si>
  <si>
    <t>162,19</t>
  </si>
  <si>
    <t>230,48</t>
  </si>
  <si>
    <t>113,82</t>
  </si>
  <si>
    <t>164,24</t>
  </si>
  <si>
    <t>79,72</t>
  </si>
  <si>
    <t>176,68</t>
  </si>
  <si>
    <t>139,24</t>
  </si>
  <si>
    <t>120,03</t>
  </si>
  <si>
    <t>169,60</t>
  </si>
  <si>
    <t>403,24</t>
  </si>
  <si>
    <t>341,69</t>
  </si>
  <si>
    <t>241,69</t>
  </si>
  <si>
    <t>215,47</t>
  </si>
  <si>
    <t>175,89</t>
  </si>
  <si>
    <t>155,83</t>
  </si>
  <si>
    <t>143,24</t>
  </si>
  <si>
    <t>144,93</t>
  </si>
  <si>
    <t>199,77</t>
  </si>
  <si>
    <t>145,49</t>
  </si>
  <si>
    <t>146,05</t>
  </si>
  <si>
    <t>122,70</t>
  </si>
  <si>
    <t>153,53</t>
  </si>
  <si>
    <t>196,10</t>
  </si>
  <si>
    <t>145,68</t>
  </si>
  <si>
    <t>121,80</t>
  </si>
  <si>
    <t>251,09</t>
  </si>
  <si>
    <t>412,67</t>
  </si>
  <si>
    <t>354,06</t>
  </si>
  <si>
    <t>242,08</t>
  </si>
  <si>
    <t>217,10</t>
  </si>
  <si>
    <t>178,35</t>
  </si>
  <si>
    <t>157,67</t>
  </si>
  <si>
    <t>144,68</t>
  </si>
  <si>
    <t>400,52</t>
  </si>
  <si>
    <t>333,67</t>
  </si>
  <si>
    <t>244,48</t>
  </si>
  <si>
    <t>216,58</t>
  </si>
  <si>
    <t>175,54</t>
  </si>
  <si>
    <t>154,80</t>
  </si>
  <si>
    <t>143,22</t>
  </si>
  <si>
    <t>447,38</t>
  </si>
  <si>
    <t>373,88</t>
  </si>
  <si>
    <t>215,06</t>
  </si>
  <si>
    <t>154,86</t>
  </si>
  <si>
    <t>416,88</t>
  </si>
  <si>
    <t>346,28</t>
  </si>
  <si>
    <t>246,35</t>
  </si>
  <si>
    <t>216,66</t>
  </si>
  <si>
    <t>155,80</t>
  </si>
  <si>
    <t>143,74</t>
  </si>
  <si>
    <t>455,80</t>
  </si>
  <si>
    <t>387,60</t>
  </si>
  <si>
    <t>238,11</t>
  </si>
  <si>
    <t>209,83</t>
  </si>
  <si>
    <t>172,02</t>
  </si>
  <si>
    <t>151,25</t>
  </si>
  <si>
    <t>139,66</t>
  </si>
  <si>
    <t>388,77</t>
  </si>
  <si>
    <t>325,77</t>
  </si>
  <si>
    <t>225,52</t>
  </si>
  <si>
    <t>202,23</t>
  </si>
  <si>
    <t>142,69</t>
  </si>
  <si>
    <t>131,45</t>
  </si>
  <si>
    <t>405,22</t>
  </si>
  <si>
    <t>346,02</t>
  </si>
  <si>
    <t>215,03</t>
  </si>
  <si>
    <t>157,51</t>
  </si>
  <si>
    <t>138,34</t>
  </si>
  <si>
    <t>131,08</t>
  </si>
  <si>
    <t>2.975,17</t>
  </si>
  <si>
    <t>3.704,87</t>
  </si>
  <si>
    <t>3.933,97</t>
  </si>
  <si>
    <t>4.013,41</t>
  </si>
  <si>
    <t>4.447,24</t>
  </si>
  <si>
    <t>4.456,28</t>
  </si>
  <si>
    <t>4.341,83</t>
  </si>
  <si>
    <t>3.839,04</t>
  </si>
  <si>
    <t>127,59</t>
  </si>
  <si>
    <t>182,67</t>
  </si>
  <si>
    <t>115,56</t>
  </si>
  <si>
    <t>13,19</t>
  </si>
  <si>
    <t>18,55</t>
  </si>
  <si>
    <t>19,06</t>
  </si>
  <si>
    <t>14,48</t>
  </si>
  <si>
    <t>14,51</t>
  </si>
  <si>
    <t>10,24</t>
  </si>
  <si>
    <t>16,24</t>
  </si>
  <si>
    <t>11,46</t>
  </si>
  <si>
    <t>20,81</t>
  </si>
  <si>
    <t>ARMAÇÃO DO SISTEMA DE PAREDES DE CONCRETO, EXECUTADA COMO ARMADURA POSITIVA DE LAJES, TELA Q-159. AF_06/2019</t>
  </si>
  <si>
    <t>18,45</t>
  </si>
  <si>
    <t>643,94</t>
  </si>
  <si>
    <t>735,07</t>
  </si>
  <si>
    <t>377,81</t>
  </si>
  <si>
    <t>392,30</t>
  </si>
  <si>
    <t>423,39</t>
  </si>
  <si>
    <t>465,69</t>
  </si>
  <si>
    <t>381,17</t>
  </si>
  <si>
    <t>397,11</t>
  </si>
  <si>
    <t>429,18</t>
  </si>
  <si>
    <t>474,54</t>
  </si>
  <si>
    <t>425,22</t>
  </si>
  <si>
    <t>411,97</t>
  </si>
  <si>
    <t>453,09</t>
  </si>
  <si>
    <t>429,41</t>
  </si>
  <si>
    <t>414,74</t>
  </si>
  <si>
    <t>472,26</t>
  </si>
  <si>
    <t>425,25</t>
  </si>
  <si>
    <t>431,03</t>
  </si>
  <si>
    <t>418,71</t>
  </si>
  <si>
    <t>399,15</t>
  </si>
  <si>
    <t>525,37</t>
  </si>
  <si>
    <t>374,24</t>
  </si>
  <si>
    <t>397,33</t>
  </si>
  <si>
    <t>365,01</t>
  </si>
  <si>
    <t>393,53</t>
  </si>
  <si>
    <t>387,38</t>
  </si>
  <si>
    <t>383,96</t>
  </si>
  <si>
    <t>382,53</t>
  </si>
  <si>
    <t>459,57</t>
  </si>
  <si>
    <t>435,62</t>
  </si>
  <si>
    <t>425,50</t>
  </si>
  <si>
    <t>408,60</t>
  </si>
  <si>
    <t>427,97</t>
  </si>
  <si>
    <t>411,59</t>
  </si>
  <si>
    <t>404,62</t>
  </si>
  <si>
    <t>393,07</t>
  </si>
  <si>
    <t>401,49</t>
  </si>
  <si>
    <t>388,70</t>
  </si>
  <si>
    <t>370,11</t>
  </si>
  <si>
    <t>363,76</t>
  </si>
  <si>
    <t>591,96</t>
  </si>
  <si>
    <t>832,56</t>
  </si>
  <si>
    <t>186,85</t>
  </si>
  <si>
    <t>CONCRETO MAGRO PARA LASTRO, TRAÇO 1:4,5:4,5 (EM MASSA SECA DE CIMENTO/ AREIA MÉDIA/ BRITA 1) - PREPARO MECÂNICO COM BETONEIRA 400 L. AF_05/2021</t>
  </si>
  <si>
    <t>324,97</t>
  </si>
  <si>
    <t>CONCRETO FCK = 15MPA, TRAÇO 1:3,4:3,5 (EM MASSA SECA DE CIMENTO/ AREIA MÉDIA/ BRITA 1) - PREPARO MECÂNICO COM BETONEIRA 400 L. AF_05/2021</t>
  </si>
  <si>
    <t>353,01</t>
  </si>
  <si>
    <t>CONCRETO FCK = 20MPA, TRAÇO 1:2,7:3 (EM MASSA SECA DE CIMENTO/ AREIA MÉDIA/ BRITA 1) - PREPARO MECÂNICO COM BETONEIRA 400 L. AF_05/2021</t>
  </si>
  <si>
    <t>380,47</t>
  </si>
  <si>
    <t>CONCRETO FCK = 25MPA, TRAÇO 1:2,3:2,7 (EM MASSA SECA DE CIMENTO/ AREIA MÉDIA/ BRITA 1) - PREPARO MECÂNICO COM BETONEIRA 400 L. AF_05/2021</t>
  </si>
  <si>
    <t>391,42</t>
  </si>
  <si>
    <t>CONCRETO FCK = 30MPA, TRAÇO 1:2,1:2,5 (EM MASSA SECA DE CIMENTO/ AREIA MÉDIA/ BRITA 1) - PREPARO MECÂNICO COM BETONEIRA 400 L. AF_05/2021</t>
  </si>
  <si>
    <t>402,04</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</si>
  <si>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</si>
  <si>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</si>
  <si>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322,01</t>
  </si>
  <si>
    <t>CONCRETO FCK = 15MPA, TRAÇO 1:3,4:3,5 (EM MASSA SECA DE CIMENTO/ AREIA MÉDIA/ BRITA 1) - PREPARO MECÂNICO COM BETONEIRA 600 L. AF_05/2021</t>
  </si>
  <si>
    <t>347,47</t>
  </si>
  <si>
    <t>CONCRETO FCK = 20MPA, TRAÇO 1:2,7:3 (EM MASSA SECA DE CIMENTO/ AREIA MÉDIA/ BRITA 1) - PREPARO MECÂNICO COM BETONEIRA 600 L. AF_05/2021</t>
  </si>
  <si>
    <t>369,68</t>
  </si>
  <si>
    <t>CONCRETO FCK = 25MPA, TRAÇO 1:2,3:2,7 (EM MASSA SECA DE CIMENTO/ AREIA MÉDIA/ BRITA 1) - PREPARO MECÂNICO COM BETONEIRA 600 L. AF_05/2021</t>
  </si>
  <si>
    <t>385,77</t>
  </si>
  <si>
    <t>CONCRETO FCK = 30MPA, TRAÇO 1:2,1:2,5 (EM MASSA SECA DE CIMENTO/ AREIA MÉDIA/ BRITA 1) - PREPARO MECÂNICO COM BETONEIRA 600 L. AF_05/2021</t>
  </si>
  <si>
    <t>396,36</t>
  </si>
  <si>
    <t>CONCRETO FCK = 40MPA, TRAÇO 1:1,6:1,9 (EM MASSA SECA DE CIMENTO/ AREIA MÉDIA/ BRITA 1) - PREPARO MECÂNICO COM BETONEIRA 600 L. AF_05/2021</t>
  </si>
  <si>
    <t>441,34</t>
  </si>
  <si>
    <t>CONCRETO MAGRO PARA LASTRO, TRAÇO 1:4,5:4,5 (EM MASSA SECA DE CIMENTO/ AREIA MÉDIA/ BRITA 1) - PREPARO MANUAL. AF_05/2021</t>
  </si>
  <si>
    <t>375,19</t>
  </si>
  <si>
    <t>CONCRETO FCK = 15MPA, TRAÇO 1:3,4:3,5 (EM MASSA SECA DE CIMENTO/ AREIA MÉDIA/ BRITA 1) - PREPARO MANUAL. AF_05/2021</t>
  </si>
  <si>
    <t>398,96</t>
  </si>
  <si>
    <t>556,84</t>
  </si>
  <si>
    <t>632,26</t>
  </si>
  <si>
    <t>412,53</t>
  </si>
  <si>
    <t>419,16</t>
  </si>
  <si>
    <t>403,42</t>
  </si>
  <si>
    <t>423,51</t>
  </si>
  <si>
    <t>410,31</t>
  </si>
  <si>
    <t>451,32</t>
  </si>
  <si>
    <t>427,70</t>
  </si>
  <si>
    <t>413,08</t>
  </si>
  <si>
    <t>470,49</t>
  </si>
  <si>
    <t>429,76</t>
  </si>
  <si>
    <t>435,54</t>
  </si>
  <si>
    <t>417,04</t>
  </si>
  <si>
    <t>CONCRETO MAGRO PARA LASTRO, TRAÇO 1:4,5:4,5 (EM MASSA SECA DE CIMENTO/ AREIA MÉDIA/ SEIXO ROLADO) - PREPARO MECÂNICO COM BETONEIRA 400 L. AF_05/2021</t>
  </si>
  <si>
    <t>353,36</t>
  </si>
  <si>
    <t>CONCRETO FCK = 15MPA, TRAÇO 1:3,4:3,4 (EM MASSA SECA DE CIMENTO/ AREIA MÉDIA/ SEIXO ROLADO) - PREPARO MECÂNICO COM BETONEIRA 400 L. AF_05/2021</t>
  </si>
  <si>
    <t>380,14</t>
  </si>
  <si>
    <t>CONCRETO FCK = 20MPA, TRAÇO 1:2,6:2,9 (EM MASSA SECA DE CIMENTO/ AREIA MÉDIA/ SEIXO ROLADO) - PREPARO MECÂNICO COM BETONEIRA 400 L. AF_05/2021</t>
  </si>
  <si>
    <t>409,46</t>
  </si>
  <si>
    <t>CONCRETO FCK = 25MPA, TRAÇO 1:2,2:2,5 (EM MASSA SECA DE CIMENTO/ AREIA MÉDIA/ SEIXO ROLADO) - PREPARO MECÂNICO COM BETONEIRA 400 L. AF_05/2021</t>
  </si>
  <si>
    <t>419,85</t>
  </si>
  <si>
    <t>CONCRETO FCK = 30MPA, TRAÇO 1:1,9:2,3 (EM MASSA SECA DE CIMENTO/ AREIA MÉDIA/ SEIXO ROLADO) - PREPARO MECÂNICO COM BETONEIRA 400 L. AF_05/2021</t>
  </si>
  <si>
    <t>443,63</t>
  </si>
  <si>
    <t>CONCRETO FCK = 40MPA, TRAÇO 1:1,4:1,8 (EM MASSA SECA DE CIMENTO/ AREIA MÉDIA/ SEIXO ROLADO) - PREPARO MECÂNICO COM BETONEIRA 400 L. AF_05/2021</t>
  </si>
  <si>
    <t>477,16</t>
  </si>
  <si>
    <t>CONCRETO MAGRO PARA LASTRO, TRAÇO 1:4,5:4,5 (EM MASSA SECA DE CIMENTO/ AREIA MÉDIA/ SEIXO ROLADO) - PREPARO MECÂNICO COM BETONEIRA 600 L. AF_05/2021</t>
  </si>
  <si>
    <t>350,27</t>
  </si>
  <si>
    <t>CONCRETO FCK = 15MPA, TRAÇO 1:3,4:3,4 (EM MASSA SECA DE CIMENTO/ AREIA MÉDIA/ SEIXO ROLADO) - PREPARO MECÂNICO COM BETONEIRA 600 L. AF_05/2021</t>
  </si>
  <si>
    <t>374,66</t>
  </si>
  <si>
    <t>CONCRETO FCK = 20MPA, TRAÇO 1:2,6:2,9 (EM MASSA SECA DE CIMENTO/ AREIA MÉDIA/ SEIXO ROLADO) - PREPARO MECÂNICO COM BETONEIRA 600 L. AF_05/2021</t>
  </si>
  <si>
    <t>398,46</t>
  </si>
  <si>
    <t>CONCRETO FCK = 25MPA, TRAÇO 1:2,2:2,5 (EM MASSA SECA DE CIMENTO/ AREIA MÉDIA/ SEIXO ROLADO) - PREPARO MECÂNICO COM BETONEIRA 600 L. AF_05/2021</t>
  </si>
  <si>
    <t>416,84</t>
  </si>
  <si>
    <t>CONCRETO FCK = 30MPA, TRAÇO 1:1,9:2,3 (EM MASSA SECA DE CIMENTO/ AREIA MÉDIA/ SEIXO ROLADO) - PREPARO MECÂNICO COM BETONEIRA 600 L. AF_05/2021</t>
  </si>
  <si>
    <t>436,86</t>
  </si>
  <si>
    <t>CONCRETO FCK = 40MPA, TRAÇO 1:1,4:1,8 (EM MASSA SECA DE CIMENTO/ AREIA MÉDIA/ SEIXO ROLADO) - PREPARO MECÂNICO COM BETONEIRA 600 L. AF_05/2021</t>
  </si>
  <si>
    <t>475,77</t>
  </si>
  <si>
    <t>CONCRETO MAGRO PARA LASTRO, TRAÇO 1:4,5:4,5 (EM MASSA SECA DE CIMENTO/ AREIA MÉDIA/ SEIXO ROLADO) - PREPARO MANUAL. AF_05/2021</t>
  </si>
  <si>
    <t>403,19</t>
  </si>
  <si>
    <t>CONCRETO FCK = 15MPA, TRAÇO 1:3,4:3,4 (EM MASSA SECA DE CIMENTO/ AREIA MÉDIA/ SEIXO ROLADO) - PREPARO MANUAL. AF_05/2021</t>
  </si>
  <si>
    <t>CONCRETO CICLÓPICO FCK = 15MPA, 30% PEDRA DE MÃO EM VOLUME REAL, INCLUSIVE LANÇAMENTO. AF_05/2021</t>
  </si>
  <si>
    <t>491,45</t>
  </si>
  <si>
    <t>149,13</t>
  </si>
  <si>
    <t>139,48</t>
  </si>
  <si>
    <t>773,96</t>
  </si>
  <si>
    <t>606,04</t>
  </si>
  <si>
    <t>42,20</t>
  </si>
  <si>
    <t>31,35</t>
  </si>
  <si>
    <t>77,17</t>
  </si>
  <si>
    <t>71,23</t>
  </si>
  <si>
    <t>89,29</t>
  </si>
  <si>
    <t>39,28</t>
  </si>
  <si>
    <t>41,65</t>
  </si>
  <si>
    <t>42,39</t>
  </si>
  <si>
    <t>41,36</t>
  </si>
  <si>
    <t>49,93</t>
  </si>
  <si>
    <t>75,07</t>
  </si>
  <si>
    <t>83,77</t>
  </si>
  <si>
    <t>56,15</t>
  </si>
  <si>
    <t>1.927,96</t>
  </si>
  <si>
    <t>3.168,30</t>
  </si>
  <si>
    <t>2.247,56</t>
  </si>
  <si>
    <t>2.812,68</t>
  </si>
  <si>
    <t>2.198,62</t>
  </si>
  <si>
    <t>2.895,74</t>
  </si>
  <si>
    <t>2.740,95</t>
  </si>
  <si>
    <t>3.029,62</t>
  </si>
  <si>
    <t>2.596,08</t>
  </si>
  <si>
    <t>2.157,95</t>
  </si>
  <si>
    <t>1.384,21</t>
  </si>
  <si>
    <t>3.086,87</t>
  </si>
  <si>
    <t>4.231,71</t>
  </si>
  <si>
    <t>2.507,34</t>
  </si>
  <si>
    <t>1.870,53</t>
  </si>
  <si>
    <t>95,97</t>
  </si>
  <si>
    <t>93,41</t>
  </si>
  <si>
    <t>84,24</t>
  </si>
  <si>
    <t>79,61</t>
  </si>
  <si>
    <t>104,90</t>
  </si>
  <si>
    <t>97,53</t>
  </si>
  <si>
    <t>93,77</t>
  </si>
  <si>
    <t>117,62</t>
  </si>
  <si>
    <t>111,41</t>
  </si>
  <si>
    <t>108,20</t>
  </si>
  <si>
    <t>586,39</t>
  </si>
  <si>
    <t>594,06</t>
  </si>
  <si>
    <t>601,74</t>
  </si>
  <si>
    <t>609,42</t>
  </si>
  <si>
    <t>624,75</t>
  </si>
  <si>
    <t>50,41</t>
  </si>
  <si>
    <t>58,13</t>
  </si>
  <si>
    <t>67,27</t>
  </si>
  <si>
    <t>91,04</t>
  </si>
  <si>
    <t>119,37</t>
  </si>
  <si>
    <t>PILAR METÁLICO PERFIL LAMINADO OU SOLDADO EM AÇO ESTRUTURAL, COM CONEXÕES SOLDADAS, INCLUSOS MÃO DE OBRA, TRANSPORTE E IÇAMENTO UTILIZANDO GUINDASTE - FORNECIMENTO E INSTALAÇÃO. AF_01/2020_P</t>
  </si>
  <si>
    <t>CONTRAVENTAMENTO COM CANTONEIRAS DE AÇO, ABAS IGUAIS, COM CONEXÕES SOLDADAS,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</si>
  <si>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</si>
  <si>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GRUA, PARA EDIFÍCIOS DE 6 A 10 PAVIMENTOS - FORNECIMENTO E INSTALAÇÃO. AF_01/2020_P</t>
  </si>
  <si>
    <t>40,75</t>
  </si>
  <si>
    <t>24,31</t>
  </si>
  <si>
    <t>140,39</t>
  </si>
  <si>
    <t>36,62</t>
  </si>
  <si>
    <t>40,70</t>
  </si>
  <si>
    <t>54,11</t>
  </si>
  <si>
    <t>66,15</t>
  </si>
  <si>
    <t>78,80</t>
  </si>
  <si>
    <t>5,79</t>
  </si>
  <si>
    <t>7,39</t>
  </si>
  <si>
    <t>31,38</t>
  </si>
  <si>
    <t>18,54</t>
  </si>
  <si>
    <t>37,79</t>
  </si>
  <si>
    <t>7,58</t>
  </si>
  <si>
    <t>9,26</t>
  </si>
  <si>
    <t>14,42</t>
  </si>
  <si>
    <t>40,68</t>
  </si>
  <si>
    <t>28,39</t>
  </si>
  <si>
    <t>38,48</t>
  </si>
  <si>
    <t>53,99</t>
  </si>
  <si>
    <t>54,12</t>
  </si>
  <si>
    <t>75,17</t>
  </si>
  <si>
    <t>98,12</t>
  </si>
  <si>
    <t>98,19</t>
  </si>
  <si>
    <t>125,93</t>
  </si>
  <si>
    <t>127,19</t>
  </si>
  <si>
    <t>156,76</t>
  </si>
  <si>
    <t>157,19</t>
  </si>
  <si>
    <t>190,52</t>
  </si>
  <si>
    <t>251,06</t>
  </si>
  <si>
    <t>252,61</t>
  </si>
  <si>
    <t>306,73</t>
  </si>
  <si>
    <t>315,36</t>
  </si>
  <si>
    <t>17,36</t>
  </si>
  <si>
    <t>26,47</t>
  </si>
  <si>
    <t>30,28</t>
  </si>
  <si>
    <t>30,15</t>
  </si>
  <si>
    <t>25,77</t>
  </si>
  <si>
    <t>28,81</t>
  </si>
  <si>
    <t>27,19</t>
  </si>
  <si>
    <t>33,67</t>
  </si>
  <si>
    <t>26,32</t>
  </si>
  <si>
    <t>21,60</t>
  </si>
  <si>
    <t>24,81</t>
  </si>
  <si>
    <t>25,42</t>
  </si>
  <si>
    <t>27,87</t>
  </si>
  <si>
    <t>16,23</t>
  </si>
  <si>
    <t>30,50</t>
  </si>
  <si>
    <t>31,32</t>
  </si>
  <si>
    <t>107,02</t>
  </si>
  <si>
    <t>166,32</t>
  </si>
  <si>
    <t>315,88</t>
  </si>
  <si>
    <t>610,33</t>
  </si>
  <si>
    <t>942,19</t>
  </si>
  <si>
    <t>164,55</t>
  </si>
  <si>
    <t>259,95</t>
  </si>
  <si>
    <t>503,36</t>
  </si>
  <si>
    <t>673,71</t>
  </si>
  <si>
    <t>781,16</t>
  </si>
  <si>
    <t>183,52</t>
  </si>
  <si>
    <t>341,72</t>
  </si>
  <si>
    <t>467,59</t>
  </si>
  <si>
    <t>531,36</t>
  </si>
  <si>
    <t>62,02</t>
  </si>
  <si>
    <t>64,57</t>
  </si>
  <si>
    <t>67,73</t>
  </si>
  <si>
    <t>74,98</t>
  </si>
  <si>
    <t>78,16</t>
  </si>
  <si>
    <t>81,98</t>
  </si>
  <si>
    <t>87,98</t>
  </si>
  <si>
    <t>95,70</t>
  </si>
  <si>
    <t>3.757,47</t>
  </si>
  <si>
    <t>7.256,52</t>
  </si>
  <si>
    <t>9.675,36</t>
  </si>
  <si>
    <t>2.175,80</t>
  </si>
  <si>
    <t>460,48</t>
  </si>
  <si>
    <t>81,50</t>
  </si>
  <si>
    <t>55,57</t>
  </si>
  <si>
    <t>627,46</t>
  </si>
  <si>
    <t>669,17</t>
  </si>
  <si>
    <t>769,78</t>
  </si>
  <si>
    <t>1.111,94</t>
  </si>
  <si>
    <t>1.583,50</t>
  </si>
  <si>
    <t>637,65</t>
  </si>
  <si>
    <t>93,94</t>
  </si>
  <si>
    <t>156,26</t>
  </si>
  <si>
    <t>432,17</t>
  </si>
  <si>
    <t>653,74</t>
  </si>
  <si>
    <t>1.050,86</t>
  </si>
  <si>
    <t>1.411,21</t>
  </si>
  <si>
    <t>2.268,35</t>
  </si>
  <si>
    <t>4.751,02</t>
  </si>
  <si>
    <t>133,41</t>
  </si>
  <si>
    <t>164,80</t>
  </si>
  <si>
    <t>1.266,28</t>
  </si>
  <si>
    <t>109,38</t>
  </si>
  <si>
    <t>15,63</t>
  </si>
  <si>
    <t>53,94</t>
  </si>
  <si>
    <t>64,64</t>
  </si>
  <si>
    <t>60,47</t>
  </si>
  <si>
    <t>71,31</t>
  </si>
  <si>
    <t>76,68</t>
  </si>
  <si>
    <t>55,09</t>
  </si>
  <si>
    <t>92,15</t>
  </si>
  <si>
    <t>32,25</t>
  </si>
  <si>
    <t>39,09</t>
  </si>
  <si>
    <t>76,47</t>
  </si>
  <si>
    <t>83,31</t>
  </si>
  <si>
    <t>28,07</t>
  </si>
  <si>
    <t>29,98</t>
  </si>
  <si>
    <t>34,91</t>
  </si>
  <si>
    <t>36,82</t>
  </si>
  <si>
    <t>21,93</t>
  </si>
  <si>
    <t>26,86</t>
  </si>
  <si>
    <t>28,77</t>
  </si>
  <si>
    <t>18,80</t>
  </si>
  <si>
    <t>23,73</t>
  </si>
  <si>
    <t>25,64</t>
  </si>
  <si>
    <t>37,43</t>
  </si>
  <si>
    <t>48,09</t>
  </si>
  <si>
    <t>38,01</t>
  </si>
  <si>
    <t>41,83</t>
  </si>
  <si>
    <t>54,83</t>
  </si>
  <si>
    <t>61,67</t>
  </si>
  <si>
    <t>67,40</t>
  </si>
  <si>
    <t>60,17</t>
  </si>
  <si>
    <t>71,01</t>
  </si>
  <si>
    <t>88,95</t>
  </si>
  <si>
    <t>99,79</t>
  </si>
  <si>
    <t>39,88</t>
  </si>
  <si>
    <t>50,50</t>
  </si>
  <si>
    <t>57,34</t>
  </si>
  <si>
    <t>62,66</t>
  </si>
  <si>
    <t>63,65</t>
  </si>
  <si>
    <t>51,49</t>
  </si>
  <si>
    <t>58,33</t>
  </si>
  <si>
    <t>95,83</t>
  </si>
  <si>
    <t>125,07</t>
  </si>
  <si>
    <t>227,49</t>
  </si>
  <si>
    <t>82,33</t>
  </si>
  <si>
    <t>109,93</t>
  </si>
  <si>
    <t>38,91</t>
  </si>
  <si>
    <t>57,64</t>
  </si>
  <si>
    <t>53,47</t>
  </si>
  <si>
    <t>51,52</t>
  </si>
  <si>
    <t>48,37</t>
  </si>
  <si>
    <t>184,64</t>
  </si>
  <si>
    <t>250,16</t>
  </si>
  <si>
    <t>109,81</t>
  </si>
  <si>
    <t>53,84</t>
  </si>
  <si>
    <t>1.162,97</t>
  </si>
  <si>
    <t>1.256,47</t>
  </si>
  <si>
    <t>1.297,17</t>
  </si>
  <si>
    <t>1.434,70</t>
  </si>
  <si>
    <t>1.148,80</t>
  </si>
  <si>
    <t>1.242,30</t>
  </si>
  <si>
    <t>1.283,00</t>
  </si>
  <si>
    <t>1.420,53</t>
  </si>
  <si>
    <t>1.423,94</t>
  </si>
  <si>
    <t>1.565,46</t>
  </si>
  <si>
    <t>1.627,07</t>
  </si>
  <si>
    <t>1.821,61</t>
  </si>
  <si>
    <t>1.416,17</t>
  </si>
  <si>
    <t>1.557,69</t>
  </si>
  <si>
    <t>1.619,30</t>
  </si>
  <si>
    <t>1.813,84</t>
  </si>
  <si>
    <t>1.536,61</t>
  </si>
  <si>
    <t>1.725,31</t>
  </si>
  <si>
    <t>1.807,45</t>
  </si>
  <si>
    <t>2.057,99</t>
  </si>
  <si>
    <t>1.646,57</t>
  </si>
  <si>
    <t>1.835,27</t>
  </si>
  <si>
    <t>1.917,41</t>
  </si>
  <si>
    <t>2.167,95</t>
  </si>
  <si>
    <t>698,43</t>
  </si>
  <si>
    <t>810,63</t>
  </si>
  <si>
    <t>859,47</t>
  </si>
  <si>
    <t>992,66</t>
  </si>
  <si>
    <t>684,27</t>
  </si>
  <si>
    <t>796,47</t>
  </si>
  <si>
    <t>845,31</t>
  </si>
  <si>
    <t>978,50</t>
  </si>
  <si>
    <t>974,79</t>
  </si>
  <si>
    <t>1.143,09</t>
  </si>
  <si>
    <t>1.216,35</t>
  </si>
  <si>
    <t>1.416,13</t>
  </si>
  <si>
    <t>967,03</t>
  </si>
  <si>
    <t>1.135,33</t>
  </si>
  <si>
    <t>1.208,59</t>
  </si>
  <si>
    <t>1.408,37</t>
  </si>
  <si>
    <t>1.104,46</t>
  </si>
  <si>
    <t>1.328,86</t>
  </si>
  <si>
    <t>1.426,54</t>
  </si>
  <si>
    <t>1.692,92</t>
  </si>
  <si>
    <t>1.214,43</t>
  </si>
  <si>
    <t>1.438,83</t>
  </si>
  <si>
    <t>1.536,51</t>
  </si>
  <si>
    <t>1.802,89</t>
  </si>
  <si>
    <t>37,28</t>
  </si>
  <si>
    <t>61,86</t>
  </si>
  <si>
    <t>104,11</t>
  </si>
  <si>
    <t>135,84</t>
  </si>
  <si>
    <t>116,41</t>
  </si>
  <si>
    <t>75,44</t>
  </si>
  <si>
    <t>95,06</t>
  </si>
  <si>
    <t>123,71</t>
  </si>
  <si>
    <t>134,56</t>
  </si>
  <si>
    <t>208,75</t>
  </si>
  <si>
    <t>100,24</t>
  </si>
  <si>
    <t>117,91</t>
  </si>
  <si>
    <t>73,08</t>
  </si>
  <si>
    <t>120,55</t>
  </si>
  <si>
    <t>113,65</t>
  </si>
  <si>
    <t>95,52</t>
  </si>
  <si>
    <t>58,36</t>
  </si>
  <si>
    <t>27,53</t>
  </si>
  <si>
    <t>60,06</t>
  </si>
  <si>
    <t>69,84</t>
  </si>
  <si>
    <t>396,50</t>
  </si>
  <si>
    <t>223,72</t>
  </si>
  <si>
    <t>297,62</t>
  </si>
  <si>
    <t>504,56</t>
  </si>
  <si>
    <t>552,87</t>
  </si>
  <si>
    <t>655,79</t>
  </si>
  <si>
    <t>867,42</t>
  </si>
  <si>
    <t>999,04</t>
  </si>
  <si>
    <t>1.620,39</t>
  </si>
  <si>
    <t>87,49</t>
  </si>
  <si>
    <t>557,50</t>
  </si>
  <si>
    <t>334,24</t>
  </si>
  <si>
    <t>158,62</t>
  </si>
  <si>
    <t>374,97</t>
  </si>
  <si>
    <t>411,07</t>
  </si>
  <si>
    <t>452,25</t>
  </si>
  <si>
    <t>503,27</t>
  </si>
  <si>
    <t>448,19</t>
  </si>
  <si>
    <t>492,82</t>
  </si>
  <si>
    <t>485,51</t>
  </si>
  <si>
    <t>556,57</t>
  </si>
  <si>
    <t>524,24</t>
  </si>
  <si>
    <t>579,47</t>
  </si>
  <si>
    <t>582,07</t>
  </si>
  <si>
    <t>577,38</t>
  </si>
  <si>
    <t>622,71</t>
  </si>
  <si>
    <t>618,58</t>
  </si>
  <si>
    <t>695,30</t>
  </si>
  <si>
    <t>742,25</t>
  </si>
  <si>
    <t>845,65</t>
  </si>
  <si>
    <t>859,90</t>
  </si>
  <si>
    <t>945,14</t>
  </si>
  <si>
    <t>391,69</t>
  </si>
  <si>
    <t>470,77</t>
  </si>
  <si>
    <t>605,38</t>
  </si>
  <si>
    <t>1.204,80</t>
  </si>
  <si>
    <t>498,73</t>
  </si>
  <si>
    <t>808,80</t>
  </si>
  <si>
    <t>1.250,11</t>
  </si>
  <si>
    <t>511,99</t>
  </si>
  <si>
    <t>826,34</t>
  </si>
  <si>
    <t>1.274,35</t>
  </si>
  <si>
    <t>525,16</t>
  </si>
  <si>
    <t>666,45</t>
  </si>
  <si>
    <t>843,48</t>
  </si>
  <si>
    <t>1.298,05</t>
  </si>
  <si>
    <t>696,36</t>
  </si>
  <si>
    <t>877,44</t>
  </si>
  <si>
    <t>1.347,85</t>
  </si>
  <si>
    <t>911,25</t>
  </si>
  <si>
    <t>1.402,40</t>
  </si>
  <si>
    <t>507,88</t>
  </si>
  <si>
    <t>2.947,74</t>
  </si>
  <si>
    <t>3.392,76</t>
  </si>
  <si>
    <t>2.405,11</t>
  </si>
  <si>
    <t>2.569,44</t>
  </si>
  <si>
    <t>317,18</t>
  </si>
  <si>
    <t>335,58</t>
  </si>
  <si>
    <t>91,95</t>
  </si>
  <si>
    <t>98,31</t>
  </si>
  <si>
    <t>6.595,22</t>
  </si>
  <si>
    <t>7.329,63</t>
  </si>
  <si>
    <t>9.375,18</t>
  </si>
  <si>
    <t>11.500,42</t>
  </si>
  <si>
    <t>14.398,47</t>
  </si>
  <si>
    <t>20.052,58</t>
  </si>
  <si>
    <t>23.335,41</t>
  </si>
  <si>
    <t>49,78</t>
  </si>
  <si>
    <t>153,23</t>
  </si>
  <si>
    <t>131,89</t>
  </si>
  <si>
    <t>156,59</t>
  </si>
  <si>
    <t>148,91</t>
  </si>
  <si>
    <t>190,58</t>
  </si>
  <si>
    <t>179,38</t>
  </si>
  <si>
    <t>164,30</t>
  </si>
  <si>
    <t>181,71</t>
  </si>
  <si>
    <t>166,21</t>
  </si>
  <si>
    <t>224,88</t>
  </si>
  <si>
    <t>200,58</t>
  </si>
  <si>
    <t>217,60</t>
  </si>
  <si>
    <t>248,12</t>
  </si>
  <si>
    <t>28,64</t>
  </si>
  <si>
    <t>83,46</t>
  </si>
  <si>
    <t>108,68</t>
  </si>
  <si>
    <t>59,66</t>
  </si>
  <si>
    <t>83,60</t>
  </si>
  <si>
    <t>52,19</t>
  </si>
  <si>
    <t>65,12</t>
  </si>
  <si>
    <t>97,26</t>
  </si>
  <si>
    <t>164,29</t>
  </si>
  <si>
    <t>1.095,66</t>
  </si>
  <si>
    <t>168,48</t>
  </si>
  <si>
    <t>490,49</t>
  </si>
  <si>
    <t>529,73</t>
  </si>
  <si>
    <t>163,57</t>
  </si>
  <si>
    <t>189,73</t>
  </si>
  <si>
    <t>222,42</t>
  </si>
  <si>
    <t>255,11</t>
  </si>
  <si>
    <t>1.091,10</t>
  </si>
  <si>
    <t>413,42</t>
  </si>
  <si>
    <t>341,20</t>
  </si>
  <si>
    <t>255,89</t>
  </si>
  <si>
    <t>2.480,35</t>
  </si>
  <si>
    <t>124,36</t>
  </si>
  <si>
    <t>60,30</t>
  </si>
  <si>
    <t>142,05</t>
  </si>
  <si>
    <t>36,11</t>
  </si>
  <si>
    <t>553,57</t>
  </si>
  <si>
    <t>213,14</t>
  </si>
  <si>
    <t>332,62</t>
  </si>
  <si>
    <t>481,58</t>
  </si>
  <si>
    <t>468,92</t>
  </si>
  <si>
    <t>377,51</t>
  </si>
  <si>
    <t>922,47</t>
  </si>
  <si>
    <t>7.052,16</t>
  </si>
  <si>
    <t>12.715,54</t>
  </si>
  <si>
    <t>455,53</t>
  </si>
  <si>
    <t>596,62</t>
  </si>
  <si>
    <t>974,28</t>
  </si>
  <si>
    <t>26,52</t>
  </si>
  <si>
    <t>805,76</t>
  </si>
  <si>
    <t>15,30</t>
  </si>
  <si>
    <t>10,46</t>
  </si>
  <si>
    <t>15,04</t>
  </si>
  <si>
    <t>17,30</t>
  </si>
  <si>
    <t>58,80</t>
  </si>
  <si>
    <t>53,54</t>
  </si>
  <si>
    <t>28,19</t>
  </si>
  <si>
    <t>93,58</t>
  </si>
  <si>
    <t>147,65</t>
  </si>
  <si>
    <t>19,60</t>
  </si>
  <si>
    <t>57,86</t>
  </si>
  <si>
    <t>40,30</t>
  </si>
  <si>
    <t>39,99</t>
  </si>
  <si>
    <t>32,03</t>
  </si>
  <si>
    <t>43,80</t>
  </si>
  <si>
    <t>89,44</t>
  </si>
  <si>
    <t>53,43</t>
  </si>
  <si>
    <t>70,69</t>
  </si>
  <si>
    <t>54,41</t>
  </si>
  <si>
    <t>68,91</t>
  </si>
  <si>
    <t>99,43</t>
  </si>
  <si>
    <t>271,40</t>
  </si>
  <si>
    <t>137,97</t>
  </si>
  <si>
    <t>209,37</t>
  </si>
  <si>
    <t>259,12</t>
  </si>
  <si>
    <t>343,11</t>
  </si>
  <si>
    <t>423,35</t>
  </si>
  <si>
    <t>58,45</t>
  </si>
  <si>
    <t>73,23</t>
  </si>
  <si>
    <t>55,35</t>
  </si>
  <si>
    <t>144,05</t>
  </si>
  <si>
    <t>44,57</t>
  </si>
  <si>
    <t>73,68</t>
  </si>
  <si>
    <t>157,17</t>
  </si>
  <si>
    <t>180,87</t>
  </si>
  <si>
    <t>127,96</t>
  </si>
  <si>
    <t>169,45</t>
  </si>
  <si>
    <t>200,89</t>
  </si>
  <si>
    <t>112,74</t>
  </si>
  <si>
    <t>136,87</t>
  </si>
  <si>
    <t>178,45</t>
  </si>
  <si>
    <t>62,95</t>
  </si>
  <si>
    <t>84,16</t>
  </si>
  <si>
    <t>113,51</t>
  </si>
  <si>
    <t>181,79</t>
  </si>
  <si>
    <t>72,45</t>
  </si>
  <si>
    <t>101,79</t>
  </si>
  <si>
    <t>125,42</t>
  </si>
  <si>
    <t>166,55</t>
  </si>
  <si>
    <t>87,46</t>
  </si>
  <si>
    <t>95,69</t>
  </si>
  <si>
    <t>116,81</t>
  </si>
  <si>
    <t>185,10</t>
  </si>
  <si>
    <t>105,87</t>
  </si>
  <si>
    <t>129,58</t>
  </si>
  <si>
    <t>170,71</t>
  </si>
  <si>
    <t>46,36</t>
  </si>
  <si>
    <t>84,88</t>
  </si>
  <si>
    <t>109,75</t>
  </si>
  <si>
    <t>130,39</t>
  </si>
  <si>
    <t>185,24</t>
  </si>
  <si>
    <t>204,94</t>
  </si>
  <si>
    <t>277,12</t>
  </si>
  <si>
    <t>380,02</t>
  </si>
  <si>
    <t>545,69</t>
  </si>
  <si>
    <t>55,27</t>
  </si>
  <si>
    <t>44,28</t>
  </si>
  <si>
    <t>96,86</t>
  </si>
  <si>
    <t>169,56</t>
  </si>
  <si>
    <t>92,39</t>
  </si>
  <si>
    <t>30,89</t>
  </si>
  <si>
    <t>26,05</t>
  </si>
  <si>
    <t>34,80</t>
  </si>
  <si>
    <t>83,65</t>
  </si>
  <si>
    <t>204,81</t>
  </si>
  <si>
    <t>46,00</t>
  </si>
  <si>
    <t>61,80</t>
  </si>
  <si>
    <t>116,01</t>
  </si>
  <si>
    <t>234,05</t>
  </si>
  <si>
    <t>53,29</t>
  </si>
  <si>
    <t>115,58</t>
  </si>
  <si>
    <t>188,66</t>
  </si>
  <si>
    <t>64,49</t>
  </si>
  <si>
    <t>118,85</t>
  </si>
  <si>
    <t>166,73</t>
  </si>
  <si>
    <t>59,45</t>
  </si>
  <si>
    <t>72,63</t>
  </si>
  <si>
    <t>47,55</t>
  </si>
  <si>
    <t>73,09</t>
  </si>
  <si>
    <t>78,35</t>
  </si>
  <si>
    <t>149,54</t>
  </si>
  <si>
    <t>179,77</t>
  </si>
  <si>
    <t>193,98</t>
  </si>
  <si>
    <t>82,39</t>
  </si>
  <si>
    <t>103,84</t>
  </si>
  <si>
    <t>97,62</t>
  </si>
  <si>
    <t>124,62</t>
  </si>
  <si>
    <t>94,41</t>
  </si>
  <si>
    <t>130,42</t>
  </si>
  <si>
    <t>188,01</t>
  </si>
  <si>
    <t>228,29</t>
  </si>
  <si>
    <t>315,68</t>
  </si>
  <si>
    <t>409,12</t>
  </si>
  <si>
    <t>98,45</t>
  </si>
  <si>
    <t>134,74</t>
  </si>
  <si>
    <t>70,79</t>
  </si>
  <si>
    <t>113,68</t>
  </si>
  <si>
    <t>155,52</t>
  </si>
  <si>
    <t>54,75</t>
  </si>
  <si>
    <t>64,04</t>
  </si>
  <si>
    <t>614,63</t>
  </si>
  <si>
    <t>26,50</t>
  </si>
  <si>
    <t>35,21</t>
  </si>
  <si>
    <t>47,57</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</si>
  <si>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</si>
  <si>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</si>
  <si>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</si>
  <si>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</si>
  <si>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47,99</t>
  </si>
  <si>
    <t>46,07</t>
  </si>
  <si>
    <t>TUBO, PEX, MULTICAMADA, COM TUBO LUVA, DN 16, INSTALADO EM RAMAL INTERNO DE INSTALAÇÕES DE GÁS - FORNECIMENTO E INSTALAÇÃO. AF_01/2020</t>
  </si>
  <si>
    <t>23,27</t>
  </si>
  <si>
    <t>TUBO, PEX, MULTICAMADA, COM TUBO LUVA, DN 20, INSTALADO EM RAMAL INTERNO DE INSTALAÇÕES DE GÁS - FORNECIMENTO E INSTALAÇÃO. AF_01/2020</t>
  </si>
  <si>
    <t>32,69</t>
  </si>
  <si>
    <t>TUBO, PEX, MULTICAMADA, COM TUBO LUVA, DN 26, INSTALADO EM RAMAL INTERNO DE INSTALAÇÕES DE GÁS - FORNECIMENTO E INSTALAÇÃO. AF_01/2020</t>
  </si>
  <si>
    <t>42,54</t>
  </si>
  <si>
    <t>TUBO, PEX, MULTICAMADA, COM TUBO LUVA, DN 32, INSTALADO EM RAMAL INTERNO DE INSTALAÇÕES DE GÁS - FORNECIMENTO E INSTALAÇÃO. AF_01/2020</t>
  </si>
  <si>
    <t>56,49</t>
  </si>
  <si>
    <t>239,43</t>
  </si>
  <si>
    <t>279,45</t>
  </si>
  <si>
    <t>137,18</t>
  </si>
  <si>
    <t>155,50</t>
  </si>
  <si>
    <t>129,51</t>
  </si>
  <si>
    <t>215,21</t>
  </si>
  <si>
    <t>278,00</t>
  </si>
  <si>
    <t>226,84</t>
  </si>
  <si>
    <t>284,28</t>
  </si>
  <si>
    <t>142,01</t>
  </si>
  <si>
    <t>134,34</t>
  </si>
  <si>
    <t>222,45</t>
  </si>
  <si>
    <t>287,65</t>
  </si>
  <si>
    <t>6,91</t>
  </si>
  <si>
    <t>10,12</t>
  </si>
  <si>
    <t>22,48</t>
  </si>
  <si>
    <t>30,87</t>
  </si>
  <si>
    <t>7,67</t>
  </si>
  <si>
    <t>4,62</t>
  </si>
  <si>
    <t>11,19</t>
  </si>
  <si>
    <t>24,66</t>
  </si>
  <si>
    <t>4,42</t>
  </si>
  <si>
    <t>20,93</t>
  </si>
  <si>
    <t>85,07</t>
  </si>
  <si>
    <t>47,84</t>
  </si>
  <si>
    <t>133,39</t>
  </si>
  <si>
    <t>27,34</t>
  </si>
  <si>
    <t>100,32</t>
  </si>
  <si>
    <t>98,64</t>
  </si>
  <si>
    <t>13,92</t>
  </si>
  <si>
    <t>CURVAR 45 GRAUS, PVC, SERIE R, ÁGUA PLUVIAL, DN 100 MM, JUNTA ELÁSTICA, FORNECIDO E INSTALADO EM RAMAL DE ENCAMINHAMENTO. AF_12/2014</t>
  </si>
  <si>
    <t>23,70</t>
  </si>
  <si>
    <t>33,70</t>
  </si>
  <si>
    <t>49,74</t>
  </si>
  <si>
    <t>42,68</t>
  </si>
  <si>
    <t>35,47</t>
  </si>
  <si>
    <t>70,12</t>
  </si>
  <si>
    <t>68,01</t>
  </si>
  <si>
    <t>61,73</t>
  </si>
  <si>
    <t>121,57</t>
  </si>
  <si>
    <t>31,22</t>
  </si>
  <si>
    <t>CURVAR 45 GRAUS, PVC, SERIE R, ÁGUA PLUVIAL, DN 100 MM, JUNTA ELÁSTICA, FORNECIDO E INSTALADO EM CONDUTORES VERTICAIS DE ÁGUAS PLUVIAIS. AF_12/2014</t>
  </si>
  <si>
    <t>100,68</t>
  </si>
  <si>
    <t>167,24</t>
  </si>
  <si>
    <t>14,85</t>
  </si>
  <si>
    <t>54,81</t>
  </si>
  <si>
    <t>20,14</t>
  </si>
  <si>
    <t>33,95</t>
  </si>
  <si>
    <t>181,98</t>
  </si>
  <si>
    <t>64,89</t>
  </si>
  <si>
    <t>275,43</t>
  </si>
  <si>
    <t>8,62</t>
  </si>
  <si>
    <t>45,93</t>
  </si>
  <si>
    <t>84,75</t>
  </si>
  <si>
    <t>73,20</t>
  </si>
  <si>
    <t>129,61</t>
  </si>
  <si>
    <t>17,65</t>
  </si>
  <si>
    <t>34,90</t>
  </si>
  <si>
    <t>25,37</t>
  </si>
  <si>
    <t>59,23</t>
  </si>
  <si>
    <t>61,43</t>
  </si>
  <si>
    <t>101,23</t>
  </si>
  <si>
    <t>TÊ DE INSPEÇÃO, PVC, SERIE R, ÁGUA PLUVIAL, DN 150 X 100 MM, JUNTA ELÁSTICA, FORNECIDO E INSTALADO EM CONDUTORES VERTICAIS DE ÁGUAS PLUVIAIS. AF_12/2014</t>
  </si>
  <si>
    <t>263,52</t>
  </si>
  <si>
    <t>47,44</t>
  </si>
  <si>
    <t>138,25</t>
  </si>
  <si>
    <t>71,91</t>
  </si>
  <si>
    <t>67,82</t>
  </si>
  <si>
    <t>65,71</t>
  </si>
  <si>
    <t>16,95</t>
  </si>
  <si>
    <t>211,39</t>
  </si>
  <si>
    <t>182,51</t>
  </si>
  <si>
    <t>17,94</t>
  </si>
  <si>
    <t>162,83</t>
  </si>
  <si>
    <t>44,92</t>
  </si>
  <si>
    <t>16,29</t>
  </si>
  <si>
    <t>42,51</t>
  </si>
  <si>
    <t>36,42</t>
  </si>
  <si>
    <t>60,33</t>
  </si>
  <si>
    <t>148,27</t>
  </si>
  <si>
    <t>151,71</t>
  </si>
  <si>
    <t>174,49</t>
  </si>
  <si>
    <t>179,13</t>
  </si>
  <si>
    <t>43,61</t>
  </si>
  <si>
    <t>37,93</t>
  </si>
  <si>
    <t>55,05</t>
  </si>
  <si>
    <t>49,34</t>
  </si>
  <si>
    <t>24,94</t>
  </si>
  <si>
    <t>30,93</t>
  </si>
  <si>
    <t>222,94</t>
  </si>
  <si>
    <t>111,43</t>
  </si>
  <si>
    <t>161,37</t>
  </si>
  <si>
    <t>140,82</t>
  </si>
  <si>
    <t>236,69</t>
  </si>
  <si>
    <t>38,73</t>
  </si>
  <si>
    <t>49,27</t>
  </si>
  <si>
    <t>76,19</t>
  </si>
  <si>
    <t>170,50</t>
  </si>
  <si>
    <t>209,69</t>
  </si>
  <si>
    <t>76,74</t>
  </si>
  <si>
    <t>110,68</t>
  </si>
  <si>
    <t>43,20</t>
  </si>
  <si>
    <t>175,08</t>
  </si>
  <si>
    <t>46,84</t>
  </si>
  <si>
    <t>109,60</t>
  </si>
  <si>
    <t>344,19</t>
  </si>
  <si>
    <t>177,99</t>
  </si>
  <si>
    <t>33,74</t>
  </si>
  <si>
    <t>424,63</t>
  </si>
  <si>
    <t>37,23</t>
  </si>
  <si>
    <t>33,37</t>
  </si>
  <si>
    <t>42,90</t>
  </si>
  <si>
    <t>65,61</t>
  </si>
  <si>
    <t>96,53</t>
  </si>
  <si>
    <t>73,93</t>
  </si>
  <si>
    <t>111,46</t>
  </si>
  <si>
    <t>104,78</t>
  </si>
  <si>
    <t>146,07</t>
  </si>
  <si>
    <t>98,57</t>
  </si>
  <si>
    <t>143,09</t>
  </si>
  <si>
    <t>176,38</t>
  </si>
  <si>
    <t>33,85</t>
  </si>
  <si>
    <t>39,66</t>
  </si>
  <si>
    <t>50,67</t>
  </si>
  <si>
    <t>67,02</t>
  </si>
  <si>
    <t>73,85</t>
  </si>
  <si>
    <t>93,37</t>
  </si>
  <si>
    <t>42,84</t>
  </si>
  <si>
    <t>53,09</t>
  </si>
  <si>
    <t>49,84</t>
  </si>
  <si>
    <t>58,31</t>
  </si>
  <si>
    <t>75,38</t>
  </si>
  <si>
    <t>113,63</t>
  </si>
  <si>
    <t>137,57</t>
  </si>
  <si>
    <t>66,88</t>
  </si>
  <si>
    <t>76,90</t>
  </si>
  <si>
    <t>145,92</t>
  </si>
  <si>
    <t>182,21</t>
  </si>
  <si>
    <t>21,70</t>
  </si>
  <si>
    <t>26,04</t>
  </si>
  <si>
    <t>83,09</t>
  </si>
  <si>
    <t>31,02</t>
  </si>
  <si>
    <t>39,68</t>
  </si>
  <si>
    <t>36,43</t>
  </si>
  <si>
    <t>43,03</t>
  </si>
  <si>
    <t>92,56</t>
  </si>
  <si>
    <t>85,88</t>
  </si>
  <si>
    <t>113,04</t>
  </si>
  <si>
    <t>48,93</t>
  </si>
  <si>
    <t>117,85</t>
  </si>
  <si>
    <t>149,49</t>
  </si>
  <si>
    <t>11,11</t>
  </si>
  <si>
    <t>16,44</t>
  </si>
  <si>
    <t>25,65</t>
  </si>
  <si>
    <t>42,38</t>
  </si>
  <si>
    <t>54,96</t>
  </si>
  <si>
    <t>141,86</t>
  </si>
  <si>
    <t>205,80</t>
  </si>
  <si>
    <t>42,77</t>
  </si>
  <si>
    <t>59,52</t>
  </si>
  <si>
    <t>70,67</t>
  </si>
  <si>
    <t>95,02</t>
  </si>
  <si>
    <t>208,72</t>
  </si>
  <si>
    <t>83,27</t>
  </si>
  <si>
    <t>129,20</t>
  </si>
  <si>
    <t>192,36</t>
  </si>
  <si>
    <t>42,43</t>
  </si>
  <si>
    <t>53,28</t>
  </si>
  <si>
    <t>75,33</t>
  </si>
  <si>
    <t>99,14</t>
  </si>
  <si>
    <t>101,57</t>
  </si>
  <si>
    <t>40,83</t>
  </si>
  <si>
    <t>104,49</t>
  </si>
  <si>
    <t>26,95</t>
  </si>
  <si>
    <t>41,50</t>
  </si>
  <si>
    <t>62,67</t>
  </si>
  <si>
    <t>88,13</t>
  </si>
  <si>
    <t>506,20</t>
  </si>
  <si>
    <t>556,63</t>
  </si>
  <si>
    <t>76,52</t>
  </si>
  <si>
    <t>30,61</t>
  </si>
  <si>
    <t>637,57</t>
  </si>
  <si>
    <t>44,36</t>
  </si>
  <si>
    <t>800,37</t>
  </si>
  <si>
    <t>70,32</t>
  </si>
  <si>
    <t>61,48</t>
  </si>
  <si>
    <t>1.109,26</t>
  </si>
  <si>
    <t>165,25</t>
  </si>
  <si>
    <t>1.463,61</t>
  </si>
  <si>
    <t>80,16</t>
  </si>
  <si>
    <t>437,46</t>
  </si>
  <si>
    <t>507,98</t>
  </si>
  <si>
    <t>558,41</t>
  </si>
  <si>
    <t>78,30</t>
  </si>
  <si>
    <t>83,64</t>
  </si>
  <si>
    <t>437,63</t>
  </si>
  <si>
    <t>509,55</t>
  </si>
  <si>
    <t>47,19</t>
  </si>
  <si>
    <t>34,02</t>
  </si>
  <si>
    <t>81,15</t>
  </si>
  <si>
    <t>561,26</t>
  </si>
  <si>
    <t>58,72</t>
  </si>
  <si>
    <t>86,82</t>
  </si>
  <si>
    <t>55,30</t>
  </si>
  <si>
    <t>87,28</t>
  </si>
  <si>
    <t>283,03</t>
  </si>
  <si>
    <t>38,29</t>
  </si>
  <si>
    <t>57,53</t>
  </si>
  <si>
    <t>82,97</t>
  </si>
  <si>
    <t>76,89</t>
  </si>
  <si>
    <t>56,88</t>
  </si>
  <si>
    <t>82,55</t>
  </si>
  <si>
    <t>112,88</t>
  </si>
  <si>
    <t>125,76</t>
  </si>
  <si>
    <t>113,30</t>
  </si>
  <si>
    <t>187,67</t>
  </si>
  <si>
    <t>279,29</t>
  </si>
  <si>
    <t>392,41</t>
  </si>
  <si>
    <t>128,14</t>
  </si>
  <si>
    <t>145,73</t>
  </si>
  <si>
    <t>359,33</t>
  </si>
  <si>
    <t>298,17</t>
  </si>
  <si>
    <t>352,68</t>
  </si>
  <si>
    <t>810,18</t>
  </si>
  <si>
    <t>187,71</t>
  </si>
  <si>
    <t>444,86</t>
  </si>
  <si>
    <t>678,05</t>
  </si>
  <si>
    <t>1.413,89</t>
  </si>
  <si>
    <t>75,90</t>
  </si>
  <si>
    <t>110,54</t>
  </si>
  <si>
    <t>10,34</t>
  </si>
  <si>
    <t>118,03</t>
  </si>
  <si>
    <t>76,29</t>
  </si>
  <si>
    <t>151,00</t>
  </si>
  <si>
    <t>116,25</t>
  </si>
  <si>
    <t>281,98</t>
  </si>
  <si>
    <t>229,60</t>
  </si>
  <si>
    <t>23,96</t>
  </si>
  <si>
    <t>91,32</t>
  </si>
  <si>
    <t>79,77</t>
  </si>
  <si>
    <t>153,80</t>
  </si>
  <si>
    <t>228,77</t>
  </si>
  <si>
    <t>216,68</t>
  </si>
  <si>
    <t>28,88</t>
  </si>
  <si>
    <t>41,93</t>
  </si>
  <si>
    <t>60,46</t>
  </si>
  <si>
    <t>81,07</t>
  </si>
  <si>
    <t>211,87</t>
  </si>
  <si>
    <t>287,30</t>
  </si>
  <si>
    <t>396,67</t>
  </si>
  <si>
    <t>135,13</t>
  </si>
  <si>
    <t>14,52</t>
  </si>
  <si>
    <t>34,75</t>
  </si>
  <si>
    <t>142,53</t>
  </si>
  <si>
    <t>63,17</t>
  </si>
  <si>
    <t>147,48</t>
  </si>
  <si>
    <t>79,51</t>
  </si>
  <si>
    <t>168,62</t>
  </si>
  <si>
    <t>217,00</t>
  </si>
  <si>
    <t>33,00</t>
  </si>
  <si>
    <t>43,26</t>
  </si>
  <si>
    <t>83,52</t>
  </si>
  <si>
    <t>262,42</t>
  </si>
  <si>
    <t>303,57</t>
  </si>
  <si>
    <t>425,31</t>
  </si>
  <si>
    <t>120,83</t>
  </si>
  <si>
    <t>49,98</t>
  </si>
  <si>
    <t>66,86</t>
  </si>
  <si>
    <t>25,76</t>
  </si>
  <si>
    <t>51,95</t>
  </si>
  <si>
    <t>25,27</t>
  </si>
  <si>
    <t>24,93</t>
  </si>
  <si>
    <t>44,07</t>
  </si>
  <si>
    <t>25,44</t>
  </si>
  <si>
    <t>83,98</t>
  </si>
  <si>
    <t>130,59</t>
  </si>
  <si>
    <t>87,95</t>
  </si>
  <si>
    <t>28,42</t>
  </si>
  <si>
    <t>48,28</t>
  </si>
  <si>
    <t>92,25</t>
  </si>
  <si>
    <t>138,92</t>
  </si>
  <si>
    <t>219,36</t>
  </si>
  <si>
    <t>87,24</t>
  </si>
  <si>
    <t>139,22</t>
  </si>
  <si>
    <t>11,80</t>
  </si>
  <si>
    <t>90,91</t>
  </si>
  <si>
    <t>24,34</t>
  </si>
  <si>
    <t>98,04</t>
  </si>
  <si>
    <t>137,47</t>
  </si>
  <si>
    <t>219,27</t>
  </si>
  <si>
    <t>306,13</t>
  </si>
  <si>
    <t>156,31</t>
  </si>
  <si>
    <t>277,30</t>
  </si>
  <si>
    <t>314,37</t>
  </si>
  <si>
    <t>150,65</t>
  </si>
  <si>
    <t>249,65</t>
  </si>
  <si>
    <t>28,99</t>
  </si>
  <si>
    <t>23,65</t>
  </si>
  <si>
    <t>27,02</t>
  </si>
  <si>
    <t>31,37</t>
  </si>
  <si>
    <t>44,84</t>
  </si>
  <si>
    <t>27,67</t>
  </si>
  <si>
    <t>30,99</t>
  </si>
  <si>
    <t>29,75</t>
  </si>
  <si>
    <t>41,07</t>
  </si>
  <si>
    <t>34,13</t>
  </si>
  <si>
    <t>37,67</t>
  </si>
  <si>
    <t>56,91</t>
  </si>
  <si>
    <t>34,08</t>
  </si>
  <si>
    <t>55,80</t>
  </si>
  <si>
    <t>69,93</t>
  </si>
  <si>
    <t>51,14</t>
  </si>
  <si>
    <t>68,86</t>
  </si>
  <si>
    <t>80,43</t>
  </si>
  <si>
    <t>38,19</t>
  </si>
  <si>
    <t>88,51</t>
  </si>
  <si>
    <t>79,06</t>
  </si>
  <si>
    <t>96,18</t>
  </si>
  <si>
    <t>116,70</t>
  </si>
  <si>
    <t>208,91</t>
  </si>
  <si>
    <t>226,59</t>
  </si>
  <si>
    <t>226,81</t>
  </si>
  <si>
    <t>260,17</t>
  </si>
  <si>
    <t>275,28</t>
  </si>
  <si>
    <t>31,21</t>
  </si>
  <si>
    <t>38,78</t>
  </si>
  <si>
    <t>43,14</t>
  </si>
  <si>
    <t>90,83</t>
  </si>
  <si>
    <t>109,78</t>
  </si>
  <si>
    <t>121,76</t>
  </si>
  <si>
    <t>138,26</t>
  </si>
  <si>
    <t>166,04</t>
  </si>
  <si>
    <t>183,19</t>
  </si>
  <si>
    <t>101,28</t>
  </si>
  <si>
    <t>172,97</t>
  </si>
  <si>
    <t>184,27</t>
  </si>
  <si>
    <t>224,38</t>
  </si>
  <si>
    <t>150,42</t>
  </si>
  <si>
    <t>238,42</t>
  </si>
  <si>
    <t>251,87</t>
  </si>
  <si>
    <t>533,27</t>
  </si>
  <si>
    <t>472,94</t>
  </si>
  <si>
    <t>378,24</t>
  </si>
  <si>
    <t>577,87</t>
  </si>
  <si>
    <t>38,97</t>
  </si>
  <si>
    <t>49,43</t>
  </si>
  <si>
    <t>87,34</t>
  </si>
  <si>
    <t>131,63</t>
  </si>
  <si>
    <t>215,19</t>
  </si>
  <si>
    <t>88,09</t>
  </si>
  <si>
    <t>121,12</t>
  </si>
  <si>
    <t>129,53</t>
  </si>
  <si>
    <t>221,11</t>
  </si>
  <si>
    <t>234,56</t>
  </si>
  <si>
    <t>519,46</t>
  </si>
  <si>
    <t>459,13</t>
  </si>
  <si>
    <t>98,20</t>
  </si>
  <si>
    <t>195,20</t>
  </si>
  <si>
    <t>355,11</t>
  </si>
  <si>
    <t>559,51</t>
  </si>
  <si>
    <t>20,61</t>
  </si>
  <si>
    <t>64,30</t>
  </si>
  <si>
    <t>79,02</t>
  </si>
  <si>
    <t>119,68</t>
  </si>
  <si>
    <t>149,46</t>
  </si>
  <si>
    <t>199,45</t>
  </si>
  <si>
    <t>79,24</t>
  </si>
  <si>
    <t>108,63</t>
  </si>
  <si>
    <t>117,04</t>
  </si>
  <si>
    <t>203,06</t>
  </si>
  <si>
    <t>216,51</t>
  </si>
  <si>
    <t>495,94</t>
  </si>
  <si>
    <t>435,61</t>
  </si>
  <si>
    <t>62,80</t>
  </si>
  <si>
    <t>114,71</t>
  </si>
  <si>
    <t>178,55</t>
  </si>
  <si>
    <t>334,63</t>
  </si>
  <si>
    <t>528,12</t>
  </si>
  <si>
    <t>42,44</t>
  </si>
  <si>
    <t>39,75</t>
  </si>
  <si>
    <t>66,68</t>
  </si>
  <si>
    <t>38,59</t>
  </si>
  <si>
    <t>56,13</t>
  </si>
  <si>
    <t>97,88</t>
  </si>
  <si>
    <t>947,62</t>
  </si>
  <si>
    <t>162,87</t>
  </si>
  <si>
    <t>287,37</t>
  </si>
  <si>
    <t>393,21</t>
  </si>
  <si>
    <t>643,19</t>
  </si>
  <si>
    <t>177,98</t>
  </si>
  <si>
    <t>283,07</t>
  </si>
  <si>
    <t>560,68</t>
  </si>
  <si>
    <t>770,32</t>
  </si>
  <si>
    <t>913,21</t>
  </si>
  <si>
    <t>396,88</t>
  </si>
  <si>
    <t>561,30</t>
  </si>
  <si>
    <t>665,89</t>
  </si>
  <si>
    <t>128,34</t>
  </si>
  <si>
    <t>381,29</t>
  </si>
  <si>
    <t>655,84</t>
  </si>
  <si>
    <t>1.087,06</t>
  </si>
  <si>
    <t>450,35</t>
  </si>
  <si>
    <t>174,01</t>
  </si>
  <si>
    <t>276,27</t>
  </si>
  <si>
    <t>545,40</t>
  </si>
  <si>
    <t>749,37</t>
  </si>
  <si>
    <t>886,12</t>
  </si>
  <si>
    <t>207,17</t>
  </si>
  <si>
    <t>387,26</t>
  </si>
  <si>
    <t>547,57</t>
  </si>
  <si>
    <t>647,34</t>
  </si>
  <si>
    <t>30,52</t>
  </si>
  <si>
    <t>35,54</t>
  </si>
  <si>
    <t>737,19</t>
  </si>
  <si>
    <t>451,42</t>
  </si>
  <si>
    <t>385,25</t>
  </si>
  <si>
    <t>218,45</t>
  </si>
  <si>
    <t>27,80</t>
  </si>
  <si>
    <t>155,77</t>
  </si>
  <si>
    <t>41,57</t>
  </si>
  <si>
    <t>439,95</t>
  </si>
  <si>
    <t>694,15</t>
  </si>
  <si>
    <t>432,00</t>
  </si>
  <si>
    <t>250,51</t>
  </si>
  <si>
    <t>329,90</t>
  </si>
  <si>
    <t>231,56</t>
  </si>
  <si>
    <t>164,81</t>
  </si>
  <si>
    <t>127,98</t>
  </si>
  <si>
    <t>317,52</t>
  </si>
  <si>
    <t>125,79</t>
  </si>
  <si>
    <t>226,54</t>
  </si>
  <si>
    <t>52,85</t>
  </si>
  <si>
    <t>270,87</t>
  </si>
  <si>
    <t>105,71</t>
  </si>
  <si>
    <t>817,01</t>
  </si>
  <si>
    <t>775,21</t>
  </si>
  <si>
    <t>780,92</t>
  </si>
  <si>
    <t>676,01</t>
  </si>
  <si>
    <t>503,42</t>
  </si>
  <si>
    <t>264,74</t>
  </si>
  <si>
    <t>270,45</t>
  </si>
  <si>
    <t>256,47</t>
  </si>
  <si>
    <t>262,18</t>
  </si>
  <si>
    <t>449,28</t>
  </si>
  <si>
    <t>481,52</t>
  </si>
  <si>
    <t>333,40</t>
  </si>
  <si>
    <t>325,13</t>
  </si>
  <si>
    <t>231,47</t>
  </si>
  <si>
    <t>376,24</t>
  </si>
  <si>
    <t>311,55</t>
  </si>
  <si>
    <t>313,78</t>
  </si>
  <si>
    <t>810,77</t>
  </si>
  <si>
    <t>631,53</t>
  </si>
  <si>
    <t>212,93</t>
  </si>
  <si>
    <t>204,66</t>
  </si>
  <si>
    <t>852,79</t>
  </si>
  <si>
    <t>557,83</t>
  </si>
  <si>
    <t>978,77</t>
  </si>
  <si>
    <t>922,25</t>
  </si>
  <si>
    <t>193,67</t>
  </si>
  <si>
    <t>200,95</t>
  </si>
  <si>
    <t>781,73</t>
  </si>
  <si>
    <t>29,05</t>
  </si>
  <si>
    <t>107,38</t>
  </si>
  <si>
    <t>372,63</t>
  </si>
  <si>
    <t>68,07</t>
  </si>
  <si>
    <t>180,51</t>
  </si>
  <si>
    <t>667,18</t>
  </si>
  <si>
    <t>25,35</t>
  </si>
  <si>
    <t>577,01</t>
  </si>
  <si>
    <t>41,13</t>
  </si>
  <si>
    <t>429,52</t>
  </si>
  <si>
    <t>474,57</t>
  </si>
  <si>
    <t>434,19</t>
  </si>
  <si>
    <t>217,25</t>
  </si>
  <si>
    <t>232,11</t>
  </si>
  <si>
    <t>242,00</t>
  </si>
  <si>
    <t>249,58</t>
  </si>
  <si>
    <t>202,99</t>
  </si>
  <si>
    <t>220,60</t>
  </si>
  <si>
    <t>231,85</t>
  </si>
  <si>
    <t>238,87</t>
  </si>
  <si>
    <t>799,50</t>
  </si>
  <si>
    <t>1.681,51</t>
  </si>
  <si>
    <t>2.300,37</t>
  </si>
  <si>
    <t>3.675,10</t>
  </si>
  <si>
    <t>4.979,12</t>
  </si>
  <si>
    <t>5.790,08</t>
  </si>
  <si>
    <t>6.853,90</t>
  </si>
  <si>
    <t>1.496,28</t>
  </si>
  <si>
    <t>3.211,49</t>
  </si>
  <si>
    <t>4.501,18</t>
  </si>
  <si>
    <t>6.249,18</t>
  </si>
  <si>
    <t>2.341,34</t>
  </si>
  <si>
    <t>3.562,51</t>
  </si>
  <si>
    <t>4.093,75</t>
  </si>
  <si>
    <t>5.669,68</t>
  </si>
  <si>
    <t>5.010,76</t>
  </si>
  <si>
    <t>6.698,18</t>
  </si>
  <si>
    <t>9.467,07</t>
  </si>
  <si>
    <t>12.642,76</t>
  </si>
  <si>
    <t>14.524,16</t>
  </si>
  <si>
    <t>16.022,45</t>
  </si>
  <si>
    <t>4.165,93</t>
  </si>
  <si>
    <t>6.468,01</t>
  </si>
  <si>
    <t>9.983,46</t>
  </si>
  <si>
    <t>12.953,40</t>
  </si>
  <si>
    <t>14.887,83</t>
  </si>
  <si>
    <t>17.507,55</t>
  </si>
  <si>
    <t>4.458,66</t>
  </si>
  <si>
    <t>7.795,45</t>
  </si>
  <si>
    <t>9.993,32</t>
  </si>
  <si>
    <t>14.780,61</t>
  </si>
  <si>
    <t>3.539,83</t>
  </si>
  <si>
    <t>4.675,92</t>
  </si>
  <si>
    <t>6.563,98</t>
  </si>
  <si>
    <t>8.893,79</t>
  </si>
  <si>
    <t>10.053,82</t>
  </si>
  <si>
    <t>10.759,01</t>
  </si>
  <si>
    <t>3.039,99</t>
  </si>
  <si>
    <t>4.818,57</t>
  </si>
  <si>
    <t>7.588,59</t>
  </si>
  <si>
    <t>9.825,10</t>
  </si>
  <si>
    <t>11.534,79</t>
  </si>
  <si>
    <t>13.623,62</t>
  </si>
  <si>
    <t>2.521,83</t>
  </si>
  <si>
    <t>4.337,47</t>
  </si>
  <si>
    <t>5.690,24</t>
  </si>
  <si>
    <t>8.432,07</t>
  </si>
  <si>
    <t>732,52</t>
  </si>
  <si>
    <t>676,65</t>
  </si>
  <si>
    <t>132,63</t>
  </si>
  <si>
    <t>729,13</t>
  </si>
  <si>
    <t>115,46</t>
  </si>
  <si>
    <t>195,23</t>
  </si>
  <si>
    <t>257,20</t>
  </si>
  <si>
    <t>44,52</t>
  </si>
  <si>
    <t>53,95</t>
  </si>
  <si>
    <t>432,42</t>
  </si>
  <si>
    <t>259,03</t>
  </si>
  <si>
    <t>84,38</t>
  </si>
  <si>
    <t>86,84</t>
  </si>
  <si>
    <t>91,39</t>
  </si>
  <si>
    <t>36,59</t>
  </si>
  <si>
    <t>59,72</t>
  </si>
  <si>
    <t>81,73</t>
  </si>
  <si>
    <t>83,95</t>
  </si>
  <si>
    <t>153,55</t>
  </si>
  <si>
    <t>103,66</t>
  </si>
  <si>
    <t>122,18</t>
  </si>
  <si>
    <t>158,64</t>
  </si>
  <si>
    <t>291,86</t>
  </si>
  <si>
    <t>347,54</t>
  </si>
  <si>
    <t>685,06</t>
  </si>
  <si>
    <t>130,30</t>
  </si>
  <si>
    <t>169,28</t>
  </si>
  <si>
    <t>175,53</t>
  </si>
  <si>
    <t>53,12</t>
  </si>
  <si>
    <t>59,79</t>
  </si>
  <si>
    <t>92,70</t>
  </si>
  <si>
    <t>212,20</t>
  </si>
  <si>
    <t>202,41</t>
  </si>
  <si>
    <t>351,38</t>
  </si>
  <si>
    <t>104,99</t>
  </si>
  <si>
    <t>141,36</t>
  </si>
  <si>
    <t>163,55</t>
  </si>
  <si>
    <t>235,71</t>
  </si>
  <si>
    <t>90,09</t>
  </si>
  <si>
    <t>199,14</t>
  </si>
  <si>
    <t>218,66</t>
  </si>
  <si>
    <t>294,53</t>
  </si>
  <si>
    <t>406,31</t>
  </si>
  <si>
    <t>549,49</t>
  </si>
  <si>
    <t>832,39</t>
  </si>
  <si>
    <t>82,13</t>
  </si>
  <si>
    <t>89,52</t>
  </si>
  <si>
    <t>178,51</t>
  </si>
  <si>
    <t>350,99</t>
  </si>
  <si>
    <t>582,64</t>
  </si>
  <si>
    <t>262,02</t>
  </si>
  <si>
    <t>169,07</t>
  </si>
  <si>
    <t>KIT CAVALETE PARA MEDIÇÃO DE ÁGUA - ENTRADA PRINCIPAL, EM AÇO GALVANIZADO DN 25 (1 )   FORNECIMENTO E INSTALAÇÃO (EXCLUSIVE HIDRÔMETRO). AF_11/2016</t>
  </si>
  <si>
    <t>478,11</t>
  </si>
  <si>
    <t>577,58</t>
  </si>
  <si>
    <t>731,90</t>
  </si>
  <si>
    <t>287,28</t>
  </si>
  <si>
    <t>424,69</t>
  </si>
  <si>
    <t>556,12</t>
  </si>
  <si>
    <t>210,44</t>
  </si>
  <si>
    <t>386,82</t>
  </si>
  <si>
    <t>576,47</t>
  </si>
  <si>
    <t>756,52</t>
  </si>
  <si>
    <t>104,95</t>
  </si>
  <si>
    <t>111,25</t>
  </si>
  <si>
    <t>135,74</t>
  </si>
  <si>
    <t>94,04</t>
  </si>
  <si>
    <t>160,17</t>
  </si>
  <si>
    <t>55,11</t>
  </si>
  <si>
    <t>88,29</t>
  </si>
  <si>
    <t>112,76</t>
  </si>
  <si>
    <t>23,66</t>
  </si>
  <si>
    <t>18,38</t>
  </si>
  <si>
    <t>24,05</t>
  </si>
  <si>
    <t>43,31</t>
  </si>
  <si>
    <t>2.218,74</t>
  </si>
  <si>
    <t>1.568,73</t>
  </si>
  <si>
    <t>1.252,24</t>
  </si>
  <si>
    <t>1.059,59</t>
  </si>
  <si>
    <t>1.352,32</t>
  </si>
  <si>
    <t>837,89</t>
  </si>
  <si>
    <t>1.053,06</t>
  </si>
  <si>
    <t>1.344,10</t>
  </si>
  <si>
    <t>915,20</t>
  </si>
  <si>
    <t>117,14</t>
  </si>
  <si>
    <t>1.465,41</t>
  </si>
  <si>
    <t>120,14</t>
  </si>
  <si>
    <t>2.562,20</t>
  </si>
  <si>
    <t>1.565,90</t>
  </si>
  <si>
    <t>123,78</t>
  </si>
  <si>
    <t>126,92</t>
  </si>
  <si>
    <t>159,70</t>
  </si>
  <si>
    <t>7.265,83</t>
  </si>
  <si>
    <t>169,04</t>
  </si>
  <si>
    <t>61,36</t>
  </si>
  <si>
    <t>70,11</t>
  </si>
  <si>
    <t>184,25</t>
  </si>
  <si>
    <t>1.117,23</t>
  </si>
  <si>
    <t>915,24</t>
  </si>
  <si>
    <t>713,90</t>
  </si>
  <si>
    <t>516,84</t>
  </si>
  <si>
    <t>802,96</t>
  </si>
  <si>
    <t>667,51</t>
  </si>
  <si>
    <t>396,64</t>
  </si>
  <si>
    <t>82,17</t>
  </si>
  <si>
    <t>151,57</t>
  </si>
  <si>
    <t>29,79</t>
  </si>
  <si>
    <t>261,87</t>
  </si>
  <si>
    <t>171,45</t>
  </si>
  <si>
    <t>12,55</t>
  </si>
  <si>
    <t>11,94</t>
  </si>
  <si>
    <t>14,62</t>
  </si>
  <si>
    <t>20,26</t>
  </si>
  <si>
    <t>7,42</t>
  </si>
  <si>
    <t>13,97</t>
  </si>
  <si>
    <t>17,12</t>
  </si>
  <si>
    <t>7,78</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</si>
  <si>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</si>
  <si>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</si>
  <si>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136,02</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</si>
  <si>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</si>
  <si>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</si>
  <si>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69,66</t>
  </si>
  <si>
    <t>8,47</t>
  </si>
  <si>
    <t>ESCAVAÇÃO MECANIZADA DE VALA COM PROF. MAIOR QUE 4,5 M ATÉ 6,0 M (MÉDIA ENTRE MONTANTE E JUSANTE/UMA COMPOSIÇÃO POR TRECHO), COM ESCAVADEIRA HIDRÁULICA (0,8 M3/111 HP),LARG. MENOR QUE 1,5 M, EM SOLO DE MOLE, EM LOCAIS COM ALTO NÍVEL DE INTERFERÊNCIA. AF_02/2021</t>
  </si>
  <si>
    <t>5,43</t>
  </si>
  <si>
    <t>61,84</t>
  </si>
  <si>
    <t>20,60</t>
  </si>
  <si>
    <t>37,15</t>
  </si>
  <si>
    <t>131,36</t>
  </si>
  <si>
    <t>128,51</t>
  </si>
  <si>
    <t>125,73</t>
  </si>
  <si>
    <t>123,53</t>
  </si>
  <si>
    <t>124,53</t>
  </si>
  <si>
    <t>122,83</t>
  </si>
  <si>
    <t>137,29</t>
  </si>
  <si>
    <t>130,61</t>
  </si>
  <si>
    <t>127,66</t>
  </si>
  <si>
    <t>141,45</t>
  </si>
  <si>
    <t>6,52</t>
  </si>
  <si>
    <t>17,88</t>
  </si>
  <si>
    <t>42,23</t>
  </si>
  <si>
    <t>209,39</t>
  </si>
  <si>
    <t>285,89</t>
  </si>
  <si>
    <t>188,31</t>
  </si>
  <si>
    <t>264,79</t>
  </si>
  <si>
    <t>177,83</t>
  </si>
  <si>
    <t>246,96</t>
  </si>
  <si>
    <t>212,40</t>
  </si>
  <si>
    <t>147,63</t>
  </si>
  <si>
    <t>76,06</t>
  </si>
  <si>
    <t>93,72</t>
  </si>
  <si>
    <t>69,50</t>
  </si>
  <si>
    <t>85,49</t>
  </si>
  <si>
    <t>62,63</t>
  </si>
  <si>
    <t>82,01</t>
  </si>
  <si>
    <t>99,28</t>
  </si>
  <si>
    <t>100,75</t>
  </si>
  <si>
    <t>54,27</t>
  </si>
  <si>
    <t>55,38</t>
  </si>
  <si>
    <t>72,51</t>
  </si>
  <si>
    <t>73,76</t>
  </si>
  <si>
    <t>88,44</t>
  </si>
  <si>
    <t>89,91</t>
  </si>
  <si>
    <t>87,03</t>
  </si>
  <si>
    <t>87,29</t>
  </si>
  <si>
    <t>100,09</t>
  </si>
  <si>
    <t>101,22</t>
  </si>
  <si>
    <t>156,60</t>
  </si>
  <si>
    <t>158,04</t>
  </si>
  <si>
    <t>73,69</t>
  </si>
  <si>
    <t>74,74</t>
  </si>
  <si>
    <t>76,02</t>
  </si>
  <si>
    <t>84,90</t>
  </si>
  <si>
    <t>129,48</t>
  </si>
  <si>
    <t>130,92</t>
  </si>
  <si>
    <t>96,81</t>
  </si>
  <si>
    <t>97,51</t>
  </si>
  <si>
    <t>113,76</t>
  </si>
  <si>
    <t>114,89</t>
  </si>
  <si>
    <t>177,86</t>
  </si>
  <si>
    <t>179,30</t>
  </si>
  <si>
    <t>79,87</t>
  </si>
  <si>
    <t>80,92</t>
  </si>
  <si>
    <t>93,27</t>
  </si>
  <si>
    <t>142,46</t>
  </si>
  <si>
    <t>143,90</t>
  </si>
  <si>
    <t>81,56</t>
  </si>
  <si>
    <t>151,86</t>
  </si>
  <si>
    <t>83,26</t>
  </si>
  <si>
    <t>126,88</t>
  </si>
  <si>
    <t>72,60</t>
  </si>
  <si>
    <t>73,87</t>
  </si>
  <si>
    <t>65,31</t>
  </si>
  <si>
    <t>66,58</t>
  </si>
  <si>
    <t>77,36</t>
  </si>
  <si>
    <t>78,63</t>
  </si>
  <si>
    <t>69,23</t>
  </si>
  <si>
    <t>83,86</t>
  </si>
  <si>
    <t>75,12</t>
  </si>
  <si>
    <t>89,34</t>
  </si>
  <si>
    <t>78,83</t>
  </si>
  <si>
    <t>80,24</t>
  </si>
  <si>
    <t>86,18</t>
  </si>
  <si>
    <t>92,58</t>
  </si>
  <si>
    <t>94,39</t>
  </si>
  <si>
    <t>94,49</t>
  </si>
  <si>
    <t>87,17</t>
  </si>
  <si>
    <t>89,17</t>
  </si>
  <si>
    <t>110,84</t>
  </si>
  <si>
    <t>93,01</t>
  </si>
  <si>
    <t>95,01</t>
  </si>
  <si>
    <t>140,34</t>
  </si>
  <si>
    <t>62,85</t>
  </si>
  <si>
    <t>101,20</t>
  </si>
  <si>
    <t>57,27</t>
  </si>
  <si>
    <t>58,21</t>
  </si>
  <si>
    <t>91,93</t>
  </si>
  <si>
    <t>93,30</t>
  </si>
  <si>
    <t>69,14</t>
  </si>
  <si>
    <t>88,83</t>
  </si>
  <si>
    <t>89,93</t>
  </si>
  <si>
    <t>107,26</t>
  </si>
  <si>
    <t>79,66</t>
  </si>
  <si>
    <t>80,76</t>
  </si>
  <si>
    <t>96,41</t>
  </si>
  <si>
    <t>61,52</t>
  </si>
  <si>
    <t>62,58</t>
  </si>
  <si>
    <t>72,96</t>
  </si>
  <si>
    <t>68,17</t>
  </si>
  <si>
    <t>89,38</t>
  </si>
  <si>
    <t>84,07</t>
  </si>
  <si>
    <t>77,15</t>
  </si>
  <si>
    <t>86,87</t>
  </si>
  <si>
    <t>86,79</t>
  </si>
  <si>
    <t>81,93</t>
  </si>
  <si>
    <t>92,66</t>
  </si>
  <si>
    <t>85,36</t>
  </si>
  <si>
    <t>109,53</t>
  </si>
  <si>
    <t>86,59</t>
  </si>
  <si>
    <t>81,80</t>
  </si>
  <si>
    <t>102,70</t>
  </si>
  <si>
    <t>94,58</t>
  </si>
  <si>
    <t>86,30</t>
  </si>
  <si>
    <t>111,38</t>
  </si>
  <si>
    <t>102,75</t>
  </si>
  <si>
    <t>95,82</t>
  </si>
  <si>
    <t>117,00</t>
  </si>
  <si>
    <t>112,03</t>
  </si>
  <si>
    <t>110,35</t>
  </si>
  <si>
    <t>127,15</t>
  </si>
  <si>
    <t>118,04</t>
  </si>
  <si>
    <t>86,53</t>
  </si>
  <si>
    <t>177,38</t>
  </si>
  <si>
    <t>899,80</t>
  </si>
  <si>
    <t>655,44</t>
  </si>
  <si>
    <t>101,52</t>
  </si>
  <si>
    <t>118,30</t>
  </si>
  <si>
    <t>136,17</t>
  </si>
  <si>
    <t>159,79</t>
  </si>
  <si>
    <t>62,78</t>
  </si>
  <si>
    <t>23,60</t>
  </si>
  <si>
    <t>260,12</t>
  </si>
  <si>
    <t>757,27</t>
  </si>
  <si>
    <t>505,89</t>
  </si>
  <si>
    <t>766,27</t>
  </si>
  <si>
    <t>635,75</t>
  </si>
  <si>
    <t>257,79</t>
  </si>
  <si>
    <t>285,04</t>
  </si>
  <si>
    <t>98,55</t>
  </si>
  <si>
    <t>138,17</t>
  </si>
  <si>
    <t>202,63</t>
  </si>
  <si>
    <t>1.245,28</t>
  </si>
  <si>
    <t>1.105,05</t>
  </si>
  <si>
    <t>RECOMPOSIÇÃO DE REVESTIMENTO EM CONCRETO ASFÁLTICO (USINAGEM PRÓPRIA), PARA O FECHAMENTO DE VALAS - INCLUSO DEMOLIÇÃO DO PAVIMENTO. AF_12/2020</t>
  </si>
  <si>
    <t>1.306,81</t>
  </si>
  <si>
    <t>RECOMPOSIÇÃO DE REVESTIMENTO EM PRÉ MISTURADO A FRIO (USINAGEM PRÓPRIA), PARA FECHAMENTO DE VALAS - INCLUSO DEMOLIÇÃO DO PAVIMENTO. AF_12/2020</t>
  </si>
  <si>
    <t>1.166,58</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</si>
  <si>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</si>
  <si>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</si>
  <si>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</si>
  <si>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</si>
  <si>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46,72</t>
  </si>
  <si>
    <t>RECOMPOSIÇÃO DE PAVIMENTO EM PARALELEPÍPEDOS, REJUNTAMENTO COM PEDRISCO E EMULSÃO ASFÁLTICA, COM REAPROVEITAMENTO DOS PARALELEPÍPEDOS, PARA O FECHAMENTO DE VALAS - INCLUSO RETIRADA E COLOCAÇÃO DO MATERIAL. AF_12/2020</t>
  </si>
  <si>
    <t>60,91</t>
  </si>
  <si>
    <t>RECOMPOSIÇÃO DE PAVIMENTO EM PARALELEPÍPEDOS, REJUNTAMENTO COM ARGAMASSA, COM REAPROVEITAMENTO DOS PARALELEPÍPEDOS, PARA O FECHAMENTO DE VALAS - INCLUSO RETIRADA E COLOCAÇÃO DO MATERIAL. AF_12/2020</t>
  </si>
  <si>
    <t>56,24</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</si>
  <si>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</si>
  <si>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O FECHAMENTO DE VALAS - INCLUSO RETIRADA E COLOCAÇÃO DO MATERIAL. AF_12/2020</t>
  </si>
  <si>
    <t>RECOMPOSIÇÃO DE BASE E OU SUB-BASE PARA REMENDO PROFUNDO DE SOLOS DE COMPORTAMENTO LATERÍTICO (ARENOSO) - INCLUSO RETIRADA E COLOCAÇÃO DO MATERIAL. AF_12/2020</t>
  </si>
  <si>
    <t>95,73</t>
  </si>
  <si>
    <t>RECOMPOSIÇÃO DE BASE E OU SUB-BASE PARA REMENDO PROFUNDO DE SOLO MELHORADO COM CIMENTO (TEOR DE 2%) - INCLUSO RETIRADA E COLOCAÇÃO DO MATERIAL. AF_12/2020</t>
  </si>
  <si>
    <t>119,81</t>
  </si>
  <si>
    <t>RECOMPOSIÇÃO DE BASE E OU SUB-BASE PARA REMENDO PROFUNDO DE SOLO MELHORADO COM CIMENTO (TEOR DE 4%) - INCLUSO RETIRADA E COLOCAÇÃO DO MATERIAL. AF_12/2020</t>
  </si>
  <si>
    <t>142,24</t>
  </si>
  <si>
    <t>RECOMPOSIÇÃO DE BASE E OU SUB-BASE PARA REMENDO PROFUNDO DE SOLO COM CIMENTO (TEOR DE 6%) - INCLUSO RETIRADA E COLOCAÇÃO DO MATERIAL. AF_12/2020</t>
  </si>
  <si>
    <t>164,06</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</si>
  <si>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</si>
  <si>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</si>
  <si>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197,91</t>
  </si>
  <si>
    <t>RECOMPOSIÇÃO DE BASE E OU SUB-BASE PARA REMENDO PROFUNDO DE SOLO BRITA (50/50) - INCLUSO RETIRADA E COLOCAÇÃO DO MATERIAL. AF_12/2020</t>
  </si>
  <si>
    <t>180,88</t>
  </si>
  <si>
    <t>RECOMPOSIÇÃO DE BASE E OU SUB-BASE PARA REMENDO PROFUNDO DE SOLO BRITA (60/40) COM CIMENTO (TEOR DE 4%) - INCLUSO RETIRADA E COLOCAÇÃO DO MATERIAL. AF_12/2020</t>
  </si>
  <si>
    <t>240,33</t>
  </si>
  <si>
    <t>RECOMPOSIÇÃO DE BASE E OU SUB-BASE PARA REMENDO PROFUNDO DE SOLO BRITA (60/40) COM CIMENTO (TEOR DE 6%) - INCLUSO RETIRADA E COLOCAÇÃO DO MATERIAL. AF_12/2020</t>
  </si>
  <si>
    <t>260,11</t>
  </si>
  <si>
    <t>RECOMPOSIÇÃO DE BASE E OU SUB-BASE PARA REMENDO PROFUNDO DE SOLO BRITA (60/40) COM CIMENTO (TEOR DE 8%) - INCLUSO RETIRADA E COLOCAÇÃO DO MATERIAL. AF_12/2020</t>
  </si>
  <si>
    <t>279,60</t>
  </si>
  <si>
    <t>RECOMPOSIÇÃO DE BASE E OU SUB-BASE PARA REMENDO PROFUNDO DE SOLO BRITA (50/50) COM CIMENTO (TEOR DE 4%) - INCLUSO RETIRADA E COLOCAÇÃO DO MATERIAL. AF_12/2020</t>
  </si>
  <si>
    <t>223,99</t>
  </si>
  <si>
    <t>RECOMPOSIÇÃO DE BASE E OU SUB-BASE PARA REMENDO PROFUNDO DE SOLO BRITA (50/50) COM CIMENTO (TEOR DE 6%) - INCLUSO RETIRADA E COLOCAÇÃO DO MATERIAL. AF_12/2020</t>
  </si>
  <si>
    <t>244,10</t>
  </si>
  <si>
    <t>RECOMPOSIÇÃO DE BASE E OU SUB-BASE PARA REMENDO PROFUNDO DE SOLO BRITA (50/50) COM CIMENTO (TEOR DE 8%) - INCLUSO RETIRADA E COLOCAÇÃO DO MATERIAL. AF_12/2020</t>
  </si>
  <si>
    <t>263,93</t>
  </si>
  <si>
    <t>RECOMPOSIÇÃO DE BASE E OU SUB-BASE PARA REMENDO PROFUNDO DE BRITA GRADUADA SIMPLES - INCLUSO RETIRADA E COLOCAÇÃO DO MATERIAL. AF_12/2020</t>
  </si>
  <si>
    <t>288,71</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</si>
  <si>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</si>
  <si>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</si>
  <si>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</si>
  <si>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64,42</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</si>
  <si>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</si>
  <si>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</si>
  <si>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140,06</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</si>
  <si>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</si>
  <si>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</si>
  <si>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103,06</t>
  </si>
  <si>
    <t>RECOMPOSIÇÃO DE BASE E OU SUB-BASE PARA FECHAMENTO DE VALAS DE SOLO BRITA (60/40) COM CIMENTO (TEOR DE 4%) - INCLUSO RETIRADA E COLOCAÇÃO DO MATERIAL. AF_12/2020</t>
  </si>
  <si>
    <t>162,51</t>
  </si>
  <si>
    <t>RECOMPOSIÇÃO DE BASE E OU SUB-BASE PARA FECHAMENTO DE VALAS DE SOLO BRITA (60/40) COM CIMENTO (TEOR DE 6%) - INCLUSO RETIRADA E COLOCAÇÃO DO MATERIAL. AF_12/2020</t>
  </si>
  <si>
    <t>182,29</t>
  </si>
  <si>
    <t>RECOMPOSIÇÃO DE BASE E OU SUB-BASE PARA FECHAMENTO DE VALAS DE SOLO BRITA (60/40) COM CIMENTO (TEOR DE 8%) - INCLUSO RETIRADA E COLOCAÇÃO DO MATERIAL. AF_12/2020</t>
  </si>
  <si>
    <t>201,78</t>
  </si>
  <si>
    <t>RECOMPOSIÇÃO DE BASE E OU SUB-BASE PARA FECHAMENTO DE VALAS DE SOLO BRITA (50/50) COM CIMENTO (TEOR DE 4%) - INCLUSO RETIRADA E COLOCAÇÃO DO MATERIAL. AF_12/2020</t>
  </si>
  <si>
    <t>146,17</t>
  </si>
  <si>
    <t>RECOMPOSIÇÃO DE BASE E OU SUB-BASE PARA FECHAMENTO DE VALAS DE SOLO BRITA (50/50) COM CIMENTO (TEOR DE 6%) - INCLUSO RETIRADA E COLOCAÇÃO DO MATERIAL. AF_12/2020</t>
  </si>
  <si>
    <t>166,28</t>
  </si>
  <si>
    <t>RECOMPOSIÇÃO DE BASE E OU SUB-BASE PARA FECHAMENTO DE VALAS DE SOLO BRITA (50/50) COM CIMENTO (TEOR DE 8%) - INCLUSO RETIRADA E COLOCAÇÃO DO MATERIAL. AF_12/2020</t>
  </si>
  <si>
    <t>186,11</t>
  </si>
  <si>
    <t>RECOMPOSIÇÃO DE BASE E OU SUB-BASE PARA FECHAMENTO DE VALAS DE BRITA GRADUADA SIMPLES - INCLUSO RETIRADA E COLOCAÇÃO DO MATERIAL. AF_12/2020</t>
  </si>
  <si>
    <t>210,89</t>
  </si>
  <si>
    <t>REASSENTAMENTO DE PARALELEPÍPEDOS, REJUNTAMENTO COM PÓ DE PEDRA,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</si>
  <si>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AF_12/2020_P</t>
  </si>
  <si>
    <t>109,29</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</si>
  <si>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</si>
  <si>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</si>
  <si>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AF_12/2020_P</t>
  </si>
  <si>
    <t>111,93</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</si>
  <si>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</si>
  <si>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</si>
  <si>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22,89</t>
  </si>
  <si>
    <t>REASSENTAMENTO DE BLOCOS SEXTAVADO PARA PISO INTERTRAVADO, ESPESSURA DE 6 CM, EM CALÇADA, COM REAPROVEITAMENTO DOS BLOCOS SEXTAVADOS - INCLUSO RETIRADA E COLOCAÇÃO DO MATERIAL. AF_12/2020</t>
  </si>
  <si>
    <t>28,48</t>
  </si>
  <si>
    <t>REASSENTAMENTO DE BLOCOS SEXTAVADO PARA PISO INTERTRAVADO, ESPESSURA DE 6 CM, EM VIA/ESTACIONAMENTO, COM REAPROVEITAMENTO DOS BLOCOS SEXTAVADO - INCLUSO RETIRADA E COLOCAÇÃO DO MATERIAL. AF_12/2020</t>
  </si>
  <si>
    <t>23,35</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</si>
  <si>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</si>
  <si>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</si>
  <si>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</si>
  <si>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</si>
  <si>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</si>
  <si>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</si>
  <si>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</si>
  <si>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</si>
  <si>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</si>
  <si>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</si>
  <si>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25,20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</si>
  <si>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</si>
  <si>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</si>
  <si>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1.292,85</t>
  </si>
  <si>
    <t>RECOMPOSIÇÃO DE REVESTIMENTO EM CONCRETO ASFÁLTICO (AQUISIÇÃO EM USINA), PARA O FECHAMENTO DE VALAS - INCLUSO DEMOLIÇÃO DO PAVIMENTO. AF_12/2020</t>
  </si>
  <si>
    <t>1.354,38</t>
  </si>
  <si>
    <t>35,60</t>
  </si>
  <si>
    <t>56,70</t>
  </si>
  <si>
    <t>100,63</t>
  </si>
  <si>
    <t>201,46</t>
  </si>
  <si>
    <t>242,60</t>
  </si>
  <si>
    <t>299,82</t>
  </si>
  <si>
    <t>137,96</t>
  </si>
  <si>
    <t>177,67</t>
  </si>
  <si>
    <t>117,61</t>
  </si>
  <si>
    <t>100,65</t>
  </si>
  <si>
    <t>160,04</t>
  </si>
  <si>
    <t>179,88</t>
  </si>
  <si>
    <t>199,30</t>
  </si>
  <si>
    <t>143,69</t>
  </si>
  <si>
    <t>165,35</t>
  </si>
  <si>
    <t>183,70</t>
  </si>
  <si>
    <t>121,32</t>
  </si>
  <si>
    <t>104,36</t>
  </si>
  <si>
    <t>113,32</t>
  </si>
  <si>
    <t>69,45</t>
  </si>
  <si>
    <t>71,26</t>
  </si>
  <si>
    <t>72,71</t>
  </si>
  <si>
    <t>85,09</t>
  </si>
  <si>
    <t>86,64</t>
  </si>
  <si>
    <t>72,89</t>
  </si>
  <si>
    <t>86,71</t>
  </si>
  <si>
    <t>75,55</t>
  </si>
  <si>
    <t>76,73</t>
  </si>
  <si>
    <t>92,03</t>
  </si>
  <si>
    <t>108,11</t>
  </si>
  <si>
    <t>158,87</t>
  </si>
  <si>
    <t>202,06</t>
  </si>
  <si>
    <t>213,90</t>
  </si>
  <si>
    <t>17,22</t>
  </si>
  <si>
    <t>234,68</t>
  </si>
  <si>
    <t>270,92</t>
  </si>
  <si>
    <t>244,42</t>
  </si>
  <si>
    <t>90,35</t>
  </si>
  <si>
    <t>1.074,16</t>
  </si>
  <si>
    <t>1.018,61</t>
  </si>
  <si>
    <t>192,98</t>
  </si>
  <si>
    <t>232,99</t>
  </si>
  <si>
    <t>291,34</t>
  </si>
  <si>
    <t>851,82</t>
  </si>
  <si>
    <t>813,73</t>
  </si>
  <si>
    <t>386,85</t>
  </si>
  <si>
    <t>412,57</t>
  </si>
  <si>
    <t>340,65</t>
  </si>
  <si>
    <t>366,38</t>
  </si>
  <si>
    <t>344,70</t>
  </si>
  <si>
    <t>370,42</t>
  </si>
  <si>
    <t>315,66</t>
  </si>
  <si>
    <t>325,04</t>
  </si>
  <si>
    <t>15,86</t>
  </si>
  <si>
    <t>15,88</t>
  </si>
  <si>
    <t>24,60</t>
  </si>
  <si>
    <t>17,83</t>
  </si>
  <si>
    <t>33,58</t>
  </si>
  <si>
    <t>PINTURA COM TINTA ALQUÍDICA DE FUNDO (TIPO ZARCÃO) PULVERIZADA SOBRE PERFIL METÁLICO EXECUTADO EM FÁBRICA (POR DEMÃO). AF_01/2020_P</t>
  </si>
  <si>
    <t>PINTURA COM TINTA ALQUÍDICA DE FUNDO (TIPO ZARCÃO) PULVERIZADA SOBRE SUPERFÍCIES METÁLICAS (EXCETO PERFIL) EXECUTADO EM OBRA (POR DEMÃO). AF_01/2020_P</t>
  </si>
  <si>
    <t>PINTURA COM TINTA ALQUÍDICA DE FUNDO E ACABAMENTO (ESMALTE SINTÉTICO GRAFITE) PULVERIZADA SOBRE SUPERFÍCIES METÁLICAS (EXCETO PERFIL) EXECUTADO EM OBRA (POR DEMÃO). AF_01/2020_P</t>
  </si>
  <si>
    <t>22,64</t>
  </si>
  <si>
    <t>PINTURA COM TINTA EPOXÍDICA DE FUNDO PULVERIZADA SOBRE PERFIL METÁLICO EXECUTADO EM FÁBRICA (POR DEMÃO). AF_01/2020_P</t>
  </si>
  <si>
    <t>PINTURA COM TINTA EPOXÍDICA DE ACABAMENTO PULVERIZADA SOBRE PERFIL METÁLICO EXECUTADO EM FÁBRICA (POR DEMÃO). AF_01/2020_P</t>
  </si>
  <si>
    <t>PINTURA COM TINTA ACRÍLICA DE FUNDO PULVERIZADA SOBRE SUPERFÍCIES METÁLICAS (EXCETO PERFIL) EXECUTADO EM OBRA (POR DEMÃO). AF_01/2020_P</t>
  </si>
  <si>
    <t>PINTURA COM TINTA ACRÍLICA DE ACABAMENTO PULVERIZADA SOBRE SUPERFÍCIES METÁLICAS (EXCETO PERFIL) EXECUTADO EM OBRA (POR DEMÃO). AF_01/2020_P</t>
  </si>
  <si>
    <t>PINTURA COM TINTA ALQUÍDICA DE ACABAMENTO (ESMALTE SINTÉTICO ACETINADO) PULVERIZADA SOBRE PERFIL METÁLICO EXECUTADO EM FÁBRICA (POR DEMÃO). AF_01/2020_P</t>
  </si>
  <si>
    <t>PINTURA COM TINTA ALQUÍDICA DE ACABAMENTO (ESMALTE SINTÉTICO ACETINADO) PULVERIZADA SOBRE SUPERFÍCIES METÁLICAS (EXCETO PERFIL) EXECUTADO EM OBRA (POR DEMÃO). AF_01/2020_P</t>
  </si>
  <si>
    <t>PINTURA COM TINTA ALQUÍDICA DE ACABAMENTO (ESMALTE SINTÉTICO BRILHANTE) PULVERIZADA SOBRE PERFIL METÁLICO EXECUTADO EM FÁBRICA  (POR DEMÃO). AF_01/2020_P</t>
  </si>
  <si>
    <t>PINTURA COM TINTA ALQUÍDICA DE ACABAMENTO (ESMALTE SINTÉTICO BRILHANTE) PULVERIZADA SOBRE SUPERFÍCIES METÁLICAS (EXCETO PERFIL) EXECUTADO EM OBRA  (POR DEMÃO). AF_01/2020_P</t>
  </si>
  <si>
    <t>PINTURA COM TINTA ALQUÍDICA DE ACABAMENTO (ESMALTE SINTÉTICO FOSCO) PULVERIZADA SOBRE PERFIL METÁLICO EXECUTADO EM FÁBRICA (POR DEMÃO). AF_01/2020_P</t>
  </si>
  <si>
    <t>PINTURA COM TINTA ALQUÍDICA DE ACABAMENTO (ESMALTE SINTÉTICO FOSCO) PULVERIZADA SOBRE SUPERFÍCIES METÁLICAS (EXCETO PERFIL) EXECUTADO EM OBRA (POR DEMÃO). AF_01/2020_P</t>
  </si>
  <si>
    <t>PINTURA COM TINTA EPOXÍDICA DE ACABAMENTO PULVERIZADA SOBRE PERFIL METÁLICO EXECUTADO EM FÁBRICA (02 DEMÃOS). AF_01/2020_P</t>
  </si>
  <si>
    <t>PINTURA COM TINTA ACRÍLICA DE ACABAMENTO PULVERIZADA SOBRE SUPERFÍCIES METÁLICAS (EXCETO PERFIL) EXECUTADO EM OBRA (02 DEMÃOS). AF_01/2020_P</t>
  </si>
  <si>
    <t>PINTURA COM TINTA ALQUÍDICA DE ACABAMENTO (ESMALTE SINTÉTICO ACETINADO) PULVERIZADA SOBRE SUPERFÍCIES METÁLICAS (EXCETO PERFIL) EXECUTADO EM OBRA (02 DEMÃOS). AF_01/2020_P</t>
  </si>
  <si>
    <t>PINTURA COM TINTA ALQUÍDICA DE ACABAMENTO (ESMALTE SINTÉTICO BRILHANTE) PULVERIZADA SOBRE SUPERFÍCIES METÁLICAS (EXCETO PERFIL) EXECUTADO EM OBRA (02 DEMÃOS). AF_01/2020_P</t>
  </si>
  <si>
    <t>39,39</t>
  </si>
  <si>
    <t>PINTURA COM TINTA ALQUÍDICA DE ACABAMENTO (ESMALTE SINTÉTICO FOSCO) PULVERIZADA SOBRE SUPERFÍCIES METÁLICAS (EXCETO PERFIL) EXECUTADO EM OBRA (02 DEMÃOS). AF_01/2020_P</t>
  </si>
  <si>
    <t>41,35</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</si>
  <si>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</si>
  <si>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</si>
  <si>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</si>
  <si>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</si>
  <si>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</si>
  <si>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</si>
  <si>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</si>
  <si>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</si>
  <si>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</si>
  <si>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</si>
  <si>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</si>
  <si>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</si>
  <si>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</si>
  <si>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</si>
  <si>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</si>
  <si>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8,81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</si>
  <si>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</si>
  <si>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</si>
  <si>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</si>
  <si>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</si>
  <si>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</si>
  <si>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</si>
  <si>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38,71</t>
  </si>
  <si>
    <t>PINTURA DE SINALIZAÇÃO VERTICAL DE SEGURANÇA, FAIXAS AMARELA E PRETA, APLICAÇÃO MANUAL, 2 DEMÃOS. AF_05/2021</t>
  </si>
  <si>
    <t>154,47</t>
  </si>
  <si>
    <t>239,54</t>
  </si>
  <si>
    <t>160,74</t>
  </si>
  <si>
    <t>46,27</t>
  </si>
  <si>
    <t>52,33</t>
  </si>
  <si>
    <t>35,30</t>
  </si>
  <si>
    <t>82,35</t>
  </si>
  <si>
    <t>95,11</t>
  </si>
  <si>
    <t>88,21</t>
  </si>
  <si>
    <t>109,56</t>
  </si>
  <si>
    <t>101,43</t>
  </si>
  <si>
    <t>143,37</t>
  </si>
  <si>
    <t>379,03</t>
  </si>
  <si>
    <t>347,96</t>
  </si>
  <si>
    <t>212,73</t>
  </si>
  <si>
    <t>374,61</t>
  </si>
  <si>
    <t>33,86</t>
  </si>
  <si>
    <t>68,90</t>
  </si>
  <si>
    <t>34,73</t>
  </si>
  <si>
    <t>35,84</t>
  </si>
  <si>
    <t>108,58</t>
  </si>
  <si>
    <t>221,49</t>
  </si>
  <si>
    <t>231,95</t>
  </si>
  <si>
    <t>175,88</t>
  </si>
  <si>
    <t>209,64</t>
  </si>
  <si>
    <t>428,92</t>
  </si>
  <si>
    <t>439,81</t>
  </si>
  <si>
    <t>98,67</t>
  </si>
  <si>
    <t>120,21</t>
  </si>
  <si>
    <t>387,27</t>
  </si>
  <si>
    <t>356,20</t>
  </si>
  <si>
    <t>660,44</t>
  </si>
  <si>
    <t>489,49</t>
  </si>
  <si>
    <t>101,75</t>
  </si>
  <si>
    <t>91,50</t>
  </si>
  <si>
    <t>116,52</t>
  </si>
  <si>
    <t>102,84</t>
  </si>
  <si>
    <t>129,91</t>
  </si>
  <si>
    <t>112,80</t>
  </si>
  <si>
    <t>144,14</t>
  </si>
  <si>
    <t>123,64</t>
  </si>
  <si>
    <t>29,42</t>
  </si>
  <si>
    <t>32,57</t>
  </si>
  <si>
    <t>50,39</t>
  </si>
  <si>
    <t>55,86</t>
  </si>
  <si>
    <t>86,76</t>
  </si>
  <si>
    <t>38,60</t>
  </si>
  <si>
    <t>69,07</t>
  </si>
  <si>
    <t>78,42</t>
  </si>
  <si>
    <t>38,63</t>
  </si>
  <si>
    <t>79,68</t>
  </si>
  <si>
    <t>90,40</t>
  </si>
  <si>
    <t>41,70</t>
  </si>
  <si>
    <t>86,40</t>
  </si>
  <si>
    <t>60,20</t>
  </si>
  <si>
    <t>45,96</t>
  </si>
  <si>
    <t>82,71</t>
  </si>
  <si>
    <t>41,14</t>
  </si>
  <si>
    <t>77,89</t>
  </si>
  <si>
    <t>46,55</t>
  </si>
  <si>
    <t>51,93</t>
  </si>
  <si>
    <t>82,40</t>
  </si>
  <si>
    <t>91,75</t>
  </si>
  <si>
    <t>72,85</t>
  </si>
  <si>
    <t>129,22</t>
  </si>
  <si>
    <t>80,17</t>
  </si>
  <si>
    <t>87,88</t>
  </si>
  <si>
    <t>131,57</t>
  </si>
  <si>
    <t>144,98</t>
  </si>
  <si>
    <t>62,68</t>
  </si>
  <si>
    <t>68,85</t>
  </si>
  <si>
    <t>103,73</t>
  </si>
  <si>
    <t>111,37</t>
  </si>
  <si>
    <t>73,95</t>
  </si>
  <si>
    <t>125,35</t>
  </si>
  <si>
    <t>138,76</t>
  </si>
  <si>
    <t>43,23</t>
  </si>
  <si>
    <t>42,61</t>
  </si>
  <si>
    <t>58,10</t>
  </si>
  <si>
    <t>22,87</t>
  </si>
  <si>
    <t>26,73</t>
  </si>
  <si>
    <t>26,10</t>
  </si>
  <si>
    <t>34,71</t>
  </si>
  <si>
    <t>34,20</t>
  </si>
  <si>
    <t>26,85</t>
  </si>
  <si>
    <t>45,32</t>
  </si>
  <si>
    <t>21,38</t>
  </si>
  <si>
    <t>29,62</t>
  </si>
  <si>
    <t>63,32</t>
  </si>
  <si>
    <t>59,49</t>
  </si>
  <si>
    <t>77,46</t>
  </si>
  <si>
    <t>67,68</t>
  </si>
  <si>
    <t>91,61</t>
  </si>
  <si>
    <t>86,29</t>
  </si>
  <si>
    <t>109,42</t>
  </si>
  <si>
    <t>56,21</t>
  </si>
  <si>
    <t>72,94</t>
  </si>
  <si>
    <t>77,69</t>
  </si>
  <si>
    <t>80,81</t>
  </si>
  <si>
    <t>89,76</t>
  </si>
  <si>
    <t>93,04</t>
  </si>
  <si>
    <t>98,29</t>
  </si>
  <si>
    <t>115,02</t>
  </si>
  <si>
    <t>139,70</t>
  </si>
  <si>
    <t>154,53</t>
  </si>
  <si>
    <t>61,61</t>
  </si>
  <si>
    <t>91,80</t>
  </si>
  <si>
    <t>121,06</t>
  </si>
  <si>
    <t>82,67</t>
  </si>
  <si>
    <t>114,53</t>
  </si>
  <si>
    <t>128,48</t>
  </si>
  <si>
    <t>120,34</t>
  </si>
  <si>
    <t>80,34</t>
  </si>
  <si>
    <t>127,68</t>
  </si>
  <si>
    <t>115,25</t>
  </si>
  <si>
    <t>84,63</t>
  </si>
  <si>
    <t>93,48</t>
  </si>
  <si>
    <t>86,34</t>
  </si>
  <si>
    <t>138,49</t>
  </si>
  <si>
    <t>124,84</t>
  </si>
  <si>
    <t>94,19</t>
  </si>
  <si>
    <t>91,70</t>
  </si>
  <si>
    <t>107,97</t>
  </si>
  <si>
    <t>45,11</t>
  </si>
  <si>
    <t>32,02</t>
  </si>
  <si>
    <t>258,11</t>
  </si>
  <si>
    <t>237,16</t>
  </si>
  <si>
    <t>248,67</t>
  </si>
  <si>
    <t>301,26</t>
  </si>
  <si>
    <t>55,94</t>
  </si>
  <si>
    <t>63,40</t>
  </si>
  <si>
    <t>63,43</t>
  </si>
  <si>
    <t>285,76</t>
  </si>
  <si>
    <t>263,35</t>
  </si>
  <si>
    <t>274,86</t>
  </si>
  <si>
    <t>332,48</t>
  </si>
  <si>
    <t>47,12</t>
  </si>
  <si>
    <t>49,04</t>
  </si>
  <si>
    <t>48,38</t>
  </si>
  <si>
    <t>106,03</t>
  </si>
  <si>
    <t>120,90</t>
  </si>
  <si>
    <t>150,17</t>
  </si>
  <si>
    <t>36,54</t>
  </si>
  <si>
    <t>56,25</t>
  </si>
  <si>
    <t>61,88</t>
  </si>
  <si>
    <t>64,71</t>
  </si>
  <si>
    <t>335,40</t>
  </si>
  <si>
    <t>329,57</t>
  </si>
  <si>
    <t>343,59</t>
  </si>
  <si>
    <t>337,00</t>
  </si>
  <si>
    <t>449,00</t>
  </si>
  <si>
    <t>434,10</t>
  </si>
  <si>
    <t>441,22</t>
  </si>
  <si>
    <t>433,09</t>
  </si>
  <si>
    <t>456,06</t>
  </si>
  <si>
    <t>435,72</t>
  </si>
  <si>
    <t>453,50</t>
  </si>
  <si>
    <t>430,58</t>
  </si>
  <si>
    <t>488,51</t>
  </si>
  <si>
    <t>336,01</t>
  </si>
  <si>
    <t>448,06</t>
  </si>
  <si>
    <t>440,05</t>
  </si>
  <si>
    <t>411,61</t>
  </si>
  <si>
    <t>395,73</t>
  </si>
  <si>
    <t>387,20</t>
  </si>
  <si>
    <t>356,29</t>
  </si>
  <si>
    <t>347,89</t>
  </si>
  <si>
    <t>410,35</t>
  </si>
  <si>
    <t>403,17</t>
  </si>
  <si>
    <t>383,43</t>
  </si>
  <si>
    <t>370,52</t>
  </si>
  <si>
    <t>2.831,16</t>
  </si>
  <si>
    <t>2.835,30</t>
  </si>
  <si>
    <t>2.903,76</t>
  </si>
  <si>
    <t>2.902,06</t>
  </si>
  <si>
    <t>2.847,28</t>
  </si>
  <si>
    <t>2.853,79</t>
  </si>
  <si>
    <t>353,93</t>
  </si>
  <si>
    <t>306,39</t>
  </si>
  <si>
    <t>377,08</t>
  </si>
  <si>
    <t>323,22</t>
  </si>
  <si>
    <t>466,58</t>
  </si>
  <si>
    <t>417,35</t>
  </si>
  <si>
    <t>414,60</t>
  </si>
  <si>
    <t>438,67</t>
  </si>
  <si>
    <t>433,04</t>
  </si>
  <si>
    <t>437,76</t>
  </si>
  <si>
    <t>428,68</t>
  </si>
  <si>
    <t>588,26</t>
  </si>
  <si>
    <t>488,17</t>
  </si>
  <si>
    <t>462,83</t>
  </si>
  <si>
    <t>506,44</t>
  </si>
  <si>
    <t>449,73</t>
  </si>
  <si>
    <t>418,24</t>
  </si>
  <si>
    <t>412,30</t>
  </si>
  <si>
    <t>387,41</t>
  </si>
  <si>
    <t>423,78</t>
  </si>
  <si>
    <t>362,39</t>
  </si>
  <si>
    <t>392,61</t>
  </si>
  <si>
    <t>335,08</t>
  </si>
  <si>
    <t>475,67</t>
  </si>
  <si>
    <t>413,65</t>
  </si>
  <si>
    <t>385,99</t>
  </si>
  <si>
    <t>414,05</t>
  </si>
  <si>
    <t>372,47</t>
  </si>
  <si>
    <t>352,07</t>
  </si>
  <si>
    <t>2.799,91</t>
  </si>
  <si>
    <t>2.777,27</t>
  </si>
  <si>
    <t>2.869,71</t>
  </si>
  <si>
    <t>2.834,75</t>
  </si>
  <si>
    <t>2.833,85</t>
  </si>
  <si>
    <t>2.823,61</t>
  </si>
  <si>
    <t>2.801,66</t>
  </si>
  <si>
    <t>435,41</t>
  </si>
  <si>
    <t>455,79</t>
  </si>
  <si>
    <t>549,48</t>
  </si>
  <si>
    <t>545,27</t>
  </si>
  <si>
    <t>562,60</t>
  </si>
  <si>
    <t>543,58</t>
  </si>
  <si>
    <t>540,38</t>
  </si>
  <si>
    <t>605,69</t>
  </si>
  <si>
    <t>549,60</t>
  </si>
  <si>
    <t>501,75</t>
  </si>
  <si>
    <t>464,19</t>
  </si>
  <si>
    <t>522,01</t>
  </si>
  <si>
    <t>483,25</t>
  </si>
  <si>
    <t>2.921,89</t>
  </si>
  <si>
    <t>2.982,28</t>
  </si>
  <si>
    <t>2.941,71</t>
  </si>
  <si>
    <t>986,22</t>
  </si>
  <si>
    <t>977,95</t>
  </si>
  <si>
    <t>968,15</t>
  </si>
  <si>
    <t>1.137,62</t>
  </si>
  <si>
    <t>1.124,35</t>
  </si>
  <si>
    <t>1.115,23</t>
  </si>
  <si>
    <t>2.691,54</t>
  </si>
  <si>
    <t>2.694,98</t>
  </si>
  <si>
    <t>2.702,99</t>
  </si>
  <si>
    <t>2.984,48</t>
  </si>
  <si>
    <t>3.003,26</t>
  </si>
  <si>
    <t>3.023,20</t>
  </si>
  <si>
    <t>1.909,25</t>
  </si>
  <si>
    <t>1.913,59</t>
  </si>
  <si>
    <t>1.919,73</t>
  </si>
  <si>
    <t>1.147,80</t>
  </si>
  <si>
    <t>1.300,86</t>
  </si>
  <si>
    <t>3.210,53</t>
  </si>
  <si>
    <t>2.113,28</t>
  </si>
  <si>
    <t>2.817,72</t>
  </si>
  <si>
    <t>2.813,47</t>
  </si>
  <si>
    <t>1.011,39</t>
  </si>
  <si>
    <t>997,53</t>
  </si>
  <si>
    <t>752,32</t>
  </si>
  <si>
    <t>420,00</t>
  </si>
  <si>
    <t>503,46</t>
  </si>
  <si>
    <t>406,22</t>
  </si>
  <si>
    <t>494,04</t>
  </si>
  <si>
    <t>355,98</t>
  </si>
  <si>
    <t>431,58</t>
  </si>
  <si>
    <t>594,24</t>
  </si>
  <si>
    <t>409,94</t>
  </si>
  <si>
    <t>394,77</t>
  </si>
  <si>
    <t>497,29</t>
  </si>
  <si>
    <t>399,06</t>
  </si>
  <si>
    <t>363,37</t>
  </si>
  <si>
    <t>405,02</t>
  </si>
  <si>
    <t>365,70</t>
  </si>
  <si>
    <t>348,48</t>
  </si>
  <si>
    <t>538,39</t>
  </si>
  <si>
    <t>588,99</t>
  </si>
  <si>
    <t>528,18</t>
  </si>
  <si>
    <t>515,21</t>
  </si>
  <si>
    <t>625,35</t>
  </si>
  <si>
    <t>469,47</t>
  </si>
  <si>
    <t>507,13</t>
  </si>
  <si>
    <t>468,62</t>
  </si>
  <si>
    <t>559,82</t>
  </si>
  <si>
    <t>410,86</t>
  </si>
  <si>
    <t>412,93</t>
  </si>
  <si>
    <t>404,57</t>
  </si>
  <si>
    <t>362,89</t>
  </si>
  <si>
    <t>537,66</t>
  </si>
  <si>
    <t>469,07</t>
  </si>
  <si>
    <t>24,95</t>
  </si>
  <si>
    <t>42,22</t>
  </si>
  <si>
    <t>1.202,87</t>
  </si>
  <si>
    <t>869,47</t>
  </si>
  <si>
    <t>327,25</t>
  </si>
  <si>
    <t>4,37</t>
  </si>
  <si>
    <t>21,54</t>
  </si>
  <si>
    <t>32,32</t>
  </si>
  <si>
    <t>68,58</t>
  </si>
  <si>
    <t>51,43</t>
  </si>
  <si>
    <t>32,81</t>
  </si>
  <si>
    <t>128,49</t>
  </si>
  <si>
    <t>26,37</t>
  </si>
  <si>
    <t>64,06</t>
  </si>
  <si>
    <t>28,08</t>
  </si>
  <si>
    <t>40,96</t>
  </si>
  <si>
    <t>216,34</t>
  </si>
  <si>
    <t>71,94</t>
  </si>
  <si>
    <t>596,10</t>
  </si>
  <si>
    <t>87,06</t>
  </si>
  <si>
    <t>495,38</t>
  </si>
  <si>
    <t>238,44</t>
  </si>
  <si>
    <t>228,87</t>
  </si>
  <si>
    <t>105,72</t>
  </si>
  <si>
    <t>18,75</t>
  </si>
  <si>
    <t>16,62</t>
  </si>
  <si>
    <t>20,40</t>
  </si>
  <si>
    <t>94,90</t>
  </si>
  <si>
    <t>119,29</t>
  </si>
  <si>
    <t>358,53</t>
  </si>
  <si>
    <t>189,98</t>
  </si>
  <si>
    <t>131,28</t>
  </si>
  <si>
    <t>87,91</t>
  </si>
  <si>
    <t>575,89</t>
  </si>
  <si>
    <t>114,96</t>
  </si>
  <si>
    <t>7,32</t>
  </si>
  <si>
    <t>27,39</t>
  </si>
  <si>
    <t>16,70</t>
  </si>
  <si>
    <t>18,72</t>
  </si>
  <si>
    <t>127,46</t>
  </si>
  <si>
    <t>97,84</t>
  </si>
  <si>
    <t>55,75</t>
  </si>
  <si>
    <t>55,15</t>
  </si>
  <si>
    <t>55,45</t>
  </si>
  <si>
    <t>56,27</t>
  </si>
  <si>
    <t>104,38</t>
  </si>
  <si>
    <t>76,42</t>
  </si>
  <si>
    <t>34,47</t>
  </si>
  <si>
    <t>ALAMBRADO PARA QUADRA POLIESPORTIVA, ESTRUTURADO POR TUBOS DE ACO GALVANIZADO, (MONTANTES COM DIAMETRO 2", TRAVESSAS E ESCORAS COM DIÂMETRO 1 ¼), COM TELA DE ARAME GALVANIZADO, FIO 14 BWG E MALHA QUADRADA 5X5CM (EXCETO MURETA). AF_03/2021</t>
  </si>
  <si>
    <t>171,09</t>
  </si>
  <si>
    <t>ALAMBRADO PARA QUADRA POLIESPORTIVA, ESTRUTURADO POR TUBOS DE ACO GALVANIZADO, (MONTANTES COM DIAMETRO 2", TRAVESSAS E ESCORAS COM DIÂMETRO 1 ¼), COM TELA DE ARAME GALVANIZADO, FIO 12 BWG E MALHA QUADRADA 5X5CM (EXCETO MURETA). AF_03/2021</t>
  </si>
  <si>
    <t>183,06</t>
  </si>
  <si>
    <t>ALAMBRADO PARA QUADRA POLIESPORTIVA, ESTRUTURADO POR TUBOS DE ACO GALVANIZADO, (MONTANTES COM DIAMETRO 2", TRAVESSAS E ESCORAS COM DIÂMETRO 1 ¼), COM TELA DE ARAME GALVANIZADO, FIO 10 BWG E MALHA QUADRADA 5X5CM (EXCETO MURETA). AF_03/2021</t>
  </si>
  <si>
    <t>204,85</t>
  </si>
  <si>
    <t>59,10</t>
  </si>
  <si>
    <t>110,80</t>
  </si>
  <si>
    <t>275,23</t>
  </si>
  <si>
    <t>141,63</t>
  </si>
  <si>
    <t>54,43</t>
  </si>
  <si>
    <t>136,36</t>
  </si>
  <si>
    <t>199,42</t>
  </si>
  <si>
    <t>112,04</t>
  </si>
  <si>
    <t>222,72</t>
  </si>
  <si>
    <t>221,33</t>
  </si>
  <si>
    <t>569,23</t>
  </si>
  <si>
    <t>897,22</t>
  </si>
  <si>
    <t>19,96</t>
  </si>
  <si>
    <t>32,51</t>
  </si>
  <si>
    <t>19,91</t>
  </si>
  <si>
    <t>25,19</t>
  </si>
  <si>
    <t>18,98</t>
  </si>
  <si>
    <t>26,49</t>
  </si>
  <si>
    <t>27,68</t>
  </si>
  <si>
    <t>3.561,54</t>
  </si>
  <si>
    <t>5.204,63</t>
  </si>
  <si>
    <t>2.555,41</t>
  </si>
  <si>
    <t>4.675,73</t>
  </si>
  <si>
    <t>5.543,55</t>
  </si>
  <si>
    <t>3.465,25</t>
  </si>
  <si>
    <t>5.100,40</t>
  </si>
  <si>
    <t>3.359,98</t>
  </si>
  <si>
    <t>3.238,81</t>
  </si>
  <si>
    <t>18,25</t>
  </si>
  <si>
    <t>49,89</t>
  </si>
  <si>
    <t>25,28</t>
  </si>
  <si>
    <t>63,76</t>
  </si>
  <si>
    <t>54,78</t>
  </si>
  <si>
    <t>23,62</t>
  </si>
  <si>
    <t>26,03</t>
  </si>
  <si>
    <t>3.346,86</t>
  </si>
  <si>
    <t>3.396,87</t>
  </si>
  <si>
    <t>2.644,95</t>
  </si>
  <si>
    <t>3.423,04</t>
  </si>
  <si>
    <t>3.628,80</t>
  </si>
  <si>
    <t>3.505,95</t>
  </si>
  <si>
    <t>3.795,17</t>
  </si>
  <si>
    <t>4.296,98</t>
  </si>
  <si>
    <t>3.374,93</t>
  </si>
  <si>
    <t>3.449,55</t>
  </si>
  <si>
    <t>3.306,45</t>
  </si>
  <si>
    <t>3.023,01</t>
  </si>
  <si>
    <t>3.198,76</t>
  </si>
  <si>
    <t>3.341,61</t>
  </si>
  <si>
    <t>1.504,77</t>
  </si>
  <si>
    <t>4.302,60</t>
  </si>
  <si>
    <t>3.201,49</t>
  </si>
  <si>
    <t>4.064,03</t>
  </si>
  <si>
    <t>3.614,84</t>
  </si>
  <si>
    <t>4.282,52</t>
  </si>
  <si>
    <t>4.276,90</t>
  </si>
  <si>
    <t>2.896,24</t>
  </si>
  <si>
    <t>4.341,59</t>
  </si>
  <si>
    <t>4.345,28</t>
  </si>
  <si>
    <t>5.838,87</t>
  </si>
  <si>
    <t>4.223,90</t>
  </si>
  <si>
    <t>4.313,53</t>
  </si>
  <si>
    <t>3.411,57</t>
  </si>
  <si>
    <t>4.185,56</t>
  </si>
  <si>
    <t>4.322,12</t>
  </si>
  <si>
    <t>4.352,20</t>
  </si>
  <si>
    <t>3.608,54</t>
  </si>
  <si>
    <t>4.540,58</t>
  </si>
  <si>
    <t>4.839,06</t>
  </si>
  <si>
    <t>4.157,89</t>
  </si>
  <si>
    <t>3.297,70</t>
  </si>
  <si>
    <t>4.461,67</t>
  </si>
  <si>
    <t>3.415,39</t>
  </si>
  <si>
    <t>4.425,42</t>
  </si>
  <si>
    <t>3.362,37</t>
  </si>
  <si>
    <t>3.348,28</t>
  </si>
  <si>
    <t>3.377,06</t>
  </si>
  <si>
    <t>1.837,54</t>
  </si>
  <si>
    <t>3.665,75</t>
  </si>
  <si>
    <t>3.312,38</t>
  </si>
  <si>
    <t>3.231,04</t>
  </si>
  <si>
    <t>3.372,72</t>
  </si>
  <si>
    <t>3.849,21</t>
  </si>
  <si>
    <t>4.127,82</t>
  </si>
  <si>
    <t>3.798,66</t>
  </si>
  <si>
    <t>3.375,38</t>
  </si>
  <si>
    <t>3.436,37</t>
  </si>
  <si>
    <t>3.898,02</t>
  </si>
  <si>
    <t>4.558,47</t>
  </si>
  <si>
    <t>3.709,41</t>
  </si>
  <si>
    <t>3.992,36</t>
  </si>
  <si>
    <t>3.387,35</t>
  </si>
  <si>
    <t>3.370,66</t>
  </si>
  <si>
    <t>3.567,79</t>
  </si>
  <si>
    <t>4.591,88</t>
  </si>
  <si>
    <t>4.504,30</t>
  </si>
  <si>
    <t>4.753,78</t>
  </si>
  <si>
    <t>4.742,25</t>
  </si>
  <si>
    <t>3.096,94</t>
  </si>
  <si>
    <t>3.015,92</t>
  </si>
  <si>
    <t>3.195,41</t>
  </si>
  <si>
    <t>4.420,14</t>
  </si>
  <si>
    <t>4.785,80</t>
  </si>
  <si>
    <t>4.990,50</t>
  </si>
  <si>
    <t>5.145,17</t>
  </si>
  <si>
    <t>4.565,66</t>
  </si>
  <si>
    <t>4.018,00</t>
  </si>
  <si>
    <t>3.264,40</t>
  </si>
  <si>
    <t>POSTE CONICO CONTINUO EM ACO GALVANIZADO, RETO, H = 7 M, COM LUMINÁRIA DE LED 200W - FORNECIMENTO E INSTALAÇÃO</t>
  </si>
  <si>
    <t>REF: 100741 SIINAPI MAIO 2021</t>
  </si>
  <si>
    <t>m2</t>
  </si>
  <si>
    <t>reservat.</t>
  </si>
  <si>
    <t>ÁREA DE CONSTRUÇÃO: 1.497,00 m²</t>
  </si>
  <si>
    <t>área da Cap</t>
  </si>
  <si>
    <t>ESTACA ESCAVADA MECANICAMENTE, SEM FLUIDO ESTABILIZANTE, COM 30CM DE DIÂMETRO, CONCRETO (C-30) LANÇADO POR CAMINHÃO BETONEIRA (EXCLUSIVE ARMAÇÃO)</t>
  </si>
  <si>
    <t>FUNDAÇÕES E ESTRUTURAS - RESERVATÓRIO METÁLICO</t>
  </si>
  <si>
    <t>SINAPI - MAIO 2021 SEM DESONERAÇÃO</t>
  </si>
  <si>
    <t>SINAPI MAIO 2021</t>
  </si>
  <si>
    <t>1.497,00 m²</t>
  </si>
  <si>
    <t>REF: 100775 SINAPI FEV-2021</t>
  </si>
  <si>
    <t>após análise foi considerada a cpu 100775 por ter custo menor que outras e ser mais adequada ao uso</t>
  </si>
  <si>
    <t>ESTRUTURA METÁLICA PERFIL U 190 X 60 #3,00 - INCLUSO MÃO DE OBRA, TRANSPORTE E IÇAMENTO, UTILIZANDO GUINDASTE - FORNECIMENTO E INSTALAÇÃO</t>
  </si>
  <si>
    <t>ESTRUTURA METÁLICA PERFIL L 32 X 32 #4,75 - INCLUSO MÃO DE OBRA, TRANSPORTE E IÇAMENTO, UTILIZANDO GUINDASTE - FORNECIMENTO E INSTALAÇÃO</t>
  </si>
  <si>
    <t>ESTRUTURA METÁLICA PERFIL L 25 X 25 #4,75 - INCLUSO MÃO DE OBRA, TRANSPORTE E IÇAMENTO, UTILIZANDO GUINDASTE - FORNECIMENTO E INSTALAÇÃO</t>
  </si>
  <si>
    <t>ESTRUTURA METÁLICA PERFIL Ue 75 X 40 X 17 #2,00 - INCLUSO MÃO DE OBRA, TRANSPORTE E IÇAMENTO, UTILIZANDO GUINDASTE - FORNECIMENTO E INSTALAÇÃO</t>
  </si>
  <si>
    <t>ESTRUTURA METÁLICA PERFIL Ue 150 X 60 X 20 #2,00 - INCLUSO MÃO DE OBRA, TRANSPORTE E IÇAMENTO, UTILIZANDO GUINDASTE - FORNECIMENTO E INSTALAÇÃO</t>
  </si>
  <si>
    <t>REF: 100766 SINAPI FEV-2021</t>
  </si>
  <si>
    <t>ESTRUTURA METÁLICA TIPO CHAPA #10,00 - INCLUSO MÃO DE OBRA, TRANSPORTE E IÇAMENTO, UTILIZANDO GUINDASTE - FORNECIMENTO E INSTALAÇÃO</t>
  </si>
  <si>
    <t>ESTRUTURA METÁLICA TIPO CHAPA #16,00 - INCLUSO MÃO DE OBRA, TRANSPORTE E IÇAMENTO, UTILIZANDO GUINDASTE - FORNECIMENTO E INSTALAÇÃO</t>
  </si>
  <si>
    <t>ESTRUTURA METÁLICA CONTRAVENTAMENTO COM SAE 1045 Ø3/8" - INCLUSO MÃO DE OBRA, TRANSPORTE E IÇAMENTO, UTILIZANDO GUINDASTE - FORNECIMENTO E INSTALAÇÃO</t>
  </si>
  <si>
    <t>REF: 0407740 SICRO JAN 2021</t>
  </si>
  <si>
    <t>CCU - 01.001</t>
  </si>
  <si>
    <t>REF: CREDENCIAMENTO TR13</t>
  </si>
  <si>
    <t>TR13</t>
  </si>
  <si>
    <t>01.03.100.2</t>
  </si>
  <si>
    <t>ELABORAÇÃO DE PROJETOS EXECUTIVOS DE FUNDAÇÕES E ESTRUTURA, INCLUSO BDI</t>
  </si>
  <si>
    <t>CCU - 08.028</t>
  </si>
  <si>
    <t>REF: 92379 SINAPI MAIO 2021</t>
  </si>
  <si>
    <t>NIPLE DE REDUÇÃO, EM FERRO GALVANIZADO, DN (3"X2.1/2"), CONEXÃO ROSQUEADA, INSTALADO EM REDE DE ALIMENTAÇÃO PARA HIDRANTE - FORNECIMENTO E INSTALAÇÃO</t>
  </si>
  <si>
    <t>BASE DE CONCRETO P/ BOMBAS DE 90X90X10CM, FCK 25MPA, ARMADO</t>
  </si>
  <si>
    <t>ENG. GABRIEL DA CUNHA ARAUJO
CREA 23300/D-DF
ART: 0720210046394
MAT.: 973.175-X</t>
  </si>
  <si>
    <t>PINTURA COM TINTA ALQUÍDICA DE ACABAMENTO (ESMALTE SINTÉTICO ACETINADO) 2 DEMÃO - PULVERIZADA SOBRE ESTRUTURA METALICA - FORNECIMENTO E INSTALAÇÃO</t>
  </si>
  <si>
    <t>REF: 100739 SINAPI FEV 2021</t>
  </si>
  <si>
    <t>ESTRUTURA METÁLICA TIPO CHAPA #4,75 - INCLUSO MÃO DE OBRA, TRANSPORTE E IÇAMENTO, UTILIZANDO GUINDASTE - FORNECIMENTO E INSTALAÇÃO</t>
  </si>
  <si>
    <t>03.02.133.9</t>
  </si>
  <si>
    <t>03.02.133.10</t>
  </si>
  <si>
    <t>03.02.133.11</t>
  </si>
  <si>
    <t>03.02.133.12</t>
  </si>
  <si>
    <t>03.02.133.13</t>
  </si>
  <si>
    <t>REF:</t>
  </si>
  <si>
    <t>02.02.110</t>
  </si>
  <si>
    <t>FUNDAÇÕES E ESTRUTURAS DE CONCRETO</t>
  </si>
  <si>
    <t>02.02.110.1</t>
  </si>
  <si>
    <t>02.02.120</t>
  </si>
  <si>
    <t>02.02.120.1</t>
  </si>
  <si>
    <t>02.02.140</t>
  </si>
  <si>
    <t>VEDAÇÕES</t>
  </si>
  <si>
    <t>02.02.140.1</t>
  </si>
  <si>
    <t>02.02.130</t>
  </si>
  <si>
    <t>02.02.130.1</t>
  </si>
  <si>
    <t>02.02.130.2</t>
  </si>
  <si>
    <t>REMOÇÃO DE ESTRUTURA METÁLICA CHUMBADA EM CONCRETO (ALAMBRADO)</t>
  </si>
  <si>
    <t>REF:00227/ORSE JAN 2020</t>
  </si>
  <si>
    <t>02.02.140.2</t>
  </si>
  <si>
    <t>02.02.140.3</t>
  </si>
  <si>
    <t>02.02.140.4</t>
  </si>
  <si>
    <t>DEMOLIÇÃO DE DIVISÓRIAS DE MADEIRA - SEM REAPROVEITAMENTO</t>
  </si>
  <si>
    <t>REF: 11390/ORSE MARÇO 2021</t>
  </si>
  <si>
    <t>02.02.140.5</t>
  </si>
  <si>
    <t>CCU - 02.011</t>
  </si>
  <si>
    <t>REMOÇÃO DE DIVISÓRIAS DE CONCRETO, GRANITO OU MARMORE - SEM REAPROVEITAMENTO</t>
  </si>
  <si>
    <t>REF: 12504/ORSE MARÇO 2021</t>
  </si>
  <si>
    <t>02.02.150</t>
  </si>
  <si>
    <t>PISOS</t>
  </si>
  <si>
    <t>02.02.150.1</t>
  </si>
  <si>
    <t>CCU - 02.012</t>
  </si>
  <si>
    <t>02.02.150.2</t>
  </si>
  <si>
    <t>CCU - 02.013</t>
  </si>
  <si>
    <t>REMOÇÃO DE PISO DE ALTA RESISTÊNCIA - GRANITINA</t>
  </si>
  <si>
    <t>REF: 03240/ORSE MARÇO 2021</t>
  </si>
  <si>
    <t>02.02.160</t>
  </si>
  <si>
    <t>COBERTURAS</t>
  </si>
  <si>
    <t>02.02.160.1</t>
  </si>
  <si>
    <t>02.02.180</t>
  </si>
  <si>
    <t>PAVIMENTAÇÕES</t>
  </si>
  <si>
    <t>DEMOLIÇÃO DE MEIO FIO</t>
  </si>
  <si>
    <t>REF: 00021/ORSE NOV 2020</t>
  </si>
  <si>
    <t>CCU - 02.014</t>
  </si>
  <si>
    <t>02.02.180.1</t>
  </si>
  <si>
    <t>02.02.180.2</t>
  </si>
  <si>
    <t>02.02.185</t>
  </si>
  <si>
    <t>02.02.185.1</t>
  </si>
  <si>
    <t>02.02.185.2</t>
  </si>
  <si>
    <t>02.02.185.3</t>
  </si>
  <si>
    <t>02.02.185.4</t>
  </si>
  <si>
    <t>02.02.185.5</t>
  </si>
  <si>
    <t>EQUIPAMENTOS E ACESSÓRIOS ELÉTRICOS E HIDRÁULICOS</t>
  </si>
  <si>
    <t>REMOÇÃO DE QUADROS E PAINÉIS ELÉTRICOS DE EMBUTIR OU SOBREPOR</t>
  </si>
  <si>
    <t>REF: 07224/ORSE JAN 2020</t>
  </si>
  <si>
    <t>CCU - 02.015</t>
  </si>
  <si>
    <t>02.02.190</t>
  </si>
  <si>
    <t>02.02.190.1</t>
  </si>
  <si>
    <t>02.02.190.2</t>
  </si>
  <si>
    <t>02.02.190.3</t>
  </si>
  <si>
    <t>02.02.185.6</t>
  </si>
  <si>
    <t>02.02.185.7</t>
  </si>
  <si>
    <t>02.02.185.8</t>
  </si>
  <si>
    <t>CCU - 02.016</t>
  </si>
  <si>
    <t>REMOÇÃO DE BANCADAS DE GRANITO, MARMORE OU INÓX</t>
  </si>
  <si>
    <t>CCU - 02.017</t>
  </si>
  <si>
    <t>REMOÇÃO DE CATRACA DE CONTROLO DE ACESSO</t>
  </si>
  <si>
    <t>REF: 08387/ORSE JAN 2020</t>
  </si>
  <si>
    <t>REF: 09421/ORSE JAN 2020</t>
  </si>
  <si>
    <t>CCU - 02.018</t>
  </si>
  <si>
    <t>DISTÂNCIA DE BOTA FORA = 17,0 KM</t>
  </si>
  <si>
    <t>PF-7 - PORTÃO DE ABRIR 300X245 CM, EM TELA ARAME GALVANIZADO N.12 MALHA 2" E MOLDURA EM TUBOS DE ACO GALVANIZADO, INCLUSO FERRAGENS, INCLUSO PINTURA - FORNECIMENTO E INSTALAÇÃO.</t>
  </si>
  <si>
    <t>PF-8 - PORTÃO DE ABRIR 145X245 CM, EM TELA ARAME GALVANIZADO N.12 MALHA 2" E MOLDURA EM TUBOS DE ACO GALVANIZADO, INCLUSO FERRAGENS, INCLUSO PINTURA - FORNECIMENTO E INSTALAÇÃO.</t>
  </si>
  <si>
    <t>04.01.505.6</t>
  </si>
  <si>
    <t>PM-02- PORTA EM MADEIRA 90X210 CM COM UMA FOLHA DE ABRIR, COM ACABAMENTO EM LAMINADO MELAMÍNICO, INCLUINDO DOBADIÇAS, FECHADURA, PUXADOR PCD, BATENTE E ALIZAR - FORNECIMENTO E INSTALAÇÃO</t>
  </si>
  <si>
    <t>CCU - 04.025 AUX</t>
  </si>
  <si>
    <t>PORTA DE MADEIRA COMPENSADA LISA PARA PINTURA, 140X210 CM, 2 FOLHAS ASSIMÉTRICAS, INCLUSO ADUELA, ALIZA E DOBRADIÇAS</t>
  </si>
  <si>
    <t>PM-03- PORTA EM MADEIRA 140X210 CM COM DUAS FOLHAS ASSIMÉTRICAS DE ABRIR, COM ACABAMENTO EM LAMINADO MELAMÍNICO, VISORES EM VIDRO 40X50 CM, INCLUINDO DOBADIÇAS, FECHADURA, BATENTE E ALIZAR - FORNECIMENTO E INSTALAÇÃO</t>
  </si>
  <si>
    <t>PM-08- PORTA EM MADEIRA 80X210 CM COM UMA FOLHA DE ABRIR, COM ACABAMENTO EM LAMINADO MELAMÍNICO, INCLUINDO DOBADIÇAS, FECHADURA, BATENTE E ALIZAR - FORNECIMENTO E INSTALAÇÃO</t>
  </si>
  <si>
    <t>PM-06- PORTA EM MADEIRA 90X210 CM COM UMA FOLHA DE ABRIR, COM ACABAMENTO EM LAMINADO MELAMÍNICO, INCLUINDO DOBADIÇAS, FECHADURA, BATENTE E ALIZAR - FORNECIMENTO E INSTALAÇÃO</t>
  </si>
  <si>
    <t>CCU - 04.026 AUX</t>
  </si>
  <si>
    <t>PORTA DE MADEIRA COMPENSADA LISA PARA PINTURA, 150X210 CM, 2 FOLHAS ASSIMÉTRICAS, INCLUSO ADUELA, ALIZA E DOBRADIÇAS VAI E VEM</t>
  </si>
  <si>
    <t>PM-04- PORTA EM MADEIRA 140X210 CM COM DUAS FOLHAS DE ABRIR TIPO VAI E VEM, COM ACABAMENTO EM LAMINADO MELAMÍNICO, VISORES EM VIDRO 40X50 CM, INCLUINDO DOBADIÇAS, FECHADURA, BATENTE E ALIZAR - FORNECIMENTO E INSTALAÇÃO</t>
  </si>
  <si>
    <t>PORTA DE MADEIRA COMPENSADA LISA PARA PINTURA, 140X210 CM, 2 FOLHAS, INCLUSO ADUELA, ALIZA E DOBRADIÇAS VAI E VEM</t>
  </si>
  <si>
    <t>PM-05- PORTA EM MADEIRA 150X210 CM COM DUAS FOLHAS DE ABRIR TIPO VAI E VEM, COM ACABAMENTO EM LAMINADO MELAMÍNICO, VISORES EM VIDRO 40X50 CM, INCLUINDO DOBADIÇAS, FECHADURA, BATENTE E ALIZAR - FORNECIMENTO E INSTALAÇÃO</t>
  </si>
  <si>
    <t>PM-07- PORTA EM MADEIRA 150X210 CM COM DUAS FOLHAS DE ABRIR TIPO VAI E VEM, COM ACABAMENTO EM LAMINADO MELAMÍNICO, VISORES EM VIDRO 40X50 CM, INCLUINDO DOBADIÇAS, FECHADURA, BATENTE E ALIZAR - FORNECIMENTO E INSTALAÇÃO</t>
  </si>
  <si>
    <t>PF-01 - PORTA EM CHAPA DE AÇO COM UMA FOLHA DE CORRER 236X210 CM, INCLUSO BATENTE, GUIAS, ROLDANAS E PINTURA - FORNECIMENTO E INSTALAÇÃO</t>
  </si>
  <si>
    <t>PORTA EM CHAPA DE AÇO COM UMA FOLHA DE CORRER 236X210 CM, INCLUSO BATENTE, GUIAS E ROLDANAS, CONFECÇÃO</t>
  </si>
  <si>
    <t>PORTA 2,36X2,10M - MATERIAL PARA 1 UNIDADE</t>
  </si>
  <si>
    <t>PF-02 - PORTA DE ABRIR DUAS FOLHAS 1,2X210 CM, EM AÇO TIPO VENEZIANA, INCLUSO PINTURA - FORNECIMENTO E INSTALAÇÃO</t>
  </si>
  <si>
    <t>PF-03 - PORTA EM CHAPA DE AÇO COM DUAS FOLHAS DE ABRIR 200X210 CM, BANDEIRA EM VIDRO INCOLOR 10MM, INCLUSO BATENTE, FECHADURA COM BARRA ANTIPÂNICO E PINTURA - FORNECIMENTO E INSTALAÇÃO</t>
  </si>
  <si>
    <t>PORTA EM CHAPA DE AÇO COM DUAS FOLHAS DE ABRIR 200X210 CM, INCLUSO BATENTE, DOBRADIÇAS E BANDEIRA PARA VIDRO, CONFECÇÃO</t>
  </si>
  <si>
    <t>PF-04 - PORTA DE ABRIR 90X210 CM, EM AÇO TIPO VENEZIANA, INCLUSO FERRAGEM E PINTURA - FORNECIMENTO E INSTALAÇÃO</t>
  </si>
  <si>
    <t>PF-05 - PORTA DE ABRIR 80X210 CM, EM AÇO TIPO VENEZIANA, INCLUSO FERRAGEM E PINTURA - FORNECIMENTO E INSTALAÇÃO</t>
  </si>
  <si>
    <t>PF-06 - PORTA DE ABRIR DUAS FOLHAS 1,2X210 CM, EM AÇO TIPO VENEZIANA, INCLUSO PINTURA - FORNECIMENTO E INSTALAÇÃO</t>
  </si>
  <si>
    <t>PF-14 - PORTA EM CHAPA DE AÇO COM UMA FOLHA DE CORRER 120X210 CM, PAINÉL TÉRMICO  120X210 CM, INCLUSO BATENTE, GUIAS E ROLDANAS E PINTURA - FORNECIMENTO E INSTALAÇÃO</t>
  </si>
  <si>
    <t>PORTA EM CHAPA DE AÇO COM UMA FOLHA DE CORRER 120X210 CM, INCLUSO BATENTE, GUIAS E ROLDANAS, CONFECÇÃO</t>
  </si>
  <si>
    <t>PF-15 - PORTA DE ENROLAR 180X210 CM, EM CHAPA RAIADA DE AÇO GALVANIZADO, INCLUSO FERRAGENS, INCLUSO PINTURA - FORNECIMENTO E INSTALAÇÃO.</t>
  </si>
  <si>
    <t>PORTA SANFONADA PVC 210cmx80cm</t>
  </si>
  <si>
    <t>CCU - 04.099</t>
  </si>
  <si>
    <t>CCU - 04.100</t>
  </si>
  <si>
    <t>J-01 - JANELA DE FERRO BASCULANTE 80X70 CM, EM AÇO GALVANIZADO, INCLUSO FERRAGENS, VIDRO E PINTURA - FORNECIMENTO E INSTALAÇÃO.</t>
  </si>
  <si>
    <t>J-03 - JANELA DE FERRO BASCULANTE 120X70 CM, EM AÇO GALVANIZADO, INCLUSO FERRAGENS, VIDRO E PINTURA - FORNECIMENTO E INSTALAÇÃO.</t>
  </si>
  <si>
    <t>J-05 - JANELA DE FERRO BASCULANTE 160X70 CM, EM AÇO GALVANIZADO, INCLUSO FERRAGENS, VIDRO E PINTURA - FORNECIMENTO E INSTALAÇÃO.</t>
  </si>
  <si>
    <t>J-07 - JANELA DE FERRO BASCULANTE 180X70 CM, EM AÇO GALVANIZADO, INCLUSO FERRAGENS, VIDRO E PINTURA - FORNECIMENTO E INSTALAÇÃO.</t>
  </si>
  <si>
    <t>J-08 - JANELA DE FERRO BASCULANTE 240X70 CM, EM AÇO GALVANIZADO, INCLUSO FERRAGENS, VIDRO E PINTURA - FORNECIMENTO E INSTALAÇÃO.</t>
  </si>
  <si>
    <t>J-09 - JANELA DE FERRO BASCULANTE 250X70 CM, EM AÇO GALVANIZADO, INCLUSO FERRAGENS, VIDRO, TELA DE NYLON E PINTURA - FORNECIMENTO E INSTALAÇÃO.</t>
  </si>
  <si>
    <t>J-10 - JANELA DE FERRO BASCULANTE 290X70 CM, EM AÇO GALVANIZADO, INCLUSO FERRAGENS, VIDRO E PINTURA - FORNECIMENTO E INSTALAÇÃO.</t>
  </si>
  <si>
    <t>J-13 - JANELA DE FERRO BASCULANTE 360X70 CM, EM AÇO GALVANIZADO, INCLUSO FERRAGENS, VIDRO, TELA DE NYLON E PINTURA - FORNECIMENTO E INSTALAÇÃO.</t>
  </si>
  <si>
    <t>J-11 - JANELA DE FERRO BASCULANTE 320X70 CM, EM AÇO GALVANIZADO, INCLUSO FERRAGENS, VIDRO, TELA DE NYLON E PINTURA - FORNECIMENTO E INSTALAÇÃO.</t>
  </si>
  <si>
    <t>J-12 - JANELA DE FERRO BASCULANTE 330X70 CM, EM AÇO GALVANIZADO, INCLUSO FERRAGENS, VIDRO, TELA DE NYLON E PINTURA - FORNECIMENTO E INSTALAÇÃO.</t>
  </si>
  <si>
    <t>J-14 - JANELA DE FERRO BASCULANTE 375X70 CM, EM AÇO GALVANIZADO, INCLUSO FERRAGENS, VIDRO E PINTURA - FORNECIMENTO E INSTALAÇÃO.</t>
  </si>
  <si>
    <t>J-16 - JANELA DE FERRO BASCULANTE 395X70 CM, EM AÇO GALVANIZADO, INCLUSO FERRAGENS, VIDRO E PINTURA - FORNECIMENTO E INSTALAÇÃO.</t>
  </si>
  <si>
    <t>CCU - 04.101</t>
  </si>
  <si>
    <t>CCU - 04.102</t>
  </si>
  <si>
    <t>J-15 - JANELA DE FERRO CORRER 378X110 CM, EM AÇO GALVANIZADO, INCLUSO FERRAGENS, VIDRO, E PINTURA - FORNECIMENTO E INSTALAÇÃO.</t>
  </si>
  <si>
    <t>J-18 - JANELA DE FERRO CORRER 476X110 CM, EM AÇO GALVANIZADO, INCLUSO FERRAGENS, VIDRO, E PINTURA - FORNECIMENTO E INSTALAÇÃO.</t>
  </si>
  <si>
    <t>J-20 - JANELA DE FERRO CORRER 478X110 CM, EM AÇO GALVANIZADO, INCLUSO FERRAGENS, VIDRO, E PINTURA - FORNECIMENTO E INSTALAÇÃO.</t>
  </si>
  <si>
    <t>CCU - 04.103</t>
  </si>
  <si>
    <t>CCU - 04.104</t>
  </si>
  <si>
    <t>J-21 - JANELA DE FERRO BASCULANTE 4,81X80 CM, EM AÇO GALVANIZADO, INCLUSO FERRAGENS, VIDRO E PINTURA - FORNECIMENTO E INSTALAÇÃO.</t>
  </si>
  <si>
    <t>CCU - 04.105</t>
  </si>
  <si>
    <t>J-22 - JANELA DE FERRO BASCULANTE 4,75X80 CM, EM AÇO GALVANIZADO, INCLUSO FERRAGENS, VIDRO E PINTURA - FORNECIMENTO E INSTALAÇÃO.</t>
  </si>
  <si>
    <t>CCU - 04.106</t>
  </si>
  <si>
    <t>J-24 - JANELA DE FERRO BASCULANTE 4,76X80 CM, EM AÇO GALVANIZADO, INCLUSO FERRAGENS, VIDRO E PINTURA - FORNECIMENTO E INSTALAÇÃO.</t>
  </si>
  <si>
    <t>CCU - 04.107</t>
  </si>
  <si>
    <t>J-25 - JANELA DE FERRO BASCULANTE 4,83X80 CM, EM AÇO GALVANIZADO, INCLUSO FERRAGENS, VIDRO E PINTURA - FORNECIMENTO E INSTALAÇÃO.</t>
  </si>
  <si>
    <t>G-01 - JANELA DE FERRO TIPO GUILHOTINA 270X120 CM, EM AÇO GALVANIZADO, INCLUSO FERRAGENS, VIDRO, GRADE DE PROTEÇÃO E PINTURA - FORNECIMENTO E INSTALAÇÃO.</t>
  </si>
  <si>
    <t>JANELA VENEZIANA 150X40 CM, EM AÇO GALVANIZADO, INCLUSO FERRAGENS, INCLUSO PINTURA - FORNECIMENTO E INSTALAÇÃO.</t>
  </si>
  <si>
    <t>JF-13 - VISOR EM VIDRO TEMPERADO 185X110 CM, E=10MM, ENCAIXADO EM PERFIL "U", INCLUSIVE PINTURA DO PERFIL - FORNECIMENTO E INSTALAÇÃO.</t>
  </si>
  <si>
    <t>04.01.200.28</t>
  </si>
  <si>
    <t>04.01.200.29</t>
  </si>
  <si>
    <t>04.01.200.30</t>
  </si>
  <si>
    <t>04.01.200.31</t>
  </si>
  <si>
    <t>04.01.200.32</t>
  </si>
  <si>
    <t>04.01.200.33</t>
  </si>
  <si>
    <t>04.01.200.34</t>
  </si>
  <si>
    <t>04.01.200.35</t>
  </si>
  <si>
    <t>04.01.200.36</t>
  </si>
  <si>
    <t>04.01.200.37</t>
  </si>
  <si>
    <t>04.01.200.38</t>
  </si>
  <si>
    <t>04.01.200.39</t>
  </si>
  <si>
    <t>04.01.200.40</t>
  </si>
  <si>
    <t>04.01.565.3</t>
  </si>
  <si>
    <t>04.01.565.4</t>
  </si>
  <si>
    <t>SOLEIRAS E PEITORIS</t>
  </si>
  <si>
    <t>PEITORIL EM GRANITO CINZA POLIDO, ESP = 2 CM</t>
  </si>
  <si>
    <t>REF:  08228/ORSE MARÇO 2021</t>
  </si>
  <si>
    <t>04.01.702.2</t>
  </si>
  <si>
    <t>CHUVEIRO COM TUBO DE PAREDE DECA BALANCE 12 1956 CCT ARE CROMADO</t>
  </si>
  <si>
    <t>BANCADA EM GRANITO CINZA ANDORINHA PARA PIA DE COZINHA, DIMENSÕES DE 3,95X0,60 M - FORNECIMENTO E INSTALAÇÃO</t>
  </si>
  <si>
    <t>BANCADA EM GRANITO CINZA ANDORINHA PARA PIA DE COZINHA, DIMENSÕES DE 2,38X0,60 M - FORNECIMENTO E INSTALAÇÃO</t>
  </si>
  <si>
    <t>BANCADA EM GRANITO CINZA ANDORINHA - FORMATO EM "L", DIMENSÕES DE 1,70X0,65M X 2,13X0,46 M - FORNECIMENTO E INSTALAÇÃO</t>
  </si>
  <si>
    <t>BANCADA FORMATO IRREGULAR COM ÁREA DE 1,98 M² EM GRANITO CINZA ANDORINHA PARA PIA DE COZINHA - FORNECIMENTO E INSTALAÇÃO</t>
  </si>
  <si>
    <t>BANCADA EM GRANITO CINZA ANDORINHA PARA PIA DE COZINHA, DIMENSÕES DE 6,61X0,65 M - FORNECIMENTO E INSTALAÇÃO</t>
  </si>
  <si>
    <t>BANCADA EM GRANITO CINZA ANDORINHA PARA PIA DE COZINHA, DIMENSÕES DE 1,51X0,80 M - FORNECIMENTO E INSTALAÇÃO</t>
  </si>
  <si>
    <t>BANCADA EM GRANITO CINZA ANDORINHA PARA PIA DE COZINHA, DIMENSÕES DE 4,84X0,40 M - FORNECIMENTO E INSTALAÇÃO</t>
  </si>
  <si>
    <t>BANCADA EM GRANITO CINZA ANDORINHA PARA PIA DE COZINHA, DIMENSÕES DE 0,75X0,65 M - FORNECIMENTO E INSTALAÇÃO</t>
  </si>
  <si>
    <t>BANCADA EM GRANITO CINZA ANDORINHA PARA PIA DE COZINHA, DIMENSÕES DE 3,50X0,80M - FORNECIMENTO E INSTALAÇÃO</t>
  </si>
  <si>
    <t>BANCADA EM GRANITO CINZA ANDORINHA PARA PIA DE COZINHA, DIMENSÕES DE 2,89X0,40M - FORNECIMENTO E INSTALAÇÃO</t>
  </si>
  <si>
    <t>BANCADA EM GRANITO CINZA ANDORINHA PARA PIA DE COZINHA, DIMENSÕES DE 3,40X0,60M - FORNECIMENTO E INSTALAÇÃO</t>
  </si>
  <si>
    <t>BANCADA EM GRANITO CINZA ANDORINHA PARA PIA DE COZINHA, DIMENSÕES DE 3,56X0,60 M - FORNECIMENTO E INSTALAÇÃO</t>
  </si>
  <si>
    <t>BANCADA EM GRANITO CINZA ANDORINHA PARA PIA DE COZINHA, DIMENSÕES DE 3,32X0,60 M - FORNECIMENTO E INSTALAÇÃO</t>
  </si>
  <si>
    <t>BANCADA EM GRANITO CINZA ANDORINHA PARA PIA DE COZINHA, DIMENSÕES DE 2,22X0,60 M - FORNECIMENTO E INSTALAÇÃO</t>
  </si>
  <si>
    <t>BANCADA EM GRANITO CINZA ANDORINHA PARA PIA DE COZINHA, DIMENSÕES DE 3,60X0,80M - FORNECIMENTO E INSTALAÇÃO</t>
  </si>
  <si>
    <t>CCU - 04.108</t>
  </si>
  <si>
    <t>TESTEIRA PARA BANCADA EM GRANITO CINZA ANDORINHA, ALTURA 10CM - FORNECIMENTO E INSTALAÇÃO</t>
  </si>
  <si>
    <t>REF: 09719/ORSE JAN 2021</t>
  </si>
  <si>
    <t>04.01.810.49</t>
  </si>
  <si>
    <t>04.01.810.50</t>
  </si>
  <si>
    <t>04.01.810.51</t>
  </si>
  <si>
    <t>04.01.810.52</t>
  </si>
  <si>
    <t>04.01.810.53</t>
  </si>
  <si>
    <t>04.02.102.9</t>
  </si>
  <si>
    <t>TOTEN 210X35CM EM CHA DE AÇO, COM APLICAÇÃO EM VINIL ADESIVO RECORTADO COLORIDO</t>
  </si>
  <si>
    <t>TOTEN 210X35CM EM CHA DE AÇO, COM APLICAÇÃO EM VINIL ADESIVO RECORTADO COLORIDO - FORNECIMENTO E INSTALAÇÃO</t>
  </si>
  <si>
    <t>REF: 09301/ORSE NOV 2020</t>
  </si>
  <si>
    <t>CCU - 04.109</t>
  </si>
  <si>
    <t>1 - De acordo com o projeto de estrutura foi considerado execução de furos de sondagem conforme a NBR-6484:2001.
2 - O orçamento foi elaborado separado por edificação a fim de facilitar a execução e entendimento do mesmo.</t>
  </si>
  <si>
    <t>CCU - 04.110</t>
  </si>
  <si>
    <t>CCU - 04.111</t>
  </si>
  <si>
    <t>BLIGHT</t>
  </si>
  <si>
    <t>10.434.457/0001-68</t>
  </si>
  <si>
    <t>(45) 3038-4600</t>
  </si>
  <si>
    <t>P-289</t>
  </si>
  <si>
    <t>EMPÓRIO LUZ</t>
  </si>
  <si>
    <t>www.emporioluz.com.br</t>
  </si>
  <si>
    <t xml:space="preserve">03.788.844/0001-37 </t>
  </si>
  <si>
    <t>11 97074-4298</t>
  </si>
  <si>
    <t>P-291</t>
  </si>
  <si>
    <t>INSPIRE HOME</t>
  </si>
  <si>
    <t>EMBRALUMI</t>
  </si>
  <si>
    <t>inspirehome.com.br</t>
  </si>
  <si>
    <t>www.embralumi.com.br</t>
  </si>
  <si>
    <t>24.335.485/0001-32</t>
  </si>
  <si>
    <t>22.860.776/0001-14</t>
  </si>
  <si>
    <t>(11) 3090-4472</t>
  </si>
  <si>
    <t>(11) 3207-3782</t>
  </si>
  <si>
    <t>P-284</t>
  </si>
  <si>
    <t>blight.com.br</t>
  </si>
  <si>
    <t>P-285</t>
  </si>
  <si>
    <t>MIRA FRIOS</t>
  </si>
  <si>
    <t>REFRILUX REFRIGERAÇÃO</t>
  </si>
  <si>
    <t>19 3608-6703</t>
  </si>
  <si>
    <t>61 99221-2445</t>
  </si>
  <si>
    <t>DAGOSI</t>
  </si>
  <si>
    <t>loja.dagosi.com.br</t>
  </si>
  <si>
    <t>00.305.768/0001-73</t>
  </si>
  <si>
    <t>(13) 99748-5747</t>
  </si>
  <si>
    <t>P-286</t>
  </si>
  <si>
    <t>P-287</t>
  </si>
  <si>
    <t>CARLOS</t>
  </si>
  <si>
    <t>PAINEL DE MEDIÇÃO COMPLETO, CONFORME O PROJETO</t>
  </si>
  <si>
    <t>STRAHL</t>
  </si>
  <si>
    <t>P-293</t>
  </si>
  <si>
    <t>PEDRO</t>
  </si>
  <si>
    <t>04.562.596/0001-74</t>
  </si>
  <si>
    <t>(11) 2818-3838</t>
  </si>
  <si>
    <t>CIA DO VENTO</t>
  </si>
  <si>
    <t>P-294</t>
  </si>
  <si>
    <t>11 2021-6118</t>
  </si>
  <si>
    <t>23,391,12</t>
  </si>
  <si>
    <t>ORÇ. REFORMA DO RESTAURANTE COMUNITÁRIO DE ARNIQUEIRAS</t>
  </si>
  <si>
    <t>018.01/2021-SEORÇA-SDS</t>
  </si>
  <si>
    <t>018/2021-SEORÇA-SDS</t>
  </si>
  <si>
    <t>018.07/2021-SEORÇA-SDS</t>
  </si>
  <si>
    <t>018.06/2021-SEORÇA-SDS</t>
  </si>
  <si>
    <t>018.05/2021-SEORÇA-SDS</t>
  </si>
  <si>
    <t>018.04/2021-SEORÇA-SDS</t>
  </si>
  <si>
    <t>018.02/2021-SEORÇA-SDS</t>
  </si>
  <si>
    <t>018.03/2021-SEORÇA-SDS</t>
  </si>
  <si>
    <t>ESTACIONAMENTOS</t>
  </si>
  <si>
    <t>04.05.100.5</t>
  </si>
  <si>
    <t>DISTÂNCIA ARNIQUEIRA ATÉ NOVACAP 14,10 KM</t>
  </si>
  <si>
    <t>ESTRUTURA EXISTENTE</t>
  </si>
  <si>
    <t>ESTRUTURA METÁLICA PERFIL U 200 X 60 #4,75 - INCLUSO MÃO DE OBRA, TRANSPORTE E IÇAMENTO, UTILIZANDO GUINDASTE - FORNECIMENTO E INSTALAÇÃO</t>
  </si>
  <si>
    <t>ESTRUTURA METÁLICA PERFIL U 100 X 50 #3,75 - INCLUSO MÃO DE OBRA, TRANSPORTE E IÇAMENTO, UTILIZANDO GUINDASTE - FORNECIMENTO E INSTALAÇÃO</t>
  </si>
  <si>
    <t>CHUMBADOR Ø1/2"- FORNECIMENTO E INSTALAÇÃO</t>
  </si>
  <si>
    <t>ESTRUTURA METÁLICA PERFIL U 93 X 40 #3,00 - INCLUSO MÃO DE OBRA, TRANSPORTE E IÇAMENTO, UTILIZANDO GUINDASTE - FORNECIMENTO E INSTALAÇÃO</t>
  </si>
  <si>
    <t>CCU - 03.026</t>
  </si>
  <si>
    <t>ESTRUTURA METÁLICA PERFIL 2Ue 100 X 50 X 17 #4,75 - INCLUSO MÃO DE OBRA, TRANSPORTE E IÇAMENTO, UTILIZANDO GUINDASTE - FORNECIMENTO E INSTALAÇÃO</t>
  </si>
  <si>
    <t>03.02.133.14</t>
  </si>
  <si>
    <t>03.02.133.15</t>
  </si>
  <si>
    <t>03.02.133.16</t>
  </si>
  <si>
    <t>ESTRUTURA METÁLICA PERFIL Ue 150 X 60 X 20 #3,00 - LIGAÇÕES PARAFUSADAS, INCLUSO MÃO DE OBRA, TRANSPORTE E IÇAMENTO, UTILIZANDO GUINDASTE - FORNECIMENTO E INSTALAÇÃO</t>
  </si>
  <si>
    <t>REF: 100778 SINAPI FEV-2021</t>
  </si>
  <si>
    <t>ESTRUTURA METÁLICA PERFIL Ue 150 X 60 X 20 #4,75 - LIGAÇÕES PARAFUSADAS, INCLUSO MÃO DE OBRA, TRANSPORTE E IÇAMENTO, UTILIZANDO GUINDASTE - FORNECIMENTO E INSTALAÇÃO</t>
  </si>
  <si>
    <t>ESTRUTURA METÁLICA PERFIL Ue 150 X 60 X 20 #2,00 - LIGAÇÕES PARAFUSADAS, INCLUSO MÃO DE OBRA, TRANSPORTE E IÇAMENTO, UTILIZANDO GUINDASTE - FORNECIMENTO E INSTALAÇÃO</t>
  </si>
  <si>
    <t xml:space="preserve">03.03.300 </t>
  </si>
  <si>
    <t>RECUPERAÇÃO E REFORÇO DE ESTRUTURA METÁLICA</t>
  </si>
  <si>
    <t>CCU - 03.034</t>
  </si>
  <si>
    <t>ESTRUTURA METÁLICA PERFIL CT 150 X 60 X 25 #2,00 - INCLUSO MÃO DE OBRA, TRANSPORTE E IÇAMENTO, UTILIZANDO GUINDASTE - FORNECIMENTO E INSTALAÇÃO</t>
  </si>
  <si>
    <t>03.02.300.01</t>
  </si>
  <si>
    <t>03.02.300.02</t>
  </si>
  <si>
    <t>CCU - 03.035</t>
  </si>
  <si>
    <t>03.02.300.03</t>
  </si>
  <si>
    <t>03.02.300.04</t>
  </si>
  <si>
    <t>03.02.300.05</t>
  </si>
  <si>
    <t>03.02.300.06</t>
  </si>
  <si>
    <t>03.02.300.07</t>
  </si>
  <si>
    <t>03.02.300.08</t>
  </si>
  <si>
    <t>03.02.300.09</t>
  </si>
  <si>
    <t>ESTRUTURA METÁLICA TIPO CHAPA #3,00 - INCLUSO MÃO DE OBRA, TRANSPORTE E IÇAMENTO, UTILIZANDO GUINDASTE - FORNECIMENTO E INSTALAÇÃO</t>
  </si>
  <si>
    <t>03.02.300.10</t>
  </si>
  <si>
    <t>03.02.300.11</t>
  </si>
  <si>
    <t>03.02.300.12</t>
  </si>
  <si>
    <t>CCU - 03.036</t>
  </si>
  <si>
    <t xml:space="preserve">REF: 15506 COMP. AUX. PMSP JAN/20 </t>
  </si>
  <si>
    <t>RETIRADA DE ESTRUTURA METÁLICA INCLUSIVE PERFIS E CHAPAS</t>
  </si>
  <si>
    <t>ESTRUTURA P/ REFORÇO</t>
  </si>
  <si>
    <t>CCU - 03.037</t>
  </si>
  <si>
    <t>REF: 100719 SINAPI MAIO 2021</t>
  </si>
  <si>
    <t>COT - 03.001</t>
  </si>
  <si>
    <t>DETERGENTE DESENGORDURANTE 5L</t>
  </si>
  <si>
    <t>SOLV. + FUNDO</t>
  </si>
  <si>
    <t>L/M2</t>
  </si>
  <si>
    <t>1 PARTE DO PRODUTO PARA 5 DE ÁGUA</t>
  </si>
  <si>
    <t>PULVERIZAÇÃO DE DETERGENTE DESENGORDURANTE DE USO GERAL EM ESTRUTURAL METÁLICA</t>
  </si>
  <si>
    <t>CCU - 03.038</t>
  </si>
  <si>
    <t>CCU - 03.039</t>
  </si>
  <si>
    <t>PULVERIZAÇÃO DE ÁCIDO MURIÁTICO EM ESTRUTURAL METÁLICA</t>
  </si>
  <si>
    <t>Detergente desengordurante 228-g industrial 05lt- Globo Química</t>
  </si>
  <si>
    <t>IND. DO PROJETISTA</t>
  </si>
  <si>
    <t>Ácido muriático 05lt cimentex rlc - Globo</t>
  </si>
  <si>
    <t>12% PARTE DO PRODUTO</t>
  </si>
  <si>
    <t>03.02.300.13</t>
  </si>
  <si>
    <t>03.02.300.14</t>
  </si>
  <si>
    <t>03.02.300.15</t>
  </si>
  <si>
    <t>03.02.300.16</t>
  </si>
  <si>
    <t>REF: 100727 SINAPI FEV 2021</t>
  </si>
  <si>
    <t>PINTURA COM TINTA EPOXÍDICA DE FUNDO APLICADA A ROLO OU PINCEL SOBRE PERFIL METÁLICO APLICADO NAS JUNTAS E IRREGULARIDADES DAS PEÇAS</t>
  </si>
  <si>
    <t>03.02.133.17</t>
  </si>
  <si>
    <t>03.02.133.18</t>
  </si>
  <si>
    <t>03.02.133.19</t>
  </si>
  <si>
    <t>03.02.133.20</t>
  </si>
  <si>
    <t>03.02.133.21</t>
  </si>
  <si>
    <t>03.02.133.22</t>
  </si>
  <si>
    <t>03.02.133.23</t>
  </si>
  <si>
    <t>03.02.300.17</t>
  </si>
  <si>
    <t>APLICADO EM JUNTAS E IRREGULARIDADES DAS PEÇAS</t>
  </si>
  <si>
    <t>starsprodutosdelimpeza.com.br</t>
  </si>
  <si>
    <t>STARS</t>
  </si>
  <si>
    <t>P-295</t>
  </si>
  <si>
    <t>27.151.031/0001-08</t>
  </si>
  <si>
    <t>65 3364-1037</t>
  </si>
  <si>
    <t>netsuprimentos.com.br</t>
  </si>
  <si>
    <t>NET SUPRIMENTOS</t>
  </si>
  <si>
    <t>19.812.763/0001-65</t>
  </si>
  <si>
    <t>(11) 3004-9515</t>
  </si>
  <si>
    <t>ncbelladistribuidora.com.br</t>
  </si>
  <si>
    <t>NC BELLA</t>
  </si>
  <si>
    <t>05.420.840/0001-27</t>
  </si>
  <si>
    <t>(11) 2337-5153</t>
  </si>
  <si>
    <t>P-296</t>
  </si>
  <si>
    <t>(11) 3181-6977</t>
  </si>
  <si>
    <t>LUMINÁRIA LED CIRCULAR, 19W, 5000K, BIVOLT (FORNECIDA COMPLETA). DE SOBREPOR - REF. EF72-S LUMICENTER OU EQUIVALENTE</t>
  </si>
  <si>
    <t>P-297</t>
  </si>
  <si>
    <t>iluminim.com.br</t>
  </si>
  <si>
    <t>ILUMINIM</t>
  </si>
  <si>
    <t>23.429.903/0001-98</t>
  </si>
  <si>
    <t>(11) 4210-0494</t>
  </si>
  <si>
    <t>yamamura.com.br</t>
  </si>
  <si>
    <t>YAMAMURA</t>
  </si>
  <si>
    <t>45603529/0007-23</t>
  </si>
  <si>
    <t>(11) 3906-2723</t>
  </si>
  <si>
    <t>(11) 4072-2926</t>
  </si>
  <si>
    <t>10.560.660/0001-80</t>
  </si>
  <si>
    <t>EUROBRAS</t>
  </si>
  <si>
    <t>eurobrascondutores.com.br</t>
  </si>
  <si>
    <t>P-298</t>
  </si>
  <si>
    <t>P-299</t>
  </si>
  <si>
    <t>MOLDE INOX</t>
  </si>
  <si>
    <t>17.084.381/0001-37</t>
  </si>
  <si>
    <t>11 2382-09-19</t>
  </si>
  <si>
    <t>P-252</t>
  </si>
  <si>
    <t>017/2021-SEORÇA-SDS</t>
  </si>
  <si>
    <t>TOTAL FRIO</t>
  </si>
  <si>
    <t>CLOVIS</t>
  </si>
  <si>
    <t>10444161/0003-90</t>
  </si>
  <si>
    <t>3042-6848</t>
  </si>
  <si>
    <t>P-228</t>
  </si>
  <si>
    <t>03.02.190</t>
  </si>
  <si>
    <t>RECONSTITUIÇÃO DE BURACOS NA LAJE</t>
  </si>
  <si>
    <t>03.02.190.1</t>
  </si>
  <si>
    <t>03.02.190.2</t>
  </si>
  <si>
    <t>03.02.190.3</t>
  </si>
  <si>
    <t>03.02.190.4</t>
  </si>
  <si>
    <t>CCU - 03.040</t>
  </si>
  <si>
    <t>REF: 00045/ORSE ABRIL 2021</t>
  </si>
  <si>
    <t>APICOAMENTO DE CONCRETO</t>
  </si>
  <si>
    <t>CCU - 03.041</t>
  </si>
  <si>
    <t>REF: 03-40-70 PM-SP JAN/2020 TRANSFORMADO O CONSUMO PARA LITROS CONF. O PROJETO</t>
  </si>
  <si>
    <t>CCU - 08.029</t>
  </si>
  <si>
    <t>EXTINTOR COM CARGA DE CO2 6KG, SOBRE SUPORTE DE FIXAÇÃO P/ PAREDE - FORNECIMENTO E INSTALAÇÃO</t>
  </si>
  <si>
    <t>06.01.401.9</t>
  </si>
  <si>
    <t>06.01.404.14</t>
  </si>
  <si>
    <t>06.01.404.16</t>
  </si>
  <si>
    <t>06.01.404.17</t>
  </si>
  <si>
    <t>03.02.190.5</t>
  </si>
  <si>
    <t>03.02.190.6</t>
  </si>
  <si>
    <t>03.02.190.7</t>
  </si>
  <si>
    <t>05.02.100.17</t>
  </si>
  <si>
    <t>VOL. CONCRETO</t>
  </si>
  <si>
    <t>ENG. GABRIEL DA CUNHA ARAUJO                     ENG. GILMAR DA MOTA FERNANDES                  ENG. TIAGO DE SOUZA OLIVEIRA
             CREA 23300/D-DF                                                        CREA 23785/D-DF                                                 CREA 24935/D-DF
          ART: 0720210046394                                                   ART: 0720210047629                                            ART: 0720210047000
              MAT.: 973.175-X                                                          MAT.: 973.113-X                                                    MAT.: 973.315-9</t>
  </si>
  <si>
    <t>00112-00017184/2021-40</t>
  </si>
  <si>
    <t>ENG. GILMAR DA MOTA FERNANDES
CREA 23785/D-DF
ART: 0720210047629
MAT.: 973.113-X</t>
  </si>
  <si>
    <t>ENG. TIAGO DE SOUZA OLIVEIRA
CREA 24935/D-DF
ART: 0720210047000
MAT.: 973.315-9</t>
  </si>
  <si>
    <t>ADMINISTRAÇÃO LOCAL DA OBRA - (1 ALMOXARIFE, 1 ENGENHEIRO CIVIL MEIO PERÍODO, 1 MESTRE DE OBRAS, 1 ENCARREGADO E 1 POSTO DE VIGILANCIA - (PAGAMENTO PROPORCIONAL A EXECUÇÃO DA OBRA)</t>
  </si>
  <si>
    <t>PLANILHA ESTIMATIVA - LIXEIRA</t>
  </si>
</sst>
</file>

<file path=xl/styles.xml><?xml version="1.0" encoding="utf-8"?>
<styleSheet xmlns="http://schemas.openxmlformats.org/spreadsheetml/2006/main">
  <numFmts count="27">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quot;R$&quot;* #,##0.00_);_(&quot;R$&quot;* \(#,##0.00\);_(&quot;R$&quot;* &quot;-&quot;??_);_(@_)"/>
    <numFmt numFmtId="167" formatCode="_(&quot;R$ &quot;* #,##0.00_);_(&quot;R$ &quot;* \(#,##0.00\);_(&quot;R$ &quot;* &quot;-&quot;??_);_(@_)"/>
    <numFmt numFmtId="168" formatCode="\$#,##0.00\ ;\(\$#,##0.00\)"/>
    <numFmt numFmtId="169" formatCode="\$#,##0\ ;\(\$#,##0\)"/>
    <numFmt numFmtId="170" formatCode="#,##0.00;[Red]#,##0.00"/>
    <numFmt numFmtId="171" formatCode="#,##0.000000000"/>
    <numFmt numFmtId="172" formatCode="0.0000%"/>
    <numFmt numFmtId="173" formatCode="#,##0.000"/>
    <numFmt numFmtId="174" formatCode="#,##0.0000"/>
    <numFmt numFmtId="175" formatCode="#,##0.000000;\-#,##0.000000"/>
    <numFmt numFmtId="176" formatCode="#,##0.000000"/>
    <numFmt numFmtId="177" formatCode="#,##0.00_ ;\-#,##0.00\ "/>
    <numFmt numFmtId="178" formatCode="#,##0.000000_ ;\-#,##0.000000\ "/>
    <numFmt numFmtId="179" formatCode="0.000"/>
    <numFmt numFmtId="180" formatCode="_-* #,##0.00\ [$€]_-;\-* #,##0.00\ [$€]_-;_-* &quot;-&quot;??\ [$€]_-;_-@_-"/>
    <numFmt numFmtId="181" formatCode="#,##0.00\ ;&quot; (&quot;#,##0.00\);&quot; -&quot;#\ ;@\ "/>
    <numFmt numFmtId="182" formatCode="00"/>
    <numFmt numFmtId="183" formatCode="_(* #,##0_);_(* \(#,##0\);_(* &quot;-&quot;_);_(@_)"/>
    <numFmt numFmtId="184" formatCode="_-* #,##0.00_-;\-* #,##0.00_-;_-* \-??_-;_-@_-"/>
    <numFmt numFmtId="185" formatCode="&quot;R$&quot;\ #,##0.00"/>
    <numFmt numFmtId="186" formatCode="0.0000"/>
    <numFmt numFmtId="187" formatCode="0.000000"/>
    <numFmt numFmtId="188" formatCode="0.000%"/>
  </numFmts>
  <fonts count="137">
    <font>
      <sz val="11"/>
      <color theme="1"/>
      <name val="Calibri"/>
      <family val="2"/>
      <scheme val="minor"/>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0"/>
      <color theme="1"/>
      <name val="Arial"/>
      <family val="2"/>
    </font>
    <font>
      <sz val="12"/>
      <color indexed="24"/>
      <name val="Arial"/>
      <family val="2"/>
    </font>
    <font>
      <sz val="10"/>
      <name val="Arial"/>
      <family val="2"/>
    </font>
    <font>
      <b/>
      <sz val="8"/>
      <name val="Arial"/>
      <family val="2"/>
    </font>
    <font>
      <sz val="8"/>
      <name val="Arial"/>
      <family val="2"/>
    </font>
    <font>
      <sz val="10"/>
      <name val="Arial"/>
      <family val="2"/>
    </font>
    <font>
      <b/>
      <sz val="10"/>
      <name val="Arial"/>
      <family val="2"/>
    </font>
    <font>
      <sz val="11"/>
      <color indexed="8"/>
      <name val="Calibri"/>
      <family val="2"/>
    </font>
    <font>
      <sz val="11"/>
      <color indexed="9"/>
      <name val="Calibri"/>
      <family val="2"/>
    </font>
    <font>
      <sz val="11"/>
      <color indexed="17"/>
      <name val="Calibri"/>
      <family val="2"/>
    </font>
    <font>
      <sz val="18"/>
      <color indexed="24"/>
      <name val="Arial"/>
      <family val="2"/>
    </font>
    <font>
      <sz val="8"/>
      <color indexed="24"/>
      <name val="Arial"/>
      <family val="2"/>
    </font>
    <font>
      <b/>
      <sz val="11"/>
      <color indexed="52"/>
      <name val="Calibri"/>
      <family val="2"/>
    </font>
    <font>
      <b/>
      <sz val="11"/>
      <color indexed="9"/>
      <name val="Calibri"/>
      <family val="2"/>
    </font>
    <font>
      <sz val="11"/>
      <color indexed="52"/>
      <name val="Calibri"/>
      <family val="2"/>
    </font>
    <font>
      <sz val="12"/>
      <name val="Times New Roman"/>
      <family val="1"/>
    </font>
    <font>
      <sz val="11"/>
      <color indexed="62"/>
      <name val="Calibri"/>
      <family val="2"/>
    </font>
    <font>
      <sz val="11"/>
      <color indexed="20"/>
      <name val="Calibri"/>
      <family val="2"/>
    </font>
    <font>
      <sz val="11"/>
      <color indexed="60"/>
      <name val="Calibri"/>
      <family val="2"/>
    </font>
    <font>
      <sz val="10"/>
      <color rgb="FF000000"/>
      <name val="Arial"/>
      <family val="2"/>
    </font>
    <font>
      <sz val="11"/>
      <color rgb="FF000000"/>
      <name val="Calibri"/>
      <family val="2"/>
      <scheme val="minor"/>
    </font>
    <font>
      <sz val="10"/>
      <name val="Lucida Sans Unicode"/>
      <family val="2"/>
    </font>
    <font>
      <sz val="7.5"/>
      <name val="MS Sans Serif"/>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b/>
      <sz val="11"/>
      <color indexed="56"/>
      <name val="Calibri"/>
      <family val="2"/>
    </font>
    <font>
      <b/>
      <sz val="11"/>
      <color indexed="8"/>
      <name val="Calibri"/>
      <family val="2"/>
    </font>
    <font>
      <b/>
      <sz val="16"/>
      <color rgb="FF92D050"/>
      <name val="Calibri"/>
      <family val="2"/>
      <scheme val="minor"/>
    </font>
    <font>
      <b/>
      <sz val="16"/>
      <color indexed="10"/>
      <name val="Calibri"/>
      <family val="2"/>
    </font>
    <font>
      <b/>
      <sz val="16"/>
      <color indexed="50"/>
      <name val="Calibri"/>
      <family val="2"/>
    </font>
    <font>
      <sz val="8"/>
      <name val="Times New Roman"/>
      <family val="1"/>
    </font>
    <font>
      <b/>
      <sz val="12"/>
      <name val="Calibri"/>
      <family val="2"/>
      <scheme val="minor"/>
    </font>
    <font>
      <b/>
      <u/>
      <sz val="15"/>
      <name val="Calibri"/>
      <family val="2"/>
      <scheme val="minor"/>
    </font>
    <font>
      <b/>
      <u/>
      <sz val="15"/>
      <name val="Calibri"/>
      <family val="2"/>
    </font>
    <font>
      <b/>
      <sz val="14"/>
      <name val="Times New Roman"/>
      <family val="1"/>
    </font>
    <font>
      <b/>
      <sz val="12"/>
      <name val="Times New Roman"/>
      <family val="1"/>
    </font>
    <font>
      <b/>
      <sz val="10"/>
      <name val="Calibri"/>
      <family val="2"/>
      <scheme val="minor"/>
    </font>
    <font>
      <sz val="10"/>
      <name val="Calibri"/>
      <family val="2"/>
      <scheme val="minor"/>
    </font>
    <font>
      <b/>
      <sz val="10"/>
      <name val="Times New Roman"/>
      <family val="1"/>
    </font>
    <font>
      <sz val="13"/>
      <name val="Arial"/>
      <family val="2"/>
    </font>
    <font>
      <b/>
      <i/>
      <sz val="13"/>
      <name val="Calibri"/>
      <family val="2"/>
      <scheme val="minor"/>
    </font>
    <font>
      <b/>
      <i/>
      <sz val="13"/>
      <name val="Calibri"/>
      <family val="2"/>
    </font>
    <font>
      <sz val="11"/>
      <name val="Calibri"/>
      <family val="2"/>
      <scheme val="minor"/>
    </font>
    <font>
      <sz val="12"/>
      <name val="Calibri"/>
      <family val="2"/>
    </font>
    <font>
      <b/>
      <sz val="11"/>
      <color rgb="FFFF0000"/>
      <name val="Calibri"/>
      <family val="2"/>
      <scheme val="minor"/>
    </font>
    <font>
      <sz val="9"/>
      <color indexed="81"/>
      <name val="Tahoma"/>
      <family val="2"/>
    </font>
    <font>
      <b/>
      <u/>
      <sz val="9"/>
      <color indexed="81"/>
      <name val="Tahoma"/>
      <family val="2"/>
    </font>
    <font>
      <sz val="9"/>
      <color indexed="10"/>
      <name val="Tahoma"/>
      <family val="2"/>
    </font>
    <font>
      <b/>
      <sz val="9"/>
      <color indexed="81"/>
      <name val="Tahoma"/>
      <family val="2"/>
    </font>
    <font>
      <i/>
      <sz val="9"/>
      <color indexed="81"/>
      <name val="Tahoma"/>
      <family val="2"/>
    </font>
    <font>
      <b/>
      <sz val="15"/>
      <color rgb="FF92D050"/>
      <name val="Calibri"/>
      <family val="2"/>
      <scheme val="minor"/>
    </font>
    <font>
      <sz val="12"/>
      <name val="Calibri"/>
      <family val="2"/>
      <scheme val="minor"/>
    </font>
    <font>
      <sz val="8"/>
      <color indexed="8"/>
      <name val="Calibri"/>
      <family val="2"/>
    </font>
    <font>
      <i/>
      <sz val="10"/>
      <name val="Arial"/>
      <family val="2"/>
    </font>
    <font>
      <b/>
      <sz val="14"/>
      <name val="Calibri"/>
      <family val="2"/>
      <scheme val="minor"/>
    </font>
    <font>
      <sz val="8"/>
      <name val="Calibri"/>
      <family val="2"/>
      <scheme val="minor"/>
    </font>
    <font>
      <b/>
      <sz val="10"/>
      <name val="Calibri"/>
      <family val="2"/>
    </font>
    <font>
      <b/>
      <sz val="10"/>
      <color rgb="FF000000"/>
      <name val="Arial"/>
      <family val="2"/>
    </font>
    <font>
      <sz val="12"/>
      <name val="Arial"/>
      <family val="2"/>
    </font>
    <font>
      <b/>
      <sz val="8"/>
      <name val="Calibri"/>
      <family val="2"/>
      <scheme val="minor"/>
    </font>
    <font>
      <sz val="10"/>
      <color rgb="FFFF0000"/>
      <name val="Arial"/>
      <family val="2"/>
    </font>
    <font>
      <sz val="9"/>
      <name val="Arial"/>
      <family val="2"/>
    </font>
    <font>
      <b/>
      <sz val="8"/>
      <color indexed="8"/>
      <name val="Arial"/>
      <family val="2"/>
    </font>
    <font>
      <b/>
      <sz val="9"/>
      <name val="Arial"/>
      <family val="2"/>
    </font>
    <font>
      <u/>
      <sz val="11"/>
      <color theme="10"/>
      <name val="Calibri"/>
      <family val="2"/>
    </font>
    <font>
      <sz val="10"/>
      <name val="Arial"/>
      <family val="2"/>
    </font>
    <font>
      <b/>
      <sz val="12"/>
      <name val="Arial"/>
      <family val="2"/>
    </font>
    <font>
      <sz val="10"/>
      <name val="Arial"/>
      <family val="2"/>
    </font>
    <font>
      <sz val="10"/>
      <name val="Courier New"/>
      <family val="3"/>
    </font>
    <font>
      <sz val="11"/>
      <color theme="1"/>
      <name val="Arial"/>
      <family val="2"/>
    </font>
    <font>
      <b/>
      <sz val="11"/>
      <color theme="1"/>
      <name val="Arial"/>
      <family val="2"/>
    </font>
    <font>
      <sz val="8"/>
      <color theme="1"/>
      <name val="Arial"/>
      <family val="2"/>
    </font>
    <font>
      <sz val="11"/>
      <name val="Arial"/>
      <family val="2"/>
    </font>
    <font>
      <sz val="9"/>
      <color theme="0"/>
      <name val="Arial"/>
      <family val="2"/>
    </font>
    <font>
      <b/>
      <sz val="10"/>
      <color theme="1"/>
      <name val="Arial"/>
      <family val="2"/>
    </font>
    <font>
      <sz val="28"/>
      <color theme="1"/>
      <name val="Arial"/>
      <family val="2"/>
    </font>
    <font>
      <u/>
      <sz val="9"/>
      <color theme="1"/>
      <name val="Arial"/>
      <family val="2"/>
    </font>
    <font>
      <sz val="9"/>
      <color theme="1"/>
      <name val="Arial"/>
      <family val="2"/>
    </font>
    <font>
      <b/>
      <sz val="9"/>
      <color theme="1"/>
      <name val="Arial"/>
      <family val="2"/>
    </font>
    <font>
      <sz val="11"/>
      <color rgb="FF000000"/>
      <name val="Calibri"/>
      <family val="2"/>
    </font>
    <font>
      <b/>
      <sz val="14"/>
      <color theme="1"/>
      <name val="Calibri"/>
      <family val="2"/>
      <scheme val="minor"/>
    </font>
    <font>
      <b/>
      <sz val="11"/>
      <color rgb="FFFF0000"/>
      <name val="Arial"/>
      <family val="2"/>
    </font>
    <font>
      <sz val="11"/>
      <color rgb="FFFF0000"/>
      <name val="Arial"/>
      <family val="2"/>
    </font>
    <font>
      <b/>
      <sz val="6"/>
      <color theme="4"/>
      <name val="Arial"/>
      <family val="2"/>
    </font>
    <font>
      <sz val="11"/>
      <color theme="4"/>
      <name val="Arial"/>
      <family val="2"/>
    </font>
    <font>
      <b/>
      <sz val="7"/>
      <color theme="4"/>
      <name val="Arial"/>
      <family val="2"/>
    </font>
    <font>
      <sz val="8"/>
      <color theme="4"/>
      <name val="Arial"/>
      <family val="2"/>
    </font>
    <font>
      <sz val="12"/>
      <color indexed="24"/>
      <name val="Arial"/>
      <family val="2"/>
    </font>
    <font>
      <sz val="7"/>
      <color theme="1"/>
      <name val="Arial"/>
      <family val="2"/>
    </font>
    <font>
      <sz val="12"/>
      <color theme="1"/>
      <name val="Arial"/>
      <family val="2"/>
    </font>
    <font>
      <sz val="6"/>
      <color indexed="8"/>
      <name val="Arial"/>
      <family val="2"/>
    </font>
    <font>
      <sz val="12"/>
      <color indexed="8"/>
      <name val="Arial"/>
      <family val="2"/>
    </font>
    <font>
      <sz val="11"/>
      <color indexed="16"/>
      <name val="Calibri"/>
      <family val="2"/>
    </font>
    <font>
      <b/>
      <sz val="11"/>
      <color indexed="53"/>
      <name val="Calibri"/>
      <family val="2"/>
    </font>
    <font>
      <b/>
      <sz val="11"/>
      <color indexed="10"/>
      <name val="Calibri"/>
      <family val="2"/>
    </font>
    <font>
      <b/>
      <sz val="15"/>
      <color indexed="62"/>
      <name val="Calibri"/>
      <family val="2"/>
    </font>
    <font>
      <b/>
      <sz val="13"/>
      <color indexed="62"/>
      <name val="Calibri"/>
      <family val="2"/>
    </font>
    <font>
      <b/>
      <sz val="11"/>
      <color indexed="62"/>
      <name val="Calibri"/>
      <family val="2"/>
    </font>
    <font>
      <u/>
      <sz val="10"/>
      <color indexed="12"/>
      <name val="Arial"/>
      <family val="2"/>
    </font>
    <font>
      <sz val="10"/>
      <name val="Courier"/>
      <family val="3"/>
    </font>
    <font>
      <b/>
      <sz val="10"/>
      <name val="Bookman Old Style"/>
      <family val="1"/>
    </font>
    <font>
      <sz val="11"/>
      <color indexed="53"/>
      <name val="Calibri"/>
      <family val="2"/>
    </font>
    <font>
      <sz val="11"/>
      <color indexed="19"/>
      <name val="Calibri"/>
      <family val="2"/>
    </font>
    <font>
      <sz val="10"/>
      <name val="MS Sans Serif"/>
      <family val="2"/>
    </font>
    <font>
      <sz val="10"/>
      <name val="Times New Roman"/>
      <family val="1"/>
    </font>
    <font>
      <b/>
      <sz val="18"/>
      <color indexed="62"/>
      <name val="Cambria"/>
      <family val="2"/>
    </font>
    <font>
      <b/>
      <sz val="18"/>
      <color theme="3"/>
      <name val="Cambria"/>
      <family val="2"/>
    </font>
    <font>
      <sz val="12"/>
      <color indexed="24"/>
      <name val="Arial"/>
      <family val="2"/>
    </font>
    <font>
      <sz val="10"/>
      <name val="Courier New"/>
      <family val="3"/>
    </font>
    <font>
      <sz val="10"/>
      <name val="Calibri"/>
      <family val="2"/>
    </font>
    <font>
      <sz val="11"/>
      <color rgb="FF000000"/>
      <name val="Arial"/>
      <family val="2"/>
    </font>
    <font>
      <sz val="10"/>
      <color theme="1"/>
      <name val="Calibri"/>
      <family val="2"/>
      <scheme val="minor"/>
    </font>
    <font>
      <sz val="10"/>
      <name val="Arial"/>
    </font>
    <font>
      <sz val="10"/>
      <name val="Courier New"/>
    </font>
  </fonts>
  <fills count="86">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45"/>
        <bgColor indexed="45"/>
      </patternFill>
    </fill>
    <fill>
      <patternFill patternType="solid">
        <fgColor indexed="9"/>
        <bgColor indexed="9"/>
      </patternFill>
    </fill>
    <fill>
      <patternFill patternType="solid">
        <f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56"/>
      </patternFill>
    </fill>
    <fill>
      <patternFill patternType="solid">
        <fgColor indexed="54"/>
      </patternFill>
    </fill>
    <fill>
      <patternFill patternType="solid">
        <fgColor indexed="43"/>
        <bgColor indexed="43"/>
      </patternFill>
    </fill>
    <fill>
      <patternFill patternType="solid">
        <fgColor rgb="FF00B050"/>
        <bgColor indexed="64"/>
      </patternFill>
    </fill>
    <fill>
      <patternFill patternType="solid">
        <fgColor rgb="FFFFFF00"/>
        <bgColor indexed="64"/>
      </patternFill>
    </fill>
    <fill>
      <patternFill patternType="solid">
        <fgColor rgb="FF0070C0"/>
        <bgColor indexed="64"/>
      </patternFill>
    </fill>
  </fills>
  <borders count="139">
    <border>
      <left/>
      <right/>
      <top/>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64"/>
      </top>
      <bottom/>
      <diagonal/>
    </border>
    <border>
      <left/>
      <right/>
      <top style="thin">
        <color indexed="62"/>
      </top>
      <bottom style="double">
        <color indexed="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9"/>
      </left>
      <right/>
      <top/>
      <bottom/>
      <diagonal/>
    </border>
    <border>
      <left style="hair">
        <color indexed="64"/>
      </left>
      <right style="hair">
        <color rgb="FF000000"/>
      </right>
      <top style="hair">
        <color indexed="64"/>
      </top>
      <bottom style="hair">
        <color rgb="FF000000"/>
      </bottom>
      <diagonal/>
    </border>
    <border>
      <left style="hair">
        <color rgb="FF000000"/>
      </left>
      <right/>
      <top style="hair">
        <color indexed="64"/>
      </top>
      <bottom style="hair">
        <color rgb="FF000000"/>
      </bottom>
      <diagonal/>
    </border>
    <border>
      <left/>
      <right/>
      <top style="hair">
        <color indexed="64"/>
      </top>
      <bottom style="hair">
        <color rgb="FF000000"/>
      </bottom>
      <diagonal/>
    </border>
    <border>
      <left/>
      <right style="hair">
        <color rgb="FF000000"/>
      </right>
      <top style="hair">
        <color indexed="64"/>
      </top>
      <bottom style="hair">
        <color rgb="FF000000"/>
      </bottom>
      <diagonal/>
    </border>
    <border>
      <left style="hair">
        <color indexed="64"/>
      </left>
      <right style="hair">
        <color rgb="FF000000"/>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hair">
        <color rgb="FF000000"/>
      </right>
      <top/>
      <bottom style="hair">
        <color rgb="FF000000"/>
      </bottom>
      <diagonal/>
    </border>
    <border>
      <left/>
      <right style="hair">
        <color indexed="64"/>
      </right>
      <top/>
      <bottom style="hair">
        <color rgb="FF000000"/>
      </bottom>
      <diagonal/>
    </border>
    <border>
      <left style="hair">
        <color indexed="64"/>
      </left>
      <right/>
      <top style="hair">
        <color rgb="FF000000"/>
      </top>
      <bottom style="hair">
        <color rgb="FF000000"/>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rgb="FF000000"/>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top/>
      <bottom style="hair">
        <color rgb="FF000000"/>
      </bottom>
      <diagonal/>
    </border>
    <border>
      <left style="hair">
        <color indexed="64"/>
      </left>
      <right/>
      <top/>
      <bottom style="hair">
        <color indexed="64"/>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style="hair">
        <color indexed="64"/>
      </right>
      <top/>
      <bottom style="hair">
        <color indexed="64"/>
      </bottom>
      <diagonal/>
    </border>
    <border>
      <left/>
      <right style="hair">
        <color rgb="FF000000"/>
      </right>
      <top style="hair">
        <color indexed="64"/>
      </top>
      <bottom style="hair">
        <color indexed="64"/>
      </bottom>
      <diagonal/>
    </border>
    <border>
      <left style="hair">
        <color rgb="FF000000"/>
      </left>
      <right style="hair">
        <color rgb="FF000000"/>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medium">
        <color indexed="64"/>
      </right>
      <top/>
      <bottom style="medium">
        <color indexed="64"/>
      </bottom>
      <diagonal/>
    </border>
    <border>
      <left style="hair">
        <color rgb="FF000000"/>
      </left>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double">
        <color indexed="10"/>
      </bottom>
      <diagonal/>
    </border>
    <border>
      <left/>
      <right/>
      <top/>
      <bottom style="thick">
        <color indexed="54"/>
      </bottom>
      <diagonal/>
    </border>
    <border>
      <left/>
      <right/>
      <top/>
      <bottom style="medium">
        <color indexed="44"/>
      </bottom>
      <diagonal/>
    </border>
    <border>
      <left style="thin">
        <color indexed="64"/>
      </left>
      <right style="thin">
        <color indexed="64"/>
      </right>
      <top/>
      <bottom style="medium">
        <color indexed="64"/>
      </bottom>
      <diagonal/>
    </border>
    <border>
      <left/>
      <right/>
      <top/>
      <bottom style="thin">
        <color indexed="49"/>
      </bottom>
      <diagonal/>
    </border>
    <border>
      <left/>
      <right/>
      <top/>
      <bottom style="thin">
        <color indexed="62"/>
      </bottom>
      <diagonal/>
    </border>
    <border>
      <left/>
      <right/>
      <top/>
      <bottom style="thick">
        <color indexed="56"/>
      </bottom>
      <diagonal/>
    </border>
    <border>
      <left/>
      <right/>
      <top/>
      <bottom style="thick">
        <color indexed="27"/>
      </bottom>
      <diagonal/>
    </border>
    <border>
      <left/>
      <right/>
      <top/>
      <bottom style="medium">
        <color indexed="27"/>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style="hair">
        <color indexed="64"/>
      </right>
      <top style="hair">
        <color indexed="64"/>
      </top>
      <bottom/>
      <diagonal/>
    </border>
    <border>
      <left/>
      <right/>
      <top style="hair">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style="medium">
        <color indexed="64"/>
      </bottom>
      <diagonal/>
    </border>
    <border>
      <left/>
      <right style="medium">
        <color indexed="64"/>
      </right>
      <top style="thin">
        <color indexed="64"/>
      </top>
      <bottom style="hair">
        <color indexed="64"/>
      </bottom>
      <diagonal/>
    </border>
    <border>
      <left/>
      <right/>
      <top style="thin">
        <color indexed="64"/>
      </top>
      <bottom style="hair">
        <color indexed="64"/>
      </bottom>
      <diagonal/>
    </border>
    <border>
      <left/>
      <right/>
      <top/>
      <bottom style="hair">
        <color indexed="64"/>
      </bottom>
      <diagonal/>
    </border>
    <border>
      <left style="hair">
        <color rgb="FF000000"/>
      </left>
      <right style="hair">
        <color rgb="FF000000"/>
      </right>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hair">
        <color rgb="FF000000"/>
      </right>
      <top style="hair">
        <color rgb="FF000000"/>
      </top>
      <bottom/>
      <diagonal/>
    </border>
    <border>
      <left style="thin">
        <color indexed="64"/>
      </left>
      <right style="thin">
        <color indexed="64"/>
      </right>
      <top/>
      <bottom style="thin">
        <color indexed="64"/>
      </bottom>
      <diagonal/>
    </border>
    <border>
      <left style="hair">
        <color rgb="FF000000"/>
      </left>
      <right/>
      <top/>
      <bottom style="hair">
        <color rgb="FF000000"/>
      </bottom>
      <diagonal/>
    </border>
  </borders>
  <cellStyleXfs count="2956">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3" fillId="20" borderId="0" applyNumberFormat="0" applyBorder="0" applyAlignment="0" applyProtection="0"/>
    <xf numFmtId="0" fontId="4" fillId="21" borderId="4" applyNumberFormat="0" applyAlignment="0" applyProtection="0"/>
    <xf numFmtId="0" fontId="5" fillId="22" borderId="5" applyNumberFormat="0" applyAlignment="0" applyProtection="0"/>
    <xf numFmtId="0" fontId="6" fillId="0" borderId="6" applyNumberFormat="0" applyFill="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7" fillId="29" borderId="4" applyNumberFormat="0" applyAlignment="0" applyProtection="0"/>
    <xf numFmtId="0" fontId="8" fillId="30" borderId="0" applyNumberFormat="0" applyBorder="0" applyAlignment="0" applyProtection="0"/>
    <xf numFmtId="0" fontId="9" fillId="31" borderId="0" applyNumberFormat="0" applyBorder="0" applyAlignment="0" applyProtection="0"/>
    <xf numFmtId="0" fontId="1" fillId="32" borderId="7" applyNumberFormat="0" applyFont="0" applyAlignment="0" applyProtection="0"/>
    <xf numFmtId="0" fontId="10" fillId="21" borderId="8" applyNumberFormat="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0" borderId="10" applyNumberFormat="0" applyFill="0" applyAlignment="0" applyProtection="0"/>
    <xf numFmtId="0" fontId="16" fillId="0" borderId="11" applyNumberFormat="0" applyFill="0" applyAlignment="0" applyProtection="0"/>
    <xf numFmtId="0" fontId="16" fillId="0" borderId="0" applyNumberFormat="0" applyFill="0" applyBorder="0" applyAlignment="0" applyProtection="0"/>
    <xf numFmtId="0" fontId="17" fillId="0" borderId="12" applyNumberFormat="0" applyFill="0" applyAlignment="0" applyProtection="0"/>
    <xf numFmtId="4" fontId="19" fillId="0" borderId="0">
      <alignment vertical="center" wrapText="1"/>
      <protection locked="0"/>
    </xf>
    <xf numFmtId="0" fontId="20" fillId="0" borderId="0"/>
    <xf numFmtId="0" fontId="20" fillId="0" borderId="0"/>
    <xf numFmtId="165" fontId="20" fillId="0" borderId="0" applyFont="0" applyFill="0" applyBorder="0" applyAlignment="0" applyProtection="0"/>
    <xf numFmtId="0" fontId="23" fillId="0" borderId="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165" fontId="20" fillId="0" borderId="0" applyFont="0" applyFill="0" applyBorder="0" applyAlignment="0" applyProtection="0"/>
    <xf numFmtId="0" fontId="19" fillId="0" borderId="0" applyFont="0" applyFill="0" applyBorder="0" applyAlignment="0" applyProtection="0"/>
    <xf numFmtId="4" fontId="33" fillId="0" borderId="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2" fontId="19" fillId="0" borderId="0" applyFont="0" applyFill="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9" fontId="19" fillId="0" borderId="0" applyFont="0" applyFill="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37" fillId="0" borderId="0"/>
    <xf numFmtId="0" fontId="37" fillId="0" borderId="0"/>
    <xf numFmtId="0" fontId="37" fillId="0" borderId="0"/>
    <xf numFmtId="0" fontId="37" fillId="0" borderId="0"/>
    <xf numFmtId="0" fontId="20"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38" fillId="0" borderId="0"/>
    <xf numFmtId="0" fontId="39" fillId="0" borderId="0"/>
    <xf numFmtId="0" fontId="39" fillId="0" borderId="0"/>
    <xf numFmtId="0" fontId="39" fillId="0" borderId="0"/>
    <xf numFmtId="0" fontId="39" fillId="0" borderId="0"/>
    <xf numFmtId="0" fontId="39" fillId="0" borderId="0"/>
    <xf numFmtId="0" fontId="38" fillId="0" borderId="0"/>
    <xf numFmtId="0" fontId="25" fillId="0" borderId="0"/>
    <xf numFmtId="0" fontId="25" fillId="0" borderId="0"/>
    <xf numFmtId="0" fontId="25" fillId="0" borderId="0"/>
    <xf numFmtId="0" fontId="25" fillId="0" borderId="0"/>
    <xf numFmtId="0" fontId="39"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9" fillId="0" borderId="0"/>
    <xf numFmtId="0" fontId="39" fillId="0" borderId="0"/>
    <xf numFmtId="0" fontId="39" fillId="0" borderId="0"/>
    <xf numFmtId="0" fontId="39" fillId="0" borderId="0"/>
    <xf numFmtId="0" fontId="39" fillId="0" borderId="0"/>
    <xf numFmtId="0" fontId="38" fillId="0" borderId="0"/>
    <xf numFmtId="0" fontId="39" fillId="0" borderId="0"/>
    <xf numFmtId="0" fontId="39" fillId="0" borderId="0"/>
    <xf numFmtId="0" fontId="39" fillId="0" borderId="0"/>
    <xf numFmtId="0" fontId="20"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7" fillId="0" borderId="0"/>
    <xf numFmtId="0" fontId="37" fillId="0" borderId="0"/>
    <xf numFmtId="0" fontId="38" fillId="0" borderId="0"/>
    <xf numFmtId="0" fontId="38" fillId="0" borderId="0"/>
    <xf numFmtId="0" fontId="38" fillId="0" borderId="0"/>
    <xf numFmtId="0" fontId="38"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3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38" fillId="0" borderId="0"/>
    <xf numFmtId="0" fontId="40" fillId="0" borderId="0" applyBorder="0" applyAlignment="0">
      <alignment horizontal="left"/>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0"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5"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 fontId="19" fillId="0" borderId="0" applyFont="0" applyFill="0" applyBorder="0" applyAlignment="0" applyProtection="0"/>
    <xf numFmtId="4" fontId="19"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6" fillId="0" borderId="0" applyNumberFormat="0" applyFill="0" applyBorder="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9" fillId="0" borderId="22" applyNumberFormat="0" applyFon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165" fontId="20" fillId="0" borderId="0" applyFont="0" applyFill="0" applyBorder="0" applyAlignment="0" applyProtection="0"/>
    <xf numFmtId="3" fontId="19" fillId="0" borderId="0" applyFont="0" applyFill="0" applyBorder="0" applyAlignment="0" applyProtection="0"/>
    <xf numFmtId="9" fontId="1" fillId="0" borderId="0" applyFont="0" applyFill="0" applyBorder="0" applyAlignment="0" applyProtection="0"/>
    <xf numFmtId="0" fontId="53" fillId="0" borderId="0"/>
    <xf numFmtId="166" fontId="20" fillId="0" borderId="0" applyFont="0" applyFill="0" applyBorder="0" applyAlignment="0" applyProtection="0"/>
    <xf numFmtId="0" fontId="25" fillId="0" borderId="0"/>
    <xf numFmtId="0" fontId="20" fillId="0" borderId="0"/>
    <xf numFmtId="0" fontId="20" fillId="0" borderId="0"/>
    <xf numFmtId="9" fontId="1"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4" fontId="19" fillId="0" borderId="0">
      <alignment vertical="center" wrapText="1"/>
      <protection locked="0"/>
    </xf>
    <xf numFmtId="9" fontId="1" fillId="0" borderId="0" applyFont="0" applyFill="0" applyBorder="0" applyAlignment="0" applyProtection="0"/>
    <xf numFmtId="9"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44" fontId="1" fillId="0" borderId="0" applyFont="0" applyFill="0" applyBorder="0" applyAlignment="0" applyProtection="0"/>
    <xf numFmtId="0" fontId="88" fillId="0" borderId="0"/>
    <xf numFmtId="44" fontId="25" fillId="0" borderId="0" applyFont="0" applyFill="0" applyBorder="0" applyAlignment="0" applyProtection="0"/>
    <xf numFmtId="0" fontId="87" fillId="0" borderId="0" applyNumberFormat="0" applyFill="0" applyBorder="0" applyAlignment="0" applyProtection="0">
      <alignment vertical="top"/>
      <protection locked="0"/>
    </xf>
    <xf numFmtId="167" fontId="20" fillId="0" borderId="0" applyFont="0" applyFill="0" applyBorder="0" applyAlignment="0" applyProtection="0"/>
    <xf numFmtId="43" fontId="1" fillId="0" borderId="0" applyFont="0" applyFill="0" applyBorder="0" applyAlignment="0" applyProtection="0"/>
    <xf numFmtId="0" fontId="90" fillId="0" borderId="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1" fillId="0" borderId="0" applyFont="0" applyFill="0" applyBorder="0" applyAlignment="0" applyProtection="0"/>
    <xf numFmtId="0" fontId="20" fillId="0" borderId="0"/>
    <xf numFmtId="44" fontId="25" fillId="0" borderId="0" applyFont="0" applyFill="0" applyBorder="0" applyAlignment="0" applyProtection="0"/>
    <xf numFmtId="167" fontId="2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38" fillId="0" borderId="0"/>
    <xf numFmtId="0" fontId="1" fillId="0" borderId="0"/>
    <xf numFmtId="4" fontId="19" fillId="0" borderId="0">
      <alignment vertical="center" wrapText="1"/>
      <protection locked="0"/>
    </xf>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02" fillId="0" borderId="0"/>
    <xf numFmtId="4" fontId="110" fillId="0" borderId="0">
      <alignment vertical="center" wrapText="1"/>
      <protection locked="0"/>
    </xf>
    <xf numFmtId="0" fontId="25" fillId="34" borderId="0" applyNumberFormat="0" applyBorder="0" applyAlignment="0" applyProtection="0"/>
    <xf numFmtId="0" fontId="25" fillId="35" borderId="0" applyNumberFormat="0" applyBorder="0" applyAlignment="0" applyProtection="0"/>
    <xf numFmtId="0" fontId="25" fillId="36" borderId="0" applyNumberFormat="0" applyBorder="0" applyAlignment="0" applyProtection="0"/>
    <xf numFmtId="0" fontId="25" fillId="37" borderId="0" applyNumberFormat="0" applyBorder="0" applyAlignment="0" applyProtection="0"/>
    <xf numFmtId="0" fontId="25" fillId="38" borderId="0" applyNumberFormat="0" applyBorder="0" applyAlignment="0" applyProtection="0"/>
    <xf numFmtId="0" fontId="25" fillId="39"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5" fillId="55" borderId="0" applyNumberFormat="0" applyBorder="0" applyAlignment="0" applyProtection="0"/>
    <xf numFmtId="0" fontId="25" fillId="39" borderId="0" applyNumberFormat="0" applyBorder="0" applyAlignment="0" applyProtection="0"/>
    <xf numFmtId="0" fontId="25" fillId="55"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5" fillId="42" borderId="0" applyNumberFormat="0" applyBorder="0" applyAlignment="0" applyProtection="0"/>
    <xf numFmtId="0" fontId="25" fillId="37" borderId="0" applyNumberFormat="0" applyBorder="0" applyAlignment="0" applyProtection="0"/>
    <xf numFmtId="0" fontId="25" fillId="40" borderId="0" applyNumberFormat="0" applyBorder="0" applyAlignment="0" applyProtection="0"/>
    <xf numFmtId="0" fontId="25" fillId="43" borderId="0" applyNumberFormat="0" applyBorder="0" applyAlignment="0" applyProtection="0"/>
    <xf numFmtId="0" fontId="25" fillId="38" borderId="0" applyNumberFormat="0" applyBorder="0" applyAlignment="0" applyProtection="0"/>
    <xf numFmtId="0" fontId="25" fillId="54" borderId="0" applyNumberFormat="0" applyBorder="0" applyAlignment="0" applyProtection="0"/>
    <xf numFmtId="0" fontId="25" fillId="35" borderId="0" applyNumberFormat="0" applyBorder="0" applyAlignment="0" applyProtection="0"/>
    <xf numFmtId="0" fontId="25" fillId="38" borderId="0" applyNumberFormat="0" applyBorder="0" applyAlignment="0" applyProtection="0"/>
    <xf numFmtId="0" fontId="25" fillId="55" borderId="0" applyNumberFormat="0" applyBorder="0" applyAlignment="0" applyProtection="0"/>
    <xf numFmtId="0" fontId="26" fillId="44"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7" borderId="0" applyNumberFormat="0" applyBorder="0" applyAlignment="0" applyProtection="0"/>
    <xf numFmtId="0" fontId="26" fillId="38" borderId="0" applyNumberFormat="0" applyBorder="0" applyAlignment="0" applyProtection="0"/>
    <xf numFmtId="0" fontId="26" fillId="53" borderId="0" applyNumberFormat="0" applyBorder="0" applyAlignment="0" applyProtection="0"/>
    <xf numFmtId="0" fontId="26" fillId="43" borderId="0" applyNumberFormat="0" applyBorder="0" applyAlignment="0" applyProtection="0"/>
    <xf numFmtId="0" fontId="26" fillId="35" borderId="0" applyNumberFormat="0" applyBorder="0" applyAlignment="0" applyProtection="0"/>
    <xf numFmtId="0" fontId="26" fillId="38" borderId="0" applyNumberFormat="0" applyBorder="0" applyAlignment="0" applyProtection="0"/>
    <xf numFmtId="0" fontId="26" fillId="41" borderId="0" applyNumberFormat="0" applyBorder="0" applyAlignment="0" applyProtection="0"/>
    <xf numFmtId="0" fontId="26" fillId="62" borderId="0" applyNumberFormat="0" applyBorder="0" applyAlignment="0" applyProtection="0"/>
    <xf numFmtId="0" fontId="25" fillId="63" borderId="0" applyNumberFormat="0" applyBorder="0" applyAlignment="0" applyProtection="0"/>
    <xf numFmtId="0" fontId="25" fillId="63" borderId="0" applyNumberFormat="0" applyBorder="0" applyAlignment="0" applyProtection="0"/>
    <xf numFmtId="0" fontId="26" fillId="64" borderId="0" applyNumberFormat="0" applyBorder="0" applyAlignment="0" applyProtection="0"/>
    <xf numFmtId="0" fontId="26" fillId="65" borderId="0" applyNumberFormat="0" applyBorder="0" applyAlignment="0" applyProtection="0"/>
    <xf numFmtId="0" fontId="25" fillId="66" borderId="0" applyNumberFormat="0" applyBorder="0" applyAlignment="0" applyProtection="0"/>
    <xf numFmtId="0" fontId="25" fillId="67" borderId="0" applyNumberFormat="0" applyBorder="0" applyAlignment="0" applyProtection="0"/>
    <xf numFmtId="0" fontId="26" fillId="68" borderId="0" applyNumberFormat="0" applyBorder="0" applyAlignment="0" applyProtection="0"/>
    <xf numFmtId="0" fontId="26" fillId="68" borderId="0" applyNumberFormat="0" applyBorder="0" applyAlignment="0" applyProtection="0"/>
    <xf numFmtId="0" fontId="25" fillId="66" borderId="0" applyNumberFormat="0" applyBorder="0" applyAlignment="0" applyProtection="0"/>
    <xf numFmtId="0" fontId="25" fillId="69" borderId="0" applyNumberFormat="0" applyBorder="0" applyAlignment="0" applyProtection="0"/>
    <xf numFmtId="0" fontId="26" fillId="67" borderId="0" applyNumberFormat="0" applyBorder="0" applyAlignment="0" applyProtection="0"/>
    <xf numFmtId="0" fontId="26" fillId="62" borderId="0" applyNumberFormat="0" applyBorder="0" applyAlignment="0" applyProtection="0"/>
    <xf numFmtId="0" fontId="25" fillId="63" borderId="0" applyNumberFormat="0" applyBorder="0" applyAlignment="0" applyProtection="0"/>
    <xf numFmtId="0" fontId="25" fillId="67" borderId="0" applyNumberFormat="0" applyBorder="0" applyAlignment="0" applyProtection="0"/>
    <xf numFmtId="0" fontId="26" fillId="67" borderId="0" applyNumberFormat="0" applyBorder="0" applyAlignment="0" applyProtection="0"/>
    <xf numFmtId="0" fontId="26" fillId="70" borderId="0" applyNumberFormat="0" applyBorder="0" applyAlignment="0" applyProtection="0"/>
    <xf numFmtId="0" fontId="25" fillId="71" borderId="0" applyNumberFormat="0" applyBorder="0" applyAlignment="0" applyProtection="0"/>
    <xf numFmtId="0" fontId="25" fillId="63" borderId="0" applyNumberFormat="0" applyBorder="0" applyAlignment="0" applyProtection="0"/>
    <xf numFmtId="0" fontId="26" fillId="64" borderId="0" applyNumberFormat="0" applyBorder="0" applyAlignment="0" applyProtection="0"/>
    <xf numFmtId="0" fontId="26" fillId="72" borderId="0" applyNumberFormat="0" applyBorder="0" applyAlignment="0" applyProtection="0"/>
    <xf numFmtId="0" fontId="25" fillId="66" borderId="0" applyNumberFormat="0" applyBorder="0" applyAlignment="0" applyProtection="0"/>
    <xf numFmtId="0" fontId="25" fillId="73" borderId="0" applyNumberFormat="0" applyBorder="0" applyAlignment="0" applyProtection="0"/>
    <xf numFmtId="0" fontId="26" fillId="73" borderId="0" applyNumberFormat="0" applyBorder="0" applyAlignment="0" applyProtection="0"/>
    <xf numFmtId="0" fontId="115" fillId="74" borderId="0" applyNumberFormat="0" applyBorder="0" applyAlignment="0" applyProtection="0"/>
    <xf numFmtId="0" fontId="27" fillId="38" borderId="0" applyNumberFormat="0" applyBorder="0" applyAlignment="0" applyProtection="0"/>
    <xf numFmtId="0" fontId="116" fillId="75" borderId="14" applyNumberFormat="0" applyAlignment="0" applyProtection="0"/>
    <xf numFmtId="0" fontId="117" fillId="76" borderId="14" applyNumberFormat="0" applyAlignment="0" applyProtection="0"/>
    <xf numFmtId="0" fontId="43" fillId="0" borderId="97" applyNumberFormat="0" applyFill="0" applyAlignment="0" applyProtection="0"/>
    <xf numFmtId="0" fontId="31" fillId="68" borderId="15" applyNumberFormat="0" applyAlignment="0" applyProtection="0"/>
    <xf numFmtId="0" fontId="49" fillId="77" borderId="0" applyNumberFormat="0" applyBorder="0" applyAlignment="0" applyProtection="0"/>
    <xf numFmtId="0" fontId="49" fillId="78" borderId="0" applyNumberFormat="0" applyBorder="0" applyAlignment="0" applyProtection="0"/>
    <xf numFmtId="0" fontId="49" fillId="79" borderId="0" applyNumberFormat="0" applyBorder="0" applyAlignment="0" applyProtection="0"/>
    <xf numFmtId="0" fontId="26" fillId="80" borderId="0" applyNumberFormat="0" applyBorder="0" applyAlignment="0" applyProtection="0"/>
    <xf numFmtId="0" fontId="26" fillId="53" borderId="0" applyNumberFormat="0" applyBorder="0" applyAlignment="0" applyProtection="0"/>
    <xf numFmtId="0" fontId="26" fillId="43" borderId="0" applyNumberFormat="0" applyBorder="0" applyAlignment="0" applyProtection="0"/>
    <xf numFmtId="0" fontId="26" fillId="81" borderId="0" applyNumberFormat="0" applyBorder="0" applyAlignment="0" applyProtection="0"/>
    <xf numFmtId="0" fontId="26" fillId="51" borderId="0" applyNumberFormat="0" applyBorder="0" applyAlignment="0" applyProtection="0"/>
    <xf numFmtId="0" fontId="34" fillId="54" borderId="14" applyNumberFormat="0" applyAlignment="0" applyProtection="0"/>
    <xf numFmtId="180" fontId="20" fillId="0" borderId="0" applyFont="0" applyFill="0" applyBorder="0" applyAlignment="0" applyProtection="0"/>
    <xf numFmtId="180" fontId="20" fillId="0" borderId="0" applyFont="0" applyFill="0" applyBorder="0" applyAlignment="0" applyProtection="0"/>
    <xf numFmtId="181" fontId="20" fillId="0" borderId="0" applyFill="0" applyBorder="0" applyAlignment="0" applyProtection="0"/>
    <xf numFmtId="0" fontId="44" fillId="0" borderId="0" applyNumberFormat="0" applyFill="0" applyBorder="0" applyAlignment="0" applyProtection="0"/>
    <xf numFmtId="0" fontId="27" fillId="69" borderId="0" applyNumberFormat="0" applyBorder="0" applyAlignment="0" applyProtection="0"/>
    <xf numFmtId="4" fontId="19" fillId="0" borderId="0" applyNumberFormat="0" applyFont="0" applyFill="0" applyBorder="0" applyAlignment="0" applyProtection="0">
      <alignment vertical="center" wrapText="1"/>
      <protection locked="0"/>
    </xf>
    <xf numFmtId="0" fontId="118" fillId="0" borderId="98" applyNumberFormat="0" applyFill="0" applyAlignment="0" applyProtection="0"/>
    <xf numFmtId="0" fontId="119" fillId="0" borderId="20" applyNumberFormat="0" applyFill="0" applyAlignment="0" applyProtection="0"/>
    <xf numFmtId="0" fontId="120" fillId="0" borderId="99" applyNumberFormat="0" applyFill="0" applyAlignment="0" applyProtection="0"/>
    <xf numFmtId="0" fontId="120" fillId="0" borderId="0" applyNumberFormat="0" applyFill="0" applyBorder="0" applyAlignment="0" applyProtection="0"/>
    <xf numFmtId="0" fontId="121" fillId="0" borderId="0" applyNumberFormat="0" applyFill="0" applyBorder="0" applyAlignment="0" applyProtection="0">
      <alignment vertical="top"/>
      <protection locked="0"/>
    </xf>
    <xf numFmtId="0" fontId="35" fillId="37" borderId="0" applyNumberFormat="0" applyBorder="0" applyAlignment="0" applyProtection="0"/>
    <xf numFmtId="0" fontId="122" fillId="0" borderId="0"/>
    <xf numFmtId="0" fontId="34" fillId="73" borderId="14" applyNumberFormat="0" applyAlignment="0" applyProtection="0"/>
    <xf numFmtId="182" fontId="123" fillId="0" borderId="0"/>
    <xf numFmtId="0" fontId="124" fillId="0" borderId="16" applyNumberFormat="0" applyFill="0" applyAlignment="0" applyProtection="0"/>
    <xf numFmtId="0" fontId="125" fillId="54" borderId="0" applyNumberFormat="0" applyBorder="0" applyAlignment="0" applyProtection="0"/>
    <xf numFmtId="0" fontId="36" fillId="82" borderId="0" applyNumberFormat="0" applyBorder="0" applyAlignment="0" applyProtection="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38" fillId="0" borderId="0"/>
    <xf numFmtId="0" fontId="38" fillId="0" borderId="0"/>
    <xf numFmtId="0" fontId="20" fillId="0" borderId="0"/>
    <xf numFmtId="0" fontId="20" fillId="0" borderId="0"/>
    <xf numFmtId="0" fontId="20" fillId="0" borderId="0"/>
    <xf numFmtId="0" fontId="25" fillId="0" borderId="0"/>
    <xf numFmtId="0" fontId="38" fillId="0" borderId="0"/>
    <xf numFmtId="0" fontId="20"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40" fillId="0" borderId="0" applyBorder="0" applyAlignment="0">
      <alignment horizontal="left"/>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0" borderId="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66" borderId="17" applyNumberFormat="0" applyFont="0" applyAlignment="0" applyProtection="0"/>
    <xf numFmtId="0" fontId="20" fillId="66" borderId="17" applyNumberFormat="0" applyFont="0" applyAlignment="0" applyProtection="0"/>
    <xf numFmtId="0" fontId="42" fillId="75" borderId="18" applyNumberFormat="0" applyAlignment="0" applyProtection="0"/>
    <xf numFmtId="10" fontId="24" fillId="0" borderId="100">
      <alignment horizontal="center"/>
    </xf>
    <xf numFmtId="9" fontId="20"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9" fontId="126"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0" fillId="0" borderId="0" applyFont="0" applyFill="0" applyBorder="0" applyAlignment="0" applyProtection="0"/>
    <xf numFmtId="0" fontId="42" fillId="76" borderId="18" applyNumberFormat="0" applyAlignment="0" applyProtection="0"/>
    <xf numFmtId="183" fontId="127" fillId="0" borderId="0" applyFont="0" applyFill="0" applyBorder="0" applyAlignment="0" applyProtection="0"/>
    <xf numFmtId="184" fontId="20" fillId="0" borderId="0" applyFill="0" applyBorder="0" applyAlignment="0" applyProtection="0"/>
    <xf numFmtId="165" fontId="25"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0" fontId="128" fillId="0" borderId="0" applyNumberFormat="0" applyFill="0" applyBorder="0" applyAlignment="0" applyProtection="0"/>
    <xf numFmtId="0" fontId="46"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18" fillId="0" borderId="101" applyNumberFormat="0" applyFill="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18" fillId="0" borderId="101" applyNumberFormat="0" applyFill="0" applyAlignment="0" applyProtection="0"/>
    <xf numFmtId="0" fontId="128" fillId="0" borderId="0" applyNumberFormat="0" applyFill="0" applyBorder="0" applyAlignment="0" applyProtection="0"/>
    <xf numFmtId="0" fontId="46" fillId="0" borderId="0" applyNumberFormat="0" applyFill="0" applyBorder="0" applyAlignment="0" applyProtection="0"/>
    <xf numFmtId="0" fontId="45" fillId="0" borderId="102" applyNumberFormat="0" applyFill="0" applyAlignment="0" applyProtection="0"/>
    <xf numFmtId="0" fontId="118" fillId="0" borderId="103" applyNumberFormat="0" applyFill="0" applyAlignment="0" applyProtection="0"/>
    <xf numFmtId="0" fontId="119" fillId="0" borderId="104" applyNumberFormat="0" applyFill="0" applyAlignment="0" applyProtection="0"/>
    <xf numFmtId="0" fontId="120" fillId="0" borderId="105" applyNumberFormat="0" applyFill="0" applyAlignment="0" applyProtection="0"/>
    <xf numFmtId="0" fontId="120" fillId="0" borderId="0" applyNumberFormat="0" applyFill="0" applyBorder="0" applyAlignment="0" applyProtection="0"/>
    <xf numFmtId="0" fontId="129" fillId="0" borderId="0" applyNumberFormat="0" applyFill="0" applyBorder="0" applyAlignment="0" applyProtection="0"/>
    <xf numFmtId="0" fontId="128" fillId="0" borderId="0" applyNumberFormat="0" applyFill="0" applyBorder="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43" fillId="0" borderId="0" applyNumberFormat="0" applyFill="0" applyBorder="0" applyAlignment="0" applyProtection="0"/>
    <xf numFmtId="4" fontId="19" fillId="0" borderId="0">
      <alignment vertical="center" wrapText="1"/>
      <protection locked="0"/>
    </xf>
    <xf numFmtId="0" fontId="1" fillId="0" borderId="0"/>
    <xf numFmtId="0" fontId="20" fillId="0" borderId="0"/>
  </cellStyleXfs>
  <cellXfs count="929">
    <xf numFmtId="0" fontId="0" fillId="0" borderId="0" xfId="0"/>
    <xf numFmtId="4" fontId="0" fillId="0" borderId="0" xfId="0" applyNumberFormat="1" applyAlignment="1">
      <alignment wrapText="1"/>
    </xf>
    <xf numFmtId="49" fontId="21" fillId="0" borderId="1" xfId="42" applyNumberFormat="1" applyFont="1" applyFill="1" applyBorder="1" applyAlignment="1" applyProtection="1">
      <alignment horizontal="center" vertical="center" wrapText="1"/>
    </xf>
    <xf numFmtId="0" fontId="0" fillId="0" borderId="0" xfId="0" applyProtection="1"/>
    <xf numFmtId="0" fontId="0" fillId="0" borderId="24" xfId="0" applyBorder="1" applyProtection="1"/>
    <xf numFmtId="0" fontId="0" fillId="0" borderId="25" xfId="0" applyBorder="1" applyProtection="1"/>
    <xf numFmtId="0" fontId="0" fillId="0" borderId="26" xfId="0" applyBorder="1" applyProtection="1"/>
    <xf numFmtId="0" fontId="0" fillId="0" borderId="27" xfId="0" applyBorder="1" applyProtection="1"/>
    <xf numFmtId="0" fontId="0" fillId="0" borderId="24" xfId="0" applyFont="1" applyBorder="1" applyProtection="1"/>
    <xf numFmtId="0" fontId="0" fillId="0" borderId="26" xfId="0" applyFont="1" applyBorder="1" applyProtection="1"/>
    <xf numFmtId="0" fontId="0" fillId="0" borderId="28" xfId="0" applyBorder="1" applyProtection="1"/>
    <xf numFmtId="0" fontId="0" fillId="0" borderId="27" xfId="0" applyFont="1" applyBorder="1" applyProtection="1"/>
    <xf numFmtId="0" fontId="0" fillId="0" borderId="28" xfId="0" applyFont="1" applyBorder="1" applyProtection="1"/>
    <xf numFmtId="0" fontId="57" fillId="0" borderId="28" xfId="0" applyFont="1" applyBorder="1" applyAlignment="1" applyProtection="1">
      <alignment horizontal="center"/>
    </xf>
    <xf numFmtId="0" fontId="0" fillId="0" borderId="0" xfId="0" applyBorder="1" applyProtection="1"/>
    <xf numFmtId="0" fontId="20" fillId="0" borderId="27" xfId="0" applyFont="1" applyBorder="1" applyProtection="1"/>
    <xf numFmtId="0" fontId="61" fillId="0" borderId="28" xfId="0" applyFont="1" applyBorder="1" applyAlignment="1" applyProtection="1">
      <alignment horizontal="left"/>
    </xf>
    <xf numFmtId="0" fontId="20" fillId="0" borderId="0" xfId="0" applyFont="1" applyProtection="1"/>
    <xf numFmtId="0" fontId="59" fillId="0" borderId="27" xfId="0" applyFont="1" applyBorder="1" applyAlignment="1" applyProtection="1">
      <alignment horizontal="left" vertical="center"/>
    </xf>
    <xf numFmtId="0" fontId="61" fillId="0" borderId="28" xfId="0" applyFont="1" applyBorder="1" applyAlignment="1" applyProtection="1">
      <alignment horizontal="center" wrapText="1"/>
    </xf>
    <xf numFmtId="0" fontId="20" fillId="0" borderId="28" xfId="0" applyFont="1" applyBorder="1" applyProtection="1"/>
    <xf numFmtId="0" fontId="20" fillId="0" borderId="27" xfId="0" applyFont="1" applyFill="1" applyBorder="1" applyProtection="1"/>
    <xf numFmtId="0" fontId="20" fillId="0" borderId="28" xfId="0" applyFont="1" applyFill="1" applyBorder="1" applyProtection="1"/>
    <xf numFmtId="0" fontId="20" fillId="0" borderId="0" xfId="0" applyFont="1" applyFill="1" applyProtection="1"/>
    <xf numFmtId="0" fontId="20" fillId="0" borderId="0" xfId="0" applyFont="1" applyBorder="1" applyProtection="1"/>
    <xf numFmtId="0" fontId="62" fillId="0" borderId="27" xfId="0" applyFont="1" applyBorder="1" applyProtection="1"/>
    <xf numFmtId="0" fontId="62" fillId="0" borderId="28" xfId="0" applyFont="1" applyBorder="1" applyProtection="1"/>
    <xf numFmtId="0" fontId="62" fillId="0" borderId="0" xfId="0" applyFont="1" applyProtection="1"/>
    <xf numFmtId="166" fontId="54" fillId="0" borderId="31" xfId="1665" applyFont="1" applyFill="1" applyBorder="1" applyAlignment="1" applyProtection="1">
      <alignment vertical="center"/>
    </xf>
    <xf numFmtId="166" fontId="20" fillId="0" borderId="0" xfId="1665" applyFont="1" applyBorder="1" applyProtection="1"/>
    <xf numFmtId="0" fontId="59" fillId="0" borderId="32" xfId="0" applyFont="1" applyBorder="1" applyAlignment="1" applyProtection="1">
      <alignment horizontal="left" vertical="top"/>
    </xf>
    <xf numFmtId="0" fontId="20" fillId="0" borderId="29" xfId="0" applyFont="1" applyBorder="1" applyProtection="1"/>
    <xf numFmtId="0" fontId="20" fillId="0" borderId="30" xfId="0" applyFont="1" applyBorder="1" applyProtection="1"/>
    <xf numFmtId="0" fontId="20" fillId="0" borderId="31" xfId="0" applyFont="1" applyBorder="1" applyProtection="1"/>
    <xf numFmtId="170" fontId="0" fillId="0" borderId="0" xfId="0" applyNumberFormat="1" applyProtection="1"/>
    <xf numFmtId="170" fontId="0" fillId="0" borderId="0" xfId="0" applyNumberFormat="1" applyFill="1" applyProtection="1"/>
    <xf numFmtId="4" fontId="0" fillId="0" borderId="0" xfId="0" applyNumberFormat="1" applyAlignment="1" applyProtection="1">
      <alignment vertical="top" wrapText="1"/>
    </xf>
    <xf numFmtId="170" fontId="67" fillId="0" borderId="0" xfId="0" applyNumberFormat="1" applyFont="1" applyProtection="1"/>
    <xf numFmtId="4" fontId="0" fillId="0" borderId="0" xfId="0" applyNumberFormat="1" applyProtection="1"/>
    <xf numFmtId="0" fontId="1" fillId="0" borderId="0" xfId="799" applyBorder="1" applyAlignment="1">
      <alignment vertical="center"/>
    </xf>
    <xf numFmtId="0" fontId="1" fillId="0" borderId="0" xfId="799" applyBorder="1"/>
    <xf numFmtId="0" fontId="74" fillId="0" borderId="0" xfId="0" applyFont="1" applyAlignment="1">
      <alignment vertical="top"/>
    </xf>
    <xf numFmtId="0" fontId="1" fillId="0" borderId="0" xfId="799" applyFont="1" applyFill="1" applyBorder="1" applyAlignment="1">
      <alignment horizontal="center" vertical="center"/>
    </xf>
    <xf numFmtId="0" fontId="75" fillId="0" borderId="0" xfId="799" applyFont="1" applyFill="1" applyBorder="1" applyAlignment="1">
      <alignment horizontal="center" vertical="center"/>
    </xf>
    <xf numFmtId="0" fontId="1" fillId="0" borderId="0" xfId="799" applyFont="1" applyFill="1" applyBorder="1" applyAlignment="1">
      <alignment vertical="center"/>
    </xf>
    <xf numFmtId="0" fontId="1" fillId="0" borderId="0" xfId="799"/>
    <xf numFmtId="0" fontId="1" fillId="0" borderId="0" xfId="799" applyAlignment="1">
      <alignment vertical="center"/>
    </xf>
    <xf numFmtId="0" fontId="1" fillId="0" borderId="0" xfId="799" applyFont="1" applyFill="1" applyBorder="1" applyAlignment="1">
      <alignment horizontal="left" vertical="center"/>
    </xf>
    <xf numFmtId="0" fontId="1" fillId="0" borderId="0" xfId="799" applyFont="1" applyFill="1" applyBorder="1" applyAlignment="1">
      <alignment vertical="center" wrapText="1"/>
    </xf>
    <xf numFmtId="0" fontId="1" fillId="0" borderId="0" xfId="799" applyFont="1" applyFill="1" applyBorder="1" applyAlignment="1">
      <alignment horizontal="right" vertical="center"/>
    </xf>
    <xf numFmtId="14" fontId="1" fillId="0" borderId="0" xfId="799" applyNumberFormat="1" applyFont="1" applyFill="1" applyBorder="1" applyAlignment="1">
      <alignment horizontal="left" vertical="center"/>
    </xf>
    <xf numFmtId="0" fontId="24" fillId="0" borderId="0" xfId="799" applyFont="1" applyAlignment="1">
      <alignment vertical="center"/>
    </xf>
    <xf numFmtId="14" fontId="1" fillId="0" borderId="0" xfId="799" applyNumberFormat="1" applyFont="1" applyFill="1" applyBorder="1" applyAlignment="1">
      <alignment vertical="center"/>
    </xf>
    <xf numFmtId="0" fontId="24" fillId="0" borderId="0" xfId="799" applyFont="1" applyFill="1" applyBorder="1" applyAlignment="1">
      <alignment vertical="center" wrapText="1"/>
    </xf>
    <xf numFmtId="0" fontId="24" fillId="0" borderId="0" xfId="799" applyFont="1" applyFill="1" applyBorder="1" applyAlignment="1">
      <alignment vertical="center"/>
    </xf>
    <xf numFmtId="0" fontId="76" fillId="0" borderId="0" xfId="799" applyFont="1" applyAlignment="1">
      <alignment vertical="center"/>
    </xf>
    <xf numFmtId="4" fontId="1" fillId="0" borderId="0" xfId="799" applyNumberFormat="1" applyFont="1" applyFill="1" applyBorder="1" applyAlignment="1">
      <alignment vertical="center"/>
    </xf>
    <xf numFmtId="0" fontId="20" fillId="0" borderId="0" xfId="799" applyFont="1" applyFill="1" applyBorder="1" applyAlignment="1">
      <alignment horizontal="center" vertical="center"/>
    </xf>
    <xf numFmtId="4" fontId="20" fillId="0" borderId="0" xfId="799" applyNumberFormat="1" applyFont="1" applyFill="1" applyBorder="1" applyAlignment="1">
      <alignment vertical="center"/>
    </xf>
    <xf numFmtId="4" fontId="24" fillId="0" borderId="0" xfId="799" applyNumberFormat="1" applyFont="1" applyFill="1" applyBorder="1" applyAlignment="1">
      <alignment vertical="center"/>
    </xf>
    <xf numFmtId="0" fontId="1" fillId="56" borderId="0" xfId="799" applyFill="1" applyAlignment="1">
      <alignment vertical="center"/>
    </xf>
    <xf numFmtId="0" fontId="24" fillId="0" borderId="0" xfId="799" applyFont="1" applyFill="1" applyBorder="1" applyAlignment="1">
      <alignment horizontal="center" vertical="top"/>
    </xf>
    <xf numFmtId="0" fontId="1" fillId="56" borderId="0" xfId="799" applyFill="1" applyAlignment="1">
      <alignment horizontal="center" vertical="center"/>
    </xf>
    <xf numFmtId="0" fontId="1" fillId="56" borderId="0" xfId="799" applyFill="1" applyAlignment="1">
      <alignment vertical="center" wrapText="1"/>
    </xf>
    <xf numFmtId="0" fontId="1" fillId="0" borderId="0" xfId="799" applyAlignment="1">
      <alignment horizontal="center" vertical="center"/>
    </xf>
    <xf numFmtId="0" fontId="1" fillId="0" borderId="0" xfId="799" applyAlignment="1">
      <alignment vertical="center" wrapText="1"/>
    </xf>
    <xf numFmtId="0" fontId="60" fillId="0" borderId="0" xfId="0" applyFont="1" applyFill="1"/>
    <xf numFmtId="0" fontId="78" fillId="0" borderId="0" xfId="0" applyFont="1" applyFill="1"/>
    <xf numFmtId="0" fontId="59" fillId="0" borderId="0" xfId="0" applyFont="1" applyFill="1" applyBorder="1" applyAlignment="1">
      <alignment vertical="top" wrapText="1"/>
    </xf>
    <xf numFmtId="0" fontId="79" fillId="0" borderId="0" xfId="0" applyFont="1" applyFill="1" applyBorder="1" applyAlignment="1">
      <alignment vertical="top"/>
    </xf>
    <xf numFmtId="0" fontId="60" fillId="0" borderId="0" xfId="0" applyFont="1" applyFill="1" applyAlignment="1">
      <alignment vertical="top"/>
    </xf>
    <xf numFmtId="0" fontId="37" fillId="0" borderId="0" xfId="902" applyFont="1"/>
    <xf numFmtId="0" fontId="20" fillId="0" borderId="0" xfId="0" applyFont="1" applyFill="1"/>
    <xf numFmtId="2" fontId="24" fillId="0" borderId="0" xfId="0" applyNumberFormat="1" applyFont="1" applyFill="1" applyAlignment="1">
      <alignment horizontal="right" vertical="top"/>
    </xf>
    <xf numFmtId="0" fontId="22" fillId="0" borderId="0" xfId="0" applyFont="1" applyFill="1"/>
    <xf numFmtId="0" fontId="20" fillId="0" borderId="0" xfId="0" applyFont="1" applyFill="1" applyAlignment="1">
      <alignment horizontal="center" vertical="top"/>
    </xf>
    <xf numFmtId="0" fontId="60" fillId="0" borderId="0" xfId="0" applyFont="1" applyFill="1" applyBorder="1" applyAlignment="1">
      <alignment vertical="top"/>
    </xf>
    <xf numFmtId="4" fontId="0" fillId="0" borderId="0" xfId="0" applyNumberFormat="1" applyAlignment="1">
      <alignment vertical="top" wrapText="1"/>
    </xf>
    <xf numFmtId="166" fontId="65" fillId="0" borderId="28" xfId="1665" applyFont="1" applyFill="1" applyBorder="1" applyAlignment="1" applyProtection="1">
      <alignment vertical="center"/>
    </xf>
    <xf numFmtId="165" fontId="20" fillId="0" borderId="0" xfId="0" applyNumberFormat="1" applyFont="1" applyFill="1" applyProtection="1"/>
    <xf numFmtId="0" fontId="62" fillId="0" borderId="27" xfId="0" applyFont="1" applyFill="1" applyBorder="1" applyProtection="1"/>
    <xf numFmtId="0" fontId="62" fillId="0" borderId="28" xfId="0" applyFont="1" applyFill="1" applyBorder="1" applyProtection="1"/>
    <xf numFmtId="0" fontId="62" fillId="0" borderId="0" xfId="0" applyFont="1" applyFill="1" applyProtection="1"/>
    <xf numFmtId="4" fontId="81" fillId="0" borderId="0" xfId="42" applyFont="1" applyFill="1">
      <alignment vertical="center" wrapText="1"/>
      <protection locked="0"/>
    </xf>
    <xf numFmtId="44" fontId="21" fillId="0" borderId="3" xfId="1956" applyFont="1" applyFill="1" applyBorder="1" applyAlignment="1" applyProtection="1">
      <alignment horizontal="center" vertical="center" wrapText="1"/>
    </xf>
    <xf numFmtId="49" fontId="24" fillId="57" borderId="0" xfId="42" applyNumberFormat="1" applyFont="1" applyFill="1" applyBorder="1" applyAlignment="1" applyProtection="1">
      <alignment horizontal="center" vertical="center" wrapText="1"/>
    </xf>
    <xf numFmtId="0" fontId="74" fillId="0" borderId="0" xfId="0" applyFont="1" applyFill="1" applyAlignment="1">
      <alignment vertical="top"/>
    </xf>
    <xf numFmtId="0" fontId="82" fillId="0" borderId="0" xfId="0" applyFont="1" applyFill="1" applyBorder="1" applyAlignment="1">
      <alignment vertical="top" wrapText="1"/>
    </xf>
    <xf numFmtId="0" fontId="37" fillId="0" borderId="0" xfId="0" applyFont="1"/>
    <xf numFmtId="0" fontId="83" fillId="0" borderId="0" xfId="0" applyFont="1" applyAlignment="1">
      <alignment vertical="top"/>
    </xf>
    <xf numFmtId="0" fontId="83" fillId="0" borderId="0" xfId="0" applyFont="1"/>
    <xf numFmtId="166" fontId="0" fillId="0" borderId="0" xfId="0" applyNumberFormat="1" applyProtection="1"/>
    <xf numFmtId="0" fontId="37" fillId="0" borderId="0" xfId="0" applyFont="1" applyFill="1"/>
    <xf numFmtId="0" fontId="22" fillId="0" borderId="0" xfId="43" applyFont="1" applyFill="1" applyBorder="1" applyAlignment="1">
      <alignment vertical="top"/>
    </xf>
    <xf numFmtId="0" fontId="22" fillId="0" borderId="0" xfId="43" applyFont="1" applyFill="1" applyBorder="1"/>
    <xf numFmtId="2" fontId="22" fillId="0" borderId="0" xfId="43" applyNumberFormat="1" applyFont="1" applyFill="1" applyBorder="1" applyAlignment="1">
      <alignment horizontal="center" vertical="top"/>
    </xf>
    <xf numFmtId="0" fontId="20" fillId="0" borderId="0" xfId="43" applyFont="1" applyFill="1" applyBorder="1" applyAlignment="1">
      <alignment horizontal="left" vertical="top" wrapText="1"/>
    </xf>
    <xf numFmtId="172" fontId="22" fillId="0" borderId="0" xfId="43" applyNumberFormat="1" applyFont="1" applyFill="1" applyBorder="1" applyAlignment="1">
      <alignment vertical="top"/>
    </xf>
    <xf numFmtId="0" fontId="22" fillId="0" borderId="0" xfId="43" applyFont="1" applyBorder="1"/>
    <xf numFmtId="0" fontId="22" fillId="0" borderId="0" xfId="43" applyFont="1" applyBorder="1" applyAlignment="1">
      <alignment vertical="top"/>
    </xf>
    <xf numFmtId="2" fontId="22" fillId="0" borderId="0" xfId="43" applyNumberFormat="1" applyFont="1" applyBorder="1" applyAlignment="1">
      <alignment horizontal="center" vertical="top"/>
    </xf>
    <xf numFmtId="0" fontId="22" fillId="0" borderId="0" xfId="893" applyFont="1" applyFill="1"/>
    <xf numFmtId="0" fontId="22" fillId="0" borderId="0" xfId="1057" applyFont="1" applyFill="1" applyAlignment="1">
      <alignment vertical="top"/>
    </xf>
    <xf numFmtId="4" fontId="22" fillId="0" borderId="0" xfId="1057" applyNumberFormat="1" applyFont="1" applyFill="1" applyAlignment="1">
      <alignment vertical="top"/>
    </xf>
    <xf numFmtId="10" fontId="22" fillId="0" borderId="0" xfId="1188" applyNumberFormat="1" applyFont="1" applyFill="1" applyAlignment="1">
      <alignment vertical="top"/>
    </xf>
    <xf numFmtId="0" fontId="22" fillId="0" borderId="0" xfId="1057" applyFont="1" applyFill="1" applyBorder="1" applyAlignment="1">
      <alignment vertical="top"/>
    </xf>
    <xf numFmtId="173" fontId="20" fillId="0" borderId="0" xfId="1057" applyNumberFormat="1" applyFont="1" applyFill="1" applyBorder="1" applyAlignment="1">
      <alignment horizontal="center" vertical="center" wrapText="1"/>
    </xf>
    <xf numFmtId="0" fontId="20" fillId="57" borderId="0" xfId="0" applyFont="1" applyFill="1"/>
    <xf numFmtId="4" fontId="86" fillId="57" borderId="0" xfId="0" applyNumberFormat="1" applyFont="1" applyFill="1" applyBorder="1" applyAlignment="1" applyProtection="1">
      <alignment horizontal="center" vertical="center" wrapText="1"/>
    </xf>
    <xf numFmtId="0" fontId="84" fillId="57" borderId="0" xfId="0" applyFont="1" applyFill="1" applyAlignment="1">
      <alignment vertical="center"/>
    </xf>
    <xf numFmtId="175" fontId="22" fillId="0" borderId="0" xfId="1057" applyNumberFormat="1" applyFont="1" applyFill="1" applyAlignment="1">
      <alignment vertical="top"/>
    </xf>
    <xf numFmtId="0" fontId="59" fillId="0" borderId="24" xfId="0" applyFont="1" applyBorder="1" applyAlignment="1" applyProtection="1">
      <alignment horizontal="left" vertical="center"/>
    </xf>
    <xf numFmtId="0" fontId="59" fillId="0" borderId="27" xfId="0" applyFont="1" applyBorder="1" applyAlignment="1" applyProtection="1">
      <alignment horizontal="left" vertical="center" wrapText="1"/>
    </xf>
    <xf numFmtId="0" fontId="59" fillId="0" borderId="27" xfId="0" applyFont="1" applyFill="1" applyBorder="1" applyAlignment="1" applyProtection="1">
      <alignment horizontal="left" vertical="center"/>
    </xf>
    <xf numFmtId="0" fontId="59" fillId="0" borderId="29" xfId="0" applyFont="1" applyBorder="1" applyAlignment="1" applyProtection="1">
      <alignment horizontal="left" vertical="center"/>
    </xf>
    <xf numFmtId="0" fontId="24" fillId="0" borderId="0" xfId="0" applyFont="1" applyBorder="1" applyAlignment="1" applyProtection="1">
      <alignment vertical="center"/>
    </xf>
    <xf numFmtId="0" fontId="24" fillId="0" borderId="0" xfId="0" applyFont="1" applyBorder="1" applyAlignment="1" applyProtection="1">
      <alignment horizontal="left" vertical="center"/>
    </xf>
    <xf numFmtId="0" fontId="20" fillId="0" borderId="0" xfId="0" applyFont="1" applyBorder="1" applyAlignment="1" applyProtection="1">
      <alignment vertical="center"/>
    </xf>
    <xf numFmtId="49" fontId="21" fillId="33" borderId="13" xfId="42" applyNumberFormat="1" applyFont="1" applyFill="1" applyBorder="1" applyAlignment="1" applyProtection="1">
      <alignment horizontal="center" vertical="center" wrapText="1"/>
    </xf>
    <xf numFmtId="0" fontId="21" fillId="33" borderId="13" xfId="42" applyNumberFormat="1" applyFont="1" applyFill="1" applyBorder="1" applyAlignment="1" applyProtection="1">
      <alignment horizontal="center" vertical="center" wrapText="1"/>
    </xf>
    <xf numFmtId="4" fontId="81" fillId="0" borderId="0" xfId="42" applyFont="1" applyFill="1" applyAlignment="1">
      <alignment vertical="center" wrapText="1"/>
      <protection locked="0"/>
    </xf>
    <xf numFmtId="4" fontId="22" fillId="0" borderId="0" xfId="42" applyFont="1" applyFill="1">
      <alignment vertical="center" wrapText="1"/>
      <protection locked="0"/>
    </xf>
    <xf numFmtId="4" fontId="22" fillId="0" borderId="0" xfId="43" applyNumberFormat="1" applyFont="1" applyFill="1" applyAlignment="1" applyProtection="1">
      <alignment vertical="center" wrapText="1"/>
      <protection locked="0"/>
    </xf>
    <xf numFmtId="4" fontId="81" fillId="0" borderId="0" xfId="42" applyFont="1" applyFill="1" applyAlignment="1">
      <alignment horizontal="center" vertical="center" wrapText="1"/>
      <protection locked="0"/>
    </xf>
    <xf numFmtId="4" fontId="22" fillId="0" borderId="0" xfId="42" applyFont="1" applyFill="1" applyAlignment="1">
      <alignment horizontal="center" vertical="center" wrapText="1"/>
      <protection locked="0"/>
    </xf>
    <xf numFmtId="4" fontId="22" fillId="0" borderId="0" xfId="43" applyNumberFormat="1" applyFont="1" applyFill="1" applyAlignment="1" applyProtection="1">
      <alignment horizontal="center" vertical="center" wrapText="1"/>
      <protection locked="0"/>
    </xf>
    <xf numFmtId="0" fontId="82" fillId="0" borderId="0" xfId="0" applyFont="1" applyFill="1" applyBorder="1" applyAlignment="1">
      <alignment horizontal="center" vertical="center" wrapText="1"/>
    </xf>
    <xf numFmtId="0" fontId="74" fillId="0" borderId="0" xfId="0" applyFont="1" applyFill="1" applyAlignment="1">
      <alignment horizontal="center" vertical="center"/>
    </xf>
    <xf numFmtId="0" fontId="60" fillId="0" borderId="0" xfId="0" applyFont="1" applyFill="1" applyAlignment="1">
      <alignment horizontal="center" vertical="center"/>
    </xf>
    <xf numFmtId="2" fontId="59" fillId="0" borderId="0" xfId="0" applyNumberFormat="1" applyFont="1" applyFill="1" applyAlignment="1">
      <alignment horizontal="center" vertical="center"/>
    </xf>
    <xf numFmtId="0" fontId="78" fillId="0" borderId="0" xfId="0" applyFont="1" applyFill="1" applyAlignment="1">
      <alignment horizontal="center" vertical="center"/>
    </xf>
    <xf numFmtId="0" fontId="83" fillId="0" borderId="0" xfId="0" applyFont="1" applyFill="1" applyAlignment="1">
      <alignment vertical="top"/>
    </xf>
    <xf numFmtId="0" fontId="77" fillId="0" borderId="0" xfId="0" applyFont="1" applyFill="1" applyAlignment="1">
      <alignment vertical="center"/>
    </xf>
    <xf numFmtId="0" fontId="74" fillId="0" borderId="0" xfId="0" applyFont="1" applyFill="1" applyBorder="1" applyAlignment="1">
      <alignment vertical="top"/>
    </xf>
    <xf numFmtId="0" fontId="20" fillId="0" borderId="0" xfId="0" applyFont="1" applyFill="1" applyBorder="1"/>
    <xf numFmtId="2" fontId="24" fillId="0" borderId="0" xfId="0" applyNumberFormat="1" applyFont="1" applyFill="1" applyBorder="1" applyAlignment="1">
      <alignment horizontal="right" vertical="top"/>
    </xf>
    <xf numFmtId="0" fontId="22" fillId="0" borderId="0" xfId="0" applyFont="1" applyFill="1" applyBorder="1"/>
    <xf numFmtId="0" fontId="20" fillId="0" borderId="0" xfId="0" applyFont="1" applyFill="1" applyBorder="1" applyAlignment="1">
      <alignment horizontal="center" vertical="top"/>
    </xf>
    <xf numFmtId="0" fontId="78" fillId="0" borderId="0" xfId="0" applyFont="1" applyFill="1" applyBorder="1"/>
    <xf numFmtId="0" fontId="60" fillId="0" borderId="0" xfId="0" applyFont="1" applyFill="1" applyBorder="1"/>
    <xf numFmtId="0" fontId="37" fillId="0" borderId="0" xfId="902" applyFont="1" applyFill="1"/>
    <xf numFmtId="44" fontId="20" fillId="0" borderId="0" xfId="0" applyNumberFormat="1" applyFont="1" applyProtection="1"/>
    <xf numFmtId="166" fontId="20" fillId="0" borderId="0" xfId="0" applyNumberFormat="1" applyFont="1" applyProtection="1"/>
    <xf numFmtId="44" fontId="0" fillId="0" borderId="0" xfId="1956" applyFont="1" applyProtection="1"/>
    <xf numFmtId="44" fontId="0" fillId="0" borderId="0" xfId="0" applyNumberFormat="1" applyProtection="1"/>
    <xf numFmtId="0" fontId="90" fillId="0" borderId="0" xfId="1962" applyAlignment="1"/>
    <xf numFmtId="0" fontId="90" fillId="0" borderId="0" xfId="1962" applyAlignment="1">
      <alignment wrapText="1"/>
    </xf>
    <xf numFmtId="0" fontId="20" fillId="0" borderId="3" xfId="43" applyFont="1" applyFill="1" applyBorder="1" applyAlignment="1">
      <alignment horizontal="left" vertical="top" wrapText="1"/>
    </xf>
    <xf numFmtId="0" fontId="24" fillId="0" borderId="0" xfId="799" applyFont="1" applyFill="1" applyBorder="1" applyAlignment="1">
      <alignment horizontal="center" vertical="center"/>
    </xf>
    <xf numFmtId="0" fontId="24" fillId="0" borderId="0" xfId="799" applyFont="1" applyFill="1" applyBorder="1" applyAlignment="1">
      <alignment horizontal="center" vertical="center" wrapText="1"/>
    </xf>
    <xf numFmtId="0" fontId="92" fillId="57" borderId="0" xfId="0" applyFont="1" applyFill="1"/>
    <xf numFmtId="0" fontId="92" fillId="0" borderId="0" xfId="0" applyFont="1"/>
    <xf numFmtId="0" fontId="93" fillId="57" borderId="0" xfId="0" applyFont="1" applyFill="1" applyBorder="1" applyAlignment="1">
      <alignment vertical="center"/>
    </xf>
    <xf numFmtId="0" fontId="96" fillId="57" borderId="0" xfId="0" applyFont="1" applyFill="1" applyBorder="1" applyAlignment="1" applyProtection="1">
      <alignment horizontal="center" vertical="center"/>
      <protection locked="0"/>
    </xf>
    <xf numFmtId="0" fontId="97" fillId="58" borderId="68" xfId="0" applyFont="1" applyFill="1" applyBorder="1" applyAlignment="1">
      <alignment horizontal="center" vertical="center"/>
    </xf>
    <xf numFmtId="0" fontId="97" fillId="58" borderId="70" xfId="0" applyFont="1" applyFill="1" applyBorder="1" applyAlignment="1">
      <alignment horizontal="center" vertical="center"/>
    </xf>
    <xf numFmtId="10" fontId="18" fillId="0" borderId="74" xfId="1663" applyNumberFormat="1" applyFont="1" applyFill="1" applyBorder="1" applyAlignment="1">
      <alignment horizontal="center" vertical="center"/>
    </xf>
    <xf numFmtId="10" fontId="97" fillId="0" borderId="80" xfId="0" applyNumberFormat="1" applyFont="1" applyFill="1" applyBorder="1" applyAlignment="1">
      <alignment horizontal="center" vertical="center"/>
    </xf>
    <xf numFmtId="10" fontId="18" fillId="0" borderId="81" xfId="1663" applyNumberFormat="1" applyFont="1" applyFill="1" applyBorder="1" applyAlignment="1">
      <alignment horizontal="center" vertical="center"/>
    </xf>
    <xf numFmtId="10" fontId="18" fillId="0" borderId="82" xfId="1663" applyNumberFormat="1" applyFont="1" applyFill="1" applyBorder="1" applyAlignment="1">
      <alignment horizontal="center" vertical="center"/>
    </xf>
    <xf numFmtId="0" fontId="18" fillId="0" borderId="67" xfId="0" applyFont="1" applyFill="1" applyBorder="1" applyAlignment="1">
      <alignment horizontal="center" vertical="center"/>
    </xf>
    <xf numFmtId="10" fontId="97" fillId="58" borderId="86" xfId="1663" applyNumberFormat="1" applyFont="1" applyFill="1" applyBorder="1" applyAlignment="1">
      <alignment horizontal="center" vertical="center"/>
    </xf>
    <xf numFmtId="0" fontId="92" fillId="57" borderId="0" xfId="0" applyFont="1" applyFill="1" applyAlignment="1">
      <alignment vertical="center"/>
    </xf>
    <xf numFmtId="0" fontId="99" fillId="57" borderId="0" xfId="0" applyFont="1" applyFill="1" applyBorder="1" applyAlignment="1">
      <alignment horizontal="center"/>
    </xf>
    <xf numFmtId="0" fontId="100" fillId="57" borderId="0" xfId="0" applyFont="1" applyFill="1" applyBorder="1" applyAlignment="1">
      <alignment horizontal="center" vertical="top"/>
    </xf>
    <xf numFmtId="0" fontId="92" fillId="57" borderId="0" xfId="0" applyFont="1" applyFill="1" applyBorder="1" applyAlignment="1">
      <alignment vertical="center"/>
    </xf>
    <xf numFmtId="0" fontId="100" fillId="57" borderId="0" xfId="0" applyFont="1" applyFill="1" applyBorder="1" applyAlignment="1">
      <alignment horizontal="center" vertical="center"/>
    </xf>
    <xf numFmtId="0" fontId="92" fillId="57" borderId="0" xfId="0" applyFont="1" applyFill="1" applyAlignment="1">
      <alignment horizontal="left"/>
    </xf>
    <xf numFmtId="0" fontId="100" fillId="57" borderId="0" xfId="0" applyFont="1" applyFill="1" applyBorder="1" applyAlignment="1">
      <alignment horizontal="left" vertical="center"/>
    </xf>
    <xf numFmtId="0" fontId="92" fillId="0" borderId="0" xfId="0" applyFont="1" applyAlignment="1">
      <alignment horizontal="left"/>
    </xf>
    <xf numFmtId="0" fontId="100" fillId="0" borderId="0" xfId="0" applyFont="1"/>
    <xf numFmtId="0" fontId="101" fillId="0" borderId="0" xfId="0" applyFont="1" applyBorder="1" applyAlignment="1">
      <alignment horizontal="center" vertical="center"/>
    </xf>
    <xf numFmtId="0" fontId="37" fillId="59" borderId="0" xfId="0" applyFont="1" applyFill="1"/>
    <xf numFmtId="49" fontId="22" fillId="0" borderId="47" xfId="42" applyNumberFormat="1" applyFont="1" applyFill="1" applyBorder="1" applyAlignment="1">
      <alignment horizontal="center" vertical="center" wrapText="1"/>
      <protection locked="0"/>
    </xf>
    <xf numFmtId="0" fontId="20" fillId="0" borderId="0" xfId="0" applyFont="1" applyAlignment="1">
      <alignment vertical="top"/>
    </xf>
    <xf numFmtId="0" fontId="20" fillId="0" borderId="0" xfId="0" applyFont="1"/>
    <xf numFmtId="0" fontId="20" fillId="0" borderId="0" xfId="0" applyFont="1" applyFill="1" applyAlignment="1">
      <alignment vertical="top"/>
    </xf>
    <xf numFmtId="4" fontId="65" fillId="0" borderId="0" xfId="0" applyNumberFormat="1" applyFont="1" applyAlignment="1">
      <alignment vertical="top" wrapText="1"/>
    </xf>
    <xf numFmtId="0" fontId="37" fillId="0" borderId="0" xfId="0" applyFont="1" applyFill="1" applyBorder="1"/>
    <xf numFmtId="0" fontId="37" fillId="0" borderId="0" xfId="0" applyFont="1" applyBorder="1"/>
    <xf numFmtId="49" fontId="22" fillId="0" borderId="48" xfId="42" applyNumberFormat="1" applyFont="1" applyFill="1" applyBorder="1" applyAlignment="1">
      <alignment horizontal="center" vertical="center" wrapText="1"/>
      <protection locked="0"/>
    </xf>
    <xf numFmtId="0" fontId="90" fillId="0" borderId="0" xfId="1962" applyFill="1" applyAlignment="1">
      <alignment wrapText="1"/>
    </xf>
    <xf numFmtId="178" fontId="22" fillId="0" borderId="0" xfId="1057" applyNumberFormat="1" applyFont="1" applyFill="1" applyAlignment="1">
      <alignment vertical="top"/>
    </xf>
    <xf numFmtId="4" fontId="0" fillId="0" borderId="0" xfId="0" applyNumberFormat="1" applyFill="1" applyAlignment="1">
      <alignment vertical="top" wrapText="1"/>
    </xf>
    <xf numFmtId="0" fontId="59" fillId="0" borderId="27" xfId="0" applyFont="1" applyFill="1" applyBorder="1" applyAlignment="1" applyProtection="1">
      <alignment vertical="center"/>
    </xf>
    <xf numFmtId="0" fontId="60" fillId="0" borderId="28" xfId="0" applyFont="1" applyFill="1" applyBorder="1" applyAlignment="1" applyProtection="1">
      <alignment horizontal="justify" vertical="center" wrapText="1"/>
    </xf>
    <xf numFmtId="49" fontId="17" fillId="33" borderId="3" xfId="0" applyNumberFormat="1" applyFont="1" applyFill="1" applyBorder="1" applyAlignment="1">
      <alignment horizontal="center" vertical="center" wrapText="1"/>
    </xf>
    <xf numFmtId="4" fontId="85" fillId="33" borderId="0" xfId="43" applyNumberFormat="1" applyFont="1" applyFill="1" applyBorder="1" applyAlignment="1" applyProtection="1">
      <alignment horizontal="center" vertical="center" wrapText="1"/>
    </xf>
    <xf numFmtId="4" fontId="21" fillId="33" borderId="0" xfId="43" applyNumberFormat="1" applyFont="1" applyFill="1" applyBorder="1" applyAlignment="1">
      <alignment horizontal="center" vertical="center" wrapText="1"/>
    </xf>
    <xf numFmtId="0" fontId="21" fillId="33" borderId="0" xfId="43" applyFont="1" applyFill="1" applyBorder="1" applyAlignment="1">
      <alignment horizontal="center" vertical="center" wrapText="1"/>
    </xf>
    <xf numFmtId="0" fontId="21" fillId="33" borderId="0" xfId="43" applyFont="1" applyFill="1" applyBorder="1" applyAlignment="1">
      <alignment horizontal="left" vertical="center" wrapText="1"/>
    </xf>
    <xf numFmtId="44" fontId="90" fillId="0" borderId="0" xfId="1956" applyFont="1" applyAlignment="1">
      <alignment wrapText="1"/>
    </xf>
    <xf numFmtId="0" fontId="20" fillId="0" borderId="0" xfId="1962" applyFont="1" applyAlignment="1">
      <alignment wrapText="1"/>
    </xf>
    <xf numFmtId="14" fontId="60" fillId="0" borderId="28" xfId="0" applyNumberFormat="1" applyFont="1" applyFill="1" applyBorder="1" applyAlignment="1">
      <alignment vertical="center"/>
    </xf>
    <xf numFmtId="0" fontId="1" fillId="0" borderId="0" xfId="2270"/>
    <xf numFmtId="0" fontId="92" fillId="0" borderId="88" xfId="2272" applyFont="1" applyBorder="1"/>
    <xf numFmtId="0" fontId="105" fillId="61" borderId="89" xfId="2272" applyFont="1" applyFill="1" applyBorder="1"/>
    <xf numFmtId="0" fontId="92" fillId="0" borderId="67" xfId="2272" applyFont="1" applyBorder="1"/>
    <xf numFmtId="0" fontId="92" fillId="0" borderId="13" xfId="2272" applyFont="1" applyBorder="1"/>
    <xf numFmtId="0" fontId="106" fillId="0" borderId="90" xfId="2272" applyFont="1" applyBorder="1" applyAlignment="1">
      <alignment vertical="center"/>
    </xf>
    <xf numFmtId="49" fontId="109" fillId="0" borderId="67" xfId="2272" applyNumberFormat="1" applyFont="1" applyBorder="1" applyAlignment="1">
      <alignment horizontal="right"/>
    </xf>
    <xf numFmtId="0" fontId="92" fillId="0" borderId="90" xfId="2272" applyFont="1" applyBorder="1"/>
    <xf numFmtId="179" fontId="92" fillId="0" borderId="13" xfId="2272" applyNumberFormat="1" applyFont="1" applyBorder="1"/>
    <xf numFmtId="0" fontId="92" fillId="0" borderId="0" xfId="2272" applyFont="1"/>
    <xf numFmtId="0" fontId="111" fillId="0" borderId="93" xfId="2272" applyFont="1" applyFill="1" applyBorder="1" applyAlignment="1">
      <alignment horizontal="center" vertical="center"/>
    </xf>
    <xf numFmtId="0" fontId="92" fillId="0" borderId="94" xfId="2272" applyFont="1" applyFill="1" applyBorder="1" applyAlignment="1">
      <alignment vertical="center" wrapText="1"/>
    </xf>
    <xf numFmtId="0" fontId="92" fillId="0" borderId="93" xfId="2272" applyFont="1" applyFill="1" applyBorder="1" applyAlignment="1">
      <alignment vertical="center"/>
    </xf>
    <xf numFmtId="0" fontId="92" fillId="0" borderId="94" xfId="2272" applyFont="1" applyFill="1" applyBorder="1" applyAlignment="1">
      <alignment vertical="center"/>
    </xf>
    <xf numFmtId="0" fontId="92" fillId="0" borderId="93" xfId="2272" applyFont="1" applyFill="1" applyBorder="1" applyAlignment="1">
      <alignment horizontal="center" vertical="center"/>
    </xf>
    <xf numFmtId="0" fontId="112" fillId="0" borderId="93" xfId="2272" applyFont="1" applyFill="1" applyBorder="1" applyAlignment="1">
      <alignment horizontal="center" vertical="center"/>
    </xf>
    <xf numFmtId="9" fontId="1" fillId="0" borderId="0" xfId="1663"/>
    <xf numFmtId="0" fontId="105" fillId="0" borderId="93" xfId="2272" applyFont="1" applyFill="1" applyBorder="1" applyAlignment="1">
      <alignment horizontal="center" vertical="center"/>
    </xf>
    <xf numFmtId="176" fontId="1" fillId="0" borderId="0" xfId="2270" applyNumberFormat="1"/>
    <xf numFmtId="0" fontId="17" fillId="0" borderId="0" xfId="2270" applyFont="1" applyFill="1" applyBorder="1" applyAlignment="1">
      <alignment horizontal="center" vertical="center"/>
    </xf>
    <xf numFmtId="0" fontId="92" fillId="0" borderId="106" xfId="2272" applyFont="1" applyBorder="1"/>
    <xf numFmtId="0" fontId="104" fillId="61" borderId="107" xfId="2272" applyFont="1" applyFill="1" applyBorder="1" applyAlignment="1">
      <alignment vertical="center"/>
    </xf>
    <xf numFmtId="0" fontId="106" fillId="0" borderId="108" xfId="2272" applyFont="1" applyBorder="1" applyAlignment="1">
      <alignment vertical="center"/>
    </xf>
    <xf numFmtId="0" fontId="105" fillId="61" borderId="107" xfId="2272" applyFont="1" applyFill="1" applyBorder="1" applyAlignment="1">
      <alignment vertical="center"/>
    </xf>
    <xf numFmtId="0" fontId="106" fillId="0" borderId="88" xfId="2272" applyFont="1" applyBorder="1" applyAlignment="1">
      <alignment vertical="center"/>
    </xf>
    <xf numFmtId="0" fontId="105" fillId="61" borderId="110" xfId="2272" applyFont="1" applyFill="1" applyBorder="1" applyAlignment="1">
      <alignment vertical="center"/>
    </xf>
    <xf numFmtId="0" fontId="107" fillId="0" borderId="111" xfId="2272" applyFont="1" applyBorder="1" applyAlignment="1">
      <alignment vertical="center"/>
    </xf>
    <xf numFmtId="0" fontId="105" fillId="61" borderId="88" xfId="2272" applyFont="1" applyFill="1" applyBorder="1"/>
    <xf numFmtId="0" fontId="105" fillId="61" borderId="108" xfId="2272" applyFont="1" applyFill="1" applyBorder="1"/>
    <xf numFmtId="0" fontId="106" fillId="0" borderId="109" xfId="2272" applyFont="1" applyBorder="1" applyAlignment="1">
      <alignment vertical="center"/>
    </xf>
    <xf numFmtId="0" fontId="85" fillId="33" borderId="112" xfId="1057" applyFont="1" applyFill="1" applyBorder="1" applyAlignment="1">
      <alignment horizontal="center" vertical="center" wrapText="1"/>
    </xf>
    <xf numFmtId="0" fontId="85" fillId="33" borderId="113" xfId="1057" applyFont="1" applyFill="1" applyBorder="1" applyAlignment="1">
      <alignment horizontal="center" vertical="center" wrapText="1"/>
    </xf>
    <xf numFmtId="4" fontId="85" fillId="33" borderId="114" xfId="1057" applyNumberFormat="1" applyFont="1" applyFill="1" applyBorder="1" applyAlignment="1">
      <alignment horizontal="center" vertical="center" wrapText="1"/>
    </xf>
    <xf numFmtId="4" fontId="85" fillId="33" borderId="115" xfId="1057" applyNumberFormat="1" applyFont="1" applyFill="1" applyBorder="1" applyAlignment="1">
      <alignment horizontal="center" vertical="center" wrapText="1"/>
    </xf>
    <xf numFmtId="2" fontId="22" fillId="0" borderId="0" xfId="43" applyNumberFormat="1" applyFont="1" applyFill="1" applyBorder="1" applyAlignment="1">
      <alignment vertical="top"/>
    </xf>
    <xf numFmtId="0" fontId="37" fillId="0" borderId="52" xfId="0" applyFont="1" applyFill="1" applyBorder="1" applyAlignment="1">
      <alignment vertical="center" wrapText="1"/>
    </xf>
    <xf numFmtId="0" fontId="37" fillId="0" borderId="52" xfId="0" applyFont="1" applyFill="1" applyBorder="1" applyAlignment="1">
      <alignment horizontal="center" vertical="center" wrapText="1"/>
    </xf>
    <xf numFmtId="0" fontId="80" fillId="58" borderId="44" xfId="0" applyFont="1" applyFill="1" applyBorder="1" applyAlignment="1">
      <alignment horizontal="left" vertical="center" wrapText="1"/>
    </xf>
    <xf numFmtId="0" fontId="80" fillId="58" borderId="44" xfId="0" applyFont="1" applyFill="1" applyBorder="1" applyAlignment="1">
      <alignment horizontal="center" vertical="center" wrapText="1"/>
    </xf>
    <xf numFmtId="171" fontId="80" fillId="58" borderId="44" xfId="0" applyNumberFormat="1" applyFont="1" applyFill="1" applyBorder="1" applyAlignment="1">
      <alignment horizontal="center" vertical="center" wrapText="1"/>
    </xf>
    <xf numFmtId="4" fontId="80" fillId="58" borderId="44" xfId="0" applyNumberFormat="1" applyFont="1" applyFill="1" applyBorder="1" applyAlignment="1">
      <alignment horizontal="center" vertical="center" wrapText="1"/>
    </xf>
    <xf numFmtId="4" fontId="80" fillId="58" borderId="45" xfId="0" applyNumberFormat="1" applyFont="1" applyFill="1" applyBorder="1" applyAlignment="1">
      <alignment horizontal="center" vertical="center" wrapText="1"/>
    </xf>
    <xf numFmtId="0" fontId="37" fillId="58" borderId="0" xfId="0" applyFont="1" applyFill="1"/>
    <xf numFmtId="0" fontId="83" fillId="58" borderId="0" xfId="0" applyFont="1" applyFill="1"/>
    <xf numFmtId="0" fontId="37" fillId="0" borderId="41" xfId="0" applyFont="1" applyFill="1" applyBorder="1" applyAlignment="1">
      <alignment vertical="center"/>
    </xf>
    <xf numFmtId="0" fontId="60" fillId="0" borderId="0" xfId="0" applyFont="1" applyFill="1" applyBorder="1" applyAlignment="1" applyProtection="1">
      <alignment horizontal="justify" vertical="center" wrapText="1"/>
    </xf>
    <xf numFmtId="0" fontId="92" fillId="0" borderId="128" xfId="2272" applyFont="1" applyBorder="1"/>
    <xf numFmtId="0" fontId="108" fillId="0" borderId="129" xfId="2272" applyFont="1" applyBorder="1" applyAlignment="1">
      <alignment vertical="center"/>
    </xf>
    <xf numFmtId="0" fontId="108" fillId="0" borderId="73" xfId="2272" applyFont="1" applyBorder="1" applyAlignment="1">
      <alignment vertical="center"/>
    </xf>
    <xf numFmtId="0" fontId="94" fillId="60" borderId="24" xfId="2272" applyFont="1" applyFill="1" applyBorder="1" applyAlignment="1">
      <alignment horizontal="center" vertical="center"/>
    </xf>
    <xf numFmtId="0" fontId="94" fillId="60" borderId="73" xfId="2272" applyFont="1" applyFill="1" applyBorder="1" applyAlignment="1">
      <alignment horizontal="center" vertical="center"/>
    </xf>
    <xf numFmtId="0" fontId="108" fillId="0" borderId="81" xfId="2272" applyFont="1" applyBorder="1" applyAlignment="1">
      <alignment vertical="center"/>
    </xf>
    <xf numFmtId="4" fontId="19" fillId="0" borderId="0" xfId="2953">
      <alignment vertical="center" wrapText="1"/>
      <protection locked="0"/>
    </xf>
    <xf numFmtId="4" fontId="130" fillId="0" borderId="0" xfId="2273" applyFont="1">
      <alignment vertical="center" wrapText="1"/>
      <protection locked="0"/>
    </xf>
    <xf numFmtId="0" fontId="105" fillId="0" borderId="94" xfId="2272" applyFont="1" applyFill="1" applyBorder="1" applyAlignment="1">
      <alignment vertical="center"/>
    </xf>
    <xf numFmtId="4" fontId="19" fillId="0" borderId="0" xfId="2273">
      <alignment vertical="center" wrapText="1"/>
      <protection locked="0"/>
    </xf>
    <xf numFmtId="49" fontId="109" fillId="0" borderId="130" xfId="2272" applyNumberFormat="1" applyFont="1" applyBorder="1" applyAlignment="1">
      <alignment horizontal="right"/>
    </xf>
    <xf numFmtId="179" fontId="92" fillId="0" borderId="100" xfId="2272" applyNumberFormat="1" applyFont="1" applyBorder="1"/>
    <xf numFmtId="0" fontId="92" fillId="0" borderId="100" xfId="2272" applyFont="1" applyBorder="1"/>
    <xf numFmtId="0" fontId="92" fillId="0" borderId="86" xfId="2272" applyFont="1" applyBorder="1"/>
    <xf numFmtId="174" fontId="37" fillId="0" borderId="44" xfId="0" applyNumberFormat="1" applyFont="1" applyFill="1" applyBorder="1" applyAlignment="1">
      <alignment horizontal="center" vertical="center" wrapText="1"/>
    </xf>
    <xf numFmtId="4" fontId="37" fillId="0" borderId="45" xfId="0" applyNumberFormat="1" applyFont="1" applyFill="1" applyBorder="1" applyAlignment="1">
      <alignment horizontal="center" vertical="center" wrapText="1"/>
    </xf>
    <xf numFmtId="0" fontId="37" fillId="0" borderId="0" xfId="0" applyFont="1" applyFill="1" applyAlignment="1">
      <alignment horizontal="center" vertical="center"/>
    </xf>
    <xf numFmtId="0" fontId="37" fillId="0" borderId="29" xfId="0" applyFont="1" applyFill="1" applyBorder="1" applyAlignment="1">
      <alignment horizontal="center" vertical="center"/>
    </xf>
    <xf numFmtId="0" fontId="37" fillId="0" borderId="30" xfId="0" applyFont="1" applyFill="1" applyBorder="1" applyAlignment="1">
      <alignment horizontal="center" vertical="center"/>
    </xf>
    <xf numFmtId="0" fontId="37" fillId="0" borderId="31" xfId="0" applyFont="1" applyFill="1" applyBorder="1" applyAlignment="1">
      <alignment horizontal="center" vertical="center"/>
    </xf>
    <xf numFmtId="0" fontId="0" fillId="0" borderId="0" xfId="0" applyAlignment="1">
      <alignment vertical="center"/>
    </xf>
    <xf numFmtId="0" fontId="0" fillId="0" borderId="0" xfId="0" applyAlignment="1">
      <alignment vertical="center" wrapText="1"/>
    </xf>
    <xf numFmtId="0" fontId="90" fillId="0" borderId="0" xfId="1962" applyFill="1" applyAlignment="1">
      <alignment vertical="center" wrapText="1"/>
    </xf>
    <xf numFmtId="0" fontId="90" fillId="0" borderId="0" xfId="1962" applyAlignment="1">
      <alignment vertical="center" wrapText="1"/>
    </xf>
    <xf numFmtId="0" fontId="20" fillId="0" borderId="0" xfId="1962" applyFont="1" applyFill="1" applyAlignment="1">
      <alignment vertical="center" wrapText="1"/>
    </xf>
    <xf numFmtId="0" fontId="0" fillId="0" borderId="0" xfId="0" applyNumberFormat="1" applyAlignment="1">
      <alignment horizontal="right" vertical="center" wrapText="1"/>
    </xf>
    <xf numFmtId="4" fontId="0" fillId="0" borderId="0" xfId="0" applyNumberFormat="1" applyAlignment="1">
      <alignment horizontal="right" vertical="center" wrapText="1"/>
    </xf>
    <xf numFmtId="0" fontId="90" fillId="0" borderId="0" xfId="1962" applyAlignment="1">
      <alignment horizontal="right" vertical="center" wrapText="1"/>
    </xf>
    <xf numFmtId="0" fontId="90" fillId="0" borderId="0" xfId="1962" applyFill="1" applyAlignment="1">
      <alignment horizontal="right" vertical="center" wrapText="1"/>
    </xf>
    <xf numFmtId="0" fontId="20" fillId="0" borderId="0" xfId="1962" applyFont="1" applyAlignment="1">
      <alignment vertical="center" wrapText="1"/>
    </xf>
    <xf numFmtId="0" fontId="90" fillId="0" borderId="0" xfId="1962" applyAlignment="1">
      <alignment vertical="center"/>
    </xf>
    <xf numFmtId="0" fontId="91" fillId="0" borderId="0" xfId="0" applyNumberFormat="1" applyFont="1" applyAlignment="1">
      <alignment horizontal="left" vertical="center" wrapText="1"/>
    </xf>
    <xf numFmtId="0" fontId="91" fillId="0" borderId="0" xfId="0" applyFont="1" applyAlignment="1">
      <alignment horizontal="left" vertical="center" wrapText="1"/>
    </xf>
    <xf numFmtId="0" fontId="91" fillId="0" borderId="0" xfId="0" applyNumberFormat="1" applyFont="1" applyAlignment="1">
      <alignment horizontal="right" vertical="center" wrapText="1"/>
    </xf>
    <xf numFmtId="0" fontId="91" fillId="0" borderId="0" xfId="1962" applyFont="1" applyAlignment="1">
      <alignment horizontal="left" vertical="center" wrapText="1"/>
    </xf>
    <xf numFmtId="4" fontId="91" fillId="0" borderId="0" xfId="0" applyNumberFormat="1" applyFont="1" applyAlignment="1">
      <alignment horizontal="right" vertical="center" wrapText="1"/>
    </xf>
    <xf numFmtId="0" fontId="91" fillId="0" borderId="0" xfId="0" applyNumberFormat="1" applyFont="1" applyFill="1" applyAlignment="1">
      <alignment horizontal="left" vertical="center" wrapText="1"/>
    </xf>
    <xf numFmtId="0" fontId="91" fillId="0" borderId="0" xfId="0" applyFont="1" applyFill="1" applyAlignment="1">
      <alignment horizontal="left" vertical="center" wrapText="1"/>
    </xf>
    <xf numFmtId="0" fontId="91" fillId="0" borderId="0" xfId="0" applyNumberFormat="1" applyFont="1" applyFill="1" applyAlignment="1">
      <alignment horizontal="right" vertical="center" wrapText="1"/>
    </xf>
    <xf numFmtId="0" fontId="91" fillId="0" borderId="0" xfId="1962" applyFont="1" applyAlignment="1">
      <alignment horizontal="right" vertical="center" wrapText="1"/>
    </xf>
    <xf numFmtId="0" fontId="131" fillId="0" borderId="0" xfId="0" applyFont="1" applyAlignment="1">
      <alignment horizontal="left"/>
    </xf>
    <xf numFmtId="0" fontId="0" fillId="0" borderId="0" xfId="0" applyAlignment="1">
      <alignment horizontal="center" vertical="center" wrapText="1"/>
    </xf>
    <xf numFmtId="0" fontId="91" fillId="0" borderId="0" xfId="1962" applyNumberFormat="1" applyFont="1" applyAlignment="1">
      <alignment horizontal="left" vertical="center" wrapText="1"/>
    </xf>
    <xf numFmtId="0" fontId="37" fillId="0" borderId="27" xfId="0" applyFont="1" applyFill="1" applyBorder="1" applyAlignment="1">
      <alignment horizontal="center" vertical="center"/>
    </xf>
    <xf numFmtId="0" fontId="37" fillId="0" borderId="28" xfId="0" applyFont="1" applyFill="1" applyBorder="1" applyAlignment="1">
      <alignment horizontal="center" vertical="center"/>
    </xf>
    <xf numFmtId="0" fontId="37" fillId="0" borderId="40" xfId="902" applyFont="1" applyFill="1" applyBorder="1" applyAlignment="1">
      <alignment horizontal="center" vertical="center" wrapText="1"/>
    </xf>
    <xf numFmtId="0" fontId="37" fillId="0" borderId="0" xfId="0" applyFont="1" applyAlignment="1">
      <alignment horizontal="center" vertical="center"/>
    </xf>
    <xf numFmtId="0" fontId="80" fillId="0" borderId="40" xfId="0" applyFont="1" applyFill="1" applyBorder="1" applyAlignment="1">
      <alignment horizontal="center" vertical="center" wrapText="1"/>
    </xf>
    <xf numFmtId="0" fontId="37" fillId="0" borderId="40" xfId="0" applyFont="1" applyFill="1" applyBorder="1" applyAlignment="1">
      <alignment horizontal="center" vertical="center" wrapText="1"/>
    </xf>
    <xf numFmtId="0" fontId="37" fillId="0" borderId="44" xfId="0" applyFont="1" applyFill="1" applyBorder="1" applyAlignment="1">
      <alignment horizontal="left" vertical="center" wrapText="1"/>
    </xf>
    <xf numFmtId="0" fontId="37" fillId="0" borderId="44" xfId="0" applyFont="1" applyFill="1" applyBorder="1" applyAlignment="1">
      <alignment horizontal="center" vertical="center" wrapText="1"/>
    </xf>
    <xf numFmtId="176" fontId="37" fillId="0" borderId="44" xfId="0" applyNumberFormat="1" applyFont="1" applyFill="1" applyBorder="1" applyAlignment="1">
      <alignment horizontal="center" vertical="center" wrapText="1"/>
    </xf>
    <xf numFmtId="4" fontId="37" fillId="0" borderId="44" xfId="0" applyNumberFormat="1" applyFont="1" applyFill="1" applyBorder="1" applyAlignment="1">
      <alignment horizontal="center" vertical="center" wrapText="1"/>
    </xf>
    <xf numFmtId="0" fontId="37" fillId="0" borderId="56" xfId="0" applyFont="1" applyFill="1" applyBorder="1" applyAlignment="1">
      <alignment horizontal="center" vertical="center" wrapText="1"/>
    </xf>
    <xf numFmtId="49" fontId="60" fillId="0" borderId="0" xfId="0" applyNumberFormat="1" applyFont="1" applyFill="1" applyBorder="1" applyAlignment="1">
      <alignment vertical="center"/>
    </xf>
    <xf numFmtId="0" fontId="60" fillId="0" borderId="0" xfId="0" applyFont="1" applyFill="1" applyBorder="1" applyAlignment="1">
      <alignment vertical="center"/>
    </xf>
    <xf numFmtId="49" fontId="60" fillId="0" borderId="0" xfId="0" applyNumberFormat="1" applyFont="1" applyFill="1" applyBorder="1" applyAlignment="1">
      <alignment horizontal="center" vertical="center" wrapText="1"/>
    </xf>
    <xf numFmtId="0" fontId="60" fillId="0" borderId="0" xfId="0" applyFont="1" applyFill="1" applyBorder="1" applyAlignment="1">
      <alignment horizontal="center" vertical="center" wrapText="1"/>
    </xf>
    <xf numFmtId="0" fontId="37" fillId="0" borderId="0" xfId="0" applyFont="1" applyFill="1" applyAlignment="1">
      <alignment vertical="center"/>
    </xf>
    <xf numFmtId="0" fontId="90" fillId="83" borderId="0" xfId="1962" applyFill="1" applyAlignment="1">
      <alignment vertical="center" wrapText="1"/>
    </xf>
    <xf numFmtId="0" fontId="20" fillId="83" borderId="0" xfId="1962" applyFont="1" applyFill="1" applyAlignment="1">
      <alignment vertical="center" wrapText="1"/>
    </xf>
    <xf numFmtId="0" fontId="90" fillId="83" borderId="0" xfId="1962" applyFill="1" applyAlignment="1">
      <alignment horizontal="right" vertical="center" wrapText="1"/>
    </xf>
    <xf numFmtId="0" fontId="20" fillId="0" borderId="0" xfId="1962" applyFont="1" applyAlignment="1">
      <alignment horizontal="right" vertical="center" wrapText="1"/>
    </xf>
    <xf numFmtId="4" fontId="86" fillId="57" borderId="0" xfId="0" applyNumberFormat="1" applyFont="1" applyFill="1" applyBorder="1" applyAlignment="1" applyProtection="1">
      <alignment horizontal="center" vertical="center"/>
    </xf>
    <xf numFmtId="0" fontId="20" fillId="57" borderId="0" xfId="0" applyFont="1" applyFill="1" applyAlignment="1">
      <alignment horizontal="center" vertical="center"/>
    </xf>
    <xf numFmtId="0" fontId="60" fillId="0" borderId="0" xfId="0" applyFont="1" applyFill="1" applyBorder="1" applyAlignment="1">
      <alignment horizontal="center" vertical="center"/>
    </xf>
    <xf numFmtId="49" fontId="60" fillId="0" borderId="0" xfId="0" applyNumberFormat="1" applyFont="1" applyFill="1" applyBorder="1" applyAlignment="1">
      <alignment horizontal="center" vertical="center"/>
    </xf>
    <xf numFmtId="0" fontId="21" fillId="0" borderId="51" xfId="1057" applyFont="1" applyFill="1" applyBorder="1" applyAlignment="1">
      <alignment horizontal="center" vertical="center" wrapText="1"/>
    </xf>
    <xf numFmtId="0" fontId="21" fillId="0" borderId="55" xfId="1057" applyFont="1" applyFill="1" applyBorder="1" applyAlignment="1">
      <alignment horizontal="center" vertical="center"/>
    </xf>
    <xf numFmtId="0" fontId="22" fillId="0" borderId="0" xfId="1057" applyFont="1" applyFill="1" applyAlignment="1">
      <alignment horizontal="center" vertical="center"/>
    </xf>
    <xf numFmtId="0" fontId="60" fillId="0" borderId="0" xfId="0" applyFont="1" applyFill="1" applyBorder="1" applyAlignment="1">
      <alignment horizontal="left" vertical="center"/>
    </xf>
    <xf numFmtId="0" fontId="59" fillId="0" borderId="0" xfId="0" applyFont="1" applyFill="1" applyBorder="1" applyAlignment="1">
      <alignment horizontal="center" vertical="center" wrapText="1"/>
    </xf>
    <xf numFmtId="0" fontId="22" fillId="0" borderId="116" xfId="1057" applyFont="1" applyFill="1" applyBorder="1" applyAlignment="1">
      <alignment horizontal="center" vertical="center" wrapText="1"/>
    </xf>
    <xf numFmtId="0" fontId="22" fillId="0" borderId="53" xfId="1057" applyFont="1" applyFill="1" applyBorder="1" applyAlignment="1">
      <alignment horizontal="center" vertical="center"/>
    </xf>
    <xf numFmtId="0" fontId="22" fillId="0" borderId="54" xfId="1057" applyFont="1" applyFill="1" applyBorder="1" applyAlignment="1">
      <alignment horizontal="center" vertical="center"/>
    </xf>
    <xf numFmtId="10" fontId="20" fillId="0" borderId="118" xfId="1187" applyNumberFormat="1" applyFont="1" applyFill="1" applyBorder="1" applyAlignment="1">
      <alignment horizontal="center" vertical="center"/>
    </xf>
    <xf numFmtId="10" fontId="20" fillId="0" borderId="132" xfId="1187" applyNumberFormat="1" applyFont="1" applyFill="1" applyBorder="1" applyAlignment="1">
      <alignment horizontal="center" vertical="center"/>
    </xf>
    <xf numFmtId="10" fontId="20" fillId="0" borderId="119" xfId="1187" applyNumberFormat="1" applyFont="1" applyFill="1" applyBorder="1" applyAlignment="1">
      <alignment horizontal="center" vertical="center"/>
    </xf>
    <xf numFmtId="10" fontId="20" fillId="0" borderId="125" xfId="1187" applyNumberFormat="1" applyFont="1" applyFill="1" applyBorder="1" applyAlignment="1">
      <alignment horizontal="center" vertical="center"/>
    </xf>
    <xf numFmtId="10" fontId="20" fillId="0" borderId="57" xfId="1187" applyNumberFormat="1" applyFont="1" applyFill="1" applyBorder="1" applyAlignment="1">
      <alignment horizontal="center" vertical="center"/>
    </xf>
    <xf numFmtId="10" fontId="20" fillId="0" borderId="133" xfId="1187" applyNumberFormat="1" applyFont="1" applyFill="1" applyBorder="1" applyAlignment="1">
      <alignment horizontal="center" vertical="center"/>
    </xf>
    <xf numFmtId="10" fontId="20" fillId="0" borderId="131" xfId="1187" applyNumberFormat="1" applyFont="1" applyFill="1" applyBorder="1" applyAlignment="1">
      <alignment horizontal="center" vertical="center"/>
    </xf>
    <xf numFmtId="10" fontId="86" fillId="0" borderId="57" xfId="1187" applyNumberFormat="1" applyFont="1" applyFill="1" applyBorder="1" applyAlignment="1">
      <alignment horizontal="center" vertical="center" wrapText="1"/>
    </xf>
    <xf numFmtId="4" fontId="86" fillId="0" borderId="47" xfId="1057" applyNumberFormat="1" applyFont="1" applyFill="1" applyBorder="1" applyAlignment="1">
      <alignment horizontal="center" vertical="center"/>
    </xf>
    <xf numFmtId="10" fontId="86" fillId="0" borderId="47" xfId="1187" applyNumberFormat="1" applyFont="1" applyFill="1" applyBorder="1" applyAlignment="1">
      <alignment horizontal="center" vertical="center" wrapText="1"/>
    </xf>
    <xf numFmtId="10" fontId="86" fillId="0" borderId="64" xfId="1187" applyNumberFormat="1" applyFont="1" applyFill="1" applyBorder="1" applyAlignment="1">
      <alignment horizontal="center" vertical="center" wrapText="1"/>
    </xf>
    <xf numFmtId="4" fontId="86" fillId="0" borderId="65" xfId="1057" applyNumberFormat="1" applyFont="1" applyFill="1" applyBorder="1" applyAlignment="1">
      <alignment horizontal="center" vertical="center"/>
    </xf>
    <xf numFmtId="0" fontId="79" fillId="0" borderId="0" xfId="0" applyFont="1" applyFill="1" applyBorder="1" applyAlignment="1">
      <alignment horizontal="center" vertical="center"/>
    </xf>
    <xf numFmtId="14" fontId="60" fillId="0" borderId="0" xfId="0" applyNumberFormat="1" applyFont="1" applyFill="1" applyAlignment="1">
      <alignment horizontal="center" vertical="center"/>
    </xf>
    <xf numFmtId="0" fontId="60" fillId="0" borderId="0" xfId="0" applyNumberFormat="1" applyFont="1" applyFill="1" applyBorder="1" applyAlignment="1" applyProtection="1">
      <alignment horizontal="center" vertical="center"/>
    </xf>
    <xf numFmtId="49" fontId="60" fillId="0" borderId="0" xfId="0" applyNumberFormat="1" applyFont="1" applyFill="1" applyBorder="1" applyAlignment="1" applyProtection="1">
      <alignment horizontal="center" vertical="center"/>
    </xf>
    <xf numFmtId="49" fontId="59" fillId="0" borderId="0" xfId="0" applyNumberFormat="1" applyFont="1" applyFill="1" applyBorder="1" applyAlignment="1">
      <alignment horizontal="center" vertical="center"/>
    </xf>
    <xf numFmtId="0" fontId="20" fillId="58" borderId="47" xfId="1057" applyNumberFormat="1" applyFont="1" applyFill="1" applyBorder="1" applyAlignment="1">
      <alignment horizontal="center" vertical="center"/>
    </xf>
    <xf numFmtId="0" fontId="20" fillId="0" borderId="47" xfId="1057" applyNumberFormat="1" applyFont="1" applyFill="1" applyBorder="1" applyAlignment="1">
      <alignment horizontal="center" vertical="center"/>
    </xf>
    <xf numFmtId="0" fontId="20" fillId="0" borderId="66" xfId="1057" applyNumberFormat="1" applyFont="1" applyFill="1" applyBorder="1" applyAlignment="1">
      <alignment horizontal="center" vertical="center"/>
    </xf>
    <xf numFmtId="0" fontId="20" fillId="58" borderId="66" xfId="1057" applyNumberFormat="1" applyFont="1" applyFill="1" applyBorder="1" applyAlignment="1">
      <alignment horizontal="center" vertical="center"/>
    </xf>
    <xf numFmtId="177" fontId="22" fillId="0" borderId="0" xfId="1057" applyNumberFormat="1" applyFont="1" applyFill="1" applyAlignment="1">
      <alignment horizontal="center" vertical="center"/>
    </xf>
    <xf numFmtId="4" fontId="22" fillId="0" borderId="0" xfId="1057" applyNumberFormat="1" applyFont="1" applyFill="1" applyAlignment="1">
      <alignment horizontal="center" vertical="center"/>
    </xf>
    <xf numFmtId="4" fontId="22" fillId="0" borderId="0" xfId="1057" applyNumberFormat="1" applyFont="1" applyFill="1" applyBorder="1" applyAlignment="1">
      <alignment horizontal="center" vertical="center"/>
    </xf>
    <xf numFmtId="39" fontId="22" fillId="0" borderId="0" xfId="1057" applyNumberFormat="1" applyFont="1" applyFill="1" applyAlignment="1">
      <alignment horizontal="center" vertical="center"/>
    </xf>
    <xf numFmtId="173" fontId="22" fillId="0" borderId="0" xfId="1057" applyNumberFormat="1" applyFont="1" applyFill="1" applyAlignment="1">
      <alignment horizontal="center" vertical="center"/>
    </xf>
    <xf numFmtId="0" fontId="22" fillId="0" borderId="0" xfId="1057" applyFont="1" applyFill="1" applyBorder="1" applyAlignment="1">
      <alignment horizontal="center" vertical="center"/>
    </xf>
    <xf numFmtId="0" fontId="20" fillId="0" borderId="0" xfId="43" applyFont="1" applyFill="1" applyBorder="1" applyAlignment="1">
      <alignment horizontal="center" vertical="center" wrapText="1"/>
    </xf>
    <xf numFmtId="0" fontId="20" fillId="0" borderId="3" xfId="43" applyFont="1" applyFill="1" applyBorder="1" applyAlignment="1">
      <alignment horizontal="center" vertical="center" wrapText="1"/>
    </xf>
    <xf numFmtId="0" fontId="22" fillId="0" borderId="0" xfId="43" applyFont="1" applyFill="1" applyBorder="1" applyAlignment="1">
      <alignment horizontal="center" vertical="center"/>
    </xf>
    <xf numFmtId="0" fontId="22" fillId="0" borderId="0" xfId="43" applyFont="1" applyBorder="1" applyAlignment="1">
      <alignment horizontal="center" vertical="center"/>
    </xf>
    <xf numFmtId="14" fontId="60" fillId="0" borderId="0" xfId="0" applyNumberFormat="1" applyFont="1" applyFill="1" applyBorder="1" applyAlignment="1">
      <alignment horizontal="center" vertical="center"/>
    </xf>
    <xf numFmtId="0" fontId="59" fillId="0" borderId="0" xfId="0" applyFont="1" applyFill="1" applyBorder="1" applyAlignment="1">
      <alignment horizontal="center" vertical="center"/>
    </xf>
    <xf numFmtId="4" fontId="41" fillId="0" borderId="0" xfId="43" applyNumberFormat="1" applyFont="1" applyFill="1" applyBorder="1" applyAlignment="1" applyProtection="1">
      <alignment horizontal="center" vertical="center" wrapText="1"/>
    </xf>
    <xf numFmtId="4" fontId="20" fillId="0" borderId="0" xfId="43" applyNumberFormat="1" applyFont="1" applyFill="1" applyBorder="1" applyAlignment="1">
      <alignment horizontal="center" vertical="center" wrapText="1"/>
    </xf>
    <xf numFmtId="4" fontId="20" fillId="0" borderId="0" xfId="43" applyNumberFormat="1" applyFont="1" applyFill="1" applyBorder="1" applyAlignment="1">
      <alignment horizontal="center" vertical="center"/>
    </xf>
    <xf numFmtId="4" fontId="41" fillId="0" borderId="3" xfId="43" applyNumberFormat="1" applyFont="1" applyFill="1" applyBorder="1" applyAlignment="1" applyProtection="1">
      <alignment horizontal="center" vertical="center" wrapText="1"/>
    </xf>
    <xf numFmtId="10" fontId="20" fillId="0" borderId="3" xfId="1663" applyNumberFormat="1" applyFont="1" applyFill="1" applyBorder="1" applyAlignment="1">
      <alignment horizontal="center" vertical="center" wrapText="1"/>
    </xf>
    <xf numFmtId="4" fontId="20" fillId="0" borderId="3" xfId="43" applyNumberFormat="1" applyFont="1" applyFill="1" applyBorder="1" applyAlignment="1">
      <alignment horizontal="center" vertical="center" wrapText="1"/>
    </xf>
    <xf numFmtId="172" fontId="20" fillId="0" borderId="3" xfId="1663" applyNumberFormat="1" applyFont="1" applyFill="1" applyBorder="1" applyAlignment="1">
      <alignment horizontal="center" vertical="center"/>
    </xf>
    <xf numFmtId="0" fontId="20" fillId="0" borderId="0" xfId="43" applyFont="1" applyFill="1" applyBorder="1" applyAlignment="1">
      <alignment horizontal="center" vertical="center"/>
    </xf>
    <xf numFmtId="0" fontId="24" fillId="0" borderId="0" xfId="43" applyFont="1" applyFill="1" applyBorder="1" applyAlignment="1">
      <alignment horizontal="center" vertical="center"/>
    </xf>
    <xf numFmtId="4" fontId="24" fillId="0" borderId="0" xfId="43" applyNumberFormat="1" applyFont="1" applyFill="1" applyBorder="1" applyAlignment="1">
      <alignment horizontal="center" vertical="center"/>
    </xf>
    <xf numFmtId="10" fontId="24" fillId="0" borderId="0" xfId="1183" applyNumberFormat="1" applyFont="1" applyFill="1" applyBorder="1" applyAlignment="1">
      <alignment horizontal="center" vertical="center"/>
    </xf>
    <xf numFmtId="0" fontId="20" fillId="0" borderId="0" xfId="43" applyFont="1" applyBorder="1" applyAlignment="1">
      <alignment horizontal="center" vertical="center"/>
    </xf>
    <xf numFmtId="4" fontId="20" fillId="0" borderId="0" xfId="43" applyNumberFormat="1" applyFont="1" applyBorder="1" applyAlignment="1">
      <alignment horizontal="center" vertical="center"/>
    </xf>
    <xf numFmtId="49" fontId="21" fillId="0" borderId="1" xfId="43" applyNumberFormat="1" applyFont="1" applyFill="1" applyBorder="1" applyAlignment="1" applyProtection="1">
      <alignment horizontal="center" vertical="center" wrapText="1"/>
    </xf>
    <xf numFmtId="49" fontId="21" fillId="0" borderId="59" xfId="43" applyNumberFormat="1" applyFont="1" applyFill="1" applyBorder="1" applyAlignment="1" applyProtection="1">
      <alignment horizontal="center" vertical="center" wrapText="1"/>
    </xf>
    <xf numFmtId="49" fontId="21" fillId="0" borderId="57" xfId="43" applyNumberFormat="1" applyFont="1" applyFill="1" applyBorder="1" applyAlignment="1" applyProtection="1">
      <alignment horizontal="center" vertical="center" wrapText="1"/>
    </xf>
    <xf numFmtId="49" fontId="81" fillId="0" borderId="0" xfId="42" applyNumberFormat="1" applyFont="1" applyFill="1" applyAlignment="1">
      <alignment horizontal="center" vertical="center" wrapText="1"/>
      <protection locked="0"/>
    </xf>
    <xf numFmtId="0" fontId="59" fillId="0" borderId="30" xfId="0" applyFont="1" applyFill="1" applyBorder="1" applyAlignment="1">
      <alignment horizontal="center" vertical="center" wrapText="1"/>
    </xf>
    <xf numFmtId="49" fontId="21" fillId="58" borderId="3" xfId="43" applyNumberFormat="1" applyFont="1" applyFill="1" applyBorder="1" applyAlignment="1" applyProtection="1">
      <alignment horizontal="center" vertical="center" wrapText="1"/>
    </xf>
    <xf numFmtId="0" fontId="21" fillId="0" borderId="3" xfId="43" applyNumberFormat="1" applyFont="1" applyFill="1" applyBorder="1" applyAlignment="1" applyProtection="1">
      <alignment horizontal="center" vertical="center" wrapText="1"/>
    </xf>
    <xf numFmtId="4" fontId="89" fillId="0" borderId="0" xfId="42" applyFont="1" applyFill="1" applyAlignment="1">
      <alignment horizontal="center" vertical="center" wrapText="1"/>
      <protection locked="0"/>
    </xf>
    <xf numFmtId="44" fontId="21" fillId="58" borderId="3" xfId="1956" applyFont="1" applyFill="1" applyBorder="1" applyAlignment="1" applyProtection="1">
      <alignment horizontal="center" vertical="center" wrapText="1"/>
    </xf>
    <xf numFmtId="0" fontId="21" fillId="58" borderId="3" xfId="43" applyNumberFormat="1" applyFont="1" applyFill="1" applyBorder="1" applyAlignment="1" applyProtection="1">
      <alignment horizontal="center" vertical="center" wrapText="1"/>
    </xf>
    <xf numFmtId="0" fontId="22" fillId="0" borderId="0" xfId="0" applyFont="1" applyFill="1" applyAlignment="1">
      <alignment horizontal="center" vertical="center"/>
    </xf>
    <xf numFmtId="0" fontId="80" fillId="58" borderId="40" xfId="0" applyFont="1" applyFill="1" applyBorder="1" applyAlignment="1">
      <alignment horizontal="center" vertical="center" wrapText="1"/>
    </xf>
    <xf numFmtId="0" fontId="37" fillId="0" borderId="56" xfId="0" applyFont="1" applyBorder="1" applyAlignment="1">
      <alignment horizontal="center" vertical="center" wrapText="1"/>
    </xf>
    <xf numFmtId="0" fontId="37" fillId="0" borderId="40" xfId="0" applyNumberFormat="1" applyFont="1" applyFill="1" applyBorder="1" applyAlignment="1">
      <alignment horizontal="center" vertical="center" wrapText="1"/>
    </xf>
    <xf numFmtId="0" fontId="37" fillId="0" borderId="40" xfId="0" applyFont="1" applyBorder="1" applyAlignment="1">
      <alignment horizontal="center" vertical="center" wrapText="1"/>
    </xf>
    <xf numFmtId="0" fontId="37" fillId="58" borderId="0" xfId="0" applyFont="1" applyFill="1" applyAlignment="1">
      <alignment horizontal="center" vertical="center"/>
    </xf>
    <xf numFmtId="4" fontId="0" fillId="0" borderId="0" xfId="0" applyNumberFormat="1" applyAlignment="1">
      <alignment horizontal="center" vertical="center" wrapText="1"/>
    </xf>
    <xf numFmtId="0" fontId="60" fillId="0" borderId="0" xfId="0" applyFont="1" applyFill="1" applyBorder="1" applyAlignment="1">
      <alignment vertical="center" wrapText="1"/>
    </xf>
    <xf numFmtId="0" fontId="37" fillId="0" borderId="52" xfId="0" applyFont="1" applyBorder="1" applyAlignment="1">
      <alignment vertical="center" wrapText="1"/>
    </xf>
    <xf numFmtId="4" fontId="0" fillId="0" borderId="0" xfId="0" applyNumberFormat="1" applyAlignment="1">
      <alignment vertical="center" wrapText="1"/>
    </xf>
    <xf numFmtId="0" fontId="78" fillId="0" borderId="0" xfId="0" applyFont="1" applyFill="1" applyAlignment="1">
      <alignment vertical="center"/>
    </xf>
    <xf numFmtId="0" fontId="37" fillId="0" borderId="52" xfId="0" applyFont="1" applyBorder="1" applyAlignment="1">
      <alignment horizontal="center" vertical="center" wrapText="1"/>
    </xf>
    <xf numFmtId="171" fontId="37" fillId="0" borderId="44" xfId="0" applyNumberFormat="1" applyFont="1" applyFill="1" applyBorder="1" applyAlignment="1">
      <alignment horizontal="center" vertical="center" wrapText="1"/>
    </xf>
    <xf numFmtId="0" fontId="37" fillId="0" borderId="46" xfId="0" applyFont="1" applyBorder="1" applyAlignment="1">
      <alignment horizontal="center" vertical="center" wrapText="1"/>
    </xf>
    <xf numFmtId="0" fontId="37" fillId="0" borderId="42" xfId="0" applyFont="1" applyBorder="1" applyAlignment="1">
      <alignment vertical="center" wrapText="1"/>
    </xf>
    <xf numFmtId="0" fontId="37" fillId="0" borderId="42" xfId="0" applyFont="1" applyFill="1" applyBorder="1" applyAlignment="1">
      <alignment horizontal="center" vertical="center" wrapText="1"/>
    </xf>
    <xf numFmtId="0" fontId="37" fillId="0" borderId="43" xfId="0" applyFont="1" applyFill="1" applyBorder="1" applyAlignment="1">
      <alignment horizontal="center" vertical="center" wrapText="1"/>
    </xf>
    <xf numFmtId="0" fontId="37" fillId="0" borderId="42" xfId="0" applyFont="1" applyBorder="1" applyAlignment="1">
      <alignment horizontal="center" vertical="center" wrapText="1"/>
    </xf>
    <xf numFmtId="0" fontId="37" fillId="0" borderId="43" xfId="0" applyFont="1" applyBorder="1" applyAlignment="1">
      <alignment horizontal="center" vertical="center" wrapText="1"/>
    </xf>
    <xf numFmtId="0" fontId="80" fillId="0" borderId="36" xfId="0" applyFont="1" applyFill="1" applyBorder="1" applyAlignment="1">
      <alignment horizontal="center" vertical="center" wrapText="1"/>
    </xf>
    <xf numFmtId="0" fontId="37" fillId="0" borderId="48" xfId="0" applyFont="1" applyFill="1" applyBorder="1" applyAlignment="1">
      <alignment horizontal="center" vertical="center" wrapText="1"/>
    </xf>
    <xf numFmtId="0" fontId="80" fillId="0" borderId="47" xfId="0" applyFont="1" applyFill="1" applyBorder="1" applyAlignment="1">
      <alignment horizontal="center" vertical="center"/>
    </xf>
    <xf numFmtId="0" fontId="80" fillId="0" borderId="48" xfId="0" applyFont="1" applyFill="1" applyBorder="1" applyAlignment="1">
      <alignment horizontal="center" vertical="center"/>
    </xf>
    <xf numFmtId="0" fontId="37" fillId="0" borderId="0" xfId="902" applyFont="1" applyFill="1" applyAlignment="1">
      <alignment horizontal="center" vertical="center"/>
    </xf>
    <xf numFmtId="0" fontId="80" fillId="0" borderId="48" xfId="902" applyFont="1" applyFill="1" applyBorder="1" applyAlignment="1">
      <alignment horizontal="center" vertical="center"/>
    </xf>
    <xf numFmtId="0" fontId="80" fillId="0" borderId="40" xfId="902" applyFont="1" applyFill="1" applyBorder="1" applyAlignment="1">
      <alignment horizontal="center" vertical="center" wrapText="1"/>
    </xf>
    <xf numFmtId="0" fontId="37" fillId="0" borderId="2" xfId="0" applyFont="1" applyFill="1" applyBorder="1" applyAlignment="1">
      <alignment horizontal="center" vertical="center" wrapText="1"/>
    </xf>
    <xf numFmtId="0" fontId="37" fillId="0" borderId="0" xfId="902" applyFont="1" applyAlignment="1">
      <alignment horizontal="center" vertical="center"/>
    </xf>
    <xf numFmtId="0" fontId="80" fillId="0" borderId="37" xfId="0" applyFont="1" applyFill="1" applyBorder="1" applyAlignment="1">
      <alignment vertical="center" wrapText="1"/>
    </xf>
    <xf numFmtId="0" fontId="80" fillId="0" borderId="41" xfId="0" applyFont="1" applyFill="1" applyBorder="1" applyAlignment="1">
      <alignment vertical="center" wrapText="1"/>
    </xf>
    <xf numFmtId="0" fontId="37" fillId="0" borderId="48" xfId="0" applyFont="1" applyFill="1" applyBorder="1" applyAlignment="1">
      <alignment horizontal="left" vertical="center" wrapText="1"/>
    </xf>
    <xf numFmtId="0" fontId="80" fillId="0" borderId="48" xfId="0" applyFont="1" applyFill="1" applyBorder="1" applyAlignment="1">
      <alignment vertical="center"/>
    </xf>
    <xf numFmtId="0" fontId="80" fillId="0" borderId="41" xfId="0" applyFont="1" applyFill="1" applyBorder="1" applyAlignment="1">
      <alignment vertical="center"/>
    </xf>
    <xf numFmtId="0" fontId="80" fillId="0" borderId="48" xfId="902" applyFont="1" applyFill="1" applyBorder="1" applyAlignment="1">
      <alignment vertical="center"/>
    </xf>
    <xf numFmtId="0" fontId="80" fillId="0" borderId="37" xfId="902" applyFont="1" applyFill="1" applyBorder="1" applyAlignment="1">
      <alignment vertical="center" wrapText="1"/>
    </xf>
    <xf numFmtId="0" fontId="80" fillId="0" borderId="41" xfId="902" applyFont="1" applyFill="1" applyBorder="1" applyAlignment="1">
      <alignment vertical="center" wrapText="1"/>
    </xf>
    <xf numFmtId="0" fontId="37" fillId="0" borderId="52" xfId="0" applyFont="1" applyFill="1" applyBorder="1" applyAlignment="1">
      <alignment horizontal="left" vertical="center" wrapText="1"/>
    </xf>
    <xf numFmtId="0" fontId="37" fillId="0" borderId="2" xfId="0" applyFont="1" applyFill="1" applyBorder="1" applyAlignment="1">
      <alignment horizontal="left" vertical="center" wrapText="1"/>
    </xf>
    <xf numFmtId="0" fontId="37" fillId="0" borderId="0" xfId="902" applyFont="1" applyFill="1" applyAlignment="1">
      <alignment vertical="center"/>
    </xf>
    <xf numFmtId="4" fontId="37" fillId="0" borderId="0" xfId="902" applyNumberFormat="1" applyFont="1" applyAlignment="1">
      <alignment vertical="center"/>
    </xf>
    <xf numFmtId="0" fontId="37" fillId="0" borderId="0" xfId="902" applyFont="1" applyAlignment="1">
      <alignment vertical="center"/>
    </xf>
    <xf numFmtId="10" fontId="60" fillId="0" borderId="0" xfId="1663" applyNumberFormat="1" applyFont="1" applyFill="1" applyBorder="1" applyAlignment="1">
      <alignment horizontal="center" vertical="center"/>
    </xf>
    <xf numFmtId="0" fontId="80" fillId="0" borderId="38" xfId="0" applyFont="1" applyFill="1" applyBorder="1" applyAlignment="1">
      <alignment horizontal="center" vertical="center" wrapText="1"/>
    </xf>
    <xf numFmtId="0" fontId="80" fillId="0" borderId="39" xfId="0" applyFont="1" applyFill="1" applyBorder="1" applyAlignment="1">
      <alignment horizontal="center" vertical="center" wrapText="1"/>
    </xf>
    <xf numFmtId="0" fontId="80" fillId="0" borderId="42" xfId="0" applyFont="1" applyFill="1" applyBorder="1" applyAlignment="1">
      <alignment horizontal="center" vertical="center" wrapText="1"/>
    </xf>
    <xf numFmtId="0" fontId="80" fillId="0" borderId="43" xfId="0" applyFont="1" applyFill="1" applyBorder="1" applyAlignment="1">
      <alignment horizontal="center" vertical="center" wrapText="1"/>
    </xf>
    <xf numFmtId="4" fontId="37" fillId="0" borderId="48" xfId="0" applyNumberFormat="1" applyFont="1" applyFill="1" applyBorder="1" applyAlignment="1">
      <alignment horizontal="center" vertical="center" wrapText="1"/>
    </xf>
    <xf numFmtId="4" fontId="80" fillId="0" borderId="48" xfId="0" applyNumberFormat="1" applyFont="1" applyFill="1" applyBorder="1" applyAlignment="1">
      <alignment horizontal="center" vertical="center" wrapText="1"/>
    </xf>
    <xf numFmtId="0" fontId="80" fillId="0" borderId="87" xfId="0" applyFont="1" applyFill="1" applyBorder="1" applyAlignment="1">
      <alignment horizontal="center" vertical="center"/>
    </xf>
    <xf numFmtId="4" fontId="80" fillId="0" borderId="45" xfId="0" applyNumberFormat="1" applyFont="1" applyFill="1" applyBorder="1" applyAlignment="1">
      <alignment horizontal="center" vertical="center"/>
    </xf>
    <xf numFmtId="4" fontId="80" fillId="0" borderId="45" xfId="902" applyNumberFormat="1" applyFont="1" applyFill="1" applyBorder="1" applyAlignment="1">
      <alignment horizontal="center" vertical="center"/>
    </xf>
    <xf numFmtId="0" fontId="80" fillId="0" borderId="38" xfId="902" applyFont="1" applyFill="1" applyBorder="1" applyAlignment="1">
      <alignment horizontal="center" vertical="center" wrapText="1"/>
    </xf>
    <xf numFmtId="0" fontId="80" fillId="0" borderId="39" xfId="902" applyFont="1" applyFill="1" applyBorder="1" applyAlignment="1">
      <alignment horizontal="center" vertical="center" wrapText="1"/>
    </xf>
    <xf numFmtId="0" fontId="80" fillId="0" borderId="42" xfId="902" applyFont="1" applyFill="1" applyBorder="1" applyAlignment="1">
      <alignment horizontal="center" vertical="center" wrapText="1"/>
    </xf>
    <xf numFmtId="0" fontId="80" fillId="0" borderId="43" xfId="902" applyFont="1" applyFill="1" applyBorder="1" applyAlignment="1">
      <alignment horizontal="center" vertical="center" wrapText="1"/>
    </xf>
    <xf numFmtId="4" fontId="37" fillId="0" borderId="52" xfId="902" applyNumberFormat="1" applyFont="1" applyFill="1" applyBorder="1" applyAlignment="1">
      <alignment horizontal="center" vertical="center" wrapText="1"/>
    </xf>
    <xf numFmtId="10" fontId="37" fillId="0" borderId="52" xfId="1663" applyNumberFormat="1" applyFont="1" applyFill="1" applyBorder="1" applyAlignment="1">
      <alignment horizontal="center" vertical="center" wrapText="1"/>
    </xf>
    <xf numFmtId="4" fontId="80" fillId="0" borderId="2" xfId="0" applyNumberFormat="1" applyFont="1" applyFill="1" applyBorder="1" applyAlignment="1">
      <alignment horizontal="center" vertical="center" wrapText="1"/>
    </xf>
    <xf numFmtId="4" fontId="80" fillId="0" borderId="38" xfId="902" applyNumberFormat="1" applyFont="1" applyFill="1" applyBorder="1" applyAlignment="1">
      <alignment horizontal="center" vertical="center" wrapText="1"/>
    </xf>
    <xf numFmtId="4" fontId="80" fillId="0" borderId="0" xfId="0" applyNumberFormat="1" applyFont="1" applyFill="1" applyBorder="1" applyAlignment="1">
      <alignment horizontal="center" vertical="center" wrapText="1"/>
    </xf>
    <xf numFmtId="4" fontId="37" fillId="0" borderId="2" xfId="0" applyNumberFormat="1" applyFont="1" applyFill="1" applyBorder="1" applyAlignment="1">
      <alignment horizontal="center" vertical="center" wrapText="1"/>
    </xf>
    <xf numFmtId="0" fontId="80" fillId="0" borderId="0" xfId="0" applyFont="1" applyFill="1" applyBorder="1" applyAlignment="1">
      <alignment horizontal="center" vertical="center"/>
    </xf>
    <xf numFmtId="0" fontId="80" fillId="0" borderId="64" xfId="0" applyFont="1" applyFill="1" applyBorder="1" applyAlignment="1">
      <alignment horizontal="center" vertical="center"/>
    </xf>
    <xf numFmtId="0" fontId="80" fillId="0" borderId="62" xfId="902" applyFont="1" applyFill="1" applyBorder="1" applyAlignment="1">
      <alignment horizontal="center" vertical="center"/>
    </xf>
    <xf numFmtId="0" fontId="80" fillId="0" borderId="87" xfId="902" applyFont="1" applyFill="1" applyBorder="1" applyAlignment="1">
      <alignment horizontal="center" vertical="center"/>
    </xf>
    <xf numFmtId="0" fontId="80" fillId="0" borderId="60" xfId="902" applyFont="1" applyFill="1" applyBorder="1" applyAlignment="1">
      <alignment horizontal="center" vertical="center"/>
    </xf>
    <xf numFmtId="4" fontId="37" fillId="0" borderId="0" xfId="902" applyNumberFormat="1" applyFont="1" applyFill="1" applyAlignment="1">
      <alignment horizontal="center" vertical="center"/>
    </xf>
    <xf numFmtId="4" fontId="37" fillId="0" borderId="2" xfId="902" applyNumberFormat="1" applyFont="1" applyFill="1" applyBorder="1" applyAlignment="1">
      <alignment horizontal="center" vertical="center"/>
    </xf>
    <xf numFmtId="4" fontId="37" fillId="0" borderId="0" xfId="902" applyNumberFormat="1" applyFont="1" applyAlignment="1">
      <alignment horizontal="center" vertical="center"/>
    </xf>
    <xf numFmtId="2" fontId="80" fillId="0" borderId="38" xfId="0" applyNumberFormat="1" applyFont="1" applyFill="1" applyBorder="1" applyAlignment="1">
      <alignment horizontal="center" vertical="center" wrapText="1"/>
    </xf>
    <xf numFmtId="2" fontId="80" fillId="0" borderId="42" xfId="0" applyNumberFormat="1" applyFont="1" applyFill="1" applyBorder="1" applyAlignment="1">
      <alignment horizontal="center" vertical="center" wrapText="1"/>
    </xf>
    <xf numFmtId="2" fontId="37" fillId="0" borderId="48" xfId="0" applyNumberFormat="1" applyFont="1" applyFill="1" applyBorder="1" applyAlignment="1">
      <alignment horizontal="center" vertical="center" wrapText="1"/>
    </xf>
    <xf numFmtId="0" fontId="82" fillId="0" borderId="0" xfId="0" applyFont="1" applyFill="1" applyBorder="1" applyAlignment="1">
      <alignment vertical="center" wrapText="1"/>
    </xf>
    <xf numFmtId="0" fontId="74" fillId="0" borderId="0" xfId="0" applyFont="1" applyFill="1" applyAlignment="1">
      <alignment vertical="center"/>
    </xf>
    <xf numFmtId="2" fontId="59" fillId="0" borderId="0" xfId="0" applyNumberFormat="1" applyFont="1" applyFill="1" applyAlignment="1">
      <alignment horizontal="right" vertical="center"/>
    </xf>
    <xf numFmtId="0" fontId="60" fillId="0" borderId="0" xfId="0" applyFont="1" applyFill="1" applyAlignment="1">
      <alignment vertical="center"/>
    </xf>
    <xf numFmtId="43" fontId="37" fillId="0" borderId="0" xfId="0" applyNumberFormat="1" applyFont="1" applyFill="1" applyAlignment="1">
      <alignment vertical="center"/>
    </xf>
    <xf numFmtId="43" fontId="37" fillId="0" borderId="0" xfId="902" applyNumberFormat="1" applyFont="1" applyFill="1" applyAlignment="1">
      <alignment vertical="center"/>
    </xf>
    <xf numFmtId="43" fontId="37" fillId="59" borderId="0" xfId="0" applyNumberFormat="1" applyFont="1" applyFill="1" applyAlignment="1">
      <alignment vertical="center"/>
    </xf>
    <xf numFmtId="44" fontId="37" fillId="0" borderId="0" xfId="1956" applyFont="1" applyFill="1" applyAlignment="1">
      <alignment vertical="center"/>
    </xf>
    <xf numFmtId="0" fontId="0" fillId="0" borderId="0" xfId="0" applyAlignment="1" applyProtection="1">
      <alignment vertical="center"/>
    </xf>
    <xf numFmtId="0" fontId="0" fillId="0" borderId="25" xfId="0" applyBorder="1" applyAlignment="1" applyProtection="1">
      <alignment vertical="center"/>
    </xf>
    <xf numFmtId="0" fontId="0" fillId="0" borderId="25" xfId="0" applyFont="1" applyBorder="1" applyAlignment="1" applyProtection="1">
      <alignment vertical="center"/>
    </xf>
    <xf numFmtId="0" fontId="0" fillId="0" borderId="0" xfId="0" applyFont="1" applyBorder="1" applyAlignment="1" applyProtection="1">
      <alignment vertical="center"/>
    </xf>
    <xf numFmtId="0" fontId="58" fillId="0" borderId="0" xfId="0" applyFont="1" applyBorder="1" applyAlignment="1" applyProtection="1">
      <alignment horizontal="left" vertical="center"/>
    </xf>
    <xf numFmtId="0" fontId="20" fillId="0" borderId="30" xfId="0" applyFont="1" applyBorder="1" applyAlignment="1" applyProtection="1">
      <alignment vertical="center"/>
    </xf>
    <xf numFmtId="166" fontId="0" fillId="0" borderId="0" xfId="0" applyNumberFormat="1" applyAlignment="1" applyProtection="1">
      <alignment horizontal="center" vertical="center"/>
    </xf>
    <xf numFmtId="10" fontId="0" fillId="0" borderId="0" xfId="1663" applyNumberFormat="1" applyFont="1" applyAlignment="1" applyProtection="1">
      <alignment horizontal="center" vertical="center"/>
    </xf>
    <xf numFmtId="164" fontId="0" fillId="0" borderId="0" xfId="0" applyNumberFormat="1" applyAlignment="1" applyProtection="1">
      <alignment vertical="center"/>
    </xf>
    <xf numFmtId="4" fontId="80" fillId="0" borderId="62" xfId="0" applyNumberFormat="1" applyFont="1" applyFill="1" applyBorder="1" applyAlignment="1">
      <alignment horizontal="center" vertical="center"/>
    </xf>
    <xf numFmtId="4" fontId="80" fillId="0" borderId="38" xfId="0" applyNumberFormat="1" applyFont="1" applyFill="1" applyBorder="1" applyAlignment="1">
      <alignment horizontal="center" vertical="center" wrapText="1"/>
    </xf>
    <xf numFmtId="4" fontId="80" fillId="0" borderId="42" xfId="0" applyNumberFormat="1" applyFont="1" applyFill="1" applyBorder="1" applyAlignment="1">
      <alignment horizontal="center" vertical="center" wrapText="1"/>
    </xf>
    <xf numFmtId="4" fontId="80" fillId="0" borderId="42" xfId="902" applyNumberFormat="1" applyFont="1" applyFill="1" applyBorder="1" applyAlignment="1">
      <alignment horizontal="center" vertical="center" wrapText="1"/>
    </xf>
    <xf numFmtId="4" fontId="37" fillId="0" borderId="52" xfId="1961" applyNumberFormat="1" applyFont="1" applyFill="1" applyBorder="1" applyAlignment="1">
      <alignment horizontal="center" vertical="center" wrapText="1"/>
    </xf>
    <xf numFmtId="0" fontId="91" fillId="0" borderId="0" xfId="1962" applyFont="1" applyFill="1" applyAlignment="1">
      <alignment horizontal="left" vertical="center" wrapText="1"/>
    </xf>
    <xf numFmtId="0" fontId="20" fillId="0" borderId="52" xfId="0" applyFont="1" applyFill="1" applyBorder="1" applyAlignment="1">
      <alignment vertical="center" wrapText="1"/>
    </xf>
    <xf numFmtId="0" fontId="20" fillId="0" borderId="52" xfId="0" applyFont="1" applyFill="1" applyBorder="1" applyAlignment="1">
      <alignment horizontal="center" vertical="center" wrapText="1"/>
    </xf>
    <xf numFmtId="0" fontId="37" fillId="0" borderId="0" xfId="0" applyFont="1" applyFill="1" applyBorder="1" applyAlignment="1">
      <alignment horizontal="center" vertical="center" wrapText="1"/>
    </xf>
    <xf numFmtId="4" fontId="37" fillId="0" borderId="0" xfId="902" applyNumberFormat="1" applyFont="1" applyFill="1" applyBorder="1" applyAlignment="1">
      <alignment horizontal="center" vertical="center" wrapText="1"/>
    </xf>
    <xf numFmtId="4" fontId="37" fillId="0" borderId="0" xfId="1961" applyNumberFormat="1" applyFont="1" applyFill="1" applyBorder="1" applyAlignment="1">
      <alignment horizontal="center" vertical="center" wrapText="1"/>
    </xf>
    <xf numFmtId="10" fontId="37" fillId="0" borderId="0" xfId="1663" applyNumberFormat="1" applyFont="1" applyFill="1" applyBorder="1" applyAlignment="1">
      <alignment horizontal="center" vertical="center" wrapText="1"/>
    </xf>
    <xf numFmtId="0" fontId="21" fillId="0" borderId="0" xfId="0" applyFont="1" applyAlignment="1">
      <alignment horizontal="center" vertical="center"/>
    </xf>
    <xf numFmtId="14" fontId="21" fillId="0" borderId="3" xfId="43" applyNumberFormat="1" applyFont="1" applyBorder="1" applyAlignment="1">
      <alignment horizontal="center" vertical="center" wrapText="1"/>
    </xf>
    <xf numFmtId="2" fontId="21" fillId="58" borderId="3" xfId="43" applyNumberFormat="1" applyFont="1" applyFill="1" applyBorder="1" applyAlignment="1">
      <alignment horizontal="center" vertical="center" wrapText="1"/>
    </xf>
    <xf numFmtId="14" fontId="21" fillId="57" borderId="3" xfId="43" applyNumberFormat="1" applyFont="1" applyFill="1" applyBorder="1" applyAlignment="1">
      <alignment horizontal="center" vertical="center" wrapText="1"/>
    </xf>
    <xf numFmtId="2" fontId="21" fillId="57" borderId="3" xfId="43" applyNumberFormat="1" applyFont="1" applyFill="1" applyBorder="1" applyAlignment="1">
      <alignment horizontal="center" vertical="center" wrapText="1"/>
    </xf>
    <xf numFmtId="4" fontId="37" fillId="0" borderId="52" xfId="0" applyNumberFormat="1" applyFont="1" applyFill="1" applyBorder="1" applyAlignment="1">
      <alignment horizontal="center" vertical="center" wrapText="1"/>
    </xf>
    <xf numFmtId="0" fontId="100" fillId="57" borderId="0" xfId="0" applyFont="1" applyFill="1" applyBorder="1" applyAlignment="1">
      <alignment horizontal="left" vertical="center"/>
    </xf>
    <xf numFmtId="0" fontId="80" fillId="0" borderId="37" xfId="0" applyFont="1" applyFill="1" applyBorder="1" applyAlignment="1">
      <alignment vertical="center"/>
    </xf>
    <xf numFmtId="0" fontId="37" fillId="0" borderId="0" xfId="0" applyFont="1" applyAlignment="1">
      <alignment vertical="top"/>
    </xf>
    <xf numFmtId="185" fontId="18" fillId="0" borderId="0" xfId="0" applyNumberFormat="1" applyFont="1"/>
    <xf numFmtId="0" fontId="37" fillId="0" borderId="0" xfId="0" applyFont="1" applyFill="1" applyAlignment="1">
      <alignment vertical="top"/>
    </xf>
    <xf numFmtId="186" fontId="20" fillId="0" borderId="44" xfId="0" applyNumberFormat="1" applyFont="1" applyFill="1" applyBorder="1" applyAlignment="1">
      <alignment horizontal="center" vertical="center" wrapText="1"/>
    </xf>
    <xf numFmtId="0" fontId="94" fillId="0" borderId="0" xfId="0" applyFont="1"/>
    <xf numFmtId="10" fontId="22" fillId="0" borderId="0" xfId="1663" applyNumberFormat="1" applyFont="1" applyFill="1" applyAlignment="1">
      <alignment horizontal="center" vertical="center"/>
    </xf>
    <xf numFmtId="2" fontId="21" fillId="58" borderId="3" xfId="43" applyNumberFormat="1" applyFont="1" applyFill="1" applyBorder="1" applyAlignment="1" applyProtection="1">
      <alignment horizontal="center" vertical="center" wrapText="1"/>
    </xf>
    <xf numFmtId="2" fontId="21" fillId="0" borderId="3" xfId="43" applyNumberFormat="1" applyFont="1" applyFill="1" applyBorder="1" applyAlignment="1" applyProtection="1">
      <alignment horizontal="center" vertical="center" wrapText="1"/>
    </xf>
    <xf numFmtId="44" fontId="21" fillId="0" borderId="3" xfId="2258" applyFont="1" applyFill="1" applyBorder="1" applyAlignment="1" applyProtection="1">
      <alignment horizontal="center" vertical="center" wrapText="1"/>
    </xf>
    <xf numFmtId="4" fontId="21" fillId="0" borderId="3" xfId="43" applyNumberFormat="1" applyFont="1" applyFill="1" applyBorder="1" applyAlignment="1" applyProtection="1">
      <alignment horizontal="center" vertical="center" wrapText="1"/>
    </xf>
    <xf numFmtId="14" fontId="21" fillId="0" borderId="3" xfId="43" applyNumberFormat="1" applyFont="1" applyFill="1" applyBorder="1" applyAlignment="1" applyProtection="1">
      <alignment horizontal="center" vertical="center" wrapText="1"/>
    </xf>
    <xf numFmtId="49" fontId="21" fillId="0" borderId="2" xfId="42" applyNumberFormat="1" applyFont="1" applyFill="1" applyBorder="1" applyAlignment="1" applyProtection="1">
      <alignment horizontal="center" vertical="center" wrapText="1"/>
    </xf>
    <xf numFmtId="0" fontId="65" fillId="0" borderId="50" xfId="0" applyFont="1" applyFill="1" applyBorder="1" applyAlignment="1">
      <alignment horizontal="center" vertical="center"/>
    </xf>
    <xf numFmtId="0" fontId="65" fillId="0" borderId="51" xfId="0" applyFont="1" applyFill="1" applyBorder="1" applyAlignment="1">
      <alignment horizontal="center" vertical="center"/>
    </xf>
    <xf numFmtId="0" fontId="37" fillId="83" borderId="0" xfId="0" applyFont="1" applyFill="1" applyAlignment="1">
      <alignment horizontal="center" vertical="center"/>
    </xf>
    <xf numFmtId="0" fontId="20" fillId="0" borderId="0" xfId="2530" applyFont="1" applyFill="1" applyAlignment="1">
      <alignment vertical="center" wrapText="1"/>
    </xf>
    <xf numFmtId="0" fontId="20" fillId="0" borderId="0" xfId="2530" applyFill="1" applyAlignment="1">
      <alignment horizontal="right" vertical="center" wrapText="1"/>
    </xf>
    <xf numFmtId="0" fontId="20" fillId="0" borderId="0" xfId="2530" applyFill="1" applyAlignment="1">
      <alignment vertical="center" wrapText="1"/>
    </xf>
    <xf numFmtId="0" fontId="91" fillId="0" borderId="0" xfId="1962" applyFont="1" applyAlignment="1">
      <alignment horizontal="center" vertical="center" wrapText="1"/>
    </xf>
    <xf numFmtId="0" fontId="90" fillId="0" borderId="0" xfId="1962" applyAlignment="1">
      <alignment horizontal="center" vertical="center" wrapText="1"/>
    </xf>
    <xf numFmtId="0" fontId="37" fillId="0" borderId="41" xfId="0" applyFont="1" applyFill="1" applyBorder="1" applyAlignment="1">
      <alignment vertical="center" wrapText="1"/>
    </xf>
    <xf numFmtId="0" fontId="37" fillId="0" borderId="40" xfId="0" applyFont="1" applyFill="1" applyBorder="1" applyAlignment="1">
      <alignment horizontal="right" vertical="center" wrapText="1"/>
    </xf>
    <xf numFmtId="0" fontId="20" fillId="0" borderId="0" xfId="2530" applyAlignment="1">
      <alignment wrapText="1"/>
    </xf>
    <xf numFmtId="0" fontId="20" fillId="0" borderId="0" xfId="2530" applyFill="1" applyAlignment="1">
      <alignment wrapText="1"/>
    </xf>
    <xf numFmtId="0" fontId="20" fillId="0" borderId="0" xfId="2530" applyAlignment="1">
      <alignment vertical="center" wrapText="1"/>
    </xf>
    <xf numFmtId="44" fontId="20" fillId="0" borderId="0" xfId="1956" applyFont="1" applyFill="1" applyProtection="1"/>
    <xf numFmtId="0" fontId="37" fillId="59" borderId="0" xfId="0" applyFont="1" applyFill="1" applyAlignment="1">
      <alignment vertical="center"/>
    </xf>
    <xf numFmtId="0" fontId="21" fillId="0" borderId="3" xfId="1057" applyFont="1" applyFill="1" applyBorder="1" applyAlignment="1">
      <alignment horizontal="center" vertical="center"/>
    </xf>
    <xf numFmtId="10" fontId="37" fillId="0" borderId="44" xfId="1663" applyNumberFormat="1" applyFont="1" applyFill="1" applyBorder="1" applyAlignment="1">
      <alignment horizontal="center" vertical="center" wrapText="1"/>
    </xf>
    <xf numFmtId="4" fontId="80" fillId="0" borderId="3" xfId="0" applyNumberFormat="1" applyFont="1" applyFill="1" applyBorder="1" applyAlignment="1">
      <alignment horizontal="center" vertical="center" wrapText="1"/>
    </xf>
    <xf numFmtId="4" fontId="37" fillId="0" borderId="44" xfId="1961" applyNumberFormat="1" applyFont="1" applyFill="1" applyBorder="1" applyAlignment="1">
      <alignment horizontal="center" vertical="center" wrapText="1"/>
    </xf>
    <xf numFmtId="14" fontId="60" fillId="0" borderId="0" xfId="0" applyNumberFormat="1" applyFont="1" applyFill="1" applyBorder="1" applyAlignment="1">
      <alignment horizontal="left" vertical="center"/>
    </xf>
    <xf numFmtId="0" fontId="59" fillId="0" borderId="0" xfId="0" applyFont="1" applyFill="1" applyBorder="1" applyAlignment="1">
      <alignment horizontal="center" vertical="center" wrapText="1"/>
    </xf>
    <xf numFmtId="0" fontId="0" fillId="0" borderId="0" xfId="0"/>
    <xf numFmtId="0" fontId="0" fillId="0" borderId="0" xfId="0" applyAlignment="1"/>
    <xf numFmtId="44" fontId="21" fillId="58" borderId="3" xfId="2249" applyFont="1" applyFill="1" applyBorder="1" applyAlignment="1" applyProtection="1">
      <alignment horizontal="center" vertical="center" wrapText="1"/>
    </xf>
    <xf numFmtId="44" fontId="21" fillId="0" borderId="3" xfId="2249" applyFont="1" applyFill="1" applyBorder="1" applyAlignment="1" applyProtection="1">
      <alignment horizontal="center" vertical="center" wrapText="1"/>
    </xf>
    <xf numFmtId="0" fontId="37" fillId="0" borderId="0" xfId="0" applyFont="1" applyFill="1" applyBorder="1" applyAlignment="1">
      <alignment horizontal="left" vertical="center" wrapText="1"/>
    </xf>
    <xf numFmtId="0" fontId="37" fillId="0" borderId="47" xfId="0" applyFont="1" applyFill="1" applyBorder="1" applyAlignment="1">
      <alignment horizontal="center" vertical="center" wrapText="1"/>
    </xf>
    <xf numFmtId="187" fontId="37" fillId="0" borderId="48" xfId="0" applyNumberFormat="1" applyFont="1" applyFill="1" applyBorder="1" applyAlignment="1">
      <alignment horizontal="center" vertical="center" wrapText="1"/>
    </xf>
    <xf numFmtId="4" fontId="37" fillId="0" borderId="64" xfId="0" applyNumberFormat="1" applyFont="1" applyFill="1" applyBorder="1" applyAlignment="1">
      <alignment horizontal="center" vertical="center" wrapText="1"/>
    </xf>
    <xf numFmtId="0" fontId="83" fillId="0" borderId="0" xfId="0" applyFont="1" applyFill="1" applyAlignment="1">
      <alignment vertical="center"/>
    </xf>
    <xf numFmtId="0" fontId="37" fillId="0" borderId="0" xfId="0" applyFont="1" applyFill="1" applyBorder="1" applyAlignment="1">
      <alignment horizontal="left" vertical="center"/>
    </xf>
    <xf numFmtId="187" fontId="37" fillId="0" borderId="0" xfId="0" applyNumberFormat="1" applyFont="1" applyFill="1" applyBorder="1" applyAlignment="1">
      <alignment horizontal="right" vertical="center" wrapText="1"/>
    </xf>
    <xf numFmtId="0" fontId="37" fillId="0" borderId="0" xfId="0" applyFont="1" applyFill="1" applyBorder="1" applyAlignment="1">
      <alignment vertical="center"/>
    </xf>
    <xf numFmtId="0" fontId="37" fillId="33" borderId="0" xfId="0" applyFont="1" applyFill="1" applyAlignment="1">
      <alignment vertical="center"/>
    </xf>
    <xf numFmtId="0" fontId="80" fillId="58" borderId="134" xfId="0" applyFont="1" applyFill="1" applyBorder="1" applyAlignment="1">
      <alignment horizontal="center" vertical="center" wrapText="1"/>
    </xf>
    <xf numFmtId="187" fontId="80" fillId="58" borderId="134" xfId="0" applyNumberFormat="1" applyFont="1" applyFill="1" applyBorder="1" applyAlignment="1">
      <alignment horizontal="center" vertical="center" wrapText="1"/>
    </xf>
    <xf numFmtId="4" fontId="80" fillId="58" borderId="134" xfId="0" applyNumberFormat="1" applyFont="1" applyFill="1" applyBorder="1" applyAlignment="1">
      <alignment horizontal="center" vertical="center" wrapText="1"/>
    </xf>
    <xf numFmtId="0" fontId="37" fillId="0" borderId="0" xfId="0" applyFont="1" applyAlignment="1">
      <alignment vertical="center"/>
    </xf>
    <xf numFmtId="0" fontId="37" fillId="0" borderId="135" xfId="0" applyFont="1" applyFill="1" applyBorder="1" applyAlignment="1">
      <alignment horizontal="center" vertical="center" wrapText="1"/>
    </xf>
    <xf numFmtId="0" fontId="37" fillId="0" borderId="136" xfId="0" applyFont="1" applyFill="1" applyBorder="1" applyAlignment="1">
      <alignment horizontal="center" vertical="center" wrapText="1"/>
    </xf>
    <xf numFmtId="4" fontId="22" fillId="84" borderId="0" xfId="42" applyFont="1" applyFill="1">
      <alignment vertical="center" wrapText="1"/>
      <protection locked="0"/>
    </xf>
    <xf numFmtId="187" fontId="37" fillId="0" borderId="52" xfId="0" applyNumberFormat="1" applyFont="1" applyFill="1" applyBorder="1" applyAlignment="1">
      <alignment horizontal="center" vertical="center" wrapText="1"/>
    </xf>
    <xf numFmtId="187" fontId="37" fillId="0" borderId="44" xfId="0" applyNumberFormat="1" applyFont="1" applyFill="1" applyBorder="1" applyAlignment="1">
      <alignment horizontal="center" vertical="center" wrapText="1"/>
    </xf>
    <xf numFmtId="0" fontId="133" fillId="0" borderId="0" xfId="902" applyFont="1" applyFill="1" applyAlignment="1">
      <alignment vertical="center"/>
    </xf>
    <xf numFmtId="0" fontId="37" fillId="0" borderId="0" xfId="0" applyFont="1" applyFill="1" applyAlignment="1">
      <alignment horizontal="left" vertical="center"/>
    </xf>
    <xf numFmtId="0" fontId="37" fillId="84" borderId="0" xfId="0" applyFont="1" applyFill="1" applyAlignment="1">
      <alignment horizontal="center" vertical="center"/>
    </xf>
    <xf numFmtId="0" fontId="37" fillId="0" borderId="41" xfId="0" applyFont="1" applyFill="1" applyBorder="1" applyAlignment="1">
      <alignment vertical="center" wrapText="1"/>
    </xf>
    <xf numFmtId="0" fontId="24" fillId="59" borderId="13" xfId="0" applyFont="1" applyFill="1" applyBorder="1" applyAlignment="1">
      <alignment vertical="center"/>
    </xf>
    <xf numFmtId="0" fontId="24" fillId="59" borderId="13" xfId="0" applyFont="1" applyFill="1" applyBorder="1" applyAlignment="1">
      <alignment horizontal="center" vertical="center"/>
    </xf>
    <xf numFmtId="0" fontId="24" fillId="59" borderId="13" xfId="0" applyFont="1" applyFill="1" applyBorder="1" applyAlignment="1">
      <alignment vertical="center" wrapText="1"/>
    </xf>
    <xf numFmtId="0" fontId="37" fillId="59" borderId="13" xfId="0" applyFont="1" applyFill="1" applyBorder="1" applyAlignment="1">
      <alignment horizontal="center" vertical="center"/>
    </xf>
    <xf numFmtId="0" fontId="20" fillId="59" borderId="0" xfId="0" applyFont="1" applyFill="1"/>
    <xf numFmtId="0" fontId="80" fillId="59" borderId="13" xfId="0" applyFont="1" applyFill="1" applyBorder="1"/>
    <xf numFmtId="0" fontId="80" fillId="59" borderId="0" xfId="0" applyFont="1" applyFill="1" applyBorder="1"/>
    <xf numFmtId="0" fontId="37" fillId="0" borderId="41" xfId="0" applyFont="1" applyFill="1" applyBorder="1" applyAlignment="1">
      <alignment vertical="center" wrapText="1"/>
    </xf>
    <xf numFmtId="0" fontId="24" fillId="0" borderId="13" xfId="0" applyFont="1" applyFill="1" applyBorder="1" applyAlignment="1">
      <alignment vertical="center" wrapText="1"/>
    </xf>
    <xf numFmtId="0" fontId="37" fillId="0" borderId="13" xfId="0" applyFont="1" applyFill="1" applyBorder="1" applyAlignment="1">
      <alignment horizontal="center" vertical="center"/>
    </xf>
    <xf numFmtId="0" fontId="80" fillId="59" borderId="33" xfId="0" applyFont="1" applyFill="1" applyBorder="1"/>
    <xf numFmtId="0" fontId="37" fillId="0" borderId="41" xfId="0" applyFont="1" applyFill="1" applyBorder="1" applyAlignment="1">
      <alignment vertical="center" wrapText="1"/>
    </xf>
    <xf numFmtId="0" fontId="59" fillId="0" borderId="0" xfId="0" applyFont="1" applyFill="1" applyBorder="1" applyAlignment="1">
      <alignment horizontal="center" vertical="center" wrapText="1"/>
    </xf>
    <xf numFmtId="0" fontId="59" fillId="0" borderId="0" xfId="0" applyFont="1" applyFill="1" applyBorder="1" applyAlignment="1">
      <alignment horizontal="center" vertical="center" wrapText="1"/>
    </xf>
    <xf numFmtId="0" fontId="60" fillId="0" borderId="0" xfId="0" applyFont="1" applyFill="1" applyBorder="1" applyAlignment="1">
      <alignment horizontal="left" vertical="center"/>
    </xf>
    <xf numFmtId="0" fontId="21" fillId="0" borderId="49" xfId="43" applyNumberFormat="1" applyFont="1" applyFill="1" applyBorder="1" applyAlignment="1" applyProtection="1">
      <alignment horizontal="center" vertical="center" wrapText="1"/>
    </xf>
    <xf numFmtId="0" fontId="37" fillId="85" borderId="0" xfId="0" applyFont="1" applyFill="1" applyAlignment="1">
      <alignment horizontal="center" vertical="center"/>
    </xf>
    <xf numFmtId="0" fontId="20" fillId="0" borderId="52" xfId="0" applyFont="1" applyBorder="1" applyAlignment="1">
      <alignment vertical="center" wrapText="1"/>
    </xf>
    <xf numFmtId="0" fontId="20" fillId="0" borderId="52" xfId="0" applyFont="1" applyBorder="1" applyAlignment="1">
      <alignment horizontal="center" vertical="center" wrapText="1"/>
    </xf>
    <xf numFmtId="4" fontId="22" fillId="85" borderId="0" xfId="43" applyNumberFormat="1" applyFont="1" applyFill="1" applyAlignment="1" applyProtection="1">
      <alignment horizontal="center" vertical="center" wrapText="1"/>
      <protection locked="0"/>
    </xf>
    <xf numFmtId="4" fontId="22" fillId="85" borderId="0" xfId="42" applyFont="1" applyFill="1">
      <alignment vertical="center" wrapText="1"/>
      <protection locked="0"/>
    </xf>
    <xf numFmtId="4" fontId="81" fillId="0" borderId="0" xfId="42" applyFont="1" applyAlignment="1">
      <alignment horizontal="center" vertical="top" wrapText="1"/>
      <protection locked="0"/>
    </xf>
    <xf numFmtId="4" fontId="81" fillId="85" borderId="0" xfId="42" applyFont="1" applyFill="1" applyAlignment="1">
      <alignment horizontal="center" vertical="top" wrapText="1"/>
      <protection locked="0"/>
    </xf>
    <xf numFmtId="49" fontId="21" fillId="0" borderId="1" xfId="43" applyNumberFormat="1" applyFont="1" applyBorder="1" applyAlignment="1">
      <alignment horizontal="center" vertical="center" wrapText="1"/>
    </xf>
    <xf numFmtId="0" fontId="21" fillId="0" borderId="3" xfId="43" applyFont="1" applyBorder="1" applyAlignment="1">
      <alignment horizontal="center" vertical="center" wrapText="1"/>
    </xf>
    <xf numFmtId="2" fontId="21" fillId="0" borderId="3" xfId="43" applyNumberFormat="1" applyFont="1" applyBorder="1" applyAlignment="1">
      <alignment horizontal="center" vertical="center" wrapText="1"/>
    </xf>
    <xf numFmtId="4" fontId="22" fillId="0" borderId="0" xfId="43" applyNumberFormat="1" applyFont="1" applyAlignment="1" applyProtection="1">
      <alignment horizontal="center" vertical="center" wrapText="1"/>
      <protection locked="0"/>
    </xf>
    <xf numFmtId="49" fontId="21" fillId="0" borderId="59" xfId="43" applyNumberFormat="1" applyFont="1" applyBorder="1" applyAlignment="1">
      <alignment horizontal="center" vertical="center" wrapText="1"/>
    </xf>
    <xf numFmtId="4" fontId="21" fillId="0" borderId="3" xfId="43" applyNumberFormat="1" applyFont="1" applyBorder="1" applyAlignment="1">
      <alignment horizontal="center" vertical="center" wrapText="1"/>
    </xf>
    <xf numFmtId="49" fontId="21" fillId="0" borderId="57" xfId="43" applyNumberFormat="1" applyFont="1" applyBorder="1" applyAlignment="1">
      <alignment horizontal="center" vertical="center" wrapText="1"/>
    </xf>
    <xf numFmtId="4" fontId="22" fillId="85" borderId="0" xfId="43" applyNumberFormat="1" applyFont="1" applyFill="1" applyAlignment="1" applyProtection="1">
      <alignment vertical="center" wrapText="1"/>
      <protection locked="0"/>
    </xf>
    <xf numFmtId="49" fontId="21" fillId="0" borderId="1" xfId="42" applyNumberFormat="1" applyFont="1" applyBorder="1" applyAlignment="1" applyProtection="1">
      <alignment horizontal="center" vertical="center" wrapText="1"/>
    </xf>
    <xf numFmtId="49" fontId="21" fillId="0" borderId="2" xfId="42" applyNumberFormat="1" applyFont="1" applyBorder="1" applyAlignment="1" applyProtection="1">
      <alignment horizontal="center" vertical="center" wrapText="1"/>
    </xf>
    <xf numFmtId="0" fontId="60" fillId="85" borderId="0" xfId="0" applyFont="1" applyFill="1" applyAlignment="1">
      <alignment vertical="top"/>
    </xf>
    <xf numFmtId="4" fontId="81" fillId="0" borderId="0" xfId="42" applyFont="1" applyAlignment="1">
      <alignment horizontal="center" vertical="center" wrapText="1"/>
      <protection locked="0"/>
    </xf>
    <xf numFmtId="4" fontId="81" fillId="0" borderId="0" xfId="42" applyFont="1" applyAlignment="1">
      <alignment vertical="top" wrapText="1"/>
      <protection locked="0"/>
    </xf>
    <xf numFmtId="4" fontId="81" fillId="85" borderId="0" xfId="42" applyFont="1" applyFill="1" applyAlignment="1">
      <alignment vertical="top" wrapText="1"/>
      <protection locked="0"/>
    </xf>
    <xf numFmtId="0" fontId="60" fillId="0" borderId="0" xfId="0" applyFont="1" applyFill="1" applyBorder="1" applyAlignment="1">
      <alignment horizontal="center" vertical="center"/>
    </xf>
    <xf numFmtId="0" fontId="20" fillId="0" borderId="13" xfId="0" applyFont="1" applyFill="1" applyBorder="1" applyAlignment="1">
      <alignment vertical="center"/>
    </xf>
    <xf numFmtId="171" fontId="37" fillId="0" borderId="0" xfId="0" applyNumberFormat="1" applyFont="1" applyFill="1" applyBorder="1" applyAlignment="1">
      <alignment horizontal="center" vertical="center" wrapText="1"/>
    </xf>
    <xf numFmtId="0" fontId="37" fillId="0" borderId="25" xfId="0" applyFont="1" applyFill="1" applyBorder="1" applyAlignment="1">
      <alignment horizontal="center" vertical="center"/>
    </xf>
    <xf numFmtId="4" fontId="65" fillId="0" borderId="0" xfId="0" applyNumberFormat="1" applyFont="1" applyFill="1" applyAlignment="1">
      <alignment vertical="top" wrapText="1"/>
    </xf>
    <xf numFmtId="0" fontId="80" fillId="58" borderId="44" xfId="0" applyNumberFormat="1" applyFont="1" applyFill="1" applyBorder="1" applyAlignment="1">
      <alignment horizontal="left" vertical="center" wrapText="1"/>
    </xf>
    <xf numFmtId="0" fontId="80" fillId="58" borderId="134" xfId="0" applyFont="1" applyFill="1" applyBorder="1" applyAlignment="1">
      <alignment horizontal="left" vertical="center" wrapText="1"/>
    </xf>
    <xf numFmtId="0" fontId="20" fillId="0" borderId="56" xfId="0" applyFont="1" applyFill="1" applyBorder="1" applyAlignment="1">
      <alignment horizontal="center" vertical="center" wrapText="1"/>
    </xf>
    <xf numFmtId="0" fontId="20" fillId="0" borderId="56" xfId="0" applyFont="1" applyBorder="1" applyAlignment="1">
      <alignment horizontal="center" vertical="center" wrapText="1"/>
    </xf>
    <xf numFmtId="0" fontId="37" fillId="0" borderId="41" xfId="0" applyFont="1" applyBorder="1" applyAlignment="1">
      <alignment vertical="center" wrapText="1"/>
    </xf>
    <xf numFmtId="0" fontId="37" fillId="0" borderId="56" xfId="902" applyFont="1" applyFill="1" applyBorder="1" applyAlignment="1">
      <alignment vertical="center" wrapText="1"/>
    </xf>
    <xf numFmtId="0" fontId="37" fillId="0" borderId="52" xfId="902" applyFont="1" applyFill="1" applyBorder="1" applyAlignment="1">
      <alignment vertical="center" wrapText="1"/>
    </xf>
    <xf numFmtId="0" fontId="37" fillId="0" borderId="0" xfId="0" applyFont="1" applyFill="1" applyAlignment="1">
      <alignment horizontal="center" vertical="center" wrapText="1"/>
    </xf>
    <xf numFmtId="0" fontId="37" fillId="0" borderId="0" xfId="0" applyFont="1" applyFill="1" applyAlignment="1">
      <alignment horizontal="left" vertical="center" wrapText="1"/>
    </xf>
    <xf numFmtId="4" fontId="37" fillId="0" borderId="0" xfId="0" applyNumberFormat="1" applyFont="1" applyFill="1" applyAlignment="1">
      <alignment horizontal="center" vertical="center" wrapText="1"/>
    </xf>
    <xf numFmtId="0" fontId="37" fillId="0" borderId="57" xfId="0" applyFont="1" applyFill="1" applyBorder="1" applyAlignment="1">
      <alignment vertical="center" wrapText="1"/>
    </xf>
    <xf numFmtId="0" fontId="37" fillId="0" borderId="133" xfId="0" applyFont="1" applyFill="1" applyBorder="1" applyAlignment="1">
      <alignment vertical="center" wrapText="1"/>
    </xf>
    <xf numFmtId="0" fontId="37" fillId="0" borderId="61" xfId="0" applyFont="1" applyFill="1" applyBorder="1" applyAlignment="1">
      <alignment vertical="center" wrapText="1"/>
    </xf>
    <xf numFmtId="4" fontId="80" fillId="0" borderId="0" xfId="0" applyNumberFormat="1" applyFont="1" applyFill="1" applyAlignment="1">
      <alignment horizontal="center" vertical="center" wrapText="1"/>
    </xf>
    <xf numFmtId="0" fontId="80" fillId="0" borderId="0" xfId="0" applyFont="1" applyFill="1" applyAlignment="1">
      <alignment horizontal="center" vertical="center"/>
    </xf>
    <xf numFmtId="4" fontId="80" fillId="0" borderId="2" xfId="0" applyNumberFormat="1" applyFont="1" applyFill="1" applyBorder="1" applyAlignment="1">
      <alignment horizontal="center" vertical="center"/>
    </xf>
    <xf numFmtId="4" fontId="80" fillId="0" borderId="0" xfId="0" applyNumberFormat="1" applyFont="1" applyFill="1" applyAlignment="1">
      <alignment horizontal="center" vertical="center"/>
    </xf>
    <xf numFmtId="0" fontId="37" fillId="0" borderId="59" xfId="0" applyFont="1" applyFill="1" applyBorder="1" applyAlignment="1">
      <alignment vertical="center" wrapText="1"/>
    </xf>
    <xf numFmtId="0" fontId="37" fillId="0" borderId="0" xfId="0" applyFont="1" applyFill="1" applyBorder="1" applyAlignment="1">
      <alignment vertical="center" wrapText="1"/>
    </xf>
    <xf numFmtId="0" fontId="59" fillId="0" borderId="0" xfId="0" applyFont="1" applyFill="1" applyBorder="1" applyAlignment="1">
      <alignment horizontal="center" vertical="center" wrapText="1"/>
    </xf>
    <xf numFmtId="0" fontId="37" fillId="0" borderId="24" xfId="0" applyFont="1" applyFill="1" applyBorder="1" applyAlignment="1">
      <alignment horizontal="center" vertical="center"/>
    </xf>
    <xf numFmtId="0" fontId="37" fillId="0" borderId="26" xfId="0" applyFont="1" applyFill="1" applyBorder="1" applyAlignment="1">
      <alignment horizontal="center" vertical="center"/>
    </xf>
    <xf numFmtId="0" fontId="37" fillId="0" borderId="41" xfId="0" applyFont="1" applyFill="1" applyBorder="1" applyAlignment="1">
      <alignment vertical="center" wrapText="1"/>
    </xf>
    <xf numFmtId="0" fontId="37" fillId="0" borderId="42" xfId="0" applyFont="1" applyFill="1" applyBorder="1" applyAlignment="1">
      <alignment vertical="center" wrapText="1"/>
    </xf>
    <xf numFmtId="0" fontId="37" fillId="0" borderId="43" xfId="0" applyFont="1" applyFill="1" applyBorder="1" applyAlignment="1">
      <alignment vertical="center" wrapText="1"/>
    </xf>
    <xf numFmtId="0" fontId="60" fillId="0" borderId="0" xfId="0" applyFont="1" applyFill="1" applyBorder="1" applyAlignment="1">
      <alignment horizontal="center" vertical="center"/>
    </xf>
    <xf numFmtId="49" fontId="81" fillId="0" borderId="0" xfId="42" applyNumberFormat="1" applyFont="1" applyAlignment="1">
      <alignment horizontal="center" vertical="center" wrapText="1"/>
      <protection locked="0"/>
    </xf>
    <xf numFmtId="4" fontId="89" fillId="0" borderId="0" xfId="42" applyFont="1" applyAlignment="1">
      <alignment horizontal="center" vertical="center" wrapText="1"/>
      <protection locked="0"/>
    </xf>
    <xf numFmtId="0" fontId="21" fillId="0" borderId="49" xfId="43" applyFont="1" applyBorder="1" applyAlignment="1">
      <alignment horizontal="center" vertical="center" wrapText="1"/>
    </xf>
    <xf numFmtId="0" fontId="65" fillId="0" borderId="50" xfId="0" applyFont="1" applyBorder="1" applyAlignment="1">
      <alignment horizontal="center" vertical="center"/>
    </xf>
    <xf numFmtId="0" fontId="65" fillId="0" borderId="51" xfId="0" applyFont="1" applyBorder="1" applyAlignment="1">
      <alignment horizontal="center" vertical="center"/>
    </xf>
    <xf numFmtId="0" fontId="21" fillId="33" borderId="13" xfId="42" applyNumberFormat="1" applyFont="1" applyFill="1" applyBorder="1" applyAlignment="1" applyProtection="1">
      <alignment horizontal="left" vertical="center" wrapText="1"/>
    </xf>
    <xf numFmtId="49" fontId="22" fillId="0" borderId="48" xfId="42" applyNumberFormat="1" applyFont="1" applyFill="1" applyBorder="1" applyAlignment="1">
      <alignment horizontal="left" vertical="center" wrapText="1"/>
      <protection locked="0"/>
    </xf>
    <xf numFmtId="4" fontId="21" fillId="58" borderId="3" xfId="44" applyNumberFormat="1" applyFont="1" applyFill="1" applyBorder="1" applyAlignment="1" applyProtection="1">
      <alignment horizontal="left" vertical="center"/>
      <protection locked="0"/>
    </xf>
    <xf numFmtId="49" fontId="21" fillId="0" borderId="58" xfId="43" applyNumberFormat="1" applyFont="1" applyFill="1" applyBorder="1" applyAlignment="1" applyProtection="1">
      <alignment horizontal="left" vertical="center" wrapText="1"/>
    </xf>
    <xf numFmtId="49" fontId="21" fillId="0" borderId="60" xfId="43" applyNumberFormat="1" applyFont="1" applyFill="1" applyBorder="1" applyAlignment="1" applyProtection="1">
      <alignment horizontal="left" vertical="center" wrapText="1"/>
    </xf>
    <xf numFmtId="49" fontId="21" fillId="0" borderId="61" xfId="43" applyNumberFormat="1" applyFont="1" applyFill="1" applyBorder="1" applyAlignment="1" applyProtection="1">
      <alignment horizontal="left" vertical="center" wrapText="1"/>
    </xf>
    <xf numFmtId="49" fontId="21" fillId="0" borderId="58" xfId="43" applyNumberFormat="1" applyFont="1" applyBorder="1" applyAlignment="1">
      <alignment horizontal="left" vertical="center" wrapText="1"/>
    </xf>
    <xf numFmtId="49" fontId="21" fillId="0" borderId="60" xfId="43" applyNumberFormat="1" applyFont="1" applyBorder="1" applyAlignment="1">
      <alignment horizontal="left" vertical="center" wrapText="1"/>
    </xf>
    <xf numFmtId="49" fontId="21" fillId="0" borderId="61" xfId="43" applyNumberFormat="1" applyFont="1" applyBorder="1" applyAlignment="1">
      <alignment horizontal="left" vertical="center" wrapText="1"/>
    </xf>
    <xf numFmtId="4" fontId="89" fillId="0" borderId="0" xfId="42" applyFont="1" applyAlignment="1">
      <alignment horizontal="left" vertical="center" wrapText="1"/>
      <protection locked="0"/>
    </xf>
    <xf numFmtId="49" fontId="21" fillId="0" borderId="2" xfId="42" applyNumberFormat="1" applyFont="1" applyFill="1" applyBorder="1" applyAlignment="1" applyProtection="1">
      <alignment horizontal="left" vertical="center" wrapText="1"/>
    </xf>
    <xf numFmtId="49" fontId="21" fillId="0" borderId="2" xfId="42" applyNumberFormat="1" applyFont="1" applyBorder="1" applyAlignment="1" applyProtection="1">
      <alignment horizontal="left" vertical="center" wrapText="1"/>
    </xf>
    <xf numFmtId="49" fontId="24" fillId="57" borderId="0" xfId="42" applyNumberFormat="1" applyFont="1" applyFill="1" applyBorder="1" applyAlignment="1" applyProtection="1">
      <alignment horizontal="left" vertical="center" wrapText="1"/>
    </xf>
    <xf numFmtId="4" fontId="89" fillId="0" borderId="0" xfId="42" applyFont="1" applyFill="1" applyAlignment="1">
      <alignment horizontal="left" vertical="center" wrapText="1"/>
      <protection locked="0"/>
    </xf>
    <xf numFmtId="4" fontId="21" fillId="58" borderId="3" xfId="44" applyNumberFormat="1" applyFont="1" applyFill="1" applyBorder="1" applyAlignment="1" applyProtection="1">
      <alignment horizontal="left" vertical="center" wrapText="1"/>
      <protection locked="0"/>
    </xf>
    <xf numFmtId="0" fontId="37" fillId="84" borderId="0" xfId="0" applyFont="1" applyFill="1" applyAlignment="1">
      <alignment vertical="center"/>
    </xf>
    <xf numFmtId="44" fontId="37" fillId="0" borderId="0" xfId="1956" applyFont="1" applyFill="1" applyBorder="1" applyAlignment="1">
      <alignment vertical="center"/>
    </xf>
    <xf numFmtId="0" fontId="60" fillId="0" borderId="0" xfId="0" applyFont="1" applyAlignment="1">
      <alignment vertical="center" wrapText="1"/>
    </xf>
    <xf numFmtId="0" fontId="74" fillId="0" borderId="0" xfId="0" applyFont="1" applyFill="1" applyAlignment="1">
      <alignment horizontal="left" vertical="center"/>
    </xf>
    <xf numFmtId="0" fontId="20" fillId="0" borderId="0" xfId="0" applyFont="1" applyFill="1" applyAlignment="1">
      <alignment horizontal="left" vertical="center"/>
    </xf>
    <xf numFmtId="0" fontId="60" fillId="0" borderId="0" xfId="0" applyFont="1" applyFill="1" applyAlignment="1">
      <alignment horizontal="left" vertical="center"/>
    </xf>
    <xf numFmtId="4" fontId="0" fillId="0" borderId="0" xfId="0" applyNumberFormat="1" applyFill="1" applyAlignment="1">
      <alignment horizontal="left" vertical="center" wrapText="1"/>
    </xf>
    <xf numFmtId="0" fontId="20" fillId="0" borderId="0" xfId="0" applyFont="1" applyFill="1" applyAlignment="1">
      <alignment vertical="center"/>
    </xf>
    <xf numFmtId="4" fontId="37" fillId="57" borderId="0" xfId="0" applyNumberFormat="1" applyFont="1" applyFill="1" applyAlignment="1">
      <alignment vertical="center"/>
    </xf>
    <xf numFmtId="0" fontId="37" fillId="57" borderId="0" xfId="0" applyFont="1" applyFill="1" applyAlignment="1">
      <alignment vertical="center"/>
    </xf>
    <xf numFmtId="4" fontId="0" fillId="0" borderId="0" xfId="0" applyNumberFormat="1" applyFill="1" applyAlignment="1">
      <alignment vertical="center" wrapText="1"/>
    </xf>
    <xf numFmtId="4" fontId="37" fillId="0" borderId="0" xfId="0" applyNumberFormat="1" applyFont="1" applyFill="1" applyAlignment="1">
      <alignment vertical="center"/>
    </xf>
    <xf numFmtId="0" fontId="20" fillId="57" borderId="0" xfId="0" applyFont="1" applyFill="1" applyAlignment="1">
      <alignment vertical="center"/>
    </xf>
    <xf numFmtId="0" fontId="37" fillId="57" borderId="0" xfId="0" applyFont="1" applyFill="1" applyBorder="1" applyAlignment="1">
      <alignment vertical="center"/>
    </xf>
    <xf numFmtId="0" fontId="37" fillId="0" borderId="43" xfId="0" applyFont="1" applyBorder="1" applyAlignment="1">
      <alignment vertical="center" wrapText="1"/>
    </xf>
    <xf numFmtId="171" fontId="80" fillId="58" borderId="44" xfId="0" applyNumberFormat="1" applyFont="1" applyFill="1" applyBorder="1" applyAlignment="1">
      <alignment horizontal="right" vertical="center" wrapText="1"/>
    </xf>
    <xf numFmtId="4" fontId="80" fillId="58" borderId="44" xfId="0" applyNumberFormat="1" applyFont="1" applyFill="1" applyBorder="1" applyAlignment="1">
      <alignment horizontal="right" vertical="center" wrapText="1"/>
    </xf>
    <xf numFmtId="0" fontId="37" fillId="85" borderId="0" xfId="0" applyFont="1" applyFill="1" applyAlignment="1">
      <alignment vertical="center"/>
    </xf>
    <xf numFmtId="0" fontId="37" fillId="58" borderId="0" xfId="0" applyFont="1" applyFill="1" applyAlignment="1">
      <alignment vertical="center"/>
    </xf>
    <xf numFmtId="0" fontId="83" fillId="0" borderId="0" xfId="0" applyFont="1" applyFill="1" applyAlignment="1">
      <alignment horizontal="right" vertical="center"/>
    </xf>
    <xf numFmtId="171" fontId="20" fillId="0" borderId="0" xfId="0" applyNumberFormat="1" applyFont="1" applyFill="1" applyAlignment="1">
      <alignment vertical="center"/>
    </xf>
    <xf numFmtId="0" fontId="0" fillId="0" borderId="0" xfId="0" applyFill="1" applyAlignment="1">
      <alignment vertical="center"/>
    </xf>
    <xf numFmtId="4" fontId="83" fillId="0" borderId="0" xfId="0" applyNumberFormat="1" applyFont="1" applyFill="1" applyAlignment="1">
      <alignment vertical="center"/>
    </xf>
    <xf numFmtId="9" fontId="37" fillId="0" borderId="0" xfId="1663" applyFont="1" applyFill="1" applyAlignment="1">
      <alignment vertical="center"/>
    </xf>
    <xf numFmtId="188" fontId="37" fillId="0" borderId="0" xfId="1663" applyNumberFormat="1" applyFont="1" applyFill="1" applyAlignment="1">
      <alignment vertical="center"/>
    </xf>
    <xf numFmtId="4" fontId="20" fillId="0" borderId="121" xfId="1057" applyNumberFormat="1" applyFont="1" applyFill="1" applyBorder="1" applyAlignment="1">
      <alignment horizontal="center" vertical="center" wrapText="1"/>
    </xf>
    <xf numFmtId="4" fontId="20" fillId="0" borderId="127" xfId="1057" applyNumberFormat="1" applyFont="1" applyFill="1" applyBorder="1" applyAlignment="1">
      <alignment horizontal="center" vertical="center" wrapText="1"/>
    </xf>
    <xf numFmtId="4" fontId="20" fillId="0" borderId="1" xfId="1057" applyNumberFormat="1" applyFont="1" applyFill="1" applyBorder="1" applyAlignment="1">
      <alignment horizontal="center" vertical="center" wrapText="1"/>
    </xf>
    <xf numFmtId="4" fontId="20" fillId="0" borderId="123" xfId="1057" applyNumberFormat="1" applyFont="1" applyFill="1" applyBorder="1" applyAlignment="1">
      <alignment horizontal="center" vertical="center" wrapText="1"/>
    </xf>
    <xf numFmtId="10" fontId="20" fillId="0" borderId="117" xfId="1187" applyNumberFormat="1" applyFont="1" applyFill="1" applyBorder="1" applyAlignment="1">
      <alignment horizontal="center" vertical="center"/>
    </xf>
    <xf numFmtId="4" fontId="20" fillId="0" borderId="120" xfId="1057" applyNumberFormat="1" applyFont="1" applyFill="1" applyBorder="1" applyAlignment="1">
      <alignment horizontal="center" vertical="center" wrapText="1"/>
    </xf>
    <xf numFmtId="39" fontId="22" fillId="0" borderId="0" xfId="1057" applyNumberFormat="1" applyFont="1" applyFill="1" applyAlignment="1">
      <alignment vertical="top"/>
    </xf>
    <xf numFmtId="4" fontId="90" fillId="0" borderId="0" xfId="1962" applyNumberFormat="1" applyFill="1" applyAlignment="1">
      <alignment horizontal="right" vertical="center" wrapText="1"/>
    </xf>
    <xf numFmtId="0" fontId="90" fillId="0" borderId="0" xfId="1962" applyFill="1" applyAlignment="1"/>
    <xf numFmtId="2" fontId="21" fillId="58" borderId="3" xfId="43" applyNumberFormat="1" applyFont="1" applyFill="1" applyBorder="1" applyAlignment="1" applyProtection="1">
      <alignment horizontal="center" vertical="top" wrapText="1"/>
    </xf>
    <xf numFmtId="49" fontId="21" fillId="0" borderId="58" xfId="43" applyNumberFormat="1" applyFont="1" applyFill="1" applyBorder="1" applyAlignment="1" applyProtection="1">
      <alignment vertical="center" wrapText="1"/>
    </xf>
    <xf numFmtId="0" fontId="21" fillId="0" borderId="49" xfId="43" applyNumberFormat="1" applyFont="1" applyFill="1" applyBorder="1" applyAlignment="1" applyProtection="1">
      <alignment vertical="center" wrapText="1"/>
    </xf>
    <xf numFmtId="49" fontId="21" fillId="0" borderId="60" xfId="43" applyNumberFormat="1" applyFont="1" applyFill="1" applyBorder="1" applyAlignment="1" applyProtection="1">
      <alignment vertical="center" wrapText="1"/>
    </xf>
    <xf numFmtId="0" fontId="65" fillId="0" borderId="50" xfId="0" applyFont="1" applyFill="1" applyBorder="1" applyAlignment="1">
      <alignment vertical="center"/>
    </xf>
    <xf numFmtId="0" fontId="65" fillId="0" borderId="51" xfId="0" applyFont="1" applyFill="1" applyBorder="1" applyAlignment="1">
      <alignment vertical="center"/>
    </xf>
    <xf numFmtId="49" fontId="21" fillId="0" borderId="61" xfId="43" applyNumberFormat="1" applyFont="1" applyFill="1" applyBorder="1" applyAlignment="1" applyProtection="1">
      <alignment vertical="center" wrapText="1"/>
    </xf>
    <xf numFmtId="0" fontId="80" fillId="0" borderId="138" xfId="0" applyFont="1" applyFill="1" applyBorder="1" applyAlignment="1">
      <alignment vertical="center" wrapText="1"/>
    </xf>
    <xf numFmtId="0" fontId="80" fillId="0" borderId="52" xfId="0" applyFont="1" applyFill="1" applyBorder="1" applyAlignment="1">
      <alignment horizontal="center" vertical="center" wrapText="1"/>
    </xf>
    <xf numFmtId="2" fontId="80" fillId="0" borderId="52" xfId="0" applyNumberFormat="1" applyFont="1" applyFill="1" applyBorder="1" applyAlignment="1">
      <alignment horizontal="center" vertical="center" wrapText="1"/>
    </xf>
    <xf numFmtId="0" fontId="80" fillId="0" borderId="44" xfId="0" applyFont="1" applyFill="1" applyBorder="1" applyAlignment="1">
      <alignment horizontal="center" vertical="center" wrapText="1"/>
    </xf>
    <xf numFmtId="4" fontId="37" fillId="0" borderId="0" xfId="902" applyNumberFormat="1" applyFont="1" applyAlignment="1">
      <alignment vertical="center" wrapText="1"/>
    </xf>
    <xf numFmtId="0" fontId="60" fillId="0" borderId="0" xfId="0" applyFont="1" applyFill="1" applyBorder="1" applyAlignment="1">
      <alignment horizontal="center" vertical="center"/>
    </xf>
    <xf numFmtId="0" fontId="77" fillId="0" borderId="0" xfId="0" applyFont="1" applyFill="1" applyBorder="1" applyAlignment="1">
      <alignment horizontal="center" vertical="center"/>
    </xf>
    <xf numFmtId="1" fontId="21" fillId="0" borderId="3" xfId="43" applyNumberFormat="1" applyFont="1" applyFill="1" applyBorder="1" applyAlignment="1" applyProtection="1">
      <alignment horizontal="center" vertical="center" wrapText="1"/>
    </xf>
    <xf numFmtId="10" fontId="22" fillId="0" borderId="0" xfId="1663" applyNumberFormat="1" applyFont="1" applyFill="1" applyAlignment="1">
      <alignment vertical="top"/>
    </xf>
    <xf numFmtId="49" fontId="21" fillId="58" borderId="3" xfId="43" applyNumberFormat="1" applyFont="1" applyFill="1" applyBorder="1" applyAlignment="1">
      <alignment horizontal="center" vertical="center" wrapText="1"/>
    </xf>
    <xf numFmtId="0" fontId="21" fillId="58" borderId="3" xfId="43" applyFont="1" applyFill="1" applyBorder="1" applyAlignment="1">
      <alignment horizontal="center" vertical="center" wrapText="1"/>
    </xf>
    <xf numFmtId="4" fontId="21" fillId="58" borderId="3" xfId="44" applyNumberFormat="1" applyFont="1" applyFill="1" applyBorder="1" applyAlignment="1" applyProtection="1">
      <alignment horizontal="justify" vertical="center" wrapText="1"/>
      <protection locked="0"/>
    </xf>
    <xf numFmtId="0" fontId="74" fillId="0" borderId="0" xfId="0" applyFont="1" applyFill="1" applyBorder="1" applyAlignment="1">
      <alignment horizontal="center" vertical="center"/>
    </xf>
    <xf numFmtId="0" fontId="78" fillId="0" borderId="0" xfId="0" applyFont="1" applyFill="1" applyBorder="1" applyAlignment="1">
      <alignment horizontal="center" vertical="center"/>
    </xf>
    <xf numFmtId="167" fontId="22" fillId="0" borderId="0" xfId="750" applyNumberFormat="1" applyFont="1" applyFill="1" applyBorder="1" applyAlignment="1">
      <alignment horizontal="center" vertical="center"/>
    </xf>
    <xf numFmtId="167" fontId="22" fillId="0" borderId="0" xfId="750" applyNumberFormat="1" applyFont="1" applyBorder="1" applyAlignment="1">
      <alignment horizontal="center" vertical="center"/>
    </xf>
    <xf numFmtId="44" fontId="74" fillId="0" borderId="0" xfId="1956" applyFont="1" applyFill="1" applyBorder="1" applyAlignment="1">
      <alignment vertical="center"/>
    </xf>
    <xf numFmtId="2" fontId="20" fillId="0" borderId="0" xfId="0" applyNumberFormat="1" applyFont="1" applyFill="1" applyBorder="1" applyAlignment="1">
      <alignment vertical="center"/>
    </xf>
    <xf numFmtId="2" fontId="20" fillId="0" borderId="0" xfId="0" applyNumberFormat="1" applyFont="1" applyFill="1" applyBorder="1" applyAlignment="1">
      <alignment horizontal="center" vertical="center"/>
    </xf>
    <xf numFmtId="44" fontId="20" fillId="0" borderId="0" xfId="1956" applyFont="1" applyFill="1" applyBorder="1" applyAlignment="1">
      <alignment vertical="center"/>
    </xf>
    <xf numFmtId="44" fontId="60" fillId="0" borderId="0" xfId="1956" applyFont="1" applyFill="1" applyBorder="1" applyAlignment="1">
      <alignment vertical="center"/>
    </xf>
    <xf numFmtId="44" fontId="22" fillId="0" borderId="0" xfId="1956" applyFont="1" applyFill="1" applyBorder="1" applyAlignment="1">
      <alignment vertical="center"/>
    </xf>
    <xf numFmtId="44" fontId="22" fillId="0" borderId="0" xfId="1956" applyFont="1" applyBorder="1" applyAlignment="1">
      <alignment vertical="center"/>
    </xf>
    <xf numFmtId="4" fontId="79" fillId="0" borderId="0" xfId="0" applyNumberFormat="1" applyFont="1" applyFill="1" applyBorder="1" applyAlignment="1">
      <alignment horizontal="center" vertical="center"/>
    </xf>
    <xf numFmtId="4" fontId="60" fillId="0" borderId="0" xfId="0" applyNumberFormat="1" applyFont="1" applyFill="1" applyBorder="1" applyAlignment="1">
      <alignment horizontal="center" vertical="center" wrapText="1"/>
    </xf>
    <xf numFmtId="0" fontId="21" fillId="0" borderId="49" xfId="43" applyNumberFormat="1" applyFont="1" applyFill="1" applyBorder="1" applyAlignment="1" applyProtection="1">
      <alignment horizontal="center" vertical="center" wrapText="1"/>
    </xf>
    <xf numFmtId="0" fontId="21" fillId="0" borderId="49" xfId="43" applyNumberFormat="1" applyFont="1" applyFill="1" applyBorder="1" applyAlignment="1" applyProtection="1">
      <alignment horizontal="center" vertical="center" wrapText="1"/>
    </xf>
    <xf numFmtId="0" fontId="21" fillId="0" borderId="49" xfId="43" applyNumberFormat="1" applyFont="1" applyFill="1" applyBorder="1" applyAlignment="1" applyProtection="1">
      <alignment horizontal="center" vertical="center" wrapText="1"/>
    </xf>
    <xf numFmtId="0" fontId="21" fillId="0" borderId="49" xfId="43" applyNumberFormat="1" applyFont="1" applyFill="1" applyBorder="1" applyAlignment="1" applyProtection="1">
      <alignment horizontal="center" vertical="center" wrapText="1"/>
    </xf>
    <xf numFmtId="0" fontId="59" fillId="0" borderId="0" xfId="0" applyFont="1" applyFill="1" applyBorder="1" applyAlignment="1">
      <alignment horizontal="center" vertical="center" wrapText="1"/>
    </xf>
    <xf numFmtId="0" fontId="60" fillId="0" borderId="0" xfId="0" applyFont="1" applyFill="1" applyBorder="1" applyAlignment="1">
      <alignment horizontal="center" vertical="center"/>
    </xf>
    <xf numFmtId="0" fontId="21" fillId="0" borderId="49" xfId="43" applyNumberFormat="1" applyFont="1" applyFill="1" applyBorder="1" applyAlignment="1" applyProtection="1">
      <alignment horizontal="center" vertical="center" wrapText="1"/>
    </xf>
    <xf numFmtId="0" fontId="134" fillId="0" borderId="0" xfId="0" applyFont="1" applyFill="1"/>
    <xf numFmtId="0" fontId="37" fillId="0" borderId="41" xfId="0" applyFont="1" applyFill="1" applyBorder="1" applyAlignment="1">
      <alignment vertical="center" wrapText="1"/>
    </xf>
    <xf numFmtId="0" fontId="37" fillId="0" borderId="42" xfId="0" applyFont="1" applyFill="1" applyBorder="1" applyAlignment="1">
      <alignment vertical="center" wrapText="1"/>
    </xf>
    <xf numFmtId="0" fontId="37" fillId="0" borderId="43" xfId="0" applyFont="1" applyFill="1" applyBorder="1" applyAlignment="1">
      <alignment vertical="center" wrapText="1"/>
    </xf>
    <xf numFmtId="3" fontId="22" fillId="0" borderId="0" xfId="42" applyNumberFormat="1" applyFont="1" applyFill="1">
      <alignment vertical="center" wrapText="1"/>
      <protection locked="0"/>
    </xf>
    <xf numFmtId="0" fontId="21" fillId="0" borderId="49" xfId="43" applyNumberFormat="1" applyFont="1" applyFill="1" applyBorder="1" applyAlignment="1" applyProtection="1">
      <alignment horizontal="center" vertical="center" wrapText="1"/>
    </xf>
    <xf numFmtId="0" fontId="37" fillId="0" borderId="42" xfId="0" applyFont="1" applyBorder="1" applyAlignment="1">
      <alignment vertical="center" wrapText="1"/>
    </xf>
    <xf numFmtId="0" fontId="37" fillId="0" borderId="43" xfId="0" applyFont="1" applyBorder="1" applyAlignment="1">
      <alignment vertical="center" wrapText="1"/>
    </xf>
    <xf numFmtId="0" fontId="21" fillId="0" borderId="49" xfId="43" applyFont="1" applyBorder="1" applyAlignment="1">
      <alignment horizontal="center" vertical="center" wrapText="1"/>
    </xf>
    <xf numFmtId="0" fontId="37" fillId="0" borderId="41" xfId="0" applyFont="1" applyBorder="1" applyAlignment="1">
      <alignment vertical="center" wrapText="1"/>
    </xf>
    <xf numFmtId="0" fontId="37" fillId="0" borderId="42" xfId="0" applyFont="1" applyBorder="1" applyAlignment="1">
      <alignment vertical="center" wrapText="1"/>
    </xf>
    <xf numFmtId="0" fontId="37" fillId="0" borderId="43" xfId="0" applyFont="1" applyBorder="1" applyAlignment="1">
      <alignment vertical="center" wrapText="1"/>
    </xf>
    <xf numFmtId="0" fontId="37" fillId="0" borderId="41" xfId="0" applyFont="1" applyFill="1" applyBorder="1" applyAlignment="1">
      <alignment vertical="center" wrapText="1"/>
    </xf>
    <xf numFmtId="0" fontId="20" fillId="0" borderId="0" xfId="2530" applyAlignment="1">
      <alignment vertical="top" wrapText="1"/>
    </xf>
    <xf numFmtId="0" fontId="135" fillId="0" borderId="0" xfId="1962" applyFont="1" applyAlignment="1">
      <alignment wrapText="1"/>
    </xf>
    <xf numFmtId="17" fontId="135" fillId="0" borderId="0" xfId="1962" applyNumberFormat="1" applyFont="1" applyAlignment="1">
      <alignment wrapText="1"/>
    </xf>
    <xf numFmtId="0" fontId="83" fillId="0" borderId="0" xfId="2530" applyFont="1" applyAlignment="1">
      <alignment horizontal="center" vertical="center" wrapText="1"/>
    </xf>
    <xf numFmtId="2" fontId="20" fillId="0" borderId="0" xfId="0" applyNumberFormat="1" applyFont="1" applyFill="1" applyAlignment="1">
      <alignment horizontal="center" vertical="center"/>
    </xf>
    <xf numFmtId="2" fontId="37" fillId="0" borderId="0" xfId="0" applyNumberFormat="1" applyFont="1" applyFill="1" applyAlignment="1">
      <alignment horizontal="center" vertical="center"/>
    </xf>
    <xf numFmtId="0" fontId="20" fillId="0" borderId="24" xfId="0" applyFont="1" applyFill="1" applyBorder="1" applyAlignment="1">
      <alignment horizontal="center" vertical="center"/>
    </xf>
    <xf numFmtId="0" fontId="20" fillId="0" borderId="26" xfId="0" applyFont="1" applyFill="1" applyBorder="1" applyAlignment="1">
      <alignment horizontal="center" vertical="center"/>
    </xf>
    <xf numFmtId="0" fontId="20" fillId="0" borderId="27" xfId="0" applyFont="1" applyFill="1" applyBorder="1" applyAlignment="1">
      <alignment horizontal="center" vertical="center"/>
    </xf>
    <xf numFmtId="0" fontId="20" fillId="0" borderId="28" xfId="0" applyFont="1" applyFill="1" applyBorder="1" applyAlignment="1">
      <alignment horizontal="center" vertical="center"/>
    </xf>
    <xf numFmtId="0" fontId="20" fillId="0" borderId="29" xfId="0" applyFont="1" applyFill="1" applyBorder="1" applyAlignment="1">
      <alignment horizontal="center" vertical="center"/>
    </xf>
    <xf numFmtId="0" fontId="20" fillId="0" borderId="31" xfId="0" applyFont="1" applyFill="1" applyBorder="1" applyAlignment="1">
      <alignment horizontal="center" vertical="center"/>
    </xf>
    <xf numFmtId="2" fontId="20" fillId="0" borderId="27" xfId="0" applyNumberFormat="1" applyFont="1" applyFill="1" applyBorder="1" applyAlignment="1">
      <alignment horizontal="center" vertical="center"/>
    </xf>
    <xf numFmtId="2" fontId="20" fillId="0" borderId="28" xfId="0" applyNumberFormat="1" applyFont="1" applyFill="1" applyBorder="1" applyAlignment="1">
      <alignment horizontal="center" vertical="center"/>
    </xf>
    <xf numFmtId="2" fontId="20" fillId="0" borderId="29" xfId="0" applyNumberFormat="1" applyFont="1" applyFill="1" applyBorder="1" applyAlignment="1">
      <alignment horizontal="center" vertical="center"/>
    </xf>
    <xf numFmtId="2" fontId="20" fillId="0" borderId="31" xfId="0" applyNumberFormat="1" applyFont="1" applyFill="1" applyBorder="1" applyAlignment="1">
      <alignment horizontal="center" vertical="center"/>
    </xf>
    <xf numFmtId="0" fontId="60" fillId="0" borderId="0" xfId="0" applyFont="1" applyFill="1" applyBorder="1" applyAlignment="1">
      <alignment horizontal="center" vertical="center"/>
    </xf>
    <xf numFmtId="0" fontId="136" fillId="0" borderId="0" xfId="0" applyFont="1" applyAlignment="1"/>
    <xf numFmtId="0" fontId="136" fillId="0" borderId="0" xfId="0" applyFont="1" applyAlignment="1">
      <alignment horizontal="left"/>
    </xf>
    <xf numFmtId="165" fontId="62" fillId="0" borderId="0" xfId="0" applyNumberFormat="1" applyFont="1" applyFill="1" applyProtection="1"/>
    <xf numFmtId="0" fontId="37" fillId="0" borderId="42" xfId="0" applyFont="1" applyBorder="1" applyAlignment="1">
      <alignment vertical="center" wrapText="1"/>
    </xf>
    <xf numFmtId="0" fontId="37" fillId="0" borderId="43" xfId="0" applyFont="1" applyBorder="1" applyAlignment="1">
      <alignment vertical="center" wrapText="1"/>
    </xf>
    <xf numFmtId="0" fontId="37" fillId="0" borderId="42" xfId="0" applyFont="1" applyBorder="1" applyAlignment="1">
      <alignment vertical="center" wrapText="1"/>
    </xf>
    <xf numFmtId="0" fontId="37" fillId="0" borderId="43" xfId="0" applyFont="1" applyBorder="1" applyAlignment="1">
      <alignment vertical="center" wrapText="1"/>
    </xf>
    <xf numFmtId="0" fontId="37" fillId="0" borderId="41" xfId="0" applyFont="1" applyFill="1" applyBorder="1" applyAlignment="1">
      <alignment vertical="center" wrapText="1"/>
    </xf>
    <xf numFmtId="0" fontId="37" fillId="0" borderId="56" xfId="0" applyFont="1" applyBorder="1" applyAlignment="1">
      <alignment vertical="top" wrapText="1"/>
    </xf>
    <xf numFmtId="0" fontId="37" fillId="0" borderId="52" xfId="0" applyFont="1" applyBorder="1" applyAlignment="1">
      <alignment vertical="top" wrapText="1"/>
    </xf>
    <xf numFmtId="0" fontId="37" fillId="0" borderId="40" xfId="0" applyFont="1" applyFill="1" applyBorder="1" applyAlignment="1">
      <alignment vertical="top" wrapText="1"/>
    </xf>
    <xf numFmtId="0" fontId="37" fillId="0" borderId="40" xfId="0" applyFont="1" applyBorder="1" applyAlignment="1">
      <alignment vertical="top" wrapText="1"/>
    </xf>
    <xf numFmtId="0" fontId="37" fillId="0" borderId="41" xfId="0" applyFont="1" applyFill="1" applyBorder="1" applyAlignment="1">
      <alignment vertical="center" wrapText="1"/>
    </xf>
    <xf numFmtId="49" fontId="60" fillId="0" borderId="0" xfId="0" applyNumberFormat="1" applyFont="1" applyFill="1" applyBorder="1" applyAlignment="1">
      <alignment horizontal="left" vertical="center"/>
    </xf>
    <xf numFmtId="0" fontId="60" fillId="0" borderId="0" xfId="0" applyFont="1" applyFill="1" applyBorder="1" applyAlignment="1">
      <alignment horizontal="center" vertical="center"/>
    </xf>
    <xf numFmtId="0" fontId="37" fillId="0" borderId="42" xfId="0" applyFont="1" applyBorder="1" applyAlignment="1">
      <alignment vertical="center" wrapText="1"/>
    </xf>
    <xf numFmtId="0" fontId="37" fillId="0" borderId="43" xfId="0" applyFont="1" applyBorder="1" applyAlignment="1">
      <alignment vertical="center" wrapText="1"/>
    </xf>
    <xf numFmtId="0" fontId="37" fillId="0" borderId="42" xfId="0" applyFont="1" applyBorder="1" applyAlignment="1">
      <alignment vertical="center" wrapText="1"/>
    </xf>
    <xf numFmtId="0" fontId="37" fillId="0" borderId="43" xfId="0" applyFont="1" applyBorder="1" applyAlignment="1">
      <alignment vertical="center" wrapText="1"/>
    </xf>
    <xf numFmtId="0" fontId="37" fillId="0" borderId="41" xfId="0" applyFont="1" applyFill="1" applyBorder="1" applyAlignment="1">
      <alignment vertical="center" wrapText="1"/>
    </xf>
    <xf numFmtId="0" fontId="24" fillId="0" borderId="13" xfId="0" applyFont="1" applyFill="1" applyBorder="1" applyAlignment="1">
      <alignment horizontal="center" vertical="center"/>
    </xf>
    <xf numFmtId="0" fontId="21" fillId="0" borderId="0" xfId="0" applyFont="1" applyFill="1" applyAlignment="1">
      <alignment horizontal="center" vertical="center"/>
    </xf>
    <xf numFmtId="0" fontId="20" fillId="0" borderId="0" xfId="0" applyFont="1" applyFill="1" applyAlignment="1">
      <alignment horizontal="center" vertical="center"/>
    </xf>
    <xf numFmtId="4" fontId="20" fillId="0" borderId="0" xfId="0" applyNumberFormat="1" applyFont="1" applyFill="1" applyAlignment="1">
      <alignment vertical="center"/>
    </xf>
    <xf numFmtId="4" fontId="22" fillId="0" borderId="0" xfId="42" applyFont="1" applyFill="1" applyAlignment="1">
      <alignment vertical="center"/>
      <protection locked="0"/>
    </xf>
    <xf numFmtId="4" fontId="37" fillId="0" borderId="44" xfId="902" applyNumberFormat="1" applyFont="1" applyFill="1" applyBorder="1" applyAlignment="1">
      <alignment horizontal="center" vertical="center" wrapText="1"/>
    </xf>
    <xf numFmtId="0" fontId="37" fillId="0" borderId="63" xfId="0" applyFont="1" applyFill="1" applyBorder="1" applyAlignment="1">
      <alignment horizontal="center" vertical="center" wrapText="1"/>
    </xf>
    <xf numFmtId="0" fontId="20" fillId="0" borderId="40" xfId="902" applyFont="1" applyFill="1" applyBorder="1" applyAlignment="1">
      <alignment horizontal="center" vertical="center" wrapText="1"/>
    </xf>
    <xf numFmtId="4" fontId="20" fillId="0" borderId="44" xfId="902" applyNumberFormat="1" applyFont="1" applyFill="1" applyBorder="1" applyAlignment="1">
      <alignment horizontal="center" vertical="center" wrapText="1"/>
    </xf>
    <xf numFmtId="0" fontId="80" fillId="0" borderId="0" xfId="0" applyFont="1" applyFill="1" applyAlignment="1">
      <alignment vertical="center"/>
    </xf>
    <xf numFmtId="2" fontId="83" fillId="0" borderId="0" xfId="0" applyNumberFormat="1" applyFont="1" applyFill="1" applyAlignment="1">
      <alignment vertical="center"/>
    </xf>
    <xf numFmtId="0" fontId="83" fillId="0" borderId="0" xfId="0" applyFont="1" applyFill="1" applyBorder="1" applyAlignment="1">
      <alignment vertical="center"/>
    </xf>
    <xf numFmtId="0" fontId="83" fillId="0" borderId="0" xfId="0" applyFont="1" applyFill="1" applyBorder="1" applyAlignment="1">
      <alignment horizontal="right" vertical="center"/>
    </xf>
    <xf numFmtId="0" fontId="37" fillId="0" borderId="0" xfId="0" applyFont="1" applyFill="1" applyBorder="1" applyAlignment="1">
      <alignment horizontal="right" vertical="center" wrapText="1"/>
    </xf>
    <xf numFmtId="0" fontId="24" fillId="0" borderId="13" xfId="0" applyFont="1" applyFill="1" applyBorder="1" applyAlignment="1">
      <alignment vertical="center"/>
    </xf>
    <xf numFmtId="0" fontId="80" fillId="0" borderId="13" xfId="0" applyFont="1" applyFill="1" applyBorder="1"/>
    <xf numFmtId="49" fontId="21" fillId="0" borderId="59" xfId="43" applyNumberFormat="1" applyFont="1" applyFill="1" applyBorder="1" applyAlignment="1" applyProtection="1">
      <alignment horizontal="center" vertical="center"/>
    </xf>
    <xf numFmtId="44" fontId="22" fillId="0" borderId="0" xfId="1956" applyFont="1" applyFill="1" applyAlignment="1">
      <alignment vertical="top"/>
    </xf>
    <xf numFmtId="0" fontId="60" fillId="0" borderId="0" xfId="0" applyFont="1" applyAlignment="1">
      <alignment horizontal="left" vertical="center" wrapText="1"/>
    </xf>
    <xf numFmtId="0" fontId="60" fillId="0" borderId="0" xfId="0" applyFont="1" applyFill="1" applyBorder="1" applyAlignment="1" applyProtection="1">
      <alignment horizontal="left" vertical="center" wrapText="1"/>
    </xf>
    <xf numFmtId="0" fontId="0" fillId="0" borderId="28" xfId="0" applyFont="1" applyFill="1" applyBorder="1" applyAlignment="1" applyProtection="1">
      <alignment vertical="center"/>
    </xf>
    <xf numFmtId="0" fontId="54" fillId="0" borderId="29" xfId="0" applyFont="1" applyFill="1" applyBorder="1" applyAlignment="1" applyProtection="1">
      <alignment horizontal="left" vertical="center"/>
    </xf>
    <xf numFmtId="0" fontId="54" fillId="0" borderId="30" xfId="0" applyFont="1" applyFill="1" applyBorder="1" applyAlignment="1" applyProtection="1">
      <alignment horizontal="left" vertical="center"/>
    </xf>
    <xf numFmtId="49" fontId="60" fillId="0" borderId="0" xfId="0" applyNumberFormat="1" applyFont="1" applyFill="1" applyBorder="1" applyAlignment="1" applyProtection="1">
      <alignment horizontal="left" vertical="center"/>
    </xf>
    <xf numFmtId="49" fontId="60" fillId="0" borderId="28" xfId="0" applyNumberFormat="1" applyFont="1" applyFill="1" applyBorder="1" applyAlignment="1" applyProtection="1">
      <alignment horizontal="left" vertical="center"/>
    </xf>
    <xf numFmtId="0" fontId="50" fillId="0" borderId="0" xfId="0" applyFont="1" applyFill="1" applyAlignment="1" applyProtection="1">
      <alignment horizontal="center" vertical="center" wrapText="1"/>
    </xf>
    <xf numFmtId="0" fontId="50" fillId="0" borderId="0" xfId="0" applyFont="1" applyFill="1" applyAlignment="1" applyProtection="1">
      <alignment horizontal="center" vertical="center"/>
    </xf>
    <xf numFmtId="0" fontId="54" fillId="0" borderId="27" xfId="1664" applyFont="1" applyFill="1" applyBorder="1" applyAlignment="1" applyProtection="1">
      <alignment horizontal="center"/>
    </xf>
    <xf numFmtId="0" fontId="54" fillId="0" borderId="0" xfId="1664" applyFont="1" applyFill="1" applyBorder="1" applyAlignment="1" applyProtection="1">
      <alignment horizontal="center"/>
    </xf>
    <xf numFmtId="0" fontId="54" fillId="0" borderId="28" xfId="1664" applyFont="1" applyFill="1" applyBorder="1" applyAlignment="1" applyProtection="1">
      <alignment horizontal="center"/>
    </xf>
    <xf numFmtId="0" fontId="54" fillId="0" borderId="27" xfId="1664" applyFont="1" applyFill="1" applyBorder="1" applyAlignment="1" applyProtection="1">
      <alignment horizontal="center" wrapText="1"/>
    </xf>
    <xf numFmtId="0" fontId="54" fillId="0" borderId="0" xfId="1664" applyFont="1" applyFill="1" applyBorder="1" applyAlignment="1" applyProtection="1">
      <alignment horizontal="center" wrapText="1"/>
    </xf>
    <xf numFmtId="0" fontId="54" fillId="0" borderId="28" xfId="1664" applyFont="1" applyFill="1" applyBorder="1" applyAlignment="1" applyProtection="1">
      <alignment horizontal="center" wrapText="1"/>
    </xf>
    <xf numFmtId="0" fontId="55" fillId="0" borderId="27" xfId="0" applyFont="1" applyBorder="1" applyAlignment="1" applyProtection="1">
      <alignment horizontal="center"/>
    </xf>
    <xf numFmtId="0" fontId="55" fillId="0" borderId="0" xfId="0" applyFont="1" applyBorder="1" applyAlignment="1" applyProtection="1">
      <alignment horizontal="center"/>
    </xf>
    <xf numFmtId="0" fontId="55" fillId="0" borderId="28" xfId="0" applyFont="1" applyBorder="1" applyAlignment="1" applyProtection="1">
      <alignment horizontal="center"/>
    </xf>
    <xf numFmtId="0" fontId="0" fillId="0" borderId="29" xfId="0" applyFont="1" applyBorder="1" applyAlignment="1" applyProtection="1">
      <alignment horizontal="center"/>
    </xf>
    <xf numFmtId="0" fontId="0" fillId="0" borderId="30" xfId="0" applyFont="1" applyBorder="1" applyAlignment="1" applyProtection="1">
      <alignment horizontal="center"/>
    </xf>
    <xf numFmtId="0" fontId="0" fillId="0" borderId="31" xfId="0" applyFont="1" applyBorder="1" applyAlignment="1" applyProtection="1">
      <alignment horizontal="center"/>
    </xf>
    <xf numFmtId="49" fontId="60" fillId="0" borderId="25" xfId="0" applyNumberFormat="1" applyFont="1" applyFill="1" applyBorder="1" applyAlignment="1" applyProtection="1">
      <alignment horizontal="left" vertical="center"/>
    </xf>
    <xf numFmtId="49" fontId="60" fillId="0" borderId="26" xfId="0" applyNumberFormat="1" applyFont="1" applyFill="1" applyBorder="1" applyAlignment="1" applyProtection="1">
      <alignment horizontal="left" vertical="center"/>
    </xf>
    <xf numFmtId="49" fontId="60" fillId="0" borderId="0" xfId="0" applyNumberFormat="1" applyFont="1" applyFill="1" applyBorder="1" applyAlignment="1" applyProtection="1">
      <alignment horizontal="left" vertical="center" wrapText="1"/>
    </xf>
    <xf numFmtId="49" fontId="60" fillId="0" borderId="28" xfId="0" applyNumberFormat="1" applyFont="1" applyFill="1" applyBorder="1" applyAlignment="1" applyProtection="1">
      <alignment horizontal="left" vertical="center" wrapText="1"/>
    </xf>
    <xf numFmtId="0" fontId="0" fillId="0" borderId="28" xfId="0" applyBorder="1"/>
    <xf numFmtId="0" fontId="60" fillId="0" borderId="27" xfId="0" applyFont="1" applyFill="1" applyBorder="1" applyAlignment="1" applyProtection="1">
      <alignment horizontal="left" vertical="center"/>
    </xf>
    <xf numFmtId="0" fontId="60" fillId="0" borderId="0" xfId="0" applyFont="1" applyFill="1" applyBorder="1" applyAlignment="1" applyProtection="1">
      <alignment horizontal="left" vertical="center"/>
    </xf>
    <xf numFmtId="17" fontId="60" fillId="0" borderId="0" xfId="0" applyNumberFormat="1" applyFont="1" applyFill="1" applyBorder="1" applyAlignment="1" applyProtection="1">
      <alignment horizontal="left" vertical="center"/>
    </xf>
    <xf numFmtId="17" fontId="60" fillId="0" borderId="28" xfId="0" applyNumberFormat="1" applyFont="1" applyFill="1" applyBorder="1" applyAlignment="1" applyProtection="1">
      <alignment horizontal="left" vertical="center"/>
    </xf>
    <xf numFmtId="0" fontId="60" fillId="0" borderId="28" xfId="0" applyFont="1" applyFill="1" applyBorder="1" applyAlignment="1" applyProtection="1">
      <alignment horizontal="left" vertical="center"/>
    </xf>
    <xf numFmtId="0" fontId="60" fillId="0" borderId="33" xfId="0" applyFont="1" applyBorder="1" applyAlignment="1" applyProtection="1">
      <alignment horizontal="justify" vertical="center" wrapText="1"/>
    </xf>
    <xf numFmtId="0" fontId="60" fillId="0" borderId="34" xfId="0" applyFont="1" applyBorder="1" applyAlignment="1" applyProtection="1">
      <alignment horizontal="justify" vertical="center" wrapText="1"/>
    </xf>
    <xf numFmtId="0" fontId="60" fillId="0" borderId="0" xfId="0" applyFont="1" applyFill="1" applyBorder="1" applyAlignment="1" applyProtection="1">
      <alignment horizontal="justify" vertical="top" wrapText="1"/>
    </xf>
    <xf numFmtId="0" fontId="60" fillId="0" borderId="28" xfId="0" applyFont="1" applyFill="1" applyBorder="1" applyAlignment="1" applyProtection="1">
      <alignment horizontal="justify" vertical="top" wrapText="1"/>
    </xf>
    <xf numFmtId="0" fontId="60" fillId="0" borderId="30" xfId="0" applyFont="1" applyFill="1" applyBorder="1" applyAlignment="1" applyProtection="1">
      <alignment horizontal="left" vertical="center" wrapText="1"/>
    </xf>
    <xf numFmtId="0" fontId="60" fillId="0" borderId="31" xfId="0" applyFont="1" applyFill="1" applyBorder="1" applyAlignment="1" applyProtection="1">
      <alignment horizontal="left" vertical="center"/>
    </xf>
    <xf numFmtId="0" fontId="63" fillId="0" borderId="24" xfId="0" applyFont="1" applyBorder="1" applyAlignment="1" applyProtection="1">
      <alignment horizontal="left" vertical="center"/>
    </xf>
    <xf numFmtId="0" fontId="63" fillId="0" borderId="25" xfId="0" applyFont="1" applyBorder="1" applyAlignment="1" applyProtection="1">
      <alignment horizontal="left" vertical="center"/>
    </xf>
    <xf numFmtId="0" fontId="63" fillId="0" borderId="26" xfId="0" applyFont="1" applyBorder="1" applyAlignment="1" applyProtection="1">
      <alignment horizontal="left" vertical="center"/>
    </xf>
    <xf numFmtId="0" fontId="60" fillId="0" borderId="0" xfId="0" applyFont="1" applyAlignment="1">
      <alignment horizontal="center" vertical="center" wrapText="1"/>
    </xf>
    <xf numFmtId="0" fontId="59" fillId="0" borderId="0" xfId="0" applyFont="1" applyFill="1" applyBorder="1" applyAlignment="1">
      <alignment horizontal="center" vertical="center" wrapText="1"/>
    </xf>
    <xf numFmtId="49" fontId="60" fillId="0" borderId="0" xfId="0" applyNumberFormat="1" applyFont="1" applyFill="1" applyBorder="1" applyAlignment="1">
      <alignment horizontal="left" vertical="center" wrapText="1"/>
    </xf>
    <xf numFmtId="0" fontId="60" fillId="0" borderId="0" xfId="0" applyNumberFormat="1" applyFont="1" applyFill="1" applyBorder="1" applyAlignment="1">
      <alignment horizontal="left" vertical="center" wrapText="1"/>
    </xf>
    <xf numFmtId="0" fontId="59" fillId="0" borderId="35" xfId="0" applyFont="1" applyFill="1" applyBorder="1" applyAlignment="1">
      <alignment horizontal="center" vertical="center" wrapText="1"/>
    </xf>
    <xf numFmtId="0" fontId="60" fillId="0" borderId="0" xfId="0" applyFont="1" applyFill="1" applyBorder="1" applyAlignment="1">
      <alignment horizontal="left" vertical="center"/>
    </xf>
    <xf numFmtId="0" fontId="82" fillId="0" borderId="0" xfId="0" applyFont="1" applyFill="1" applyBorder="1" applyAlignment="1">
      <alignment horizontal="center" vertical="top" wrapText="1"/>
    </xf>
    <xf numFmtId="0" fontId="77" fillId="0" borderId="0" xfId="0" applyFont="1" applyFill="1" applyAlignment="1">
      <alignment horizontal="center"/>
    </xf>
    <xf numFmtId="0" fontId="37" fillId="0" borderId="41" xfId="0" applyFont="1" applyBorder="1" applyAlignment="1">
      <alignment vertical="center" wrapText="1"/>
    </xf>
    <xf numFmtId="0" fontId="37" fillId="0" borderId="42" xfId="0" applyFont="1" applyBorder="1" applyAlignment="1">
      <alignment vertical="center" wrapText="1"/>
    </xf>
    <xf numFmtId="0" fontId="37" fillId="0" borderId="43" xfId="0" applyFont="1" applyBorder="1" applyAlignment="1">
      <alignment vertical="center" wrapText="1"/>
    </xf>
    <xf numFmtId="0" fontId="37" fillId="0" borderId="41" xfId="0" applyFont="1" applyFill="1" applyBorder="1" applyAlignment="1">
      <alignment vertical="center" wrapText="1"/>
    </xf>
    <xf numFmtId="0" fontId="37" fillId="0" borderId="42" xfId="0" applyFont="1" applyFill="1" applyBorder="1" applyAlignment="1">
      <alignment vertical="center" wrapText="1"/>
    </xf>
    <xf numFmtId="0" fontId="37" fillId="0" borderId="43" xfId="0" applyFont="1" applyFill="1" applyBorder="1" applyAlignment="1">
      <alignment vertical="center" wrapText="1"/>
    </xf>
    <xf numFmtId="0" fontId="37" fillId="0" borderId="46" xfId="0" applyFont="1" applyBorder="1" applyAlignment="1">
      <alignment vertical="center" wrapText="1"/>
    </xf>
    <xf numFmtId="0" fontId="37" fillId="0" borderId="46" xfId="0" applyFont="1" applyFill="1" applyBorder="1" applyAlignment="1">
      <alignment vertical="center" wrapText="1"/>
    </xf>
    <xf numFmtId="0" fontId="37" fillId="0" borderId="24" xfId="0" applyFont="1" applyFill="1" applyBorder="1" applyAlignment="1">
      <alignment horizontal="center" vertical="center"/>
    </xf>
    <xf numFmtId="0" fontId="37" fillId="0" borderId="26" xfId="0" applyFont="1" applyFill="1" applyBorder="1" applyAlignment="1">
      <alignment horizontal="center" vertical="center"/>
    </xf>
    <xf numFmtId="0" fontId="20" fillId="0" borderId="13" xfId="0" applyFont="1" applyFill="1" applyBorder="1" applyAlignment="1">
      <alignment horizontal="center" vertical="center"/>
    </xf>
    <xf numFmtId="0" fontId="20" fillId="0" borderId="41" xfId="0" applyFont="1" applyFill="1" applyBorder="1" applyAlignment="1">
      <alignment vertical="center" wrapText="1"/>
    </xf>
    <xf numFmtId="0" fontId="20" fillId="0" borderId="42" xfId="0" applyFont="1" applyFill="1" applyBorder="1" applyAlignment="1">
      <alignment vertical="center" wrapText="1"/>
    </xf>
    <xf numFmtId="0" fontId="20" fillId="0" borderId="43" xfId="0" applyFont="1" applyFill="1" applyBorder="1" applyAlignment="1">
      <alignment vertical="center" wrapText="1"/>
    </xf>
    <xf numFmtId="0" fontId="82" fillId="0" borderId="0" xfId="0" applyFont="1" applyFill="1" applyBorder="1" applyAlignment="1">
      <alignment horizontal="center" vertical="center" wrapText="1"/>
    </xf>
    <xf numFmtId="0" fontId="77" fillId="0" borderId="0" xfId="0" applyFont="1" applyFill="1" applyAlignment="1">
      <alignment horizontal="center" vertical="center"/>
    </xf>
    <xf numFmtId="49" fontId="60" fillId="0" borderId="0" xfId="0" applyNumberFormat="1" applyFont="1" applyFill="1" applyBorder="1" applyAlignment="1">
      <alignment horizontal="left" vertical="center"/>
    </xf>
    <xf numFmtId="0" fontId="60" fillId="0" borderId="0" xfId="0" applyFont="1" applyFill="1" applyBorder="1" applyAlignment="1">
      <alignment horizontal="center" vertical="center"/>
    </xf>
    <xf numFmtId="0" fontId="37" fillId="0" borderId="46"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1" xfId="0" applyFont="1" applyBorder="1" applyAlignment="1">
      <alignment vertical="top" wrapText="1"/>
    </xf>
    <xf numFmtId="0" fontId="37" fillId="0" borderId="41" xfId="0" applyFont="1" applyFill="1" applyBorder="1" applyAlignment="1">
      <alignment vertical="top" wrapText="1"/>
    </xf>
    <xf numFmtId="0" fontId="37" fillId="0" borderId="42" xfId="0" applyFont="1" applyFill="1" applyBorder="1" applyAlignment="1">
      <alignment vertical="top" wrapText="1"/>
    </xf>
    <xf numFmtId="0" fontId="37" fillId="0" borderId="43" xfId="0" applyFont="1" applyFill="1" applyBorder="1" applyAlignment="1">
      <alignment vertical="top" wrapText="1"/>
    </xf>
    <xf numFmtId="0" fontId="24" fillId="0" borderId="30" xfId="0" applyFont="1" applyFill="1" applyBorder="1" applyAlignment="1">
      <alignment horizontal="center" vertical="center"/>
    </xf>
    <xf numFmtId="0" fontId="60" fillId="0" borderId="0" xfId="0" applyNumberFormat="1" applyFont="1" applyFill="1" applyBorder="1" applyAlignment="1">
      <alignment horizontal="center" vertical="center" wrapText="1"/>
    </xf>
    <xf numFmtId="0" fontId="24" fillId="0" borderId="32" xfId="0" applyFont="1" applyFill="1" applyBorder="1" applyAlignment="1">
      <alignment horizontal="center" vertical="center"/>
    </xf>
    <xf numFmtId="0" fontId="24" fillId="0" borderId="33" xfId="0" applyFont="1" applyFill="1" applyBorder="1" applyAlignment="1">
      <alignment horizontal="center" vertical="center"/>
    </xf>
    <xf numFmtId="0" fontId="24" fillId="0" borderId="34" xfId="0" applyFont="1" applyFill="1" applyBorder="1" applyAlignment="1">
      <alignment horizontal="center" vertical="center"/>
    </xf>
    <xf numFmtId="0" fontId="24" fillId="0" borderId="137" xfId="0" applyFont="1" applyFill="1" applyBorder="1" applyAlignment="1">
      <alignment horizontal="center" vertical="center"/>
    </xf>
    <xf numFmtId="0" fontId="24" fillId="0" borderId="13" xfId="0" applyFont="1" applyFill="1" applyBorder="1" applyAlignment="1">
      <alignment horizontal="center" vertical="center"/>
    </xf>
    <xf numFmtId="0" fontId="21" fillId="0" borderId="49" xfId="43" applyNumberFormat="1" applyFont="1" applyFill="1" applyBorder="1" applyAlignment="1" applyProtection="1">
      <alignment horizontal="center" vertical="center" wrapText="1"/>
    </xf>
    <xf numFmtId="0" fontId="21" fillId="0" borderId="50" xfId="43" applyNumberFormat="1" applyFont="1" applyFill="1" applyBorder="1" applyAlignment="1" applyProtection="1">
      <alignment horizontal="center" vertical="center" wrapText="1"/>
    </xf>
    <xf numFmtId="0" fontId="21" fillId="0" borderId="51" xfId="43" applyNumberFormat="1" applyFont="1" applyFill="1" applyBorder="1" applyAlignment="1" applyProtection="1">
      <alignment horizontal="center" vertical="center" wrapText="1"/>
    </xf>
    <xf numFmtId="0" fontId="21" fillId="0" borderId="49" xfId="43" applyFont="1" applyBorder="1" applyAlignment="1">
      <alignment horizontal="center" vertical="center" wrapText="1"/>
    </xf>
    <xf numFmtId="0" fontId="21" fillId="0" borderId="50" xfId="43" applyFont="1" applyBorder="1" applyAlignment="1">
      <alignment horizontal="center" vertical="center" wrapText="1"/>
    </xf>
    <xf numFmtId="0" fontId="21" fillId="0" borderId="51" xfId="43" applyFont="1" applyBorder="1" applyAlignment="1">
      <alignment horizontal="center" vertical="center" wrapText="1"/>
    </xf>
    <xf numFmtId="0" fontId="91" fillId="33" borderId="0" xfId="2530" applyFont="1" applyFill="1" applyAlignment="1">
      <alignment horizontal="center" vertical="top" wrapText="1"/>
    </xf>
    <xf numFmtId="0" fontId="17" fillId="0" borderId="95" xfId="2270" applyFont="1" applyFill="1" applyBorder="1" applyAlignment="1">
      <alignment horizontal="center" vertical="center"/>
    </xf>
    <xf numFmtId="0" fontId="17" fillId="0" borderId="96" xfId="2270" applyFont="1" applyFill="1" applyBorder="1" applyAlignment="1">
      <alignment horizontal="center" vertical="center"/>
    </xf>
    <xf numFmtId="0" fontId="60" fillId="0" borderId="0" xfId="0" applyNumberFormat="1" applyFont="1" applyFill="1" applyBorder="1" applyAlignment="1">
      <alignment horizontal="center" vertical="top" wrapText="1"/>
    </xf>
    <xf numFmtId="0" fontId="17" fillId="33" borderId="91" xfId="2270" applyFont="1" applyFill="1" applyBorder="1" applyAlignment="1">
      <alignment horizontal="center" vertical="center"/>
    </xf>
    <xf numFmtId="0" fontId="17" fillId="33" borderId="92" xfId="2270" applyFont="1" applyFill="1" applyBorder="1" applyAlignment="1">
      <alignment horizontal="center" vertical="center"/>
    </xf>
    <xf numFmtId="0" fontId="103" fillId="0" borderId="0" xfId="2270" applyFont="1" applyAlignment="1">
      <alignment horizontal="center"/>
    </xf>
    <xf numFmtId="0" fontId="1" fillId="0" borderId="0" xfId="2270" applyFont="1" applyAlignment="1">
      <alignment horizontal="center" vertical="center" wrapText="1"/>
    </xf>
    <xf numFmtId="39" fontId="24" fillId="0" borderId="51" xfId="1401" applyNumberFormat="1" applyFont="1" applyFill="1" applyBorder="1" applyAlignment="1">
      <alignment horizontal="center" vertical="center" wrapText="1"/>
    </xf>
    <xf numFmtId="39" fontId="24" fillId="0" borderId="3" xfId="1401" applyNumberFormat="1" applyFont="1" applyFill="1" applyBorder="1" applyAlignment="1">
      <alignment horizontal="center" vertical="center" wrapText="1"/>
    </xf>
    <xf numFmtId="39" fontId="24" fillId="0" borderId="55" xfId="1401" applyNumberFormat="1" applyFont="1" applyFill="1" applyBorder="1" applyAlignment="1">
      <alignment horizontal="center" vertical="center" wrapText="1"/>
    </xf>
    <xf numFmtId="0" fontId="21" fillId="0" borderId="124" xfId="1057" applyFont="1" applyFill="1" applyBorder="1" applyAlignment="1">
      <alignment horizontal="center" vertical="center" wrapText="1"/>
    </xf>
    <xf numFmtId="0" fontId="21" fillId="0" borderId="53" xfId="1057" applyFont="1" applyFill="1" applyBorder="1" applyAlignment="1">
      <alignment horizontal="center" vertical="center" wrapText="1"/>
    </xf>
    <xf numFmtId="0" fontId="21" fillId="0" borderId="126" xfId="1057" applyFont="1" applyFill="1" applyBorder="1" applyAlignment="1">
      <alignment horizontal="center" vertical="center" wrapText="1"/>
    </xf>
    <xf numFmtId="0" fontId="21" fillId="0" borderId="117" xfId="1057" applyFont="1" applyFill="1" applyBorder="1" applyAlignment="1">
      <alignment horizontal="center" vertical="center"/>
    </xf>
    <xf numFmtId="0" fontId="21" fillId="0" borderId="3" xfId="1057" applyFont="1" applyFill="1" applyBorder="1" applyAlignment="1">
      <alignment horizontal="center" vertical="center"/>
    </xf>
    <xf numFmtId="0" fontId="21" fillId="0" borderId="120" xfId="1057" applyFont="1" applyFill="1" applyBorder="1" applyAlignment="1">
      <alignment horizontal="center" vertical="center"/>
    </xf>
    <xf numFmtId="39" fontId="24" fillId="0" borderId="117" xfId="1401" applyNumberFormat="1" applyFont="1" applyFill="1" applyBorder="1" applyAlignment="1">
      <alignment horizontal="center" vertical="center"/>
    </xf>
    <xf numFmtId="39" fontId="24" fillId="0" borderId="3" xfId="1401" applyNumberFormat="1" applyFont="1" applyFill="1" applyBorder="1" applyAlignment="1">
      <alignment horizontal="center" vertical="center"/>
    </xf>
    <xf numFmtId="39" fontId="24" fillId="0" borderId="120" xfId="1401" applyNumberFormat="1" applyFont="1" applyFill="1" applyBorder="1" applyAlignment="1">
      <alignment horizontal="center" vertical="center"/>
    </xf>
    <xf numFmtId="0" fontId="21" fillId="0" borderId="116" xfId="1057" applyFont="1" applyFill="1" applyBorder="1" applyAlignment="1">
      <alignment horizontal="center" vertical="center" wrapText="1"/>
    </xf>
    <xf numFmtId="0" fontId="21" fillId="0" borderId="122" xfId="1057" applyFont="1" applyFill="1" applyBorder="1" applyAlignment="1">
      <alignment horizontal="center" vertical="center" wrapText="1"/>
    </xf>
    <xf numFmtId="0" fontId="21" fillId="0" borderId="51" xfId="1057" applyFont="1" applyFill="1" applyBorder="1" applyAlignment="1">
      <alignment horizontal="center" vertical="center"/>
    </xf>
    <xf numFmtId="0" fontId="21" fillId="0" borderId="49" xfId="1057" applyFont="1" applyFill="1" applyBorder="1" applyAlignment="1">
      <alignment horizontal="center" vertical="center"/>
    </xf>
    <xf numFmtId="39" fontId="24" fillId="0" borderId="51" xfId="1401" applyNumberFormat="1" applyFont="1" applyFill="1" applyBorder="1" applyAlignment="1">
      <alignment horizontal="center" vertical="center"/>
    </xf>
    <xf numFmtId="39" fontId="24" fillId="0" borderId="49" xfId="1401" applyNumberFormat="1" applyFont="1" applyFill="1" applyBorder="1" applyAlignment="1">
      <alignment horizontal="center" vertical="center"/>
    </xf>
    <xf numFmtId="14" fontId="132" fillId="0" borderId="0" xfId="0" applyNumberFormat="1" applyFont="1" applyFill="1" applyBorder="1" applyAlignment="1">
      <alignment horizontal="center" vertical="center"/>
    </xf>
    <xf numFmtId="0" fontId="132" fillId="0" borderId="0" xfId="0" applyFont="1" applyFill="1" applyBorder="1" applyAlignment="1">
      <alignment horizontal="center" vertical="center"/>
    </xf>
    <xf numFmtId="0" fontId="77" fillId="0" borderId="0" xfId="0" applyFont="1" applyFill="1" applyBorder="1" applyAlignment="1">
      <alignment horizontal="center" vertical="center"/>
    </xf>
    <xf numFmtId="0" fontId="49" fillId="56" borderId="0" xfId="953" applyFont="1" applyFill="1" applyBorder="1" applyAlignment="1">
      <alignment horizontal="center" vertical="top"/>
    </xf>
    <xf numFmtId="0" fontId="73" fillId="0" borderId="0" xfId="0" applyFont="1" applyFill="1" applyBorder="1" applyAlignment="1">
      <alignment horizontal="center" vertical="center" wrapText="1"/>
    </xf>
    <xf numFmtId="0" fontId="17" fillId="0" borderId="0" xfId="799" applyFont="1" applyFill="1" applyBorder="1" applyAlignment="1">
      <alignment horizontal="center" vertical="center"/>
    </xf>
    <xf numFmtId="0" fontId="25" fillId="0" borderId="0" xfId="953" applyFont="1" applyFill="1" applyBorder="1" applyAlignment="1">
      <alignment horizontal="center" vertical="top"/>
    </xf>
    <xf numFmtId="0" fontId="24" fillId="0" borderId="0" xfId="799" applyFont="1" applyFill="1" applyBorder="1" applyAlignment="1">
      <alignment horizontal="center" vertical="center"/>
    </xf>
    <xf numFmtId="0" fontId="24" fillId="0" borderId="0" xfId="799" applyFont="1" applyFill="1" applyBorder="1" applyAlignment="1">
      <alignment horizontal="center" vertical="center" wrapText="1"/>
    </xf>
    <xf numFmtId="0" fontId="24" fillId="0" borderId="0" xfId="799" applyFont="1" applyFill="1" applyBorder="1" applyAlignment="1">
      <alignment horizontal="left" vertical="top" wrapText="1"/>
    </xf>
    <xf numFmtId="0" fontId="100" fillId="57" borderId="0" xfId="0" applyFont="1" applyFill="1" applyBorder="1" applyAlignment="1">
      <alignment horizontal="left" vertical="center"/>
    </xf>
    <xf numFmtId="0" fontId="100" fillId="57" borderId="0" xfId="0" applyFont="1" applyFill="1" applyBorder="1" applyAlignment="1">
      <alignment horizontal="left" vertical="center" wrapText="1"/>
    </xf>
    <xf numFmtId="0" fontId="18" fillId="57" borderId="0" xfId="0" applyFont="1" applyFill="1" applyBorder="1" applyAlignment="1">
      <alignment horizontal="left" vertical="center"/>
    </xf>
    <xf numFmtId="0" fontId="92" fillId="57" borderId="0" xfId="0" applyFont="1" applyFill="1" applyBorder="1" applyAlignment="1">
      <alignment horizontal="left" vertical="center"/>
    </xf>
    <xf numFmtId="0" fontId="97" fillId="0" borderId="77" xfId="0" applyFont="1" applyFill="1" applyBorder="1" applyAlignment="1">
      <alignment horizontal="right" vertical="center"/>
    </xf>
    <xf numFmtId="0" fontId="97" fillId="0" borderId="78" xfId="0" applyFont="1" applyFill="1" applyBorder="1" applyAlignment="1">
      <alignment horizontal="right" vertical="center"/>
    </xf>
    <xf numFmtId="0" fontId="97" fillId="0" borderId="79" xfId="0" applyFont="1" applyFill="1" applyBorder="1" applyAlignment="1">
      <alignment horizontal="right" vertical="center"/>
    </xf>
    <xf numFmtId="0" fontId="18" fillId="0" borderId="71" xfId="0" applyFont="1" applyFill="1" applyBorder="1" applyAlignment="1">
      <alignment horizontal="center" vertical="center"/>
    </xf>
    <xf numFmtId="0" fontId="18" fillId="0" borderId="30" xfId="0" applyFont="1" applyFill="1" applyBorder="1" applyAlignment="1">
      <alignment horizontal="center" vertical="center"/>
    </xf>
    <xf numFmtId="0" fontId="18" fillId="0" borderId="72" xfId="0" applyFont="1" applyFill="1" applyBorder="1" applyAlignment="1">
      <alignment horizontal="center" vertical="center"/>
    </xf>
    <xf numFmtId="0" fontId="18" fillId="0" borderId="32" xfId="0" applyFont="1" applyFill="1" applyBorder="1" applyAlignment="1">
      <alignment horizontal="left" vertical="center"/>
    </xf>
    <xf numFmtId="0" fontId="18" fillId="0" borderId="33" xfId="0" applyFont="1" applyFill="1" applyBorder="1" applyAlignment="1">
      <alignment horizontal="left" vertical="center"/>
    </xf>
    <xf numFmtId="0" fontId="18" fillId="0" borderId="34" xfId="0" applyFont="1" applyFill="1" applyBorder="1" applyAlignment="1">
      <alignment horizontal="left" vertical="center"/>
    </xf>
    <xf numFmtId="0" fontId="97" fillId="58" borderId="83" xfId="0" applyFont="1" applyFill="1" applyBorder="1" applyAlignment="1">
      <alignment horizontal="right" vertical="center"/>
    </xf>
    <xf numFmtId="0" fontId="97" fillId="58" borderId="84" xfId="0" applyFont="1" applyFill="1" applyBorder="1" applyAlignment="1">
      <alignment horizontal="right" vertical="center"/>
    </xf>
    <xf numFmtId="0" fontId="97" fillId="58" borderId="85" xfId="0" applyFont="1" applyFill="1" applyBorder="1" applyAlignment="1">
      <alignment horizontal="right" vertical="center"/>
    </xf>
    <xf numFmtId="0" fontId="97" fillId="57" borderId="0" xfId="0" applyFont="1" applyFill="1" applyBorder="1" applyAlignment="1">
      <alignment horizontal="center" vertical="center"/>
    </xf>
    <xf numFmtId="0" fontId="92" fillId="57" borderId="0" xfId="0" applyFont="1" applyFill="1" applyBorder="1" applyAlignment="1">
      <alignment horizontal="right" vertical="center"/>
    </xf>
    <xf numFmtId="0" fontId="98" fillId="57" borderId="0" xfId="0" applyFont="1" applyFill="1" applyBorder="1" applyAlignment="1">
      <alignment horizontal="right" vertical="center"/>
    </xf>
    <xf numFmtId="0" fontId="98" fillId="57" borderId="0" xfId="0" applyFont="1" applyFill="1" applyBorder="1" applyAlignment="1">
      <alignment vertical="center"/>
    </xf>
    <xf numFmtId="0" fontId="92" fillId="57" borderId="0" xfId="0" applyFont="1" applyFill="1" applyBorder="1" applyAlignment="1">
      <alignment horizontal="center" vertical="center"/>
    </xf>
    <xf numFmtId="0" fontId="98" fillId="57" borderId="0" xfId="0" applyFont="1" applyFill="1" applyBorder="1" applyAlignment="1">
      <alignment horizontal="left" vertical="center"/>
    </xf>
    <xf numFmtId="0" fontId="18" fillId="0" borderId="73" xfId="0" applyFont="1" applyFill="1" applyBorder="1" applyAlignment="1">
      <alignment horizontal="center" vertical="center"/>
    </xf>
    <xf numFmtId="0" fontId="18" fillId="0" borderId="75" xfId="0" applyFont="1" applyFill="1" applyBorder="1" applyAlignment="1">
      <alignment horizontal="center" vertical="center"/>
    </xf>
    <xf numFmtId="0" fontId="18" fillId="0" borderId="76" xfId="0" applyFont="1" applyFill="1" applyBorder="1" applyAlignment="1">
      <alignment horizontal="center" vertical="center"/>
    </xf>
    <xf numFmtId="0" fontId="18" fillId="0" borderId="24" xfId="0" applyFont="1" applyFill="1" applyBorder="1" applyAlignment="1">
      <alignment horizontal="left" vertical="center"/>
    </xf>
    <xf numFmtId="0" fontId="18" fillId="0" borderId="25" xfId="0" applyFont="1" applyFill="1" applyBorder="1" applyAlignment="1">
      <alignment horizontal="left" vertical="center"/>
    </xf>
    <xf numFmtId="0" fontId="18" fillId="0" borderId="26" xfId="0" applyFont="1" applyFill="1" applyBorder="1" applyAlignment="1">
      <alignment horizontal="left" vertical="center"/>
    </xf>
    <xf numFmtId="0" fontId="18" fillId="0" borderId="27" xfId="0" applyFont="1" applyFill="1" applyBorder="1" applyAlignment="1">
      <alignment horizontal="left" vertical="center"/>
    </xf>
    <xf numFmtId="0" fontId="18" fillId="0" borderId="0" xfId="0" applyFont="1" applyFill="1" applyBorder="1" applyAlignment="1">
      <alignment horizontal="left" vertical="center"/>
    </xf>
    <xf numFmtId="0" fontId="18" fillId="0" borderId="28" xfId="0" applyFont="1" applyFill="1" applyBorder="1" applyAlignment="1">
      <alignment horizontal="left" vertical="center"/>
    </xf>
    <xf numFmtId="0" fontId="18" fillId="0" borderId="29" xfId="0" applyFont="1" applyFill="1" applyBorder="1" applyAlignment="1">
      <alignment horizontal="left" vertical="center"/>
    </xf>
    <xf numFmtId="0" fontId="18" fillId="0" borderId="30" xfId="0" applyFont="1" applyFill="1" applyBorder="1" applyAlignment="1">
      <alignment horizontal="left" vertical="center"/>
    </xf>
    <xf numFmtId="0" fontId="18" fillId="0" borderId="31" xfId="0" applyFont="1" applyFill="1" applyBorder="1" applyAlignment="1">
      <alignment horizontal="left" vertical="center"/>
    </xf>
    <xf numFmtId="0" fontId="93" fillId="57" borderId="0" xfId="0" applyFont="1" applyFill="1" applyBorder="1" applyAlignment="1">
      <alignment horizontal="center" vertical="center"/>
    </xf>
    <xf numFmtId="0" fontId="95" fillId="57" borderId="0" xfId="0" applyFont="1" applyFill="1" applyBorder="1" applyAlignment="1" applyProtection="1">
      <alignment horizontal="center" vertical="center"/>
      <protection locked="0"/>
    </xf>
    <xf numFmtId="0" fontId="97" fillId="58" borderId="69" xfId="0" applyFont="1" applyFill="1" applyBorder="1" applyAlignment="1">
      <alignment horizontal="center" vertical="center"/>
    </xf>
    <xf numFmtId="0" fontId="93" fillId="57" borderId="0" xfId="0" applyFont="1" applyFill="1" applyAlignment="1">
      <alignment horizontal="center"/>
    </xf>
    <xf numFmtId="0" fontId="95" fillId="57" borderId="0" xfId="0" applyFont="1" applyFill="1" applyBorder="1" applyAlignment="1" applyProtection="1">
      <alignment horizontal="center" vertical="center" wrapText="1"/>
      <protection locked="0"/>
    </xf>
  </cellXfs>
  <cellStyles count="2956">
    <cellStyle name="20% - Accent1" xfId="2354"/>
    <cellStyle name="20% - Accent2" xfId="2355"/>
    <cellStyle name="20% - Accent3" xfId="2356"/>
    <cellStyle name="20% - Accent4" xfId="2357"/>
    <cellStyle name="20% - Accent5" xfId="2358"/>
    <cellStyle name="20% - Accent6" xfId="2359"/>
    <cellStyle name="20% - Ênfase1" xfId="1" builtinId="30" customBuiltin="1"/>
    <cellStyle name="20% - Ênfase1 10" xfId="47"/>
    <cellStyle name="20% - Ênfase1 10 2" xfId="48"/>
    <cellStyle name="20% - Ênfase1 11" xfId="49"/>
    <cellStyle name="20% - Ênfase1 11 2" xfId="50"/>
    <cellStyle name="20% - Ênfase1 12" xfId="51"/>
    <cellStyle name="20% - Ênfase1 12 2" xfId="52"/>
    <cellStyle name="20% - Ênfase1 13" xfId="53"/>
    <cellStyle name="20% - Ênfase1 13 2" xfId="54"/>
    <cellStyle name="20% - Ênfase1 14" xfId="2360"/>
    <cellStyle name="20% - Ênfase1 14 2" xfId="55"/>
    <cellStyle name="20% - Ênfase1 15 2" xfId="56"/>
    <cellStyle name="20% - Ênfase1 16 2" xfId="57"/>
    <cellStyle name="20% - Ênfase1 17 2" xfId="58"/>
    <cellStyle name="20% - Ênfase1 2" xfId="59"/>
    <cellStyle name="20% - Ênfase1 2 2" xfId="60"/>
    <cellStyle name="20% - Ênfase1 3" xfId="61"/>
    <cellStyle name="20% - Ênfase1 3 2" xfId="62"/>
    <cellStyle name="20% - Ênfase1 4" xfId="63"/>
    <cellStyle name="20% - Ênfase1 4 2" xfId="64"/>
    <cellStyle name="20% - Ênfase1 5" xfId="65"/>
    <cellStyle name="20% - Ênfase1 5 2" xfId="66"/>
    <cellStyle name="20% - Ênfase1 6" xfId="67"/>
    <cellStyle name="20% - Ênfase1 6 2" xfId="68"/>
    <cellStyle name="20% - Ênfase1 7" xfId="69"/>
    <cellStyle name="20% - Ênfase1 7 2" xfId="70"/>
    <cellStyle name="20% - Ênfase1 8" xfId="71"/>
    <cellStyle name="20% - Ênfase1 8 2" xfId="72"/>
    <cellStyle name="20% - Ênfase1 9" xfId="73"/>
    <cellStyle name="20% - Ênfase1 9 2" xfId="74"/>
    <cellStyle name="20% - Ênfase2" xfId="2" builtinId="34" customBuiltin="1"/>
    <cellStyle name="20% - Ênfase2 10" xfId="75"/>
    <cellStyle name="20% - Ênfase2 10 2" xfId="76"/>
    <cellStyle name="20% - Ênfase2 11" xfId="77"/>
    <cellStyle name="20% - Ênfase2 11 2" xfId="78"/>
    <cellStyle name="20% - Ênfase2 12" xfId="79"/>
    <cellStyle name="20% - Ênfase2 12 2" xfId="80"/>
    <cellStyle name="20% - Ênfase2 13" xfId="81"/>
    <cellStyle name="20% - Ênfase2 13 2" xfId="82"/>
    <cellStyle name="20% - Ênfase2 14" xfId="2361"/>
    <cellStyle name="20% - Ênfase2 14 2" xfId="83"/>
    <cellStyle name="20% - Ênfase2 15 2" xfId="84"/>
    <cellStyle name="20% - Ênfase2 16 2" xfId="85"/>
    <cellStyle name="20% - Ênfase2 17 2" xfId="86"/>
    <cellStyle name="20% - Ênfase2 2" xfId="87"/>
    <cellStyle name="20% - Ênfase2 2 2" xfId="88"/>
    <cellStyle name="20% - Ênfase2 3" xfId="89"/>
    <cellStyle name="20% - Ênfase2 3 2" xfId="90"/>
    <cellStyle name="20% - Ênfase2 4" xfId="91"/>
    <cellStyle name="20% - Ênfase2 4 2" xfId="92"/>
    <cellStyle name="20% - Ênfase2 5" xfId="93"/>
    <cellStyle name="20% - Ênfase2 5 2" xfId="94"/>
    <cellStyle name="20% - Ênfase2 6" xfId="95"/>
    <cellStyle name="20% - Ênfase2 6 2" xfId="96"/>
    <cellStyle name="20% - Ênfase2 7" xfId="97"/>
    <cellStyle name="20% - Ênfase2 7 2" xfId="98"/>
    <cellStyle name="20% - Ênfase2 8" xfId="99"/>
    <cellStyle name="20% - Ênfase2 8 2" xfId="100"/>
    <cellStyle name="20% - Ênfase2 9" xfId="101"/>
    <cellStyle name="20% - Ênfase2 9 2" xfId="102"/>
    <cellStyle name="20% - Ênfase3" xfId="3" builtinId="38" customBuiltin="1"/>
    <cellStyle name="20% - Ênfase3 10" xfId="103"/>
    <cellStyle name="20% - Ênfase3 10 2" xfId="104"/>
    <cellStyle name="20% - Ênfase3 11" xfId="105"/>
    <cellStyle name="20% - Ênfase3 11 2" xfId="106"/>
    <cellStyle name="20% - Ênfase3 12" xfId="107"/>
    <cellStyle name="20% - Ênfase3 12 2" xfId="108"/>
    <cellStyle name="20% - Ênfase3 13" xfId="109"/>
    <cellStyle name="20% - Ênfase3 13 2" xfId="110"/>
    <cellStyle name="20% - Ênfase3 14" xfId="2362"/>
    <cellStyle name="20% - Ênfase3 14 2" xfId="111"/>
    <cellStyle name="20% - Ênfase3 15 2" xfId="112"/>
    <cellStyle name="20% - Ênfase3 16 2" xfId="113"/>
    <cellStyle name="20% - Ênfase3 17 2" xfId="114"/>
    <cellStyle name="20% - Ênfase3 2" xfId="115"/>
    <cellStyle name="20% - Ênfase3 2 2" xfId="116"/>
    <cellStyle name="20% - Ênfase3 3" xfId="117"/>
    <cellStyle name="20% - Ênfase3 3 2" xfId="118"/>
    <cellStyle name="20% - Ênfase3 4" xfId="119"/>
    <cellStyle name="20% - Ênfase3 4 2" xfId="120"/>
    <cellStyle name="20% - Ênfase3 5" xfId="121"/>
    <cellStyle name="20% - Ênfase3 5 2" xfId="122"/>
    <cellStyle name="20% - Ênfase3 6" xfId="123"/>
    <cellStyle name="20% - Ênfase3 6 2" xfId="124"/>
    <cellStyle name="20% - Ênfase3 7" xfId="125"/>
    <cellStyle name="20% - Ênfase3 7 2" xfId="126"/>
    <cellStyle name="20% - Ênfase3 8" xfId="127"/>
    <cellStyle name="20% - Ênfase3 8 2" xfId="128"/>
    <cellStyle name="20% - Ênfase3 9" xfId="129"/>
    <cellStyle name="20% - Ênfase3 9 2" xfId="130"/>
    <cellStyle name="20% - Ênfase4" xfId="4" builtinId="42" customBuiltin="1"/>
    <cellStyle name="20% - Ênfase4 10" xfId="131"/>
    <cellStyle name="20% - Ênfase4 10 2" xfId="132"/>
    <cellStyle name="20% - Ênfase4 11" xfId="133"/>
    <cellStyle name="20% - Ênfase4 11 2" xfId="134"/>
    <cellStyle name="20% - Ênfase4 12" xfId="135"/>
    <cellStyle name="20% - Ênfase4 12 2" xfId="136"/>
    <cellStyle name="20% - Ênfase4 13" xfId="137"/>
    <cellStyle name="20% - Ênfase4 13 2" xfId="138"/>
    <cellStyle name="20% - Ênfase4 14" xfId="2363"/>
    <cellStyle name="20% - Ênfase4 14 2" xfId="139"/>
    <cellStyle name="20% - Ênfase4 15 2" xfId="140"/>
    <cellStyle name="20% - Ênfase4 16 2" xfId="141"/>
    <cellStyle name="20% - Ênfase4 17 2" xfId="142"/>
    <cellStyle name="20% - Ênfase4 2" xfId="143"/>
    <cellStyle name="20% - Ênfase4 2 2" xfId="144"/>
    <cellStyle name="20% - Ênfase4 3" xfId="145"/>
    <cellStyle name="20% - Ênfase4 3 2" xfId="146"/>
    <cellStyle name="20% - Ênfase4 4" xfId="147"/>
    <cellStyle name="20% - Ênfase4 4 2" xfId="148"/>
    <cellStyle name="20% - Ênfase4 5" xfId="149"/>
    <cellStyle name="20% - Ênfase4 5 2" xfId="150"/>
    <cellStyle name="20% - Ênfase4 6" xfId="151"/>
    <cellStyle name="20% - Ênfase4 6 2" xfId="152"/>
    <cellStyle name="20% - Ênfase4 7" xfId="153"/>
    <cellStyle name="20% - Ênfase4 7 2" xfId="154"/>
    <cellStyle name="20% - Ênfase4 8" xfId="155"/>
    <cellStyle name="20% - Ênfase4 8 2" xfId="156"/>
    <cellStyle name="20% - Ênfase4 9" xfId="157"/>
    <cellStyle name="20% - Ênfase4 9 2" xfId="158"/>
    <cellStyle name="20% - Ênfase5" xfId="5" builtinId="46" customBuiltin="1"/>
    <cellStyle name="20% - Ênfase5 10" xfId="159"/>
    <cellStyle name="20% - Ênfase5 10 2" xfId="160"/>
    <cellStyle name="20% - Ênfase5 11" xfId="161"/>
    <cellStyle name="20% - Ênfase5 11 2" xfId="162"/>
    <cellStyle name="20% - Ênfase5 12" xfId="163"/>
    <cellStyle name="20% - Ênfase5 12 2" xfId="164"/>
    <cellStyle name="20% - Ênfase5 13" xfId="165"/>
    <cellStyle name="20% - Ênfase5 13 2" xfId="166"/>
    <cellStyle name="20% - Ênfase5 14 2" xfId="167"/>
    <cellStyle name="20% - Ênfase5 15 2" xfId="168"/>
    <cellStyle name="20% - Ênfase5 16 2" xfId="169"/>
    <cellStyle name="20% - Ênfase5 17 2" xfId="170"/>
    <cellStyle name="20% - Ênfase5 2" xfId="171"/>
    <cellStyle name="20% - Ênfase5 2 2" xfId="172"/>
    <cellStyle name="20% - Ênfase5 3" xfId="173"/>
    <cellStyle name="20% - Ênfase5 3 2" xfId="174"/>
    <cellStyle name="20% - Ênfase5 4" xfId="175"/>
    <cellStyle name="20% - Ênfase5 4 2" xfId="176"/>
    <cellStyle name="20% - Ênfase5 5" xfId="177"/>
    <cellStyle name="20% - Ênfase5 5 2" xfId="178"/>
    <cellStyle name="20% - Ênfase5 6" xfId="179"/>
    <cellStyle name="20% - Ênfase5 6 2" xfId="180"/>
    <cellStyle name="20% - Ênfase5 7" xfId="181"/>
    <cellStyle name="20% - Ênfase5 7 2" xfId="182"/>
    <cellStyle name="20% - Ênfase5 8" xfId="183"/>
    <cellStyle name="20% - Ênfase5 8 2" xfId="184"/>
    <cellStyle name="20% - Ênfase5 9" xfId="185"/>
    <cellStyle name="20% - Ênfase5 9 2" xfId="186"/>
    <cellStyle name="20% - Ênfase6" xfId="6" builtinId="50" customBuiltin="1"/>
    <cellStyle name="20% - Ênfase6 10" xfId="187"/>
    <cellStyle name="20% - Ênfase6 10 2" xfId="188"/>
    <cellStyle name="20% - Ênfase6 11" xfId="189"/>
    <cellStyle name="20% - Ênfase6 11 2" xfId="190"/>
    <cellStyle name="20% - Ênfase6 12" xfId="191"/>
    <cellStyle name="20% - Ênfase6 12 2" xfId="192"/>
    <cellStyle name="20% - Ênfase6 13" xfId="193"/>
    <cellStyle name="20% - Ênfase6 13 2" xfId="194"/>
    <cellStyle name="20% - Ênfase6 14" xfId="2364"/>
    <cellStyle name="20% - Ênfase6 14 2" xfId="195"/>
    <cellStyle name="20% - Ênfase6 15 2" xfId="196"/>
    <cellStyle name="20% - Ênfase6 16 2" xfId="197"/>
    <cellStyle name="20% - Ênfase6 17 2" xfId="198"/>
    <cellStyle name="20% - Ênfase6 2" xfId="199"/>
    <cellStyle name="20% - Ênfase6 2 2" xfId="200"/>
    <cellStyle name="20% - Ênfase6 3" xfId="201"/>
    <cellStyle name="20% - Ênfase6 3 2" xfId="202"/>
    <cellStyle name="20% - Ênfase6 4" xfId="203"/>
    <cellStyle name="20% - Ênfase6 4 2" xfId="204"/>
    <cellStyle name="20% - Ênfase6 5" xfId="205"/>
    <cellStyle name="20% - Ênfase6 5 2" xfId="206"/>
    <cellStyle name="20% - Ênfase6 6" xfId="207"/>
    <cellStyle name="20% - Ênfase6 6 2" xfId="208"/>
    <cellStyle name="20% - Ênfase6 7" xfId="209"/>
    <cellStyle name="20% - Ênfase6 7 2" xfId="210"/>
    <cellStyle name="20% - Ênfase6 8" xfId="211"/>
    <cellStyle name="20% - Ênfase6 8 2" xfId="212"/>
    <cellStyle name="20% - Ênfase6 9" xfId="213"/>
    <cellStyle name="20% - Ênfase6 9 2" xfId="214"/>
    <cellStyle name="40% - Accent1" xfId="2365"/>
    <cellStyle name="40% - Accent2" xfId="2366"/>
    <cellStyle name="40% - Accent3" xfId="2367"/>
    <cellStyle name="40% - Accent4" xfId="2368"/>
    <cellStyle name="40% - Accent5" xfId="2369"/>
    <cellStyle name="40% - Accent6" xfId="2370"/>
    <cellStyle name="40% - Ênfase1" xfId="7" builtinId="31" customBuiltin="1"/>
    <cellStyle name="40% - Ênfase1 10" xfId="215"/>
    <cellStyle name="40% - Ênfase1 10 2" xfId="216"/>
    <cellStyle name="40% - Ênfase1 11" xfId="217"/>
    <cellStyle name="40% - Ênfase1 11 2" xfId="218"/>
    <cellStyle name="40% - Ênfase1 12" xfId="219"/>
    <cellStyle name="40% - Ênfase1 12 2" xfId="220"/>
    <cellStyle name="40% - Ênfase1 13" xfId="221"/>
    <cellStyle name="40% - Ênfase1 13 2" xfId="222"/>
    <cellStyle name="40% - Ênfase1 14" xfId="2371"/>
    <cellStyle name="40% - Ênfase1 14 2" xfId="223"/>
    <cellStyle name="40% - Ênfase1 15 2" xfId="224"/>
    <cellStyle name="40% - Ênfase1 16 2" xfId="225"/>
    <cellStyle name="40% - Ênfase1 17 2" xfId="226"/>
    <cellStyle name="40% - Ênfase1 2" xfId="227"/>
    <cellStyle name="40% - Ênfase1 2 2" xfId="228"/>
    <cellStyle name="40% - Ênfase1 3" xfId="229"/>
    <cellStyle name="40% - Ênfase1 3 2" xfId="230"/>
    <cellStyle name="40% - Ênfase1 4" xfId="231"/>
    <cellStyle name="40% - Ênfase1 4 2" xfId="232"/>
    <cellStyle name="40% - Ênfase1 5" xfId="233"/>
    <cellStyle name="40% - Ênfase1 5 2" xfId="234"/>
    <cellStyle name="40% - Ênfase1 6" xfId="235"/>
    <cellStyle name="40% - Ênfase1 6 2" xfId="236"/>
    <cellStyle name="40% - Ênfase1 7" xfId="237"/>
    <cellStyle name="40% - Ênfase1 7 2" xfId="238"/>
    <cellStyle name="40% - Ênfase1 8" xfId="239"/>
    <cellStyle name="40% - Ênfase1 8 2" xfId="240"/>
    <cellStyle name="40% - Ênfase1 9" xfId="241"/>
    <cellStyle name="40% - Ênfase1 9 2" xfId="242"/>
    <cellStyle name="40% - Ênfase2" xfId="8" builtinId="35" customBuiltin="1"/>
    <cellStyle name="40% - Ênfase2 10" xfId="243"/>
    <cellStyle name="40% - Ênfase2 10 2" xfId="244"/>
    <cellStyle name="40% - Ênfase2 11" xfId="245"/>
    <cellStyle name="40% - Ênfase2 11 2" xfId="246"/>
    <cellStyle name="40% - Ênfase2 12" xfId="247"/>
    <cellStyle name="40% - Ênfase2 12 2" xfId="248"/>
    <cellStyle name="40% - Ênfase2 13" xfId="249"/>
    <cellStyle name="40% - Ênfase2 13 2" xfId="250"/>
    <cellStyle name="40% - Ênfase2 14 2" xfId="251"/>
    <cellStyle name="40% - Ênfase2 15 2" xfId="252"/>
    <cellStyle name="40% - Ênfase2 16 2" xfId="253"/>
    <cellStyle name="40% - Ênfase2 17 2" xfId="254"/>
    <cellStyle name="40% - Ênfase2 2" xfId="255"/>
    <cellStyle name="40% - Ênfase2 2 2" xfId="256"/>
    <cellStyle name="40% - Ênfase2 3" xfId="257"/>
    <cellStyle name="40% - Ênfase2 3 2" xfId="258"/>
    <cellStyle name="40% - Ênfase2 4" xfId="259"/>
    <cellStyle name="40% - Ênfase2 4 2" xfId="260"/>
    <cellStyle name="40% - Ênfase2 5" xfId="261"/>
    <cellStyle name="40% - Ênfase2 5 2" xfId="262"/>
    <cellStyle name="40% - Ênfase2 6" xfId="263"/>
    <cellStyle name="40% - Ênfase2 6 2" xfId="264"/>
    <cellStyle name="40% - Ênfase2 7" xfId="265"/>
    <cellStyle name="40% - Ênfase2 7 2" xfId="266"/>
    <cellStyle name="40% - Ênfase2 8" xfId="267"/>
    <cellStyle name="40% - Ênfase2 8 2" xfId="268"/>
    <cellStyle name="40% - Ênfase2 9" xfId="269"/>
    <cellStyle name="40% - Ênfase2 9 2" xfId="270"/>
    <cellStyle name="40% - Ênfase3" xfId="9" builtinId="39" customBuiltin="1"/>
    <cellStyle name="40% - Ênfase3 10" xfId="271"/>
    <cellStyle name="40% - Ênfase3 10 2" xfId="272"/>
    <cellStyle name="40% - Ênfase3 11" xfId="273"/>
    <cellStyle name="40% - Ênfase3 11 2" xfId="274"/>
    <cellStyle name="40% - Ênfase3 12" xfId="275"/>
    <cellStyle name="40% - Ênfase3 12 2" xfId="276"/>
    <cellStyle name="40% - Ênfase3 13" xfId="277"/>
    <cellStyle name="40% - Ênfase3 13 2" xfId="278"/>
    <cellStyle name="40% - Ênfase3 14" xfId="2372"/>
    <cellStyle name="40% - Ênfase3 14 2" xfId="279"/>
    <cellStyle name="40% - Ênfase3 15 2" xfId="280"/>
    <cellStyle name="40% - Ênfase3 16 2" xfId="281"/>
    <cellStyle name="40% - Ênfase3 17 2" xfId="282"/>
    <cellStyle name="40% - Ênfase3 2" xfId="283"/>
    <cellStyle name="40% - Ênfase3 2 2" xfId="284"/>
    <cellStyle name="40% - Ênfase3 3" xfId="285"/>
    <cellStyle name="40% - Ênfase3 3 2" xfId="286"/>
    <cellStyle name="40% - Ênfase3 4" xfId="287"/>
    <cellStyle name="40% - Ênfase3 4 2" xfId="288"/>
    <cellStyle name="40% - Ênfase3 5" xfId="289"/>
    <cellStyle name="40% - Ênfase3 5 2" xfId="290"/>
    <cellStyle name="40% - Ênfase3 6" xfId="291"/>
    <cellStyle name="40% - Ênfase3 6 2" xfId="292"/>
    <cellStyle name="40% - Ênfase3 7" xfId="293"/>
    <cellStyle name="40% - Ênfase3 7 2" xfId="294"/>
    <cellStyle name="40% - Ênfase3 8" xfId="295"/>
    <cellStyle name="40% - Ênfase3 8 2" xfId="296"/>
    <cellStyle name="40% - Ênfase3 9" xfId="297"/>
    <cellStyle name="40% - Ênfase3 9 2" xfId="298"/>
    <cellStyle name="40% - Ênfase4" xfId="10" builtinId="43" customBuiltin="1"/>
    <cellStyle name="40% - Ênfase4 10" xfId="299"/>
    <cellStyle name="40% - Ênfase4 10 2" xfId="300"/>
    <cellStyle name="40% - Ênfase4 11" xfId="301"/>
    <cellStyle name="40% - Ênfase4 11 2" xfId="302"/>
    <cellStyle name="40% - Ênfase4 12" xfId="303"/>
    <cellStyle name="40% - Ênfase4 12 2" xfId="304"/>
    <cellStyle name="40% - Ênfase4 13" xfId="305"/>
    <cellStyle name="40% - Ênfase4 13 2" xfId="306"/>
    <cellStyle name="40% - Ênfase4 14" xfId="2373"/>
    <cellStyle name="40% - Ênfase4 14 2" xfId="307"/>
    <cellStyle name="40% - Ênfase4 15 2" xfId="308"/>
    <cellStyle name="40% - Ênfase4 16 2" xfId="309"/>
    <cellStyle name="40% - Ênfase4 17 2" xfId="310"/>
    <cellStyle name="40% - Ênfase4 2" xfId="311"/>
    <cellStyle name="40% - Ênfase4 2 2" xfId="312"/>
    <cellStyle name="40% - Ênfase4 3" xfId="313"/>
    <cellStyle name="40% - Ênfase4 3 2" xfId="314"/>
    <cellStyle name="40% - Ênfase4 4" xfId="315"/>
    <cellStyle name="40% - Ênfase4 4 2" xfId="316"/>
    <cellStyle name="40% - Ênfase4 5" xfId="317"/>
    <cellStyle name="40% - Ênfase4 5 2" xfId="318"/>
    <cellStyle name="40% - Ênfase4 6" xfId="319"/>
    <cellStyle name="40% - Ênfase4 6 2" xfId="320"/>
    <cellStyle name="40% - Ênfase4 7" xfId="321"/>
    <cellStyle name="40% - Ênfase4 7 2" xfId="322"/>
    <cellStyle name="40% - Ênfase4 8" xfId="323"/>
    <cellStyle name="40% - Ênfase4 8 2" xfId="324"/>
    <cellStyle name="40% - Ênfase4 9" xfId="325"/>
    <cellStyle name="40% - Ênfase4 9 2" xfId="326"/>
    <cellStyle name="40% - Ênfase5" xfId="11" builtinId="47" customBuiltin="1"/>
    <cellStyle name="40% - Ênfase5 10" xfId="327"/>
    <cellStyle name="40% - Ênfase5 10 2" xfId="328"/>
    <cellStyle name="40% - Ênfase5 11" xfId="329"/>
    <cellStyle name="40% - Ênfase5 11 2" xfId="330"/>
    <cellStyle name="40% - Ênfase5 12" xfId="331"/>
    <cellStyle name="40% - Ênfase5 12 2" xfId="332"/>
    <cellStyle name="40% - Ênfase5 13" xfId="333"/>
    <cellStyle name="40% - Ênfase5 13 2" xfId="334"/>
    <cellStyle name="40% - Ênfase5 14" xfId="2374"/>
    <cellStyle name="40% - Ênfase5 14 2" xfId="335"/>
    <cellStyle name="40% - Ênfase5 15 2" xfId="336"/>
    <cellStyle name="40% - Ênfase5 16 2" xfId="337"/>
    <cellStyle name="40% - Ênfase5 17 2" xfId="338"/>
    <cellStyle name="40% - Ênfase5 2" xfId="339"/>
    <cellStyle name="40% - Ênfase5 2 2" xfId="340"/>
    <cellStyle name="40% - Ênfase5 3" xfId="341"/>
    <cellStyle name="40% - Ênfase5 3 2" xfId="342"/>
    <cellStyle name="40% - Ênfase5 4" xfId="343"/>
    <cellStyle name="40% - Ênfase5 4 2" xfId="344"/>
    <cellStyle name="40% - Ênfase5 5" xfId="345"/>
    <cellStyle name="40% - Ênfase5 5 2" xfId="346"/>
    <cellStyle name="40% - Ênfase5 6" xfId="347"/>
    <cellStyle name="40% - Ênfase5 6 2" xfId="348"/>
    <cellStyle name="40% - Ênfase5 7" xfId="349"/>
    <cellStyle name="40% - Ênfase5 7 2" xfId="350"/>
    <cellStyle name="40% - Ênfase5 8" xfId="351"/>
    <cellStyle name="40% - Ênfase5 8 2" xfId="352"/>
    <cellStyle name="40% - Ênfase5 9" xfId="353"/>
    <cellStyle name="40% - Ênfase5 9 2" xfId="354"/>
    <cellStyle name="40% - Ênfase6" xfId="12" builtinId="51" customBuiltin="1"/>
    <cellStyle name="40% - Ênfase6 10" xfId="355"/>
    <cellStyle name="40% - Ênfase6 10 2" xfId="356"/>
    <cellStyle name="40% - Ênfase6 11" xfId="357"/>
    <cellStyle name="40% - Ênfase6 11 2" xfId="358"/>
    <cellStyle name="40% - Ênfase6 12" xfId="359"/>
    <cellStyle name="40% - Ênfase6 12 2" xfId="360"/>
    <cellStyle name="40% - Ênfase6 13" xfId="361"/>
    <cellStyle name="40% - Ênfase6 13 2" xfId="362"/>
    <cellStyle name="40% - Ênfase6 14" xfId="2375"/>
    <cellStyle name="40% - Ênfase6 14 2" xfId="363"/>
    <cellStyle name="40% - Ênfase6 15 2" xfId="364"/>
    <cellStyle name="40% - Ênfase6 16 2" xfId="365"/>
    <cellStyle name="40% - Ênfase6 17 2" xfId="366"/>
    <cellStyle name="40% - Ênfase6 2" xfId="367"/>
    <cellStyle name="40% - Ênfase6 2 2" xfId="368"/>
    <cellStyle name="40% - Ênfase6 3" xfId="369"/>
    <cellStyle name="40% - Ênfase6 3 2" xfId="370"/>
    <cellStyle name="40% - Ênfase6 4" xfId="371"/>
    <cellStyle name="40% - Ênfase6 4 2" xfId="372"/>
    <cellStyle name="40% - Ênfase6 5" xfId="373"/>
    <cellStyle name="40% - Ênfase6 5 2" xfId="374"/>
    <cellStyle name="40% - Ênfase6 6" xfId="375"/>
    <cellStyle name="40% - Ênfase6 6 2" xfId="376"/>
    <cellStyle name="40% - Ênfase6 7" xfId="377"/>
    <cellStyle name="40% - Ênfase6 7 2" xfId="378"/>
    <cellStyle name="40% - Ênfase6 8" xfId="379"/>
    <cellStyle name="40% - Ênfase6 8 2" xfId="380"/>
    <cellStyle name="40% - Ênfase6 9" xfId="381"/>
    <cellStyle name="40% - Ênfase6 9 2" xfId="382"/>
    <cellStyle name="60% - Accent1" xfId="2376"/>
    <cellStyle name="60% - Accent2" xfId="2377"/>
    <cellStyle name="60% - Accent3" xfId="2378"/>
    <cellStyle name="60% - Accent4" xfId="2379"/>
    <cellStyle name="60% - Accent5" xfId="2380"/>
    <cellStyle name="60% - Accent6" xfId="2381"/>
    <cellStyle name="60% - Ênfase1" xfId="13" builtinId="32" customBuiltin="1"/>
    <cellStyle name="60% - Ênfase1 10 2" xfId="383"/>
    <cellStyle name="60% - Ênfase1 11 2" xfId="384"/>
    <cellStyle name="60% - Ênfase1 12 2" xfId="385"/>
    <cellStyle name="60% - Ênfase1 13 2" xfId="386"/>
    <cellStyle name="60% - Ênfase1 14 2" xfId="387"/>
    <cellStyle name="60% - Ênfase1 15 2" xfId="388"/>
    <cellStyle name="60% - Ênfase1 16 2" xfId="389"/>
    <cellStyle name="60% - Ênfase1 17 2" xfId="390"/>
    <cellStyle name="60% - Ênfase1 2" xfId="391"/>
    <cellStyle name="60% - Ênfase1 2 2" xfId="392"/>
    <cellStyle name="60% - Ênfase1 3" xfId="393"/>
    <cellStyle name="60% - Ênfase1 3 2" xfId="394"/>
    <cellStyle name="60% - Ênfase1 4" xfId="395"/>
    <cellStyle name="60% - Ênfase1 4 2" xfId="396"/>
    <cellStyle name="60% - Ênfase1 5" xfId="397"/>
    <cellStyle name="60% - Ênfase1 5 2" xfId="398"/>
    <cellStyle name="60% - Ênfase1 6" xfId="2382"/>
    <cellStyle name="60% - Ênfase1 6 2" xfId="399"/>
    <cellStyle name="60% - Ênfase1 7 2" xfId="400"/>
    <cellStyle name="60% - Ênfase1 8 2" xfId="401"/>
    <cellStyle name="60% - Ênfase1 9 2" xfId="402"/>
    <cellStyle name="60% - Ênfase2" xfId="14" builtinId="36" customBuiltin="1"/>
    <cellStyle name="60% - Ênfase2 10 2" xfId="403"/>
    <cellStyle name="60% - Ênfase2 11 2" xfId="404"/>
    <cellStyle name="60% - Ênfase2 12 2" xfId="405"/>
    <cellStyle name="60% - Ênfase2 13 2" xfId="406"/>
    <cellStyle name="60% - Ênfase2 14 2" xfId="407"/>
    <cellStyle name="60% - Ênfase2 15 2" xfId="408"/>
    <cellStyle name="60% - Ênfase2 16 2" xfId="409"/>
    <cellStyle name="60% - Ênfase2 17 2" xfId="410"/>
    <cellStyle name="60% - Ênfase2 2" xfId="411"/>
    <cellStyle name="60% - Ênfase2 2 2" xfId="412"/>
    <cellStyle name="60% - Ênfase2 3" xfId="413"/>
    <cellStyle name="60% - Ênfase2 3 2" xfId="414"/>
    <cellStyle name="60% - Ênfase2 4" xfId="415"/>
    <cellStyle name="60% - Ênfase2 4 2" xfId="416"/>
    <cellStyle name="60% - Ênfase2 5" xfId="417"/>
    <cellStyle name="60% - Ênfase2 5 2" xfId="418"/>
    <cellStyle name="60% - Ênfase2 6" xfId="2383"/>
    <cellStyle name="60% - Ênfase2 6 2" xfId="419"/>
    <cellStyle name="60% - Ênfase2 7 2" xfId="420"/>
    <cellStyle name="60% - Ênfase2 8 2" xfId="421"/>
    <cellStyle name="60% - Ênfase2 9 2" xfId="422"/>
    <cellStyle name="60% - Ênfase3" xfId="15" builtinId="40" customBuiltin="1"/>
    <cellStyle name="60% - Ênfase3 10 2" xfId="423"/>
    <cellStyle name="60% - Ênfase3 11 2" xfId="424"/>
    <cellStyle name="60% - Ênfase3 12 2" xfId="425"/>
    <cellStyle name="60% - Ênfase3 13 2" xfId="426"/>
    <cellStyle name="60% - Ênfase3 14 2" xfId="427"/>
    <cellStyle name="60% - Ênfase3 15 2" xfId="428"/>
    <cellStyle name="60% - Ênfase3 16 2" xfId="429"/>
    <cellStyle name="60% - Ênfase3 17 2" xfId="430"/>
    <cellStyle name="60% - Ênfase3 2" xfId="431"/>
    <cellStyle name="60% - Ênfase3 2 2" xfId="432"/>
    <cellStyle name="60% - Ênfase3 3" xfId="433"/>
    <cellStyle name="60% - Ênfase3 3 2" xfId="434"/>
    <cellStyle name="60% - Ênfase3 4" xfId="435"/>
    <cellStyle name="60% - Ênfase3 4 2" xfId="436"/>
    <cellStyle name="60% - Ênfase3 5" xfId="437"/>
    <cellStyle name="60% - Ênfase3 5 2" xfId="438"/>
    <cellStyle name="60% - Ênfase3 6" xfId="2384"/>
    <cellStyle name="60% - Ênfase3 6 2" xfId="439"/>
    <cellStyle name="60% - Ênfase3 7 2" xfId="440"/>
    <cellStyle name="60% - Ênfase3 8 2" xfId="441"/>
    <cellStyle name="60% - Ênfase3 9 2" xfId="442"/>
    <cellStyle name="60% - Ênfase4" xfId="16" builtinId="44" customBuiltin="1"/>
    <cellStyle name="60% - Ênfase4 10 2" xfId="443"/>
    <cellStyle name="60% - Ênfase4 11 2" xfId="444"/>
    <cellStyle name="60% - Ênfase4 12 2" xfId="445"/>
    <cellStyle name="60% - Ênfase4 13 2" xfId="446"/>
    <cellStyle name="60% - Ênfase4 14 2" xfId="447"/>
    <cellStyle name="60% - Ênfase4 15 2" xfId="448"/>
    <cellStyle name="60% - Ênfase4 16 2" xfId="449"/>
    <cellStyle name="60% - Ênfase4 17 2" xfId="450"/>
    <cellStyle name="60% - Ênfase4 2" xfId="451"/>
    <cellStyle name="60% - Ênfase4 2 2" xfId="452"/>
    <cellStyle name="60% - Ênfase4 3" xfId="453"/>
    <cellStyle name="60% - Ênfase4 3 2" xfId="454"/>
    <cellStyle name="60% - Ênfase4 4" xfId="455"/>
    <cellStyle name="60% - Ênfase4 4 2" xfId="456"/>
    <cellStyle name="60% - Ênfase4 5" xfId="457"/>
    <cellStyle name="60% - Ênfase4 5 2" xfId="458"/>
    <cellStyle name="60% - Ênfase4 6" xfId="2385"/>
    <cellStyle name="60% - Ênfase4 6 2" xfId="459"/>
    <cellStyle name="60% - Ênfase4 7 2" xfId="460"/>
    <cellStyle name="60% - Ênfase4 8 2" xfId="461"/>
    <cellStyle name="60% - Ênfase4 9 2" xfId="462"/>
    <cellStyle name="60% - Ênfase5" xfId="17" builtinId="48" customBuiltin="1"/>
    <cellStyle name="60% - Ênfase5 10 2" xfId="463"/>
    <cellStyle name="60% - Ênfase5 11 2" xfId="464"/>
    <cellStyle name="60% - Ênfase5 12 2" xfId="465"/>
    <cellStyle name="60% - Ênfase5 13 2" xfId="466"/>
    <cellStyle name="60% - Ênfase5 14 2" xfId="467"/>
    <cellStyle name="60% - Ênfase5 15 2" xfId="468"/>
    <cellStyle name="60% - Ênfase5 16 2" xfId="469"/>
    <cellStyle name="60% - Ênfase5 17 2" xfId="470"/>
    <cellStyle name="60% - Ênfase5 2" xfId="471"/>
    <cellStyle name="60% - Ênfase5 2 2" xfId="472"/>
    <cellStyle name="60% - Ênfase5 3" xfId="473"/>
    <cellStyle name="60% - Ênfase5 3 2" xfId="474"/>
    <cellStyle name="60% - Ênfase5 4" xfId="475"/>
    <cellStyle name="60% - Ênfase5 4 2" xfId="476"/>
    <cellStyle name="60% - Ênfase5 5" xfId="477"/>
    <cellStyle name="60% - Ênfase5 5 2" xfId="478"/>
    <cellStyle name="60% - Ênfase5 6" xfId="2386"/>
    <cellStyle name="60% - Ênfase5 6 2" xfId="479"/>
    <cellStyle name="60% - Ênfase5 7 2" xfId="480"/>
    <cellStyle name="60% - Ênfase5 8 2" xfId="481"/>
    <cellStyle name="60% - Ênfase5 9 2" xfId="482"/>
    <cellStyle name="60% - Ênfase6" xfId="18" builtinId="52" customBuiltin="1"/>
    <cellStyle name="60% - Ênfase6 10 2" xfId="483"/>
    <cellStyle name="60% - Ênfase6 11 2" xfId="484"/>
    <cellStyle name="60% - Ênfase6 12 2" xfId="485"/>
    <cellStyle name="60% - Ênfase6 13 2" xfId="486"/>
    <cellStyle name="60% - Ênfase6 14 2" xfId="487"/>
    <cellStyle name="60% - Ênfase6 15 2" xfId="488"/>
    <cellStyle name="60% - Ênfase6 16 2" xfId="489"/>
    <cellStyle name="60% - Ênfase6 17 2" xfId="490"/>
    <cellStyle name="60% - Ênfase6 2" xfId="491"/>
    <cellStyle name="60% - Ênfase6 2 2" xfId="492"/>
    <cellStyle name="60% - Ênfase6 3" xfId="493"/>
    <cellStyle name="60% - Ênfase6 3 2" xfId="494"/>
    <cellStyle name="60% - Ênfase6 4" xfId="495"/>
    <cellStyle name="60% - Ênfase6 4 2" xfId="496"/>
    <cellStyle name="60% - Ênfase6 5" xfId="497"/>
    <cellStyle name="60% - Ênfase6 5 2" xfId="498"/>
    <cellStyle name="60% - Ênfase6 6" xfId="2387"/>
    <cellStyle name="60% - Ênfase6 6 2" xfId="499"/>
    <cellStyle name="60% - Ênfase6 7 2" xfId="500"/>
    <cellStyle name="60% - Ênfase6 8 2" xfId="501"/>
    <cellStyle name="60% - Ênfase6 9 2" xfId="502"/>
    <cellStyle name="Accent1" xfId="2388"/>
    <cellStyle name="Accent1 - 20%" xfId="2389"/>
    <cellStyle name="Accent1 - 40%" xfId="2390"/>
    <cellStyle name="Accent1 - 60%" xfId="2391"/>
    <cellStyle name="Accent2" xfId="2392"/>
    <cellStyle name="Accent2 - 20%" xfId="2393"/>
    <cellStyle name="Accent2 - 40%" xfId="2394"/>
    <cellStyle name="Accent2 - 60%" xfId="2395"/>
    <cellStyle name="Accent3" xfId="2396"/>
    <cellStyle name="Accent3 - 20%" xfId="2397"/>
    <cellStyle name="Accent3 - 40%" xfId="2398"/>
    <cellStyle name="Accent3 - 60%" xfId="2399"/>
    <cellStyle name="Accent4" xfId="2400"/>
    <cellStyle name="Accent4 - 20%" xfId="2401"/>
    <cellStyle name="Accent4 - 40%" xfId="2402"/>
    <cellStyle name="Accent4 - 60%" xfId="2403"/>
    <cellStyle name="Accent5" xfId="2404"/>
    <cellStyle name="Accent5 - 20%" xfId="2405"/>
    <cellStyle name="Accent5 - 40%" xfId="2406"/>
    <cellStyle name="Accent5 - 60%" xfId="2407"/>
    <cellStyle name="Accent6" xfId="2408"/>
    <cellStyle name="Accent6 - 20%" xfId="2409"/>
    <cellStyle name="Accent6 - 40%" xfId="2410"/>
    <cellStyle name="Accent6 - 60%" xfId="2411"/>
    <cellStyle name="Bad" xfId="2412"/>
    <cellStyle name="Bom" xfId="19" builtinId="26" customBuiltin="1"/>
    <cellStyle name="Bom 10 2" xfId="503"/>
    <cellStyle name="Bom 11 2" xfId="504"/>
    <cellStyle name="Bom 12 2" xfId="505"/>
    <cellStyle name="Bom 13 2" xfId="506"/>
    <cellStyle name="Bom 14 2" xfId="507"/>
    <cellStyle name="Bom 15 2" xfId="508"/>
    <cellStyle name="Bom 16 2" xfId="509"/>
    <cellStyle name="Bom 17 2" xfId="510"/>
    <cellStyle name="Bom 2" xfId="511"/>
    <cellStyle name="Bom 2 2" xfId="512"/>
    <cellStyle name="Bom 3" xfId="513"/>
    <cellStyle name="Bom 3 2" xfId="514"/>
    <cellStyle name="Bom 4" xfId="515"/>
    <cellStyle name="Bom 4 2" xfId="516"/>
    <cellStyle name="Bom 5" xfId="517"/>
    <cellStyle name="Bom 5 2" xfId="518"/>
    <cellStyle name="Bom 6" xfId="2413"/>
    <cellStyle name="Bom 6 2" xfId="519"/>
    <cellStyle name="Bom 7 2" xfId="520"/>
    <cellStyle name="Bom 8 2" xfId="521"/>
    <cellStyle name="Bom 9 2" xfId="522"/>
    <cellStyle name="Cabeçalho 1" xfId="523"/>
    <cellStyle name="Cabeçalho 2" xfId="524"/>
    <cellStyle name="Calculation" xfId="2414"/>
    <cellStyle name="Cálculo" xfId="20" builtinId="22" customBuiltin="1"/>
    <cellStyle name="Cálculo 10 2" xfId="525"/>
    <cellStyle name="Cálculo 11 2" xfId="526"/>
    <cellStyle name="Cálculo 12 2" xfId="527"/>
    <cellStyle name="Cálculo 13 2" xfId="528"/>
    <cellStyle name="Cálculo 14 2" xfId="529"/>
    <cellStyle name="Cálculo 15 2" xfId="530"/>
    <cellStyle name="Cálculo 16 2" xfId="531"/>
    <cellStyle name="Cálculo 17 2" xfId="532"/>
    <cellStyle name="Cálculo 2" xfId="533"/>
    <cellStyle name="Cálculo 2 2" xfId="534"/>
    <cellStyle name="Cálculo 3" xfId="535"/>
    <cellStyle name="Cálculo 3 2" xfId="536"/>
    <cellStyle name="Cálculo 4" xfId="537"/>
    <cellStyle name="Cálculo 4 2" xfId="538"/>
    <cellStyle name="Cálculo 5" xfId="539"/>
    <cellStyle name="Cálculo 5 2" xfId="540"/>
    <cellStyle name="Cálculo 6" xfId="2415"/>
    <cellStyle name="Cálculo 6 2" xfId="541"/>
    <cellStyle name="Cálculo 7 2" xfId="542"/>
    <cellStyle name="Cálculo 8 2" xfId="543"/>
    <cellStyle name="Cálculo 9 2" xfId="544"/>
    <cellStyle name="Célula de Verificação" xfId="21" builtinId="23" customBuiltin="1"/>
    <cellStyle name="Célula de Verificação 10 2" xfId="545"/>
    <cellStyle name="Célula de Verificação 11 2" xfId="546"/>
    <cellStyle name="Célula de Verificação 12 2" xfId="547"/>
    <cellStyle name="Célula de Verificação 13 2" xfId="548"/>
    <cellStyle name="Célula de Verificação 14 2" xfId="549"/>
    <cellStyle name="Célula de Verificação 15 2" xfId="550"/>
    <cellStyle name="Célula de Verificação 16 2" xfId="551"/>
    <cellStyle name="Célula de Verificação 17 2" xfId="552"/>
    <cellStyle name="Célula de Verificação 2" xfId="553"/>
    <cellStyle name="Célula de Verificação 2 2" xfId="554"/>
    <cellStyle name="Célula de Verificação 3" xfId="555"/>
    <cellStyle name="Célula de Verificação 3 2" xfId="556"/>
    <cellStyle name="Célula de Verificação 4" xfId="557"/>
    <cellStyle name="Célula de Verificação 4 2" xfId="558"/>
    <cellStyle name="Célula de Verificação 5" xfId="559"/>
    <cellStyle name="Célula de Verificação 5 2" xfId="560"/>
    <cellStyle name="Célula de Verificação 6 2" xfId="561"/>
    <cellStyle name="Célula de Verificação 7 2" xfId="562"/>
    <cellStyle name="Célula de Verificação 8 2" xfId="563"/>
    <cellStyle name="Célula de Verificação 9 2" xfId="564"/>
    <cellStyle name="Célula Vinculada" xfId="22" builtinId="24" customBuiltin="1"/>
    <cellStyle name="Célula Vinculada 10 2" xfId="565"/>
    <cellStyle name="Célula Vinculada 11 2" xfId="566"/>
    <cellStyle name="Célula Vinculada 12 2" xfId="567"/>
    <cellStyle name="Célula Vinculada 13 2" xfId="568"/>
    <cellStyle name="Célula Vinculada 14 2" xfId="569"/>
    <cellStyle name="Célula Vinculada 15 2" xfId="570"/>
    <cellStyle name="Célula Vinculada 16 2" xfId="571"/>
    <cellStyle name="Célula Vinculada 17 2" xfId="572"/>
    <cellStyle name="Célula Vinculada 2" xfId="573"/>
    <cellStyle name="Célula Vinculada 2 2" xfId="574"/>
    <cellStyle name="Célula Vinculada 3" xfId="575"/>
    <cellStyle name="Célula Vinculada 3 2" xfId="576"/>
    <cellStyle name="Célula Vinculada 4" xfId="577"/>
    <cellStyle name="Célula Vinculada 4 2" xfId="578"/>
    <cellStyle name="Célula Vinculada 5" xfId="579"/>
    <cellStyle name="Célula Vinculada 5 2" xfId="580"/>
    <cellStyle name="Célula Vinculada 6" xfId="2416"/>
    <cellStyle name="Célula Vinculada 6 2" xfId="581"/>
    <cellStyle name="Célula Vinculada 7 2" xfId="582"/>
    <cellStyle name="Célula Vinculada 8 2" xfId="583"/>
    <cellStyle name="Célula Vinculada 9 2" xfId="584"/>
    <cellStyle name="Check Cell" xfId="2417"/>
    <cellStyle name="Comma 2" xfId="585"/>
    <cellStyle name="Comma 2 2" xfId="1670"/>
    <cellStyle name="Comma 2 2 2" xfId="1966"/>
    <cellStyle name="Data" xfId="586"/>
    <cellStyle name="Duasdec" xfId="587"/>
    <cellStyle name="Emphasis 1" xfId="2418"/>
    <cellStyle name="Emphasis 2" xfId="2419"/>
    <cellStyle name="Emphasis 3" xfId="2420"/>
    <cellStyle name="Ênfase1" xfId="23" builtinId="29" customBuiltin="1"/>
    <cellStyle name="Ênfase1 10 2" xfId="588"/>
    <cellStyle name="Ênfase1 11 2" xfId="589"/>
    <cellStyle name="Ênfase1 12 2" xfId="590"/>
    <cellStyle name="Ênfase1 13 2" xfId="591"/>
    <cellStyle name="Ênfase1 14 2" xfId="592"/>
    <cellStyle name="Ênfase1 15 2" xfId="593"/>
    <cellStyle name="Ênfase1 16 2" xfId="594"/>
    <cellStyle name="Ênfase1 17 2" xfId="595"/>
    <cellStyle name="Ênfase1 2" xfId="596"/>
    <cellStyle name="Ênfase1 2 2" xfId="597"/>
    <cellStyle name="Ênfase1 3" xfId="598"/>
    <cellStyle name="Ênfase1 3 2" xfId="599"/>
    <cellStyle name="Ênfase1 4" xfId="600"/>
    <cellStyle name="Ênfase1 4 2" xfId="601"/>
    <cellStyle name="Ênfase1 5" xfId="602"/>
    <cellStyle name="Ênfase1 5 2" xfId="603"/>
    <cellStyle name="Ênfase1 6" xfId="2421"/>
    <cellStyle name="Ênfase1 6 2" xfId="604"/>
    <cellStyle name="Ênfase1 7 2" xfId="605"/>
    <cellStyle name="Ênfase1 8 2" xfId="606"/>
    <cellStyle name="Ênfase1 9 2" xfId="607"/>
    <cellStyle name="Ênfase2" xfId="24" builtinId="33" customBuiltin="1"/>
    <cellStyle name="Ênfase2 10 2" xfId="608"/>
    <cellStyle name="Ênfase2 11 2" xfId="609"/>
    <cellStyle name="Ênfase2 12 2" xfId="610"/>
    <cellStyle name="Ênfase2 13 2" xfId="611"/>
    <cellStyle name="Ênfase2 14 2" xfId="612"/>
    <cellStyle name="Ênfase2 15 2" xfId="613"/>
    <cellStyle name="Ênfase2 16 2" xfId="614"/>
    <cellStyle name="Ênfase2 17 2" xfId="615"/>
    <cellStyle name="Ênfase2 2" xfId="616"/>
    <cellStyle name="Ênfase2 2 2" xfId="617"/>
    <cellStyle name="Ênfase2 3" xfId="618"/>
    <cellStyle name="Ênfase2 3 2" xfId="619"/>
    <cellStyle name="Ênfase2 4" xfId="620"/>
    <cellStyle name="Ênfase2 4 2" xfId="621"/>
    <cellStyle name="Ênfase2 5" xfId="622"/>
    <cellStyle name="Ênfase2 5 2" xfId="623"/>
    <cellStyle name="Ênfase2 6" xfId="2422"/>
    <cellStyle name="Ênfase2 6 2" xfId="624"/>
    <cellStyle name="Ênfase2 7 2" xfId="625"/>
    <cellStyle name="Ênfase2 8 2" xfId="626"/>
    <cellStyle name="Ênfase2 9 2" xfId="627"/>
    <cellStyle name="Ênfase3" xfId="25" builtinId="37" customBuiltin="1"/>
    <cellStyle name="Ênfase3 10 2" xfId="628"/>
    <cellStyle name="Ênfase3 11 2" xfId="629"/>
    <cellStyle name="Ênfase3 12 2" xfId="630"/>
    <cellStyle name="Ênfase3 13 2" xfId="631"/>
    <cellStyle name="Ênfase3 14 2" xfId="632"/>
    <cellStyle name="Ênfase3 15 2" xfId="633"/>
    <cellStyle name="Ênfase3 16 2" xfId="634"/>
    <cellStyle name="Ênfase3 17 2" xfId="635"/>
    <cellStyle name="Ênfase3 2" xfId="636"/>
    <cellStyle name="Ênfase3 2 2" xfId="637"/>
    <cellStyle name="Ênfase3 3" xfId="638"/>
    <cellStyle name="Ênfase3 3 2" xfId="639"/>
    <cellStyle name="Ênfase3 4" xfId="640"/>
    <cellStyle name="Ênfase3 4 2" xfId="641"/>
    <cellStyle name="Ênfase3 5" xfId="642"/>
    <cellStyle name="Ênfase3 5 2" xfId="643"/>
    <cellStyle name="Ênfase3 6" xfId="2423"/>
    <cellStyle name="Ênfase3 6 2" xfId="644"/>
    <cellStyle name="Ênfase3 7 2" xfId="645"/>
    <cellStyle name="Ênfase3 8 2" xfId="646"/>
    <cellStyle name="Ênfase3 9 2" xfId="647"/>
    <cellStyle name="Ênfase4" xfId="26" builtinId="41" customBuiltin="1"/>
    <cellStyle name="Ênfase4 10 2" xfId="648"/>
    <cellStyle name="Ênfase4 11 2" xfId="649"/>
    <cellStyle name="Ênfase4 12 2" xfId="650"/>
    <cellStyle name="Ênfase4 13 2" xfId="651"/>
    <cellStyle name="Ênfase4 14 2" xfId="652"/>
    <cellStyle name="Ênfase4 15 2" xfId="653"/>
    <cellStyle name="Ênfase4 16 2" xfId="654"/>
    <cellStyle name="Ênfase4 17 2" xfId="655"/>
    <cellStyle name="Ênfase4 2" xfId="656"/>
    <cellStyle name="Ênfase4 2 2" xfId="657"/>
    <cellStyle name="Ênfase4 3" xfId="658"/>
    <cellStyle name="Ênfase4 3 2" xfId="659"/>
    <cellStyle name="Ênfase4 4" xfId="660"/>
    <cellStyle name="Ênfase4 4 2" xfId="661"/>
    <cellStyle name="Ênfase4 5" xfId="662"/>
    <cellStyle name="Ênfase4 5 2" xfId="663"/>
    <cellStyle name="Ênfase4 6" xfId="2424"/>
    <cellStyle name="Ênfase4 6 2" xfId="664"/>
    <cellStyle name="Ênfase4 7 2" xfId="665"/>
    <cellStyle name="Ênfase4 8 2" xfId="666"/>
    <cellStyle name="Ênfase4 9 2" xfId="667"/>
    <cellStyle name="Ênfase5" xfId="27" builtinId="45" customBuiltin="1"/>
    <cellStyle name="Ênfase5 10 2" xfId="668"/>
    <cellStyle name="Ênfase5 11 2" xfId="669"/>
    <cellStyle name="Ênfase5 12 2" xfId="670"/>
    <cellStyle name="Ênfase5 13 2" xfId="671"/>
    <cellStyle name="Ênfase5 14 2" xfId="672"/>
    <cellStyle name="Ênfase5 15 2" xfId="673"/>
    <cellStyle name="Ênfase5 16 2" xfId="674"/>
    <cellStyle name="Ênfase5 17 2" xfId="675"/>
    <cellStyle name="Ênfase5 2" xfId="676"/>
    <cellStyle name="Ênfase5 2 2" xfId="677"/>
    <cellStyle name="Ênfase5 3" xfId="678"/>
    <cellStyle name="Ênfase5 3 2" xfId="679"/>
    <cellStyle name="Ênfase5 4" xfId="680"/>
    <cellStyle name="Ênfase5 4 2" xfId="681"/>
    <cellStyle name="Ênfase5 5" xfId="682"/>
    <cellStyle name="Ênfase5 5 2" xfId="683"/>
    <cellStyle name="Ênfase5 6 2" xfId="684"/>
    <cellStyle name="Ênfase5 7 2" xfId="685"/>
    <cellStyle name="Ênfase5 8 2" xfId="686"/>
    <cellStyle name="Ênfase5 9 2" xfId="687"/>
    <cellStyle name="Ênfase6" xfId="28" builtinId="49" customBuiltin="1"/>
    <cellStyle name="Ênfase6 10 2" xfId="688"/>
    <cellStyle name="Ênfase6 11 2" xfId="689"/>
    <cellStyle name="Ênfase6 12 2" xfId="690"/>
    <cellStyle name="Ênfase6 13 2" xfId="691"/>
    <cellStyle name="Ênfase6 14 2" xfId="692"/>
    <cellStyle name="Ênfase6 15 2" xfId="693"/>
    <cellStyle name="Ênfase6 16 2" xfId="694"/>
    <cellStyle name="Ênfase6 17 2" xfId="695"/>
    <cellStyle name="Ênfase6 2" xfId="696"/>
    <cellStyle name="Ênfase6 2 2" xfId="697"/>
    <cellStyle name="Ênfase6 3" xfId="698"/>
    <cellStyle name="Ênfase6 3 2" xfId="699"/>
    <cellStyle name="Ênfase6 4" xfId="700"/>
    <cellStyle name="Ênfase6 4 2" xfId="701"/>
    <cellStyle name="Ênfase6 5" xfId="702"/>
    <cellStyle name="Ênfase6 5 2" xfId="703"/>
    <cellStyle name="Ênfase6 6" xfId="2425"/>
    <cellStyle name="Ênfase6 6 2" xfId="704"/>
    <cellStyle name="Ênfase6 7 2" xfId="705"/>
    <cellStyle name="Ênfase6 8 2" xfId="706"/>
    <cellStyle name="Ênfase6 9 2" xfId="707"/>
    <cellStyle name="Entrada" xfId="29" builtinId="20" customBuiltin="1"/>
    <cellStyle name="Entrada 10 2" xfId="708"/>
    <cellStyle name="Entrada 11 2" xfId="709"/>
    <cellStyle name="Entrada 12 2" xfId="710"/>
    <cellStyle name="Entrada 13 2" xfId="711"/>
    <cellStyle name="Entrada 14 2" xfId="712"/>
    <cellStyle name="Entrada 15 2" xfId="713"/>
    <cellStyle name="Entrada 16 2" xfId="714"/>
    <cellStyle name="Entrada 17 2" xfId="715"/>
    <cellStyle name="Entrada 2" xfId="716"/>
    <cellStyle name="Entrada 2 2" xfId="717"/>
    <cellStyle name="Entrada 3" xfId="718"/>
    <cellStyle name="Entrada 3 2" xfId="719"/>
    <cellStyle name="Entrada 4" xfId="720"/>
    <cellStyle name="Entrada 4 2" xfId="721"/>
    <cellStyle name="Entrada 5" xfId="722"/>
    <cellStyle name="Entrada 5 2" xfId="723"/>
    <cellStyle name="Entrada 6" xfId="2426"/>
    <cellStyle name="Entrada 6 2" xfId="724"/>
    <cellStyle name="Entrada 7 2" xfId="725"/>
    <cellStyle name="Entrada 8 2" xfId="726"/>
    <cellStyle name="Entrada 9 2" xfId="727"/>
    <cellStyle name="Euro" xfId="2427"/>
    <cellStyle name="Euro 2" xfId="2428"/>
    <cellStyle name="Excel Built-in Normal" xfId="1666"/>
    <cellStyle name="Excel_BuiltIn_Comma 1_Plan1" xfId="2429"/>
    <cellStyle name="Explanatory Text" xfId="2430"/>
    <cellStyle name="Fixo" xfId="728"/>
    <cellStyle name="Good" xfId="2431"/>
    <cellStyle name="Graphics" xfId="2432"/>
    <cellStyle name="Heading 1" xfId="2433"/>
    <cellStyle name="Heading 2" xfId="2434"/>
    <cellStyle name="Heading 3" xfId="2435"/>
    <cellStyle name="Heading 4" xfId="2436"/>
    <cellStyle name="Hyperlink 2" xfId="1959"/>
    <cellStyle name="Hyperlink 3" xfId="2437"/>
    <cellStyle name="Incorreto" xfId="30" builtinId="27" customBuiltin="1"/>
    <cellStyle name="Incorreto 10 2" xfId="729"/>
    <cellStyle name="Incorreto 11 2" xfId="730"/>
    <cellStyle name="Incorreto 12 2" xfId="731"/>
    <cellStyle name="Incorreto 13 2" xfId="732"/>
    <cellStyle name="Incorreto 14 2" xfId="733"/>
    <cellStyle name="Incorreto 15 2" xfId="734"/>
    <cellStyle name="Incorreto 16 2" xfId="735"/>
    <cellStyle name="Incorreto 17 2" xfId="736"/>
    <cellStyle name="Incorreto 2" xfId="737"/>
    <cellStyle name="Incorreto 2 2" xfId="738"/>
    <cellStyle name="Incorreto 3" xfId="739"/>
    <cellStyle name="Incorreto 3 2" xfId="740"/>
    <cellStyle name="Incorreto 4" xfId="741"/>
    <cellStyle name="Incorreto 4 2" xfId="742"/>
    <cellStyle name="Incorreto 5" xfId="743"/>
    <cellStyle name="Incorreto 5 2" xfId="744"/>
    <cellStyle name="Incorreto 6" xfId="2438"/>
    <cellStyle name="Incorreto 6 2" xfId="745"/>
    <cellStyle name="Incorreto 7 2" xfId="746"/>
    <cellStyle name="Incorreto 8 2" xfId="747"/>
    <cellStyle name="Incorreto 9 2" xfId="748"/>
    <cellStyle name="Indefinido" xfId="2439"/>
    <cellStyle name="Input" xfId="2440"/>
    <cellStyle name="item" xfId="2441"/>
    <cellStyle name="Linked Cell" xfId="2442"/>
    <cellStyle name="Moeda" xfId="1956" builtinId="4"/>
    <cellStyle name="Moeda 2" xfId="749"/>
    <cellStyle name="Moeda 2 2" xfId="750"/>
    <cellStyle name="Moeda 2 2 2" xfId="2248"/>
    <cellStyle name="Moeda 2 2 3" xfId="2249"/>
    <cellStyle name="Moeda 2 2 3 2" xfId="2250"/>
    <cellStyle name="Moeda 2 2 3 2 2" xfId="2251"/>
    <cellStyle name="Moeda 2 2 4" xfId="2252"/>
    <cellStyle name="Moeda 2 3" xfId="751"/>
    <cellStyle name="Moeda 2 3 2" xfId="1671"/>
    <cellStyle name="Moeda 2 3 2 2" xfId="1967"/>
    <cellStyle name="Moeda 2 4" xfId="1672"/>
    <cellStyle name="Moeda 2 4 2" xfId="1968"/>
    <cellStyle name="Moeda 3" xfId="752"/>
    <cellStyle name="Moeda 3 2" xfId="2253"/>
    <cellStyle name="Moeda 3 2 2" xfId="2254"/>
    <cellStyle name="Moeda 3 2 2 2" xfId="2255"/>
    <cellStyle name="Moeda 3 2 3" xfId="2256"/>
    <cellStyle name="Moeda 3 3" xfId="2257"/>
    <cellStyle name="Moeda 3 3 2" xfId="2258"/>
    <cellStyle name="Moeda 3 4" xfId="2259"/>
    <cellStyle name="Moeda 4" xfId="1958"/>
    <cellStyle name="Moeda 4 2" xfId="1960"/>
    <cellStyle name="Moeda 4 2 2" xfId="2260"/>
    <cellStyle name="Moeda 4 2 3" xfId="2261"/>
    <cellStyle name="Moeda 4 3" xfId="2247"/>
    <cellStyle name="Moeda 5" xfId="753"/>
    <cellStyle name="Moeda 5 2" xfId="754"/>
    <cellStyle name="Moeda 5 2 2" xfId="2262"/>
    <cellStyle name="Moeda 5 3" xfId="2263"/>
    <cellStyle name="Moeda 6" xfId="2245"/>
    <cellStyle name="Moeda 6 2" xfId="2264"/>
    <cellStyle name="Moeda 7" xfId="2265"/>
    <cellStyle name="Moeda 8" xfId="2266"/>
    <cellStyle name="Moeda 9" xfId="2267"/>
    <cellStyle name="Moeda_capa 54107" xfId="1665"/>
    <cellStyle name="Moeda0" xfId="755"/>
    <cellStyle name="Neutra" xfId="31" builtinId="28" customBuiltin="1"/>
    <cellStyle name="Neutra 10 2" xfId="756"/>
    <cellStyle name="Neutra 11 2" xfId="757"/>
    <cellStyle name="Neutra 12 2" xfId="758"/>
    <cellStyle name="Neutra 13 2" xfId="759"/>
    <cellStyle name="Neutra 14 2" xfId="760"/>
    <cellStyle name="Neutra 15 2" xfId="761"/>
    <cellStyle name="Neutra 16 2" xfId="762"/>
    <cellStyle name="Neutra 17 2" xfId="763"/>
    <cellStyle name="Neutra 2" xfId="764"/>
    <cellStyle name="Neutra 2 2" xfId="765"/>
    <cellStyle name="Neutra 3" xfId="766"/>
    <cellStyle name="Neutra 3 2" xfId="767"/>
    <cellStyle name="Neutra 4" xfId="768"/>
    <cellStyle name="Neutra 4 2" xfId="769"/>
    <cellStyle name="Neutra 5" xfId="770"/>
    <cellStyle name="Neutra 5 2" xfId="771"/>
    <cellStyle name="Neutra 6" xfId="2443"/>
    <cellStyle name="Neutra 6 2" xfId="772"/>
    <cellStyle name="Neutra 7 2" xfId="773"/>
    <cellStyle name="Neutra 8 2" xfId="774"/>
    <cellStyle name="Neutra 9 2" xfId="775"/>
    <cellStyle name="Neutral" xfId="2444"/>
    <cellStyle name="Normal" xfId="0" builtinId="0"/>
    <cellStyle name="Normal 10" xfId="42"/>
    <cellStyle name="Normal 10 10" xfId="2445"/>
    <cellStyle name="Normal 10 11" xfId="2446"/>
    <cellStyle name="Normal 10 12" xfId="2447"/>
    <cellStyle name="Normal 10 13" xfId="2448"/>
    <cellStyle name="Normal 10 14" xfId="2449"/>
    <cellStyle name="Normal 10 15" xfId="2450"/>
    <cellStyle name="Normal 10 16" xfId="2451"/>
    <cellStyle name="Normal 10 17" xfId="2452"/>
    <cellStyle name="Normal 10 18" xfId="2453"/>
    <cellStyle name="Normal 10 19" xfId="2454"/>
    <cellStyle name="Normal 10 2" xfId="43"/>
    <cellStyle name="Normal 10 2 2" xfId="1673"/>
    <cellStyle name="Normal 10 2 3" xfId="2455"/>
    <cellStyle name="Normal 10 20" xfId="2456"/>
    <cellStyle name="Normal 10 21" xfId="2457"/>
    <cellStyle name="Normal 10 22" xfId="2458"/>
    <cellStyle name="Normal 10 23" xfId="2459"/>
    <cellStyle name="Normal 10 24" xfId="2460"/>
    <cellStyle name="Normal 10 25" xfId="2461"/>
    <cellStyle name="Normal 10 26" xfId="2462"/>
    <cellStyle name="Normal 10 27" xfId="2463"/>
    <cellStyle name="Normal 10 28" xfId="2464"/>
    <cellStyle name="Normal 10 29" xfId="2465"/>
    <cellStyle name="Normal 10 3" xfId="2466"/>
    <cellStyle name="Normal 10 30" xfId="2467"/>
    <cellStyle name="Normal 10 31" xfId="2468"/>
    <cellStyle name="Normal 10 32" xfId="2469"/>
    <cellStyle name="Normal 10 33" xfId="2470"/>
    <cellStyle name="Normal 10 34" xfId="2471"/>
    <cellStyle name="Normal 10 35" xfId="2472"/>
    <cellStyle name="Normal 10 36" xfId="2473"/>
    <cellStyle name="Normal 10 37" xfId="2474"/>
    <cellStyle name="Normal 10 38" xfId="2475"/>
    <cellStyle name="Normal 10 39" xfId="2476"/>
    <cellStyle name="Normal 10 4" xfId="2268"/>
    <cellStyle name="Normal 10 5" xfId="2477"/>
    <cellStyle name="Normal 10 6" xfId="2478"/>
    <cellStyle name="Normal 10 7" xfId="2479"/>
    <cellStyle name="Normal 10 8" xfId="2480"/>
    <cellStyle name="Normal 10 9" xfId="2481"/>
    <cellStyle name="Normal 100" xfId="776"/>
    <cellStyle name="Normal 101" xfId="777"/>
    <cellStyle name="Normal 102" xfId="778"/>
    <cellStyle name="Normal 103" xfId="779"/>
    <cellStyle name="Normal 104" xfId="780"/>
    <cellStyle name="Normal 105" xfId="781"/>
    <cellStyle name="Normal 106" xfId="782"/>
    <cellStyle name="Normal 107" xfId="783"/>
    <cellStyle name="Normal 108" xfId="784"/>
    <cellStyle name="Normal 109" xfId="785"/>
    <cellStyle name="Normal 11" xfId="786"/>
    <cellStyle name="Normal 11 10" xfId="2482"/>
    <cellStyle name="Normal 11 11" xfId="2483"/>
    <cellStyle name="Normal 11 12" xfId="2484"/>
    <cellStyle name="Normal 11 13" xfId="2485"/>
    <cellStyle name="Normal 11 14" xfId="2486"/>
    <cellStyle name="Normal 11 15" xfId="2487"/>
    <cellStyle name="Normal 11 16" xfId="2488"/>
    <cellStyle name="Normal 11 17" xfId="2489"/>
    <cellStyle name="Normal 11 18" xfId="2490"/>
    <cellStyle name="Normal 11 19" xfId="2491"/>
    <cellStyle name="Normal 11 2" xfId="787"/>
    <cellStyle name="Normal 11 20" xfId="2492"/>
    <cellStyle name="Normal 11 21" xfId="2493"/>
    <cellStyle name="Normal 11 22" xfId="2494"/>
    <cellStyle name="Normal 11 23" xfId="2495"/>
    <cellStyle name="Normal 11 24" xfId="2496"/>
    <cellStyle name="Normal 11 25" xfId="2497"/>
    <cellStyle name="Normal 11 26" xfId="2498"/>
    <cellStyle name="Normal 11 27" xfId="2499"/>
    <cellStyle name="Normal 11 28" xfId="2500"/>
    <cellStyle name="Normal 11 29" xfId="2501"/>
    <cellStyle name="Normal 11 3" xfId="2269"/>
    <cellStyle name="Normal 11 30" xfId="2502"/>
    <cellStyle name="Normal 11 31" xfId="2503"/>
    <cellStyle name="Normal 11 32" xfId="2504"/>
    <cellStyle name="Normal 11 33" xfId="2505"/>
    <cellStyle name="Normal 11 34" xfId="2506"/>
    <cellStyle name="Normal 11 35" xfId="2507"/>
    <cellStyle name="Normal 11 36" xfId="2508"/>
    <cellStyle name="Normal 11 37" xfId="2509"/>
    <cellStyle name="Normal 11 38" xfId="2510"/>
    <cellStyle name="Normal 11 39" xfId="2511"/>
    <cellStyle name="Normal 11 4" xfId="2512"/>
    <cellStyle name="Normal 11 5" xfId="2513"/>
    <cellStyle name="Normal 11 6" xfId="2514"/>
    <cellStyle name="Normal 11 7" xfId="2515"/>
    <cellStyle name="Normal 11 8" xfId="2516"/>
    <cellStyle name="Normal 11 9" xfId="2517"/>
    <cellStyle name="Normal 110" xfId="788"/>
    <cellStyle name="Normal 111" xfId="789"/>
    <cellStyle name="Normal 112" xfId="790"/>
    <cellStyle name="Normal 113" xfId="791"/>
    <cellStyle name="Normal 114" xfId="792"/>
    <cellStyle name="Normal 115" xfId="793"/>
    <cellStyle name="Normal 116" xfId="794"/>
    <cellStyle name="Normal 117" xfId="795"/>
    <cellStyle name="Normal 118" xfId="796"/>
    <cellStyle name="Normal 119" xfId="797"/>
    <cellStyle name="Normal 12" xfId="798"/>
    <cellStyle name="Normal 12 2" xfId="2518"/>
    <cellStyle name="Normal 12 2 2" xfId="799"/>
    <cellStyle name="Normal 12 2 2 2" xfId="2270"/>
    <cellStyle name="Normal 12 2 2 3" xfId="2519"/>
    <cellStyle name="Normal 12 2 2 3 2" xfId="2520"/>
    <cellStyle name="Normal 12 2 2 3 3" xfId="2521"/>
    <cellStyle name="Normal 120" xfId="800"/>
    <cellStyle name="Normal 121" xfId="801"/>
    <cellStyle name="Normal 122" xfId="802"/>
    <cellStyle name="Normal 123" xfId="803"/>
    <cellStyle name="Normal 124" xfId="804"/>
    <cellStyle name="Normal 125" xfId="805"/>
    <cellStyle name="Normal 126" xfId="806"/>
    <cellStyle name="Normal 127" xfId="807"/>
    <cellStyle name="Normal 128" xfId="808"/>
    <cellStyle name="Normal 129" xfId="809"/>
    <cellStyle name="Normal 13" xfId="810"/>
    <cellStyle name="Normal 13 2" xfId="811"/>
    <cellStyle name="Normal 13 3" xfId="2522"/>
    <cellStyle name="Normal 130" xfId="812"/>
    <cellStyle name="Normal 131" xfId="813"/>
    <cellStyle name="Normal 132" xfId="814"/>
    <cellStyle name="Normal 133" xfId="815"/>
    <cellStyle name="Normal 134" xfId="816"/>
    <cellStyle name="Normal 135" xfId="817"/>
    <cellStyle name="Normal 136" xfId="818"/>
    <cellStyle name="Normal 137" xfId="819"/>
    <cellStyle name="Normal 138" xfId="820"/>
    <cellStyle name="Normal 139" xfId="821"/>
    <cellStyle name="Normal 14" xfId="822"/>
    <cellStyle name="Normal 14 2" xfId="823"/>
    <cellStyle name="Normal 140" xfId="824"/>
    <cellStyle name="Normal 141" xfId="825"/>
    <cellStyle name="Normal 142" xfId="826"/>
    <cellStyle name="Normal 143" xfId="827"/>
    <cellStyle name="Normal 144" xfId="828"/>
    <cellStyle name="Normal 145" xfId="829"/>
    <cellStyle name="Normal 146" xfId="830"/>
    <cellStyle name="Normal 147" xfId="831"/>
    <cellStyle name="Normal 148" xfId="832"/>
    <cellStyle name="Normal 149" xfId="833"/>
    <cellStyle name="Normal 15" xfId="834"/>
    <cellStyle name="Normal 15 2" xfId="835"/>
    <cellStyle name="Normal 150" xfId="836"/>
    <cellStyle name="Normal 151" xfId="837"/>
    <cellStyle name="Normal 152" xfId="838"/>
    <cellStyle name="Normal 153" xfId="839"/>
    <cellStyle name="Normal 154" xfId="840"/>
    <cellStyle name="Normal 155" xfId="841"/>
    <cellStyle name="Normal 156" xfId="842"/>
    <cellStyle name="Normal 157" xfId="843"/>
    <cellStyle name="Normal 158" xfId="844"/>
    <cellStyle name="Normal 159" xfId="845"/>
    <cellStyle name="Normal 16" xfId="846"/>
    <cellStyle name="Normal 16 2" xfId="847"/>
    <cellStyle name="Normal 160" xfId="848"/>
    <cellStyle name="Normal 161" xfId="849"/>
    <cellStyle name="Normal 162" xfId="850"/>
    <cellStyle name="Normal 163" xfId="851"/>
    <cellStyle name="Normal 164" xfId="852"/>
    <cellStyle name="Normal 165" xfId="853"/>
    <cellStyle name="Normal 166" xfId="854"/>
    <cellStyle name="Normal 167" xfId="855"/>
    <cellStyle name="Normal 168" xfId="856"/>
    <cellStyle name="Normal 169" xfId="857"/>
    <cellStyle name="Normal 17" xfId="858"/>
    <cellStyle name="Normal 17 2" xfId="859"/>
    <cellStyle name="Normal 170" xfId="860"/>
    <cellStyle name="Normal 171" xfId="861"/>
    <cellStyle name="Normal 172" xfId="862"/>
    <cellStyle name="Normal 173" xfId="863"/>
    <cellStyle name="Normal 174" xfId="864"/>
    <cellStyle name="Normal 175" xfId="865"/>
    <cellStyle name="Normal 176" xfId="866"/>
    <cellStyle name="Normal 177" xfId="867"/>
    <cellStyle name="Normal 178" xfId="868"/>
    <cellStyle name="Normal 179" xfId="869"/>
    <cellStyle name="Normal 18" xfId="870"/>
    <cellStyle name="Normal 18 2" xfId="2523"/>
    <cellStyle name="Normal 180" xfId="871"/>
    <cellStyle name="Normal 181" xfId="872"/>
    <cellStyle name="Normal 182" xfId="873"/>
    <cellStyle name="Normal 183" xfId="874"/>
    <cellStyle name="Normal 184" xfId="875"/>
    <cellStyle name="Normal 184 2" xfId="876"/>
    <cellStyle name="Normal 185" xfId="877"/>
    <cellStyle name="Normal 186" xfId="878"/>
    <cellStyle name="Normal 187" xfId="879"/>
    <cellStyle name="Normal 188" xfId="880"/>
    <cellStyle name="Normal 189" xfId="881"/>
    <cellStyle name="Normal 19" xfId="882"/>
    <cellStyle name="Normal 19 2" xfId="2524"/>
    <cellStyle name="Normal 190" xfId="883"/>
    <cellStyle name="Normal 191" xfId="884"/>
    <cellStyle name="Normal 192" xfId="885"/>
    <cellStyle name="Normal 193" xfId="886"/>
    <cellStyle name="Normal 194" xfId="887"/>
    <cellStyle name="Normal 195" xfId="888"/>
    <cellStyle name="Normal 196" xfId="889"/>
    <cellStyle name="Normal 197" xfId="890"/>
    <cellStyle name="Normal 198" xfId="891"/>
    <cellStyle name="Normal 199" xfId="892"/>
    <cellStyle name="Normal 2" xfId="46"/>
    <cellStyle name="Normal 2 10" xfId="893"/>
    <cellStyle name="Normal 2 10 2" xfId="2525"/>
    <cellStyle name="Normal 2 11" xfId="894"/>
    <cellStyle name="Normal 2 12" xfId="895"/>
    <cellStyle name="Normal 2 13" xfId="896"/>
    <cellStyle name="Normal 2 14" xfId="897"/>
    <cellStyle name="Normal 2 15" xfId="898"/>
    <cellStyle name="Normal 2 16" xfId="899"/>
    <cellStyle name="Normal 2 17" xfId="900"/>
    <cellStyle name="Normal 2 18" xfId="901"/>
    <cellStyle name="Normal 2 19" xfId="1664"/>
    <cellStyle name="Normal 2 2" xfId="902"/>
    <cellStyle name="Normal 2 2 10" xfId="903"/>
    <cellStyle name="Normal 2 2 11" xfId="904"/>
    <cellStyle name="Normal 2 2 12" xfId="905"/>
    <cellStyle name="Normal 2 2 13" xfId="906"/>
    <cellStyle name="Normal 2 2 14" xfId="907"/>
    <cellStyle name="Normal 2 2 15" xfId="908"/>
    <cellStyle name="Normal 2 2 16" xfId="2526"/>
    <cellStyle name="Normal 2 2 2" xfId="909"/>
    <cellStyle name="Normal 2 2 2 10" xfId="910"/>
    <cellStyle name="Normal 2 2 2 11" xfId="911"/>
    <cellStyle name="Normal 2 2 2 12" xfId="912"/>
    <cellStyle name="Normal 2 2 2 2" xfId="913"/>
    <cellStyle name="Normal 2 2 2 2 2" xfId="914"/>
    <cellStyle name="Normal 2 2 2 3" xfId="915"/>
    <cellStyle name="Normal 2 2 2 4" xfId="916"/>
    <cellStyle name="Normal 2 2 2 5" xfId="917"/>
    <cellStyle name="Normal 2 2 2 6" xfId="918"/>
    <cellStyle name="Normal 2 2 2 7" xfId="919"/>
    <cellStyle name="Normal 2 2 2 8" xfId="920"/>
    <cellStyle name="Normal 2 2 2 9" xfId="921"/>
    <cellStyle name="Normal 2 2 3" xfId="922"/>
    <cellStyle name="Normal 2 2 4" xfId="923"/>
    <cellStyle name="Normal 2 2 5" xfId="924"/>
    <cellStyle name="Normal 2 2 5 2" xfId="925"/>
    <cellStyle name="Normal 2 2 6" xfId="926"/>
    <cellStyle name="Normal 2 2 7" xfId="927"/>
    <cellStyle name="Normal 2 2 8" xfId="928"/>
    <cellStyle name="Normal 2 2 9" xfId="929"/>
    <cellStyle name="Normal 2 25" xfId="1674"/>
    <cellStyle name="Normal 2 3" xfId="930"/>
    <cellStyle name="Normal 2 3 10" xfId="931"/>
    <cellStyle name="Normal 2 3 11" xfId="932"/>
    <cellStyle name="Normal 2 3 12" xfId="933"/>
    <cellStyle name="Normal 2 3 2" xfId="934"/>
    <cellStyle name="Normal 2 3 2 2" xfId="935"/>
    <cellStyle name="Normal 2 3 3" xfId="936"/>
    <cellStyle name="Normal 2 3 4" xfId="937"/>
    <cellStyle name="Normal 2 3 5" xfId="938"/>
    <cellStyle name="Normal 2 3 6" xfId="939"/>
    <cellStyle name="Normal 2 3 7" xfId="940"/>
    <cellStyle name="Normal 2 3 8" xfId="941"/>
    <cellStyle name="Normal 2 3 9" xfId="942"/>
    <cellStyle name="Normal 2 4" xfId="943"/>
    <cellStyle name="Normal 2 4 2" xfId="2271"/>
    <cellStyle name="Normal 2 5" xfId="944"/>
    <cellStyle name="Normal 2 5 2" xfId="945"/>
    <cellStyle name="Normal 2 55" xfId="2527"/>
    <cellStyle name="Normal 2 6" xfId="946"/>
    <cellStyle name="Normal 2 7" xfId="947"/>
    <cellStyle name="Normal 2 8" xfId="948"/>
    <cellStyle name="Normal 2 9" xfId="949"/>
    <cellStyle name="Normal 2_Cálculos_Instalações_Elétricas" xfId="2528"/>
    <cellStyle name="Normal 20" xfId="950"/>
    <cellStyle name="Normal 20 2" xfId="2529"/>
    <cellStyle name="Normal 200" xfId="951"/>
    <cellStyle name="Normal 201" xfId="952"/>
    <cellStyle name="Normal 202" xfId="953"/>
    <cellStyle name="Normal 203" xfId="954"/>
    <cellStyle name="Normal 204" xfId="955"/>
    <cellStyle name="Normal 205" xfId="956"/>
    <cellStyle name="Normal 206" xfId="957"/>
    <cellStyle name="Normal 207" xfId="958"/>
    <cellStyle name="Normal 208" xfId="1675"/>
    <cellStyle name="Normal 208 2" xfId="2272"/>
    <cellStyle name="Normal 209" xfId="1676"/>
    <cellStyle name="Normal 21" xfId="959"/>
    <cellStyle name="Normal 21 2" xfId="960"/>
    <cellStyle name="Normal 210" xfId="1957"/>
    <cellStyle name="Normal 210 2" xfId="2246"/>
    <cellStyle name="Normal 210 3" xfId="2954"/>
    <cellStyle name="Normal 211" xfId="1962"/>
    <cellStyle name="Normal 211 2" xfId="2530"/>
    <cellStyle name="Normal 211 3" xfId="2955"/>
    <cellStyle name="Normal 212" xfId="2531"/>
    <cellStyle name="Normal 212 2" xfId="2532"/>
    <cellStyle name="Normal 213" xfId="2533"/>
    <cellStyle name="Normal 214" xfId="2534"/>
    <cellStyle name="Normal 215" xfId="2535"/>
    <cellStyle name="Normal 216" xfId="2536"/>
    <cellStyle name="Normal 217" xfId="2537"/>
    <cellStyle name="Normal 218" xfId="2538"/>
    <cellStyle name="Normal 219" xfId="2273"/>
    <cellStyle name="Normal 219 2" xfId="2353"/>
    <cellStyle name="Normal 219 2 2" xfId="2953"/>
    <cellStyle name="Normal 22" xfId="961"/>
    <cellStyle name="Normal 22 2" xfId="962"/>
    <cellStyle name="Normal 23" xfId="963"/>
    <cellStyle name="Normal 23 2" xfId="2539"/>
    <cellStyle name="Normal 24" xfId="964"/>
    <cellStyle name="Normal 24 2" xfId="2540"/>
    <cellStyle name="Normal 25" xfId="965"/>
    <cellStyle name="Normal 25 2" xfId="966"/>
    <cellStyle name="Normal 26" xfId="967"/>
    <cellStyle name="Normal 26 2" xfId="968"/>
    <cellStyle name="Normal 27" xfId="969"/>
    <cellStyle name="Normal 27 2" xfId="2541"/>
    <cellStyle name="Normal 28" xfId="970"/>
    <cellStyle name="Normal 28 2" xfId="971"/>
    <cellStyle name="Normal 29" xfId="972"/>
    <cellStyle name="Normal 29 2" xfId="973"/>
    <cellStyle name="Normal 3" xfId="974"/>
    <cellStyle name="Normal 3 10" xfId="975"/>
    <cellStyle name="Normal 3 11" xfId="976"/>
    <cellStyle name="Normal 3 12" xfId="977"/>
    <cellStyle name="Normal 3 13" xfId="978"/>
    <cellStyle name="Normal 3 14" xfId="979"/>
    <cellStyle name="Normal 3 15" xfId="980"/>
    <cellStyle name="Normal 3 16" xfId="981"/>
    <cellStyle name="Normal 3 17" xfId="982"/>
    <cellStyle name="Normal 3 18" xfId="983"/>
    <cellStyle name="Normal 3 19" xfId="984"/>
    <cellStyle name="Normal 3 2" xfId="985"/>
    <cellStyle name="Normal 3 2 2" xfId="2542"/>
    <cellStyle name="Normal 3 20" xfId="986"/>
    <cellStyle name="Normal 3 21" xfId="987"/>
    <cellStyle name="Normal 3 22" xfId="988"/>
    <cellStyle name="Normal 3 23" xfId="989"/>
    <cellStyle name="Normal 3 24" xfId="990"/>
    <cellStyle name="Normal 3 25" xfId="991"/>
    <cellStyle name="Normal 3 26" xfId="992"/>
    <cellStyle name="Normal 3 27" xfId="993"/>
    <cellStyle name="Normal 3 28" xfId="2543"/>
    <cellStyle name="Normal 3 29" xfId="2544"/>
    <cellStyle name="Normal 3 3" xfId="994"/>
    <cellStyle name="Normal 3 30" xfId="2545"/>
    <cellStyle name="Normal 3 31" xfId="2546"/>
    <cellStyle name="Normal 3 32" xfId="2547"/>
    <cellStyle name="Normal 3 33" xfId="2548"/>
    <cellStyle name="Normal 3 34" xfId="2549"/>
    <cellStyle name="Normal 3 35" xfId="2550"/>
    <cellStyle name="Normal 3 36" xfId="2551"/>
    <cellStyle name="Normal 3 37" xfId="2552"/>
    <cellStyle name="Normal 3 38" xfId="2553"/>
    <cellStyle name="Normal 3 39" xfId="2554"/>
    <cellStyle name="Normal 3 4" xfId="995"/>
    <cellStyle name="Normal 3 4 2" xfId="996"/>
    <cellStyle name="Normal 3 40" xfId="2555"/>
    <cellStyle name="Normal 3 5" xfId="997"/>
    <cellStyle name="Normal 3 6" xfId="998"/>
    <cellStyle name="Normal 3 7" xfId="999"/>
    <cellStyle name="Normal 3 8" xfId="1000"/>
    <cellStyle name="Normal 3 9" xfId="1001"/>
    <cellStyle name="Normal 30" xfId="1002"/>
    <cellStyle name="Normal 30 2" xfId="1003"/>
    <cellStyle name="Normal 31" xfId="1004"/>
    <cellStyle name="Normal 31 2" xfId="1005"/>
    <cellStyle name="Normal 32" xfId="1006"/>
    <cellStyle name="Normal 32 2" xfId="1007"/>
    <cellStyle name="Normal 33" xfId="1008"/>
    <cellStyle name="Normal 33 2" xfId="1009"/>
    <cellStyle name="Normal 34" xfId="1010"/>
    <cellStyle name="Normal 34 2" xfId="1011"/>
    <cellStyle name="Normal 35" xfId="1012"/>
    <cellStyle name="Normal 35 2" xfId="1013"/>
    <cellStyle name="Normal 36" xfId="1014"/>
    <cellStyle name="Normal 36 2" xfId="1015"/>
    <cellStyle name="Normal 36 2 2" xfId="2556"/>
    <cellStyle name="Normal 37" xfId="1016"/>
    <cellStyle name="Normal 37 2" xfId="1017"/>
    <cellStyle name="Normal 38" xfId="1018"/>
    <cellStyle name="Normal 38 2" xfId="1019"/>
    <cellStyle name="Normal 39" xfId="1020"/>
    <cellStyle name="Normal 39 2" xfId="1021"/>
    <cellStyle name="Normal 4" xfId="1022"/>
    <cellStyle name="Normal 4 10" xfId="1023"/>
    <cellStyle name="Normal 4 11" xfId="1024"/>
    <cellStyle name="Normal 4 12" xfId="1025"/>
    <cellStyle name="Normal 4 13" xfId="1026"/>
    <cellStyle name="Normal 4 14" xfId="1027"/>
    <cellStyle name="Normal 4 15" xfId="1028"/>
    <cellStyle name="Normal 4 16" xfId="1029"/>
    <cellStyle name="Normal 4 17" xfId="1030"/>
    <cellStyle name="Normal 4 18" xfId="1031"/>
    <cellStyle name="Normal 4 19" xfId="1032"/>
    <cellStyle name="Normal 4 2" xfId="1033"/>
    <cellStyle name="Normal 4 2 2" xfId="1034"/>
    <cellStyle name="Normal 4 20" xfId="2352"/>
    <cellStyle name="Normal 4 21" xfId="2557"/>
    <cellStyle name="Normal 4 22" xfId="2558"/>
    <cellStyle name="Normal 4 23" xfId="2559"/>
    <cellStyle name="Normal 4 24" xfId="2560"/>
    <cellStyle name="Normal 4 25" xfId="2561"/>
    <cellStyle name="Normal 4 26" xfId="2562"/>
    <cellStyle name="Normal 4 27" xfId="2563"/>
    <cellStyle name="Normal 4 28" xfId="2564"/>
    <cellStyle name="Normal 4 29" xfId="2565"/>
    <cellStyle name="Normal 4 3" xfId="1035"/>
    <cellStyle name="Normal 4 3 2" xfId="2566"/>
    <cellStyle name="Normal 4 30" xfId="2567"/>
    <cellStyle name="Normal 4 31" xfId="2568"/>
    <cellStyle name="Normal 4 32" xfId="2569"/>
    <cellStyle name="Normal 4 33" xfId="2570"/>
    <cellStyle name="Normal 4 34" xfId="2571"/>
    <cellStyle name="Normal 4 35" xfId="2572"/>
    <cellStyle name="Normal 4 36" xfId="2573"/>
    <cellStyle name="Normal 4 37" xfId="2574"/>
    <cellStyle name="Normal 4 38" xfId="2575"/>
    <cellStyle name="Normal 4 39" xfId="2576"/>
    <cellStyle name="Normal 4 4" xfId="1036"/>
    <cellStyle name="Normal 4 5" xfId="1037"/>
    <cellStyle name="Normal 4 6" xfId="1038"/>
    <cellStyle name="Normal 4 7" xfId="1039"/>
    <cellStyle name="Normal 4 8" xfId="1040"/>
    <cellStyle name="Normal 4 9" xfId="1041"/>
    <cellStyle name="Normal 40" xfId="1042"/>
    <cellStyle name="Normal 40 2" xfId="1043"/>
    <cellStyle name="Normal 41" xfId="1044"/>
    <cellStyle name="Normal 41 2" xfId="1045"/>
    <cellStyle name="Normal 42" xfId="1046"/>
    <cellStyle name="Normal 42 2" xfId="1047"/>
    <cellStyle name="Normal 43" xfId="1048"/>
    <cellStyle name="Normal 44" xfId="1049"/>
    <cellStyle name="Normal 45" xfId="1050"/>
    <cellStyle name="Normal 46" xfId="1051"/>
    <cellStyle name="Normal 46 2" xfId="44"/>
    <cellStyle name="Normal 46 2 2" xfId="2577"/>
    <cellStyle name="Normal 46 2 3" xfId="2578"/>
    <cellStyle name="Normal 46 3" xfId="1677"/>
    <cellStyle name="Normal 47" xfId="1052"/>
    <cellStyle name="Normal 47 2" xfId="1053"/>
    <cellStyle name="Normal 48" xfId="1054"/>
    <cellStyle name="Normal 48 2" xfId="1055"/>
    <cellStyle name="Normal 49" xfId="1056"/>
    <cellStyle name="Normal 5" xfId="1667"/>
    <cellStyle name="Normal 5 10" xfId="2579"/>
    <cellStyle name="Normal 5 11" xfId="2580"/>
    <cellStyle name="Normal 5 12" xfId="2581"/>
    <cellStyle name="Normal 5 13" xfId="2582"/>
    <cellStyle name="Normal 5 14" xfId="2583"/>
    <cellStyle name="Normal 5 15" xfId="2584"/>
    <cellStyle name="Normal 5 16" xfId="2585"/>
    <cellStyle name="Normal 5 17" xfId="2586"/>
    <cellStyle name="Normal 5 18" xfId="2587"/>
    <cellStyle name="Normal 5 19" xfId="2588"/>
    <cellStyle name="Normal 5 2" xfId="1057"/>
    <cellStyle name="Normal 5 2 2" xfId="1058"/>
    <cellStyle name="Normal 5 2 3" xfId="2589"/>
    <cellStyle name="Normal 5 20" xfId="2590"/>
    <cellStyle name="Normal 5 21" xfId="2591"/>
    <cellStyle name="Normal 5 22" xfId="2592"/>
    <cellStyle name="Normal 5 23" xfId="2593"/>
    <cellStyle name="Normal 5 24" xfId="2594"/>
    <cellStyle name="Normal 5 25" xfId="2595"/>
    <cellStyle name="Normal 5 26" xfId="2596"/>
    <cellStyle name="Normal 5 27" xfId="2597"/>
    <cellStyle name="Normal 5 28" xfId="2598"/>
    <cellStyle name="Normal 5 29" xfId="2599"/>
    <cellStyle name="Normal 5 3" xfId="2600"/>
    <cellStyle name="Normal 5 30" xfId="2601"/>
    <cellStyle name="Normal 5 31" xfId="2602"/>
    <cellStyle name="Normal 5 32" xfId="2603"/>
    <cellStyle name="Normal 5 33" xfId="2604"/>
    <cellStyle name="Normal 5 34" xfId="2605"/>
    <cellStyle name="Normal 5 35" xfId="2606"/>
    <cellStyle name="Normal 5 36" xfId="2607"/>
    <cellStyle name="Normal 5 37" xfId="2608"/>
    <cellStyle name="Normal 5 38" xfId="2609"/>
    <cellStyle name="Normal 5 39" xfId="2610"/>
    <cellStyle name="Normal 5 4" xfId="2611"/>
    <cellStyle name="Normal 5 40" xfId="2612"/>
    <cellStyle name="Normal 5 41" xfId="2613"/>
    <cellStyle name="Normal 5 5" xfId="2614"/>
    <cellStyle name="Normal 5 6" xfId="2615"/>
    <cellStyle name="Normal 5 7" xfId="2616"/>
    <cellStyle name="Normal 5 8" xfId="2617"/>
    <cellStyle name="Normal 5 9" xfId="2618"/>
    <cellStyle name="Normal 50" xfId="1059"/>
    <cellStyle name="Normal 50 2" xfId="1060"/>
    <cellStyle name="Normal 51" xfId="1061"/>
    <cellStyle name="Normal 52" xfId="1062"/>
    <cellStyle name="Normal 52 2" xfId="1063"/>
    <cellStyle name="Normal 53" xfId="1064"/>
    <cellStyle name="Normal 54" xfId="1065"/>
    <cellStyle name="Normal 55" xfId="1066"/>
    <cellStyle name="Normal 56" xfId="1067"/>
    <cellStyle name="Normal 56 2" xfId="1068"/>
    <cellStyle name="Normal 57" xfId="1069"/>
    <cellStyle name="Normal 57 2" xfId="1070"/>
    <cellStyle name="Normal 58" xfId="1071"/>
    <cellStyle name="Normal 59" xfId="1072"/>
    <cellStyle name="Normal 6" xfId="1668"/>
    <cellStyle name="Normal 6 10" xfId="2619"/>
    <cellStyle name="Normal 6 11" xfId="2620"/>
    <cellStyle name="Normal 6 12" xfId="2621"/>
    <cellStyle name="Normal 6 13" xfId="2622"/>
    <cellStyle name="Normal 6 14" xfId="2623"/>
    <cellStyle name="Normal 6 15" xfId="2624"/>
    <cellStyle name="Normal 6 16" xfId="2625"/>
    <cellStyle name="Normal 6 17" xfId="2626"/>
    <cellStyle name="Normal 6 18" xfId="2627"/>
    <cellStyle name="Normal 6 19" xfId="2628"/>
    <cellStyle name="Normal 6 2" xfId="1073"/>
    <cellStyle name="Normal 6 2 2" xfId="2629"/>
    <cellStyle name="Normal 6 20" xfId="2630"/>
    <cellStyle name="Normal 6 21" xfId="2631"/>
    <cellStyle name="Normal 6 22" xfId="2632"/>
    <cellStyle name="Normal 6 23" xfId="2633"/>
    <cellStyle name="Normal 6 24" xfId="2634"/>
    <cellStyle name="Normal 6 25" xfId="2635"/>
    <cellStyle name="Normal 6 26" xfId="2636"/>
    <cellStyle name="Normal 6 27" xfId="2637"/>
    <cellStyle name="Normal 6 28" xfId="2638"/>
    <cellStyle name="Normal 6 29" xfId="2639"/>
    <cellStyle name="Normal 6 3" xfId="1074"/>
    <cellStyle name="Normal 6 30" xfId="2640"/>
    <cellStyle name="Normal 6 31" xfId="2641"/>
    <cellStyle name="Normal 6 32" xfId="2642"/>
    <cellStyle name="Normal 6 33" xfId="2643"/>
    <cellStyle name="Normal 6 34" xfId="2644"/>
    <cellStyle name="Normal 6 35" xfId="2645"/>
    <cellStyle name="Normal 6 36" xfId="2646"/>
    <cellStyle name="Normal 6 37" xfId="2647"/>
    <cellStyle name="Normal 6 38" xfId="2648"/>
    <cellStyle name="Normal 6 39" xfId="2649"/>
    <cellStyle name="Normal 6 4" xfId="2650"/>
    <cellStyle name="Normal 6 40" xfId="2651"/>
    <cellStyle name="Normal 6 5" xfId="2652"/>
    <cellStyle name="Normal 6 6" xfId="2653"/>
    <cellStyle name="Normal 6 7" xfId="2654"/>
    <cellStyle name="Normal 6 8" xfId="2655"/>
    <cellStyle name="Normal 6 9" xfId="2656"/>
    <cellStyle name="Normal 60" xfId="1075"/>
    <cellStyle name="Normal 60 2" xfId="1076"/>
    <cellStyle name="Normal 61" xfId="1077"/>
    <cellStyle name="Normal 62" xfId="1078"/>
    <cellStyle name="Normal 63" xfId="1079"/>
    <cellStyle name="Normal 64" xfId="1080"/>
    <cellStyle name="Normal 65" xfId="1081"/>
    <cellStyle name="Normal 66" xfId="1082"/>
    <cellStyle name="Normal 67" xfId="1083"/>
    <cellStyle name="Normal 68" xfId="1084"/>
    <cellStyle name="Normal 69" xfId="1085"/>
    <cellStyle name="Normal 7" xfId="1086"/>
    <cellStyle name="Normal 7 10" xfId="2657"/>
    <cellStyle name="Normal 7 11" xfId="2658"/>
    <cellStyle name="Normal 7 12" xfId="2659"/>
    <cellStyle name="Normal 7 13" xfId="2660"/>
    <cellStyle name="Normal 7 14" xfId="2661"/>
    <cellStyle name="Normal 7 15" xfId="2662"/>
    <cellStyle name="Normal 7 16" xfId="2663"/>
    <cellStyle name="Normal 7 17" xfId="2664"/>
    <cellStyle name="Normal 7 18" xfId="2665"/>
    <cellStyle name="Normal 7 19" xfId="2666"/>
    <cellStyle name="Normal 7 2" xfId="1087"/>
    <cellStyle name="Normal 7 2 2" xfId="2667"/>
    <cellStyle name="Normal 7 20" xfId="2668"/>
    <cellStyle name="Normal 7 21" xfId="2669"/>
    <cellStyle name="Normal 7 22" xfId="2670"/>
    <cellStyle name="Normal 7 23" xfId="2671"/>
    <cellStyle name="Normal 7 24" xfId="2672"/>
    <cellStyle name="Normal 7 25" xfId="2673"/>
    <cellStyle name="Normal 7 26" xfId="2674"/>
    <cellStyle name="Normal 7 27" xfId="2675"/>
    <cellStyle name="Normal 7 28" xfId="2676"/>
    <cellStyle name="Normal 7 29" xfId="2677"/>
    <cellStyle name="Normal 7 3" xfId="1088"/>
    <cellStyle name="Normal 7 3 2" xfId="1089"/>
    <cellStyle name="Normal 7 30" xfId="2678"/>
    <cellStyle name="Normal 7 31" xfId="2679"/>
    <cellStyle name="Normal 7 32" xfId="2680"/>
    <cellStyle name="Normal 7 33" xfId="2681"/>
    <cellStyle name="Normal 7 34" xfId="2682"/>
    <cellStyle name="Normal 7 35" xfId="2683"/>
    <cellStyle name="Normal 7 36" xfId="2684"/>
    <cellStyle name="Normal 7 37" xfId="2685"/>
    <cellStyle name="Normal 7 38" xfId="2686"/>
    <cellStyle name="Normal 7 39" xfId="2687"/>
    <cellStyle name="Normal 7 4" xfId="2688"/>
    <cellStyle name="Normal 7 40" xfId="2689"/>
    <cellStyle name="Normal 7 5" xfId="2690"/>
    <cellStyle name="Normal 7 6" xfId="2691"/>
    <cellStyle name="Normal 7 7" xfId="2692"/>
    <cellStyle name="Normal 7 8" xfId="2693"/>
    <cellStyle name="Normal 7 9" xfId="2694"/>
    <cellStyle name="Normal 70" xfId="1090"/>
    <cellStyle name="Normal 71" xfId="1091"/>
    <cellStyle name="Normal 72" xfId="1092"/>
    <cellStyle name="Normal 73" xfId="1093"/>
    <cellStyle name="Normal 74" xfId="1094"/>
    <cellStyle name="Normal 75" xfId="1095"/>
    <cellStyle name="Normal 76" xfId="1096"/>
    <cellStyle name="Normal 77" xfId="1097"/>
    <cellStyle name="Normal 78" xfId="1098"/>
    <cellStyle name="Normal 79" xfId="1099"/>
    <cellStyle name="Normal 8" xfId="1100"/>
    <cellStyle name="Normal 8 10" xfId="2695"/>
    <cellStyle name="Normal 8 11" xfId="2696"/>
    <cellStyle name="Normal 8 12" xfId="2697"/>
    <cellStyle name="Normal 8 13" xfId="2698"/>
    <cellStyle name="Normal 8 14" xfId="2699"/>
    <cellStyle name="Normal 8 15" xfId="2700"/>
    <cellStyle name="Normal 8 16" xfId="2701"/>
    <cellStyle name="Normal 8 17" xfId="2702"/>
    <cellStyle name="Normal 8 18" xfId="2703"/>
    <cellStyle name="Normal 8 19" xfId="2704"/>
    <cellStyle name="Normal 8 2" xfId="1101"/>
    <cellStyle name="Normal 8 20" xfId="2705"/>
    <cellStyle name="Normal 8 21" xfId="2706"/>
    <cellStyle name="Normal 8 22" xfId="2707"/>
    <cellStyle name="Normal 8 23" xfId="2708"/>
    <cellStyle name="Normal 8 24" xfId="2709"/>
    <cellStyle name="Normal 8 25" xfId="2710"/>
    <cellStyle name="Normal 8 26" xfId="2711"/>
    <cellStyle name="Normal 8 27" xfId="2712"/>
    <cellStyle name="Normal 8 28" xfId="2713"/>
    <cellStyle name="Normal 8 29" xfId="2714"/>
    <cellStyle name="Normal 8 3" xfId="2715"/>
    <cellStyle name="Normal 8 30" xfId="2716"/>
    <cellStyle name="Normal 8 31" xfId="2717"/>
    <cellStyle name="Normal 8 32" xfId="2718"/>
    <cellStyle name="Normal 8 33" xfId="2719"/>
    <cellStyle name="Normal 8 34" xfId="2720"/>
    <cellStyle name="Normal 8 35" xfId="2721"/>
    <cellStyle name="Normal 8 36" xfId="2722"/>
    <cellStyle name="Normal 8 37" xfId="2723"/>
    <cellStyle name="Normal 8 38" xfId="2724"/>
    <cellStyle name="Normal 8 39" xfId="2725"/>
    <cellStyle name="Normal 8 4" xfId="2726"/>
    <cellStyle name="Normal 8 5" xfId="2727"/>
    <cellStyle name="Normal 8 6" xfId="2728"/>
    <cellStyle name="Normal 8 7" xfId="2729"/>
    <cellStyle name="Normal 8 8" xfId="2730"/>
    <cellStyle name="Normal 8 9" xfId="2731"/>
    <cellStyle name="Normal 80" xfId="1102"/>
    <cellStyle name="Normal 81" xfId="1103"/>
    <cellStyle name="Normal 82" xfId="1104"/>
    <cellStyle name="Normal 83" xfId="1105"/>
    <cellStyle name="Normal 84" xfId="1106"/>
    <cellStyle name="Normal 85" xfId="1107"/>
    <cellStyle name="Normal 86" xfId="1108"/>
    <cellStyle name="Normal 87" xfId="1109"/>
    <cellStyle name="Normal 88" xfId="1110"/>
    <cellStyle name="Normal 89" xfId="1111"/>
    <cellStyle name="Normal 9" xfId="1112"/>
    <cellStyle name="Normal 9 10" xfId="2732"/>
    <cellStyle name="Normal 9 11" xfId="2733"/>
    <cellStyle name="Normal 9 12" xfId="2734"/>
    <cellStyle name="Normal 9 13" xfId="2735"/>
    <cellStyle name="Normal 9 14" xfId="2736"/>
    <cellStyle name="Normal 9 15" xfId="2737"/>
    <cellStyle name="Normal 9 16" xfId="2738"/>
    <cellStyle name="Normal 9 17" xfId="2739"/>
    <cellStyle name="Normal 9 18" xfId="2740"/>
    <cellStyle name="Normal 9 19" xfId="2741"/>
    <cellStyle name="Normal 9 2" xfId="1113"/>
    <cellStyle name="Normal 9 2 2" xfId="2742"/>
    <cellStyle name="Normal 9 20" xfId="2743"/>
    <cellStyle name="Normal 9 21" xfId="2744"/>
    <cellStyle name="Normal 9 22" xfId="2745"/>
    <cellStyle name="Normal 9 23" xfId="2746"/>
    <cellStyle name="Normal 9 24" xfId="2747"/>
    <cellStyle name="Normal 9 25" xfId="2748"/>
    <cellStyle name="Normal 9 26" xfId="2749"/>
    <cellStyle name="Normal 9 27" xfId="2750"/>
    <cellStyle name="Normal 9 28" xfId="2751"/>
    <cellStyle name="Normal 9 29" xfId="2752"/>
    <cellStyle name="Normal 9 3" xfId="2753"/>
    <cellStyle name="Normal 9 3 2" xfId="2754"/>
    <cellStyle name="Normal 9 30" xfId="2755"/>
    <cellStyle name="Normal 9 31" xfId="2756"/>
    <cellStyle name="Normal 9 32" xfId="2757"/>
    <cellStyle name="Normal 9 33" xfId="2758"/>
    <cellStyle name="Normal 9 34" xfId="2759"/>
    <cellStyle name="Normal 9 35" xfId="2760"/>
    <cellStyle name="Normal 9 36" xfId="2761"/>
    <cellStyle name="Normal 9 37" xfId="2762"/>
    <cellStyle name="Normal 9 38" xfId="2763"/>
    <cellStyle name="Normal 9 39" xfId="2764"/>
    <cellStyle name="Normal 9 4" xfId="2765"/>
    <cellStyle name="Normal 9 5" xfId="2766"/>
    <cellStyle name="Normal 9 6" xfId="2767"/>
    <cellStyle name="Normal 9 7" xfId="2768"/>
    <cellStyle name="Normal 9 8" xfId="2769"/>
    <cellStyle name="Normal 9 9" xfId="2770"/>
    <cellStyle name="Normal 90" xfId="1114"/>
    <cellStyle name="Normal 91" xfId="1115"/>
    <cellStyle name="Normal 92" xfId="1116"/>
    <cellStyle name="Normal 93" xfId="1117"/>
    <cellStyle name="Normal 94" xfId="1118"/>
    <cellStyle name="Normal 95" xfId="1119"/>
    <cellStyle name="Normal 96" xfId="1120"/>
    <cellStyle name="Normal 97" xfId="1121"/>
    <cellStyle name="Normal 98" xfId="1122"/>
    <cellStyle name="Normal 99" xfId="1123"/>
    <cellStyle name="Nota" xfId="32" builtinId="10" customBuiltin="1"/>
    <cellStyle name="Nota 10" xfId="1124"/>
    <cellStyle name="Nota 10 2" xfId="1125"/>
    <cellStyle name="Nota 11" xfId="1126"/>
    <cellStyle name="Nota 11 2" xfId="1127"/>
    <cellStyle name="Nota 12" xfId="1128"/>
    <cellStyle name="Nota 12 2" xfId="1129"/>
    <cellStyle name="Nota 13" xfId="1130"/>
    <cellStyle name="Nota 13 2" xfId="1131"/>
    <cellStyle name="Nota 14" xfId="1132"/>
    <cellStyle name="Nota 14 2" xfId="1133"/>
    <cellStyle name="Nota 15" xfId="1134"/>
    <cellStyle name="Nota 15 2" xfId="1135"/>
    <cellStyle name="Nota 16" xfId="1136"/>
    <cellStyle name="Nota 16 2" xfId="1137"/>
    <cellStyle name="Nota 17" xfId="1138"/>
    <cellStyle name="Nota 17 2" xfId="1139"/>
    <cellStyle name="Nota 18" xfId="1140"/>
    <cellStyle name="Nota 18 2" xfId="2771"/>
    <cellStyle name="Nota 19" xfId="1141"/>
    <cellStyle name="Nota 19 2" xfId="2772"/>
    <cellStyle name="Nota 2" xfId="1142"/>
    <cellStyle name="Nota 2 10" xfId="1143"/>
    <cellStyle name="Nota 2 11" xfId="1144"/>
    <cellStyle name="Nota 2 12" xfId="1145"/>
    <cellStyle name="Nota 2 13" xfId="1146"/>
    <cellStyle name="Nota 2 14" xfId="1147"/>
    <cellStyle name="Nota 2 15" xfId="1148"/>
    <cellStyle name="Nota 2 16" xfId="1149"/>
    <cellStyle name="Nota 2 17" xfId="1150"/>
    <cellStyle name="Nota 2 18" xfId="1151"/>
    <cellStyle name="Nota 2 2" xfId="1152"/>
    <cellStyle name="Nota 2 3" xfId="1153"/>
    <cellStyle name="Nota 2 4" xfId="1154"/>
    <cellStyle name="Nota 2 5" xfId="1155"/>
    <cellStyle name="Nota 2 6" xfId="1156"/>
    <cellStyle name="Nota 2 7" xfId="1157"/>
    <cellStyle name="Nota 2 8" xfId="1158"/>
    <cellStyle name="Nota 2 9" xfId="1159"/>
    <cellStyle name="Nota 20" xfId="1160"/>
    <cellStyle name="Nota 20 2" xfId="2773"/>
    <cellStyle name="Nota 21" xfId="1161"/>
    <cellStyle name="Nota 21 2" xfId="2774"/>
    <cellStyle name="Nota 22" xfId="1162"/>
    <cellStyle name="Nota 22 2" xfId="2775"/>
    <cellStyle name="Nota 23" xfId="1163"/>
    <cellStyle name="Nota 23 2" xfId="2776"/>
    <cellStyle name="Nota 24" xfId="1164"/>
    <cellStyle name="Nota 24 2" xfId="2777"/>
    <cellStyle name="Nota 25" xfId="1165"/>
    <cellStyle name="Nota 25 2" xfId="2778"/>
    <cellStyle name="Nota 26" xfId="1166"/>
    <cellStyle name="Nota 26 2" xfId="2779"/>
    <cellStyle name="Nota 27" xfId="1167"/>
    <cellStyle name="Nota 27 2" xfId="2780"/>
    <cellStyle name="Nota 28" xfId="2781"/>
    <cellStyle name="Nota 28 2" xfId="2782"/>
    <cellStyle name="Nota 29" xfId="2783"/>
    <cellStyle name="Nota 29 2" xfId="2784"/>
    <cellStyle name="Nota 3" xfId="1168"/>
    <cellStyle name="Nota 3 2" xfId="1169"/>
    <cellStyle name="Nota 30" xfId="2785"/>
    <cellStyle name="Nota 30 2" xfId="2786"/>
    <cellStyle name="Nota 31" xfId="2787"/>
    <cellStyle name="Nota 31 2" xfId="2788"/>
    <cellStyle name="Nota 32" xfId="2789"/>
    <cellStyle name="Nota 32 2" xfId="2790"/>
    <cellStyle name="Nota 33" xfId="2791"/>
    <cellStyle name="Nota 33 2" xfId="2792"/>
    <cellStyle name="Nota 34" xfId="2793"/>
    <cellStyle name="Nota 34 2" xfId="2794"/>
    <cellStyle name="Nota 35" xfId="2795"/>
    <cellStyle name="Nota 35 2" xfId="2796"/>
    <cellStyle name="Nota 36" xfId="2797"/>
    <cellStyle name="Nota 36 2" xfId="2798"/>
    <cellStyle name="Nota 37" xfId="2799"/>
    <cellStyle name="Nota 37 2" xfId="2800"/>
    <cellStyle name="Nota 38" xfId="2801"/>
    <cellStyle name="Nota 38 2" xfId="2802"/>
    <cellStyle name="Nota 39" xfId="2803"/>
    <cellStyle name="Nota 39 2" xfId="2804"/>
    <cellStyle name="Nota 4" xfId="1170"/>
    <cellStyle name="Nota 4 2" xfId="1171"/>
    <cellStyle name="Nota 40" xfId="2805"/>
    <cellStyle name="Nota 40 2" xfId="2806"/>
    <cellStyle name="Nota 41" xfId="2807"/>
    <cellStyle name="Nota 41 2" xfId="2808"/>
    <cellStyle name="Nota 42" xfId="2809"/>
    <cellStyle name="Nota 42 2" xfId="2810"/>
    <cellStyle name="Nota 43" xfId="2811"/>
    <cellStyle name="Nota 43 2" xfId="2812"/>
    <cellStyle name="Nota 44" xfId="2813"/>
    <cellStyle name="Nota 44 2" xfId="2814"/>
    <cellStyle name="Nota 45" xfId="2815"/>
    <cellStyle name="Nota 45 2" xfId="2816"/>
    <cellStyle name="Nota 46" xfId="2817"/>
    <cellStyle name="Nota 47" xfId="2818"/>
    <cellStyle name="Nota 48" xfId="2819"/>
    <cellStyle name="Nota 49" xfId="2820"/>
    <cellStyle name="Nota 5" xfId="1172"/>
    <cellStyle name="Nota 5 2" xfId="1173"/>
    <cellStyle name="Nota 6" xfId="1174"/>
    <cellStyle name="Nota 6 2" xfId="1175"/>
    <cellStyle name="Nota 7" xfId="1176"/>
    <cellStyle name="Nota 7 2" xfId="1177"/>
    <cellStyle name="Nota 8" xfId="1178"/>
    <cellStyle name="Nota 8 2" xfId="1179"/>
    <cellStyle name="Nota 9" xfId="1180"/>
    <cellStyle name="Nota 9 2" xfId="1181"/>
    <cellStyle name="Note" xfId="2821"/>
    <cellStyle name="Note 2" xfId="2822"/>
    <cellStyle name="Output" xfId="2823"/>
    <cellStyle name="PERCENT" xfId="2824"/>
    <cellStyle name="Percent 2" xfId="1182"/>
    <cellStyle name="Porcentagem" xfId="1663" builtinId="5"/>
    <cellStyle name="Porcentagem 10 2" xfId="1183"/>
    <cellStyle name="Porcentagem 10 2 2" xfId="2825"/>
    <cellStyle name="Porcentagem 12 2" xfId="1184"/>
    <cellStyle name="Porcentagem 2" xfId="1185"/>
    <cellStyle name="Porcentagem 2 2" xfId="1678"/>
    <cellStyle name="Porcentagem 2 3" xfId="2826"/>
    <cellStyle name="Porcentagem 2 4" xfId="2827"/>
    <cellStyle name="Porcentagem 2 5" xfId="2828"/>
    <cellStyle name="Porcentagem 2 6" xfId="2829"/>
    <cellStyle name="Porcentagem 2 7" xfId="2830"/>
    <cellStyle name="Porcentagem 2 8" xfId="2831"/>
    <cellStyle name="Porcentagem 3" xfId="1186"/>
    <cellStyle name="Porcentagem 3 2" xfId="1187"/>
    <cellStyle name="Porcentagem 3 2 2" xfId="1188"/>
    <cellStyle name="Porcentagem 3 2 3" xfId="2832"/>
    <cellStyle name="Porcentagem 3 3" xfId="1189"/>
    <cellStyle name="Porcentagem 3 3 2" xfId="1190"/>
    <cellStyle name="Porcentagem 4" xfId="1669"/>
    <cellStyle name="Porcentagem 4 2" xfId="2833"/>
    <cellStyle name="Porcentagem 5" xfId="1679"/>
    <cellStyle name="Porcentagem 5 2" xfId="1191"/>
    <cellStyle name="Porcentagem 6" xfId="2834"/>
    <cellStyle name="Porcentagem 7" xfId="2835"/>
    <cellStyle name="Porcentagem 7 2" xfId="1192"/>
    <cellStyle name="Porcentagem 8" xfId="2836"/>
    <cellStyle name="Porcentagem 8 2" xfId="1193"/>
    <cellStyle name="Porcentagem 9 2" xfId="1194"/>
    <cellStyle name="Saída" xfId="33" builtinId="21" customBuiltin="1"/>
    <cellStyle name="Saída 10 2" xfId="1195"/>
    <cellStyle name="Saída 11 2" xfId="1196"/>
    <cellStyle name="Saída 12 2" xfId="1197"/>
    <cellStyle name="Saída 13 2" xfId="1198"/>
    <cellStyle name="Saída 14 2" xfId="1199"/>
    <cellStyle name="Saída 15 2" xfId="1200"/>
    <cellStyle name="Saída 16 2" xfId="1201"/>
    <cellStyle name="Saída 17 2" xfId="1202"/>
    <cellStyle name="Saída 2" xfId="1203"/>
    <cellStyle name="Saída 2 2" xfId="1204"/>
    <cellStyle name="Saída 3" xfId="1205"/>
    <cellStyle name="Saída 3 2" xfId="1206"/>
    <cellStyle name="Saída 4" xfId="1207"/>
    <cellStyle name="Saída 4 2" xfId="1208"/>
    <cellStyle name="Saída 5" xfId="1209"/>
    <cellStyle name="Saída 5 2" xfId="1210"/>
    <cellStyle name="Saída 6" xfId="2837"/>
    <cellStyle name="Saída 6 2" xfId="1211"/>
    <cellStyle name="Saída 7 2" xfId="1212"/>
    <cellStyle name="Saída 8 2" xfId="1213"/>
    <cellStyle name="Saída 9 2" xfId="1214"/>
    <cellStyle name="Separador de milhares" xfId="1961" builtinId="3"/>
    <cellStyle name="Separador de milhares [0] 2" xfId="2838"/>
    <cellStyle name="Separador de milhares 10" xfId="1215"/>
    <cellStyle name="Separador de milhares 10 10" xfId="1216"/>
    <cellStyle name="Separador de milhares 10 10 2" xfId="1680"/>
    <cellStyle name="Separador de milhares 10 10 2 2" xfId="1969"/>
    <cellStyle name="Separador de milhares 10 11" xfId="1217"/>
    <cellStyle name="Separador de milhares 10 11 2" xfId="1681"/>
    <cellStyle name="Separador de milhares 10 11 2 2" xfId="1970"/>
    <cellStyle name="Separador de milhares 10 12" xfId="1218"/>
    <cellStyle name="Separador de milhares 10 12 2" xfId="1682"/>
    <cellStyle name="Separador de milhares 10 12 2 2" xfId="1971"/>
    <cellStyle name="Separador de milhares 10 13" xfId="1219"/>
    <cellStyle name="Separador de milhares 10 13 2" xfId="1683"/>
    <cellStyle name="Separador de milhares 10 13 2 2" xfId="1972"/>
    <cellStyle name="Separador de milhares 10 14" xfId="1220"/>
    <cellStyle name="Separador de milhares 10 14 2" xfId="1684"/>
    <cellStyle name="Separador de milhares 10 14 2 2" xfId="1973"/>
    <cellStyle name="Separador de milhares 10 15" xfId="1685"/>
    <cellStyle name="Separador de milhares 10 15 2" xfId="1974"/>
    <cellStyle name="Separador de milhares 10 2" xfId="1221"/>
    <cellStyle name="Separador de milhares 10 2 2" xfId="1686"/>
    <cellStyle name="Separador de milhares 10 2 2 2" xfId="1975"/>
    <cellStyle name="Separador de milhares 10 2 2 2 2" xfId="2274"/>
    <cellStyle name="Separador de milhares 10 2 2 3" xfId="2275"/>
    <cellStyle name="Separador de milhares 10 2 3" xfId="2276"/>
    <cellStyle name="Separador de milhares 10 2 3 2" xfId="2277"/>
    <cellStyle name="Separador de milhares 10 2 4" xfId="2278"/>
    <cellStyle name="Separador de milhares 10 3" xfId="1222"/>
    <cellStyle name="Separador de milhares 10 3 2" xfId="1687"/>
    <cellStyle name="Separador de milhares 10 3 2 2" xfId="1976"/>
    <cellStyle name="Separador de milhares 10 3 2 2 2" xfId="2279"/>
    <cellStyle name="Separador de milhares 10 3 2 3" xfId="2280"/>
    <cellStyle name="Separador de milhares 10 3 3" xfId="2281"/>
    <cellStyle name="Separador de milhares 10 3 3 2" xfId="2282"/>
    <cellStyle name="Separador de milhares 10 3 4" xfId="2283"/>
    <cellStyle name="Separador de milhares 10 4" xfId="1223"/>
    <cellStyle name="Separador de milhares 10 4 2" xfId="1688"/>
    <cellStyle name="Separador de milhares 10 4 2 2" xfId="1977"/>
    <cellStyle name="Separador de milhares 10 4 3" xfId="2284"/>
    <cellStyle name="Separador de milhares 10 5" xfId="1224"/>
    <cellStyle name="Separador de milhares 10 5 2" xfId="1689"/>
    <cellStyle name="Separador de milhares 10 5 2 2" xfId="1978"/>
    <cellStyle name="Separador de milhares 10 6" xfId="1225"/>
    <cellStyle name="Separador de milhares 10 6 2" xfId="1690"/>
    <cellStyle name="Separador de milhares 10 6 2 2" xfId="1979"/>
    <cellStyle name="Separador de milhares 10 7" xfId="1226"/>
    <cellStyle name="Separador de milhares 10 7 2" xfId="1691"/>
    <cellStyle name="Separador de milhares 10 7 2 2" xfId="1980"/>
    <cellStyle name="Separador de milhares 10 8" xfId="1227"/>
    <cellStyle name="Separador de milhares 10 8 2" xfId="1692"/>
    <cellStyle name="Separador de milhares 10 8 2 2" xfId="1981"/>
    <cellStyle name="Separador de milhares 10 9" xfId="1228"/>
    <cellStyle name="Separador de milhares 10 9 2" xfId="1693"/>
    <cellStyle name="Separador de milhares 10 9 2 2" xfId="1982"/>
    <cellStyle name="Separador de milhares 100" xfId="1229"/>
    <cellStyle name="Separador de milhares 100 2" xfId="1694"/>
    <cellStyle name="Separador de milhares 100 2 2" xfId="1983"/>
    <cellStyle name="Separador de milhares 101" xfId="1230"/>
    <cellStyle name="Separador de milhares 101 2" xfId="1695"/>
    <cellStyle name="Separador de milhares 101 2 2" xfId="1984"/>
    <cellStyle name="Separador de milhares 102" xfId="1231"/>
    <cellStyle name="Separador de milhares 102 2" xfId="1696"/>
    <cellStyle name="Separador de milhares 102 2 2" xfId="1985"/>
    <cellStyle name="Separador de milhares 103" xfId="1232"/>
    <cellStyle name="Separador de milhares 103 2" xfId="1697"/>
    <cellStyle name="Separador de milhares 103 2 2" xfId="1986"/>
    <cellStyle name="Separador de milhares 104" xfId="1233"/>
    <cellStyle name="Separador de milhares 104 2" xfId="1698"/>
    <cellStyle name="Separador de milhares 104 2 2" xfId="1987"/>
    <cellStyle name="Separador de milhares 105" xfId="1234"/>
    <cellStyle name="Separador de milhares 105 2" xfId="1699"/>
    <cellStyle name="Separador de milhares 105 2 2" xfId="1988"/>
    <cellStyle name="Separador de milhares 106" xfId="1235"/>
    <cellStyle name="Separador de milhares 106 2" xfId="1700"/>
    <cellStyle name="Separador de milhares 106 2 2" xfId="1989"/>
    <cellStyle name="Separador de milhares 107" xfId="1236"/>
    <cellStyle name="Separador de milhares 107 2" xfId="1701"/>
    <cellStyle name="Separador de milhares 107 2 2" xfId="1990"/>
    <cellStyle name="Separador de milhares 108" xfId="1237"/>
    <cellStyle name="Separador de milhares 108 2" xfId="1702"/>
    <cellStyle name="Separador de milhares 108 2 2" xfId="1991"/>
    <cellStyle name="Separador de milhares 109" xfId="1238"/>
    <cellStyle name="Separador de milhares 109 2" xfId="1703"/>
    <cellStyle name="Separador de milhares 109 2 2" xfId="1992"/>
    <cellStyle name="Separador de milhares 11" xfId="1239"/>
    <cellStyle name="Separador de milhares 11 2" xfId="1240"/>
    <cellStyle name="Separador de milhares 11 2 2" xfId="1704"/>
    <cellStyle name="Separador de milhares 11 2 2 2" xfId="1993"/>
    <cellStyle name="Separador de milhares 11 3" xfId="1705"/>
    <cellStyle name="Separador de milhares 11 3 2" xfId="1994"/>
    <cellStyle name="Separador de milhares 110" xfId="1241"/>
    <cellStyle name="Separador de milhares 110 2" xfId="1706"/>
    <cellStyle name="Separador de milhares 110 2 2" xfId="1995"/>
    <cellStyle name="Separador de milhares 111" xfId="1242"/>
    <cellStyle name="Separador de milhares 111 2" xfId="1707"/>
    <cellStyle name="Separador de milhares 111 2 2" xfId="1996"/>
    <cellStyle name="Separador de milhares 112" xfId="1243"/>
    <cellStyle name="Separador de milhares 112 2" xfId="1708"/>
    <cellStyle name="Separador de milhares 112 2 2" xfId="1997"/>
    <cellStyle name="Separador de milhares 113" xfId="1244"/>
    <cellStyle name="Separador de milhares 113 2" xfId="1709"/>
    <cellStyle name="Separador de milhares 113 2 2" xfId="1998"/>
    <cellStyle name="Separador de milhares 114" xfId="1245"/>
    <cellStyle name="Separador de milhares 114 2" xfId="1710"/>
    <cellStyle name="Separador de milhares 114 2 2" xfId="1999"/>
    <cellStyle name="Separador de milhares 115" xfId="1246"/>
    <cellStyle name="Separador de milhares 115 2" xfId="1711"/>
    <cellStyle name="Separador de milhares 115 2 2" xfId="2000"/>
    <cellStyle name="Separador de milhares 116" xfId="1247"/>
    <cellStyle name="Separador de milhares 116 2" xfId="1712"/>
    <cellStyle name="Separador de milhares 116 2 2" xfId="2001"/>
    <cellStyle name="Separador de milhares 117" xfId="1248"/>
    <cellStyle name="Separador de milhares 117 2" xfId="1713"/>
    <cellStyle name="Separador de milhares 117 2 2" xfId="2002"/>
    <cellStyle name="Separador de milhares 118" xfId="1249"/>
    <cellStyle name="Separador de milhares 118 2" xfId="1714"/>
    <cellStyle name="Separador de milhares 118 2 2" xfId="2003"/>
    <cellStyle name="Separador de milhares 119" xfId="1250"/>
    <cellStyle name="Separador de milhares 119 2" xfId="1715"/>
    <cellStyle name="Separador de milhares 119 2 2" xfId="2004"/>
    <cellStyle name="Separador de milhares 12" xfId="1251"/>
    <cellStyle name="Separador de milhares 12 2" xfId="1252"/>
    <cellStyle name="Separador de milhares 12 2 2" xfId="1716"/>
    <cellStyle name="Separador de milhares 12 2 2 2" xfId="2005"/>
    <cellStyle name="Separador de milhares 12 3" xfId="1717"/>
    <cellStyle name="Separador de milhares 12 3 2" xfId="2006"/>
    <cellStyle name="Separador de milhares 120" xfId="1253"/>
    <cellStyle name="Separador de milhares 120 2" xfId="1718"/>
    <cellStyle name="Separador de milhares 120 2 2" xfId="2007"/>
    <cellStyle name="Separador de milhares 121" xfId="1254"/>
    <cellStyle name="Separador de milhares 121 2" xfId="1719"/>
    <cellStyle name="Separador de milhares 121 2 2" xfId="2008"/>
    <cellStyle name="Separador de milhares 122" xfId="1255"/>
    <cellStyle name="Separador de milhares 122 2" xfId="1720"/>
    <cellStyle name="Separador de milhares 122 2 2" xfId="2009"/>
    <cellStyle name="Separador de milhares 123" xfId="1256"/>
    <cellStyle name="Separador de milhares 123 2" xfId="1721"/>
    <cellStyle name="Separador de milhares 123 2 2" xfId="2010"/>
    <cellStyle name="Separador de milhares 124" xfId="1257"/>
    <cellStyle name="Separador de milhares 124 2" xfId="1722"/>
    <cellStyle name="Separador de milhares 124 2 2" xfId="2011"/>
    <cellStyle name="Separador de milhares 125" xfId="1258"/>
    <cellStyle name="Separador de milhares 125 2" xfId="1723"/>
    <cellStyle name="Separador de milhares 125 2 2" xfId="2012"/>
    <cellStyle name="Separador de milhares 126" xfId="1259"/>
    <cellStyle name="Separador de milhares 126 2" xfId="1724"/>
    <cellStyle name="Separador de milhares 126 2 2" xfId="2013"/>
    <cellStyle name="Separador de milhares 127" xfId="1260"/>
    <cellStyle name="Separador de milhares 127 2" xfId="1725"/>
    <cellStyle name="Separador de milhares 127 2 2" xfId="2014"/>
    <cellStyle name="Separador de milhares 128" xfId="1261"/>
    <cellStyle name="Separador de milhares 128 2" xfId="1726"/>
    <cellStyle name="Separador de milhares 128 2 2" xfId="2015"/>
    <cellStyle name="Separador de milhares 129" xfId="1262"/>
    <cellStyle name="Separador de milhares 129 2" xfId="1727"/>
    <cellStyle name="Separador de milhares 129 2 2" xfId="2016"/>
    <cellStyle name="Separador de milhares 13" xfId="1263"/>
    <cellStyle name="Separador de milhares 13 2" xfId="1264"/>
    <cellStyle name="Separador de milhares 13 2 2" xfId="1728"/>
    <cellStyle name="Separador de milhares 13 2 2 2" xfId="2017"/>
    <cellStyle name="Separador de milhares 13 3" xfId="1729"/>
    <cellStyle name="Separador de milhares 13 3 2" xfId="2018"/>
    <cellStyle name="Separador de milhares 130" xfId="1265"/>
    <cellStyle name="Separador de milhares 130 2" xfId="1730"/>
    <cellStyle name="Separador de milhares 130 2 2" xfId="2019"/>
    <cellStyle name="Separador de milhares 131" xfId="1266"/>
    <cellStyle name="Separador de milhares 131 2" xfId="1731"/>
    <cellStyle name="Separador de milhares 131 2 2" xfId="2020"/>
    <cellStyle name="Separador de milhares 132" xfId="1267"/>
    <cellStyle name="Separador de milhares 132 2" xfId="1732"/>
    <cellStyle name="Separador de milhares 132 2 2" xfId="2021"/>
    <cellStyle name="Separador de milhares 133" xfId="1268"/>
    <cellStyle name="Separador de milhares 133 2" xfId="1733"/>
    <cellStyle name="Separador de milhares 133 2 2" xfId="2022"/>
    <cellStyle name="Separador de milhares 134" xfId="1269"/>
    <cellStyle name="Separador de milhares 134 2" xfId="1734"/>
    <cellStyle name="Separador de milhares 134 2 2" xfId="2023"/>
    <cellStyle name="Separador de milhares 135" xfId="1270"/>
    <cellStyle name="Separador de milhares 135 2" xfId="1735"/>
    <cellStyle name="Separador de milhares 135 2 2" xfId="2024"/>
    <cellStyle name="Separador de milhares 136" xfId="1271"/>
    <cellStyle name="Separador de milhares 136 2" xfId="1736"/>
    <cellStyle name="Separador de milhares 136 2 2" xfId="2025"/>
    <cellStyle name="Separador de milhares 137" xfId="1272"/>
    <cellStyle name="Separador de milhares 137 2" xfId="1737"/>
    <cellStyle name="Separador de milhares 137 2 2" xfId="2026"/>
    <cellStyle name="Separador de milhares 138" xfId="1273"/>
    <cellStyle name="Separador de milhares 138 2" xfId="1738"/>
    <cellStyle name="Separador de milhares 138 2 2" xfId="2027"/>
    <cellStyle name="Separador de milhares 139" xfId="1274"/>
    <cellStyle name="Separador de milhares 139 2" xfId="1739"/>
    <cellStyle name="Separador de milhares 139 2 2" xfId="2028"/>
    <cellStyle name="Separador de milhares 14" xfId="1275"/>
    <cellStyle name="Separador de milhares 14 2" xfId="1276"/>
    <cellStyle name="Separador de milhares 14 2 2" xfId="1740"/>
    <cellStyle name="Separador de milhares 14 2 2 2" xfId="2029"/>
    <cellStyle name="Separador de milhares 14 3" xfId="1741"/>
    <cellStyle name="Separador de milhares 14 3 2" xfId="2030"/>
    <cellStyle name="Separador de milhares 140" xfId="1277"/>
    <cellStyle name="Separador de milhares 140 2" xfId="1742"/>
    <cellStyle name="Separador de milhares 140 2 2" xfId="2031"/>
    <cellStyle name="Separador de milhares 141" xfId="1278"/>
    <cellStyle name="Separador de milhares 141 2" xfId="1743"/>
    <cellStyle name="Separador de milhares 141 2 2" xfId="2032"/>
    <cellStyle name="Separador de milhares 142" xfId="1279"/>
    <cellStyle name="Separador de milhares 142 2" xfId="1744"/>
    <cellStyle name="Separador de milhares 142 2 2" xfId="2033"/>
    <cellStyle name="Separador de milhares 143" xfId="1280"/>
    <cellStyle name="Separador de milhares 143 2" xfId="1745"/>
    <cellStyle name="Separador de milhares 143 2 2" xfId="2034"/>
    <cellStyle name="Separador de milhares 144" xfId="1281"/>
    <cellStyle name="Separador de milhares 144 2" xfId="1746"/>
    <cellStyle name="Separador de milhares 144 2 2" xfId="2035"/>
    <cellStyle name="Separador de milhares 145" xfId="1282"/>
    <cellStyle name="Separador de milhares 145 2" xfId="1747"/>
    <cellStyle name="Separador de milhares 145 2 2" xfId="2036"/>
    <cellStyle name="Separador de milhares 146" xfId="1283"/>
    <cellStyle name="Separador de milhares 146 2" xfId="1748"/>
    <cellStyle name="Separador de milhares 146 2 2" xfId="2037"/>
    <cellStyle name="Separador de milhares 147" xfId="1284"/>
    <cellStyle name="Separador de milhares 147 2" xfId="1749"/>
    <cellStyle name="Separador de milhares 147 2 2" xfId="2038"/>
    <cellStyle name="Separador de milhares 148" xfId="1285"/>
    <cellStyle name="Separador de milhares 148 2" xfId="1750"/>
    <cellStyle name="Separador de milhares 148 2 2" xfId="2039"/>
    <cellStyle name="Separador de milhares 149" xfId="1286"/>
    <cellStyle name="Separador de milhares 149 2" xfId="1751"/>
    <cellStyle name="Separador de milhares 149 2 2" xfId="2040"/>
    <cellStyle name="Separador de milhares 15" xfId="1287"/>
    <cellStyle name="Separador de milhares 15 2" xfId="1288"/>
    <cellStyle name="Separador de milhares 15 2 2" xfId="1752"/>
    <cellStyle name="Separador de milhares 15 2 2 2" xfId="2041"/>
    <cellStyle name="Separador de milhares 15 3" xfId="1753"/>
    <cellStyle name="Separador de milhares 15 3 2" xfId="2042"/>
    <cellStyle name="Separador de milhares 150" xfId="1289"/>
    <cellStyle name="Separador de milhares 150 2" xfId="1754"/>
    <cellStyle name="Separador de milhares 150 2 2" xfId="2043"/>
    <cellStyle name="Separador de milhares 151" xfId="1290"/>
    <cellStyle name="Separador de milhares 151 2" xfId="1755"/>
    <cellStyle name="Separador de milhares 151 2 2" xfId="2044"/>
    <cellStyle name="Separador de milhares 152" xfId="1291"/>
    <cellStyle name="Separador de milhares 152 2" xfId="1756"/>
    <cellStyle name="Separador de milhares 152 2 2" xfId="2045"/>
    <cellStyle name="Separador de milhares 153" xfId="1292"/>
    <cellStyle name="Separador de milhares 153 2" xfId="1757"/>
    <cellStyle name="Separador de milhares 153 2 2" xfId="2046"/>
    <cellStyle name="Separador de milhares 154" xfId="1293"/>
    <cellStyle name="Separador de milhares 154 2" xfId="1758"/>
    <cellStyle name="Separador de milhares 154 2 2" xfId="2047"/>
    <cellStyle name="Separador de milhares 155" xfId="1294"/>
    <cellStyle name="Separador de milhares 155 2" xfId="1759"/>
    <cellStyle name="Separador de milhares 155 2 2" xfId="2048"/>
    <cellStyle name="Separador de milhares 156" xfId="1295"/>
    <cellStyle name="Separador de milhares 156 2" xfId="1760"/>
    <cellStyle name="Separador de milhares 156 2 2" xfId="2049"/>
    <cellStyle name="Separador de milhares 157" xfId="1296"/>
    <cellStyle name="Separador de milhares 157 2" xfId="1761"/>
    <cellStyle name="Separador de milhares 157 2 2" xfId="2050"/>
    <cellStyle name="Separador de milhares 158" xfId="1297"/>
    <cellStyle name="Separador de milhares 158 2" xfId="1762"/>
    <cellStyle name="Separador de milhares 158 2 2" xfId="2051"/>
    <cellStyle name="Separador de milhares 159" xfId="1298"/>
    <cellStyle name="Separador de milhares 159 2" xfId="1763"/>
    <cellStyle name="Separador de milhares 159 2 2" xfId="2052"/>
    <cellStyle name="Separador de milhares 16" xfId="1299"/>
    <cellStyle name="Separador de milhares 16 2" xfId="1300"/>
    <cellStyle name="Separador de milhares 16 2 2" xfId="1764"/>
    <cellStyle name="Separador de milhares 16 2 2 2" xfId="2053"/>
    <cellStyle name="Separador de milhares 16 3" xfId="1765"/>
    <cellStyle name="Separador de milhares 16 3 2" xfId="2054"/>
    <cellStyle name="Separador de milhares 160" xfId="1301"/>
    <cellStyle name="Separador de milhares 160 2" xfId="1766"/>
    <cellStyle name="Separador de milhares 160 2 2" xfId="2055"/>
    <cellStyle name="Separador de milhares 161" xfId="1302"/>
    <cellStyle name="Separador de milhares 161 2" xfId="1767"/>
    <cellStyle name="Separador de milhares 161 2 2" xfId="2056"/>
    <cellStyle name="Separador de milhares 162" xfId="1303"/>
    <cellStyle name="Separador de milhares 162 2" xfId="1768"/>
    <cellStyle name="Separador de milhares 162 2 2" xfId="2057"/>
    <cellStyle name="Separador de milhares 163" xfId="1304"/>
    <cellStyle name="Separador de milhares 163 2" xfId="1769"/>
    <cellStyle name="Separador de milhares 163 2 2" xfId="2058"/>
    <cellStyle name="Separador de milhares 164" xfId="1305"/>
    <cellStyle name="Separador de milhares 164 2" xfId="1770"/>
    <cellStyle name="Separador de milhares 164 2 2" xfId="2059"/>
    <cellStyle name="Separador de milhares 165" xfId="1306"/>
    <cellStyle name="Separador de milhares 165 2" xfId="1771"/>
    <cellStyle name="Separador de milhares 165 2 2" xfId="2060"/>
    <cellStyle name="Separador de milhares 166" xfId="1307"/>
    <cellStyle name="Separador de milhares 166 2" xfId="1772"/>
    <cellStyle name="Separador de milhares 166 2 2" xfId="2061"/>
    <cellStyle name="Separador de milhares 167" xfId="1308"/>
    <cellStyle name="Separador de milhares 167 2" xfId="1773"/>
    <cellStyle name="Separador de milhares 167 2 2" xfId="2062"/>
    <cellStyle name="Separador de milhares 168" xfId="1309"/>
    <cellStyle name="Separador de milhares 168 2" xfId="1774"/>
    <cellStyle name="Separador de milhares 168 2 2" xfId="2063"/>
    <cellStyle name="Separador de milhares 169" xfId="1310"/>
    <cellStyle name="Separador de milhares 169 2" xfId="1775"/>
    <cellStyle name="Separador de milhares 169 2 2" xfId="2064"/>
    <cellStyle name="Separador de milhares 17" xfId="1311"/>
    <cellStyle name="Separador de milhares 17 2" xfId="1776"/>
    <cellStyle name="Separador de milhares 17 2 2" xfId="2065"/>
    <cellStyle name="Separador de milhares 170" xfId="1312"/>
    <cellStyle name="Separador de milhares 170 2" xfId="1777"/>
    <cellStyle name="Separador de milhares 170 2 2" xfId="2066"/>
    <cellStyle name="Separador de milhares 171" xfId="1313"/>
    <cellStyle name="Separador de milhares 171 2" xfId="1778"/>
    <cellStyle name="Separador de milhares 171 2 2" xfId="2067"/>
    <cellStyle name="Separador de milhares 172" xfId="1314"/>
    <cellStyle name="Separador de milhares 172 2" xfId="1779"/>
    <cellStyle name="Separador de milhares 172 2 2" xfId="2068"/>
    <cellStyle name="Separador de milhares 173" xfId="1315"/>
    <cellStyle name="Separador de milhares 173 2" xfId="1780"/>
    <cellStyle name="Separador de milhares 173 2 2" xfId="2069"/>
    <cellStyle name="Separador de milhares 174" xfId="1316"/>
    <cellStyle name="Separador de milhares 174 2" xfId="1781"/>
    <cellStyle name="Separador de milhares 174 2 2" xfId="2070"/>
    <cellStyle name="Separador de milhares 175" xfId="1317"/>
    <cellStyle name="Separador de milhares 175 2" xfId="1782"/>
    <cellStyle name="Separador de milhares 175 2 2" xfId="2071"/>
    <cellStyle name="Separador de milhares 176" xfId="1318"/>
    <cellStyle name="Separador de milhares 176 2" xfId="1783"/>
    <cellStyle name="Separador de milhares 176 2 2" xfId="2072"/>
    <cellStyle name="Separador de milhares 177" xfId="1319"/>
    <cellStyle name="Separador de milhares 177 2" xfId="1784"/>
    <cellStyle name="Separador de milhares 177 2 2" xfId="2073"/>
    <cellStyle name="Separador de milhares 178" xfId="1320"/>
    <cellStyle name="Separador de milhares 178 2" xfId="1785"/>
    <cellStyle name="Separador de milhares 178 2 2" xfId="2074"/>
    <cellStyle name="Separador de milhares 179" xfId="1321"/>
    <cellStyle name="Separador de milhares 179 2" xfId="1786"/>
    <cellStyle name="Separador de milhares 179 2 2" xfId="2075"/>
    <cellStyle name="Separador de milhares 18" xfId="1322"/>
    <cellStyle name="Separador de milhares 18 2" xfId="1323"/>
    <cellStyle name="Separador de milhares 18 2 2" xfId="1787"/>
    <cellStyle name="Separador de milhares 18 2 2 2" xfId="2076"/>
    <cellStyle name="Separador de milhares 18 3" xfId="1788"/>
    <cellStyle name="Separador de milhares 18 3 2" xfId="2077"/>
    <cellStyle name="Separador de milhares 180" xfId="1324"/>
    <cellStyle name="Separador de milhares 180 2" xfId="1789"/>
    <cellStyle name="Separador de milhares 180 2 2" xfId="2078"/>
    <cellStyle name="Separador de milhares 181" xfId="1325"/>
    <cellStyle name="Separador de milhares 181 2" xfId="1790"/>
    <cellStyle name="Separador de milhares 181 2 2" xfId="2079"/>
    <cellStyle name="Separador de milhares 182" xfId="1326"/>
    <cellStyle name="Separador de milhares 182 2" xfId="1791"/>
    <cellStyle name="Separador de milhares 182 2 2" xfId="2080"/>
    <cellStyle name="Separador de milhares 183" xfId="1327"/>
    <cellStyle name="Separador de milhares 183 2" xfId="1792"/>
    <cellStyle name="Separador de milhares 183 2 2" xfId="2081"/>
    <cellStyle name="Separador de milhares 184" xfId="1328"/>
    <cellStyle name="Separador de milhares 184 2" xfId="1793"/>
    <cellStyle name="Separador de milhares 184 2 2" xfId="2082"/>
    <cellStyle name="Separador de milhares 184 3" xfId="1963"/>
    <cellStyle name="Separador de milhares 185" xfId="1329"/>
    <cellStyle name="Separador de milhares 185 2" xfId="1794"/>
    <cellStyle name="Separador de milhares 185 2 2" xfId="2083"/>
    <cellStyle name="Separador de milhares 186" xfId="2839"/>
    <cellStyle name="Separador de milhares 19" xfId="1330"/>
    <cellStyle name="Separador de milhares 19 2" xfId="1331"/>
    <cellStyle name="Separador de milhares 19 2 2" xfId="1795"/>
    <cellStyle name="Separador de milhares 19 2 2 2" xfId="2084"/>
    <cellStyle name="Separador de milhares 19 3" xfId="1796"/>
    <cellStyle name="Separador de milhares 19 3 2" xfId="2085"/>
    <cellStyle name="Separador de milhares 2" xfId="45"/>
    <cellStyle name="Separador de milhares 2 10" xfId="1332"/>
    <cellStyle name="Separador de milhares 2 10 2" xfId="1797"/>
    <cellStyle name="Separador de milhares 2 10 2 2" xfId="2086"/>
    <cellStyle name="Separador de milhares 2 11" xfId="1333"/>
    <cellStyle name="Separador de milhares 2 11 2" xfId="1798"/>
    <cellStyle name="Separador de milhares 2 11 2 2" xfId="2087"/>
    <cellStyle name="Separador de milhares 2 12" xfId="1334"/>
    <cellStyle name="Separador de milhares 2 12 2" xfId="1799"/>
    <cellStyle name="Separador de milhares 2 12 2 2" xfId="2088"/>
    <cellStyle name="Separador de milhares 2 13" xfId="1335"/>
    <cellStyle name="Separador de milhares 2 13 2" xfId="1800"/>
    <cellStyle name="Separador de milhares 2 13 2 2" xfId="2089"/>
    <cellStyle name="Separador de milhares 2 14" xfId="1336"/>
    <cellStyle name="Separador de milhares 2 14 2" xfId="1801"/>
    <cellStyle name="Separador de milhares 2 14 2 2" xfId="2090"/>
    <cellStyle name="Separador de milhares 2 15" xfId="1337"/>
    <cellStyle name="Separador de milhares 2 15 2" xfId="1802"/>
    <cellStyle name="Separador de milhares 2 15 2 2" xfId="2091"/>
    <cellStyle name="Separador de milhares 2 16" xfId="1338"/>
    <cellStyle name="Separador de milhares 2 16 2" xfId="1803"/>
    <cellStyle name="Separador de milhares 2 16 2 2" xfId="2092"/>
    <cellStyle name="Separador de milhares 2 17" xfId="1339"/>
    <cellStyle name="Separador de milhares 2 17 2" xfId="1804"/>
    <cellStyle name="Separador de milhares 2 17 2 2" xfId="2093"/>
    <cellStyle name="Separador de milhares 2 18" xfId="1340"/>
    <cellStyle name="Separador de milhares 2 18 2" xfId="1805"/>
    <cellStyle name="Separador de milhares 2 18 2 2" xfId="2094"/>
    <cellStyle name="Separador de milhares 2 19" xfId="1341"/>
    <cellStyle name="Separador de milhares 2 19 2" xfId="1806"/>
    <cellStyle name="Separador de milhares 2 19 2 2" xfId="2095"/>
    <cellStyle name="Separador de milhares 2 2" xfId="1342"/>
    <cellStyle name="Separador de milhares 2 2 10" xfId="1343"/>
    <cellStyle name="Separador de milhares 2 2 10 2" xfId="1807"/>
    <cellStyle name="Separador de milhares 2 2 10 2 2" xfId="2096"/>
    <cellStyle name="Separador de milhares 2 2 11" xfId="1344"/>
    <cellStyle name="Separador de milhares 2 2 11 2" xfId="1808"/>
    <cellStyle name="Separador de milhares 2 2 11 2 2" xfId="2097"/>
    <cellStyle name="Separador de milhares 2 2 12" xfId="1345"/>
    <cellStyle name="Separador de milhares 2 2 12 2" xfId="1809"/>
    <cellStyle name="Separador de milhares 2 2 12 2 2" xfId="2098"/>
    <cellStyle name="Separador de milhares 2 2 13" xfId="1810"/>
    <cellStyle name="Separador de milhares 2 2 13 2" xfId="2099"/>
    <cellStyle name="Separador de milhares 2 2 2" xfId="1346"/>
    <cellStyle name="Separador de milhares 2 2 2 2" xfId="1347"/>
    <cellStyle name="Separador de milhares 2 2 2 2 2" xfId="1811"/>
    <cellStyle name="Separador de milhares 2 2 2 2 2 2" xfId="2100"/>
    <cellStyle name="Separador de milhares 2 2 2 2 3" xfId="2285"/>
    <cellStyle name="Separador de milhares 2 2 2 3" xfId="1812"/>
    <cellStyle name="Separador de milhares 2 2 2 3 2" xfId="2101"/>
    <cellStyle name="Separador de milhares 2 2 2 4" xfId="2286"/>
    <cellStyle name="Separador de milhares 2 2 3" xfId="1348"/>
    <cellStyle name="Separador de milhares 2 2 3 2" xfId="1813"/>
    <cellStyle name="Separador de milhares 2 2 3 2 2" xfId="2102"/>
    <cellStyle name="Separador de milhares 2 2 3 3" xfId="2287"/>
    <cellStyle name="Separador de milhares 2 2 4" xfId="1349"/>
    <cellStyle name="Separador de milhares 2 2 4 2" xfId="1814"/>
    <cellStyle name="Separador de milhares 2 2 4 2 2" xfId="2103"/>
    <cellStyle name="Separador de milhares 2 2 5" xfId="1350"/>
    <cellStyle name="Separador de milhares 2 2 5 2" xfId="1815"/>
    <cellStyle name="Separador de milhares 2 2 5 2 2" xfId="2104"/>
    <cellStyle name="Separador de milhares 2 2 6" xfId="1351"/>
    <cellStyle name="Separador de milhares 2 2 6 2" xfId="1816"/>
    <cellStyle name="Separador de milhares 2 2 6 2 2" xfId="2105"/>
    <cellStyle name="Separador de milhares 2 2 7" xfId="1352"/>
    <cellStyle name="Separador de milhares 2 2 7 2" xfId="1817"/>
    <cellStyle name="Separador de milhares 2 2 7 2 2" xfId="2106"/>
    <cellStyle name="Separador de milhares 2 2 8" xfId="1353"/>
    <cellStyle name="Separador de milhares 2 2 8 2" xfId="1818"/>
    <cellStyle name="Separador de milhares 2 2 8 2 2" xfId="2107"/>
    <cellStyle name="Separador de milhares 2 2 9" xfId="1354"/>
    <cellStyle name="Separador de milhares 2 2 9 2" xfId="1819"/>
    <cellStyle name="Separador de milhares 2 2 9 2 2" xfId="2108"/>
    <cellStyle name="Separador de milhares 2 20" xfId="1355"/>
    <cellStyle name="Separador de milhares 2 20 2" xfId="1820"/>
    <cellStyle name="Separador de milhares 2 20 2 2" xfId="2109"/>
    <cellStyle name="Separador de milhares 2 21" xfId="1356"/>
    <cellStyle name="Separador de milhares 2 21 2" xfId="1821"/>
    <cellStyle name="Separador de milhares 2 21 2 2" xfId="2110"/>
    <cellStyle name="Separador de milhares 2 22" xfId="1357"/>
    <cellStyle name="Separador de milhares 2 22 2" xfId="1822"/>
    <cellStyle name="Separador de milhares 2 22 2 2" xfId="2111"/>
    <cellStyle name="Separador de milhares 2 23" xfId="1358"/>
    <cellStyle name="Separador de milhares 2 23 2" xfId="1823"/>
    <cellStyle name="Separador de milhares 2 23 2 2" xfId="2112"/>
    <cellStyle name="Separador de milhares 2 24" xfId="1359"/>
    <cellStyle name="Separador de milhares 2 24 2" xfId="1824"/>
    <cellStyle name="Separador de milhares 2 24 2 2" xfId="2113"/>
    <cellStyle name="Separador de milhares 2 25" xfId="1360"/>
    <cellStyle name="Separador de milhares 2 25 2" xfId="1825"/>
    <cellStyle name="Separador de milhares 2 25 2 2" xfId="2114"/>
    <cellStyle name="Separador de milhares 2 26" xfId="1361"/>
    <cellStyle name="Separador de milhares 2 26 2" xfId="1826"/>
    <cellStyle name="Separador de milhares 2 26 2 2" xfId="2115"/>
    <cellStyle name="Separador de milhares 2 27" xfId="1362"/>
    <cellStyle name="Separador de milhares 2 27 2" xfId="1827"/>
    <cellStyle name="Separador de milhares 2 27 2 2" xfId="2116"/>
    <cellStyle name="Separador de milhares 2 28" xfId="1363"/>
    <cellStyle name="Separador de milhares 2 28 2" xfId="1828"/>
    <cellStyle name="Separador de milhares 2 28 2 2" xfId="2117"/>
    <cellStyle name="Separador de milhares 2 29" xfId="1364"/>
    <cellStyle name="Separador de milhares 2 29 2" xfId="1365"/>
    <cellStyle name="Separador de milhares 2 29 2 2" xfId="1829"/>
    <cellStyle name="Separador de milhares 2 29 2 2 2" xfId="2118"/>
    <cellStyle name="Separador de milhares 2 29 3" xfId="1830"/>
    <cellStyle name="Separador de milhares 2 29 3 2" xfId="2119"/>
    <cellStyle name="Separador de milhares 2 3" xfId="1366"/>
    <cellStyle name="Separador de milhares 2 3 2" xfId="1831"/>
    <cellStyle name="Separador de milhares 2 3 2 2" xfId="2120"/>
    <cellStyle name="Separador de milhares 2 3 2 2 2" xfId="2288"/>
    <cellStyle name="Separador de milhares 2 3 2 3" xfId="2289"/>
    <cellStyle name="Separador de milhares 2 3 3" xfId="2290"/>
    <cellStyle name="Separador de milhares 2 3 3 2" xfId="2291"/>
    <cellStyle name="Separador de milhares 2 3 4" xfId="2292"/>
    <cellStyle name="Separador de milhares 2 30" xfId="1367"/>
    <cellStyle name="Separador de milhares 2 30 2" xfId="1832"/>
    <cellStyle name="Separador de milhares 2 30 2 2" xfId="2121"/>
    <cellStyle name="Separador de milhares 2 31" xfId="1368"/>
    <cellStyle name="Separador de milhares 2 31 2" xfId="1833"/>
    <cellStyle name="Separador de milhares 2 31 2 2" xfId="2122"/>
    <cellStyle name="Separador de milhares 2 32" xfId="1369"/>
    <cellStyle name="Separador de milhares 2 32 2" xfId="1834"/>
    <cellStyle name="Separador de milhares 2 32 2 2" xfId="2123"/>
    <cellStyle name="Separador de milhares 2 33" xfId="1370"/>
    <cellStyle name="Separador de milhares 2 33 2" xfId="1835"/>
    <cellStyle name="Separador de milhares 2 33 2 2" xfId="2124"/>
    <cellStyle name="Separador de milhares 2 34" xfId="1371"/>
    <cellStyle name="Separador de milhares 2 34 2" xfId="1836"/>
    <cellStyle name="Separador de milhares 2 34 2 2" xfId="2125"/>
    <cellStyle name="Separador de milhares 2 35" xfId="1372"/>
    <cellStyle name="Separador de milhares 2 35 2" xfId="1837"/>
    <cellStyle name="Separador de milhares 2 35 2 2" xfId="2126"/>
    <cellStyle name="Separador de milhares 2 36" xfId="1373"/>
    <cellStyle name="Separador de milhares 2 36 2" xfId="1838"/>
    <cellStyle name="Separador de milhares 2 36 2 2" xfId="2127"/>
    <cellStyle name="Separador de milhares 2 37" xfId="1374"/>
    <cellStyle name="Separador de milhares 2 37 2" xfId="1839"/>
    <cellStyle name="Separador de milhares 2 37 2 2" xfId="2128"/>
    <cellStyle name="Separador de milhares 2 38" xfId="1375"/>
    <cellStyle name="Separador de milhares 2 38 2" xfId="1840"/>
    <cellStyle name="Separador de milhares 2 38 2 2" xfId="2129"/>
    <cellStyle name="Separador de milhares 2 39" xfId="1376"/>
    <cellStyle name="Separador de milhares 2 39 2" xfId="1841"/>
    <cellStyle name="Separador de milhares 2 39 2 2" xfId="2130"/>
    <cellStyle name="Separador de milhares 2 4" xfId="1377"/>
    <cellStyle name="Separador de milhares 2 4 2" xfId="1842"/>
    <cellStyle name="Separador de milhares 2 4 2 2" xfId="2131"/>
    <cellStyle name="Separador de milhares 2 4 3" xfId="2293"/>
    <cellStyle name="Separador de milhares 2 4 3 2" xfId="2294"/>
    <cellStyle name="Separador de milhares 2 4 4" xfId="2295"/>
    <cellStyle name="Separador de milhares 2 40" xfId="1378"/>
    <cellStyle name="Separador de milhares 2 40 2" xfId="1843"/>
    <cellStyle name="Separador de milhares 2 40 2 2" xfId="2132"/>
    <cellStyle name="Separador de milhares 2 41" xfId="1379"/>
    <cellStyle name="Separador de milhares 2 41 2" xfId="1844"/>
    <cellStyle name="Separador de milhares 2 41 2 2" xfId="2133"/>
    <cellStyle name="Separador de milhares 2 42" xfId="1380"/>
    <cellStyle name="Separador de milhares 2 42 2" xfId="1845"/>
    <cellStyle name="Separador de milhares 2 42 2 2" xfId="2134"/>
    <cellStyle name="Separador de milhares 2 43" xfId="1381"/>
    <cellStyle name="Separador de milhares 2 43 2" xfId="1846"/>
    <cellStyle name="Separador de milhares 2 43 2 2" xfId="2135"/>
    <cellStyle name="Separador de milhares 2 44" xfId="1847"/>
    <cellStyle name="Separador de milhares 2 44 2" xfId="2136"/>
    <cellStyle name="Separador de milhares 2 5" xfId="1382"/>
    <cellStyle name="Separador de milhares 2 5 2" xfId="1848"/>
    <cellStyle name="Separador de milhares 2 5 2 2" xfId="2137"/>
    <cellStyle name="Separador de milhares 2 6" xfId="1383"/>
    <cellStyle name="Separador de milhares 2 6 2" xfId="1849"/>
    <cellStyle name="Separador de milhares 2 6 2 2" xfId="2138"/>
    <cellStyle name="Separador de milhares 2 7" xfId="1384"/>
    <cellStyle name="Separador de milhares 2 7 2" xfId="1850"/>
    <cellStyle name="Separador de milhares 2 7 2 2" xfId="2139"/>
    <cellStyle name="Separador de milhares 2 8" xfId="1385"/>
    <cellStyle name="Separador de milhares 2 8 2" xfId="1851"/>
    <cellStyle name="Separador de milhares 2 8 2 2" xfId="2140"/>
    <cellStyle name="Separador de milhares 2 9" xfId="1386"/>
    <cellStyle name="Separador de milhares 2 9 2" xfId="1852"/>
    <cellStyle name="Separador de milhares 2 9 2 2" xfId="2141"/>
    <cellStyle name="Separador de milhares 2 9 3" xfId="2840"/>
    <cellStyle name="Separador de milhares 2 9 4" xfId="2296"/>
    <cellStyle name="Separador de milhares 20" xfId="1387"/>
    <cellStyle name="Separador de milhares 20 2" xfId="1853"/>
    <cellStyle name="Separador de milhares 20 2 2" xfId="2142"/>
    <cellStyle name="Separador de milhares 21" xfId="1388"/>
    <cellStyle name="Separador de milhares 21 2" xfId="1854"/>
    <cellStyle name="Separador de milhares 21 2 2" xfId="2143"/>
    <cellStyle name="Separador de milhares 22" xfId="1389"/>
    <cellStyle name="Separador de milhares 22 2" xfId="1390"/>
    <cellStyle name="Separador de milhares 22 2 2" xfId="1855"/>
    <cellStyle name="Separador de milhares 22 2 2 2" xfId="2144"/>
    <cellStyle name="Separador de milhares 22 3" xfId="1856"/>
    <cellStyle name="Separador de milhares 22 3 2" xfId="2145"/>
    <cellStyle name="Separador de milhares 23" xfId="1391"/>
    <cellStyle name="Separador de milhares 23 2" xfId="1857"/>
    <cellStyle name="Separador de milhares 23 2 2" xfId="2146"/>
    <cellStyle name="Separador de milhares 24" xfId="1392"/>
    <cellStyle name="Separador de milhares 24 2" xfId="1858"/>
    <cellStyle name="Separador de milhares 24 2 2" xfId="2147"/>
    <cellStyle name="Separador de milhares 25" xfId="1393"/>
    <cellStyle name="Separador de milhares 25 2" xfId="1394"/>
    <cellStyle name="Separador de milhares 25 2 2" xfId="1859"/>
    <cellStyle name="Separador de milhares 25 2 2 2" xfId="2148"/>
    <cellStyle name="Separador de milhares 25 3" xfId="1860"/>
    <cellStyle name="Separador de milhares 25 3 2" xfId="2149"/>
    <cellStyle name="Separador de milhares 26" xfId="1395"/>
    <cellStyle name="Separador de milhares 26 2" xfId="1396"/>
    <cellStyle name="Separador de milhares 26 2 2" xfId="1861"/>
    <cellStyle name="Separador de milhares 26 2 2 2" xfId="2150"/>
    <cellStyle name="Separador de milhares 26 3" xfId="1862"/>
    <cellStyle name="Separador de milhares 26 3 2" xfId="2151"/>
    <cellStyle name="Separador de milhares 27" xfId="1397"/>
    <cellStyle name="Separador de milhares 27 2" xfId="1863"/>
    <cellStyle name="Separador de milhares 27 2 2" xfId="2152"/>
    <cellStyle name="Separador de milhares 28" xfId="1398"/>
    <cellStyle name="Separador de milhares 28 2" xfId="1864"/>
    <cellStyle name="Separador de milhares 28 2 2" xfId="2153"/>
    <cellStyle name="Separador de milhares 29" xfId="1399"/>
    <cellStyle name="Separador de milhares 29 2" xfId="1865"/>
    <cellStyle name="Separador de milhares 29 2 2" xfId="2154"/>
    <cellStyle name="Separador de milhares 3" xfId="1400"/>
    <cellStyle name="Separador de milhares 3 2" xfId="1866"/>
    <cellStyle name="Separador de milhares 3 2 2" xfId="2155"/>
    <cellStyle name="Separador de milhares 3 3" xfId="1401"/>
    <cellStyle name="Separador de milhares 3 3 2" xfId="1867"/>
    <cellStyle name="Separador de milhares 3 3 2 2" xfId="2156"/>
    <cellStyle name="Separador de milhares 3 3 3" xfId="2841"/>
    <cellStyle name="Separador de milhares 3 4" xfId="1964"/>
    <cellStyle name="Separador de milhares 30" xfId="1402"/>
    <cellStyle name="Separador de milhares 30 2" xfId="1868"/>
    <cellStyle name="Separador de milhares 30 2 2" xfId="2157"/>
    <cellStyle name="Separador de milhares 31" xfId="1403"/>
    <cellStyle name="Separador de milhares 31 2" xfId="1869"/>
    <cellStyle name="Separador de milhares 31 2 2" xfId="2158"/>
    <cellStyle name="Separador de milhares 32" xfId="1404"/>
    <cellStyle name="Separador de milhares 32 2" xfId="1870"/>
    <cellStyle name="Separador de milhares 32 2 2" xfId="2159"/>
    <cellStyle name="Separador de milhares 33" xfId="1405"/>
    <cellStyle name="Separador de milhares 33 2" xfId="1871"/>
    <cellStyle name="Separador de milhares 33 2 2" xfId="2160"/>
    <cellStyle name="Separador de milhares 34" xfId="1406"/>
    <cellStyle name="Separador de milhares 34 2" xfId="1872"/>
    <cellStyle name="Separador de milhares 34 2 2" xfId="2161"/>
    <cellStyle name="Separador de milhares 35" xfId="1407"/>
    <cellStyle name="Separador de milhares 35 2" xfId="1873"/>
    <cellStyle name="Separador de milhares 35 2 2" xfId="2162"/>
    <cellStyle name="Separador de milhares 36" xfId="1408"/>
    <cellStyle name="Separador de milhares 36 2" xfId="1874"/>
    <cellStyle name="Separador de milhares 36 2 2" xfId="2163"/>
    <cellStyle name="Separador de milhares 37" xfId="1409"/>
    <cellStyle name="Separador de milhares 37 2" xfId="1875"/>
    <cellStyle name="Separador de milhares 37 2 2" xfId="2164"/>
    <cellStyle name="Separador de milhares 38" xfId="1410"/>
    <cellStyle name="Separador de milhares 38 2" xfId="1876"/>
    <cellStyle name="Separador de milhares 38 2 2" xfId="2165"/>
    <cellStyle name="Separador de milhares 39" xfId="1411"/>
    <cellStyle name="Separador de milhares 39 2" xfId="1877"/>
    <cellStyle name="Separador de milhares 39 2 2" xfId="2166"/>
    <cellStyle name="Separador de milhares 4" xfId="1412"/>
    <cellStyle name="Separador de milhares 4 2" xfId="1413"/>
    <cellStyle name="Separador de milhares 4 2 2" xfId="1878"/>
    <cellStyle name="Separador de milhares 4 2 2 2" xfId="2167"/>
    <cellStyle name="Separador de milhares 4 3" xfId="1879"/>
    <cellStyle name="Separador de milhares 4 3 2" xfId="2168"/>
    <cellStyle name="Separador de milhares 4 4" xfId="1965"/>
    <cellStyle name="Separador de milhares 40" xfId="1414"/>
    <cellStyle name="Separador de milhares 40 2" xfId="1880"/>
    <cellStyle name="Separador de milhares 40 2 2" xfId="2169"/>
    <cellStyle name="Separador de milhares 41" xfId="1415"/>
    <cellStyle name="Separador de milhares 41 2" xfId="1881"/>
    <cellStyle name="Separador de milhares 41 2 2" xfId="2170"/>
    <cellStyle name="Separador de milhares 42" xfId="1416"/>
    <cellStyle name="Separador de milhares 42 2" xfId="1882"/>
    <cellStyle name="Separador de milhares 42 2 2" xfId="2171"/>
    <cellStyle name="Separador de milhares 43" xfId="1417"/>
    <cellStyle name="Separador de milhares 43 2" xfId="1883"/>
    <cellStyle name="Separador de milhares 43 2 2" xfId="2172"/>
    <cellStyle name="Separador de milhares 44" xfId="1418"/>
    <cellStyle name="Separador de milhares 44 2" xfId="1884"/>
    <cellStyle name="Separador de milhares 44 2 2" xfId="2173"/>
    <cellStyle name="Separador de milhares 45" xfId="1419"/>
    <cellStyle name="Separador de milhares 45 2" xfId="1885"/>
    <cellStyle name="Separador de milhares 45 2 2" xfId="2174"/>
    <cellStyle name="Separador de milhares 46" xfId="1420"/>
    <cellStyle name="Separador de milhares 46 2" xfId="1886"/>
    <cellStyle name="Separador de milhares 46 2 2" xfId="2175"/>
    <cellStyle name="Separador de milhares 47" xfId="1421"/>
    <cellStyle name="Separador de milhares 47 2" xfId="1887"/>
    <cellStyle name="Separador de milhares 47 2 2" xfId="2176"/>
    <cellStyle name="Separador de milhares 48" xfId="1422"/>
    <cellStyle name="Separador de milhares 48 2" xfId="1888"/>
    <cellStyle name="Separador de milhares 48 2 2" xfId="2177"/>
    <cellStyle name="Separador de milhares 49" xfId="1423"/>
    <cellStyle name="Separador de milhares 49 2" xfId="1889"/>
    <cellStyle name="Separador de milhares 49 2 2" xfId="2178"/>
    <cellStyle name="Separador de milhares 5" xfId="1424"/>
    <cellStyle name="Separador de milhares 5 2" xfId="1425"/>
    <cellStyle name="Separador de milhares 5 3" xfId="2842"/>
    <cellStyle name="Separador de milhares 50" xfId="1426"/>
    <cellStyle name="Separador de milhares 50 2" xfId="1427"/>
    <cellStyle name="Separador de milhares 50 2 2" xfId="1890"/>
    <cellStyle name="Separador de milhares 50 2 2 2" xfId="2179"/>
    <cellStyle name="Separador de milhares 50 3" xfId="1891"/>
    <cellStyle name="Separador de milhares 50 3 2" xfId="2180"/>
    <cellStyle name="Separador de milhares 51" xfId="1428"/>
    <cellStyle name="Separador de milhares 51 2" xfId="1892"/>
    <cellStyle name="Separador de milhares 51 2 2" xfId="2181"/>
    <cellStyle name="Separador de milhares 52" xfId="1429"/>
    <cellStyle name="Separador de milhares 52 2" xfId="1893"/>
    <cellStyle name="Separador de milhares 52 2 2" xfId="2182"/>
    <cellStyle name="Separador de milhares 53" xfId="1430"/>
    <cellStyle name="Separador de milhares 53 2" xfId="1894"/>
    <cellStyle name="Separador de milhares 53 2 2" xfId="2183"/>
    <cellStyle name="Separador de milhares 54" xfId="1431"/>
    <cellStyle name="Separador de milhares 54 2" xfId="1895"/>
    <cellStyle name="Separador de milhares 54 2 2" xfId="2184"/>
    <cellStyle name="Separador de milhares 55" xfId="1432"/>
    <cellStyle name="Separador de milhares 55 2" xfId="1433"/>
    <cellStyle name="Separador de milhares 55 2 2" xfId="1896"/>
    <cellStyle name="Separador de milhares 55 2 2 2" xfId="2185"/>
    <cellStyle name="Separador de milhares 55 3" xfId="1897"/>
    <cellStyle name="Separador de milhares 55 3 2" xfId="2186"/>
    <cellStyle name="Separador de milhares 56" xfId="1434"/>
    <cellStyle name="Separador de milhares 56 2" xfId="1898"/>
    <cellStyle name="Separador de milhares 56 2 2" xfId="2187"/>
    <cellStyle name="Separador de milhares 57" xfId="1435"/>
    <cellStyle name="Separador de milhares 57 2" xfId="1436"/>
    <cellStyle name="Separador de milhares 57 2 2" xfId="1899"/>
    <cellStyle name="Separador de milhares 57 2 2 2" xfId="2188"/>
    <cellStyle name="Separador de milhares 57 3" xfId="1900"/>
    <cellStyle name="Separador de milhares 57 3 2" xfId="2189"/>
    <cellStyle name="Separador de milhares 58" xfId="1437"/>
    <cellStyle name="Separador de milhares 58 2" xfId="1901"/>
    <cellStyle name="Separador de milhares 58 2 2" xfId="2190"/>
    <cellStyle name="Separador de milhares 59" xfId="1438"/>
    <cellStyle name="Separador de milhares 59 2" xfId="1902"/>
    <cellStyle name="Separador de milhares 59 2 2" xfId="2191"/>
    <cellStyle name="Separador de milhares 6" xfId="1439"/>
    <cellStyle name="Separador de milhares 6 2" xfId="1440"/>
    <cellStyle name="Separador de milhares 6 2 2" xfId="1903"/>
    <cellStyle name="Separador de milhares 6 2 2 2" xfId="2192"/>
    <cellStyle name="Separador de milhares 6 3" xfId="1904"/>
    <cellStyle name="Separador de milhares 6 3 2" xfId="2193"/>
    <cellStyle name="Separador de milhares 60" xfId="1441"/>
    <cellStyle name="Separador de milhares 60 2" xfId="1905"/>
    <cellStyle name="Separador de milhares 60 2 2" xfId="2194"/>
    <cellStyle name="Separador de milhares 61" xfId="1442"/>
    <cellStyle name="Separador de milhares 61 2" xfId="1443"/>
    <cellStyle name="Separador de milhares 61 2 2" xfId="1906"/>
    <cellStyle name="Separador de milhares 61 2 2 2" xfId="2195"/>
    <cellStyle name="Separador de milhares 61 3" xfId="1907"/>
    <cellStyle name="Separador de milhares 61 3 2" xfId="2196"/>
    <cellStyle name="Separador de milhares 62" xfId="1444"/>
    <cellStyle name="Separador de milhares 62 2" xfId="1908"/>
    <cellStyle name="Separador de milhares 62 2 2" xfId="2197"/>
    <cellStyle name="Separador de milhares 63" xfId="1445"/>
    <cellStyle name="Separador de milhares 63 2" xfId="1909"/>
    <cellStyle name="Separador de milhares 63 2 2" xfId="2198"/>
    <cellStyle name="Separador de milhares 64" xfId="1446"/>
    <cellStyle name="Separador de milhares 64 2" xfId="1910"/>
    <cellStyle name="Separador de milhares 64 2 2" xfId="2199"/>
    <cellStyle name="Separador de milhares 65" xfId="1447"/>
    <cellStyle name="Separador de milhares 65 2" xfId="1448"/>
    <cellStyle name="Separador de milhares 65 2 2" xfId="1911"/>
    <cellStyle name="Separador de milhares 65 2 2 2" xfId="2200"/>
    <cellStyle name="Separador de milhares 65 3" xfId="1912"/>
    <cellStyle name="Separador de milhares 65 3 2" xfId="2201"/>
    <cellStyle name="Separador de milhares 66" xfId="1449"/>
    <cellStyle name="Separador de milhares 66 2" xfId="1450"/>
    <cellStyle name="Separador de milhares 66 2 2" xfId="1913"/>
    <cellStyle name="Separador de milhares 66 2 2 2" xfId="2202"/>
    <cellStyle name="Separador de milhares 66 3" xfId="1914"/>
    <cellStyle name="Separador de milhares 66 3 2" xfId="2203"/>
    <cellStyle name="Separador de milhares 67" xfId="1451"/>
    <cellStyle name="Separador de milhares 67 2" xfId="1915"/>
    <cellStyle name="Separador de milhares 67 2 2" xfId="2204"/>
    <cellStyle name="Separador de milhares 68" xfId="1452"/>
    <cellStyle name="Separador de milhares 68 2" xfId="1916"/>
    <cellStyle name="Separador de milhares 68 2 2" xfId="2205"/>
    <cellStyle name="Separador de milhares 69" xfId="1453"/>
    <cellStyle name="Separador de milhares 69 2" xfId="1917"/>
    <cellStyle name="Separador de milhares 69 2 2" xfId="2206"/>
    <cellStyle name="Separador de milhares 7" xfId="1454"/>
    <cellStyle name="Separador de milhares 7 2" xfId="1918"/>
    <cellStyle name="Separador de milhares 7 2 2" xfId="2207"/>
    <cellStyle name="Separador de milhares 70" xfId="1455"/>
    <cellStyle name="Separador de milhares 70 2" xfId="1919"/>
    <cellStyle name="Separador de milhares 70 2 2" xfId="2208"/>
    <cellStyle name="Separador de milhares 71" xfId="1456"/>
    <cellStyle name="Separador de milhares 71 2" xfId="1920"/>
    <cellStyle name="Separador de milhares 71 2 2" xfId="2209"/>
    <cellStyle name="Separador de milhares 72" xfId="1457"/>
    <cellStyle name="Separador de milhares 72 2" xfId="1921"/>
    <cellStyle name="Separador de milhares 72 2 2" xfId="2210"/>
    <cellStyle name="Separador de milhares 73" xfId="1458"/>
    <cellStyle name="Separador de milhares 73 2" xfId="1922"/>
    <cellStyle name="Separador de milhares 73 2 2" xfId="2211"/>
    <cellStyle name="Separador de milhares 74" xfId="1459"/>
    <cellStyle name="Separador de milhares 74 2" xfId="1923"/>
    <cellStyle name="Separador de milhares 74 2 2" xfId="2212"/>
    <cellStyle name="Separador de milhares 75" xfId="1460"/>
    <cellStyle name="Separador de milhares 75 2" xfId="1924"/>
    <cellStyle name="Separador de milhares 75 2 2" xfId="2213"/>
    <cellStyle name="Separador de milhares 76" xfId="1461"/>
    <cellStyle name="Separador de milhares 76 2" xfId="1925"/>
    <cellStyle name="Separador de milhares 76 2 2" xfId="2214"/>
    <cellStyle name="Separador de milhares 77" xfId="1462"/>
    <cellStyle name="Separador de milhares 77 2" xfId="1926"/>
    <cellStyle name="Separador de milhares 77 2 2" xfId="2215"/>
    <cellStyle name="Separador de milhares 78" xfId="1463"/>
    <cellStyle name="Separador de milhares 78 2" xfId="1927"/>
    <cellStyle name="Separador de milhares 78 2 2" xfId="2216"/>
    <cellStyle name="Separador de milhares 79" xfId="1464"/>
    <cellStyle name="Separador de milhares 79 2" xfId="1928"/>
    <cellStyle name="Separador de milhares 79 2 2" xfId="2217"/>
    <cellStyle name="Separador de milhares 8" xfId="1465"/>
    <cellStyle name="Separador de milhares 8 2" xfId="1466"/>
    <cellStyle name="Separador de milhares 8 2 2" xfId="1929"/>
    <cellStyle name="Separador de milhares 8 2 2 2" xfId="2218"/>
    <cellStyle name="Separador de milhares 8 3" xfId="1930"/>
    <cellStyle name="Separador de milhares 8 3 2" xfId="2219"/>
    <cellStyle name="Separador de milhares 80" xfId="1467"/>
    <cellStyle name="Separador de milhares 80 2" xfId="1931"/>
    <cellStyle name="Separador de milhares 80 2 2" xfId="2220"/>
    <cellStyle name="Separador de milhares 81" xfId="1468"/>
    <cellStyle name="Separador de milhares 81 2" xfId="1932"/>
    <cellStyle name="Separador de milhares 81 2 2" xfId="2221"/>
    <cellStyle name="Separador de milhares 82" xfId="1469"/>
    <cellStyle name="Separador de milhares 82 2" xfId="1933"/>
    <cellStyle name="Separador de milhares 82 2 2" xfId="2222"/>
    <cellStyle name="Separador de milhares 83" xfId="1470"/>
    <cellStyle name="Separador de milhares 83 2" xfId="1934"/>
    <cellStyle name="Separador de milhares 83 2 2" xfId="2223"/>
    <cellStyle name="Separador de milhares 84" xfId="1471"/>
    <cellStyle name="Separador de milhares 84 2" xfId="1935"/>
    <cellStyle name="Separador de milhares 84 2 2" xfId="2224"/>
    <cellStyle name="Separador de milhares 85" xfId="1472"/>
    <cellStyle name="Separador de milhares 85 2" xfId="1936"/>
    <cellStyle name="Separador de milhares 85 2 2" xfId="2225"/>
    <cellStyle name="Separador de milhares 86" xfId="1473"/>
    <cellStyle name="Separador de milhares 86 2" xfId="1937"/>
    <cellStyle name="Separador de milhares 86 2 2" xfId="2226"/>
    <cellStyle name="Separador de milhares 87" xfId="1474"/>
    <cellStyle name="Separador de milhares 87 2" xfId="1938"/>
    <cellStyle name="Separador de milhares 87 2 2" xfId="2227"/>
    <cellStyle name="Separador de milhares 88" xfId="1475"/>
    <cellStyle name="Separador de milhares 88 2" xfId="1939"/>
    <cellStyle name="Separador de milhares 88 2 2" xfId="2228"/>
    <cellStyle name="Separador de milhares 89" xfId="1476"/>
    <cellStyle name="Separador de milhares 89 2" xfId="1940"/>
    <cellStyle name="Separador de milhares 89 2 2" xfId="2229"/>
    <cellStyle name="Separador de milhares 9" xfId="1477"/>
    <cellStyle name="Separador de milhares 9 2" xfId="1478"/>
    <cellStyle name="Separador de milhares 9 2 2" xfId="1941"/>
    <cellStyle name="Separador de milhares 9 2 2 2" xfId="2230"/>
    <cellStyle name="Separador de milhares 9 3" xfId="1942"/>
    <cellStyle name="Separador de milhares 9 3 2" xfId="2231"/>
    <cellStyle name="Separador de milhares 90" xfId="1479"/>
    <cellStyle name="Separador de milhares 90 2" xfId="1943"/>
    <cellStyle name="Separador de milhares 90 2 2" xfId="2232"/>
    <cellStyle name="Separador de milhares 91" xfId="1480"/>
    <cellStyle name="Separador de milhares 91 2" xfId="1944"/>
    <cellStyle name="Separador de milhares 91 2 2" xfId="2233"/>
    <cellStyle name="Separador de milhares 92" xfId="1481"/>
    <cellStyle name="Separador de milhares 92 2" xfId="1945"/>
    <cellStyle name="Separador de milhares 92 2 2" xfId="2234"/>
    <cellStyle name="Separador de milhares 93" xfId="1482"/>
    <cellStyle name="Separador de milhares 93 2" xfId="1946"/>
    <cellStyle name="Separador de milhares 93 2 2" xfId="2235"/>
    <cellStyle name="Separador de milhares 94" xfId="1483"/>
    <cellStyle name="Separador de milhares 94 2" xfId="1947"/>
    <cellStyle name="Separador de milhares 94 2 2" xfId="2236"/>
    <cellStyle name="Separador de milhares 95" xfId="1484"/>
    <cellStyle name="Separador de milhares 95 2" xfId="1948"/>
    <cellStyle name="Separador de milhares 95 2 2" xfId="2237"/>
    <cellStyle name="Separador de milhares 96" xfId="1485"/>
    <cellStyle name="Separador de milhares 96 2" xfId="1949"/>
    <cellStyle name="Separador de milhares 96 2 2" xfId="2238"/>
    <cellStyle name="Separador de milhares 97" xfId="1486"/>
    <cellStyle name="Separador de milhares 97 2" xfId="1950"/>
    <cellStyle name="Separador de milhares 97 2 2" xfId="2239"/>
    <cellStyle name="Separador de milhares 98" xfId="1487"/>
    <cellStyle name="Separador de milhares 98 2" xfId="1951"/>
    <cellStyle name="Separador de milhares 98 2 2" xfId="2240"/>
    <cellStyle name="Separador de milhares 99" xfId="1488"/>
    <cellStyle name="Separador de milhares 99 2" xfId="1952"/>
    <cellStyle name="Separador de milhares 99 2 2" xfId="2241"/>
    <cellStyle name="Sheet Title" xfId="2843"/>
    <cellStyle name="Texto de Aviso" xfId="34" builtinId="11" customBuiltin="1"/>
    <cellStyle name="Texto de Aviso 10 2" xfId="1489"/>
    <cellStyle name="Texto de Aviso 11 2" xfId="1490"/>
    <cellStyle name="Texto de Aviso 12 2" xfId="1491"/>
    <cellStyle name="Texto de Aviso 13 2" xfId="1492"/>
    <cellStyle name="Texto de Aviso 14 2" xfId="1493"/>
    <cellStyle name="Texto de Aviso 15 2" xfId="1494"/>
    <cellStyle name="Texto de Aviso 16 2" xfId="1495"/>
    <cellStyle name="Texto de Aviso 17 2" xfId="1496"/>
    <cellStyle name="Texto de Aviso 2" xfId="1497"/>
    <cellStyle name="Texto de Aviso 2 2" xfId="1498"/>
    <cellStyle name="Texto de Aviso 3" xfId="1499"/>
    <cellStyle name="Texto de Aviso 3 2" xfId="1500"/>
    <cellStyle name="Texto de Aviso 4" xfId="1501"/>
    <cellStyle name="Texto de Aviso 4 2" xfId="1502"/>
    <cellStyle name="Texto de Aviso 5" xfId="1503"/>
    <cellStyle name="Texto de Aviso 5 2" xfId="1504"/>
    <cellStyle name="Texto de Aviso 6 2" xfId="1505"/>
    <cellStyle name="Texto de Aviso 7 2" xfId="1506"/>
    <cellStyle name="Texto de Aviso 8 2" xfId="1507"/>
    <cellStyle name="Texto de Aviso 9 2" xfId="1508"/>
    <cellStyle name="Texto Explicativo" xfId="35" builtinId="53" customBuiltin="1"/>
    <cellStyle name="Texto Explicativo 10 2" xfId="1509"/>
    <cellStyle name="Texto Explicativo 11 2" xfId="1510"/>
    <cellStyle name="Texto Explicativo 12 2" xfId="1511"/>
    <cellStyle name="Texto Explicativo 13 2" xfId="1512"/>
    <cellStyle name="Texto Explicativo 14 2" xfId="1513"/>
    <cellStyle name="Texto Explicativo 15 2" xfId="1514"/>
    <cellStyle name="Texto Explicativo 16 2" xfId="1515"/>
    <cellStyle name="Texto Explicativo 17 2" xfId="1516"/>
    <cellStyle name="Texto Explicativo 2" xfId="1517"/>
    <cellStyle name="Texto Explicativo 2 2" xfId="1518"/>
    <cellStyle name="Texto Explicativo 3" xfId="1519"/>
    <cellStyle name="Texto Explicativo 3 2" xfId="1520"/>
    <cellStyle name="Texto Explicativo 4" xfId="1521"/>
    <cellStyle name="Texto Explicativo 4 2" xfId="1522"/>
    <cellStyle name="Texto Explicativo 5" xfId="1523"/>
    <cellStyle name="Texto Explicativo 5 2" xfId="1524"/>
    <cellStyle name="Texto Explicativo 6 2" xfId="1525"/>
    <cellStyle name="Texto Explicativo 7 2" xfId="1526"/>
    <cellStyle name="Texto Explicativo 8 2" xfId="1527"/>
    <cellStyle name="Texto Explicativo 9 2" xfId="1528"/>
    <cellStyle name="Title" xfId="2844"/>
    <cellStyle name="Título" xfId="36" builtinId="15" customBuiltin="1"/>
    <cellStyle name="Título 1" xfId="37" builtinId="16" customBuiltin="1"/>
    <cellStyle name="Título 1 1" xfId="2845"/>
    <cellStyle name="Título 1 1 1" xfId="2846"/>
    <cellStyle name="Título 1 1 1 1" xfId="2847"/>
    <cellStyle name="Título 1 1 1 1 1" xfId="2848"/>
    <cellStyle name="Título 1 1 1 1 1 1" xfId="2849"/>
    <cellStyle name="Título 1 1 1 1 1 1 1" xfId="2850"/>
    <cellStyle name="Título 1 1 1 1 1 1 1 1" xfId="2851"/>
    <cellStyle name="Título 1 1 1 1 1 1 1 1 1" xfId="2852"/>
    <cellStyle name="Título 1 1 1 1 1 1 1 1 1 1" xfId="2853"/>
    <cellStyle name="Título 1 1 1 1 1 1 1 1 1 1 1" xfId="2854"/>
    <cellStyle name="Título 1 1 1 1 1 1 1 1 1 1 1 1" xfId="2855"/>
    <cellStyle name="Título 1 1 1 1 1 1 1 1 1 1 1 1 1" xfId="2856"/>
    <cellStyle name="Título 1 1 1 1 1 1 1 1 1 1 1 1 1 1" xfId="2857"/>
    <cellStyle name="Título 1 1 1 1 1 1 1 1 1 1 1 1 1 1 1" xfId="2858"/>
    <cellStyle name="Título 1 1 1 1 1 1 1 1 1 1 1 1 1 1 1 1" xfId="2859"/>
    <cellStyle name="Título 1 1 1 1 1 1 1 1 1 1 1 1 1 1 1 1 1" xfId="2860"/>
    <cellStyle name="Título 1 1 1 1 1 1 1 1 1 1 1 1 1 1 1 1 1 1" xfId="2861"/>
    <cellStyle name="Título 1 1 1 1 1 1 1 1 1 1 1 1 1 1 1 1 1 1 1" xfId="2862"/>
    <cellStyle name="Título 1 1 1 1 1 1 1 1 1 1 1 1 1 1 1 1 1 1 1 1" xfId="2863"/>
    <cellStyle name="Título 1 1 1 1 1 1 1 1 1 1 1 1 1 1 1 1 1 1 1 1 1" xfId="2864"/>
    <cellStyle name="Título 1 1 1 1 1 1 1 1 1 1 1 1 1 1 1 1 1 1 1 1 1 1" xfId="2865"/>
    <cellStyle name="Título 1 1 1 1 1 1 1 1 1 1 1 1 1 1 1 1 1 1 1 1 1 1 1" xfId="2866"/>
    <cellStyle name="Título 1 1 1 1 1 1 1 1 1 1 1 1 1 1 1 1 1 1 1 1 1 1 1 1" xfId="2867"/>
    <cellStyle name="Título 1 1 1 1 1 1 1 1 1 1 1 1 1 1 1 1 1 1 1 1 1 1 1 1 1" xfId="2868"/>
    <cellStyle name="Título 1 1 1 1 1 1 1 1 1 1 1 1 1 1 1 1 1 1 1 1 1 1 1 1 1 1" xfId="2869"/>
    <cellStyle name="Título 1 1 1 1 1 1 1 1 1 1 1 1 1 1 1 1 1 1 1 1 1 1 1 1 1 1 1" xfId="2870"/>
    <cellStyle name="Título 1 1 1 1 1 1 1 1 1 1 1 1 1 1 1 1 1 1 1 1 1 1 1 1 1 1 1 1" xfId="2871"/>
    <cellStyle name="Título 1 1 1 1 1 1 1 1 1 1 1 1 1 1 1 1 1 1 1 1 1 1 1 1 1 1 1 1 1" xfId="2872"/>
    <cellStyle name="Título 1 10 2" xfId="1529"/>
    <cellStyle name="Título 1 11 2" xfId="1530"/>
    <cellStyle name="Título 1 12 2" xfId="1531"/>
    <cellStyle name="Título 1 13 2" xfId="1532"/>
    <cellStyle name="Título 1 14 2" xfId="1533"/>
    <cellStyle name="Título 1 15 2" xfId="1534"/>
    <cellStyle name="Título 1 16 2" xfId="1535"/>
    <cellStyle name="Título 1 17 2" xfId="1536"/>
    <cellStyle name="Título 1 2" xfId="1537"/>
    <cellStyle name="Título 1 2 2" xfId="1538"/>
    <cellStyle name="Título 1 3" xfId="1539"/>
    <cellStyle name="Título 1 3 2" xfId="1540"/>
    <cellStyle name="Título 1 4" xfId="1541"/>
    <cellStyle name="Título 1 4 2" xfId="1542"/>
    <cellStyle name="Título 1 5" xfId="1543"/>
    <cellStyle name="Título 1 5 2" xfId="1544"/>
    <cellStyle name="Título 1 6" xfId="2873"/>
    <cellStyle name="Título 1 6 2" xfId="1545"/>
    <cellStyle name="Título 1 7 2" xfId="1546"/>
    <cellStyle name="Título 1 8 2" xfId="1547"/>
    <cellStyle name="Título 1 9 2" xfId="1548"/>
    <cellStyle name="Título 10 2" xfId="1549"/>
    <cellStyle name="Título 11 2" xfId="1550"/>
    <cellStyle name="Título 12 2" xfId="1551"/>
    <cellStyle name="Título 13 2" xfId="1552"/>
    <cellStyle name="Título 14 2" xfId="1553"/>
    <cellStyle name="Título 15 2" xfId="1554"/>
    <cellStyle name="Título 16 2" xfId="1555"/>
    <cellStyle name="Título 17 2" xfId="1556"/>
    <cellStyle name="Título 18 2" xfId="1557"/>
    <cellStyle name="Título 19 2" xfId="1558"/>
    <cellStyle name="Título 2" xfId="38" builtinId="17" customBuiltin="1"/>
    <cellStyle name="Título 2 10 2" xfId="1559"/>
    <cellStyle name="Título 2 11 2" xfId="1560"/>
    <cellStyle name="Título 2 12 2" xfId="1561"/>
    <cellStyle name="Título 2 13 2" xfId="1562"/>
    <cellStyle name="Título 2 14 2" xfId="1563"/>
    <cellStyle name="Título 2 15 2" xfId="1564"/>
    <cellStyle name="Título 2 16 2" xfId="1565"/>
    <cellStyle name="Título 2 17 2" xfId="1566"/>
    <cellStyle name="Título 2 2" xfId="1567"/>
    <cellStyle name="Título 2 2 2" xfId="1568"/>
    <cellStyle name="Título 2 3" xfId="1569"/>
    <cellStyle name="Título 2 3 2" xfId="1570"/>
    <cellStyle name="Título 2 4" xfId="1571"/>
    <cellStyle name="Título 2 4 2" xfId="1572"/>
    <cellStyle name="Título 2 5" xfId="1573"/>
    <cellStyle name="Título 2 5 2" xfId="1574"/>
    <cellStyle name="Título 2 6" xfId="2874"/>
    <cellStyle name="Título 2 6 2" xfId="1575"/>
    <cellStyle name="Título 2 7 2" xfId="1576"/>
    <cellStyle name="Título 2 8 2" xfId="1577"/>
    <cellStyle name="Título 2 9 2" xfId="1578"/>
    <cellStyle name="Título 20 2" xfId="1579"/>
    <cellStyle name="Título 3" xfId="39" builtinId="18" customBuiltin="1"/>
    <cellStyle name="Título 3 10 2" xfId="1580"/>
    <cellStyle name="Título 3 11 2" xfId="1581"/>
    <cellStyle name="Título 3 12 2" xfId="1582"/>
    <cellStyle name="Título 3 13 2" xfId="1583"/>
    <cellStyle name="Título 3 14 2" xfId="1584"/>
    <cellStyle name="Título 3 15 2" xfId="1585"/>
    <cellStyle name="Título 3 16 2" xfId="1586"/>
    <cellStyle name="Título 3 17 2" xfId="1587"/>
    <cellStyle name="Título 3 2" xfId="1588"/>
    <cellStyle name="Título 3 2 2" xfId="1589"/>
    <cellStyle name="Título 3 3" xfId="1590"/>
    <cellStyle name="Título 3 3 2" xfId="1591"/>
    <cellStyle name="Título 3 4" xfId="1592"/>
    <cellStyle name="Título 3 4 2" xfId="1593"/>
    <cellStyle name="Título 3 5" xfId="1594"/>
    <cellStyle name="Título 3 5 2" xfId="1595"/>
    <cellStyle name="Título 3 6" xfId="2875"/>
    <cellStyle name="Título 3 6 2" xfId="1596"/>
    <cellStyle name="Título 3 7 2" xfId="1597"/>
    <cellStyle name="Título 3 8 2" xfId="1598"/>
    <cellStyle name="Título 3 9 2" xfId="1599"/>
    <cellStyle name="Título 4" xfId="40" builtinId="19" customBuiltin="1"/>
    <cellStyle name="Título 4 10 2" xfId="1600"/>
    <cellStyle name="Título 4 11 2" xfId="1601"/>
    <cellStyle name="Título 4 12 2" xfId="1602"/>
    <cellStyle name="Título 4 13 2" xfId="1603"/>
    <cellStyle name="Título 4 14 2" xfId="1604"/>
    <cellStyle name="Título 4 15 2" xfId="1605"/>
    <cellStyle name="Título 4 16 2" xfId="1606"/>
    <cellStyle name="Título 4 17 2" xfId="1607"/>
    <cellStyle name="Título 4 2" xfId="1608"/>
    <cellStyle name="Título 4 2 2" xfId="1609"/>
    <cellStyle name="Título 4 3" xfId="1610"/>
    <cellStyle name="Título 4 3 2" xfId="1611"/>
    <cellStyle name="Título 4 4" xfId="1612"/>
    <cellStyle name="Título 4 4 2" xfId="1613"/>
    <cellStyle name="Título 4 5" xfId="1614"/>
    <cellStyle name="Título 4 5 2" xfId="1615"/>
    <cellStyle name="Título 4 6" xfId="2876"/>
    <cellStyle name="Título 4 6 2" xfId="1616"/>
    <cellStyle name="Título 4 7 2" xfId="1617"/>
    <cellStyle name="Título 4 8 2" xfId="1618"/>
    <cellStyle name="Título 4 9 2" xfId="1619"/>
    <cellStyle name="Título 5" xfId="2877"/>
    <cellStyle name="Título 5 2" xfId="1620"/>
    <cellStyle name="Título 6" xfId="2878"/>
    <cellStyle name="Título 6 2" xfId="1621"/>
    <cellStyle name="Título 7 2" xfId="1622"/>
    <cellStyle name="Título 8 2" xfId="1623"/>
    <cellStyle name="Título 9 2" xfId="1624"/>
    <cellStyle name="Total" xfId="41" builtinId="25" customBuiltin="1"/>
    <cellStyle name="Total 10" xfId="2879"/>
    <cellStyle name="Total 10 2" xfId="1625"/>
    <cellStyle name="Total 11" xfId="2880"/>
    <cellStyle name="Total 11 2" xfId="1626"/>
    <cellStyle name="Total 12" xfId="2881"/>
    <cellStyle name="Total 12 2" xfId="1627"/>
    <cellStyle name="Total 13" xfId="2882"/>
    <cellStyle name="Total 13 2" xfId="1628"/>
    <cellStyle name="Total 14" xfId="2883"/>
    <cellStyle name="Total 14 2" xfId="1629"/>
    <cellStyle name="Total 15" xfId="2884"/>
    <cellStyle name="Total 15 2" xfId="1630"/>
    <cellStyle name="Total 16" xfId="2885"/>
    <cellStyle name="Total 16 2" xfId="1631"/>
    <cellStyle name="Total 17" xfId="2886"/>
    <cellStyle name="Total 17 2" xfId="1632"/>
    <cellStyle name="Total 18" xfId="2887"/>
    <cellStyle name="Total 18 2" xfId="2888"/>
    <cellStyle name="Total 19" xfId="2889"/>
    <cellStyle name="Total 19 2" xfId="2890"/>
    <cellStyle name="Total 2" xfId="1633"/>
    <cellStyle name="Total 2 10" xfId="1634"/>
    <cellStyle name="Total 2 11" xfId="1635"/>
    <cellStyle name="Total 2 12" xfId="1636"/>
    <cellStyle name="Total 2 13" xfId="1637"/>
    <cellStyle name="Total 2 14" xfId="1638"/>
    <cellStyle name="Total 2 15" xfId="1639"/>
    <cellStyle name="Total 2 16" xfId="1640"/>
    <cellStyle name="Total 2 17" xfId="1641"/>
    <cellStyle name="Total 2 18" xfId="1642"/>
    <cellStyle name="Total 2 2" xfId="1643"/>
    <cellStyle name="Total 2 2 2" xfId="2891"/>
    <cellStyle name="Total 2 3" xfId="1644"/>
    <cellStyle name="Total 2 4" xfId="1645"/>
    <cellStyle name="Total 2 5" xfId="1646"/>
    <cellStyle name="Total 2 6" xfId="1647"/>
    <cellStyle name="Total 2 7" xfId="1648"/>
    <cellStyle name="Total 2 8" xfId="1649"/>
    <cellStyle name="Total 2 9" xfId="1650"/>
    <cellStyle name="Total 20" xfId="2892"/>
    <cellStyle name="Total 20 2" xfId="2893"/>
    <cellStyle name="Total 21" xfId="2894"/>
    <cellStyle name="Total 21 2" xfId="2895"/>
    <cellStyle name="Total 22" xfId="2896"/>
    <cellStyle name="Total 22 2" xfId="2897"/>
    <cellStyle name="Total 23" xfId="2898"/>
    <cellStyle name="Total 23 2" xfId="2899"/>
    <cellStyle name="Total 24" xfId="2900"/>
    <cellStyle name="Total 24 2" xfId="2901"/>
    <cellStyle name="Total 25" xfId="2902"/>
    <cellStyle name="Total 25 2" xfId="2903"/>
    <cellStyle name="Total 26" xfId="2904"/>
    <cellStyle name="Total 26 2" xfId="2905"/>
    <cellStyle name="Total 27" xfId="2906"/>
    <cellStyle name="Total 27 2" xfId="2907"/>
    <cellStyle name="Total 28" xfId="2908"/>
    <cellStyle name="Total 28 2" xfId="2909"/>
    <cellStyle name="Total 29" xfId="2910"/>
    <cellStyle name="Total 29 2" xfId="2911"/>
    <cellStyle name="Total 3" xfId="1651"/>
    <cellStyle name="Total 3 2" xfId="1652"/>
    <cellStyle name="Total 30" xfId="2912"/>
    <cellStyle name="Total 30 2" xfId="2913"/>
    <cellStyle name="Total 31" xfId="2914"/>
    <cellStyle name="Total 31 2" xfId="2915"/>
    <cellStyle name="Total 32" xfId="2916"/>
    <cellStyle name="Total 32 2" xfId="2917"/>
    <cellStyle name="Total 33" xfId="2918"/>
    <cellStyle name="Total 33 2" xfId="2919"/>
    <cellStyle name="Total 34" xfId="2920"/>
    <cellStyle name="Total 34 2" xfId="2921"/>
    <cellStyle name="Total 35" xfId="2922"/>
    <cellStyle name="Total 35 2" xfId="2923"/>
    <cellStyle name="Total 36" xfId="2924"/>
    <cellStyle name="Total 36 2" xfId="2925"/>
    <cellStyle name="Total 37" xfId="2926"/>
    <cellStyle name="Total 37 2" xfId="2927"/>
    <cellStyle name="Total 38" xfId="2928"/>
    <cellStyle name="Total 38 2" xfId="2929"/>
    <cellStyle name="Total 39" xfId="2930"/>
    <cellStyle name="Total 39 2" xfId="2931"/>
    <cellStyle name="Total 4" xfId="1653"/>
    <cellStyle name="Total 4 2" xfId="1654"/>
    <cellStyle name="Total 40" xfId="2932"/>
    <cellStyle name="Total 40 2" xfId="2933"/>
    <cellStyle name="Total 41" xfId="2934"/>
    <cellStyle name="Total 41 2" xfId="2935"/>
    <cellStyle name="Total 42" xfId="2936"/>
    <cellStyle name="Total 42 2" xfId="2937"/>
    <cellStyle name="Total 43" xfId="2938"/>
    <cellStyle name="Total 43 2" xfId="2939"/>
    <cellStyle name="Total 44" xfId="2940"/>
    <cellStyle name="Total 44 2" xfId="2941"/>
    <cellStyle name="Total 45" xfId="2942"/>
    <cellStyle name="Total 45 2" xfId="2943"/>
    <cellStyle name="Total 46" xfId="2944"/>
    <cellStyle name="Total 47" xfId="2945"/>
    <cellStyle name="Total 48" xfId="2946"/>
    <cellStyle name="Total 49" xfId="2947"/>
    <cellStyle name="Total 5" xfId="1655"/>
    <cellStyle name="Total 5 2" xfId="1656"/>
    <cellStyle name="Total 6" xfId="2948"/>
    <cellStyle name="Total 6 2" xfId="1657"/>
    <cellStyle name="Total 7" xfId="2949"/>
    <cellStyle name="Total 7 2" xfId="1658"/>
    <cellStyle name="Total 8" xfId="2950"/>
    <cellStyle name="Total 8 2" xfId="1659"/>
    <cellStyle name="Total 9" xfId="2951"/>
    <cellStyle name="Total 9 2" xfId="1660"/>
    <cellStyle name="Vírgula 2" xfId="1661"/>
    <cellStyle name="Vírgula 2 2" xfId="1953"/>
    <cellStyle name="Vírgula 2 2 2" xfId="2242"/>
    <cellStyle name="Vírgula 2 2 2 2" xfId="2297"/>
    <cellStyle name="Vírgula 2 2 2 2 2" xfId="2298"/>
    <cellStyle name="Vírgula 2 2 2 2 2 2" xfId="2299"/>
    <cellStyle name="Vírgula 2 2 2 2 3" xfId="2300"/>
    <cellStyle name="Vírgula 2 2 2 3" xfId="2301"/>
    <cellStyle name="Vírgula 2 2 2 3 2" xfId="2302"/>
    <cellStyle name="Vírgula 2 2 2 4" xfId="2303"/>
    <cellStyle name="Vírgula 2 2 3" xfId="2304"/>
    <cellStyle name="Vírgula 2 2 3 2" xfId="2305"/>
    <cellStyle name="Vírgula 2 2 3 2 2" xfId="2306"/>
    <cellStyle name="Vírgula 2 2 3 2 2 2" xfId="2307"/>
    <cellStyle name="Vírgula 2 2 3 2 3" xfId="2308"/>
    <cellStyle name="Vírgula 2 2 3 3" xfId="2309"/>
    <cellStyle name="Vírgula 2 2 3 3 2" xfId="2310"/>
    <cellStyle name="Vírgula 2 2 3 4" xfId="2311"/>
    <cellStyle name="Vírgula 2 2 4" xfId="2312"/>
    <cellStyle name="Vírgula 2 2 4 2" xfId="2313"/>
    <cellStyle name="Vírgula 2 2 4 2 2" xfId="2314"/>
    <cellStyle name="Vírgula 2 2 4 3" xfId="2315"/>
    <cellStyle name="Vírgula 2 2 5" xfId="2316"/>
    <cellStyle name="Vírgula 2 2 5 2" xfId="2317"/>
    <cellStyle name="Vírgula 2 2 6" xfId="2318"/>
    <cellStyle name="Vírgula 2 3" xfId="1954"/>
    <cellStyle name="Vírgula 2 3 2" xfId="2243"/>
    <cellStyle name="Vírgula 2 3 2 2" xfId="2319"/>
    <cellStyle name="Vírgula 2 3 3" xfId="2320"/>
    <cellStyle name="Vírgula 2 4" xfId="2321"/>
    <cellStyle name="Vírgula 2 4 2" xfId="2322"/>
    <cellStyle name="Vírgula 2 4 2 2" xfId="2323"/>
    <cellStyle name="Vírgula 2 4 2 2 2" xfId="2324"/>
    <cellStyle name="Vírgula 2 4 2 2 2 2" xfId="2325"/>
    <cellStyle name="Vírgula 2 4 2 2 3" xfId="2326"/>
    <cellStyle name="Vírgula 2 4 2 3" xfId="2327"/>
    <cellStyle name="Vírgula 2 4 2 3 2" xfId="2328"/>
    <cellStyle name="Vírgula 2 4 2 4" xfId="2329"/>
    <cellStyle name="Vírgula 2 4 3" xfId="2330"/>
    <cellStyle name="Vírgula 2 4 3 2" xfId="2331"/>
    <cellStyle name="Vírgula 2 4 3 2 2" xfId="2332"/>
    <cellStyle name="Vírgula 2 4 3 3" xfId="2333"/>
    <cellStyle name="Vírgula 2 4 4" xfId="2334"/>
    <cellStyle name="Vírgula 2 4 4 2" xfId="2335"/>
    <cellStyle name="Vírgula 2 4 5" xfId="2336"/>
    <cellStyle name="Vírgula 2 5" xfId="2337"/>
    <cellStyle name="Vírgula 2 6" xfId="2338"/>
    <cellStyle name="Vírgula 2 6 2" xfId="2339"/>
    <cellStyle name="Vírgula 2 7" xfId="2340"/>
    <cellStyle name="Vírgula 3" xfId="1955"/>
    <cellStyle name="Vírgula 3 2" xfId="2244"/>
    <cellStyle name="Vírgula 3 2 2" xfId="2341"/>
    <cellStyle name="Vírgula 3 2 2 2" xfId="2342"/>
    <cellStyle name="Vírgula 3 2 3" xfId="2343"/>
    <cellStyle name="Vírgula 3 3" xfId="2344"/>
    <cellStyle name="Vírgula 3 3 2" xfId="2345"/>
    <cellStyle name="Vírgula 3 4" xfId="2346"/>
    <cellStyle name="Vírgula 4" xfId="2347"/>
    <cellStyle name="Vírgula 4 2" xfId="2348"/>
    <cellStyle name="Vírgula 4 2 2" xfId="2349"/>
    <cellStyle name="Vírgula 4 3" xfId="2350"/>
    <cellStyle name="Vírgula 5" xfId="2351"/>
    <cellStyle name="Vírgula0" xfId="1662"/>
    <cellStyle name="Warning Text" xfId="2952"/>
  </cellStyles>
  <dxfs count="0"/>
  <tableStyles count="0" defaultTableStyle="TableStyleMedium9" defaultPivotStyle="PivotStyleLight16"/>
  <colors>
    <mruColors>
      <color rgb="FFCC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externalLink" Target="externalLinks/externalLink2.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1" Type="http://schemas.openxmlformats.org/officeDocument/2006/relationships/image" Target="../media/image5.png"/></Relationships>
</file>

<file path=xl/drawings/_rels/drawing1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1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4</xdr:col>
      <xdr:colOff>657225</xdr:colOff>
      <xdr:row>3</xdr:row>
      <xdr:rowOff>129540</xdr:rowOff>
    </xdr:from>
    <xdr:to>
      <xdr:col>4</xdr:col>
      <xdr:colOff>2895600</xdr:colOff>
      <xdr:row>6</xdr:row>
      <xdr:rowOff>139065</xdr:rowOff>
    </xdr:to>
    <xdr:pic>
      <xdr:nvPicPr>
        <xdr:cNvPr id="3" name="Picture 1">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86075" y="339090"/>
          <a:ext cx="2238375" cy="504825"/>
        </a:xfrm>
        <a:prstGeom prst="rect">
          <a:avLst/>
        </a:prstGeom>
        <a:noFill/>
        <a:ln w="9525">
          <a:noFill/>
          <a:miter lim="800000"/>
          <a:headEnd/>
          <a:tailEnd/>
        </a:ln>
      </xdr:spPr>
    </xdr:pic>
    <xdr:clientData fLocksWithSheet="0"/>
  </xdr:twoCellAnchor>
</xdr:wsDr>
</file>

<file path=xl/drawings/drawing2.xml><?xml version="1.0" encoding="utf-8"?>
<xdr:wsDr xmlns:xdr="http://schemas.openxmlformats.org/drawingml/2006/spreadsheetDrawing" xmlns:a="http://schemas.openxmlformats.org/drawingml/2006/main">
  <xdr:twoCellAnchor>
    <xdr:from>
      <xdr:col>1</xdr:col>
      <xdr:colOff>85725</xdr:colOff>
      <xdr:row>1</xdr:row>
      <xdr:rowOff>76200</xdr:rowOff>
    </xdr:from>
    <xdr:to>
      <xdr:col>1</xdr:col>
      <xdr:colOff>809625</xdr:colOff>
      <xdr:row>3</xdr:row>
      <xdr:rowOff>161925</xdr:rowOff>
    </xdr:to>
    <xdr:pic>
      <xdr:nvPicPr>
        <xdr:cNvPr id="2" name="Picture 1">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3" name="Picture 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85725</xdr:colOff>
      <xdr:row>1</xdr:row>
      <xdr:rowOff>76200</xdr:rowOff>
    </xdr:from>
    <xdr:to>
      <xdr:col>1</xdr:col>
      <xdr:colOff>809625</xdr:colOff>
      <xdr:row>3</xdr:row>
      <xdr:rowOff>161925</xdr:rowOff>
    </xdr:to>
    <xdr:pic>
      <xdr:nvPicPr>
        <xdr:cNvPr id="2" name="Picture 1">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3" name="Picture 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85725</xdr:colOff>
      <xdr:row>1</xdr:row>
      <xdr:rowOff>76200</xdr:rowOff>
    </xdr:from>
    <xdr:to>
      <xdr:col>1</xdr:col>
      <xdr:colOff>809625</xdr:colOff>
      <xdr:row>3</xdr:row>
      <xdr:rowOff>161925</xdr:rowOff>
    </xdr:to>
    <xdr:pic>
      <xdr:nvPicPr>
        <xdr:cNvPr id="3" name="Picture 1">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5" y="1143000"/>
          <a:ext cx="723900" cy="54292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4" name="Picture 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5" y="1143000"/>
          <a:ext cx="723900" cy="542925"/>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85725</xdr:colOff>
      <xdr:row>1</xdr:row>
      <xdr:rowOff>76200</xdr:rowOff>
    </xdr:from>
    <xdr:to>
      <xdr:col>1</xdr:col>
      <xdr:colOff>809625</xdr:colOff>
      <xdr:row>3</xdr:row>
      <xdr:rowOff>161925</xdr:rowOff>
    </xdr:to>
    <xdr:pic>
      <xdr:nvPicPr>
        <xdr:cNvPr id="2" name="Picture 1">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3" name="Picture 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85725</xdr:colOff>
      <xdr:row>1</xdr:row>
      <xdr:rowOff>76200</xdr:rowOff>
    </xdr:from>
    <xdr:to>
      <xdr:col>1</xdr:col>
      <xdr:colOff>809625</xdr:colOff>
      <xdr:row>3</xdr:row>
      <xdr:rowOff>161925</xdr:rowOff>
    </xdr:to>
    <xdr:pic>
      <xdr:nvPicPr>
        <xdr:cNvPr id="2" name="Picture 1">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3" name="Picture 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85725</xdr:colOff>
      <xdr:row>1</xdr:row>
      <xdr:rowOff>76200</xdr:rowOff>
    </xdr:from>
    <xdr:to>
      <xdr:col>1</xdr:col>
      <xdr:colOff>809625</xdr:colOff>
      <xdr:row>3</xdr:row>
      <xdr:rowOff>161925</xdr:rowOff>
    </xdr:to>
    <xdr:pic>
      <xdr:nvPicPr>
        <xdr:cNvPr id="2" name="Picture 1">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3" name="Picture 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85725</xdr:colOff>
      <xdr:row>1</xdr:row>
      <xdr:rowOff>76200</xdr:rowOff>
    </xdr:from>
    <xdr:to>
      <xdr:col>1</xdr:col>
      <xdr:colOff>809625</xdr:colOff>
      <xdr:row>3</xdr:row>
      <xdr:rowOff>161925</xdr:rowOff>
    </xdr:to>
    <xdr:pic>
      <xdr:nvPicPr>
        <xdr:cNvPr id="2" name="Picture 1">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3" name="Picture 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276225"/>
          <a:ext cx="723900" cy="561975"/>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152400</xdr:colOff>
      <xdr:row>1</xdr:row>
      <xdr:rowOff>104775</xdr:rowOff>
    </xdr:from>
    <xdr:to>
      <xdr:col>1</xdr:col>
      <xdr:colOff>695325</xdr:colOff>
      <xdr:row>3</xdr:row>
      <xdr:rowOff>190500</xdr:rowOff>
    </xdr:to>
    <xdr:pic>
      <xdr:nvPicPr>
        <xdr:cNvPr id="3" name="Picture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2400" y="1171575"/>
          <a:ext cx="542925" cy="542925"/>
        </a:xfrm>
        <a:prstGeom prst="rect">
          <a:avLst/>
        </a:prstGeom>
        <a:no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152400</xdr:colOff>
      <xdr:row>1</xdr:row>
      <xdr:rowOff>104775</xdr:rowOff>
    </xdr:from>
    <xdr:to>
      <xdr:col>1</xdr:col>
      <xdr:colOff>695325</xdr:colOff>
      <xdr:row>3</xdr:row>
      <xdr:rowOff>190500</xdr:rowOff>
    </xdr:to>
    <xdr:pic>
      <xdr:nvPicPr>
        <xdr:cNvPr id="2" name="Picture 1">
          <a:extLst>
            <a:ext uri="{FF2B5EF4-FFF2-40B4-BE49-F238E27FC236}">
              <a16:creationId xmlns=""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28675" y="733425"/>
          <a:ext cx="542925" cy="561975"/>
        </a:xfrm>
        <a:prstGeom prst="rect">
          <a:avLst/>
        </a:prstGeom>
        <a:noFill/>
        <a:ln w="9525">
          <a:noFill/>
          <a:miter lim="800000"/>
          <a:headEnd/>
          <a:tailEnd/>
        </a:ln>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152400</xdr:colOff>
      <xdr:row>1</xdr:row>
      <xdr:rowOff>114300</xdr:rowOff>
    </xdr:from>
    <xdr:to>
      <xdr:col>1</xdr:col>
      <xdr:colOff>0</xdr:colOff>
      <xdr:row>3</xdr:row>
      <xdr:rowOff>200025</xdr:rowOff>
    </xdr:to>
    <xdr:pic>
      <xdr:nvPicPr>
        <xdr:cNvPr id="3" name="Picture 1">
          <a:extLst>
            <a:ext uri="{FF2B5EF4-FFF2-40B4-BE49-F238E27FC236}">
              <a16:creationId xmlns=""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2400" y="1181100"/>
          <a:ext cx="762000" cy="542925"/>
        </a:xfrm>
        <a:prstGeom prst="rect">
          <a:avLst/>
        </a:prstGeom>
        <a:noFill/>
        <a:ln w="9525">
          <a:noFill/>
          <a:miter lim="800000"/>
          <a:headEnd/>
          <a:tailEnd/>
        </a:ln>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704850</xdr:colOff>
      <xdr:row>0</xdr:row>
      <xdr:rowOff>95250</xdr:rowOff>
    </xdr:from>
    <xdr:to>
      <xdr:col>1</xdr:col>
      <xdr:colOff>733425</xdr:colOff>
      <xdr:row>4</xdr:row>
      <xdr:rowOff>114300</xdr:rowOff>
    </xdr:to>
    <xdr:pic>
      <xdr:nvPicPr>
        <xdr:cNvPr id="3" name="Picture 1">
          <a:extLst>
            <a:ext uri="{FF2B5EF4-FFF2-40B4-BE49-F238E27FC236}">
              <a16:creationId xmlns=""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04850" y="95250"/>
          <a:ext cx="1143000" cy="1362075"/>
        </a:xfrm>
        <a:prstGeom prst="rect">
          <a:avLst/>
        </a:prstGeom>
        <a:noFill/>
        <a:ln w="9525">
          <a:noFill/>
          <a:miter lim="800000"/>
          <a:headEnd/>
          <a:tailEnd/>
        </a:ln>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180975</xdr:colOff>
      <xdr:row>1</xdr:row>
      <xdr:rowOff>66675</xdr:rowOff>
    </xdr:from>
    <xdr:to>
      <xdr:col>0</xdr:col>
      <xdr:colOff>904875</xdr:colOff>
      <xdr:row>3</xdr:row>
      <xdr:rowOff>152400</xdr:rowOff>
    </xdr:to>
    <xdr:pic>
      <xdr:nvPicPr>
        <xdr:cNvPr id="65" name="Picture 1">
          <a:extLst>
            <a:ext uri="{FF2B5EF4-FFF2-40B4-BE49-F238E27FC236}">
              <a16:creationId xmlns="" xmlns:a16="http://schemas.microsoft.com/office/drawing/2014/main" id="{00000000-0008-0000-0900-000041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0975" y="1133475"/>
          <a:ext cx="701040" cy="542925"/>
        </a:xfrm>
        <a:prstGeom prst="rect">
          <a:avLst/>
        </a:prstGeom>
        <a:noFill/>
        <a:ln w="9525">
          <a:noFill/>
          <a:miter lim="800000"/>
          <a:headEnd/>
          <a:tailEnd/>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42865</xdr:colOff>
      <xdr:row>1</xdr:row>
      <xdr:rowOff>52394</xdr:rowOff>
    </xdr:from>
    <xdr:to>
      <xdr:col>3</xdr:col>
      <xdr:colOff>1038229</xdr:colOff>
      <xdr:row>43</xdr:row>
      <xdr:rowOff>180974</xdr:rowOff>
    </xdr:to>
    <xdr:pic>
      <xdr:nvPicPr>
        <xdr:cNvPr id="2" name="Picture 1">
          <a:extLst>
            <a:ext uri="{FF2B5EF4-FFF2-40B4-BE49-F238E27FC236}">
              <a16:creationId xmlns=""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l="10224" t="19346" r="25445" b="10526"/>
        <a:stretch>
          <a:fillRect/>
        </a:stretch>
      </xdr:blipFill>
      <xdr:spPr bwMode="auto">
        <a:xfrm rot="16200000">
          <a:off x="-1290631" y="1633540"/>
          <a:ext cx="9320205" cy="6653214"/>
        </a:xfrm>
        <a:prstGeom prst="rect">
          <a:avLst/>
        </a:prstGeom>
        <a:noFill/>
        <a:ln w="1">
          <a:noFill/>
          <a:miter lim="800000"/>
          <a:headEnd/>
          <a:tailEnd type="none" w="med" len="med"/>
        </a:ln>
        <a:effec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3</xdr:col>
      <xdr:colOff>828675</xdr:colOff>
      <xdr:row>0</xdr:row>
      <xdr:rowOff>628650</xdr:rowOff>
    </xdr:to>
    <xdr:pic>
      <xdr:nvPicPr>
        <xdr:cNvPr id="2" name="Imagem 1">
          <a:extLst>
            <a:ext uri="{FF2B5EF4-FFF2-40B4-BE49-F238E27FC236}">
              <a16:creationId xmlns=""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38100"/>
          <a:ext cx="1905000" cy="590550"/>
        </a:xfrm>
        <a:prstGeom prst="rect">
          <a:avLst/>
        </a:prstGeom>
        <a:noFill/>
        <a:ln w="9525">
          <a:noFill/>
          <a:miter lim="800000"/>
          <a:headEnd/>
          <a:tailEnd/>
        </a:ln>
      </xdr:spPr>
    </xdr:pic>
    <xdr:clientData/>
  </xdr:twoCellAnchor>
  <xdr:twoCellAnchor editAs="oneCell">
    <xdr:from>
      <xdr:col>3</xdr:col>
      <xdr:colOff>2425213</xdr:colOff>
      <xdr:row>0</xdr:row>
      <xdr:rowOff>36636</xdr:rowOff>
    </xdr:from>
    <xdr:to>
      <xdr:col>8</xdr:col>
      <xdr:colOff>175847</xdr:colOff>
      <xdr:row>0</xdr:row>
      <xdr:rowOff>649978</xdr:rowOff>
    </xdr:to>
    <xdr:pic>
      <xdr:nvPicPr>
        <xdr:cNvPr id="3" name="Imagem 2" descr="SINESP.png">
          <a:extLst>
            <a:ext uri="{FF2B5EF4-FFF2-40B4-BE49-F238E27FC236}">
              <a16:creationId xmlns=""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stretch>
          <a:fillRect/>
        </a:stretch>
      </xdr:blipFill>
      <xdr:spPr>
        <a:xfrm>
          <a:off x="3539638" y="36636"/>
          <a:ext cx="1751134" cy="613342"/>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3</xdr:col>
      <xdr:colOff>828675</xdr:colOff>
      <xdr:row>0</xdr:row>
      <xdr:rowOff>628650</xdr:rowOff>
    </xdr:to>
    <xdr:pic>
      <xdr:nvPicPr>
        <xdr:cNvPr id="2" name="Imagem 1">
          <a:extLst>
            <a:ext uri="{FF2B5EF4-FFF2-40B4-BE49-F238E27FC236}">
              <a16:creationId xmlns=""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38100"/>
          <a:ext cx="1905000" cy="590550"/>
        </a:xfrm>
        <a:prstGeom prst="rect">
          <a:avLst/>
        </a:prstGeom>
        <a:noFill/>
        <a:ln w="9525">
          <a:noFill/>
          <a:miter lim="800000"/>
          <a:headEnd/>
          <a:tailEnd/>
        </a:ln>
      </xdr:spPr>
    </xdr:pic>
    <xdr:clientData/>
  </xdr:twoCellAnchor>
  <xdr:twoCellAnchor editAs="oneCell">
    <xdr:from>
      <xdr:col>3</xdr:col>
      <xdr:colOff>2425213</xdr:colOff>
      <xdr:row>0</xdr:row>
      <xdr:rowOff>29308</xdr:rowOff>
    </xdr:from>
    <xdr:to>
      <xdr:col>8</xdr:col>
      <xdr:colOff>175847</xdr:colOff>
      <xdr:row>0</xdr:row>
      <xdr:rowOff>642650</xdr:rowOff>
    </xdr:to>
    <xdr:pic>
      <xdr:nvPicPr>
        <xdr:cNvPr id="3" name="Imagem 2" descr="SINESP.png">
          <a:extLst>
            <a:ext uri="{FF2B5EF4-FFF2-40B4-BE49-F238E27FC236}">
              <a16:creationId xmlns="" xmlns:a16="http://schemas.microsoft.com/office/drawing/2014/main" id="{00000000-0008-0000-0C00-000003000000}"/>
            </a:ext>
          </a:extLst>
        </xdr:cNvPr>
        <xdr:cNvPicPr>
          <a:picLocks noChangeAspect="1"/>
        </xdr:cNvPicPr>
      </xdr:nvPicPr>
      <xdr:blipFill>
        <a:blip xmlns:r="http://schemas.openxmlformats.org/officeDocument/2006/relationships" r:embed="rId2" cstate="print"/>
        <a:stretch>
          <a:fillRect/>
        </a:stretch>
      </xdr:blipFill>
      <xdr:spPr>
        <a:xfrm>
          <a:off x="3539638" y="29308"/>
          <a:ext cx="1751134" cy="61334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s03\Gilmar\OR&#199;AMENTOS\AJL%20Constru&#231;&#245;es\COMPOSI&#199;&#213;ES%20PARA%20LICITA&#199;&#213;ES\Cal&#231;adas%20Bras&#237;lia\CAL&#199;ADAS%20BRAS&#205;LIA%20-%20lote%2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Users\jose.neto.NOVACAP-SEDE\Downloads\PROJ-DE-037-17-OR&#199;-DT-111-17-SEOR&#199;A-PLA-CLP.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Users\ctis\Documents\SARA\GERENCIA%20ADMINISTRATIV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escolasigmarr%20instala&#231;&#245;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funda&#231;&#227;oPC-05(07)-ESCOLA-49-TAGUATINGA-DF..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r5gm\Meus%20documentos\2915\Excel\Compra\Prodasen-CC_01-08_completa_custo_F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S03\ditec\de-seor&#231;a\Users\Eduardo\01%20-%20TRABALHOS\01_PROJETOS\2009.06%20-%20CAIXA%20IGUATU\IGUATU\04_PE\PLO\3716-08-CAIXA-AGE-IGUATU-PE-PLO-0101-0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s03\de-seor&#231;a\Users\Eduardo\01%20-%20TRABALHOS\01_PROJETOS\2009.06%20-%20CAIXA%20IGUATU\IGUATU\04_PE\PLO\3716-08-CAIXA-AGE-IGUATU-PE-PLO-0101-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vemail2.terra.com.br/cgi-bin/webmail.exe/5-CSANEO%20ENGENHARIA/Vila%20Ol&#237;mpica/Samambaia/DrenaCalc5j_VOSamambaiar_DRN-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07-SEOR&#199;A/RELAT&#211;RIO%20E%20ANEXOS%20-%20Novo%20BDI/Anexo%20III%20-%20Demonstrativo%20BDI%20(1).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07-SEOR&#199;A/2019/DOC%20TEC/BDI/EM%20VIGOR%20a%20partir%20de%2027.09.2018/Anexo%20III%20-%20Demonstrativo%20BDI.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DI-OBRAS"/>
      <sheetName val="Encargos"/>
      <sheetName val="CRONGRAMA"/>
      <sheetName val="ORÇAMENTO"/>
      <sheetName val="CPU's"/>
      <sheetName val="CPA's"/>
    </sheetNames>
    <sheetDataSet>
      <sheetData sheetId="0"/>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111-17-CAPA"/>
      <sheetName val="111.01-17-ADM OBRA"/>
      <sheetName val="111.02-17-EDIF"/>
      <sheetName val="111.03-17-IMPLA."/>
      <sheetName val="111.04-17-EQUIP"/>
      <sheetName val="111-17-CRON"/>
      <sheetName val="111-17-ABC"/>
      <sheetName val="111-17-COMP.ARQ."/>
      <sheetName val="111-17-COMP.IMPL."/>
      <sheetName val="111-17-COMP.INST."/>
      <sheetName val="111-17-COMP.AUX"/>
      <sheetName val="111-17-COTAÇÃO"/>
      <sheetName val="Encargos"/>
      <sheetName val="BDI obra"/>
      <sheetName val="BD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A9">
            <v>1</v>
          </cell>
          <cell r="B9" t="str">
            <v>MOBILIZAÇAO/DESMOBILIZ EQUIPAM ESTACA HELICE CONTINUA</v>
          </cell>
          <cell r="C9" t="str">
            <v>UN</v>
          </cell>
          <cell r="D9">
            <v>9333.3333333333339</v>
          </cell>
        </row>
        <row r="10">
          <cell r="A10" t="str">
            <v>NOME</v>
          </cell>
        </row>
        <row r="11">
          <cell r="A11" t="str">
            <v>PREÇO</v>
          </cell>
        </row>
        <row r="12">
          <cell r="A12" t="str">
            <v>CNPJ</v>
          </cell>
        </row>
        <row r="13">
          <cell r="A13" t="str">
            <v>TELEFONE</v>
          </cell>
        </row>
        <row r="14">
          <cell r="A14" t="str">
            <v>DATA</v>
          </cell>
        </row>
        <row r="16">
          <cell r="A16">
            <v>2</v>
          </cell>
          <cell r="B16" t="str">
            <v>MOBILIZAÇAO/DESMOBILIZ EQUIPAM ESTACA ESCAVADA MECANICAMENTE</v>
          </cell>
          <cell r="C16" t="str">
            <v>M3</v>
          </cell>
          <cell r="D16">
            <v>1500</v>
          </cell>
        </row>
        <row r="17">
          <cell r="A17" t="str">
            <v>NOME</v>
          </cell>
        </row>
        <row r="18">
          <cell r="A18" t="str">
            <v>PREÇO</v>
          </cell>
        </row>
        <row r="19">
          <cell r="A19" t="str">
            <v>CNPJ</v>
          </cell>
        </row>
        <row r="20">
          <cell r="A20" t="str">
            <v>TELEFONE</v>
          </cell>
        </row>
        <row r="21">
          <cell r="A21" t="str">
            <v>DATA</v>
          </cell>
        </row>
        <row r="23">
          <cell r="A23">
            <v>3</v>
          </cell>
          <cell r="B23" t="str">
            <v>CANTONEIRA INTERNA</v>
          </cell>
          <cell r="C23" t="str">
            <v>UN</v>
          </cell>
          <cell r="D23">
            <v>19.466666666666669</v>
          </cell>
        </row>
        <row r="24">
          <cell r="A24" t="str">
            <v>NOME</v>
          </cell>
        </row>
        <row r="25">
          <cell r="A25" t="str">
            <v>PREÇO</v>
          </cell>
        </row>
        <row r="26">
          <cell r="A26" t="str">
            <v>CNPJ</v>
          </cell>
        </row>
        <row r="27">
          <cell r="A27" t="str">
            <v>TELEFONE</v>
          </cell>
        </row>
        <row r="28">
          <cell r="A28" t="str">
            <v>DATA</v>
          </cell>
        </row>
        <row r="30">
          <cell r="A30">
            <v>4</v>
          </cell>
          <cell r="B30" t="str">
            <v>CANTONEIRA EXTERNA</v>
          </cell>
          <cell r="C30" t="str">
            <v>UN</v>
          </cell>
          <cell r="D30">
            <v>30.72</v>
          </cell>
        </row>
        <row r="31">
          <cell r="A31" t="str">
            <v>NOME</v>
          </cell>
        </row>
        <row r="32">
          <cell r="A32" t="str">
            <v>PREÇO</v>
          </cell>
        </row>
        <row r="33">
          <cell r="A33" t="str">
            <v>CNPJ</v>
          </cell>
        </row>
        <row r="34">
          <cell r="A34" t="str">
            <v>TELEFONE</v>
          </cell>
        </row>
        <row r="35">
          <cell r="A35" t="str">
            <v>DATA</v>
          </cell>
        </row>
        <row r="37">
          <cell r="A37">
            <v>5</v>
          </cell>
          <cell r="B37" t="str">
            <v xml:space="preserve">CHAPA DE LIGAÇÃO </v>
          </cell>
          <cell r="C37" t="str">
            <v>UN</v>
          </cell>
          <cell r="D37">
            <v>22.226666666666663</v>
          </cell>
        </row>
        <row r="38">
          <cell r="A38" t="str">
            <v>NOME</v>
          </cell>
        </row>
        <row r="39">
          <cell r="A39" t="str">
            <v>PREÇO</v>
          </cell>
        </row>
        <row r="40">
          <cell r="A40" t="str">
            <v>CNPJ</v>
          </cell>
        </row>
        <row r="41">
          <cell r="A41" t="str">
            <v>TELEFONE</v>
          </cell>
        </row>
        <row r="42">
          <cell r="A42" t="str">
            <v>DATA</v>
          </cell>
        </row>
        <row r="44">
          <cell r="A44">
            <v>6</v>
          </cell>
          <cell r="B44" t="str">
            <v>BATENTE COM ENCOSTO DE BORRACHA - COM PARAFUSOS CROMADOS</v>
          </cell>
          <cell r="C44" t="str">
            <v>UN</v>
          </cell>
          <cell r="D44">
            <v>27.446666666666669</v>
          </cell>
        </row>
        <row r="45">
          <cell r="A45" t="str">
            <v>NOME</v>
          </cell>
        </row>
        <row r="46">
          <cell r="A46" t="str">
            <v>PREÇO</v>
          </cell>
        </row>
        <row r="47">
          <cell r="A47" t="str">
            <v>CNPJ</v>
          </cell>
        </row>
        <row r="48">
          <cell r="A48" t="str">
            <v>TELEFONE</v>
          </cell>
        </row>
        <row r="49">
          <cell r="A49" t="str">
            <v>DATA</v>
          </cell>
        </row>
        <row r="51">
          <cell r="A51">
            <v>7</v>
          </cell>
          <cell r="B51" t="str">
            <v>PARAFUSO CROMADO</v>
          </cell>
          <cell r="C51" t="str">
            <v>UN</v>
          </cell>
          <cell r="D51">
            <v>4.6566666666666663</v>
          </cell>
        </row>
        <row r="52">
          <cell r="A52" t="str">
            <v>NOME</v>
          </cell>
        </row>
        <row r="53">
          <cell r="A53" t="str">
            <v>PREÇO</v>
          </cell>
        </row>
        <row r="54">
          <cell r="A54" t="str">
            <v>CNPJ</v>
          </cell>
        </row>
        <row r="55">
          <cell r="A55" t="str">
            <v>TELEFONE</v>
          </cell>
        </row>
        <row r="56">
          <cell r="A56" t="str">
            <v>DATA</v>
          </cell>
        </row>
        <row r="58">
          <cell r="A58">
            <v>8</v>
          </cell>
          <cell r="B58" t="str">
            <v>FORNECIMENTO E INSTALAÇÃO DE PORTA EM VENEZIANA DE ALUMÍNIO COM PINTURA ELETROSTÁTICA (PA01) DE ABRIR, 1 FOLHA, COMPLETA 0,80X2,10m</v>
          </cell>
          <cell r="C58" t="str">
            <v>UN</v>
          </cell>
          <cell r="D58">
            <v>1429.6666666666667</v>
          </cell>
        </row>
        <row r="59">
          <cell r="A59" t="str">
            <v>NOME</v>
          </cell>
        </row>
        <row r="60">
          <cell r="A60" t="str">
            <v>PREÇO</v>
          </cell>
        </row>
        <row r="61">
          <cell r="A61" t="str">
            <v>CNPJ</v>
          </cell>
        </row>
        <row r="62">
          <cell r="A62" t="str">
            <v>TELEFONE</v>
          </cell>
        </row>
        <row r="63">
          <cell r="A63" t="str">
            <v>DATA</v>
          </cell>
        </row>
        <row r="65">
          <cell r="A65">
            <v>9</v>
          </cell>
          <cell r="B65" t="str">
            <v>PORTA EM VENEZIANA DE ALUMÍNIO COM PINTURA ELETROSTÁTICA (PFV01) DE ABRIR, 2 FOLHAS, COMPLETA 1,20x2,00m</v>
          </cell>
          <cell r="C65" t="str">
            <v>UN</v>
          </cell>
          <cell r="D65">
            <v>1452.3721166666667</v>
          </cell>
        </row>
        <row r="66">
          <cell r="A66" t="str">
            <v>NOME</v>
          </cell>
          <cell r="B66" t="str">
            <v>7 UNIDADES</v>
          </cell>
        </row>
        <row r="67">
          <cell r="A67" t="str">
            <v>PREÇO</v>
          </cell>
        </row>
        <row r="68">
          <cell r="A68" t="str">
            <v>CNPJ</v>
          </cell>
        </row>
        <row r="69">
          <cell r="A69" t="str">
            <v>TELEFONE</v>
          </cell>
        </row>
        <row r="70">
          <cell r="A70" t="str">
            <v>DATA</v>
          </cell>
        </row>
        <row r="72">
          <cell r="A72">
            <v>10</v>
          </cell>
          <cell r="B72" t="str">
            <v>PORTA EM VENEZIANA DE ALUMÍNIO COM PINTURA ELETROSTÁTICA (PFV02) DE ABRIR, 2 FOLHAS, COMPLETA 2,00x2,00m</v>
          </cell>
          <cell r="C72" t="str">
            <v>UN</v>
          </cell>
          <cell r="D72">
            <v>1946.6699500000002</v>
          </cell>
        </row>
        <row r="73">
          <cell r="A73" t="str">
            <v>NOME</v>
          </cell>
          <cell r="B73" t="str">
            <v>3 UNIDADES</v>
          </cell>
        </row>
        <row r="74">
          <cell r="A74" t="str">
            <v>PREÇO</v>
          </cell>
        </row>
        <row r="75">
          <cell r="A75" t="str">
            <v>CNPJ</v>
          </cell>
        </row>
        <row r="76">
          <cell r="A76" t="str">
            <v>TELEFONE</v>
          </cell>
        </row>
        <row r="77">
          <cell r="A77" t="str">
            <v>DATA</v>
          </cell>
        </row>
        <row r="79">
          <cell r="A79">
            <v>11</v>
          </cell>
          <cell r="B79" t="str">
            <v>CONJUNTO DE PORTA COM DUAS FOLHAS DE ABRIR EM VIDRO LAMINADO 6MM, JANELAS MAXIM-AR EM VIDRO LAMINADO 6MM E VIDRO LAMINADO 6MM FIXO EM CAIXILHO, ESTRUTURA EM ALUMÍNIO COM PINTURA ELETROSTÁTICA (PV01 e PV02), ALTURA TOTAL = 2,80m</v>
          </cell>
          <cell r="C79" t="str">
            <v>UN</v>
          </cell>
        </row>
        <row r="80">
          <cell r="A80" t="str">
            <v>NOME</v>
          </cell>
        </row>
        <row r="81">
          <cell r="A81" t="str">
            <v>PREÇO</v>
          </cell>
          <cell r="B81" t="str">
            <v>PV01 = 3,20X280M - 2 UNIDADES</v>
          </cell>
          <cell r="D81">
            <v>4990.2016666666668</v>
          </cell>
        </row>
        <row r="82">
          <cell r="A82" t="str">
            <v>PREÇO</v>
          </cell>
          <cell r="B82" t="str">
            <v>PV02 = 4,17X280M - 2 UNIDADES</v>
          </cell>
          <cell r="D82">
            <v>6062.0096666666659</v>
          </cell>
        </row>
        <row r="83">
          <cell r="A83" t="str">
            <v>CNPJ</v>
          </cell>
        </row>
        <row r="84">
          <cell r="A84" t="str">
            <v>TELEFONE</v>
          </cell>
        </row>
        <row r="85">
          <cell r="A85" t="str">
            <v>DATA</v>
          </cell>
        </row>
        <row r="87">
          <cell r="A87">
            <v>12</v>
          </cell>
          <cell r="B87" t="str">
            <v>PORTA CORTA-FOGO 1,60X210X4CM, INCLUSIVE BARRA ANTI-PÂNICO, COM PINTURA ELETROSTÁTICA, COM VISOR DE 50X50CM EM VIDRO TEMPERADO</v>
          </cell>
          <cell r="C87" t="str">
            <v>UN</v>
          </cell>
          <cell r="D87">
            <v>6277.06</v>
          </cell>
        </row>
        <row r="88">
          <cell r="A88" t="str">
            <v>NOME</v>
          </cell>
          <cell r="B88" t="str">
            <v>3 UNIDADES</v>
          </cell>
        </row>
        <row r="89">
          <cell r="A89" t="str">
            <v>PREÇO</v>
          </cell>
        </row>
        <row r="90">
          <cell r="A90" t="str">
            <v>CNPJ</v>
          </cell>
        </row>
        <row r="91">
          <cell r="A91" t="str">
            <v>TELEFONE</v>
          </cell>
        </row>
        <row r="92">
          <cell r="A92" t="str">
            <v>DATA</v>
          </cell>
        </row>
        <row r="94">
          <cell r="A94">
            <v>13</v>
          </cell>
          <cell r="B94" t="str">
            <v>PORTA CORTA-FOGO 1,20X210X4CM, INCLUSIVE BARRA ANTI-PÂNICO, COM PINTURA ELETROSTÁTICA, COM VISOR DE 50X50CM EM VIDRO TEMPERADO</v>
          </cell>
          <cell r="C94" t="str">
            <v>UN</v>
          </cell>
          <cell r="D94">
            <v>5894.42</v>
          </cell>
        </row>
        <row r="95">
          <cell r="A95" t="str">
            <v>NOME</v>
          </cell>
          <cell r="B95" t="str">
            <v>1 UNIDADE</v>
          </cell>
        </row>
        <row r="96">
          <cell r="A96" t="str">
            <v>PREÇO</v>
          </cell>
        </row>
        <row r="97">
          <cell r="A97" t="str">
            <v>CNPJ</v>
          </cell>
        </row>
        <row r="98">
          <cell r="A98" t="str">
            <v>TELEFONE</v>
          </cell>
        </row>
        <row r="99">
          <cell r="A99" t="str">
            <v>DATA</v>
          </cell>
        </row>
        <row r="101">
          <cell r="A101">
            <v>14</v>
          </cell>
          <cell r="B101" t="str">
            <v>FORNECIMENTO E INSTALAÇÃO DE JANELA EM VENEZIANA DE ALUMÍNIO FIXA COM PINTURA ELETROSTÁTICA (JA02), COMPLETA 0,80x0,60m</v>
          </cell>
          <cell r="C101" t="str">
            <v>UN</v>
          </cell>
          <cell r="D101">
            <v>249</v>
          </cell>
        </row>
        <row r="102">
          <cell r="A102" t="str">
            <v>NOME</v>
          </cell>
          <cell r="B102" t="str">
            <v>3 UNIDADES</v>
          </cell>
        </row>
        <row r="103">
          <cell r="A103" t="str">
            <v>PREÇO</v>
          </cell>
        </row>
        <row r="104">
          <cell r="A104" t="str">
            <v>CNPJ</v>
          </cell>
        </row>
        <row r="105">
          <cell r="A105" t="str">
            <v>TELEFONE</v>
          </cell>
        </row>
        <row r="106">
          <cell r="A106" t="str">
            <v>DATA</v>
          </cell>
        </row>
        <row r="108">
          <cell r="A108">
            <v>15</v>
          </cell>
          <cell r="B108" t="str">
            <v xml:space="preserve">FORNECIMENTO E INSTALAÇÃO DE JANELA BASCULANTE EM ALUMÍNIO, COM VIDRO LAMINADO DE 6MM,  COM PINTURA ELETROSTÁTICA (JA01, JA03 e JA05) COMPLETA </v>
          </cell>
          <cell r="C108" t="str">
            <v>UN</v>
          </cell>
        </row>
        <row r="109">
          <cell r="A109" t="str">
            <v>NOME</v>
          </cell>
        </row>
        <row r="110">
          <cell r="A110" t="str">
            <v>PREÇO</v>
          </cell>
          <cell r="B110" t="str">
            <v>JA01 - 2,00X0,60M - 22 UNIDADES</v>
          </cell>
          <cell r="D110">
            <v>872.86749999999995</v>
          </cell>
        </row>
        <row r="111">
          <cell r="A111" t="str">
            <v>PREÇO</v>
          </cell>
          <cell r="B111" t="str">
            <v>JA03 - 0,80X1,10M - 1 UNIDADE</v>
          </cell>
          <cell r="D111">
            <v>630</v>
          </cell>
        </row>
        <row r="112">
          <cell r="A112" t="str">
            <v>PREÇO</v>
          </cell>
          <cell r="B112" t="str">
            <v>JA05 - 0,80X0,60M - 10 UNIDADES</v>
          </cell>
          <cell r="D112">
            <v>484.05815733333333</v>
          </cell>
        </row>
        <row r="113">
          <cell r="A113" t="str">
            <v>CNPJ</v>
          </cell>
        </row>
        <row r="114">
          <cell r="A114" t="str">
            <v>TELEFONE</v>
          </cell>
        </row>
        <row r="115">
          <cell r="A115" t="str">
            <v>DATA</v>
          </cell>
        </row>
        <row r="117">
          <cell r="A117">
            <v>16</v>
          </cell>
          <cell r="B117" t="str">
            <v xml:space="preserve">FORNECIMENTO E INSTALAÇÃO DE JANELA DE CORRER EM ALUMÍNIO, COM VIDRO LAMINADO DE 6MM E COM PINTURA ELETROSTÁTICA (JA04) 1,00x0,60m, COMPLETA </v>
          </cell>
          <cell r="C117" t="str">
            <v>UN</v>
          </cell>
          <cell r="D117">
            <v>476.48804000000001</v>
          </cell>
        </row>
        <row r="118">
          <cell r="A118" t="str">
            <v>NOME</v>
          </cell>
          <cell r="B118" t="str">
            <v>2 UNIDADES</v>
          </cell>
        </row>
        <row r="119">
          <cell r="A119" t="str">
            <v>PREÇO</v>
          </cell>
        </row>
        <row r="120">
          <cell r="A120" t="str">
            <v>CNPJ</v>
          </cell>
        </row>
        <row r="121">
          <cell r="A121" t="str">
            <v>TELEFONE</v>
          </cell>
        </row>
        <row r="122">
          <cell r="A122" t="str">
            <v>DATA</v>
          </cell>
        </row>
        <row r="124">
          <cell r="A124">
            <v>17</v>
          </cell>
          <cell r="B124" t="str">
            <v xml:space="preserve">FORNECIMENTO E INSTALAÇÃO DE JANELA EM ALUMÍNIO FIXA, COM VIDRO LAMINADO DE 6MM E COM PINTURA ELETROSTÁTICA (JA06 e JA07) COMPLETA </v>
          </cell>
          <cell r="C124" t="str">
            <v>UN</v>
          </cell>
        </row>
        <row r="125">
          <cell r="A125" t="str">
            <v>NOME</v>
          </cell>
        </row>
        <row r="126">
          <cell r="A126" t="str">
            <v>PREÇO</v>
          </cell>
          <cell r="B126" t="str">
            <v>JA06 - 2,00X1,10M - 1 UNIDADE</v>
          </cell>
          <cell r="D126">
            <v>650</v>
          </cell>
        </row>
        <row r="127">
          <cell r="A127" t="str">
            <v>PREÇO</v>
          </cell>
          <cell r="B127" t="str">
            <v>JA07 - 1,40X1,10M - 1 UNIDADE</v>
          </cell>
          <cell r="D127">
            <v>535.66666666666663</v>
          </cell>
        </row>
        <row r="128">
          <cell r="A128" t="str">
            <v>CNPJ</v>
          </cell>
        </row>
        <row r="129">
          <cell r="A129" t="str">
            <v>TELEFONE</v>
          </cell>
        </row>
        <row r="130">
          <cell r="A130" t="str">
            <v>DATA</v>
          </cell>
        </row>
        <row r="132">
          <cell r="A132">
            <v>18</v>
          </cell>
          <cell r="B132" t="str">
            <v>REVESTIMENTO EM ALUMÍNIO COMPOSTO COR BRANCA - ACM</v>
          </cell>
          <cell r="C132" t="str">
            <v>M2</v>
          </cell>
          <cell r="D132">
            <v>375.26060606060605</v>
          </cell>
        </row>
        <row r="133">
          <cell r="A133" t="str">
            <v>NOME</v>
          </cell>
        </row>
        <row r="134">
          <cell r="A134" t="str">
            <v>PREÇO</v>
          </cell>
        </row>
        <row r="135">
          <cell r="A135" t="str">
            <v>CNPJ</v>
          </cell>
        </row>
        <row r="136">
          <cell r="A136" t="str">
            <v>TELEFONE</v>
          </cell>
        </row>
        <row r="137">
          <cell r="A137" t="str">
            <v>DATA</v>
          </cell>
        </row>
        <row r="139">
          <cell r="A139">
            <v>19</v>
          </cell>
          <cell r="B139" t="str">
            <v>TABICA DE GESSO, LARGURA 3cm, INSTALADO</v>
          </cell>
          <cell r="C139" t="str">
            <v>M</v>
          </cell>
          <cell r="D139">
            <v>16.333333333333332</v>
          </cell>
        </row>
        <row r="140">
          <cell r="A140" t="str">
            <v>NOME</v>
          </cell>
        </row>
        <row r="141">
          <cell r="A141" t="str">
            <v>PREÇO</v>
          </cell>
        </row>
        <row r="142">
          <cell r="A142" t="str">
            <v>CNPJ</v>
          </cell>
        </row>
        <row r="143">
          <cell r="A143" t="str">
            <v>TELEFONE</v>
          </cell>
        </row>
        <row r="144">
          <cell r="A144" t="str">
            <v>DATA</v>
          </cell>
        </row>
        <row r="146">
          <cell r="A146">
            <v>20</v>
          </cell>
          <cell r="B146" t="str">
            <v>SUPORTE PARA CORTINAS EM TRILHO SUISSO SIMPLES, FORNECIMENTO E INSTALAÇÃO</v>
          </cell>
          <cell r="C146" t="str">
            <v>M</v>
          </cell>
          <cell r="D146">
            <v>21.333333333333332</v>
          </cell>
        </row>
        <row r="147">
          <cell r="A147" t="str">
            <v>NOME</v>
          </cell>
        </row>
        <row r="148">
          <cell r="A148" t="str">
            <v>PREÇO</v>
          </cell>
        </row>
        <row r="149">
          <cell r="A149" t="str">
            <v>CNPJ</v>
          </cell>
        </row>
        <row r="150">
          <cell r="A150" t="str">
            <v>TELEFONE</v>
          </cell>
        </row>
        <row r="151">
          <cell r="A151" t="str">
            <v>DATA</v>
          </cell>
        </row>
        <row r="153">
          <cell r="A153">
            <v>21</v>
          </cell>
          <cell r="B153" t="str">
            <v>BEBEDOURO ELÉTRICO DE PRESSÃO EM AÇO INOXIDÁVEL, CAPACIDADE 4 L/H - SIMPLES</v>
          </cell>
          <cell r="C153" t="str">
            <v>UN</v>
          </cell>
          <cell r="D153">
            <v>2098.3066666666668</v>
          </cell>
        </row>
        <row r="154">
          <cell r="A154" t="str">
            <v>NOME</v>
          </cell>
        </row>
        <row r="155">
          <cell r="A155" t="str">
            <v>PREÇO</v>
          </cell>
        </row>
        <row r="156">
          <cell r="A156" t="str">
            <v>CNPJ</v>
          </cell>
        </row>
        <row r="157">
          <cell r="A157" t="str">
            <v>TELEFONE</v>
          </cell>
        </row>
        <row r="158">
          <cell r="A158" t="str">
            <v>DATA</v>
          </cell>
        </row>
        <row r="160">
          <cell r="A160">
            <v>22</v>
          </cell>
          <cell r="B160" t="str">
            <v>Espuma expansiva de poliuretano 500ml</v>
          </cell>
          <cell r="C160" t="str">
            <v>UN</v>
          </cell>
          <cell r="D160">
            <v>22.5</v>
          </cell>
        </row>
        <row r="161">
          <cell r="A161" t="str">
            <v>NOME</v>
          </cell>
        </row>
        <row r="162">
          <cell r="A162" t="str">
            <v>PREÇO</v>
          </cell>
        </row>
        <row r="163">
          <cell r="A163" t="str">
            <v>CNPJ</v>
          </cell>
        </row>
        <row r="164">
          <cell r="A164" t="str">
            <v>TELEFONE</v>
          </cell>
        </row>
        <row r="165">
          <cell r="A165" t="str">
            <v>DATA</v>
          </cell>
        </row>
        <row r="167">
          <cell r="A167">
            <v>23</v>
          </cell>
          <cell r="B167" t="str">
            <v>REVESTIMENTO CERÂMICO CECRISA OU EQUIVALENTE TÉCNICO 20x20cm, LINHA WHITE BASIC LUX</v>
          </cell>
          <cell r="C167" t="str">
            <v>M2</v>
          </cell>
          <cell r="D167">
            <v>80.45</v>
          </cell>
        </row>
        <row r="168">
          <cell r="A168" t="str">
            <v>NOME</v>
          </cell>
        </row>
        <row r="169">
          <cell r="A169" t="str">
            <v>PREÇO</v>
          </cell>
        </row>
        <row r="170">
          <cell r="A170" t="str">
            <v>CNPJ</v>
          </cell>
        </row>
        <row r="171">
          <cell r="A171" t="str">
            <v>TELEFONE</v>
          </cell>
        </row>
        <row r="172">
          <cell r="A172" t="str">
            <v>DATA</v>
          </cell>
        </row>
        <row r="174">
          <cell r="A174">
            <v>24</v>
          </cell>
          <cell r="B174" t="str">
            <v>ASSENTO PARA VASO SANITÁRIO P5 DECA OU EQUIVAL.</v>
          </cell>
          <cell r="C174" t="str">
            <v>UN</v>
          </cell>
          <cell r="D174">
            <v>261.96666666666664</v>
          </cell>
        </row>
        <row r="175">
          <cell r="A175" t="str">
            <v>NOME</v>
          </cell>
        </row>
        <row r="176">
          <cell r="A176" t="str">
            <v>PREÇO</v>
          </cell>
        </row>
        <row r="177">
          <cell r="A177" t="str">
            <v>CNPJ</v>
          </cell>
        </row>
        <row r="178">
          <cell r="A178" t="str">
            <v>TELEFONE</v>
          </cell>
        </row>
        <row r="179">
          <cell r="A179" t="str">
            <v>DATA</v>
          </cell>
        </row>
        <row r="181">
          <cell r="A181">
            <v>25</v>
          </cell>
          <cell r="B181" t="str">
            <v>VASO SANITÁRIO SIFONADO DE LOUÇA BRANCA, LINHA VOGUE PLUS</v>
          </cell>
          <cell r="C181" t="str">
            <v>UN</v>
          </cell>
          <cell r="D181">
            <v>286.89999999999998</v>
          </cell>
        </row>
        <row r="182">
          <cell r="A182" t="str">
            <v>NOME</v>
          </cell>
        </row>
        <row r="183">
          <cell r="A183" t="str">
            <v>PREÇO</v>
          </cell>
        </row>
        <row r="184">
          <cell r="A184" t="str">
            <v>CNPJ</v>
          </cell>
        </row>
        <row r="185">
          <cell r="A185" t="str">
            <v>TELEFONE</v>
          </cell>
        </row>
        <row r="186">
          <cell r="A186" t="str">
            <v>DATA</v>
          </cell>
        </row>
        <row r="188">
          <cell r="A188">
            <v>26</v>
          </cell>
          <cell r="B188" t="str">
            <v>BANHEIRA DE INOX PARA EMBUTIR PARA FRALDÁRIO (70x45x20/23)</v>
          </cell>
          <cell r="C188" t="str">
            <v>UN</v>
          </cell>
          <cell r="D188">
            <v>558.79</v>
          </cell>
        </row>
        <row r="189">
          <cell r="A189" t="str">
            <v>NOME</v>
          </cell>
        </row>
        <row r="190">
          <cell r="A190" t="str">
            <v>PREÇO</v>
          </cell>
        </row>
        <row r="191">
          <cell r="A191" t="str">
            <v>CNPJ</v>
          </cell>
        </row>
        <row r="192">
          <cell r="A192" t="str">
            <v>TELEFONE</v>
          </cell>
        </row>
        <row r="193">
          <cell r="A193" t="str">
            <v>DATA</v>
          </cell>
        </row>
        <row r="195">
          <cell r="A195">
            <v>27</v>
          </cell>
          <cell r="B195" t="str">
            <v xml:space="preserve">LAVATÓRIO COLETIVO  (ESCOVÓDROMO) EM AÇO INOXIDÁVEL 1,80m </v>
          </cell>
          <cell r="C195" t="str">
            <v>UN</v>
          </cell>
          <cell r="D195">
            <v>736.30666666666673</v>
          </cell>
        </row>
        <row r="196">
          <cell r="A196" t="str">
            <v>NOME</v>
          </cell>
        </row>
        <row r="197">
          <cell r="A197" t="str">
            <v>PREÇO</v>
          </cell>
        </row>
        <row r="198">
          <cell r="A198" t="str">
            <v>CNPJ</v>
          </cell>
        </row>
        <row r="199">
          <cell r="A199" t="str">
            <v>TELEFONE</v>
          </cell>
        </row>
        <row r="200">
          <cell r="A200" t="str">
            <v>DATA</v>
          </cell>
        </row>
        <row r="202">
          <cell r="A202">
            <v>28</v>
          </cell>
          <cell r="B202" t="str">
            <v>VALVULA DESCARGA HYDRA ECO DECA OU EQUIV.</v>
          </cell>
          <cell r="C202" t="str">
            <v>UN</v>
          </cell>
          <cell r="D202">
            <v>206.53</v>
          </cell>
        </row>
        <row r="203">
          <cell r="A203" t="str">
            <v>NOME</v>
          </cell>
        </row>
        <row r="204">
          <cell r="A204" t="str">
            <v>PREÇO</v>
          </cell>
        </row>
        <row r="205">
          <cell r="A205" t="str">
            <v>CNPJ</v>
          </cell>
        </row>
        <row r="206">
          <cell r="A206" t="str">
            <v>TELEFONE</v>
          </cell>
        </row>
        <row r="207">
          <cell r="A207" t="str">
            <v>DATA</v>
          </cell>
        </row>
        <row r="209">
          <cell r="A209">
            <v>29</v>
          </cell>
          <cell r="B209" t="str">
            <v>ACABAMENTO DE VÁLVULA DE DESCARGA PARA PNE</v>
          </cell>
          <cell r="C209" t="str">
            <v>UN</v>
          </cell>
          <cell r="D209">
            <v>406.60666666666674</v>
          </cell>
        </row>
        <row r="210">
          <cell r="A210" t="str">
            <v>NOME</v>
          </cell>
        </row>
        <row r="211">
          <cell r="A211" t="str">
            <v>PREÇO</v>
          </cell>
        </row>
        <row r="212">
          <cell r="A212" t="str">
            <v>CNPJ</v>
          </cell>
        </row>
        <row r="213">
          <cell r="A213" t="str">
            <v>TELEFONE</v>
          </cell>
        </row>
        <row r="214">
          <cell r="A214" t="str">
            <v>DATA</v>
          </cell>
        </row>
        <row r="216">
          <cell r="A216">
            <v>30</v>
          </cell>
          <cell r="B216" t="str">
            <v>Ducha higiênica com registro gatilho, acabamento cromado CR10, linha Aspen, CÓD. 1984C35 ACT. Fabricante Deca ou equivalente</v>
          </cell>
          <cell r="C216" t="str">
            <v>UN</v>
          </cell>
          <cell r="D216">
            <v>192.5633333333333</v>
          </cell>
        </row>
        <row r="217">
          <cell r="A217" t="str">
            <v>NOME</v>
          </cell>
        </row>
        <row r="218">
          <cell r="A218" t="str">
            <v>PREÇO</v>
          </cell>
        </row>
        <row r="219">
          <cell r="A219" t="str">
            <v>CNPJ</v>
          </cell>
        </row>
        <row r="220">
          <cell r="A220" t="str">
            <v>TELEFONE</v>
          </cell>
        </row>
        <row r="221">
          <cell r="A221" t="str">
            <v>DATA</v>
          </cell>
        </row>
        <row r="223">
          <cell r="A223">
            <v>31</v>
          </cell>
          <cell r="B223" t="str">
            <v>PERFIL CAIXA 300X170X3X25 mm, EM CHAPA DOBRADA</v>
          </cell>
          <cell r="C223" t="str">
            <v>KG</v>
          </cell>
          <cell r="D223">
            <v>4.4183880399924549</v>
          </cell>
        </row>
        <row r="224">
          <cell r="A224" t="str">
            <v>NOME</v>
          </cell>
          <cell r="B224" t="str">
            <v>634KG</v>
          </cell>
        </row>
        <row r="225">
          <cell r="A225" t="str">
            <v>PREÇO</v>
          </cell>
        </row>
        <row r="226">
          <cell r="A226" t="str">
            <v>CNPJ</v>
          </cell>
        </row>
        <row r="227">
          <cell r="A227" t="str">
            <v>TELEFONE</v>
          </cell>
        </row>
        <row r="228">
          <cell r="A228" t="str">
            <v>DATA</v>
          </cell>
        </row>
        <row r="230">
          <cell r="A230" t="str">
            <v>COTAÇÃO - 192</v>
          </cell>
          <cell r="B230" t="str">
            <v>PERFIL CAIXA 150X80X2X15 mm, EM CHAPA DOBRADA</v>
          </cell>
          <cell r="C230" t="str">
            <v>KG</v>
          </cell>
          <cell r="D230">
            <v>4.6146953405017923</v>
          </cell>
        </row>
        <row r="231">
          <cell r="A231" t="str">
            <v>NOME</v>
          </cell>
          <cell r="B231" t="str">
            <v>61,6KG</v>
          </cell>
        </row>
        <row r="232">
          <cell r="A232" t="str">
            <v>PREÇO</v>
          </cell>
        </row>
        <row r="233">
          <cell r="A233" t="str">
            <v>CNPJ</v>
          </cell>
        </row>
        <row r="234">
          <cell r="A234" t="str">
            <v>TELEFONE</v>
          </cell>
        </row>
        <row r="235">
          <cell r="A235" t="str">
            <v>DATA</v>
          </cell>
        </row>
        <row r="237">
          <cell r="A237">
            <v>193</v>
          </cell>
          <cell r="B237" t="str">
            <v>CABO PP 3X2,5MM</v>
          </cell>
          <cell r="C237" t="str">
            <v>M</v>
          </cell>
          <cell r="D237">
            <v>4.1900000000000004</v>
          </cell>
        </row>
        <row r="238">
          <cell r="A238" t="str">
            <v>NOME</v>
          </cell>
        </row>
        <row r="239">
          <cell r="A239" t="str">
            <v>PREÇO</v>
          </cell>
        </row>
        <row r="240">
          <cell r="A240" t="str">
            <v>CNPJ</v>
          </cell>
        </row>
        <row r="241">
          <cell r="A241" t="str">
            <v>TELEFONE</v>
          </cell>
        </row>
        <row r="242">
          <cell r="A242" t="str">
            <v>DATA</v>
          </cell>
        </row>
        <row r="244">
          <cell r="A244">
            <v>194</v>
          </cell>
          <cell r="B244" t="str">
            <v>BANCO DE CONCRETO PRÉ-MOLDADO DIMENSÕES 165 X 45CM SEM ENCOSTO</v>
          </cell>
          <cell r="C244" t="str">
            <v>UN</v>
          </cell>
          <cell r="D244">
            <v>391.11333333333329</v>
          </cell>
        </row>
        <row r="245">
          <cell r="A245" t="str">
            <v>NOME</v>
          </cell>
        </row>
        <row r="246">
          <cell r="A246" t="str">
            <v>PREÇO</v>
          </cell>
        </row>
        <row r="247">
          <cell r="A247" t="str">
            <v>CNPJ</v>
          </cell>
        </row>
        <row r="248">
          <cell r="A248" t="str">
            <v>TELEFONE</v>
          </cell>
        </row>
        <row r="249">
          <cell r="A249" t="str">
            <v>DATA</v>
          </cell>
        </row>
        <row r="251">
          <cell r="A251">
            <v>195</v>
          </cell>
          <cell r="B251" t="str">
            <v>Luminária de sobrepor 2x28W T5  C/Refletor e Aletas Parabólicas c/ lâmpadas</v>
          </cell>
          <cell r="C251" t="str">
            <v>UN</v>
          </cell>
          <cell r="D251">
            <v>293.89</v>
          </cell>
        </row>
        <row r="252">
          <cell r="A252" t="str">
            <v>NOME</v>
          </cell>
        </row>
        <row r="253">
          <cell r="A253" t="str">
            <v>PREÇO</v>
          </cell>
        </row>
        <row r="254">
          <cell r="A254" t="str">
            <v>CNPJ</v>
          </cell>
        </row>
        <row r="255">
          <cell r="A255" t="str">
            <v>TELEFONE</v>
          </cell>
        </row>
        <row r="256">
          <cell r="A256" t="str">
            <v>DATA</v>
          </cell>
        </row>
        <row r="258">
          <cell r="A258">
            <v>32</v>
          </cell>
          <cell r="B258" t="str">
            <v>ARRUELA 1"</v>
          </cell>
          <cell r="C258" t="str">
            <v>UN</v>
          </cell>
          <cell r="D258">
            <v>0.85199999999999998</v>
          </cell>
        </row>
        <row r="259">
          <cell r="A259" t="str">
            <v>NOME</v>
          </cell>
        </row>
        <row r="260">
          <cell r="A260" t="str">
            <v>PREÇO</v>
          </cell>
        </row>
        <row r="261">
          <cell r="A261" t="str">
            <v>CNPJ</v>
          </cell>
        </row>
        <row r="262">
          <cell r="A262" t="str">
            <v>TELEFONE</v>
          </cell>
        </row>
        <row r="263">
          <cell r="A263" t="str">
            <v>DATA</v>
          </cell>
        </row>
        <row r="265">
          <cell r="A265">
            <v>33</v>
          </cell>
          <cell r="B265" t="str">
            <v>PORCA 1"</v>
          </cell>
          <cell r="C265" t="str">
            <v>UN</v>
          </cell>
          <cell r="D265">
            <v>2.9529999999999994</v>
          </cell>
        </row>
        <row r="266">
          <cell r="A266" t="str">
            <v>NOME</v>
          </cell>
        </row>
        <row r="267">
          <cell r="A267" t="str">
            <v>PREÇO</v>
          </cell>
        </row>
        <row r="268">
          <cell r="A268" t="str">
            <v>CNPJ</v>
          </cell>
        </row>
        <row r="269">
          <cell r="A269" t="str">
            <v>TELEFONE</v>
          </cell>
        </row>
        <row r="270">
          <cell r="A270" t="str">
            <v>DATA</v>
          </cell>
        </row>
        <row r="272">
          <cell r="A272">
            <v>34</v>
          </cell>
          <cell r="B272" t="str">
            <v>ARRUELA 5/16"</v>
          </cell>
          <cell r="C272" t="str">
            <v>UN</v>
          </cell>
          <cell r="D272">
            <v>0.10233333333333333</v>
          </cell>
        </row>
        <row r="273">
          <cell r="A273" t="str">
            <v>NOME</v>
          </cell>
        </row>
        <row r="274">
          <cell r="A274" t="str">
            <v>PREÇO</v>
          </cell>
        </row>
        <row r="275">
          <cell r="A275" t="str">
            <v>CNPJ</v>
          </cell>
        </row>
        <row r="276">
          <cell r="A276" t="str">
            <v>TELEFONE</v>
          </cell>
        </row>
        <row r="277">
          <cell r="A277" t="str">
            <v>DATA</v>
          </cell>
        </row>
        <row r="279">
          <cell r="A279">
            <v>35</v>
          </cell>
          <cell r="B279" t="str">
            <v>PORCA 5/8"</v>
          </cell>
          <cell r="C279" t="str">
            <v>UN</v>
          </cell>
          <cell r="D279">
            <v>0.55799999999999994</v>
          </cell>
        </row>
        <row r="280">
          <cell r="A280" t="str">
            <v>NOME</v>
          </cell>
        </row>
        <row r="281">
          <cell r="A281" t="str">
            <v>PREÇO</v>
          </cell>
        </row>
        <row r="282">
          <cell r="A282" t="str">
            <v>CNPJ</v>
          </cell>
        </row>
        <row r="283">
          <cell r="A283" t="str">
            <v>TELEFONE</v>
          </cell>
        </row>
        <row r="284">
          <cell r="A284" t="str">
            <v>DATA</v>
          </cell>
        </row>
        <row r="286">
          <cell r="A286">
            <v>36</v>
          </cell>
          <cell r="B286" t="str">
            <v>BARRA ROSCADA 16MM, 1M, PARAFUSO PASSANTE</v>
          </cell>
          <cell r="C286" t="str">
            <v>M</v>
          </cell>
          <cell r="D286">
            <v>11.403333333333334</v>
          </cell>
        </row>
        <row r="287">
          <cell r="A287" t="str">
            <v>NOME</v>
          </cell>
        </row>
        <row r="288">
          <cell r="A288" t="str">
            <v>PREÇO</v>
          </cell>
        </row>
        <row r="289">
          <cell r="A289" t="str">
            <v>CNPJ</v>
          </cell>
        </row>
        <row r="290">
          <cell r="A290" t="str">
            <v>TELEFONE</v>
          </cell>
        </row>
        <row r="291">
          <cell r="A291" t="str">
            <v>DATA</v>
          </cell>
        </row>
        <row r="293">
          <cell r="A293">
            <v>37</v>
          </cell>
          <cell r="B293" t="str">
            <v>ARRUELA 5/8"</v>
          </cell>
          <cell r="C293" t="str">
            <v>UN</v>
          </cell>
          <cell r="D293">
            <v>0.3133333333333333</v>
          </cell>
        </row>
        <row r="294">
          <cell r="A294" t="str">
            <v>NOME</v>
          </cell>
        </row>
        <row r="295">
          <cell r="A295" t="str">
            <v>PREÇO</v>
          </cell>
        </row>
        <row r="296">
          <cell r="A296" t="str">
            <v>CNPJ</v>
          </cell>
        </row>
        <row r="297">
          <cell r="A297" t="str">
            <v>TELEFONE</v>
          </cell>
        </row>
        <row r="298">
          <cell r="A298" t="str">
            <v>DATA</v>
          </cell>
        </row>
        <row r="300">
          <cell r="A300">
            <v>38</v>
          </cell>
          <cell r="B300" t="str">
            <v>CHAPA CORT. #11</v>
          </cell>
          <cell r="C300" t="str">
            <v>KG</v>
          </cell>
          <cell r="D300">
            <v>4.5533333333333337</v>
          </cell>
        </row>
        <row r="301">
          <cell r="A301" t="str">
            <v>NOME</v>
          </cell>
        </row>
        <row r="302">
          <cell r="A302" t="str">
            <v>PREÇO</v>
          </cell>
        </row>
        <row r="303">
          <cell r="A303" t="str">
            <v>CNPJ</v>
          </cell>
        </row>
        <row r="304">
          <cell r="A304" t="str">
            <v>TELEFONE</v>
          </cell>
        </row>
        <row r="305">
          <cell r="A305" t="str">
            <v>DATA</v>
          </cell>
        </row>
        <row r="307">
          <cell r="A307">
            <v>39</v>
          </cell>
          <cell r="B307" t="str">
            <v>PORCA 5/16"</v>
          </cell>
          <cell r="C307" t="str">
            <v>UN</v>
          </cell>
          <cell r="D307">
            <v>0.10966666666666665</v>
          </cell>
        </row>
        <row r="308">
          <cell r="A308" t="str">
            <v>NOME</v>
          </cell>
        </row>
        <row r="309">
          <cell r="A309" t="str">
            <v>PREÇO</v>
          </cell>
        </row>
        <row r="310">
          <cell r="A310" t="str">
            <v>CNPJ</v>
          </cell>
        </row>
        <row r="311">
          <cell r="A311" t="str">
            <v>TELEFONE</v>
          </cell>
        </row>
        <row r="312">
          <cell r="A312" t="str">
            <v>DATA</v>
          </cell>
        </row>
        <row r="314">
          <cell r="A314">
            <v>40</v>
          </cell>
          <cell r="B314" t="str">
            <v>BARRA ROSCADA, 5/16", PARAFUSO PASSANTE, 1M</v>
          </cell>
          <cell r="C314" t="str">
            <v>UN</v>
          </cell>
          <cell r="D314">
            <v>2.5399999999999996</v>
          </cell>
        </row>
        <row r="315">
          <cell r="A315" t="str">
            <v>NOME</v>
          </cell>
        </row>
        <row r="316">
          <cell r="A316" t="str">
            <v>PREÇO</v>
          </cell>
        </row>
        <row r="317">
          <cell r="A317" t="str">
            <v>CNPJ</v>
          </cell>
        </row>
        <row r="318">
          <cell r="A318" t="str">
            <v>TELEFONE</v>
          </cell>
        </row>
        <row r="319">
          <cell r="A319" t="str">
            <v>DATA</v>
          </cell>
        </row>
        <row r="321">
          <cell r="A321">
            <v>41</v>
          </cell>
          <cell r="B321" t="str">
            <v>ARMARIO SUSPENSO EM ACO INOXIDAVEL, PROF.=30cm, 100x50cm</v>
          </cell>
          <cell r="C321" t="str">
            <v>UN</v>
          </cell>
          <cell r="D321">
            <v>1488</v>
          </cell>
        </row>
        <row r="322">
          <cell r="A322" t="str">
            <v>NOME</v>
          </cell>
        </row>
        <row r="323">
          <cell r="A323" t="str">
            <v>PREÇO</v>
          </cell>
        </row>
        <row r="324">
          <cell r="A324" t="str">
            <v>CNPJ</v>
          </cell>
        </row>
        <row r="325">
          <cell r="A325" t="str">
            <v>TELEFONE</v>
          </cell>
        </row>
        <row r="326">
          <cell r="A326" t="str">
            <v>DATA</v>
          </cell>
        </row>
        <row r="328">
          <cell r="A328">
            <v>42</v>
          </cell>
          <cell r="B328" t="str">
            <v>CABO DE ACO 3/8"</v>
          </cell>
          <cell r="C328" t="str">
            <v>UN</v>
          </cell>
          <cell r="D328">
            <v>9.3833333333333329</v>
          </cell>
        </row>
        <row r="329">
          <cell r="A329" t="str">
            <v>NOME</v>
          </cell>
        </row>
        <row r="330">
          <cell r="A330" t="str">
            <v>PREÇO</v>
          </cell>
        </row>
        <row r="331">
          <cell r="A331" t="str">
            <v>CNPJ</v>
          </cell>
        </row>
        <row r="332">
          <cell r="A332" t="str">
            <v>TELEFONE</v>
          </cell>
        </row>
        <row r="333">
          <cell r="A333" t="str">
            <v>DATA</v>
          </cell>
        </row>
        <row r="335">
          <cell r="A335">
            <v>43</v>
          </cell>
          <cell r="B335" t="str">
            <v>FUSIVEL ELO 6K</v>
          </cell>
          <cell r="C335" t="str">
            <v>UN</v>
          </cell>
          <cell r="D335">
            <v>3.6366666666666667</v>
          </cell>
        </row>
        <row r="336">
          <cell r="A336" t="str">
            <v>NOME</v>
          </cell>
        </row>
        <row r="337">
          <cell r="A337" t="str">
            <v>PREÇO</v>
          </cell>
        </row>
        <row r="338">
          <cell r="A338" t="str">
            <v>CNPJ</v>
          </cell>
        </row>
        <row r="339">
          <cell r="A339" t="str">
            <v>TELEFONE</v>
          </cell>
        </row>
        <row r="340">
          <cell r="A340" t="str">
            <v>DATA</v>
          </cell>
        </row>
        <row r="342">
          <cell r="A342">
            <v>44</v>
          </cell>
          <cell r="B342" t="str">
            <v>CABO DE ALUMINIO 15KV - 50MM2</v>
          </cell>
          <cell r="C342" t="str">
            <v>M</v>
          </cell>
          <cell r="D342">
            <v>13.166666666666666</v>
          </cell>
        </row>
        <row r="343">
          <cell r="A343" t="str">
            <v>NOME</v>
          </cell>
        </row>
        <row r="344">
          <cell r="A344" t="str">
            <v>PREÇO</v>
          </cell>
        </row>
        <row r="345">
          <cell r="A345" t="str">
            <v>CNPJ</v>
          </cell>
        </row>
        <row r="346">
          <cell r="A346" t="str">
            <v>TELEFONE</v>
          </cell>
        </row>
        <row r="347">
          <cell r="A347" t="str">
            <v>DATA</v>
          </cell>
        </row>
        <row r="349">
          <cell r="A349">
            <v>45</v>
          </cell>
          <cell r="B349" t="str">
            <v>PARA-RAIO OXIDO DE ZINCO 12KV- 10KA CORPO POLIMERICO</v>
          </cell>
          <cell r="C349" t="str">
            <v>UN</v>
          </cell>
          <cell r="D349">
            <v>163.16666666666666</v>
          </cell>
        </row>
        <row r="350">
          <cell r="A350" t="str">
            <v>NOME</v>
          </cell>
        </row>
        <row r="351">
          <cell r="A351" t="str">
            <v>PREÇO</v>
          </cell>
        </row>
        <row r="352">
          <cell r="A352" t="str">
            <v>CNPJ</v>
          </cell>
        </row>
        <row r="353">
          <cell r="A353" t="str">
            <v>TELEFONE</v>
          </cell>
        </row>
        <row r="354">
          <cell r="A354" t="str">
            <v>DATA</v>
          </cell>
        </row>
        <row r="356">
          <cell r="A356">
            <v>46</v>
          </cell>
          <cell r="B356" t="str">
            <v>isolador de ancoragem polimerico 15kV</v>
          </cell>
          <cell r="C356" t="str">
            <v>UN</v>
          </cell>
          <cell r="D356">
            <v>39.9</v>
          </cell>
        </row>
        <row r="357">
          <cell r="A357" t="str">
            <v>NOME</v>
          </cell>
        </row>
        <row r="358">
          <cell r="A358" t="str">
            <v>PREÇO</v>
          </cell>
        </row>
        <row r="359">
          <cell r="A359" t="str">
            <v>CNPJ</v>
          </cell>
        </row>
        <row r="360">
          <cell r="A360" t="str">
            <v>TELEFONE</v>
          </cell>
        </row>
        <row r="361">
          <cell r="A361" t="str">
            <v>DATA</v>
          </cell>
        </row>
        <row r="363">
          <cell r="A363">
            <v>47</v>
          </cell>
          <cell r="B363" t="str">
            <v>grampo de ancoragem para cabo</v>
          </cell>
          <cell r="C363" t="str">
            <v>UN</v>
          </cell>
          <cell r="D363">
            <v>48.813333333333333</v>
          </cell>
        </row>
        <row r="364">
          <cell r="A364" t="str">
            <v>NOME</v>
          </cell>
        </row>
        <row r="365">
          <cell r="A365" t="str">
            <v>PREÇO</v>
          </cell>
        </row>
        <row r="366">
          <cell r="A366" t="str">
            <v>CNPJ</v>
          </cell>
        </row>
        <row r="367">
          <cell r="A367" t="str">
            <v>TELEFONE</v>
          </cell>
        </row>
        <row r="368">
          <cell r="A368" t="str">
            <v>DATA</v>
          </cell>
        </row>
        <row r="370">
          <cell r="A370">
            <v>48</v>
          </cell>
          <cell r="B370" t="str">
            <v xml:space="preserve">conector tipo cunha </v>
          </cell>
          <cell r="C370" t="str">
            <v>UN</v>
          </cell>
          <cell r="D370">
            <v>3.7033333333333331</v>
          </cell>
        </row>
        <row r="371">
          <cell r="A371" t="str">
            <v>NOME</v>
          </cell>
        </row>
        <row r="372">
          <cell r="A372" t="str">
            <v>PREÇO</v>
          </cell>
        </row>
        <row r="373">
          <cell r="A373" t="str">
            <v>CNPJ</v>
          </cell>
        </row>
        <row r="374">
          <cell r="A374" t="str">
            <v>TELEFONE</v>
          </cell>
        </row>
        <row r="375">
          <cell r="A375" t="str">
            <v>DATA</v>
          </cell>
        </row>
        <row r="377">
          <cell r="A377">
            <v>49</v>
          </cell>
          <cell r="B377" t="str">
            <v>disjuntor trifasico 175A 18kA</v>
          </cell>
          <cell r="C377" t="str">
            <v>UN</v>
          </cell>
          <cell r="D377">
            <v>313.87666666666672</v>
          </cell>
        </row>
        <row r="378">
          <cell r="A378" t="str">
            <v>NOME</v>
          </cell>
        </row>
        <row r="379">
          <cell r="A379" t="str">
            <v>PREÇO</v>
          </cell>
        </row>
        <row r="380">
          <cell r="A380" t="str">
            <v>CNPJ</v>
          </cell>
        </row>
        <row r="381">
          <cell r="A381" t="str">
            <v>TELEFONE</v>
          </cell>
        </row>
        <row r="382">
          <cell r="A382" t="str">
            <v>DATA</v>
          </cell>
        </row>
        <row r="384">
          <cell r="A384">
            <v>50</v>
          </cell>
          <cell r="B384" t="str">
            <v>supressor de surto DPS 25kA -275V</v>
          </cell>
          <cell r="C384" t="str">
            <v>UN</v>
          </cell>
          <cell r="D384">
            <v>52.906666666666666</v>
          </cell>
        </row>
        <row r="385">
          <cell r="A385" t="str">
            <v>NOME</v>
          </cell>
        </row>
        <row r="386">
          <cell r="A386" t="str">
            <v>PREÇO</v>
          </cell>
        </row>
        <row r="387">
          <cell r="A387" t="str">
            <v>CNPJ</v>
          </cell>
        </row>
        <row r="388">
          <cell r="A388" t="str">
            <v>TELEFONE</v>
          </cell>
        </row>
        <row r="389">
          <cell r="A389" t="str">
            <v>DATA</v>
          </cell>
        </row>
        <row r="392">
          <cell r="A392">
            <v>51</v>
          </cell>
          <cell r="B392" t="str">
            <v>BARRA DE COBRE 3/4X3/16"</v>
          </cell>
          <cell r="C392" t="str">
            <v>M</v>
          </cell>
          <cell r="D392">
            <v>45.82</v>
          </cell>
        </row>
        <row r="393">
          <cell r="A393" t="str">
            <v>NOME</v>
          </cell>
        </row>
        <row r="394">
          <cell r="A394" t="str">
            <v>PREÇO</v>
          </cell>
        </row>
        <row r="395">
          <cell r="A395" t="str">
            <v>CNPJ</v>
          </cell>
        </row>
        <row r="396">
          <cell r="A396" t="str">
            <v>TELEFONE</v>
          </cell>
        </row>
        <row r="397">
          <cell r="A397" t="str">
            <v>DATA</v>
          </cell>
        </row>
        <row r="399">
          <cell r="A399">
            <v>52</v>
          </cell>
          <cell r="B399" t="str">
            <v>BARRA DE COBRE 3/4X1/8"</v>
          </cell>
          <cell r="C399" t="str">
            <v>M</v>
          </cell>
          <cell r="D399">
            <v>28.925000000000001</v>
          </cell>
        </row>
        <row r="400">
          <cell r="A400" t="str">
            <v>NOME</v>
          </cell>
        </row>
        <row r="401">
          <cell r="A401" t="str">
            <v>PREÇO</v>
          </cell>
        </row>
        <row r="402">
          <cell r="A402" t="str">
            <v>CNPJ</v>
          </cell>
        </row>
        <row r="403">
          <cell r="A403" t="str">
            <v>TELEFONE</v>
          </cell>
        </row>
        <row r="404">
          <cell r="A404" t="str">
            <v>DATA</v>
          </cell>
        </row>
        <row r="406">
          <cell r="A406">
            <v>53</v>
          </cell>
          <cell r="B406" t="str">
            <v xml:space="preserve">lampada tubular vapor metalico 250W </v>
          </cell>
          <cell r="C406" t="str">
            <v>UN</v>
          </cell>
          <cell r="D406">
            <v>59.46</v>
          </cell>
        </row>
        <row r="407">
          <cell r="A407" t="str">
            <v>NOME</v>
          </cell>
        </row>
        <row r="408">
          <cell r="A408" t="str">
            <v>PREÇO</v>
          </cell>
        </row>
        <row r="409">
          <cell r="A409" t="str">
            <v>CNPJ</v>
          </cell>
        </row>
        <row r="410">
          <cell r="A410" t="str">
            <v>TELEFONE</v>
          </cell>
        </row>
        <row r="411">
          <cell r="A411" t="str">
            <v>DATA</v>
          </cell>
        </row>
        <row r="413">
          <cell r="A413">
            <v>54</v>
          </cell>
          <cell r="B413" t="str">
            <v>reator para lamp.vapor metalico 250W</v>
          </cell>
          <cell r="C413" t="str">
            <v>UN</v>
          </cell>
          <cell r="D413">
            <v>60.423333333333339</v>
          </cell>
        </row>
        <row r="414">
          <cell r="A414" t="str">
            <v>NOME</v>
          </cell>
        </row>
        <row r="415">
          <cell r="A415" t="str">
            <v>PREÇO</v>
          </cell>
        </row>
        <row r="416">
          <cell r="A416" t="str">
            <v>CNPJ</v>
          </cell>
        </row>
        <row r="417">
          <cell r="A417" t="str">
            <v>TELEFONE</v>
          </cell>
        </row>
        <row r="418">
          <cell r="A418" t="str">
            <v>DATA</v>
          </cell>
        </row>
        <row r="420">
          <cell r="A420">
            <v>55</v>
          </cell>
          <cell r="B420" t="str">
            <v>gabinete fechado padrao 19" (Rack) 40U com porta em vidro temperado</v>
          </cell>
          <cell r="C420" t="str">
            <v>UN</v>
          </cell>
          <cell r="D420">
            <v>1940.86</v>
          </cell>
        </row>
        <row r="421">
          <cell r="A421" t="str">
            <v>NOME</v>
          </cell>
        </row>
        <row r="422">
          <cell r="A422" t="str">
            <v>PREÇO</v>
          </cell>
        </row>
        <row r="423">
          <cell r="A423" t="str">
            <v>CNPJ</v>
          </cell>
        </row>
        <row r="424">
          <cell r="A424" t="str">
            <v>TELEFONE</v>
          </cell>
        </row>
        <row r="425">
          <cell r="A425" t="str">
            <v>DATA</v>
          </cell>
        </row>
        <row r="427">
          <cell r="A427">
            <v>56</v>
          </cell>
          <cell r="B427" t="str">
            <v>path panel 24 portas - RJ45- cat.6</v>
          </cell>
          <cell r="C427" t="str">
            <v>UN</v>
          </cell>
          <cell r="D427">
            <v>743.52666666666664</v>
          </cell>
        </row>
        <row r="428">
          <cell r="A428" t="str">
            <v>NOME</v>
          </cell>
        </row>
        <row r="429">
          <cell r="A429" t="str">
            <v>PREÇO</v>
          </cell>
        </row>
        <row r="430">
          <cell r="A430" t="str">
            <v>CNPJ</v>
          </cell>
        </row>
        <row r="431">
          <cell r="A431" t="str">
            <v>TELEFONE</v>
          </cell>
        </row>
        <row r="432">
          <cell r="A432" t="str">
            <v>DATA</v>
          </cell>
        </row>
        <row r="434">
          <cell r="A434">
            <v>57</v>
          </cell>
          <cell r="B434" t="str">
            <v>path cord 2,5m - cat.6</v>
          </cell>
          <cell r="C434" t="str">
            <v>UN</v>
          </cell>
          <cell r="D434">
            <v>16.013333333333332</v>
          </cell>
        </row>
        <row r="435">
          <cell r="A435" t="str">
            <v>NOME</v>
          </cell>
        </row>
        <row r="436">
          <cell r="A436" t="str">
            <v>PREÇO</v>
          </cell>
        </row>
        <row r="437">
          <cell r="A437" t="str">
            <v>CNPJ</v>
          </cell>
        </row>
        <row r="438">
          <cell r="A438" t="str">
            <v>TELEFONE</v>
          </cell>
        </row>
        <row r="439">
          <cell r="A439" t="str">
            <v>DATA</v>
          </cell>
        </row>
        <row r="441">
          <cell r="A441">
            <v>58</v>
          </cell>
          <cell r="B441" t="str">
            <v>organizador horizontal de cabos 17 posicoes</v>
          </cell>
          <cell r="C441" t="str">
            <v>UN</v>
          </cell>
          <cell r="D441">
            <v>21.586666666666662</v>
          </cell>
        </row>
        <row r="442">
          <cell r="A442" t="str">
            <v>NOME</v>
          </cell>
        </row>
        <row r="443">
          <cell r="A443" t="str">
            <v>PREÇO</v>
          </cell>
        </row>
        <row r="444">
          <cell r="A444" t="str">
            <v>CNPJ</v>
          </cell>
        </row>
        <row r="445">
          <cell r="A445" t="str">
            <v>TELEFONE</v>
          </cell>
        </row>
        <row r="446">
          <cell r="A446" t="str">
            <v>DATA</v>
          </cell>
        </row>
        <row r="448">
          <cell r="A448">
            <v>59</v>
          </cell>
          <cell r="B448" t="str">
            <v>regua de tomadas (c/ 8 tomadas)</v>
          </cell>
          <cell r="C448" t="str">
            <v>UN</v>
          </cell>
          <cell r="D448">
            <v>89.740000000000009</v>
          </cell>
        </row>
        <row r="449">
          <cell r="A449" t="str">
            <v>NOME</v>
          </cell>
        </row>
        <row r="450">
          <cell r="A450" t="str">
            <v>PREÇO</v>
          </cell>
        </row>
        <row r="451">
          <cell r="A451" t="str">
            <v>CNPJ</v>
          </cell>
        </row>
        <row r="452">
          <cell r="A452" t="str">
            <v>TELEFONE</v>
          </cell>
        </row>
        <row r="453">
          <cell r="A453" t="str">
            <v>DATA</v>
          </cell>
        </row>
        <row r="455">
          <cell r="A455">
            <v>60</v>
          </cell>
          <cell r="B455" t="str">
            <v>distribuidor interno optico (DIO-24F)</v>
          </cell>
          <cell r="C455" t="str">
            <v>UN</v>
          </cell>
          <cell r="D455">
            <v>243.42999999999998</v>
          </cell>
        </row>
        <row r="456">
          <cell r="A456" t="str">
            <v>NOME</v>
          </cell>
        </row>
        <row r="457">
          <cell r="A457" t="str">
            <v>PREÇO</v>
          </cell>
        </row>
        <row r="458">
          <cell r="A458" t="str">
            <v>CNPJ</v>
          </cell>
        </row>
        <row r="459">
          <cell r="A459" t="str">
            <v>TELEFONE</v>
          </cell>
        </row>
        <row r="460">
          <cell r="A460" t="str">
            <v>DATA</v>
          </cell>
        </row>
        <row r="462">
          <cell r="A462">
            <v>61</v>
          </cell>
          <cell r="B462" t="str">
            <v xml:space="preserve">NRV( gravador digital em rede) </v>
          </cell>
          <cell r="C462" t="str">
            <v>UN</v>
          </cell>
          <cell r="D462">
            <v>1797.6366666666665</v>
          </cell>
        </row>
        <row r="463">
          <cell r="A463" t="str">
            <v>NOME</v>
          </cell>
        </row>
        <row r="464">
          <cell r="A464" t="str">
            <v>PREÇO</v>
          </cell>
        </row>
        <row r="465">
          <cell r="A465" t="str">
            <v>CNPJ</v>
          </cell>
        </row>
        <row r="466">
          <cell r="A466" t="str">
            <v>TELEFONE</v>
          </cell>
        </row>
        <row r="467">
          <cell r="A467" t="str">
            <v>DATA</v>
          </cell>
        </row>
        <row r="469">
          <cell r="A469">
            <v>62</v>
          </cell>
          <cell r="B469" t="str">
            <v>switch 24 portas RJ45</v>
          </cell>
          <cell r="C469" t="str">
            <v>UN</v>
          </cell>
          <cell r="D469">
            <v>528.61333333333334</v>
          </cell>
        </row>
        <row r="470">
          <cell r="A470" t="str">
            <v>NOME</v>
          </cell>
        </row>
        <row r="471">
          <cell r="A471" t="str">
            <v>PREÇO</v>
          </cell>
        </row>
        <row r="472">
          <cell r="A472" t="str">
            <v>CNPJ</v>
          </cell>
        </row>
        <row r="473">
          <cell r="A473" t="str">
            <v>TELEFONE</v>
          </cell>
        </row>
        <row r="474">
          <cell r="A474" t="str">
            <v>DATA</v>
          </cell>
        </row>
        <row r="476">
          <cell r="A476">
            <v>63</v>
          </cell>
          <cell r="B476" t="str">
            <v>voice panel (path voice)- 50 portas</v>
          </cell>
          <cell r="C476" t="str">
            <v>UN</v>
          </cell>
          <cell r="D476">
            <v>414.24333333333334</v>
          </cell>
        </row>
        <row r="477">
          <cell r="A477" t="str">
            <v>NOME</v>
          </cell>
        </row>
        <row r="478">
          <cell r="A478" t="str">
            <v>PREÇO</v>
          </cell>
        </row>
        <row r="479">
          <cell r="A479" t="str">
            <v>CNPJ</v>
          </cell>
        </row>
        <row r="480">
          <cell r="A480" t="str">
            <v>TELEFONE</v>
          </cell>
        </row>
        <row r="481">
          <cell r="A481" t="str">
            <v>DATA</v>
          </cell>
        </row>
        <row r="483">
          <cell r="A483">
            <v>64</v>
          </cell>
          <cell r="B483" t="str">
            <v xml:space="preserve">Central PABX Siemens Hipath 1150 DTC OU EQUIVALENTE </v>
          </cell>
          <cell r="C483" t="str">
            <v>UN</v>
          </cell>
          <cell r="D483">
            <v>1970</v>
          </cell>
        </row>
        <row r="484">
          <cell r="A484" t="str">
            <v>NOME</v>
          </cell>
        </row>
        <row r="485">
          <cell r="A485" t="str">
            <v>PREÇO</v>
          </cell>
        </row>
        <row r="486">
          <cell r="A486" t="str">
            <v>CNPJ</v>
          </cell>
        </row>
        <row r="487">
          <cell r="A487" t="str">
            <v>TELEFONE</v>
          </cell>
        </row>
        <row r="488">
          <cell r="A488" t="str">
            <v>DATA</v>
          </cell>
        </row>
        <row r="490">
          <cell r="A490">
            <v>65</v>
          </cell>
          <cell r="B490" t="str">
            <v>sonofletor de embutir no teto pot.= 10W RMS</v>
          </cell>
          <cell r="C490" t="str">
            <v>UN</v>
          </cell>
          <cell r="D490">
            <v>90.493333333333339</v>
          </cell>
        </row>
        <row r="491">
          <cell r="A491" t="str">
            <v>NOME</v>
          </cell>
        </row>
        <row r="492">
          <cell r="A492" t="str">
            <v>PREÇO</v>
          </cell>
        </row>
        <row r="493">
          <cell r="A493" t="str">
            <v>CNPJ</v>
          </cell>
        </row>
        <row r="494">
          <cell r="A494" t="str">
            <v>TELEFONE</v>
          </cell>
        </row>
        <row r="495">
          <cell r="A495" t="str">
            <v>DATA</v>
          </cell>
        </row>
        <row r="497">
          <cell r="A497">
            <v>66</v>
          </cell>
          <cell r="B497" t="str">
            <v>gabinete fechado padrao 19" (Rack) 12U com porta em vidro temperado</v>
          </cell>
          <cell r="C497" t="str">
            <v>UN</v>
          </cell>
          <cell r="D497">
            <v>411.33333333333331</v>
          </cell>
        </row>
        <row r="498">
          <cell r="A498" t="str">
            <v>NOME</v>
          </cell>
        </row>
        <row r="499">
          <cell r="A499" t="str">
            <v>PREÇO</v>
          </cell>
        </row>
        <row r="500">
          <cell r="A500" t="str">
            <v>CNPJ</v>
          </cell>
        </row>
        <row r="501">
          <cell r="A501" t="str">
            <v>TELEFONE</v>
          </cell>
        </row>
        <row r="502">
          <cell r="A502" t="str">
            <v>DATA</v>
          </cell>
        </row>
        <row r="504">
          <cell r="A504">
            <v>67</v>
          </cell>
          <cell r="B504" t="str">
            <v>PR 100 - Pré-Amplificador c/ Gongo e Equalizador PR-100 NCA</v>
          </cell>
          <cell r="C504" t="str">
            <v>UN</v>
          </cell>
          <cell r="D504">
            <v>550.86</v>
          </cell>
        </row>
        <row r="505">
          <cell r="A505" t="str">
            <v>NOME</v>
          </cell>
        </row>
        <row r="506">
          <cell r="A506" t="str">
            <v>PREÇO</v>
          </cell>
        </row>
        <row r="507">
          <cell r="A507" t="str">
            <v>CNPJ</v>
          </cell>
        </row>
        <row r="508">
          <cell r="A508" t="str">
            <v>TELEFONE</v>
          </cell>
        </row>
        <row r="509">
          <cell r="A509" t="str">
            <v>DATA</v>
          </cell>
        </row>
        <row r="511">
          <cell r="A511">
            <v>68</v>
          </cell>
          <cell r="B511" t="str">
            <v>amplificador de potencia 600W</v>
          </cell>
          <cell r="C511" t="str">
            <v>UN</v>
          </cell>
          <cell r="D511">
            <v>1650.7933333333333</v>
          </cell>
        </row>
        <row r="512">
          <cell r="A512" t="str">
            <v>NOME</v>
          </cell>
        </row>
        <row r="513">
          <cell r="A513" t="str">
            <v>PREÇO</v>
          </cell>
        </row>
        <row r="514">
          <cell r="A514" t="str">
            <v>CNPJ</v>
          </cell>
        </row>
        <row r="515">
          <cell r="A515" t="str">
            <v>TELEFONE</v>
          </cell>
        </row>
        <row r="516">
          <cell r="A516" t="str">
            <v>DATA</v>
          </cell>
        </row>
        <row r="518">
          <cell r="A518">
            <v>69</v>
          </cell>
          <cell r="B518" t="str">
            <v>setorizador de 6 canais</v>
          </cell>
          <cell r="C518" t="str">
            <v>UN</v>
          </cell>
          <cell r="D518">
            <v>464.29</v>
          </cell>
        </row>
        <row r="519">
          <cell r="A519" t="str">
            <v>NOME</v>
          </cell>
        </row>
        <row r="520">
          <cell r="A520" t="str">
            <v>PREÇO</v>
          </cell>
        </row>
        <row r="521">
          <cell r="A521" t="str">
            <v>CNPJ</v>
          </cell>
        </row>
        <row r="522">
          <cell r="A522" t="str">
            <v>TELEFONE</v>
          </cell>
        </row>
        <row r="523">
          <cell r="A523" t="str">
            <v>DATA</v>
          </cell>
        </row>
        <row r="525">
          <cell r="A525">
            <v>70</v>
          </cell>
          <cell r="B525" t="str">
            <v>mesa de som analogica com 12 canais e 1 auxiliar(CD/TAPE), com entrada balanceada de microfone e line por canal e saida para gravacao RCA</v>
          </cell>
          <cell r="C525" t="str">
            <v>UN</v>
          </cell>
          <cell r="D525">
            <v>965</v>
          </cell>
        </row>
        <row r="526">
          <cell r="A526" t="str">
            <v>NOME</v>
          </cell>
        </row>
        <row r="527">
          <cell r="A527" t="str">
            <v>PREÇO</v>
          </cell>
        </row>
        <row r="528">
          <cell r="A528" t="str">
            <v>CNPJ</v>
          </cell>
        </row>
        <row r="529">
          <cell r="A529" t="str">
            <v>TELEFONE</v>
          </cell>
        </row>
        <row r="530">
          <cell r="A530" t="str">
            <v>DATA</v>
          </cell>
        </row>
        <row r="532">
          <cell r="A532">
            <v>71</v>
          </cell>
          <cell r="B532" t="str">
            <v>conjunto subwoofer com caixa acustica ativa, potencia RMS 200W, 4 ohms,alto falante 12", impedancia nominal 8 ohms</v>
          </cell>
          <cell r="C532" t="str">
            <v>UN</v>
          </cell>
          <cell r="D532">
            <v>532.55666666666673</v>
          </cell>
        </row>
        <row r="533">
          <cell r="A533" t="str">
            <v>NOME</v>
          </cell>
        </row>
        <row r="534">
          <cell r="A534" t="str">
            <v>PREÇO</v>
          </cell>
        </row>
        <row r="535">
          <cell r="A535" t="str">
            <v>CNPJ</v>
          </cell>
        </row>
        <row r="536">
          <cell r="A536" t="str">
            <v>TELEFONE</v>
          </cell>
        </row>
        <row r="537">
          <cell r="A537" t="str">
            <v>DATA</v>
          </cell>
        </row>
        <row r="539">
          <cell r="A539">
            <v>72</v>
          </cell>
          <cell r="B539" t="str">
            <v>curva horizontal 90º com tampa para  eletrocalha, 50x50mm</v>
          </cell>
          <cell r="C539" t="str">
            <v>UN</v>
          </cell>
          <cell r="D539">
            <v>9.8633333333333351</v>
          </cell>
        </row>
        <row r="540">
          <cell r="A540" t="str">
            <v>NOME</v>
          </cell>
        </row>
        <row r="541">
          <cell r="A541" t="str">
            <v>PREÇO</v>
          </cell>
        </row>
        <row r="542">
          <cell r="A542" t="str">
            <v>CNPJ</v>
          </cell>
        </row>
        <row r="543">
          <cell r="A543" t="str">
            <v>TELEFONE</v>
          </cell>
        </row>
        <row r="544">
          <cell r="A544" t="str">
            <v>DATA</v>
          </cell>
        </row>
        <row r="546">
          <cell r="A546">
            <v>73</v>
          </cell>
          <cell r="B546" t="str">
            <v>saída lateral simples para eletroduto, 3/4"</v>
          </cell>
          <cell r="C546" t="str">
            <v>UN</v>
          </cell>
          <cell r="D546">
            <v>1.18</v>
          </cell>
        </row>
        <row r="547">
          <cell r="A547" t="str">
            <v>NOME</v>
          </cell>
        </row>
        <row r="548">
          <cell r="A548" t="str">
            <v>PREÇO</v>
          </cell>
        </row>
        <row r="549">
          <cell r="A549" t="str">
            <v>CNPJ</v>
          </cell>
        </row>
        <row r="550">
          <cell r="A550" t="str">
            <v>TELEFONE</v>
          </cell>
        </row>
        <row r="551">
          <cell r="A551" t="str">
            <v>DATA</v>
          </cell>
        </row>
        <row r="553">
          <cell r="A553">
            <v>74</v>
          </cell>
          <cell r="B553" t="str">
            <v>saída lateral dupla para eletroduto, 3/4"</v>
          </cell>
          <cell r="C553" t="str">
            <v>UN</v>
          </cell>
          <cell r="D553">
            <v>2.3666666666666667</v>
          </cell>
        </row>
        <row r="554">
          <cell r="A554" t="str">
            <v>NOME</v>
          </cell>
        </row>
        <row r="555">
          <cell r="A555" t="str">
            <v>PREÇO</v>
          </cell>
        </row>
        <row r="556">
          <cell r="A556" t="str">
            <v>CNPJ</v>
          </cell>
        </row>
        <row r="557">
          <cell r="A557" t="str">
            <v>TELEFONE</v>
          </cell>
        </row>
        <row r="558">
          <cell r="A558" t="str">
            <v>DATA</v>
          </cell>
        </row>
        <row r="560">
          <cell r="A560">
            <v>75</v>
          </cell>
          <cell r="B560" t="str">
            <v>tala plana para eletrocalha, 50mm</v>
          </cell>
          <cell r="C560" t="str">
            <v>UN</v>
          </cell>
          <cell r="D560">
            <v>0.64666666666666661</v>
          </cell>
        </row>
        <row r="561">
          <cell r="A561" t="str">
            <v>NOME</v>
          </cell>
        </row>
        <row r="562">
          <cell r="A562" t="str">
            <v>PREÇO</v>
          </cell>
        </row>
        <row r="563">
          <cell r="A563" t="str">
            <v>CNPJ</v>
          </cell>
        </row>
        <row r="564">
          <cell r="A564" t="str">
            <v>TELEFONE</v>
          </cell>
        </row>
        <row r="565">
          <cell r="A565" t="str">
            <v>DATA</v>
          </cell>
        </row>
        <row r="567">
          <cell r="A567">
            <v>76</v>
          </cell>
          <cell r="B567" t="str">
            <v>te horizontal 90º com tampa para  eletrocalha, 100x50mm</v>
          </cell>
          <cell r="C567" t="str">
            <v>UN</v>
          </cell>
          <cell r="D567">
            <v>14.14</v>
          </cell>
        </row>
        <row r="568">
          <cell r="A568" t="str">
            <v>NOME</v>
          </cell>
        </row>
        <row r="569">
          <cell r="A569" t="str">
            <v>PREÇO</v>
          </cell>
        </row>
        <row r="570">
          <cell r="A570" t="str">
            <v>CNPJ</v>
          </cell>
        </row>
        <row r="571">
          <cell r="A571" t="str">
            <v>TELEFONE</v>
          </cell>
        </row>
        <row r="572">
          <cell r="A572" t="str">
            <v>DATA</v>
          </cell>
        </row>
        <row r="574">
          <cell r="A574">
            <v>77</v>
          </cell>
          <cell r="B574" t="str">
            <v xml:space="preserve">Antena Digital VHF, UHF, FM e HDTV SG2000 Sagna </v>
          </cell>
          <cell r="C574" t="str">
            <v>UN</v>
          </cell>
          <cell r="D574">
            <v>230.99</v>
          </cell>
        </row>
        <row r="575">
          <cell r="A575" t="str">
            <v>NOME</v>
          </cell>
        </row>
        <row r="576">
          <cell r="A576" t="str">
            <v>PREÇO</v>
          </cell>
        </row>
        <row r="577">
          <cell r="A577" t="str">
            <v>CNPJ</v>
          </cell>
        </row>
        <row r="578">
          <cell r="A578" t="str">
            <v>TELEFONE</v>
          </cell>
        </row>
        <row r="579">
          <cell r="A579" t="str">
            <v>DATA</v>
          </cell>
        </row>
        <row r="581">
          <cell r="A581">
            <v>78</v>
          </cell>
          <cell r="B581" t="str">
            <v xml:space="preserve">1 MÓDULO, TOMADA COAXIAL ø9mm TIPO "F" COM CONECTOR PARA INSTALAÇÃO DE (CABO PARA ANTENA DE TV VHF/UHF E VÍDEO). </v>
          </cell>
          <cell r="C581" t="str">
            <v>UN</v>
          </cell>
          <cell r="D581">
            <v>26.493333333333336</v>
          </cell>
        </row>
        <row r="582">
          <cell r="A582" t="str">
            <v>NOME</v>
          </cell>
        </row>
        <row r="583">
          <cell r="A583" t="str">
            <v>PREÇO</v>
          </cell>
        </row>
        <row r="584">
          <cell r="A584" t="str">
            <v>CNPJ</v>
          </cell>
        </row>
        <row r="585">
          <cell r="A585" t="str">
            <v>TELEFONE</v>
          </cell>
        </row>
        <row r="586">
          <cell r="A586" t="str">
            <v>DATA</v>
          </cell>
        </row>
        <row r="588">
          <cell r="A588">
            <v>79</v>
          </cell>
          <cell r="B588" t="str">
            <v>Divisor de sinal Proeletronic 1:3 VHF/UHF/CATV 1GHZ 130db solder back PQDV-1023</v>
          </cell>
          <cell r="C588" t="str">
            <v>UN</v>
          </cell>
          <cell r="D588">
            <v>11.61</v>
          </cell>
        </row>
        <row r="589">
          <cell r="A589" t="str">
            <v>NOME</v>
          </cell>
        </row>
        <row r="590">
          <cell r="A590" t="str">
            <v>PREÇO</v>
          </cell>
        </row>
        <row r="591">
          <cell r="A591" t="str">
            <v>CNPJ</v>
          </cell>
        </row>
        <row r="592">
          <cell r="A592" t="str">
            <v>TELEFONE</v>
          </cell>
        </row>
        <row r="593">
          <cell r="A593" t="str">
            <v>DATA</v>
          </cell>
        </row>
        <row r="595">
          <cell r="A595">
            <v>80</v>
          </cell>
          <cell r="B595" t="str">
            <v>cabo coaxial RGC-6, 75 OHMS, blindado, não propagante a chama, Dn=1,02mm</v>
          </cell>
          <cell r="C595" t="str">
            <v>UN</v>
          </cell>
          <cell r="D595">
            <v>3.25</v>
          </cell>
        </row>
        <row r="596">
          <cell r="A596" t="str">
            <v>NOME</v>
          </cell>
        </row>
        <row r="597">
          <cell r="A597" t="str">
            <v>PREÇO</v>
          </cell>
        </row>
        <row r="598">
          <cell r="A598" t="str">
            <v>CNPJ</v>
          </cell>
        </row>
        <row r="599">
          <cell r="A599" t="str">
            <v>TELEFONE</v>
          </cell>
        </row>
        <row r="600">
          <cell r="A600" t="str">
            <v>DATA</v>
          </cell>
        </row>
        <row r="602">
          <cell r="A602">
            <v>81</v>
          </cell>
          <cell r="B602" t="str">
            <v>Luminária de Embutir 2x14W T5 C/Refletor e Aletas Parabólicas Alum ECP</v>
          </cell>
          <cell r="C602" t="str">
            <v>UN</v>
          </cell>
          <cell r="D602">
            <v>95.23</v>
          </cell>
        </row>
        <row r="603">
          <cell r="A603" t="str">
            <v>NOME</v>
          </cell>
        </row>
        <row r="604">
          <cell r="A604" t="str">
            <v>PREÇO</v>
          </cell>
        </row>
        <row r="605">
          <cell r="A605" t="str">
            <v>PREÇO</v>
          </cell>
        </row>
        <row r="606">
          <cell r="A606" t="str">
            <v>PREÇO</v>
          </cell>
        </row>
        <row r="607">
          <cell r="A607" t="str">
            <v>CNPJ</v>
          </cell>
        </row>
        <row r="608">
          <cell r="A608" t="str">
            <v>TELEFONE</v>
          </cell>
        </row>
        <row r="609">
          <cell r="A609" t="str">
            <v>DATA</v>
          </cell>
        </row>
        <row r="611">
          <cell r="A611">
            <v>82</v>
          </cell>
          <cell r="B611" t="str">
            <v>Luminária de Embutir 2x28W T5  C/Refletor e Aletas Parabólicas Alum ECP</v>
          </cell>
          <cell r="C611" t="str">
            <v>UN</v>
          </cell>
          <cell r="D611">
            <v>126.88</v>
          </cell>
        </row>
        <row r="612">
          <cell r="A612" t="str">
            <v>NOME</v>
          </cell>
        </row>
        <row r="613">
          <cell r="A613" t="str">
            <v>PREÇO</v>
          </cell>
        </row>
        <row r="614">
          <cell r="A614" t="str">
            <v>CNPJ</v>
          </cell>
        </row>
        <row r="615">
          <cell r="A615" t="str">
            <v>TELEFONE</v>
          </cell>
        </row>
        <row r="616">
          <cell r="A616" t="str">
            <v>DATA</v>
          </cell>
        </row>
        <row r="618">
          <cell r="A618">
            <v>83</v>
          </cell>
          <cell r="B618" t="str">
            <v xml:space="preserve">LÂMPADA 28W T5 </v>
          </cell>
          <cell r="C618" t="str">
            <v>UN</v>
          </cell>
          <cell r="D618">
            <v>8.0633333333333326</v>
          </cell>
        </row>
        <row r="619">
          <cell r="A619" t="str">
            <v>NOME</v>
          </cell>
        </row>
        <row r="620">
          <cell r="A620" t="str">
            <v>PREÇO</v>
          </cell>
        </row>
        <row r="621">
          <cell r="A621" t="str">
            <v>CNPJ</v>
          </cell>
        </row>
        <row r="622">
          <cell r="A622" t="str">
            <v>TELEFONE</v>
          </cell>
        </row>
        <row r="623">
          <cell r="A623" t="str">
            <v>DATA</v>
          </cell>
        </row>
        <row r="625">
          <cell r="A625">
            <v>84</v>
          </cell>
          <cell r="B625" t="str">
            <v>bloco autonomo de iluminacao de emergencia com uma lampada fluorescente compacta de 11W, bateria com autonomia de 2,5h, ref. Aureon ou equiv.</v>
          </cell>
          <cell r="C625" t="str">
            <v>UN</v>
          </cell>
          <cell r="D625">
            <v>180.26666666666665</v>
          </cell>
        </row>
        <row r="626">
          <cell r="A626" t="str">
            <v>NOME</v>
          </cell>
        </row>
        <row r="627">
          <cell r="A627" t="str">
            <v>PREÇO</v>
          </cell>
        </row>
        <row r="628">
          <cell r="A628" t="str">
            <v>CNPJ</v>
          </cell>
        </row>
        <row r="629">
          <cell r="A629" t="str">
            <v>TELEFONE</v>
          </cell>
        </row>
        <row r="630">
          <cell r="A630" t="str">
            <v>DATA</v>
          </cell>
        </row>
        <row r="632">
          <cell r="A632">
            <v>85</v>
          </cell>
          <cell r="B632" t="str">
            <v>Luminaria blindada( arandela), corpo e grade frontal em aluminio fundido, acabamento em pintura eletrostatica epoxi-po, cor branca, difusor em vidro transparente frisado com uma lampada fluorescente twist compacta de 20W, ref. Itaim Tatu  ou equiv.</v>
          </cell>
          <cell r="C632" t="str">
            <v>UN</v>
          </cell>
          <cell r="D632">
            <v>76.25</v>
          </cell>
        </row>
        <row r="633">
          <cell r="A633" t="str">
            <v>NOME</v>
          </cell>
        </row>
        <row r="634">
          <cell r="A634" t="str">
            <v>PREÇO</v>
          </cell>
        </row>
        <row r="635">
          <cell r="A635" t="str">
            <v>CNPJ</v>
          </cell>
        </row>
        <row r="636">
          <cell r="A636" t="str">
            <v>TELEFONE</v>
          </cell>
        </row>
        <row r="637">
          <cell r="A637" t="str">
            <v>DATA</v>
          </cell>
        </row>
        <row r="639">
          <cell r="A639">
            <v>86</v>
          </cell>
          <cell r="B639" t="str">
            <v>suporte para cabo de aço 38x90mm</v>
          </cell>
          <cell r="C639" t="str">
            <v>UN</v>
          </cell>
          <cell r="D639">
            <v>2.15</v>
          </cell>
        </row>
        <row r="640">
          <cell r="A640" t="str">
            <v>NOME</v>
          </cell>
        </row>
        <row r="641">
          <cell r="A641" t="str">
            <v>PREÇO</v>
          </cell>
        </row>
        <row r="642">
          <cell r="A642" t="str">
            <v>CNPJ</v>
          </cell>
        </row>
        <row r="643">
          <cell r="A643" t="str">
            <v>TELEFONE</v>
          </cell>
        </row>
        <row r="644">
          <cell r="A644" t="str">
            <v>DATA</v>
          </cell>
        </row>
        <row r="646">
          <cell r="A646">
            <v>87</v>
          </cell>
          <cell r="B646" t="str">
            <v>plug macho - 10A</v>
          </cell>
          <cell r="C646" t="str">
            <v>UN</v>
          </cell>
          <cell r="D646">
            <v>2.5666666666666664</v>
          </cell>
        </row>
        <row r="647">
          <cell r="A647" t="str">
            <v>NOME</v>
          </cell>
        </row>
        <row r="648">
          <cell r="A648" t="str">
            <v>PREÇO</v>
          </cell>
        </row>
        <row r="649">
          <cell r="A649" t="str">
            <v>CNPJ</v>
          </cell>
        </row>
        <row r="650">
          <cell r="A650" t="str">
            <v>TELEFONE</v>
          </cell>
        </row>
        <row r="651">
          <cell r="A651" t="str">
            <v>DATA</v>
          </cell>
        </row>
        <row r="653">
          <cell r="A653">
            <v>88</v>
          </cell>
          <cell r="B653" t="str">
            <v>GANCHO LONGO P/ LUMINARIA</v>
          </cell>
          <cell r="C653" t="str">
            <v xml:space="preserve">UN </v>
          </cell>
          <cell r="D653">
            <v>1.7866666666666668</v>
          </cell>
        </row>
        <row r="654">
          <cell r="A654" t="str">
            <v>NOME</v>
          </cell>
        </row>
        <row r="655">
          <cell r="A655" t="str">
            <v>PREÇO</v>
          </cell>
        </row>
        <row r="656">
          <cell r="A656" t="str">
            <v>CNPJ</v>
          </cell>
        </row>
        <row r="657">
          <cell r="A657" t="str">
            <v>TELEFONE</v>
          </cell>
        </row>
        <row r="658">
          <cell r="A658" t="str">
            <v>DATA</v>
          </cell>
        </row>
        <row r="660">
          <cell r="A660">
            <v>89</v>
          </cell>
          <cell r="B660" t="str">
            <v xml:space="preserve">Cabo CSU-UTP cat.6 -4 pares </v>
          </cell>
          <cell r="C660" t="str">
            <v>M</v>
          </cell>
          <cell r="D660">
            <v>1.8500000000000003</v>
          </cell>
        </row>
        <row r="661">
          <cell r="A661" t="str">
            <v>NOME</v>
          </cell>
        </row>
        <row r="662">
          <cell r="A662" t="str">
            <v>PREÇO</v>
          </cell>
        </row>
        <row r="663">
          <cell r="A663" t="str">
            <v>CNPJ</v>
          </cell>
        </row>
        <row r="664">
          <cell r="A664" t="str">
            <v>TELEFONE</v>
          </cell>
        </row>
        <row r="665">
          <cell r="A665" t="str">
            <v>DATA</v>
          </cell>
        </row>
        <row r="667">
          <cell r="A667">
            <v>90</v>
          </cell>
          <cell r="B667" t="str">
            <v>conector femea RJ-45 cat.5e- 8 vias</v>
          </cell>
          <cell r="C667" t="str">
            <v xml:space="preserve">UN </v>
          </cell>
          <cell r="D667">
            <v>5.1326666666666663</v>
          </cell>
        </row>
        <row r="668">
          <cell r="A668" t="str">
            <v>NOME</v>
          </cell>
        </row>
        <row r="669">
          <cell r="A669" t="str">
            <v>PREÇO</v>
          </cell>
        </row>
        <row r="670">
          <cell r="A670" t="str">
            <v>CNPJ</v>
          </cell>
        </row>
        <row r="671">
          <cell r="A671" t="str">
            <v>TELEFONE</v>
          </cell>
        </row>
        <row r="672">
          <cell r="A672" t="str">
            <v>DATA</v>
          </cell>
        </row>
        <row r="674">
          <cell r="A674">
            <v>91</v>
          </cell>
          <cell r="B674" t="str">
            <v xml:space="preserve">camera IP, tipo dome fixo, embutida no forro, resolucao 1,3MP, lente 2,8mm/F2.0 ,ref. INTELBRAS VIP-S4100 ou equivalente </v>
          </cell>
          <cell r="C674" t="str">
            <v xml:space="preserve">UN </v>
          </cell>
          <cell r="D674">
            <v>599.9</v>
          </cell>
        </row>
        <row r="675">
          <cell r="A675" t="str">
            <v>NOME</v>
          </cell>
        </row>
        <row r="676">
          <cell r="A676" t="str">
            <v>PREÇO</v>
          </cell>
        </row>
        <row r="677">
          <cell r="A677" t="str">
            <v>CNPJ</v>
          </cell>
        </row>
        <row r="678">
          <cell r="A678" t="str">
            <v>TELEFONE</v>
          </cell>
        </row>
        <row r="679">
          <cell r="A679" t="str">
            <v>DATA</v>
          </cell>
        </row>
        <row r="681">
          <cell r="A681">
            <v>92</v>
          </cell>
          <cell r="B681" t="str">
            <v>ACCESS POINT 11n, 2,4 GHz, alimentacao PoE, 300MBPS</v>
          </cell>
          <cell r="C681" t="str">
            <v xml:space="preserve">UN </v>
          </cell>
          <cell r="D681">
            <v>217.90666666666667</v>
          </cell>
        </row>
        <row r="682">
          <cell r="A682" t="str">
            <v>NOME</v>
          </cell>
        </row>
        <row r="683">
          <cell r="A683" t="str">
            <v>PREÇO</v>
          </cell>
        </row>
        <row r="684">
          <cell r="A684" t="str">
            <v>CNPJ</v>
          </cell>
        </row>
        <row r="685">
          <cell r="A685" t="str">
            <v>TELEFONE</v>
          </cell>
        </row>
        <row r="686">
          <cell r="A686" t="str">
            <v>DATA</v>
          </cell>
        </row>
        <row r="688">
          <cell r="A688">
            <v>93</v>
          </cell>
          <cell r="B688" t="str">
            <v>BARRA DE AÇO GALVANIZADO RE-BAR DE 3/8" MM2</v>
          </cell>
          <cell r="C688" t="str">
            <v xml:space="preserve">UN </v>
          </cell>
          <cell r="D688">
            <v>4.8901960784313729</v>
          </cell>
        </row>
        <row r="689">
          <cell r="A689" t="str">
            <v>NOME</v>
          </cell>
        </row>
        <row r="690">
          <cell r="A690" t="str">
            <v>PREÇO</v>
          </cell>
        </row>
        <row r="691">
          <cell r="A691" t="str">
            <v>CNPJ</v>
          </cell>
        </row>
        <row r="692">
          <cell r="A692" t="str">
            <v>TELEFONE</v>
          </cell>
        </row>
        <row r="693">
          <cell r="A693" t="str">
            <v>DATA</v>
          </cell>
        </row>
        <row r="695">
          <cell r="A695">
            <v>94</v>
          </cell>
          <cell r="B695" t="str">
            <v>BARRA CHATA EM ALUMINIO 7/8" X 1/8" X 6M</v>
          </cell>
          <cell r="C695" t="str">
            <v>M</v>
          </cell>
          <cell r="D695">
            <v>5.4166666666666661</v>
          </cell>
        </row>
        <row r="696">
          <cell r="A696" t="str">
            <v>NOME</v>
          </cell>
        </row>
        <row r="697">
          <cell r="A697" t="str">
            <v>PREÇO</v>
          </cell>
        </row>
        <row r="698">
          <cell r="A698" t="str">
            <v>CNPJ</v>
          </cell>
        </row>
        <row r="699">
          <cell r="A699" t="str">
            <v>TELEFONE</v>
          </cell>
        </row>
        <row r="700">
          <cell r="A700" t="str">
            <v>DATA</v>
          </cell>
        </row>
        <row r="702">
          <cell r="A702">
            <v>95</v>
          </cell>
          <cell r="B702" t="str">
            <v xml:space="preserve">CLIPES GALVANIZADO PARA CABO 10MM2 </v>
          </cell>
          <cell r="C702" t="str">
            <v>UN</v>
          </cell>
          <cell r="D702">
            <v>2.23</v>
          </cell>
        </row>
        <row r="703">
          <cell r="A703" t="str">
            <v>NOME</v>
          </cell>
        </row>
        <row r="704">
          <cell r="A704" t="str">
            <v>PREÇO</v>
          </cell>
        </row>
        <row r="705">
          <cell r="A705" t="str">
            <v>CNPJ</v>
          </cell>
        </row>
        <row r="706">
          <cell r="A706" t="str">
            <v>TELEFONE</v>
          </cell>
        </row>
        <row r="707">
          <cell r="A707" t="str">
            <v>DATA</v>
          </cell>
        </row>
        <row r="709">
          <cell r="A709">
            <v>96</v>
          </cell>
          <cell r="B709" t="str">
            <v>CARGA PARA SOLDA EXOTERMICA TIPO T OU LINHA</v>
          </cell>
          <cell r="C709" t="str">
            <v>UN</v>
          </cell>
          <cell r="D709">
            <v>8.7799999999999994</v>
          </cell>
        </row>
        <row r="710">
          <cell r="A710" t="str">
            <v>NOME</v>
          </cell>
        </row>
        <row r="711">
          <cell r="A711" t="str">
            <v>PREÇO</v>
          </cell>
        </row>
        <row r="712">
          <cell r="A712" t="str">
            <v>CNPJ</v>
          </cell>
        </row>
        <row r="713">
          <cell r="A713" t="str">
            <v>TELEFONE</v>
          </cell>
        </row>
        <row r="714">
          <cell r="A714" t="str">
            <v>DATA</v>
          </cell>
        </row>
        <row r="716">
          <cell r="A716">
            <v>97</v>
          </cell>
          <cell r="B716" t="str">
            <v>CARTUCHO PARA 50 SOLDAS EXOTERMICAS</v>
          </cell>
          <cell r="C716" t="str">
            <v>UN</v>
          </cell>
          <cell r="D716">
            <v>164.66666666666666</v>
          </cell>
        </row>
        <row r="717">
          <cell r="A717" t="str">
            <v>NOME</v>
          </cell>
        </row>
        <row r="718">
          <cell r="A718" t="str">
            <v>PREÇO</v>
          </cell>
        </row>
        <row r="719">
          <cell r="A719" t="str">
            <v>CNPJ</v>
          </cell>
        </row>
        <row r="720">
          <cell r="A720" t="str">
            <v>TELEFONE</v>
          </cell>
        </row>
        <row r="721">
          <cell r="A721" t="str">
            <v>DATA</v>
          </cell>
        </row>
        <row r="723">
          <cell r="A723">
            <v>98</v>
          </cell>
          <cell r="B723" t="str">
            <v>eletrocalha perfurada galvanizada tipo U, 50x50mm</v>
          </cell>
          <cell r="C723" t="str">
            <v>M</v>
          </cell>
          <cell r="D723">
            <v>9.8488888888888884</v>
          </cell>
        </row>
        <row r="724">
          <cell r="A724" t="str">
            <v>NOME</v>
          </cell>
        </row>
        <row r="725">
          <cell r="A725" t="str">
            <v>PREÇO</v>
          </cell>
        </row>
        <row r="726">
          <cell r="A726" t="str">
            <v>CNPJ</v>
          </cell>
        </row>
        <row r="727">
          <cell r="A727" t="str">
            <v>TELEFONE</v>
          </cell>
        </row>
        <row r="728">
          <cell r="A728" t="str">
            <v>DATA</v>
          </cell>
        </row>
        <row r="730">
          <cell r="A730">
            <v>99</v>
          </cell>
          <cell r="B730" t="str">
            <v>eletrocalha lisa galvanizada tipo U, 50x50mm</v>
          </cell>
          <cell r="C730" t="str">
            <v>M</v>
          </cell>
          <cell r="D730">
            <v>9.2166666666666668</v>
          </cell>
        </row>
        <row r="731">
          <cell r="A731" t="str">
            <v>NOME</v>
          </cell>
        </row>
        <row r="732">
          <cell r="A732" t="str">
            <v>PREÇO</v>
          </cell>
        </row>
        <row r="733">
          <cell r="A733" t="str">
            <v>CNPJ</v>
          </cell>
        </row>
        <row r="734">
          <cell r="A734" t="str">
            <v>TELEFONE</v>
          </cell>
        </row>
        <row r="735">
          <cell r="A735" t="str">
            <v>DATA</v>
          </cell>
        </row>
        <row r="737">
          <cell r="A737">
            <v>101</v>
          </cell>
          <cell r="B737" t="str">
            <v>eletrocalha lisa galvanizada tipo U com tampa, 100x50mm</v>
          </cell>
          <cell r="C737" t="str">
            <v>M</v>
          </cell>
          <cell r="D737">
            <v>19.311111111111114</v>
          </cell>
        </row>
        <row r="738">
          <cell r="A738" t="str">
            <v>NOME</v>
          </cell>
        </row>
        <row r="739">
          <cell r="A739" t="str">
            <v>PREÇO</v>
          </cell>
        </row>
        <row r="740">
          <cell r="A740" t="str">
            <v>CNPJ</v>
          </cell>
        </row>
        <row r="741">
          <cell r="A741" t="str">
            <v>TELEFONE</v>
          </cell>
        </row>
        <row r="742">
          <cell r="A742" t="str">
            <v>DATA</v>
          </cell>
        </row>
        <row r="744">
          <cell r="A744">
            <v>102</v>
          </cell>
          <cell r="B744" t="str">
            <v>reducao concentrica c/ tampa p/eletrocalha, 100x50mm/50x50mm</v>
          </cell>
          <cell r="C744" t="str">
            <v>UN</v>
          </cell>
          <cell r="D744">
            <v>12.403333333333334</v>
          </cell>
        </row>
        <row r="745">
          <cell r="A745" t="str">
            <v>NOME</v>
          </cell>
        </row>
        <row r="746">
          <cell r="A746" t="str">
            <v>PREÇO</v>
          </cell>
        </row>
        <row r="747">
          <cell r="A747" t="str">
            <v>CNPJ</v>
          </cell>
        </row>
        <row r="748">
          <cell r="A748" t="str">
            <v>TELEFONE</v>
          </cell>
        </row>
        <row r="749">
          <cell r="A749" t="str">
            <v>DATA</v>
          </cell>
        </row>
        <row r="751">
          <cell r="A751">
            <v>103</v>
          </cell>
          <cell r="B751" t="str">
            <v>Placa de sinalização em pvc - Saída de emergência, fornecimento e instalação (COD. 12, 13 E 17B - CBM/DF)</v>
          </cell>
          <cell r="C751" t="str">
            <v>UN</v>
          </cell>
          <cell r="D751">
            <v>25.866666666666664</v>
          </cell>
        </row>
        <row r="752">
          <cell r="A752" t="str">
            <v>NOME</v>
          </cell>
        </row>
        <row r="753">
          <cell r="A753" t="str">
            <v>PREÇO</v>
          </cell>
        </row>
        <row r="754">
          <cell r="A754" t="str">
            <v>CNPJ</v>
          </cell>
        </row>
        <row r="755">
          <cell r="A755" t="str">
            <v>TELEFONE</v>
          </cell>
        </row>
        <row r="756">
          <cell r="A756" t="str">
            <v>DATA</v>
          </cell>
        </row>
        <row r="758">
          <cell r="A758">
            <v>104</v>
          </cell>
          <cell r="B758" t="str">
            <v>Placa de sinalização em pvc cod 23 - Extintor de incêndio</v>
          </cell>
          <cell r="C758" t="str">
            <v>UN</v>
          </cell>
          <cell r="D758">
            <v>25.866666666666664</v>
          </cell>
        </row>
        <row r="759">
          <cell r="A759" t="str">
            <v>NOME</v>
          </cell>
        </row>
        <row r="760">
          <cell r="A760" t="str">
            <v>PREÇO</v>
          </cell>
        </row>
        <row r="761">
          <cell r="A761" t="str">
            <v>CNPJ</v>
          </cell>
        </row>
        <row r="762">
          <cell r="A762" t="str">
            <v>TELEFONE</v>
          </cell>
        </row>
        <row r="763">
          <cell r="A763" t="str">
            <v>DATA</v>
          </cell>
        </row>
        <row r="765">
          <cell r="A765">
            <v>105</v>
          </cell>
          <cell r="B765" t="str">
            <v>atenuador de volume de som 12 posicoes, 70V-100W</v>
          </cell>
          <cell r="C765" t="str">
            <v>UN</v>
          </cell>
          <cell r="D765">
            <v>210</v>
          </cell>
        </row>
        <row r="766">
          <cell r="A766" t="str">
            <v>NOME</v>
          </cell>
        </row>
        <row r="767">
          <cell r="A767" t="str">
            <v>PREÇO</v>
          </cell>
        </row>
        <row r="768">
          <cell r="A768" t="str">
            <v>CNPJ</v>
          </cell>
        </row>
        <row r="769">
          <cell r="A769" t="str">
            <v>TELEFONE</v>
          </cell>
        </row>
        <row r="770">
          <cell r="A770" t="str">
            <v>DATA</v>
          </cell>
        </row>
        <row r="772">
          <cell r="A772">
            <v>106</v>
          </cell>
          <cell r="B772" t="str">
            <v>vergalhão galvanizado rosca total 1/4"</v>
          </cell>
          <cell r="C772" t="str">
            <v>M</v>
          </cell>
          <cell r="D772">
            <v>1.89</v>
          </cell>
        </row>
        <row r="773">
          <cell r="A773" t="str">
            <v>NOME</v>
          </cell>
        </row>
        <row r="774">
          <cell r="A774" t="str">
            <v>PREÇO</v>
          </cell>
        </row>
        <row r="775">
          <cell r="A775" t="str">
            <v>CNPJ</v>
          </cell>
        </row>
        <row r="776">
          <cell r="A776" t="str">
            <v>TELEFONE</v>
          </cell>
        </row>
        <row r="777">
          <cell r="A777" t="str">
            <v>DATA</v>
          </cell>
        </row>
        <row r="779">
          <cell r="A779">
            <v>107</v>
          </cell>
          <cell r="B779" t="str">
            <v>CABO PP 3X0,75MM</v>
          </cell>
          <cell r="C779" t="str">
            <v>M</v>
          </cell>
          <cell r="D779">
            <v>1.2950999999999999</v>
          </cell>
        </row>
        <row r="780">
          <cell r="A780" t="str">
            <v>NOME</v>
          </cell>
        </row>
        <row r="781">
          <cell r="A781" t="str">
            <v>PREÇO</v>
          </cell>
        </row>
        <row r="782">
          <cell r="A782" t="str">
            <v>CNPJ</v>
          </cell>
        </row>
        <row r="783">
          <cell r="A783" t="str">
            <v>TELEFONE</v>
          </cell>
        </row>
        <row r="784">
          <cell r="A784" t="str">
            <v>DATA</v>
          </cell>
        </row>
        <row r="786">
          <cell r="A786">
            <v>108</v>
          </cell>
          <cell r="B786" t="str">
            <v xml:space="preserve">EXAUSTOR MULTIVAC MURO 150B OU EQUIV.
</v>
          </cell>
          <cell r="C786" t="str">
            <v>UN</v>
          </cell>
          <cell r="D786">
            <v>200</v>
          </cell>
        </row>
        <row r="787">
          <cell r="A787" t="str">
            <v>NOME</v>
          </cell>
        </row>
        <row r="788">
          <cell r="A788" t="str">
            <v>PREÇO</v>
          </cell>
        </row>
        <row r="789">
          <cell r="A789" t="str">
            <v>CNPJ</v>
          </cell>
        </row>
        <row r="790">
          <cell r="A790" t="str">
            <v>TELEFONE</v>
          </cell>
        </row>
        <row r="791">
          <cell r="A791" t="str">
            <v>DATA</v>
          </cell>
        </row>
        <row r="793">
          <cell r="A793">
            <v>109</v>
          </cell>
          <cell r="B793" t="str">
            <v xml:space="preserve">GRELHA MULTIVAC AUTOFECHANTE 150
</v>
          </cell>
          <cell r="C793" t="str">
            <v>UN</v>
          </cell>
          <cell r="D793">
            <v>25</v>
          </cell>
        </row>
        <row r="794">
          <cell r="A794" t="str">
            <v>NOME</v>
          </cell>
        </row>
        <row r="795">
          <cell r="A795" t="str">
            <v>PREÇO</v>
          </cell>
        </row>
        <row r="796">
          <cell r="A796" t="str">
            <v>CNPJ</v>
          </cell>
        </row>
        <row r="797">
          <cell r="A797" t="str">
            <v>TELEFONE</v>
          </cell>
        </row>
        <row r="798">
          <cell r="A798" t="str">
            <v>DATA</v>
          </cell>
        </row>
        <row r="800">
          <cell r="A800">
            <v>110</v>
          </cell>
          <cell r="B800" t="str">
            <v xml:space="preserve">VENEZIANA DE PORTA TROX AGS-T 225x125 mm
</v>
          </cell>
          <cell r="C800" t="str">
            <v>UN</v>
          </cell>
          <cell r="D800">
            <v>99</v>
          </cell>
        </row>
        <row r="801">
          <cell r="A801" t="str">
            <v>NOME</v>
          </cell>
        </row>
        <row r="802">
          <cell r="A802" t="str">
            <v>PREÇO</v>
          </cell>
        </row>
        <row r="803">
          <cell r="A803" t="str">
            <v>CNPJ</v>
          </cell>
        </row>
        <row r="804">
          <cell r="A804" t="str">
            <v>TELEFONE</v>
          </cell>
        </row>
        <row r="805">
          <cell r="A805" t="str">
            <v>DATA</v>
          </cell>
        </row>
        <row r="807">
          <cell r="A807">
            <v>111</v>
          </cell>
          <cell r="B807" t="str">
            <v>Duto de PVC flexível Diâmetro=100mm com 5,00 m</v>
          </cell>
          <cell r="C807" t="str">
            <v>UN</v>
          </cell>
          <cell r="D807">
            <v>107.63</v>
          </cell>
        </row>
        <row r="808">
          <cell r="A808" t="str">
            <v>NOME</v>
          </cell>
        </row>
        <row r="809">
          <cell r="A809" t="str">
            <v>PREÇO</v>
          </cell>
        </row>
        <row r="810">
          <cell r="A810" t="str">
            <v>CNPJ</v>
          </cell>
        </row>
        <row r="811">
          <cell r="A811" t="str">
            <v>TELEFONE</v>
          </cell>
        </row>
        <row r="812">
          <cell r="A812" t="str">
            <v>DATA</v>
          </cell>
        </row>
        <row r="814">
          <cell r="A814">
            <v>112</v>
          </cell>
          <cell r="B814" t="str">
            <v>Duto de PVC flexível Diâmetro=125mm com 5,00 m</v>
          </cell>
          <cell r="C814" t="str">
            <v>UN</v>
          </cell>
          <cell r="D814">
            <v>130.96333333333334</v>
          </cell>
        </row>
        <row r="815">
          <cell r="A815" t="str">
            <v>NOME</v>
          </cell>
        </row>
        <row r="816">
          <cell r="A816" t="str">
            <v>PREÇO</v>
          </cell>
        </row>
        <row r="817">
          <cell r="A817" t="str">
            <v>CNPJ</v>
          </cell>
        </row>
        <row r="818">
          <cell r="A818" t="str">
            <v>TELEFONE</v>
          </cell>
        </row>
        <row r="819">
          <cell r="A819" t="str">
            <v>DATA</v>
          </cell>
        </row>
        <row r="821">
          <cell r="A821">
            <v>113</v>
          </cell>
          <cell r="B821" t="str">
            <v>Duto de PVC flexível Diâmetro=150mm com 5,00 m</v>
          </cell>
          <cell r="C821" t="str">
            <v>UN</v>
          </cell>
          <cell r="D821">
            <v>149.96666666666667</v>
          </cell>
        </row>
        <row r="822">
          <cell r="A822" t="str">
            <v>NOME</v>
          </cell>
        </row>
        <row r="823">
          <cell r="A823" t="str">
            <v>PREÇO</v>
          </cell>
        </row>
        <row r="824">
          <cell r="A824" t="str">
            <v>CNPJ</v>
          </cell>
        </row>
        <row r="825">
          <cell r="A825" t="str">
            <v>TELEFONE</v>
          </cell>
        </row>
        <row r="826">
          <cell r="A826" t="str">
            <v>DATA</v>
          </cell>
        </row>
        <row r="828">
          <cell r="A828">
            <v>114</v>
          </cell>
          <cell r="B828" t="str">
            <v>CABO PP 2X2,5MM</v>
          </cell>
          <cell r="C828" t="str">
            <v>M</v>
          </cell>
          <cell r="D828">
            <v>2.9672000000000001</v>
          </cell>
        </row>
        <row r="829">
          <cell r="A829" t="str">
            <v>NOME</v>
          </cell>
        </row>
        <row r="830">
          <cell r="A830" t="str">
            <v>PREÇO</v>
          </cell>
        </row>
        <row r="831">
          <cell r="A831" t="str">
            <v>CNPJ</v>
          </cell>
        </row>
        <row r="832">
          <cell r="A832" t="str">
            <v>TELEFONE</v>
          </cell>
        </row>
        <row r="833">
          <cell r="A833" t="str">
            <v>DATA</v>
          </cell>
        </row>
        <row r="835">
          <cell r="A835">
            <v>115</v>
          </cell>
          <cell r="B835" t="str">
            <v>ISOLAMENTO EM ELASTOMERO ESPONJOSO POLIETILENO ESP. 13mm DIÂM. Ø3/8´´</v>
          </cell>
          <cell r="C835" t="str">
            <v>M</v>
          </cell>
          <cell r="D835">
            <v>4.6333333333333329</v>
          </cell>
        </row>
        <row r="836">
          <cell r="A836" t="str">
            <v>NOME</v>
          </cell>
        </row>
        <row r="837">
          <cell r="A837" t="str">
            <v>PREÇO</v>
          </cell>
        </row>
        <row r="838">
          <cell r="A838" t="str">
            <v>CNPJ</v>
          </cell>
        </row>
        <row r="839">
          <cell r="A839" t="str">
            <v>TELEFONE</v>
          </cell>
        </row>
        <row r="840">
          <cell r="A840" t="str">
            <v>DATA</v>
          </cell>
        </row>
        <row r="842">
          <cell r="A842">
            <v>116</v>
          </cell>
          <cell r="B842" t="str">
            <v>TUBO DE COBRE FLEXIVEL 3/8"</v>
          </cell>
          <cell r="C842" t="str">
            <v>M</v>
          </cell>
          <cell r="D842">
            <v>8.4244444444444451</v>
          </cell>
        </row>
        <row r="843">
          <cell r="A843" t="str">
            <v>NOME</v>
          </cell>
        </row>
        <row r="844">
          <cell r="A844" t="str">
            <v>PREÇO</v>
          </cell>
        </row>
        <row r="845">
          <cell r="A845" t="str">
            <v>CNPJ</v>
          </cell>
        </row>
        <row r="846">
          <cell r="A846" t="str">
            <v>TELEFONE</v>
          </cell>
        </row>
        <row r="847">
          <cell r="A847" t="str">
            <v>DATA</v>
          </cell>
        </row>
        <row r="849">
          <cell r="A849">
            <v>117</v>
          </cell>
          <cell r="B849" t="str">
            <v>ISOLAMENTO EM ELASTOMERO ESPONJOSO POLIETILENO ESP. 13mm DIÂM. Ø1/4´´</v>
          </cell>
          <cell r="C849" t="str">
            <v>M</v>
          </cell>
          <cell r="D849">
            <v>4.503333333333333</v>
          </cell>
        </row>
        <row r="850">
          <cell r="A850" t="str">
            <v>NOME</v>
          </cell>
        </row>
        <row r="851">
          <cell r="A851" t="str">
            <v>PREÇO</v>
          </cell>
        </row>
        <row r="852">
          <cell r="A852" t="str">
            <v>CNPJ</v>
          </cell>
        </row>
        <row r="853">
          <cell r="A853" t="str">
            <v>TELEFONE</v>
          </cell>
        </row>
        <row r="854">
          <cell r="A854" t="str">
            <v>DATA</v>
          </cell>
        </row>
        <row r="856">
          <cell r="A856">
            <v>118</v>
          </cell>
          <cell r="B856" t="str">
            <v>TUBO DE COBRE FLEXIVEL 1/4"</v>
          </cell>
          <cell r="C856" t="str">
            <v>M</v>
          </cell>
          <cell r="D856">
            <v>5.7111111111111112</v>
          </cell>
        </row>
        <row r="857">
          <cell r="A857" t="str">
            <v>NOME</v>
          </cell>
        </row>
        <row r="858">
          <cell r="A858" t="str">
            <v>PREÇO</v>
          </cell>
        </row>
        <row r="859">
          <cell r="A859" t="str">
            <v>CNPJ</v>
          </cell>
        </row>
        <row r="860">
          <cell r="A860" t="str">
            <v>TELEFONE</v>
          </cell>
        </row>
        <row r="861">
          <cell r="A861" t="str">
            <v>DATA</v>
          </cell>
        </row>
        <row r="863">
          <cell r="A863">
            <v>119</v>
          </cell>
          <cell r="B863" t="str">
            <v>ISOLAMENTO EM ELASTOMERO ESPONJOSO POLIETILENO ESP. 13mm DIÂM. Ø1/2´´</v>
          </cell>
          <cell r="C863" t="str">
            <v>M</v>
          </cell>
          <cell r="D863">
            <v>4.9333333333333336</v>
          </cell>
        </row>
        <row r="864">
          <cell r="A864" t="str">
            <v>NOME</v>
          </cell>
        </row>
        <row r="865">
          <cell r="A865" t="str">
            <v>PREÇO</v>
          </cell>
        </row>
        <row r="866">
          <cell r="A866" t="str">
            <v>CNPJ</v>
          </cell>
        </row>
        <row r="867">
          <cell r="A867" t="str">
            <v>TELEFONE</v>
          </cell>
        </row>
        <row r="868">
          <cell r="A868" t="str">
            <v>DATA</v>
          </cell>
        </row>
        <row r="870">
          <cell r="A870">
            <v>120</v>
          </cell>
          <cell r="B870" t="str">
            <v>TUBO DE COBRE FLEXIVEL 1/2"</v>
          </cell>
          <cell r="C870" t="str">
            <v>M</v>
          </cell>
          <cell r="D870">
            <v>11.151111111111112</v>
          </cell>
        </row>
        <row r="871">
          <cell r="A871" t="str">
            <v>NOME</v>
          </cell>
        </row>
        <row r="872">
          <cell r="A872" t="str">
            <v>PREÇO</v>
          </cell>
        </row>
        <row r="873">
          <cell r="A873" t="str">
            <v>CNPJ</v>
          </cell>
        </row>
        <row r="874">
          <cell r="A874" t="str">
            <v>TELEFONE</v>
          </cell>
        </row>
        <row r="875">
          <cell r="A875" t="str">
            <v>DATA</v>
          </cell>
        </row>
        <row r="877">
          <cell r="A877">
            <v>121</v>
          </cell>
          <cell r="B877" t="str">
            <v>ISOLAMENTO EM ELASTOMERO ESPONJOSO POLIETILENO ESP. 13mm DIÂM. Ø5/8´´</v>
          </cell>
          <cell r="C877" t="str">
            <v>M</v>
          </cell>
          <cell r="D877">
            <v>2.6</v>
          </cell>
        </row>
        <row r="878">
          <cell r="A878" t="str">
            <v>NOME</v>
          </cell>
        </row>
        <row r="879">
          <cell r="A879" t="str">
            <v>PREÇO</v>
          </cell>
        </row>
        <row r="880">
          <cell r="A880" t="str">
            <v>CNPJ</v>
          </cell>
        </row>
        <row r="881">
          <cell r="A881" t="str">
            <v>TELEFONE</v>
          </cell>
        </row>
        <row r="882">
          <cell r="A882" t="str">
            <v>DATA</v>
          </cell>
        </row>
        <row r="884">
          <cell r="A884">
            <v>122</v>
          </cell>
          <cell r="B884" t="str">
            <v>TUBO DE COBRE FLEXIVEL 5/8"</v>
          </cell>
          <cell r="C884" t="str">
            <v>M</v>
          </cell>
          <cell r="D884">
            <v>5.4533333333333331</v>
          </cell>
        </row>
        <row r="885">
          <cell r="A885" t="str">
            <v>NOME</v>
          </cell>
        </row>
        <row r="886">
          <cell r="A886" t="str">
            <v>PREÇO</v>
          </cell>
        </row>
        <row r="887">
          <cell r="A887" t="str">
            <v>CNPJ</v>
          </cell>
        </row>
        <row r="888">
          <cell r="A888" t="str">
            <v>TELEFONE</v>
          </cell>
        </row>
        <row r="889">
          <cell r="A889" t="str">
            <v>DATA</v>
          </cell>
        </row>
        <row r="891">
          <cell r="A891">
            <v>123</v>
          </cell>
          <cell r="B891" t="str">
            <v>TUBO EM POLIETILENO BLINDADO 3/4"</v>
          </cell>
          <cell r="C891" t="str">
            <v>M</v>
          </cell>
          <cell r="D891">
            <v>2.7333333333333329</v>
          </cell>
        </row>
        <row r="892">
          <cell r="A892" t="str">
            <v>NOME</v>
          </cell>
        </row>
        <row r="893">
          <cell r="A893" t="str">
            <v>PREÇO</v>
          </cell>
        </row>
        <row r="894">
          <cell r="A894" t="str">
            <v>CNPJ</v>
          </cell>
        </row>
        <row r="895">
          <cell r="A895" t="str">
            <v>TELEFONE</v>
          </cell>
        </row>
        <row r="896">
          <cell r="A896" t="str">
            <v>DATA</v>
          </cell>
        </row>
        <row r="898">
          <cell r="A898">
            <v>124</v>
          </cell>
          <cell r="B898" t="str">
            <v>TUBO DE COBRE FLEXIVEL 3/4"</v>
          </cell>
          <cell r="C898" t="str">
            <v>M</v>
          </cell>
          <cell r="D898">
            <v>17.056222222222221</v>
          </cell>
        </row>
        <row r="899">
          <cell r="A899" t="str">
            <v>NOME</v>
          </cell>
        </row>
        <row r="900">
          <cell r="A900" t="str">
            <v>PREÇO</v>
          </cell>
        </row>
        <row r="901">
          <cell r="A901" t="str">
            <v>CNPJ</v>
          </cell>
        </row>
        <row r="902">
          <cell r="A902" t="str">
            <v>TELEFONE</v>
          </cell>
        </row>
        <row r="903">
          <cell r="A903" t="str">
            <v>DATA</v>
          </cell>
        </row>
        <row r="905">
          <cell r="A905">
            <v>125</v>
          </cell>
          <cell r="B905" t="str">
            <v>FITA ALUMINIZADA 45MMX40M</v>
          </cell>
          <cell r="C905" t="str">
            <v>UN</v>
          </cell>
          <cell r="D905">
            <v>3.6266666666666669</v>
          </cell>
        </row>
        <row r="906">
          <cell r="A906" t="str">
            <v>NOME</v>
          </cell>
        </row>
        <row r="907">
          <cell r="A907" t="str">
            <v>PREÇO</v>
          </cell>
        </row>
        <row r="908">
          <cell r="A908" t="str">
            <v>CNPJ</v>
          </cell>
        </row>
        <row r="909">
          <cell r="A909" t="str">
            <v>TELEFONE</v>
          </cell>
        </row>
        <row r="910">
          <cell r="A910" t="str">
            <v>DATA</v>
          </cell>
        </row>
        <row r="912">
          <cell r="A912">
            <v>126</v>
          </cell>
          <cell r="B912" t="str">
            <v>TUBO DE PVC DESCIDA DE VALVULA DE DESCARGA 38mm CMO JOELHO E ANEL</v>
          </cell>
          <cell r="C912" t="str">
            <v>UN</v>
          </cell>
          <cell r="D912">
            <v>5.81</v>
          </cell>
        </row>
        <row r="913">
          <cell r="A913" t="str">
            <v>NOME</v>
          </cell>
        </row>
        <row r="914">
          <cell r="A914" t="str">
            <v>PREÇO</v>
          </cell>
        </row>
        <row r="915">
          <cell r="A915" t="str">
            <v>CNPJ</v>
          </cell>
        </row>
        <row r="916">
          <cell r="A916" t="str">
            <v>TELEFONE</v>
          </cell>
        </row>
        <row r="917">
          <cell r="A917" t="str">
            <v>DATA</v>
          </cell>
        </row>
        <row r="919">
          <cell r="A919">
            <v>127</v>
          </cell>
          <cell r="B919" t="str">
            <v>JOELHO DE 90º  40 MM C/ ANEL</v>
          </cell>
          <cell r="C919" t="str">
            <v>UN</v>
          </cell>
          <cell r="D919">
            <v>5.5</v>
          </cell>
        </row>
        <row r="920">
          <cell r="A920" t="str">
            <v>NOME</v>
          </cell>
        </row>
        <row r="921">
          <cell r="A921" t="str">
            <v>PREÇO</v>
          </cell>
        </row>
        <row r="922">
          <cell r="A922" t="str">
            <v>CNPJ</v>
          </cell>
        </row>
        <row r="923">
          <cell r="A923" t="str">
            <v>TELEFONE</v>
          </cell>
        </row>
        <row r="924">
          <cell r="A924" t="str">
            <v>DATA</v>
          </cell>
        </row>
        <row r="926">
          <cell r="A926">
            <v>128</v>
          </cell>
          <cell r="B926" t="str">
            <v>TERMINAL DE VENTILAÇÃO PVC 50MM</v>
          </cell>
          <cell r="C926" t="str">
            <v>UN</v>
          </cell>
          <cell r="D926">
            <v>7.2833333333333341</v>
          </cell>
        </row>
        <row r="927">
          <cell r="A927" t="str">
            <v>NOME</v>
          </cell>
        </row>
        <row r="928">
          <cell r="A928" t="str">
            <v>PREÇO</v>
          </cell>
        </row>
        <row r="929">
          <cell r="A929" t="str">
            <v>CNPJ</v>
          </cell>
        </row>
        <row r="930">
          <cell r="A930" t="str">
            <v>TELEFONE</v>
          </cell>
        </row>
        <row r="931">
          <cell r="A931" t="str">
            <v>DATA</v>
          </cell>
        </row>
        <row r="933">
          <cell r="A933">
            <v>129</v>
          </cell>
          <cell r="B933" t="str">
            <v>TERMINAL DE VENTILAÇÃO PVC 75MM</v>
          </cell>
          <cell r="C933" t="str">
            <v>UN</v>
          </cell>
          <cell r="D933">
            <v>7.63</v>
          </cell>
        </row>
        <row r="934">
          <cell r="A934" t="str">
            <v>NOME</v>
          </cell>
        </row>
        <row r="935">
          <cell r="A935" t="str">
            <v>PREÇO</v>
          </cell>
        </row>
        <row r="936">
          <cell r="A936" t="str">
            <v>CNPJ</v>
          </cell>
        </row>
        <row r="937">
          <cell r="A937" t="str">
            <v>TELEFONE</v>
          </cell>
        </row>
        <row r="938">
          <cell r="A938" t="str">
            <v>DATA</v>
          </cell>
        </row>
        <row r="940">
          <cell r="A940">
            <v>130</v>
          </cell>
          <cell r="B940" t="str">
            <v>FORNECIMENTO DE APARELHO DE AR CONDICIONADO TIPO AIR SPLIT INVERTER E CONDENSADOR DE 9000 BTU (42FVQA09C5 / 38FVQA09C5 OU EQUIV.)</v>
          </cell>
          <cell r="C940" t="str">
            <v>UN</v>
          </cell>
          <cell r="D940">
            <v>1635.9833333333333</v>
          </cell>
        </row>
        <row r="941">
          <cell r="A941" t="str">
            <v>NOME</v>
          </cell>
        </row>
        <row r="942">
          <cell r="A942" t="str">
            <v>PREÇO</v>
          </cell>
        </row>
        <row r="943">
          <cell r="A943" t="str">
            <v>CNPJ</v>
          </cell>
        </row>
        <row r="944">
          <cell r="A944" t="str">
            <v>TELEFONE</v>
          </cell>
        </row>
        <row r="945">
          <cell r="A945" t="str">
            <v>DATA</v>
          </cell>
        </row>
        <row r="947">
          <cell r="A947">
            <v>131</v>
          </cell>
          <cell r="B947" t="str">
            <v>FORNECIMENTO DE APARELHO DE AR CONDICIONADO TIPO AIR SPLIT INVERTER E CONDENSADOR DE 12000 BTU (42FVQA12C5 / 38FVQA12C5 OU EQUIV.)</v>
          </cell>
          <cell r="C947" t="str">
            <v>UN</v>
          </cell>
          <cell r="D947">
            <v>2029.6666666666667</v>
          </cell>
        </row>
        <row r="948">
          <cell r="A948" t="str">
            <v>NOME</v>
          </cell>
        </row>
        <row r="949">
          <cell r="A949" t="str">
            <v>PREÇO</v>
          </cell>
        </row>
        <row r="950">
          <cell r="A950" t="str">
            <v>CNPJ</v>
          </cell>
        </row>
        <row r="951">
          <cell r="A951" t="str">
            <v>TELEFONE</v>
          </cell>
        </row>
        <row r="952">
          <cell r="A952" t="str">
            <v>DATA</v>
          </cell>
        </row>
        <row r="954">
          <cell r="A954">
            <v>132</v>
          </cell>
          <cell r="B954" t="str">
            <v>FORNECIMENTO DE APARELHO DE AR CONDICIONADO TIPO AIR SPLIT INVERTER E CONDENSADOR DE 18000 BTU (42FVQA18C5 / 38FVQA18C5 OU EQUIV.)</v>
          </cell>
          <cell r="C954" t="str">
            <v>UN</v>
          </cell>
          <cell r="D954">
            <v>2711.1200000000003</v>
          </cell>
        </row>
        <row r="955">
          <cell r="A955" t="str">
            <v>NOME</v>
          </cell>
        </row>
        <row r="956">
          <cell r="A956" t="str">
            <v>PREÇO</v>
          </cell>
        </row>
        <row r="957">
          <cell r="A957" t="str">
            <v>CNPJ</v>
          </cell>
        </row>
        <row r="958">
          <cell r="A958" t="str">
            <v>TELEFONE</v>
          </cell>
        </row>
        <row r="959">
          <cell r="A959" t="str">
            <v>DATA</v>
          </cell>
        </row>
        <row r="961">
          <cell r="A961">
            <v>133</v>
          </cell>
          <cell r="B961" t="str">
            <v>FILTRO VORTEX WFF300, INCLUSO TAMPA EM ALUMÍNIO</v>
          </cell>
          <cell r="C961" t="str">
            <v>UN</v>
          </cell>
          <cell r="D961">
            <v>18800</v>
          </cell>
        </row>
        <row r="962">
          <cell r="A962" t="str">
            <v>NOME</v>
          </cell>
          <cell r="B962" t="str">
            <v>ÚNICO REPRESENTANTE DE VENDAS NO BRASIL</v>
          </cell>
        </row>
        <row r="963">
          <cell r="A963" t="str">
            <v>PREÇO</v>
          </cell>
        </row>
        <row r="964">
          <cell r="A964" t="str">
            <v>CNPJ</v>
          </cell>
        </row>
        <row r="965">
          <cell r="A965" t="str">
            <v>TELEFONE</v>
          </cell>
        </row>
        <row r="966">
          <cell r="A966" t="str">
            <v>DATA</v>
          </cell>
        </row>
        <row r="968">
          <cell r="A968">
            <v>134</v>
          </cell>
          <cell r="B968" t="str">
            <v>FORNECIMRNTO DE BOMBA A VACUO, VAZÃO NOMINAL DE 200 L/min, NÍVEL DE VÁCUO: 500 mmHg, PARA ATÉ 4 CONSULTÓRIOS, MODELO DE REFERÊNCIA: DABI-ATLANTE CICLONE OU EQUIVALENTE TÉCNICO</v>
          </cell>
          <cell r="C968" t="str">
            <v>UN</v>
          </cell>
          <cell r="D968">
            <v>3827.5</v>
          </cell>
        </row>
        <row r="969">
          <cell r="A969" t="str">
            <v>NOME</v>
          </cell>
        </row>
        <row r="970">
          <cell r="A970" t="str">
            <v>PREÇO</v>
          </cell>
        </row>
        <row r="971">
          <cell r="A971" t="str">
            <v>CNPJ</v>
          </cell>
        </row>
        <row r="972">
          <cell r="A972" t="str">
            <v>TELEFONE</v>
          </cell>
        </row>
        <row r="973">
          <cell r="A973" t="str">
            <v>DATA</v>
          </cell>
        </row>
        <row r="975">
          <cell r="A975">
            <v>135</v>
          </cell>
          <cell r="B975" t="str">
            <v>FORNECIMENTO DE COMPRESSOR DE AR-COMPRIMIDO, PARA 3 ATÉ 5 CONSULTÓRIOS, TANQUE DE 40 LITROS, ALIMENTAÇÃO 220V (MONOFÁSICO), 2HP, VAZÃO: 280L/min, PRESSÃO MÁXIMA: 8 BAR/120PSI, MODELO DE REFERÊNCIA: AIR ZAP DA 2000 40VF OU EQUIVALENTE TÉCNICO</v>
          </cell>
          <cell r="C975" t="str">
            <v>UN</v>
          </cell>
          <cell r="D975">
            <v>5279.9666666666662</v>
          </cell>
        </row>
        <row r="976">
          <cell r="A976" t="str">
            <v>NOME</v>
          </cell>
        </row>
        <row r="977">
          <cell r="A977" t="str">
            <v>PREÇO</v>
          </cell>
        </row>
        <row r="978">
          <cell r="A978" t="str">
            <v>CNPJ</v>
          </cell>
        </row>
        <row r="979">
          <cell r="A979" t="str">
            <v>TELEFONE</v>
          </cell>
        </row>
        <row r="980">
          <cell r="A980" t="str">
            <v>DATA</v>
          </cell>
        </row>
        <row r="982">
          <cell r="A982">
            <v>136</v>
          </cell>
          <cell r="B982" t="str">
            <v xml:space="preserve"> ESCADA HORIZONTAL</v>
          </cell>
          <cell r="C982" t="str">
            <v>UN</v>
          </cell>
          <cell r="D982">
            <v>1946.6666666666667</v>
          </cell>
        </row>
        <row r="983">
          <cell r="A983" t="str">
            <v>NOME</v>
          </cell>
        </row>
        <row r="984">
          <cell r="A984" t="str">
            <v>PREÇO</v>
          </cell>
        </row>
        <row r="985">
          <cell r="A985" t="str">
            <v>CNPJ</v>
          </cell>
        </row>
        <row r="986">
          <cell r="A986" t="str">
            <v>TELEFONE</v>
          </cell>
        </row>
        <row r="987">
          <cell r="A987" t="str">
            <v>DATA</v>
          </cell>
        </row>
        <row r="989">
          <cell r="A989">
            <v>137</v>
          </cell>
          <cell r="B989" t="str">
            <v>CARROSSEL DE  8 LUGARES</v>
          </cell>
          <cell r="C989" t="str">
            <v>UN</v>
          </cell>
          <cell r="D989">
            <v>1053.99</v>
          </cell>
        </row>
        <row r="990">
          <cell r="A990" t="str">
            <v>NOME</v>
          </cell>
        </row>
        <row r="991">
          <cell r="A991" t="str">
            <v>PREÇO</v>
          </cell>
        </row>
        <row r="992">
          <cell r="A992" t="str">
            <v>CNPJ</v>
          </cell>
        </row>
        <row r="993">
          <cell r="A993" t="str">
            <v>TELEFONE</v>
          </cell>
        </row>
        <row r="994">
          <cell r="A994" t="str">
            <v>DATA</v>
          </cell>
        </row>
        <row r="996">
          <cell r="A996">
            <v>138</v>
          </cell>
          <cell r="B996" t="str">
            <v xml:space="preserve">Lixeira com dois cestos padrão SLU </v>
          </cell>
          <cell r="C996" t="str">
            <v>UN</v>
          </cell>
          <cell r="D996">
            <v>485</v>
          </cell>
        </row>
        <row r="997">
          <cell r="A997" t="str">
            <v>NOME</v>
          </cell>
        </row>
        <row r="998">
          <cell r="A998" t="str">
            <v>PREÇO</v>
          </cell>
        </row>
        <row r="999">
          <cell r="A999" t="str">
            <v>CNPJ</v>
          </cell>
        </row>
        <row r="1000">
          <cell r="A1000" t="str">
            <v>TELEFONE</v>
          </cell>
        </row>
        <row r="1001">
          <cell r="A1001" t="str">
            <v>DATA</v>
          </cell>
        </row>
        <row r="1003">
          <cell r="A1003">
            <v>139</v>
          </cell>
          <cell r="B1003" t="str">
            <v>BLOCO DE CONCRETO INTERTRAVADO - MOD. PAVI'S 11X24X8CM - COR TERRACOTA</v>
          </cell>
          <cell r="C1003" t="str">
            <v>M2</v>
          </cell>
          <cell r="D1003">
            <v>46.583333333333336</v>
          </cell>
        </row>
        <row r="1004">
          <cell r="A1004" t="str">
            <v>NOME</v>
          </cell>
        </row>
        <row r="1005">
          <cell r="A1005" t="str">
            <v>PREÇO</v>
          </cell>
        </row>
        <row r="1006">
          <cell r="A1006" t="str">
            <v>CNPJ</v>
          </cell>
        </row>
        <row r="1007">
          <cell r="A1007" t="str">
            <v>TELEFONE</v>
          </cell>
        </row>
        <row r="1008">
          <cell r="A1008" t="str">
            <v>DATA</v>
          </cell>
        </row>
        <row r="1010">
          <cell r="A1010">
            <v>140</v>
          </cell>
          <cell r="B1010" t="str">
            <v>GRADIL PARA FIXAÇÃO EM CONCRETO - SOMENTE MATERIAL INCLUSO (Sistema Cercamento malha 5 x 20 cm fio 4,30 mm Alt. 2,03 m), (Montante, Tubo 60 x 40 x 1,25 mm, galvanizado + pintura eletrostatica a pó, cor padrão, medindo 2,60 m - para fixação no solo, em vão</v>
          </cell>
          <cell r="C1010" t="str">
            <v>M2</v>
          </cell>
          <cell r="D1010">
            <v>65.999590541508852</v>
          </cell>
        </row>
        <row r="1011">
          <cell r="A1011" t="str">
            <v>NOME</v>
          </cell>
        </row>
        <row r="1012">
          <cell r="A1012" t="str">
            <v>PREÇO</v>
          </cell>
        </row>
        <row r="1013">
          <cell r="A1013" t="str">
            <v>CNPJ</v>
          </cell>
        </row>
        <row r="1014">
          <cell r="A1014" t="str">
            <v>TELEFONE</v>
          </cell>
        </row>
        <row r="1015">
          <cell r="A1015" t="str">
            <v>DATA</v>
          </cell>
        </row>
        <row r="1017">
          <cell r="A1017">
            <v>141</v>
          </cell>
          <cell r="B1017" t="str">
            <v>GRAMA SINTÉTICA 30MM</v>
          </cell>
          <cell r="C1017" t="str">
            <v>M2</v>
          </cell>
          <cell r="D1017">
            <v>60.143333333333324</v>
          </cell>
        </row>
        <row r="1018">
          <cell r="A1018" t="str">
            <v>NOME</v>
          </cell>
        </row>
        <row r="1019">
          <cell r="A1019" t="str">
            <v>PREÇO</v>
          </cell>
        </row>
        <row r="1020">
          <cell r="A1020" t="str">
            <v>CNPJ</v>
          </cell>
        </row>
        <row r="1021">
          <cell r="A1021" t="str">
            <v>TELEFONE</v>
          </cell>
        </row>
        <row r="1022">
          <cell r="A1022" t="str">
            <v>DATA</v>
          </cell>
        </row>
        <row r="1024">
          <cell r="A1024">
            <v>142</v>
          </cell>
          <cell r="B1024" t="str">
            <v>Container p/ entulho</v>
          </cell>
          <cell r="C1024" t="str">
            <v>Mês</v>
          </cell>
          <cell r="D1024">
            <v>373.33333333333331</v>
          </cell>
        </row>
        <row r="1025">
          <cell r="A1025" t="str">
            <v>NOME</v>
          </cell>
        </row>
        <row r="1026">
          <cell r="A1026" t="str">
            <v>PREÇO</v>
          </cell>
        </row>
        <row r="1027">
          <cell r="A1027" t="str">
            <v>CNPJ</v>
          </cell>
        </row>
        <row r="1028">
          <cell r="A1028" t="str">
            <v>TELEFONE</v>
          </cell>
        </row>
        <row r="1029">
          <cell r="A1029" t="str">
            <v>DATA</v>
          </cell>
        </row>
        <row r="1031">
          <cell r="A1031">
            <v>143</v>
          </cell>
          <cell r="B1031" t="str">
            <v>ELETRODUTO PEAD FLEXIVEL 1 "</v>
          </cell>
          <cell r="C1031" t="str">
            <v>M</v>
          </cell>
          <cell r="D1031">
            <v>3.8833333333333333</v>
          </cell>
        </row>
        <row r="1032">
          <cell r="A1032" t="str">
            <v>NOME</v>
          </cell>
        </row>
        <row r="1033">
          <cell r="A1033" t="str">
            <v>PREÇO</v>
          </cell>
        </row>
        <row r="1034">
          <cell r="A1034" t="str">
            <v>CNPJ</v>
          </cell>
        </row>
        <row r="1035">
          <cell r="A1035" t="str">
            <v>TELEFONE</v>
          </cell>
        </row>
        <row r="1036">
          <cell r="A1036" t="str">
            <v>DATA</v>
          </cell>
        </row>
        <row r="1038">
          <cell r="A1038">
            <v>144</v>
          </cell>
          <cell r="B1038" t="str">
            <v>ELETRODUTO PEAD FLEXIVEL 1 1/2 "</v>
          </cell>
          <cell r="C1038" t="str">
            <v>M</v>
          </cell>
          <cell r="D1038">
            <v>5.0333333333333332</v>
          </cell>
        </row>
        <row r="1039">
          <cell r="A1039" t="str">
            <v>NOME</v>
          </cell>
        </row>
        <row r="1040">
          <cell r="A1040" t="str">
            <v>PREÇO</v>
          </cell>
        </row>
        <row r="1041">
          <cell r="A1041" t="str">
            <v>CNPJ</v>
          </cell>
        </row>
        <row r="1042">
          <cell r="A1042" t="str">
            <v>TELEFONE</v>
          </cell>
        </row>
        <row r="1043">
          <cell r="A1043" t="str">
            <v>DATA</v>
          </cell>
        </row>
        <row r="1045">
          <cell r="A1045">
            <v>145</v>
          </cell>
          <cell r="B1045" t="str">
            <v>ELETRODUTO PEAD FLEXIVEL 1 1/4 "</v>
          </cell>
          <cell r="C1045" t="str">
            <v>M</v>
          </cell>
          <cell r="D1045">
            <v>4.666666666666667</v>
          </cell>
        </row>
        <row r="1046">
          <cell r="A1046" t="str">
            <v>NOME</v>
          </cell>
        </row>
        <row r="1047">
          <cell r="A1047" t="str">
            <v>PREÇO</v>
          </cell>
        </row>
        <row r="1048">
          <cell r="A1048" t="str">
            <v>CNPJ</v>
          </cell>
        </row>
        <row r="1049">
          <cell r="A1049" t="str">
            <v>TELEFONE</v>
          </cell>
        </row>
        <row r="1050">
          <cell r="A1050" t="str">
            <v>DATA</v>
          </cell>
        </row>
        <row r="1052">
          <cell r="A1052">
            <v>146</v>
          </cell>
          <cell r="B1052" t="str">
            <v>CAIXA TIPO B - 400X550X170MM</v>
          </cell>
          <cell r="C1052" t="str">
            <v>UN</v>
          </cell>
          <cell r="D1052">
            <v>450</v>
          </cell>
        </row>
        <row r="1053">
          <cell r="A1053" t="str">
            <v>NOME</v>
          </cell>
        </row>
        <row r="1054">
          <cell r="A1054" t="str">
            <v>PREÇO</v>
          </cell>
        </row>
        <row r="1055">
          <cell r="A1055" t="str">
            <v>CNPJ</v>
          </cell>
        </row>
        <row r="1056">
          <cell r="A1056" t="str">
            <v>TELEFONE</v>
          </cell>
        </row>
        <row r="1057">
          <cell r="A1057" t="str">
            <v>DATA</v>
          </cell>
        </row>
        <row r="1059">
          <cell r="A1059">
            <v>147</v>
          </cell>
          <cell r="B1059" t="str">
            <v>CAIXA TIPO P4 - 300X620X220MM</v>
          </cell>
          <cell r="C1059" t="str">
            <v>UN</v>
          </cell>
          <cell r="D1059">
            <v>150</v>
          </cell>
        </row>
        <row r="1060">
          <cell r="A1060" t="str">
            <v>NOME</v>
          </cell>
        </row>
        <row r="1061">
          <cell r="A1061" t="str">
            <v>PREÇO</v>
          </cell>
        </row>
        <row r="1062">
          <cell r="A1062" t="str">
            <v>CNPJ</v>
          </cell>
        </row>
        <row r="1063">
          <cell r="A1063" t="str">
            <v>TELEFONE</v>
          </cell>
        </row>
        <row r="1064">
          <cell r="A1064" t="str">
            <v>DATA</v>
          </cell>
        </row>
        <row r="1066">
          <cell r="A1066">
            <v>148</v>
          </cell>
          <cell r="B1066" t="str">
            <v>CAIXA TIPO TR - 550X1300X300MM</v>
          </cell>
          <cell r="C1066" t="str">
            <v>UN</v>
          </cell>
          <cell r="D1066">
            <v>1100</v>
          </cell>
        </row>
        <row r="1067">
          <cell r="A1067" t="str">
            <v>NOME</v>
          </cell>
        </row>
        <row r="1068">
          <cell r="A1068" t="str">
            <v>PREÇO</v>
          </cell>
        </row>
        <row r="1069">
          <cell r="A1069" t="str">
            <v>CNPJ</v>
          </cell>
        </row>
        <row r="1070">
          <cell r="A1070" t="str">
            <v>TELEFONE</v>
          </cell>
        </row>
        <row r="1071">
          <cell r="A1071" t="str">
            <v>DATA</v>
          </cell>
        </row>
        <row r="1073">
          <cell r="A1073">
            <v>149</v>
          </cell>
          <cell r="B1073" t="str">
            <v>Torneira inox 1198C DECA OU EQUIV.</v>
          </cell>
          <cell r="C1073" t="str">
            <v>UN</v>
          </cell>
          <cell r="D1073">
            <v>186.36333333333334</v>
          </cell>
        </row>
        <row r="1074">
          <cell r="A1074" t="str">
            <v>NOME</v>
          </cell>
        </row>
        <row r="1075">
          <cell r="A1075" t="str">
            <v>PREÇO</v>
          </cell>
        </row>
        <row r="1076">
          <cell r="A1076" t="str">
            <v>CNPJ</v>
          </cell>
        </row>
        <row r="1077">
          <cell r="A1077" t="str">
            <v>TELEFONE</v>
          </cell>
        </row>
        <row r="1078">
          <cell r="A1078" t="str">
            <v>DATA</v>
          </cell>
        </row>
        <row r="1081">
          <cell r="A1081">
            <v>150</v>
          </cell>
          <cell r="B1081" t="str">
            <v>Torneira inox 1178C37 DECA OU EQUIV.</v>
          </cell>
          <cell r="C1081" t="str">
            <v>UN</v>
          </cell>
          <cell r="D1081">
            <v>237.25</v>
          </cell>
        </row>
        <row r="1082">
          <cell r="A1082" t="str">
            <v>NOME</v>
          </cell>
        </row>
        <row r="1083">
          <cell r="A1083" t="str">
            <v>PREÇO</v>
          </cell>
        </row>
        <row r="1084">
          <cell r="A1084" t="str">
            <v>CNPJ</v>
          </cell>
        </row>
        <row r="1085">
          <cell r="A1085" t="str">
            <v>TELEFONE</v>
          </cell>
        </row>
        <row r="1086">
          <cell r="A1086" t="str">
            <v>DATA</v>
          </cell>
        </row>
        <row r="1088">
          <cell r="A1088">
            <v>151</v>
          </cell>
          <cell r="B1088" t="str">
            <v>Válvula decalux 2583E DECA</v>
          </cell>
          <cell r="C1088" t="str">
            <v>UN</v>
          </cell>
          <cell r="D1088">
            <v>1251</v>
          </cell>
        </row>
        <row r="1089">
          <cell r="A1089" t="str">
            <v>NOME</v>
          </cell>
        </row>
        <row r="1090">
          <cell r="A1090" t="str">
            <v>PREÇO</v>
          </cell>
        </row>
        <row r="1091">
          <cell r="A1091" t="str">
            <v>CNPJ</v>
          </cell>
        </row>
        <row r="1092">
          <cell r="A1092" t="str">
            <v>TELEFONE</v>
          </cell>
        </row>
        <row r="1093">
          <cell r="A1093" t="str">
            <v>DATA</v>
          </cell>
        </row>
        <row r="1095">
          <cell r="A1095">
            <v>152</v>
          </cell>
          <cell r="B1095" t="str">
            <v>CHUVEIRO CROMADO TUDO DE PAREDE 1971 DECA OU EQUIV.</v>
          </cell>
          <cell r="C1095" t="str">
            <v>UN</v>
          </cell>
          <cell r="D1095">
            <v>198.55999999999997</v>
          </cell>
        </row>
        <row r="1096">
          <cell r="A1096" t="str">
            <v>NOME</v>
          </cell>
        </row>
        <row r="1097">
          <cell r="A1097" t="str">
            <v>PREÇO</v>
          </cell>
        </row>
        <row r="1098">
          <cell r="A1098" t="str">
            <v>CNPJ</v>
          </cell>
        </row>
        <row r="1099">
          <cell r="A1099" t="str">
            <v>TELEFONE</v>
          </cell>
        </row>
        <row r="1100">
          <cell r="A1100" t="str">
            <v>DATA</v>
          </cell>
        </row>
        <row r="1102">
          <cell r="A1102">
            <v>153</v>
          </cell>
          <cell r="B1102" t="str">
            <v>Cuba EM AÇO INOX 94025106 TRAMONTINA OU EQUIV.</v>
          </cell>
          <cell r="C1102" t="str">
            <v>UN</v>
          </cell>
          <cell r="D1102">
            <v>368.79333333333335</v>
          </cell>
        </row>
        <row r="1103">
          <cell r="A1103" t="str">
            <v>NOME</v>
          </cell>
        </row>
        <row r="1104">
          <cell r="A1104" t="str">
            <v>PREÇO</v>
          </cell>
        </row>
        <row r="1105">
          <cell r="A1105" t="str">
            <v>CNPJ</v>
          </cell>
        </row>
        <row r="1106">
          <cell r="A1106" t="str">
            <v>TELEFONE</v>
          </cell>
        </row>
        <row r="1107">
          <cell r="A1107" t="str">
            <v>DATA</v>
          </cell>
        </row>
        <row r="1109">
          <cell r="A1109">
            <v>154</v>
          </cell>
          <cell r="B1109" t="str">
            <v>QDC-UBS- quadro geral de energia tipo TTA- montado</v>
          </cell>
          <cell r="C1109" t="str">
            <v>UN</v>
          </cell>
          <cell r="D1109">
            <v>4182.63</v>
          </cell>
        </row>
        <row r="1110">
          <cell r="A1110" t="str">
            <v>NOME</v>
          </cell>
        </row>
        <row r="1111">
          <cell r="A1111" t="str">
            <v>PREÇO</v>
          </cell>
        </row>
        <row r="1112">
          <cell r="A1112" t="str">
            <v>CNPJ</v>
          </cell>
        </row>
        <row r="1113">
          <cell r="A1113" t="str">
            <v>TELEFONE</v>
          </cell>
        </row>
        <row r="1114">
          <cell r="A1114" t="str">
            <v>DATA</v>
          </cell>
        </row>
        <row r="1116">
          <cell r="A1116">
            <v>155</v>
          </cell>
          <cell r="B1116" t="str">
            <v>QDC-BOMBAS- quadro de energia tipo TTA- montado</v>
          </cell>
          <cell r="C1116" t="str">
            <v>UN</v>
          </cell>
          <cell r="D1116">
            <v>712.57500000000005</v>
          </cell>
        </row>
        <row r="1117">
          <cell r="A1117" t="str">
            <v>NOME</v>
          </cell>
        </row>
        <row r="1118">
          <cell r="A1118" t="str">
            <v>PREÇO</v>
          </cell>
        </row>
        <row r="1119">
          <cell r="A1119" t="str">
            <v>CNPJ</v>
          </cell>
        </row>
        <row r="1120">
          <cell r="A1120" t="str">
            <v>TELEFONE</v>
          </cell>
        </row>
        <row r="1121">
          <cell r="A1121" t="str">
            <v>DATA</v>
          </cell>
        </row>
        <row r="1123">
          <cell r="A1123">
            <v>156</v>
          </cell>
          <cell r="B1123" t="str">
            <v>QDC-ARCON- quadro de energia tipo TTA- montado</v>
          </cell>
          <cell r="C1123" t="str">
            <v>UN</v>
          </cell>
          <cell r="D1123">
            <v>1668.45</v>
          </cell>
        </row>
        <row r="1124">
          <cell r="A1124" t="str">
            <v>NOME</v>
          </cell>
        </row>
        <row r="1125">
          <cell r="A1125" t="str">
            <v>PREÇO</v>
          </cell>
        </row>
        <row r="1126">
          <cell r="A1126" t="str">
            <v>CNPJ</v>
          </cell>
        </row>
        <row r="1127">
          <cell r="A1127" t="str">
            <v>TELEFONE</v>
          </cell>
        </row>
        <row r="1128">
          <cell r="A1128" t="str">
            <v>DATA</v>
          </cell>
        </row>
        <row r="1130">
          <cell r="A1130">
            <v>157</v>
          </cell>
          <cell r="B1130" t="str">
            <v>QDC-ODONTO- quadro de energia tipo TTA- montado</v>
          </cell>
          <cell r="C1130" t="str">
            <v>UN</v>
          </cell>
          <cell r="D1130">
            <v>2123.15</v>
          </cell>
        </row>
        <row r="1131">
          <cell r="A1131" t="str">
            <v>NOME</v>
          </cell>
        </row>
        <row r="1132">
          <cell r="A1132" t="str">
            <v>PREÇO</v>
          </cell>
        </row>
        <row r="1133">
          <cell r="A1133" t="str">
            <v>CNPJ</v>
          </cell>
        </row>
        <row r="1134">
          <cell r="A1134" t="str">
            <v>TELEFONE</v>
          </cell>
        </row>
        <row r="1135">
          <cell r="A1135" t="str">
            <v>DATA</v>
          </cell>
        </row>
        <row r="1137">
          <cell r="A1137">
            <v>158</v>
          </cell>
          <cell r="B1137" t="str">
            <v>TOMADA POSTO PAREDE INTERNA - OXIGENIO</v>
          </cell>
          <cell r="C1137" t="str">
            <v>UN</v>
          </cell>
          <cell r="D1137">
            <v>48.631333333333338</v>
          </cell>
        </row>
        <row r="1138">
          <cell r="A1138" t="str">
            <v>NOME</v>
          </cell>
        </row>
        <row r="1139">
          <cell r="A1139" t="str">
            <v>PREÇO</v>
          </cell>
        </row>
        <row r="1140">
          <cell r="A1140" t="str">
            <v>CNPJ</v>
          </cell>
        </row>
        <row r="1141">
          <cell r="A1141" t="str">
            <v>TELEFONE</v>
          </cell>
        </row>
        <row r="1142">
          <cell r="A1142" t="str">
            <v>DATA</v>
          </cell>
        </row>
        <row r="1144">
          <cell r="A1144">
            <v>159</v>
          </cell>
          <cell r="B1144" t="str">
            <v>TOMADA POSTO PAREDE INTERNA - AR COMPRIMIDO</v>
          </cell>
          <cell r="C1144" t="str">
            <v>UN</v>
          </cell>
          <cell r="D1144">
            <v>57.356999999999999</v>
          </cell>
        </row>
        <row r="1145">
          <cell r="A1145" t="str">
            <v>NOME</v>
          </cell>
        </row>
        <row r="1146">
          <cell r="A1146" t="str">
            <v>PREÇO</v>
          </cell>
        </row>
        <row r="1147">
          <cell r="A1147" t="str">
            <v>CNPJ</v>
          </cell>
        </row>
        <row r="1148">
          <cell r="A1148" t="str">
            <v>TELEFONE</v>
          </cell>
        </row>
        <row r="1149">
          <cell r="A1149" t="str">
            <v>DATA</v>
          </cell>
        </row>
        <row r="1151">
          <cell r="A1151">
            <v>160</v>
          </cell>
          <cell r="B1151" t="str">
            <v>TIRANTE EM BARRA REDONDA 1"</v>
          </cell>
          <cell r="C1151" t="str">
            <v>KG</v>
          </cell>
          <cell r="D1151">
            <v>3.583333333333333</v>
          </cell>
        </row>
        <row r="1152">
          <cell r="A1152" t="str">
            <v>NOME</v>
          </cell>
        </row>
        <row r="1153">
          <cell r="A1153" t="str">
            <v>PREÇO</v>
          </cell>
        </row>
        <row r="1154">
          <cell r="A1154" t="str">
            <v>CNPJ</v>
          </cell>
        </row>
        <row r="1155">
          <cell r="A1155" t="str">
            <v>TELEFONE</v>
          </cell>
        </row>
        <row r="1156">
          <cell r="A1156" t="str">
            <v>DATA</v>
          </cell>
        </row>
        <row r="1158">
          <cell r="A1158">
            <v>161</v>
          </cell>
          <cell r="B1158" t="str">
            <v xml:space="preserve">CONTAINER P/ ENTULHO </v>
          </cell>
          <cell r="C1158" t="str">
            <v>UN</v>
          </cell>
          <cell r="D1158">
            <v>373.33333333333331</v>
          </cell>
        </row>
        <row r="1159">
          <cell r="A1159" t="str">
            <v>NOME</v>
          </cell>
        </row>
        <row r="1160">
          <cell r="A1160" t="str">
            <v>PREÇO</v>
          </cell>
        </row>
        <row r="1161">
          <cell r="A1161" t="str">
            <v>CNPJ</v>
          </cell>
        </row>
        <row r="1162">
          <cell r="A1162" t="str">
            <v>TELEFONE</v>
          </cell>
        </row>
        <row r="1163">
          <cell r="A1163" t="str">
            <v>DATA</v>
          </cell>
        </row>
        <row r="1165">
          <cell r="A1165">
            <v>162</v>
          </cell>
          <cell r="B1165" t="str">
            <v>CHAPA GALVANIZADA NUM 24</v>
          </cell>
          <cell r="C1165" t="str">
            <v>KG</v>
          </cell>
          <cell r="D1165">
            <v>5.9033333333333333</v>
          </cell>
        </row>
        <row r="1166">
          <cell r="A1166" t="str">
            <v>NOME</v>
          </cell>
        </row>
        <row r="1167">
          <cell r="A1167" t="str">
            <v>PREÇO</v>
          </cell>
        </row>
        <row r="1168">
          <cell r="A1168" t="str">
            <v>CNPJ</v>
          </cell>
        </row>
        <row r="1169">
          <cell r="A1169" t="str">
            <v>TELEFONE</v>
          </cell>
        </row>
        <row r="1170">
          <cell r="A1170" t="str">
            <v>DATA</v>
          </cell>
        </row>
        <row r="1172">
          <cell r="A1172">
            <v>163</v>
          </cell>
          <cell r="B1172" t="str">
            <v>A. Mapa tátil em placa de acrílico 8mm, 400x500mm (LxP), com inscrições em braile e representações da trilha tátil com pedestal em aço cor azul metálico. As trilhas e legendas, sempre em baixo relevo devem ser construídas com cores e texturas diferentes</v>
          </cell>
          <cell r="C1172" t="str">
            <v>UN</v>
          </cell>
          <cell r="D1172">
            <v>3840</v>
          </cell>
        </row>
        <row r="1173">
          <cell r="A1173" t="str">
            <v>NOME</v>
          </cell>
        </row>
        <row r="1174">
          <cell r="A1174" t="str">
            <v>PREÇO</v>
          </cell>
        </row>
        <row r="1175">
          <cell r="A1175" t="str">
            <v>CNPJ</v>
          </cell>
        </row>
        <row r="1176">
          <cell r="A1176" t="str">
            <v>TELEFONE</v>
          </cell>
        </row>
        <row r="1177">
          <cell r="A1177" t="str">
            <v>DATA</v>
          </cell>
        </row>
        <row r="1184">
          <cell r="A1184" t="str">
            <v>COTAÇÃO - 189</v>
          </cell>
          <cell r="B1184" t="str">
            <v>FORRO EM GESSO ACARTONADO - FORNECIMENTO E INSTALAÇÃO</v>
          </cell>
          <cell r="C1184" t="str">
            <v>M2</v>
          </cell>
          <cell r="D1184">
            <v>60.333333333333336</v>
          </cell>
        </row>
        <row r="1185">
          <cell r="A1185" t="str">
            <v>NOME</v>
          </cell>
        </row>
        <row r="1186">
          <cell r="A1186" t="str">
            <v>PREÇO</v>
          </cell>
        </row>
        <row r="1187">
          <cell r="A1187" t="str">
            <v>CNPJ</v>
          </cell>
        </row>
        <row r="1188">
          <cell r="A1188" t="str">
            <v>TELEFONE</v>
          </cell>
        </row>
        <row r="1189">
          <cell r="A1189" t="str">
            <v>DATA</v>
          </cell>
        </row>
        <row r="1191">
          <cell r="A1191" t="str">
            <v>COTAÇÃO - 190</v>
          </cell>
          <cell r="B1191" t="str">
            <v>ELEMENTO VAZADO DE CONCRETO 16 FUROS - 40X40X10CM</v>
          </cell>
          <cell r="C1191" t="str">
            <v>UN</v>
          </cell>
          <cell r="D1191">
            <v>17.25</v>
          </cell>
        </row>
        <row r="1192">
          <cell r="A1192" t="str">
            <v>NOME</v>
          </cell>
        </row>
        <row r="1193">
          <cell r="A1193" t="str">
            <v>PREÇO</v>
          </cell>
        </row>
        <row r="1194">
          <cell r="A1194" t="str">
            <v>CNPJ</v>
          </cell>
        </row>
        <row r="1195">
          <cell r="A1195" t="str">
            <v>TELEFONE</v>
          </cell>
        </row>
        <row r="1196">
          <cell r="A1196" t="str">
            <v>DATA</v>
          </cell>
        </row>
        <row r="1198">
          <cell r="A1198" t="str">
            <v>COTAÇÃO - 191</v>
          </cell>
          <cell r="B1198" t="str">
            <v>TAMPÃO TIPO GRELHA DE 60X60CM</v>
          </cell>
          <cell r="C1198" t="str">
            <v>UN</v>
          </cell>
          <cell r="D1198">
            <v>206.09</v>
          </cell>
        </row>
        <row r="1199">
          <cell r="A1199" t="str">
            <v>NOME</v>
          </cell>
        </row>
        <row r="1200">
          <cell r="A1200" t="str">
            <v>PREÇO</v>
          </cell>
        </row>
        <row r="1201">
          <cell r="A1201" t="str">
            <v>CNPJ</v>
          </cell>
        </row>
        <row r="1202">
          <cell r="A1202" t="str">
            <v>TELEFONE</v>
          </cell>
        </row>
        <row r="1203">
          <cell r="A1203" t="str">
            <v>DATA</v>
          </cell>
        </row>
        <row r="1205">
          <cell r="A1205" t="str">
            <v>COTAÇÃO - 196</v>
          </cell>
          <cell r="B1205" t="str">
            <v>BOMBA BC-91 S/T – trifásica - SCHNEIDER ou similar</v>
          </cell>
          <cell r="C1205" t="str">
            <v>UN</v>
          </cell>
          <cell r="D1205">
            <v>872.5866666666667</v>
          </cell>
        </row>
        <row r="1206">
          <cell r="A1206" t="str">
            <v>NOME</v>
          </cell>
        </row>
        <row r="1207">
          <cell r="A1207" t="str">
            <v>PREÇO</v>
          </cell>
        </row>
        <row r="1208">
          <cell r="A1208" t="str">
            <v>CNPJ</v>
          </cell>
        </row>
        <row r="1209">
          <cell r="A1209" t="str">
            <v>TELEFONE</v>
          </cell>
        </row>
        <row r="1210">
          <cell r="A1210" t="str">
            <v>DATA</v>
          </cell>
        </row>
        <row r="1212">
          <cell r="A1212" t="str">
            <v>COTAÇÃO - 197</v>
          </cell>
          <cell r="B1212" t="str">
            <v>RESERVATÓRIO DE 20.000 LITROS, H= 7 METROS, INCLUSO TRANSPORTE E IÇAMENTO</v>
          </cell>
          <cell r="C1212" t="str">
            <v>UN</v>
          </cell>
          <cell r="D1212">
            <v>16261.536666666667</v>
          </cell>
        </row>
        <row r="1213">
          <cell r="A1213" t="str">
            <v>NOME</v>
          </cell>
        </row>
        <row r="1214">
          <cell r="A1214" t="str">
            <v>PREÇO</v>
          </cell>
        </row>
        <row r="1215">
          <cell r="A1215" t="str">
            <v>CNPJ</v>
          </cell>
        </row>
      </sheetData>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comp instalação"/>
      <sheetName val="BDI"/>
      <sheetName val="l.sociais"/>
      <sheetName val="CRONOGRAMA"/>
      <sheetName val="comp"/>
      <sheetName val="PLANILHA"/>
      <sheetName val="RESUMO"/>
      <sheetName val="ROSTO"/>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LANILHA"/>
    </sheetNames>
    <sheetDataSet>
      <sheetData sheetId="0"/>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l.sociais"/>
      <sheetName val="BDI"/>
      <sheetName val="CRONOGRAMA"/>
      <sheetName val="comp"/>
      <sheetName val="PLANILHA"/>
      <sheetName val="RESUMO"/>
      <sheetName val="ROSTO"/>
    </sheetNames>
    <sheetDataSet>
      <sheetData sheetId="0"/>
      <sheetData sheetId="1"/>
      <sheetData sheetId="2"/>
      <sheetData sheetId="3"/>
      <sheetData sheetId="4"/>
      <sheetData sheetId="5"/>
      <sheetData sheetId="6"/>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Eletrica"/>
      <sheetName val="Hidro"/>
      <sheetName val="C-Incendio"/>
      <sheetName val="cabeamento"/>
      <sheetName val="SSCP"/>
      <sheetName val="acesso"/>
      <sheetName val="CFTV"/>
      <sheetName val="AC"/>
      <sheetName val="inst edital Definitiva"/>
      <sheetName val="unit arq"/>
      <sheetName val="ARQ"/>
      <sheetName val="CRONOGRAMA"/>
      <sheetName val="b.d.i"/>
    </sheetNames>
    <sheetDataSet>
      <sheetData sheetId="0">
        <row r="5">
          <cell r="L5">
            <v>0.6</v>
          </cell>
        </row>
        <row r="6">
          <cell r="L6">
            <v>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4">
          <cell r="L4">
            <v>0.8</v>
          </cell>
        </row>
        <row r="5">
          <cell r="L5">
            <v>0.5</v>
          </cell>
        </row>
      </sheetData>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dados"/>
      <sheetName val="Planilha"/>
      <sheetName val="Plan2"/>
      <sheetName val="Plan1"/>
      <sheetName val="Desenho"/>
      <sheetName val="Plan"/>
      <sheetName val="QuantLigacao"/>
      <sheetName val="QuantRede"/>
      <sheetName val="Tabela Novacap"/>
      <sheetName val="Tabela TCPO"/>
      <sheetName val="Tabela TCPO 1"/>
      <sheetName val="Drenagem"/>
      <sheetName val="Pre Moldados"/>
    </sheetNames>
    <sheetDataSet>
      <sheetData sheetId="0"/>
      <sheetData sheetId="1">
        <row r="2">
          <cell r="DG2" t="str">
            <v>mec c/ contr</v>
          </cell>
          <cell r="DH2" t="str">
            <v>Areia</v>
          </cell>
        </row>
        <row r="3">
          <cell r="DG3">
            <v>0</v>
          </cell>
          <cell r="DH3">
            <v>0</v>
          </cell>
        </row>
        <row r="4">
          <cell r="DG4">
            <v>46.795456250002381</v>
          </cell>
          <cell r="DH4">
            <v>2.4629187500001253</v>
          </cell>
        </row>
        <row r="5">
          <cell r="DG5">
            <v>46.459928124999998</v>
          </cell>
          <cell r="DH5">
            <v>2.445259375</v>
          </cell>
        </row>
        <row r="6">
          <cell r="DG6">
            <v>35.328504796605031</v>
          </cell>
          <cell r="DH6">
            <v>1.8593949892950012</v>
          </cell>
        </row>
        <row r="7">
          <cell r="DG7">
            <v>63.085386019779797</v>
          </cell>
          <cell r="DH7">
            <v>3.3202834747252523</v>
          </cell>
        </row>
        <row r="8">
          <cell r="DG8">
            <v>65.837868731806253</v>
          </cell>
          <cell r="DH8">
            <v>3.4651509858845397</v>
          </cell>
        </row>
        <row r="9">
          <cell r="DG9">
            <v>61.743318081064174</v>
          </cell>
          <cell r="DH9">
            <v>3.2496483200560089</v>
          </cell>
        </row>
        <row r="10">
          <cell r="DG10">
            <v>57.776862499991502</v>
          </cell>
          <cell r="DH10">
            <v>3.0408874999995525</v>
          </cell>
        </row>
        <row r="11">
          <cell r="DG11">
            <v>0</v>
          </cell>
          <cell r="DH11">
            <v>0</v>
          </cell>
        </row>
        <row r="12">
          <cell r="DG12">
            <v>38.572612500001966</v>
          </cell>
          <cell r="DH12">
            <v>2.0301375000001034</v>
          </cell>
        </row>
        <row r="13">
          <cell r="DG13">
            <v>30.008125</v>
          </cell>
          <cell r="DH13">
            <v>1.579375</v>
          </cell>
        </row>
        <row r="14">
          <cell r="DG14">
            <v>45.960109374995596</v>
          </cell>
          <cell r="DH14">
            <v>2.4189531249997684</v>
          </cell>
        </row>
        <row r="15">
          <cell r="DG15">
            <v>105.56447499998538</v>
          </cell>
          <cell r="DH15">
            <v>5.5560249999992299</v>
          </cell>
        </row>
        <row r="16">
          <cell r="DG16">
            <v>0</v>
          </cell>
          <cell r="DH16">
            <v>0</v>
          </cell>
        </row>
        <row r="17">
          <cell r="DG17">
            <v>20.634593749996963</v>
          </cell>
          <cell r="DH17">
            <v>1.0860312499998401</v>
          </cell>
        </row>
        <row r="18">
          <cell r="DG18">
            <v>0</v>
          </cell>
          <cell r="DH18">
            <v>0</v>
          </cell>
        </row>
        <row r="19">
          <cell r="DG19">
            <v>0</v>
          </cell>
          <cell r="DH19">
            <v>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RESULTADOS"/>
      <sheetName val="Edificações COM"/>
      <sheetName val="Edificações SEM"/>
      <sheetName val="Vias Urbanas COM"/>
      <sheetName val="Vias Urbanas SEM"/>
      <sheetName val="Drenagem COM"/>
      <sheetName val="Drenagem SEM"/>
      <sheetName val="Pavimentação e Drenagem COM"/>
      <sheetName val="Pavimentação e Drenagem SEM"/>
      <sheetName val="Paisagismo COM"/>
      <sheetName val="Paisagismo SEM"/>
      <sheetName val="Pequenas Obras COM"/>
      <sheetName val="Pequenas Obras SEM"/>
      <sheetName val="Materiais COM"/>
      <sheetName val="Materiais SEM"/>
      <sheetName val="Quadro Comparativo"/>
      <sheetName val="Quadro Geral"/>
      <sheetName val="Comparativo"/>
      <sheetName val="BDI Matriz"/>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ow r="6">
          <cell r="C6" t="str">
            <v>1º Quartil</v>
          </cell>
          <cell r="D6" t="str">
            <v>Médio</v>
          </cell>
          <cell r="E6" t="str">
            <v>3º Quartil</v>
          </cell>
          <cell r="F6" t="str">
            <v>1º Quartil</v>
          </cell>
          <cell r="G6" t="str">
            <v>Médio</v>
          </cell>
          <cell r="H6" t="str">
            <v>3º Quartil</v>
          </cell>
          <cell r="I6" t="str">
            <v>1º Quartil</v>
          </cell>
          <cell r="J6" t="str">
            <v>Médio</v>
          </cell>
          <cell r="K6" t="str">
            <v>3º Quartil</v>
          </cell>
          <cell r="L6" t="str">
            <v>1º Quartil</v>
          </cell>
          <cell r="M6" t="str">
            <v>Médio</v>
          </cell>
          <cell r="N6" t="str">
            <v>3º Quartil</v>
          </cell>
          <cell r="O6" t="str">
            <v>1º Quartil</v>
          </cell>
          <cell r="P6" t="str">
            <v>Médio</v>
          </cell>
          <cell r="Q6" t="str">
            <v>3º Quartil</v>
          </cell>
        </row>
        <row r="7">
          <cell r="C7">
            <v>0.03</v>
          </cell>
          <cell r="D7">
            <v>0.04</v>
          </cell>
          <cell r="E7">
            <v>5.5E-2</v>
          </cell>
          <cell r="F7">
            <v>8.0000000000000002E-3</v>
          </cell>
          <cell r="G7">
            <v>8.0000000000000002E-3</v>
          </cell>
          <cell r="H7">
            <v>0.01</v>
          </cell>
          <cell r="I7">
            <v>9.7000000000000003E-3</v>
          </cell>
          <cell r="J7">
            <v>1.2699999999999999E-2</v>
          </cell>
          <cell r="K7">
            <v>1.2699999999999999E-2</v>
          </cell>
          <cell r="L7">
            <v>5.8999999999999999E-3</v>
          </cell>
          <cell r="M7">
            <v>1.23E-2</v>
          </cell>
          <cell r="N7">
            <v>1.3899999999999999E-2</v>
          </cell>
          <cell r="O7">
            <v>6.1600000000000002E-2</v>
          </cell>
          <cell r="P7">
            <v>7.3999999999999996E-2</v>
          </cell>
          <cell r="Q7">
            <v>8.9599999999999999E-2</v>
          </cell>
        </row>
        <row r="9">
          <cell r="A9" t="str">
            <v>Drenagem Pluvial, Redes de Abastecimento de Água, Coleta de Esgoto e Construções Correlatas</v>
          </cell>
        </row>
        <row r="10">
          <cell r="A10" t="str">
            <v>Drenagem Pluvial com Pavimentação</v>
          </cell>
        </row>
        <row r="11">
          <cell r="A11" t="str">
            <v>Paisagismo, Parques e Jardins</v>
          </cell>
        </row>
        <row r="12">
          <cell r="A12" t="str">
            <v>Obras de Menor Complexidade (Praças, Calçadas, Ciclovias, Meios Fios, Quiosques e Obras Correlatas)</v>
          </cell>
        </row>
        <row r="13">
          <cell r="A13" t="str">
            <v>Fornecimento de Materiais Betuminosos e Outros Materiais e Equipamentos de Grande Relevância de Natureza Específica</v>
          </cell>
        </row>
      </sheetData>
      <sheetData sheetId="16">
        <row r="4">
          <cell r="B4" t="str">
            <v>Administração Central</v>
          </cell>
          <cell r="C4" t="str">
            <v>Seguros + Garantias</v>
          </cell>
          <cell r="D4" t="str">
            <v>Riscos</v>
          </cell>
          <cell r="E4" t="str">
            <v>Despesas Financeiras</v>
          </cell>
          <cell r="F4" t="str">
            <v>Lucro</v>
          </cell>
          <cell r="G4" t="str">
            <v>ISS - Imposto Sobre Serviços de Qualquer Natureza</v>
          </cell>
        </row>
        <row r="5">
          <cell r="A5" t="str">
            <v>Edificações</v>
          </cell>
          <cell r="B5">
            <v>0.03</v>
          </cell>
          <cell r="C5">
            <v>8.0000000000000002E-3</v>
          </cell>
          <cell r="D5">
            <v>9.7000000000000003E-3</v>
          </cell>
          <cell r="E5">
            <v>5.8999999999999999E-3</v>
          </cell>
          <cell r="F5">
            <v>6.1600000000000002E-2</v>
          </cell>
          <cell r="G5">
            <v>0.01</v>
          </cell>
        </row>
        <row r="6">
          <cell r="A6" t="str">
            <v>Vias Urbanas e Rodovias (incluindo obras de arte especiais)</v>
          </cell>
          <cell r="B6">
            <v>3.7999999999999999E-2</v>
          </cell>
          <cell r="C6">
            <v>3.2000000000000002E-3</v>
          </cell>
          <cell r="D6">
            <v>5.0000000000000001E-3</v>
          </cell>
          <cell r="E6">
            <v>1.0200000000000001E-2</v>
          </cell>
          <cell r="F6">
            <v>6.6400000000000001E-2</v>
          </cell>
          <cell r="G6">
            <v>0.01</v>
          </cell>
        </row>
        <row r="7">
          <cell r="A7" t="str">
            <v>Drenagem Pluvial, Redes de Abastecimento de Água, Coleta de Esgoto e Construções Correlatas</v>
          </cell>
          <cell r="B7">
            <v>3.4299999999999997E-2</v>
          </cell>
          <cell r="C7">
            <v>2.8E-3</v>
          </cell>
          <cell r="D7">
            <v>0.01</v>
          </cell>
          <cell r="E7">
            <v>9.4000000000000004E-3</v>
          </cell>
          <cell r="F7">
            <v>6.7400000000000002E-2</v>
          </cell>
          <cell r="G7">
            <v>0.01</v>
          </cell>
        </row>
        <row r="8">
          <cell r="A8" t="str">
            <v>Drenagem Pluvial com Pavimentação</v>
          </cell>
          <cell r="B8">
            <v>3.4299999999999997E-2</v>
          </cell>
          <cell r="C8">
            <v>2.8E-3</v>
          </cell>
          <cell r="D8">
            <v>5.0000000000000001E-3</v>
          </cell>
          <cell r="E8">
            <v>9.4000000000000004E-3</v>
          </cell>
          <cell r="F8">
            <v>6.6400000000000001E-2</v>
          </cell>
          <cell r="G8">
            <v>0.01</v>
          </cell>
        </row>
        <row r="9">
          <cell r="A9" t="str">
            <v>Paisagismo, Parques e Jardins</v>
          </cell>
          <cell r="B9">
            <v>0.03</v>
          </cell>
          <cell r="C9">
            <v>8.0000000000000002E-3</v>
          </cell>
          <cell r="D9">
            <v>9.7000000000000003E-3</v>
          </cell>
          <cell r="E9">
            <v>5.8999999999999999E-3</v>
          </cell>
          <cell r="F9">
            <v>6.1600000000000002E-2</v>
          </cell>
          <cell r="G9">
            <v>0.05</v>
          </cell>
        </row>
        <row r="10">
          <cell r="A10" t="str">
            <v>Obras de Menor Complexidade (Praças, Calçadas, Ciclovias, Meios Fios, Quiosques e Obras Correlatas)</v>
          </cell>
          <cell r="B10">
            <v>0.03</v>
          </cell>
          <cell r="C10">
            <v>8.0000000000000002E-3</v>
          </cell>
          <cell r="D10">
            <v>9.7000000000000003E-3</v>
          </cell>
          <cell r="E10">
            <v>5.8999999999999999E-3</v>
          </cell>
          <cell r="F10">
            <v>6.1600000000000002E-2</v>
          </cell>
          <cell r="G10">
            <v>0.01</v>
          </cell>
        </row>
        <row r="11">
          <cell r="A11" t="str">
            <v>Fornecimento de Materiais Betuminosos e Outros Materiais e Equipamentos de Grande Relevância de Natureza Específica</v>
          </cell>
          <cell r="B11">
            <v>1.4999999999999999E-2</v>
          </cell>
          <cell r="C11">
            <v>3.0000000000000001E-3</v>
          </cell>
          <cell r="D11">
            <v>5.5999999999999999E-3</v>
          </cell>
          <cell r="E11">
            <v>8.5000000000000006E-3</v>
          </cell>
          <cell r="F11">
            <v>3.5000000000000003E-2</v>
          </cell>
          <cell r="G11">
            <v>0</v>
          </cell>
        </row>
      </sheetData>
      <sheetData sheetId="17" refreshError="1"/>
      <sheetData sheetId="18"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RESULTADOS"/>
      <sheetName val="Edificações COM"/>
      <sheetName val="Edificações SEM"/>
      <sheetName val="Vias Urbanas COM"/>
      <sheetName val="Vias Urbanas SEM"/>
      <sheetName val="Drenagem COM"/>
      <sheetName val="Drenagem SEM"/>
      <sheetName val="Pavimentação e Drenagem COM"/>
      <sheetName val="Pavimentação e Drenagem SEM"/>
      <sheetName val="Paisagismo COM"/>
      <sheetName val="Paisagismo SEM"/>
      <sheetName val="Pequenas Obras COM"/>
      <sheetName val="Pequenas Obras SEM"/>
      <sheetName val="Materiais COM"/>
      <sheetName val="Materiais SEM"/>
      <sheetName val="Quadro Comparativo"/>
      <sheetName val="Quadro Geral"/>
      <sheetName val="Comparativo"/>
      <sheetName val="BDI Matriz"/>
      <sheetName val="Edificações COM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6">
          <cell r="C6" t="str">
            <v>1º Quartil</v>
          </cell>
        </row>
        <row r="9">
          <cell r="A9" t="str">
            <v>Drenagem Pluvial, Redes de Abastecimento de Água, Coleta de Esgoto e Construções Correlatas</v>
          </cell>
        </row>
        <row r="10">
          <cell r="A10" t="str">
            <v>Drenagem Pluvial com Pavimentação</v>
          </cell>
        </row>
        <row r="11">
          <cell r="A11" t="str">
            <v>Paisagismo, Parques e Jardins</v>
          </cell>
        </row>
        <row r="12">
          <cell r="A12" t="str">
            <v>Obras de Menor Complexidade (Praças, Calçadas, Ciclovias, Meios Fios, Quiosques e Obras Correlatas)</v>
          </cell>
        </row>
        <row r="13">
          <cell r="A13" t="str">
            <v>Fornecimento de Materiais Betuminosos e Outros Materiais e Equipamentos de Grande Relevância de Natureza Específica</v>
          </cell>
        </row>
      </sheetData>
      <sheetData sheetId="16">
        <row r="4">
          <cell r="B4" t="str">
            <v>Administração Central</v>
          </cell>
          <cell r="C4" t="str">
            <v>Seguros + Garantias</v>
          </cell>
          <cell r="D4" t="str">
            <v>Riscos</v>
          </cell>
          <cell r="E4" t="str">
            <v>Despesas Financeiras</v>
          </cell>
          <cell r="F4" t="str">
            <v>Lucro</v>
          </cell>
          <cell r="G4" t="str">
            <v>ISS - Imposto Sobre Serviços de Qualquer Natureza</v>
          </cell>
        </row>
        <row r="5">
          <cell r="A5" t="str">
            <v>Edificações</v>
          </cell>
          <cell r="B5">
            <v>0.03</v>
          </cell>
          <cell r="C5">
            <v>8.0000000000000002E-3</v>
          </cell>
          <cell r="D5">
            <v>9.7000000000000003E-3</v>
          </cell>
          <cell r="E5">
            <v>5.8999999999999999E-3</v>
          </cell>
          <cell r="F5">
            <v>6.1600000000000002E-2</v>
          </cell>
          <cell r="G5">
            <v>0.01</v>
          </cell>
        </row>
        <row r="6">
          <cell r="A6" t="str">
            <v>Vias Urbanas e Rodovias (incluindo obras de arte especiais)</v>
          </cell>
          <cell r="B6">
            <v>3.7999999999999999E-2</v>
          </cell>
          <cell r="C6">
            <v>3.2000000000000002E-3</v>
          </cell>
          <cell r="D6">
            <v>5.0000000000000001E-3</v>
          </cell>
          <cell r="E6">
            <v>1.0200000000000001E-2</v>
          </cell>
          <cell r="F6">
            <v>6.6400000000000001E-2</v>
          </cell>
          <cell r="G6">
            <v>0.01</v>
          </cell>
        </row>
        <row r="7">
          <cell r="A7" t="str">
            <v>Drenagem Pluvial, Redes de Abastecimento de Água, Coleta de Esgoto e Construções Correlatas</v>
          </cell>
          <cell r="B7">
            <v>3.4299999999999997E-2</v>
          </cell>
          <cell r="C7">
            <v>2.8E-3</v>
          </cell>
          <cell r="D7">
            <v>0.01</v>
          </cell>
          <cell r="E7">
            <v>9.4000000000000004E-3</v>
          </cell>
          <cell r="F7">
            <v>6.7400000000000002E-2</v>
          </cell>
          <cell r="G7">
            <v>0.01</v>
          </cell>
        </row>
        <row r="8">
          <cell r="A8" t="str">
            <v>Drenagem Pluvial com Pavimentação</v>
          </cell>
          <cell r="B8">
            <v>3.4299999999999997E-2</v>
          </cell>
          <cell r="C8">
            <v>2.8E-3</v>
          </cell>
          <cell r="D8">
            <v>5.0000000000000001E-3</v>
          </cell>
          <cell r="E8">
            <v>9.4000000000000004E-3</v>
          </cell>
          <cell r="F8">
            <v>6.6400000000000001E-2</v>
          </cell>
          <cell r="G8">
            <v>0.01</v>
          </cell>
        </row>
        <row r="9">
          <cell r="A9" t="str">
            <v>Paisagismo, Parques e Jardins</v>
          </cell>
          <cell r="B9">
            <v>0.03</v>
          </cell>
          <cell r="C9">
            <v>8.0000000000000002E-3</v>
          </cell>
          <cell r="D9">
            <v>9.7000000000000003E-3</v>
          </cell>
          <cell r="E9">
            <v>5.8999999999999999E-3</v>
          </cell>
          <cell r="F9">
            <v>6.1600000000000002E-2</v>
          </cell>
          <cell r="G9">
            <v>0.05</v>
          </cell>
        </row>
        <row r="10">
          <cell r="A10" t="str">
            <v>Obras de Menor Complexidade (Praças, Calçadas, Ciclovias, Meios Fios, Quiosques e Obras Correlatas)</v>
          </cell>
          <cell r="B10">
            <v>0.03</v>
          </cell>
          <cell r="C10">
            <v>8.0000000000000002E-3</v>
          </cell>
          <cell r="D10">
            <v>9.7000000000000003E-3</v>
          </cell>
          <cell r="E10">
            <v>5.8999999999999999E-3</v>
          </cell>
          <cell r="F10">
            <v>6.1600000000000002E-2</v>
          </cell>
          <cell r="G10">
            <v>0.01</v>
          </cell>
        </row>
        <row r="11">
          <cell r="A11" t="str">
            <v>Fornecimento de Materiais Betuminosos e Outros Materiais e Equipamentos de Grande Relevância de Natureza Específica</v>
          </cell>
          <cell r="B11">
            <v>1.4999999999999999E-2</v>
          </cell>
          <cell r="C11">
            <v>3.0000000000000001E-3</v>
          </cell>
          <cell r="D11">
            <v>5.5999999999999999E-3</v>
          </cell>
          <cell r="E11">
            <v>8.5000000000000006E-3</v>
          </cell>
          <cell r="F11">
            <v>3.5000000000000003E-2</v>
          </cell>
          <cell r="G11">
            <v>0</v>
          </cell>
        </row>
      </sheetData>
      <sheetData sheetId="17"/>
      <sheetData sheetId="18"/>
      <sheetData sheetId="19"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26" Type="http://schemas.openxmlformats.org/officeDocument/2006/relationships/hyperlink" Target="mailto:vendas@reidasfechaduras.com.br" TargetMode="External"/><Relationship Id="rId117" Type="http://schemas.openxmlformats.org/officeDocument/2006/relationships/hyperlink" Target="mailto:vendas1@novaexaustores.com.br" TargetMode="External"/><Relationship Id="rId21" Type="http://schemas.openxmlformats.org/officeDocument/2006/relationships/hyperlink" Target="http://www.jclfechaduras.com.br/" TargetMode="External"/><Relationship Id="rId42" Type="http://schemas.openxmlformats.org/officeDocument/2006/relationships/hyperlink" Target="mailto:sac@coberchapas.com.br" TargetMode="External"/><Relationship Id="rId47" Type="http://schemas.openxmlformats.org/officeDocument/2006/relationships/hyperlink" Target="mailto:vendas@casamimosa.com.br" TargetMode="External"/><Relationship Id="rId63" Type="http://schemas.openxmlformats.org/officeDocument/2006/relationships/hyperlink" Target="http://www.americanas.com/" TargetMode="External"/><Relationship Id="rId68" Type="http://schemas.openxmlformats.org/officeDocument/2006/relationships/hyperlink" Target="http://www.americanas.com/" TargetMode="External"/><Relationship Id="rId84" Type="http://schemas.openxmlformats.org/officeDocument/2006/relationships/hyperlink" Target="http://www.seton.com.br/" TargetMode="External"/><Relationship Id="rId89" Type="http://schemas.openxmlformats.org/officeDocument/2006/relationships/hyperlink" Target="http://www.leroymerlin.com.br/" TargetMode="External"/><Relationship Id="rId112" Type="http://schemas.openxmlformats.org/officeDocument/2006/relationships/hyperlink" Target="http://www.aznet.com.br/" TargetMode="External"/><Relationship Id="rId16" Type="http://schemas.openxmlformats.org/officeDocument/2006/relationships/hyperlink" Target="mailto:sac@amegaloja.com.br" TargetMode="External"/><Relationship Id="rId107" Type="http://schemas.openxmlformats.org/officeDocument/2006/relationships/hyperlink" Target="http://www.eletronicasantana.com.br/" TargetMode="External"/><Relationship Id="rId11" Type="http://schemas.openxmlformats.org/officeDocument/2006/relationships/hyperlink" Target="mailto:atendimento@carrefour.com.br" TargetMode="External"/><Relationship Id="rId32" Type="http://schemas.openxmlformats.org/officeDocument/2006/relationships/hyperlink" Target="mailto:vendas@reidasfechaduras.com.br" TargetMode="External"/><Relationship Id="rId37" Type="http://schemas.openxmlformats.org/officeDocument/2006/relationships/hyperlink" Target="mailto:contato@casadopolicarbonato.com" TargetMode="External"/><Relationship Id="rId53" Type="http://schemas.openxmlformats.org/officeDocument/2006/relationships/hyperlink" Target="mailto:comercial@planetaacessivel.com.br" TargetMode="External"/><Relationship Id="rId58" Type="http://schemas.openxmlformats.org/officeDocument/2006/relationships/hyperlink" Target="http://www.americanas.com/" TargetMode="External"/><Relationship Id="rId74" Type="http://schemas.openxmlformats.org/officeDocument/2006/relationships/hyperlink" Target="https://loja.multivac.com.br/" TargetMode="External"/><Relationship Id="rId79" Type="http://schemas.openxmlformats.org/officeDocument/2006/relationships/hyperlink" Target="mailto:vendas1@novaexaustores.com.br" TargetMode="External"/><Relationship Id="rId102" Type="http://schemas.openxmlformats.org/officeDocument/2006/relationships/hyperlink" Target="http://www.casasbahia.com.br/" TargetMode="External"/><Relationship Id="rId123" Type="http://schemas.openxmlformats.org/officeDocument/2006/relationships/hyperlink" Target="mailto:marcia@ciavento.com.br" TargetMode="External"/><Relationship Id="rId128" Type="http://schemas.openxmlformats.org/officeDocument/2006/relationships/hyperlink" Target="mailto:vendas1@novaexaustores.com.br" TargetMode="External"/><Relationship Id="rId5" Type="http://schemas.openxmlformats.org/officeDocument/2006/relationships/hyperlink" Target="mailto:vendastatuape@lojaobrafacil.com.br" TargetMode="External"/><Relationship Id="rId90" Type="http://schemas.openxmlformats.org/officeDocument/2006/relationships/hyperlink" Target="https://api.whatsapp.com/send?text=https://www.santil.com.br/produto/saida-lateral-34-comape/2897032/&amp;phone=551139983000" TargetMode="External"/><Relationship Id="rId95" Type="http://schemas.openxmlformats.org/officeDocument/2006/relationships/hyperlink" Target="http://cnpj.info/19344083000164" TargetMode="External"/><Relationship Id="rId19" Type="http://schemas.openxmlformats.org/officeDocument/2006/relationships/hyperlink" Target="mailto:sac@carajasonline.com" TargetMode="External"/><Relationship Id="rId14" Type="http://schemas.openxmlformats.org/officeDocument/2006/relationships/hyperlink" Target="http://www.obramax.com.br/" TargetMode="External"/><Relationship Id="rId22" Type="http://schemas.openxmlformats.org/officeDocument/2006/relationships/hyperlink" Target="mailto:vendas@reidasfechaduras.com.br" TargetMode="External"/><Relationship Id="rId27" Type="http://schemas.openxmlformats.org/officeDocument/2006/relationships/hyperlink" Target="http://www.jclfechaduras.com.br/" TargetMode="External"/><Relationship Id="rId30" Type="http://schemas.openxmlformats.org/officeDocument/2006/relationships/hyperlink" Target="mailto:vendas@reidasfechaduras.com.br" TargetMode="External"/><Relationship Id="rId35" Type="http://schemas.openxmlformats.org/officeDocument/2006/relationships/hyperlink" Target="http://www.americanas.com/" TargetMode="External"/><Relationship Id="rId43" Type="http://schemas.openxmlformats.org/officeDocument/2006/relationships/hyperlink" Target="mailto:comercial@polysheet.com.br" TargetMode="External"/><Relationship Id="rId48" Type="http://schemas.openxmlformats.org/officeDocument/2006/relationships/hyperlink" Target="mailto:vendas@merc.com.br" TargetMode="External"/><Relationship Id="rId56" Type="http://schemas.openxmlformats.org/officeDocument/2006/relationships/hyperlink" Target="http://www.tramontinastore.com/" TargetMode="External"/><Relationship Id="rId64" Type="http://schemas.openxmlformats.org/officeDocument/2006/relationships/hyperlink" Target="http://www.padovani.com.br/" TargetMode="External"/><Relationship Id="rId69" Type="http://schemas.openxmlformats.org/officeDocument/2006/relationships/hyperlink" Target="http://www.leroymerlin.com.br/" TargetMode="External"/><Relationship Id="rId77" Type="http://schemas.openxmlformats.org/officeDocument/2006/relationships/hyperlink" Target="https://loja.multivac.com.br/" TargetMode="External"/><Relationship Id="rId100" Type="http://schemas.openxmlformats.org/officeDocument/2006/relationships/hyperlink" Target="http://www.americanas.com.br/" TargetMode="External"/><Relationship Id="rId105" Type="http://schemas.openxmlformats.org/officeDocument/2006/relationships/hyperlink" Target="http://www.madeiramadeira.com.br/" TargetMode="External"/><Relationship Id="rId113" Type="http://schemas.openxmlformats.org/officeDocument/2006/relationships/hyperlink" Target="mailto:contato@atacadobarbosa.com.br(11)2949.1400" TargetMode="External"/><Relationship Id="rId118" Type="http://schemas.openxmlformats.org/officeDocument/2006/relationships/hyperlink" Target="mailto:vendas1@novaexaustores.com.br" TargetMode="External"/><Relationship Id="rId126" Type="http://schemas.openxmlformats.org/officeDocument/2006/relationships/hyperlink" Target="mailto:vendas1@novaexaustores.com.br" TargetMode="External"/><Relationship Id="rId8" Type="http://schemas.openxmlformats.org/officeDocument/2006/relationships/hyperlink" Target="http://www.americanas.com/" TargetMode="External"/><Relationship Id="rId51" Type="http://schemas.openxmlformats.org/officeDocument/2006/relationships/hyperlink" Target="mailto:comercial@brakey.com.br" TargetMode="External"/><Relationship Id="rId72" Type="http://schemas.openxmlformats.org/officeDocument/2006/relationships/hyperlink" Target="mailto:stefanny.borges@poleoduto.com.b" TargetMode="External"/><Relationship Id="rId80" Type="http://schemas.openxmlformats.org/officeDocument/2006/relationships/hyperlink" Target="mailto:vendas1@novaexaustores.com.br" TargetMode="External"/><Relationship Id="rId85" Type="http://schemas.openxmlformats.org/officeDocument/2006/relationships/hyperlink" Target="mailto:comercial@hidroja.com" TargetMode="External"/><Relationship Id="rId93" Type="http://schemas.openxmlformats.org/officeDocument/2006/relationships/hyperlink" Target="https://api.whatsapp.com/send?text=https://www.santil.com.br/produto/saida-lateral-34-comape/2897032/&amp;phone=551139983000" TargetMode="External"/><Relationship Id="rId98" Type="http://schemas.openxmlformats.org/officeDocument/2006/relationships/hyperlink" Target="http://www.americanas.com.br/" TargetMode="External"/><Relationship Id="rId121" Type="http://schemas.openxmlformats.org/officeDocument/2006/relationships/hyperlink" Target="mailto:marcia@ciavento.com.br" TargetMode="External"/><Relationship Id="rId3" Type="http://schemas.openxmlformats.org/officeDocument/2006/relationships/hyperlink" Target="http://www.submarino.com/" TargetMode="External"/><Relationship Id="rId12" Type="http://schemas.openxmlformats.org/officeDocument/2006/relationships/hyperlink" Target="http://www.pontofrio.com.br/" TargetMode="External"/><Relationship Id="rId17" Type="http://schemas.openxmlformats.org/officeDocument/2006/relationships/hyperlink" Target="http://www.americanas.com/" TargetMode="External"/><Relationship Id="rId25" Type="http://schemas.openxmlformats.org/officeDocument/2006/relationships/hyperlink" Target="http://www.jclfechaduras.com.br/" TargetMode="External"/><Relationship Id="rId33" Type="http://schemas.openxmlformats.org/officeDocument/2006/relationships/hyperlink" Target="http://www.americanas.com/" TargetMode="External"/><Relationship Id="rId38" Type="http://schemas.openxmlformats.org/officeDocument/2006/relationships/hyperlink" Target="mailto:sac@coberchapas.com.br" TargetMode="External"/><Relationship Id="rId46" Type="http://schemas.openxmlformats.org/officeDocument/2006/relationships/hyperlink" Target="http://www.submarino.com/" TargetMode="External"/><Relationship Id="rId59" Type="http://schemas.openxmlformats.org/officeDocument/2006/relationships/hyperlink" Target="http://www.padovani.com.br/" TargetMode="External"/><Relationship Id="rId67" Type="http://schemas.openxmlformats.org/officeDocument/2006/relationships/hyperlink" Target="http://www.padovani.com.br/" TargetMode="External"/><Relationship Id="rId103" Type="http://schemas.openxmlformats.org/officeDocument/2006/relationships/hyperlink" Target="http://www.casasbahia.com.br/" TargetMode="External"/><Relationship Id="rId108" Type="http://schemas.openxmlformats.org/officeDocument/2006/relationships/hyperlink" Target="http://www.egvirtual.com.br/" TargetMode="External"/><Relationship Id="rId116" Type="http://schemas.openxmlformats.org/officeDocument/2006/relationships/hyperlink" Target="mailto:vendas1@novaexaustores.com.br" TargetMode="External"/><Relationship Id="rId124" Type="http://schemas.openxmlformats.org/officeDocument/2006/relationships/hyperlink" Target="mailto:marcia@ciavento.com.br" TargetMode="External"/><Relationship Id="rId129" Type="http://schemas.openxmlformats.org/officeDocument/2006/relationships/printerSettings" Target="../printerSettings/printerSettings11.bin"/><Relationship Id="rId20" Type="http://schemas.openxmlformats.org/officeDocument/2006/relationships/hyperlink" Target="mailto:vendas@casamimosa.com.br" TargetMode="External"/><Relationship Id="rId41" Type="http://schemas.openxmlformats.org/officeDocument/2006/relationships/hyperlink" Target="mailto:vendas@lojadopoli.com" TargetMode="External"/><Relationship Id="rId54" Type="http://schemas.openxmlformats.org/officeDocument/2006/relationships/hyperlink" Target="mailto:vendasonline@allbanho.com.br" TargetMode="External"/><Relationship Id="rId62" Type="http://schemas.openxmlformats.org/officeDocument/2006/relationships/hyperlink" Target="mailto:vendasonline@condec.com.br" TargetMode="External"/><Relationship Id="rId70" Type="http://schemas.openxmlformats.org/officeDocument/2006/relationships/hyperlink" Target="mailto:vendasonline@condec.com.br" TargetMode="External"/><Relationship Id="rId75" Type="http://schemas.openxmlformats.org/officeDocument/2006/relationships/hyperlink" Target="mailto:vendas1@novaexaustores.com.br" TargetMode="External"/><Relationship Id="rId83" Type="http://schemas.openxmlformats.org/officeDocument/2006/relationships/hyperlink" Target="mailto:marcia@ciavento.com.br" TargetMode="External"/><Relationship Id="rId88" Type="http://schemas.openxmlformats.org/officeDocument/2006/relationships/hyperlink" Target="http://www.magazineluiza.com.br/" TargetMode="External"/><Relationship Id="rId91" Type="http://schemas.openxmlformats.org/officeDocument/2006/relationships/hyperlink" Target="http://www.americanas.com/" TargetMode="External"/><Relationship Id="rId96" Type="http://schemas.openxmlformats.org/officeDocument/2006/relationships/hyperlink" Target="http://www.americanas.com.br/" TargetMode="External"/><Relationship Id="rId111" Type="http://schemas.openxmlformats.org/officeDocument/2006/relationships/hyperlink" Target="http://www.pontofrio.com.br/" TargetMode="External"/><Relationship Id="rId132" Type="http://schemas.openxmlformats.org/officeDocument/2006/relationships/comments" Target="../comments11.xml"/><Relationship Id="rId1" Type="http://schemas.openxmlformats.org/officeDocument/2006/relationships/hyperlink" Target="http://www.americanas.com/" TargetMode="External"/><Relationship Id="rId6" Type="http://schemas.openxmlformats.org/officeDocument/2006/relationships/hyperlink" Target="mailto:vendas@copafer.com.br" TargetMode="External"/><Relationship Id="rId15" Type="http://schemas.openxmlformats.org/officeDocument/2006/relationships/hyperlink" Target="mailto:ecomm@aladimmetais.com.br" TargetMode="External"/><Relationship Id="rId23" Type="http://schemas.openxmlformats.org/officeDocument/2006/relationships/hyperlink" Target="http://www.jclfechaduras.com.br/" TargetMode="External"/><Relationship Id="rId28" Type="http://schemas.openxmlformats.org/officeDocument/2006/relationships/hyperlink" Target="mailto:vendas@reidasfechaduras.com.br" TargetMode="External"/><Relationship Id="rId36" Type="http://schemas.openxmlformats.org/officeDocument/2006/relationships/hyperlink" Target="http://www.leroymerlin.com.br/" TargetMode="External"/><Relationship Id="rId49" Type="http://schemas.openxmlformats.org/officeDocument/2006/relationships/hyperlink" Target="http://www.padovani.com.br/" TargetMode="External"/><Relationship Id="rId57" Type="http://schemas.openxmlformats.org/officeDocument/2006/relationships/hyperlink" Target="http://www.dular.com.br/" TargetMode="External"/><Relationship Id="rId106" Type="http://schemas.openxmlformats.org/officeDocument/2006/relationships/hyperlink" Target="http://www.americanas.com.br/" TargetMode="External"/><Relationship Id="rId114" Type="http://schemas.openxmlformats.org/officeDocument/2006/relationships/hyperlink" Target="mailto:admigormarine@gmail.com" TargetMode="External"/><Relationship Id="rId119" Type="http://schemas.openxmlformats.org/officeDocument/2006/relationships/hyperlink" Target="mailto:vendas1@novaexaustores.com.br" TargetMode="External"/><Relationship Id="rId127" Type="http://schemas.openxmlformats.org/officeDocument/2006/relationships/hyperlink" Target="mailto:vendas1@novaexaustores.com.br" TargetMode="External"/><Relationship Id="rId10" Type="http://schemas.openxmlformats.org/officeDocument/2006/relationships/hyperlink" Target="http://www.americanas.com/" TargetMode="External"/><Relationship Id="rId31" Type="http://schemas.openxmlformats.org/officeDocument/2006/relationships/hyperlink" Target="http://www.jclfechaduras.com.br/" TargetMode="External"/><Relationship Id="rId44" Type="http://schemas.openxmlformats.org/officeDocument/2006/relationships/hyperlink" Target="mailto:comercial@polysheet.com.br" TargetMode="External"/><Relationship Id="rId52" Type="http://schemas.openxmlformats.org/officeDocument/2006/relationships/hyperlink" Target="mailto:grx@grx.com.br" TargetMode="External"/><Relationship Id="rId60" Type="http://schemas.openxmlformats.org/officeDocument/2006/relationships/hyperlink" Target="mailto:contato@hidro-shop.com" TargetMode="External"/><Relationship Id="rId65" Type="http://schemas.openxmlformats.org/officeDocument/2006/relationships/hyperlink" Target="mailto:vendasonline@condec.com.br" TargetMode="External"/><Relationship Id="rId73" Type="http://schemas.openxmlformats.org/officeDocument/2006/relationships/hyperlink" Target="mailto:stefanny.borges@poleoduto.com.b" TargetMode="External"/><Relationship Id="rId78" Type="http://schemas.openxmlformats.org/officeDocument/2006/relationships/hyperlink" Target="mailto:admigormarine@gmail.com" TargetMode="External"/><Relationship Id="rId81" Type="http://schemas.openxmlformats.org/officeDocument/2006/relationships/hyperlink" Target="https://loja.multivac.com.br/" TargetMode="External"/><Relationship Id="rId86" Type="http://schemas.openxmlformats.org/officeDocument/2006/relationships/hyperlink" Target="http://www.magazineluiza.com.br/" TargetMode="External"/><Relationship Id="rId94" Type="http://schemas.openxmlformats.org/officeDocument/2006/relationships/hyperlink" Target="https://api.whatsapp.com/send?text=https://www.santil.com.br/produto/saida-lateral-34-comape/2897032/&amp;phone=551139983000" TargetMode="External"/><Relationship Id="rId99" Type="http://schemas.openxmlformats.org/officeDocument/2006/relationships/hyperlink" Target="http://www.extra.com.br/" TargetMode="External"/><Relationship Id="rId101" Type="http://schemas.openxmlformats.org/officeDocument/2006/relationships/hyperlink" Target="http://www.netalarmes.com.br/" TargetMode="External"/><Relationship Id="rId122" Type="http://schemas.openxmlformats.org/officeDocument/2006/relationships/hyperlink" Target="mailto:marcia@ciavento.com.br" TargetMode="External"/><Relationship Id="rId130" Type="http://schemas.openxmlformats.org/officeDocument/2006/relationships/drawing" Target="../drawings/drawing11.xml"/><Relationship Id="rId4" Type="http://schemas.openxmlformats.org/officeDocument/2006/relationships/hyperlink" Target="http://www.padovani.com.br/" TargetMode="External"/><Relationship Id="rId9" Type="http://schemas.openxmlformats.org/officeDocument/2006/relationships/hyperlink" Target="http://www.submarino.com/" TargetMode="External"/><Relationship Id="rId13" Type="http://schemas.openxmlformats.org/officeDocument/2006/relationships/hyperlink" Target="mailto:ecomm@aladimmetais.com.br" TargetMode="External"/><Relationship Id="rId18" Type="http://schemas.openxmlformats.org/officeDocument/2006/relationships/hyperlink" Target="http://www.americanas.com/" TargetMode="External"/><Relationship Id="rId39" Type="http://schemas.openxmlformats.org/officeDocument/2006/relationships/hyperlink" Target="mailto:sac@coberchapas.com.br" TargetMode="External"/><Relationship Id="rId109" Type="http://schemas.openxmlformats.org/officeDocument/2006/relationships/hyperlink" Target="mailto:contato@casadoserralheiro.com.br" TargetMode="External"/><Relationship Id="rId34" Type="http://schemas.openxmlformats.org/officeDocument/2006/relationships/hyperlink" Target="http://www.americanas.com/" TargetMode="External"/><Relationship Id="rId50" Type="http://schemas.openxmlformats.org/officeDocument/2006/relationships/hyperlink" Target="http://www.americanas.com/" TargetMode="External"/><Relationship Id="rId55" Type="http://schemas.openxmlformats.org/officeDocument/2006/relationships/hyperlink" Target="mailto:vendas@assentosanitario.com.br" TargetMode="External"/><Relationship Id="rId76" Type="http://schemas.openxmlformats.org/officeDocument/2006/relationships/hyperlink" Target="mailto:admigormarine@gmail.com" TargetMode="External"/><Relationship Id="rId97" Type="http://schemas.openxmlformats.org/officeDocument/2006/relationships/hyperlink" Target="http://www.magazineluiza.com.br/" TargetMode="External"/><Relationship Id="rId104" Type="http://schemas.openxmlformats.org/officeDocument/2006/relationships/hyperlink" Target="http://www.egvirtual.com.br/" TargetMode="External"/><Relationship Id="rId120" Type="http://schemas.openxmlformats.org/officeDocument/2006/relationships/hyperlink" Target="mailto:marcia@ciavento.com.br" TargetMode="External"/><Relationship Id="rId125" Type="http://schemas.openxmlformats.org/officeDocument/2006/relationships/hyperlink" Target="mailto:vendas1@novaexaustores.com.br" TargetMode="External"/><Relationship Id="rId7" Type="http://schemas.openxmlformats.org/officeDocument/2006/relationships/hyperlink" Target="http://www.leroymerlin.com.br/" TargetMode="External"/><Relationship Id="rId71" Type="http://schemas.openxmlformats.org/officeDocument/2006/relationships/hyperlink" Target="http://www.americanas.com/" TargetMode="External"/><Relationship Id="rId92" Type="http://schemas.openxmlformats.org/officeDocument/2006/relationships/hyperlink" Target="https://api.whatsapp.com/send?text=https://www.santil.com.br/produto/saida-lateral-34-comape/2897032/&amp;phone=551139983000" TargetMode="External"/><Relationship Id="rId2" Type="http://schemas.openxmlformats.org/officeDocument/2006/relationships/hyperlink" Target="mailto:contato@abcmaior.com.br" TargetMode="External"/><Relationship Id="rId29" Type="http://schemas.openxmlformats.org/officeDocument/2006/relationships/hyperlink" Target="http://www.jclfechaduras.com.br/" TargetMode="External"/><Relationship Id="rId24" Type="http://schemas.openxmlformats.org/officeDocument/2006/relationships/hyperlink" Target="mailto:vendas@reidasfechaduras.com.br" TargetMode="External"/><Relationship Id="rId40" Type="http://schemas.openxmlformats.org/officeDocument/2006/relationships/hyperlink" Target="mailto:vendas@lojadopoli.com" TargetMode="External"/><Relationship Id="rId45" Type="http://schemas.openxmlformats.org/officeDocument/2006/relationships/hyperlink" Target="http://www.americanas.com/" TargetMode="External"/><Relationship Id="rId66" Type="http://schemas.openxmlformats.org/officeDocument/2006/relationships/hyperlink" Target="http://www.americanas.com/" TargetMode="External"/><Relationship Id="rId87" Type="http://schemas.openxmlformats.org/officeDocument/2006/relationships/hyperlink" Target="http://www.breithaupt.com.br/" TargetMode="External"/><Relationship Id="rId110" Type="http://schemas.openxmlformats.org/officeDocument/2006/relationships/hyperlink" Target="http://www.lojadomecanico.com.br/" TargetMode="External"/><Relationship Id="rId115" Type="http://schemas.openxmlformats.org/officeDocument/2006/relationships/hyperlink" Target="https://loja.multivac.com.br/" TargetMode="External"/><Relationship Id="rId131" Type="http://schemas.openxmlformats.org/officeDocument/2006/relationships/vmlDrawing" Target="../drawings/vmlDrawing11.vml"/><Relationship Id="rId61" Type="http://schemas.openxmlformats.org/officeDocument/2006/relationships/hyperlink" Target="http://www.pontofrio.com.br/" TargetMode="External"/><Relationship Id="rId82" Type="http://schemas.openxmlformats.org/officeDocument/2006/relationships/hyperlink" Target="mailto:marcia@ciavento.com.br"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2.xml"/><Relationship Id="rId1" Type="http://schemas.openxmlformats.org/officeDocument/2006/relationships/printerSettings" Target="../printerSettings/printerSettings15.bin"/><Relationship Id="rId4" Type="http://schemas.openxmlformats.org/officeDocument/2006/relationships/comments" Target="../comments13.xml"/></Relationships>
</file>

<file path=xl/worksheets/_rels/sheet16.xml.rels><?xml version="1.0" encoding="UTF-8" standalone="yes"?>
<Relationships xmlns="http://schemas.openxmlformats.org/package/2006/relationships"><Relationship Id="rId13" Type="http://schemas.openxmlformats.org/officeDocument/2006/relationships/oleObject" Target="../embeddings/oleObject10.bin"/><Relationship Id="rId18" Type="http://schemas.openxmlformats.org/officeDocument/2006/relationships/oleObject" Target="../embeddings/oleObject15.bin"/><Relationship Id="rId26" Type="http://schemas.openxmlformats.org/officeDocument/2006/relationships/oleObject" Target="../embeddings/oleObject23.bin"/><Relationship Id="rId39" Type="http://schemas.openxmlformats.org/officeDocument/2006/relationships/oleObject" Target="../embeddings/oleObject36.bin"/><Relationship Id="rId21" Type="http://schemas.openxmlformats.org/officeDocument/2006/relationships/oleObject" Target="../embeddings/oleObject18.bin"/><Relationship Id="rId34" Type="http://schemas.openxmlformats.org/officeDocument/2006/relationships/oleObject" Target="../embeddings/oleObject31.bin"/><Relationship Id="rId42" Type="http://schemas.openxmlformats.org/officeDocument/2006/relationships/oleObject" Target="../embeddings/oleObject39.bin"/><Relationship Id="rId47" Type="http://schemas.openxmlformats.org/officeDocument/2006/relationships/oleObject" Target="../embeddings/oleObject44.bin"/><Relationship Id="rId50" Type="http://schemas.openxmlformats.org/officeDocument/2006/relationships/oleObject" Target="../embeddings/oleObject47.bin"/><Relationship Id="rId55" Type="http://schemas.openxmlformats.org/officeDocument/2006/relationships/oleObject" Target="../embeddings/oleObject52.bin"/><Relationship Id="rId63" Type="http://schemas.openxmlformats.org/officeDocument/2006/relationships/oleObject" Target="../embeddings/oleObject60.bin"/><Relationship Id="rId7" Type="http://schemas.openxmlformats.org/officeDocument/2006/relationships/oleObject" Target="../embeddings/oleObject4.bin"/><Relationship Id="rId2" Type="http://schemas.openxmlformats.org/officeDocument/2006/relationships/drawing" Target="../drawings/drawing13.xml"/><Relationship Id="rId16" Type="http://schemas.openxmlformats.org/officeDocument/2006/relationships/oleObject" Target="../embeddings/oleObject13.bin"/><Relationship Id="rId20" Type="http://schemas.openxmlformats.org/officeDocument/2006/relationships/oleObject" Target="../embeddings/oleObject17.bin"/><Relationship Id="rId29" Type="http://schemas.openxmlformats.org/officeDocument/2006/relationships/oleObject" Target="../embeddings/oleObject26.bin"/><Relationship Id="rId41" Type="http://schemas.openxmlformats.org/officeDocument/2006/relationships/oleObject" Target="../embeddings/oleObject38.bin"/><Relationship Id="rId54" Type="http://schemas.openxmlformats.org/officeDocument/2006/relationships/oleObject" Target="../embeddings/oleObject51.bin"/><Relationship Id="rId62" Type="http://schemas.openxmlformats.org/officeDocument/2006/relationships/oleObject" Target="../embeddings/oleObject59.bin"/><Relationship Id="rId1" Type="http://schemas.openxmlformats.org/officeDocument/2006/relationships/printerSettings" Target="../printerSettings/printerSettings16.bin"/><Relationship Id="rId6" Type="http://schemas.openxmlformats.org/officeDocument/2006/relationships/oleObject" Target="../embeddings/oleObject3.bin"/><Relationship Id="rId11" Type="http://schemas.openxmlformats.org/officeDocument/2006/relationships/oleObject" Target="../embeddings/oleObject8.bin"/><Relationship Id="rId24" Type="http://schemas.openxmlformats.org/officeDocument/2006/relationships/oleObject" Target="../embeddings/oleObject21.bin"/><Relationship Id="rId32" Type="http://schemas.openxmlformats.org/officeDocument/2006/relationships/oleObject" Target="../embeddings/oleObject29.bin"/><Relationship Id="rId37" Type="http://schemas.openxmlformats.org/officeDocument/2006/relationships/oleObject" Target="../embeddings/oleObject34.bin"/><Relationship Id="rId40" Type="http://schemas.openxmlformats.org/officeDocument/2006/relationships/oleObject" Target="../embeddings/oleObject37.bin"/><Relationship Id="rId45" Type="http://schemas.openxmlformats.org/officeDocument/2006/relationships/oleObject" Target="../embeddings/oleObject42.bin"/><Relationship Id="rId53" Type="http://schemas.openxmlformats.org/officeDocument/2006/relationships/oleObject" Target="../embeddings/oleObject50.bin"/><Relationship Id="rId58" Type="http://schemas.openxmlformats.org/officeDocument/2006/relationships/oleObject" Target="../embeddings/oleObject55.bin"/><Relationship Id="rId66" Type="http://schemas.openxmlformats.org/officeDocument/2006/relationships/comments" Target="../comments14.xml"/><Relationship Id="rId5" Type="http://schemas.openxmlformats.org/officeDocument/2006/relationships/oleObject" Target="../embeddings/oleObject2.bin"/><Relationship Id="rId15" Type="http://schemas.openxmlformats.org/officeDocument/2006/relationships/oleObject" Target="../embeddings/oleObject12.bin"/><Relationship Id="rId23" Type="http://schemas.openxmlformats.org/officeDocument/2006/relationships/oleObject" Target="../embeddings/oleObject20.bin"/><Relationship Id="rId28" Type="http://schemas.openxmlformats.org/officeDocument/2006/relationships/oleObject" Target="../embeddings/oleObject25.bin"/><Relationship Id="rId36" Type="http://schemas.openxmlformats.org/officeDocument/2006/relationships/oleObject" Target="../embeddings/oleObject33.bin"/><Relationship Id="rId49" Type="http://schemas.openxmlformats.org/officeDocument/2006/relationships/oleObject" Target="../embeddings/oleObject46.bin"/><Relationship Id="rId57" Type="http://schemas.openxmlformats.org/officeDocument/2006/relationships/oleObject" Target="../embeddings/oleObject54.bin"/><Relationship Id="rId61" Type="http://schemas.openxmlformats.org/officeDocument/2006/relationships/oleObject" Target="../embeddings/oleObject58.bin"/><Relationship Id="rId10" Type="http://schemas.openxmlformats.org/officeDocument/2006/relationships/oleObject" Target="../embeddings/oleObject7.bin"/><Relationship Id="rId19" Type="http://schemas.openxmlformats.org/officeDocument/2006/relationships/oleObject" Target="../embeddings/oleObject16.bin"/><Relationship Id="rId31" Type="http://schemas.openxmlformats.org/officeDocument/2006/relationships/oleObject" Target="../embeddings/oleObject28.bin"/><Relationship Id="rId44" Type="http://schemas.openxmlformats.org/officeDocument/2006/relationships/oleObject" Target="../embeddings/oleObject41.bin"/><Relationship Id="rId52" Type="http://schemas.openxmlformats.org/officeDocument/2006/relationships/oleObject" Target="../embeddings/oleObject49.bin"/><Relationship Id="rId60" Type="http://schemas.openxmlformats.org/officeDocument/2006/relationships/oleObject" Target="../embeddings/oleObject57.bin"/><Relationship Id="rId65" Type="http://schemas.openxmlformats.org/officeDocument/2006/relationships/oleObject" Target="../embeddings/oleObject62.bin"/><Relationship Id="rId4" Type="http://schemas.openxmlformats.org/officeDocument/2006/relationships/oleObject" Target="../embeddings/oleObject1.bin"/><Relationship Id="rId9" Type="http://schemas.openxmlformats.org/officeDocument/2006/relationships/oleObject" Target="../embeddings/oleObject6.bin"/><Relationship Id="rId14" Type="http://schemas.openxmlformats.org/officeDocument/2006/relationships/oleObject" Target="../embeddings/oleObject11.bin"/><Relationship Id="rId22" Type="http://schemas.openxmlformats.org/officeDocument/2006/relationships/oleObject" Target="../embeddings/oleObject19.bin"/><Relationship Id="rId27" Type="http://schemas.openxmlformats.org/officeDocument/2006/relationships/oleObject" Target="../embeddings/oleObject24.bin"/><Relationship Id="rId30" Type="http://schemas.openxmlformats.org/officeDocument/2006/relationships/oleObject" Target="../embeddings/oleObject27.bin"/><Relationship Id="rId35" Type="http://schemas.openxmlformats.org/officeDocument/2006/relationships/oleObject" Target="../embeddings/oleObject32.bin"/><Relationship Id="rId43" Type="http://schemas.openxmlformats.org/officeDocument/2006/relationships/oleObject" Target="../embeddings/oleObject40.bin"/><Relationship Id="rId48" Type="http://schemas.openxmlformats.org/officeDocument/2006/relationships/oleObject" Target="../embeddings/oleObject45.bin"/><Relationship Id="rId56" Type="http://schemas.openxmlformats.org/officeDocument/2006/relationships/oleObject" Target="../embeddings/oleObject53.bin"/><Relationship Id="rId64" Type="http://schemas.openxmlformats.org/officeDocument/2006/relationships/oleObject" Target="../embeddings/oleObject61.bin"/><Relationship Id="rId8" Type="http://schemas.openxmlformats.org/officeDocument/2006/relationships/oleObject" Target="../embeddings/oleObject5.bin"/><Relationship Id="rId51" Type="http://schemas.openxmlformats.org/officeDocument/2006/relationships/oleObject" Target="../embeddings/oleObject48.bin"/><Relationship Id="rId3" Type="http://schemas.openxmlformats.org/officeDocument/2006/relationships/vmlDrawing" Target="../drawings/vmlDrawing14.vml"/><Relationship Id="rId12" Type="http://schemas.openxmlformats.org/officeDocument/2006/relationships/oleObject" Target="../embeddings/oleObject9.bin"/><Relationship Id="rId17" Type="http://schemas.openxmlformats.org/officeDocument/2006/relationships/oleObject" Target="../embeddings/oleObject14.bin"/><Relationship Id="rId25" Type="http://schemas.openxmlformats.org/officeDocument/2006/relationships/oleObject" Target="../embeddings/oleObject22.bin"/><Relationship Id="rId33" Type="http://schemas.openxmlformats.org/officeDocument/2006/relationships/oleObject" Target="../embeddings/oleObject30.bin"/><Relationship Id="rId38" Type="http://schemas.openxmlformats.org/officeDocument/2006/relationships/oleObject" Target="../embeddings/oleObject35.bin"/><Relationship Id="rId46" Type="http://schemas.openxmlformats.org/officeDocument/2006/relationships/oleObject" Target="../embeddings/oleObject43.bin"/><Relationship Id="rId59" Type="http://schemas.openxmlformats.org/officeDocument/2006/relationships/oleObject" Target="../embeddings/oleObject5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sheetPr>
    <tabColor rgb="FF00B050"/>
  </sheetPr>
  <dimension ref="C1:M53"/>
  <sheetViews>
    <sheetView showGridLines="0" view="pageBreakPreview" topLeftCell="A23" zoomScale="115" zoomScaleNormal="100" zoomScaleSheetLayoutView="115" workbookViewId="0">
      <selection activeCell="I34" sqref="I34"/>
    </sheetView>
  </sheetViews>
  <sheetFormatPr defaultRowHeight="15"/>
  <cols>
    <col min="1" max="1" width="9.140625" style="3"/>
    <col min="2" max="2" width="1.42578125" style="3" customWidth="1"/>
    <col min="3" max="3" width="2.7109375" style="3" customWidth="1"/>
    <col min="4" max="4" width="20.140625" style="3" customWidth="1"/>
    <col min="5" max="5" width="50.140625" style="451" customWidth="1"/>
    <col min="6" max="6" width="23.42578125" style="3" customWidth="1"/>
    <col min="7" max="7" width="2.7109375" style="3" customWidth="1"/>
    <col min="8" max="8" width="1.42578125" style="3" customWidth="1"/>
    <col min="9" max="9" width="15.85546875" style="3" bestFit="1" customWidth="1"/>
    <col min="10" max="10" width="9.140625" style="3"/>
    <col min="11" max="13" width="15.85546875" style="3" bestFit="1" customWidth="1"/>
    <col min="14" max="258" width="9.140625" style="3"/>
    <col min="259" max="259" width="2.7109375" style="3" customWidth="1"/>
    <col min="260" max="260" width="20.140625" style="3" customWidth="1"/>
    <col min="261" max="261" width="50.140625" style="3" customWidth="1"/>
    <col min="262" max="262" width="23.42578125" style="3" customWidth="1"/>
    <col min="263" max="264" width="2.7109375" style="3" customWidth="1"/>
    <col min="265" max="265" width="15.28515625" style="3" bestFit="1" customWidth="1"/>
    <col min="266" max="266" width="9.140625" style="3"/>
    <col min="267" max="267" width="11.28515625" style="3" bestFit="1" customWidth="1"/>
    <col min="268" max="514" width="9.140625" style="3"/>
    <col min="515" max="515" width="2.7109375" style="3" customWidth="1"/>
    <col min="516" max="516" width="20.140625" style="3" customWidth="1"/>
    <col min="517" max="517" width="50.140625" style="3" customWidth="1"/>
    <col min="518" max="518" width="23.42578125" style="3" customWidth="1"/>
    <col min="519" max="520" width="2.7109375" style="3" customWidth="1"/>
    <col min="521" max="521" width="15.28515625" style="3" bestFit="1" customWidth="1"/>
    <col min="522" max="522" width="9.140625" style="3"/>
    <col min="523" max="523" width="11.28515625" style="3" bestFit="1" customWidth="1"/>
    <col min="524" max="770" width="9.140625" style="3"/>
    <col min="771" max="771" width="2.7109375" style="3" customWidth="1"/>
    <col min="772" max="772" width="20.140625" style="3" customWidth="1"/>
    <col min="773" max="773" width="50.140625" style="3" customWidth="1"/>
    <col min="774" max="774" width="23.42578125" style="3" customWidth="1"/>
    <col min="775" max="776" width="2.7109375" style="3" customWidth="1"/>
    <col min="777" max="777" width="15.28515625" style="3" bestFit="1" customWidth="1"/>
    <col min="778" max="778" width="9.140625" style="3"/>
    <col min="779" max="779" width="11.28515625" style="3" bestFit="1" customWidth="1"/>
    <col min="780" max="1026" width="9.140625" style="3"/>
    <col min="1027" max="1027" width="2.7109375" style="3" customWidth="1"/>
    <col min="1028" max="1028" width="20.140625" style="3" customWidth="1"/>
    <col min="1029" max="1029" width="50.140625" style="3" customWidth="1"/>
    <col min="1030" max="1030" width="23.42578125" style="3" customWidth="1"/>
    <col min="1031" max="1032" width="2.7109375" style="3" customWidth="1"/>
    <col min="1033" max="1033" width="15.28515625" style="3" bestFit="1" customWidth="1"/>
    <col min="1034" max="1034" width="9.140625" style="3"/>
    <col min="1035" max="1035" width="11.28515625" style="3" bestFit="1" customWidth="1"/>
    <col min="1036" max="1282" width="9.140625" style="3"/>
    <col min="1283" max="1283" width="2.7109375" style="3" customWidth="1"/>
    <col min="1284" max="1284" width="20.140625" style="3" customWidth="1"/>
    <col min="1285" max="1285" width="50.140625" style="3" customWidth="1"/>
    <col min="1286" max="1286" width="23.42578125" style="3" customWidth="1"/>
    <col min="1287" max="1288" width="2.7109375" style="3" customWidth="1"/>
    <col min="1289" max="1289" width="15.28515625" style="3" bestFit="1" customWidth="1"/>
    <col min="1290" max="1290" width="9.140625" style="3"/>
    <col min="1291" max="1291" width="11.28515625" style="3" bestFit="1" customWidth="1"/>
    <col min="1292" max="1538" width="9.140625" style="3"/>
    <col min="1539" max="1539" width="2.7109375" style="3" customWidth="1"/>
    <col min="1540" max="1540" width="20.140625" style="3" customWidth="1"/>
    <col min="1541" max="1541" width="50.140625" style="3" customWidth="1"/>
    <col min="1542" max="1542" width="23.42578125" style="3" customWidth="1"/>
    <col min="1543" max="1544" width="2.7109375" style="3" customWidth="1"/>
    <col min="1545" max="1545" width="15.28515625" style="3" bestFit="1" customWidth="1"/>
    <col min="1546" max="1546" width="9.140625" style="3"/>
    <col min="1547" max="1547" width="11.28515625" style="3" bestFit="1" customWidth="1"/>
    <col min="1548" max="1794" width="9.140625" style="3"/>
    <col min="1795" max="1795" width="2.7109375" style="3" customWidth="1"/>
    <col min="1796" max="1796" width="20.140625" style="3" customWidth="1"/>
    <col min="1797" max="1797" width="50.140625" style="3" customWidth="1"/>
    <col min="1798" max="1798" width="23.42578125" style="3" customWidth="1"/>
    <col min="1799" max="1800" width="2.7109375" style="3" customWidth="1"/>
    <col min="1801" max="1801" width="15.28515625" style="3" bestFit="1" customWidth="1"/>
    <col min="1802" max="1802" width="9.140625" style="3"/>
    <col min="1803" max="1803" width="11.28515625" style="3" bestFit="1" customWidth="1"/>
    <col min="1804" max="2050" width="9.140625" style="3"/>
    <col min="2051" max="2051" width="2.7109375" style="3" customWidth="1"/>
    <col min="2052" max="2052" width="20.140625" style="3" customWidth="1"/>
    <col min="2053" max="2053" width="50.140625" style="3" customWidth="1"/>
    <col min="2054" max="2054" width="23.42578125" style="3" customWidth="1"/>
    <col min="2055" max="2056" width="2.7109375" style="3" customWidth="1"/>
    <col min="2057" max="2057" width="15.28515625" style="3" bestFit="1" customWidth="1"/>
    <col min="2058" max="2058" width="9.140625" style="3"/>
    <col min="2059" max="2059" width="11.28515625" style="3" bestFit="1" customWidth="1"/>
    <col min="2060" max="2306" width="9.140625" style="3"/>
    <col min="2307" max="2307" width="2.7109375" style="3" customWidth="1"/>
    <col min="2308" max="2308" width="20.140625" style="3" customWidth="1"/>
    <col min="2309" max="2309" width="50.140625" style="3" customWidth="1"/>
    <col min="2310" max="2310" width="23.42578125" style="3" customWidth="1"/>
    <col min="2311" max="2312" width="2.7109375" style="3" customWidth="1"/>
    <col min="2313" max="2313" width="15.28515625" style="3" bestFit="1" customWidth="1"/>
    <col min="2314" max="2314" width="9.140625" style="3"/>
    <col min="2315" max="2315" width="11.28515625" style="3" bestFit="1" customWidth="1"/>
    <col min="2316" max="2562" width="9.140625" style="3"/>
    <col min="2563" max="2563" width="2.7109375" style="3" customWidth="1"/>
    <col min="2564" max="2564" width="20.140625" style="3" customWidth="1"/>
    <col min="2565" max="2565" width="50.140625" style="3" customWidth="1"/>
    <col min="2566" max="2566" width="23.42578125" style="3" customWidth="1"/>
    <col min="2567" max="2568" width="2.7109375" style="3" customWidth="1"/>
    <col min="2569" max="2569" width="15.28515625" style="3" bestFit="1" customWidth="1"/>
    <col min="2570" max="2570" width="9.140625" style="3"/>
    <col min="2571" max="2571" width="11.28515625" style="3" bestFit="1" customWidth="1"/>
    <col min="2572" max="2818" width="9.140625" style="3"/>
    <col min="2819" max="2819" width="2.7109375" style="3" customWidth="1"/>
    <col min="2820" max="2820" width="20.140625" style="3" customWidth="1"/>
    <col min="2821" max="2821" width="50.140625" style="3" customWidth="1"/>
    <col min="2822" max="2822" width="23.42578125" style="3" customWidth="1"/>
    <col min="2823" max="2824" width="2.7109375" style="3" customWidth="1"/>
    <col min="2825" max="2825" width="15.28515625" style="3" bestFit="1" customWidth="1"/>
    <col min="2826" max="2826" width="9.140625" style="3"/>
    <col min="2827" max="2827" width="11.28515625" style="3" bestFit="1" customWidth="1"/>
    <col min="2828" max="3074" width="9.140625" style="3"/>
    <col min="3075" max="3075" width="2.7109375" style="3" customWidth="1"/>
    <col min="3076" max="3076" width="20.140625" style="3" customWidth="1"/>
    <col min="3077" max="3077" width="50.140625" style="3" customWidth="1"/>
    <col min="3078" max="3078" width="23.42578125" style="3" customWidth="1"/>
    <col min="3079" max="3080" width="2.7109375" style="3" customWidth="1"/>
    <col min="3081" max="3081" width="15.28515625" style="3" bestFit="1" customWidth="1"/>
    <col min="3082" max="3082" width="9.140625" style="3"/>
    <col min="3083" max="3083" width="11.28515625" style="3" bestFit="1" customWidth="1"/>
    <col min="3084" max="3330" width="9.140625" style="3"/>
    <col min="3331" max="3331" width="2.7109375" style="3" customWidth="1"/>
    <col min="3332" max="3332" width="20.140625" style="3" customWidth="1"/>
    <col min="3333" max="3333" width="50.140625" style="3" customWidth="1"/>
    <col min="3334" max="3334" width="23.42578125" style="3" customWidth="1"/>
    <col min="3335" max="3336" width="2.7109375" style="3" customWidth="1"/>
    <col min="3337" max="3337" width="15.28515625" style="3" bestFit="1" customWidth="1"/>
    <col min="3338" max="3338" width="9.140625" style="3"/>
    <col min="3339" max="3339" width="11.28515625" style="3" bestFit="1" customWidth="1"/>
    <col min="3340" max="3586" width="9.140625" style="3"/>
    <col min="3587" max="3587" width="2.7109375" style="3" customWidth="1"/>
    <col min="3588" max="3588" width="20.140625" style="3" customWidth="1"/>
    <col min="3589" max="3589" width="50.140625" style="3" customWidth="1"/>
    <col min="3590" max="3590" width="23.42578125" style="3" customWidth="1"/>
    <col min="3591" max="3592" width="2.7109375" style="3" customWidth="1"/>
    <col min="3593" max="3593" width="15.28515625" style="3" bestFit="1" customWidth="1"/>
    <col min="3594" max="3594" width="9.140625" style="3"/>
    <col min="3595" max="3595" width="11.28515625" style="3" bestFit="1" customWidth="1"/>
    <col min="3596" max="3842" width="9.140625" style="3"/>
    <col min="3843" max="3843" width="2.7109375" style="3" customWidth="1"/>
    <col min="3844" max="3844" width="20.140625" style="3" customWidth="1"/>
    <col min="3845" max="3845" width="50.140625" style="3" customWidth="1"/>
    <col min="3846" max="3846" width="23.42578125" style="3" customWidth="1"/>
    <col min="3847" max="3848" width="2.7109375" style="3" customWidth="1"/>
    <col min="3849" max="3849" width="15.28515625" style="3" bestFit="1" customWidth="1"/>
    <col min="3850" max="3850" width="9.140625" style="3"/>
    <col min="3851" max="3851" width="11.28515625" style="3" bestFit="1" customWidth="1"/>
    <col min="3852" max="4098" width="9.140625" style="3"/>
    <col min="4099" max="4099" width="2.7109375" style="3" customWidth="1"/>
    <col min="4100" max="4100" width="20.140625" style="3" customWidth="1"/>
    <col min="4101" max="4101" width="50.140625" style="3" customWidth="1"/>
    <col min="4102" max="4102" width="23.42578125" style="3" customWidth="1"/>
    <col min="4103" max="4104" width="2.7109375" style="3" customWidth="1"/>
    <col min="4105" max="4105" width="15.28515625" style="3" bestFit="1" customWidth="1"/>
    <col min="4106" max="4106" width="9.140625" style="3"/>
    <col min="4107" max="4107" width="11.28515625" style="3" bestFit="1" customWidth="1"/>
    <col min="4108" max="4354" width="9.140625" style="3"/>
    <col min="4355" max="4355" width="2.7109375" style="3" customWidth="1"/>
    <col min="4356" max="4356" width="20.140625" style="3" customWidth="1"/>
    <col min="4357" max="4357" width="50.140625" style="3" customWidth="1"/>
    <col min="4358" max="4358" width="23.42578125" style="3" customWidth="1"/>
    <col min="4359" max="4360" width="2.7109375" style="3" customWidth="1"/>
    <col min="4361" max="4361" width="15.28515625" style="3" bestFit="1" customWidth="1"/>
    <col min="4362" max="4362" width="9.140625" style="3"/>
    <col min="4363" max="4363" width="11.28515625" style="3" bestFit="1" customWidth="1"/>
    <col min="4364" max="4610" width="9.140625" style="3"/>
    <col min="4611" max="4611" width="2.7109375" style="3" customWidth="1"/>
    <col min="4612" max="4612" width="20.140625" style="3" customWidth="1"/>
    <col min="4613" max="4613" width="50.140625" style="3" customWidth="1"/>
    <col min="4614" max="4614" width="23.42578125" style="3" customWidth="1"/>
    <col min="4615" max="4616" width="2.7109375" style="3" customWidth="1"/>
    <col min="4617" max="4617" width="15.28515625" style="3" bestFit="1" customWidth="1"/>
    <col min="4618" max="4618" width="9.140625" style="3"/>
    <col min="4619" max="4619" width="11.28515625" style="3" bestFit="1" customWidth="1"/>
    <col min="4620" max="4866" width="9.140625" style="3"/>
    <col min="4867" max="4867" width="2.7109375" style="3" customWidth="1"/>
    <col min="4868" max="4868" width="20.140625" style="3" customWidth="1"/>
    <col min="4869" max="4869" width="50.140625" style="3" customWidth="1"/>
    <col min="4870" max="4870" width="23.42578125" style="3" customWidth="1"/>
    <col min="4871" max="4872" width="2.7109375" style="3" customWidth="1"/>
    <col min="4873" max="4873" width="15.28515625" style="3" bestFit="1" customWidth="1"/>
    <col min="4874" max="4874" width="9.140625" style="3"/>
    <col min="4875" max="4875" width="11.28515625" style="3" bestFit="1" customWidth="1"/>
    <col min="4876" max="5122" width="9.140625" style="3"/>
    <col min="5123" max="5123" width="2.7109375" style="3" customWidth="1"/>
    <col min="5124" max="5124" width="20.140625" style="3" customWidth="1"/>
    <col min="5125" max="5125" width="50.140625" style="3" customWidth="1"/>
    <col min="5126" max="5126" width="23.42578125" style="3" customWidth="1"/>
    <col min="5127" max="5128" width="2.7109375" style="3" customWidth="1"/>
    <col min="5129" max="5129" width="15.28515625" style="3" bestFit="1" customWidth="1"/>
    <col min="5130" max="5130" width="9.140625" style="3"/>
    <col min="5131" max="5131" width="11.28515625" style="3" bestFit="1" customWidth="1"/>
    <col min="5132" max="5378" width="9.140625" style="3"/>
    <col min="5379" max="5379" width="2.7109375" style="3" customWidth="1"/>
    <col min="5380" max="5380" width="20.140625" style="3" customWidth="1"/>
    <col min="5381" max="5381" width="50.140625" style="3" customWidth="1"/>
    <col min="5382" max="5382" width="23.42578125" style="3" customWidth="1"/>
    <col min="5383" max="5384" width="2.7109375" style="3" customWidth="1"/>
    <col min="5385" max="5385" width="15.28515625" style="3" bestFit="1" customWidth="1"/>
    <col min="5386" max="5386" width="9.140625" style="3"/>
    <col min="5387" max="5387" width="11.28515625" style="3" bestFit="1" customWidth="1"/>
    <col min="5388" max="5634" width="9.140625" style="3"/>
    <col min="5635" max="5635" width="2.7109375" style="3" customWidth="1"/>
    <col min="5636" max="5636" width="20.140625" style="3" customWidth="1"/>
    <col min="5637" max="5637" width="50.140625" style="3" customWidth="1"/>
    <col min="5638" max="5638" width="23.42578125" style="3" customWidth="1"/>
    <col min="5639" max="5640" width="2.7109375" style="3" customWidth="1"/>
    <col min="5641" max="5641" width="15.28515625" style="3" bestFit="1" customWidth="1"/>
    <col min="5642" max="5642" width="9.140625" style="3"/>
    <col min="5643" max="5643" width="11.28515625" style="3" bestFit="1" customWidth="1"/>
    <col min="5644" max="5890" width="9.140625" style="3"/>
    <col min="5891" max="5891" width="2.7109375" style="3" customWidth="1"/>
    <col min="5892" max="5892" width="20.140625" style="3" customWidth="1"/>
    <col min="5893" max="5893" width="50.140625" style="3" customWidth="1"/>
    <col min="5894" max="5894" width="23.42578125" style="3" customWidth="1"/>
    <col min="5895" max="5896" width="2.7109375" style="3" customWidth="1"/>
    <col min="5897" max="5897" width="15.28515625" style="3" bestFit="1" customWidth="1"/>
    <col min="5898" max="5898" width="9.140625" style="3"/>
    <col min="5899" max="5899" width="11.28515625" style="3" bestFit="1" customWidth="1"/>
    <col min="5900" max="6146" width="9.140625" style="3"/>
    <col min="6147" max="6147" width="2.7109375" style="3" customWidth="1"/>
    <col min="6148" max="6148" width="20.140625" style="3" customWidth="1"/>
    <col min="6149" max="6149" width="50.140625" style="3" customWidth="1"/>
    <col min="6150" max="6150" width="23.42578125" style="3" customWidth="1"/>
    <col min="6151" max="6152" width="2.7109375" style="3" customWidth="1"/>
    <col min="6153" max="6153" width="15.28515625" style="3" bestFit="1" customWidth="1"/>
    <col min="6154" max="6154" width="9.140625" style="3"/>
    <col min="6155" max="6155" width="11.28515625" style="3" bestFit="1" customWidth="1"/>
    <col min="6156" max="6402" width="9.140625" style="3"/>
    <col min="6403" max="6403" width="2.7109375" style="3" customWidth="1"/>
    <col min="6404" max="6404" width="20.140625" style="3" customWidth="1"/>
    <col min="6405" max="6405" width="50.140625" style="3" customWidth="1"/>
    <col min="6406" max="6406" width="23.42578125" style="3" customWidth="1"/>
    <col min="6407" max="6408" width="2.7109375" style="3" customWidth="1"/>
    <col min="6409" max="6409" width="15.28515625" style="3" bestFit="1" customWidth="1"/>
    <col min="6410" max="6410" width="9.140625" style="3"/>
    <col min="6411" max="6411" width="11.28515625" style="3" bestFit="1" customWidth="1"/>
    <col min="6412" max="6658" width="9.140625" style="3"/>
    <col min="6659" max="6659" width="2.7109375" style="3" customWidth="1"/>
    <col min="6660" max="6660" width="20.140625" style="3" customWidth="1"/>
    <col min="6661" max="6661" width="50.140625" style="3" customWidth="1"/>
    <col min="6662" max="6662" width="23.42578125" style="3" customWidth="1"/>
    <col min="6663" max="6664" width="2.7109375" style="3" customWidth="1"/>
    <col min="6665" max="6665" width="15.28515625" style="3" bestFit="1" customWidth="1"/>
    <col min="6666" max="6666" width="9.140625" style="3"/>
    <col min="6667" max="6667" width="11.28515625" style="3" bestFit="1" customWidth="1"/>
    <col min="6668" max="6914" width="9.140625" style="3"/>
    <col min="6915" max="6915" width="2.7109375" style="3" customWidth="1"/>
    <col min="6916" max="6916" width="20.140625" style="3" customWidth="1"/>
    <col min="6917" max="6917" width="50.140625" style="3" customWidth="1"/>
    <col min="6918" max="6918" width="23.42578125" style="3" customWidth="1"/>
    <col min="6919" max="6920" width="2.7109375" style="3" customWidth="1"/>
    <col min="6921" max="6921" width="15.28515625" style="3" bestFit="1" customWidth="1"/>
    <col min="6922" max="6922" width="9.140625" style="3"/>
    <col min="6923" max="6923" width="11.28515625" style="3" bestFit="1" customWidth="1"/>
    <col min="6924" max="7170" width="9.140625" style="3"/>
    <col min="7171" max="7171" width="2.7109375" style="3" customWidth="1"/>
    <col min="7172" max="7172" width="20.140625" style="3" customWidth="1"/>
    <col min="7173" max="7173" width="50.140625" style="3" customWidth="1"/>
    <col min="7174" max="7174" width="23.42578125" style="3" customWidth="1"/>
    <col min="7175" max="7176" width="2.7109375" style="3" customWidth="1"/>
    <col min="7177" max="7177" width="15.28515625" style="3" bestFit="1" customWidth="1"/>
    <col min="7178" max="7178" width="9.140625" style="3"/>
    <col min="7179" max="7179" width="11.28515625" style="3" bestFit="1" customWidth="1"/>
    <col min="7180" max="7426" width="9.140625" style="3"/>
    <col min="7427" max="7427" width="2.7109375" style="3" customWidth="1"/>
    <col min="7428" max="7428" width="20.140625" style="3" customWidth="1"/>
    <col min="7429" max="7429" width="50.140625" style="3" customWidth="1"/>
    <col min="7430" max="7430" width="23.42578125" style="3" customWidth="1"/>
    <col min="7431" max="7432" width="2.7109375" style="3" customWidth="1"/>
    <col min="7433" max="7433" width="15.28515625" style="3" bestFit="1" customWidth="1"/>
    <col min="7434" max="7434" width="9.140625" style="3"/>
    <col min="7435" max="7435" width="11.28515625" style="3" bestFit="1" customWidth="1"/>
    <col min="7436" max="7682" width="9.140625" style="3"/>
    <col min="7683" max="7683" width="2.7109375" style="3" customWidth="1"/>
    <col min="7684" max="7684" width="20.140625" style="3" customWidth="1"/>
    <col min="7685" max="7685" width="50.140625" style="3" customWidth="1"/>
    <col min="7686" max="7686" width="23.42578125" style="3" customWidth="1"/>
    <col min="7687" max="7688" width="2.7109375" style="3" customWidth="1"/>
    <col min="7689" max="7689" width="15.28515625" style="3" bestFit="1" customWidth="1"/>
    <col min="7690" max="7690" width="9.140625" style="3"/>
    <col min="7691" max="7691" width="11.28515625" style="3" bestFit="1" customWidth="1"/>
    <col min="7692" max="7938" width="9.140625" style="3"/>
    <col min="7939" max="7939" width="2.7109375" style="3" customWidth="1"/>
    <col min="7940" max="7940" width="20.140625" style="3" customWidth="1"/>
    <col min="7941" max="7941" width="50.140625" style="3" customWidth="1"/>
    <col min="7942" max="7942" width="23.42578125" style="3" customWidth="1"/>
    <col min="7943" max="7944" width="2.7109375" style="3" customWidth="1"/>
    <col min="7945" max="7945" width="15.28515625" style="3" bestFit="1" customWidth="1"/>
    <col min="7946" max="7946" width="9.140625" style="3"/>
    <col min="7947" max="7947" width="11.28515625" style="3" bestFit="1" customWidth="1"/>
    <col min="7948" max="8194" width="9.140625" style="3"/>
    <col min="8195" max="8195" width="2.7109375" style="3" customWidth="1"/>
    <col min="8196" max="8196" width="20.140625" style="3" customWidth="1"/>
    <col min="8197" max="8197" width="50.140625" style="3" customWidth="1"/>
    <col min="8198" max="8198" width="23.42578125" style="3" customWidth="1"/>
    <col min="8199" max="8200" width="2.7109375" style="3" customWidth="1"/>
    <col min="8201" max="8201" width="15.28515625" style="3" bestFit="1" customWidth="1"/>
    <col min="8202" max="8202" width="9.140625" style="3"/>
    <col min="8203" max="8203" width="11.28515625" style="3" bestFit="1" customWidth="1"/>
    <col min="8204" max="8450" width="9.140625" style="3"/>
    <col min="8451" max="8451" width="2.7109375" style="3" customWidth="1"/>
    <col min="8452" max="8452" width="20.140625" style="3" customWidth="1"/>
    <col min="8453" max="8453" width="50.140625" style="3" customWidth="1"/>
    <col min="8454" max="8454" width="23.42578125" style="3" customWidth="1"/>
    <col min="8455" max="8456" width="2.7109375" style="3" customWidth="1"/>
    <col min="8457" max="8457" width="15.28515625" style="3" bestFit="1" customWidth="1"/>
    <col min="8458" max="8458" width="9.140625" style="3"/>
    <col min="8459" max="8459" width="11.28515625" style="3" bestFit="1" customWidth="1"/>
    <col min="8460" max="8706" width="9.140625" style="3"/>
    <col min="8707" max="8707" width="2.7109375" style="3" customWidth="1"/>
    <col min="8708" max="8708" width="20.140625" style="3" customWidth="1"/>
    <col min="8709" max="8709" width="50.140625" style="3" customWidth="1"/>
    <col min="8710" max="8710" width="23.42578125" style="3" customWidth="1"/>
    <col min="8711" max="8712" width="2.7109375" style="3" customWidth="1"/>
    <col min="8713" max="8713" width="15.28515625" style="3" bestFit="1" customWidth="1"/>
    <col min="8714" max="8714" width="9.140625" style="3"/>
    <col min="8715" max="8715" width="11.28515625" style="3" bestFit="1" customWidth="1"/>
    <col min="8716" max="8962" width="9.140625" style="3"/>
    <col min="8963" max="8963" width="2.7109375" style="3" customWidth="1"/>
    <col min="8964" max="8964" width="20.140625" style="3" customWidth="1"/>
    <col min="8965" max="8965" width="50.140625" style="3" customWidth="1"/>
    <col min="8966" max="8966" width="23.42578125" style="3" customWidth="1"/>
    <col min="8967" max="8968" width="2.7109375" style="3" customWidth="1"/>
    <col min="8969" max="8969" width="15.28515625" style="3" bestFit="1" customWidth="1"/>
    <col min="8970" max="8970" width="9.140625" style="3"/>
    <col min="8971" max="8971" width="11.28515625" style="3" bestFit="1" customWidth="1"/>
    <col min="8972" max="9218" width="9.140625" style="3"/>
    <col min="9219" max="9219" width="2.7109375" style="3" customWidth="1"/>
    <col min="9220" max="9220" width="20.140625" style="3" customWidth="1"/>
    <col min="9221" max="9221" width="50.140625" style="3" customWidth="1"/>
    <col min="9222" max="9222" width="23.42578125" style="3" customWidth="1"/>
    <col min="9223" max="9224" width="2.7109375" style="3" customWidth="1"/>
    <col min="9225" max="9225" width="15.28515625" style="3" bestFit="1" customWidth="1"/>
    <col min="9226" max="9226" width="9.140625" style="3"/>
    <col min="9227" max="9227" width="11.28515625" style="3" bestFit="1" customWidth="1"/>
    <col min="9228" max="9474" width="9.140625" style="3"/>
    <col min="9475" max="9475" width="2.7109375" style="3" customWidth="1"/>
    <col min="9476" max="9476" width="20.140625" style="3" customWidth="1"/>
    <col min="9477" max="9477" width="50.140625" style="3" customWidth="1"/>
    <col min="9478" max="9478" width="23.42578125" style="3" customWidth="1"/>
    <col min="9479" max="9480" width="2.7109375" style="3" customWidth="1"/>
    <col min="9481" max="9481" width="15.28515625" style="3" bestFit="1" customWidth="1"/>
    <col min="9482" max="9482" width="9.140625" style="3"/>
    <col min="9483" max="9483" width="11.28515625" style="3" bestFit="1" customWidth="1"/>
    <col min="9484" max="9730" width="9.140625" style="3"/>
    <col min="9731" max="9731" width="2.7109375" style="3" customWidth="1"/>
    <col min="9732" max="9732" width="20.140625" style="3" customWidth="1"/>
    <col min="9733" max="9733" width="50.140625" style="3" customWidth="1"/>
    <col min="9734" max="9734" width="23.42578125" style="3" customWidth="1"/>
    <col min="9735" max="9736" width="2.7109375" style="3" customWidth="1"/>
    <col min="9737" max="9737" width="15.28515625" style="3" bestFit="1" customWidth="1"/>
    <col min="9738" max="9738" width="9.140625" style="3"/>
    <col min="9739" max="9739" width="11.28515625" style="3" bestFit="1" customWidth="1"/>
    <col min="9740" max="9986" width="9.140625" style="3"/>
    <col min="9987" max="9987" width="2.7109375" style="3" customWidth="1"/>
    <col min="9988" max="9988" width="20.140625" style="3" customWidth="1"/>
    <col min="9989" max="9989" width="50.140625" style="3" customWidth="1"/>
    <col min="9990" max="9990" width="23.42578125" style="3" customWidth="1"/>
    <col min="9991" max="9992" width="2.7109375" style="3" customWidth="1"/>
    <col min="9993" max="9993" width="15.28515625" style="3" bestFit="1" customWidth="1"/>
    <col min="9994" max="9994" width="9.140625" style="3"/>
    <col min="9995" max="9995" width="11.28515625" style="3" bestFit="1" customWidth="1"/>
    <col min="9996" max="10242" width="9.140625" style="3"/>
    <col min="10243" max="10243" width="2.7109375" style="3" customWidth="1"/>
    <col min="10244" max="10244" width="20.140625" style="3" customWidth="1"/>
    <col min="10245" max="10245" width="50.140625" style="3" customWidth="1"/>
    <col min="10246" max="10246" width="23.42578125" style="3" customWidth="1"/>
    <col min="10247" max="10248" width="2.7109375" style="3" customWidth="1"/>
    <col min="10249" max="10249" width="15.28515625" style="3" bestFit="1" customWidth="1"/>
    <col min="10250" max="10250" width="9.140625" style="3"/>
    <col min="10251" max="10251" width="11.28515625" style="3" bestFit="1" customWidth="1"/>
    <col min="10252" max="10498" width="9.140625" style="3"/>
    <col min="10499" max="10499" width="2.7109375" style="3" customWidth="1"/>
    <col min="10500" max="10500" width="20.140625" style="3" customWidth="1"/>
    <col min="10501" max="10501" width="50.140625" style="3" customWidth="1"/>
    <col min="10502" max="10502" width="23.42578125" style="3" customWidth="1"/>
    <col min="10503" max="10504" width="2.7109375" style="3" customWidth="1"/>
    <col min="10505" max="10505" width="15.28515625" style="3" bestFit="1" customWidth="1"/>
    <col min="10506" max="10506" width="9.140625" style="3"/>
    <col min="10507" max="10507" width="11.28515625" style="3" bestFit="1" customWidth="1"/>
    <col min="10508" max="10754" width="9.140625" style="3"/>
    <col min="10755" max="10755" width="2.7109375" style="3" customWidth="1"/>
    <col min="10756" max="10756" width="20.140625" style="3" customWidth="1"/>
    <col min="10757" max="10757" width="50.140625" style="3" customWidth="1"/>
    <col min="10758" max="10758" width="23.42578125" style="3" customWidth="1"/>
    <col min="10759" max="10760" width="2.7109375" style="3" customWidth="1"/>
    <col min="10761" max="10761" width="15.28515625" style="3" bestFit="1" customWidth="1"/>
    <col min="10762" max="10762" width="9.140625" style="3"/>
    <col min="10763" max="10763" width="11.28515625" style="3" bestFit="1" customWidth="1"/>
    <col min="10764" max="11010" width="9.140625" style="3"/>
    <col min="11011" max="11011" width="2.7109375" style="3" customWidth="1"/>
    <col min="11012" max="11012" width="20.140625" style="3" customWidth="1"/>
    <col min="11013" max="11013" width="50.140625" style="3" customWidth="1"/>
    <col min="11014" max="11014" width="23.42578125" style="3" customWidth="1"/>
    <col min="11015" max="11016" width="2.7109375" style="3" customWidth="1"/>
    <col min="11017" max="11017" width="15.28515625" style="3" bestFit="1" customWidth="1"/>
    <col min="11018" max="11018" width="9.140625" style="3"/>
    <col min="11019" max="11019" width="11.28515625" style="3" bestFit="1" customWidth="1"/>
    <col min="11020" max="11266" width="9.140625" style="3"/>
    <col min="11267" max="11267" width="2.7109375" style="3" customWidth="1"/>
    <col min="11268" max="11268" width="20.140625" style="3" customWidth="1"/>
    <col min="11269" max="11269" width="50.140625" style="3" customWidth="1"/>
    <col min="11270" max="11270" width="23.42578125" style="3" customWidth="1"/>
    <col min="11271" max="11272" width="2.7109375" style="3" customWidth="1"/>
    <col min="11273" max="11273" width="15.28515625" style="3" bestFit="1" customWidth="1"/>
    <col min="11274" max="11274" width="9.140625" style="3"/>
    <col min="11275" max="11275" width="11.28515625" style="3" bestFit="1" customWidth="1"/>
    <col min="11276" max="11522" width="9.140625" style="3"/>
    <col min="11523" max="11523" width="2.7109375" style="3" customWidth="1"/>
    <col min="11524" max="11524" width="20.140625" style="3" customWidth="1"/>
    <col min="11525" max="11525" width="50.140625" style="3" customWidth="1"/>
    <col min="11526" max="11526" width="23.42578125" style="3" customWidth="1"/>
    <col min="11527" max="11528" width="2.7109375" style="3" customWidth="1"/>
    <col min="11529" max="11529" width="15.28515625" style="3" bestFit="1" customWidth="1"/>
    <col min="11530" max="11530" width="9.140625" style="3"/>
    <col min="11531" max="11531" width="11.28515625" style="3" bestFit="1" customWidth="1"/>
    <col min="11532" max="11778" width="9.140625" style="3"/>
    <col min="11779" max="11779" width="2.7109375" style="3" customWidth="1"/>
    <col min="11780" max="11780" width="20.140625" style="3" customWidth="1"/>
    <col min="11781" max="11781" width="50.140625" style="3" customWidth="1"/>
    <col min="11782" max="11782" width="23.42578125" style="3" customWidth="1"/>
    <col min="11783" max="11784" width="2.7109375" style="3" customWidth="1"/>
    <col min="11785" max="11785" width="15.28515625" style="3" bestFit="1" customWidth="1"/>
    <col min="11786" max="11786" width="9.140625" style="3"/>
    <col min="11787" max="11787" width="11.28515625" style="3" bestFit="1" customWidth="1"/>
    <col min="11788" max="12034" width="9.140625" style="3"/>
    <col min="12035" max="12035" width="2.7109375" style="3" customWidth="1"/>
    <col min="12036" max="12036" width="20.140625" style="3" customWidth="1"/>
    <col min="12037" max="12037" width="50.140625" style="3" customWidth="1"/>
    <col min="12038" max="12038" width="23.42578125" style="3" customWidth="1"/>
    <col min="12039" max="12040" width="2.7109375" style="3" customWidth="1"/>
    <col min="12041" max="12041" width="15.28515625" style="3" bestFit="1" customWidth="1"/>
    <col min="12042" max="12042" width="9.140625" style="3"/>
    <col min="12043" max="12043" width="11.28515625" style="3" bestFit="1" customWidth="1"/>
    <col min="12044" max="12290" width="9.140625" style="3"/>
    <col min="12291" max="12291" width="2.7109375" style="3" customWidth="1"/>
    <col min="12292" max="12292" width="20.140625" style="3" customWidth="1"/>
    <col min="12293" max="12293" width="50.140625" style="3" customWidth="1"/>
    <col min="12294" max="12294" width="23.42578125" style="3" customWidth="1"/>
    <col min="12295" max="12296" width="2.7109375" style="3" customWidth="1"/>
    <col min="12297" max="12297" width="15.28515625" style="3" bestFit="1" customWidth="1"/>
    <col min="12298" max="12298" width="9.140625" style="3"/>
    <col min="12299" max="12299" width="11.28515625" style="3" bestFit="1" customWidth="1"/>
    <col min="12300" max="12546" width="9.140625" style="3"/>
    <col min="12547" max="12547" width="2.7109375" style="3" customWidth="1"/>
    <col min="12548" max="12548" width="20.140625" style="3" customWidth="1"/>
    <col min="12549" max="12549" width="50.140625" style="3" customWidth="1"/>
    <col min="12550" max="12550" width="23.42578125" style="3" customWidth="1"/>
    <col min="12551" max="12552" width="2.7109375" style="3" customWidth="1"/>
    <col min="12553" max="12553" width="15.28515625" style="3" bestFit="1" customWidth="1"/>
    <col min="12554" max="12554" width="9.140625" style="3"/>
    <col min="12555" max="12555" width="11.28515625" style="3" bestFit="1" customWidth="1"/>
    <col min="12556" max="12802" width="9.140625" style="3"/>
    <col min="12803" max="12803" width="2.7109375" style="3" customWidth="1"/>
    <col min="12804" max="12804" width="20.140625" style="3" customWidth="1"/>
    <col min="12805" max="12805" width="50.140625" style="3" customWidth="1"/>
    <col min="12806" max="12806" width="23.42578125" style="3" customWidth="1"/>
    <col min="12807" max="12808" width="2.7109375" style="3" customWidth="1"/>
    <col min="12809" max="12809" width="15.28515625" style="3" bestFit="1" customWidth="1"/>
    <col min="12810" max="12810" width="9.140625" style="3"/>
    <col min="12811" max="12811" width="11.28515625" style="3" bestFit="1" customWidth="1"/>
    <col min="12812" max="13058" width="9.140625" style="3"/>
    <col min="13059" max="13059" width="2.7109375" style="3" customWidth="1"/>
    <col min="13060" max="13060" width="20.140625" style="3" customWidth="1"/>
    <col min="13061" max="13061" width="50.140625" style="3" customWidth="1"/>
    <col min="13062" max="13062" width="23.42578125" style="3" customWidth="1"/>
    <col min="13063" max="13064" width="2.7109375" style="3" customWidth="1"/>
    <col min="13065" max="13065" width="15.28515625" style="3" bestFit="1" customWidth="1"/>
    <col min="13066" max="13066" width="9.140625" style="3"/>
    <col min="13067" max="13067" width="11.28515625" style="3" bestFit="1" customWidth="1"/>
    <col min="13068" max="13314" width="9.140625" style="3"/>
    <col min="13315" max="13315" width="2.7109375" style="3" customWidth="1"/>
    <col min="13316" max="13316" width="20.140625" style="3" customWidth="1"/>
    <col min="13317" max="13317" width="50.140625" style="3" customWidth="1"/>
    <col min="13318" max="13318" width="23.42578125" style="3" customWidth="1"/>
    <col min="13319" max="13320" width="2.7109375" style="3" customWidth="1"/>
    <col min="13321" max="13321" width="15.28515625" style="3" bestFit="1" customWidth="1"/>
    <col min="13322" max="13322" width="9.140625" style="3"/>
    <col min="13323" max="13323" width="11.28515625" style="3" bestFit="1" customWidth="1"/>
    <col min="13324" max="13570" width="9.140625" style="3"/>
    <col min="13571" max="13571" width="2.7109375" style="3" customWidth="1"/>
    <col min="13572" max="13572" width="20.140625" style="3" customWidth="1"/>
    <col min="13573" max="13573" width="50.140625" style="3" customWidth="1"/>
    <col min="13574" max="13574" width="23.42578125" style="3" customWidth="1"/>
    <col min="13575" max="13576" width="2.7109375" style="3" customWidth="1"/>
    <col min="13577" max="13577" width="15.28515625" style="3" bestFit="1" customWidth="1"/>
    <col min="13578" max="13578" width="9.140625" style="3"/>
    <col min="13579" max="13579" width="11.28515625" style="3" bestFit="1" customWidth="1"/>
    <col min="13580" max="13826" width="9.140625" style="3"/>
    <col min="13827" max="13827" width="2.7109375" style="3" customWidth="1"/>
    <col min="13828" max="13828" width="20.140625" style="3" customWidth="1"/>
    <col min="13829" max="13829" width="50.140625" style="3" customWidth="1"/>
    <col min="13830" max="13830" width="23.42578125" style="3" customWidth="1"/>
    <col min="13831" max="13832" width="2.7109375" style="3" customWidth="1"/>
    <col min="13833" max="13833" width="15.28515625" style="3" bestFit="1" customWidth="1"/>
    <col min="13834" max="13834" width="9.140625" style="3"/>
    <col min="13835" max="13835" width="11.28515625" style="3" bestFit="1" customWidth="1"/>
    <col min="13836" max="14082" width="9.140625" style="3"/>
    <col min="14083" max="14083" width="2.7109375" style="3" customWidth="1"/>
    <col min="14084" max="14084" width="20.140625" style="3" customWidth="1"/>
    <col min="14085" max="14085" width="50.140625" style="3" customWidth="1"/>
    <col min="14086" max="14086" width="23.42578125" style="3" customWidth="1"/>
    <col min="14087" max="14088" width="2.7109375" style="3" customWidth="1"/>
    <col min="14089" max="14089" width="15.28515625" style="3" bestFit="1" customWidth="1"/>
    <col min="14090" max="14090" width="9.140625" style="3"/>
    <col min="14091" max="14091" width="11.28515625" style="3" bestFit="1" customWidth="1"/>
    <col min="14092" max="14338" width="9.140625" style="3"/>
    <col min="14339" max="14339" width="2.7109375" style="3" customWidth="1"/>
    <col min="14340" max="14340" width="20.140625" style="3" customWidth="1"/>
    <col min="14341" max="14341" width="50.140625" style="3" customWidth="1"/>
    <col min="14342" max="14342" width="23.42578125" style="3" customWidth="1"/>
    <col min="14343" max="14344" width="2.7109375" style="3" customWidth="1"/>
    <col min="14345" max="14345" width="15.28515625" style="3" bestFit="1" customWidth="1"/>
    <col min="14346" max="14346" width="9.140625" style="3"/>
    <col min="14347" max="14347" width="11.28515625" style="3" bestFit="1" customWidth="1"/>
    <col min="14348" max="14594" width="9.140625" style="3"/>
    <col min="14595" max="14595" width="2.7109375" style="3" customWidth="1"/>
    <col min="14596" max="14596" width="20.140625" style="3" customWidth="1"/>
    <col min="14597" max="14597" width="50.140625" style="3" customWidth="1"/>
    <col min="14598" max="14598" width="23.42578125" style="3" customWidth="1"/>
    <col min="14599" max="14600" width="2.7109375" style="3" customWidth="1"/>
    <col min="14601" max="14601" width="15.28515625" style="3" bestFit="1" customWidth="1"/>
    <col min="14602" max="14602" width="9.140625" style="3"/>
    <col min="14603" max="14603" width="11.28515625" style="3" bestFit="1" customWidth="1"/>
    <col min="14604" max="14850" width="9.140625" style="3"/>
    <col min="14851" max="14851" width="2.7109375" style="3" customWidth="1"/>
    <col min="14852" max="14852" width="20.140625" style="3" customWidth="1"/>
    <col min="14853" max="14853" width="50.140625" style="3" customWidth="1"/>
    <col min="14854" max="14854" width="23.42578125" style="3" customWidth="1"/>
    <col min="14855" max="14856" width="2.7109375" style="3" customWidth="1"/>
    <col min="14857" max="14857" width="15.28515625" style="3" bestFit="1" customWidth="1"/>
    <col min="14858" max="14858" width="9.140625" style="3"/>
    <col min="14859" max="14859" width="11.28515625" style="3" bestFit="1" customWidth="1"/>
    <col min="14860" max="15106" width="9.140625" style="3"/>
    <col min="15107" max="15107" width="2.7109375" style="3" customWidth="1"/>
    <col min="15108" max="15108" width="20.140625" style="3" customWidth="1"/>
    <col min="15109" max="15109" width="50.140625" style="3" customWidth="1"/>
    <col min="15110" max="15110" width="23.42578125" style="3" customWidth="1"/>
    <col min="15111" max="15112" width="2.7109375" style="3" customWidth="1"/>
    <col min="15113" max="15113" width="15.28515625" style="3" bestFit="1" customWidth="1"/>
    <col min="15114" max="15114" width="9.140625" style="3"/>
    <col min="15115" max="15115" width="11.28515625" style="3" bestFit="1" customWidth="1"/>
    <col min="15116" max="15362" width="9.140625" style="3"/>
    <col min="15363" max="15363" width="2.7109375" style="3" customWidth="1"/>
    <col min="15364" max="15364" width="20.140625" style="3" customWidth="1"/>
    <col min="15365" max="15365" width="50.140625" style="3" customWidth="1"/>
    <col min="15366" max="15366" width="23.42578125" style="3" customWidth="1"/>
    <col min="15367" max="15368" width="2.7109375" style="3" customWidth="1"/>
    <col min="15369" max="15369" width="15.28515625" style="3" bestFit="1" customWidth="1"/>
    <col min="15370" max="15370" width="9.140625" style="3"/>
    <col min="15371" max="15371" width="11.28515625" style="3" bestFit="1" customWidth="1"/>
    <col min="15372" max="15618" width="9.140625" style="3"/>
    <col min="15619" max="15619" width="2.7109375" style="3" customWidth="1"/>
    <col min="15620" max="15620" width="20.140625" style="3" customWidth="1"/>
    <col min="15621" max="15621" width="50.140625" style="3" customWidth="1"/>
    <col min="15622" max="15622" width="23.42578125" style="3" customWidth="1"/>
    <col min="15623" max="15624" width="2.7109375" style="3" customWidth="1"/>
    <col min="15625" max="15625" width="15.28515625" style="3" bestFit="1" customWidth="1"/>
    <col min="15626" max="15626" width="9.140625" style="3"/>
    <col min="15627" max="15627" width="11.28515625" style="3" bestFit="1" customWidth="1"/>
    <col min="15628" max="15874" width="9.140625" style="3"/>
    <col min="15875" max="15875" width="2.7109375" style="3" customWidth="1"/>
    <col min="15876" max="15876" width="20.140625" style="3" customWidth="1"/>
    <col min="15877" max="15877" width="50.140625" style="3" customWidth="1"/>
    <col min="15878" max="15878" width="23.42578125" style="3" customWidth="1"/>
    <col min="15879" max="15880" width="2.7109375" style="3" customWidth="1"/>
    <col min="15881" max="15881" width="15.28515625" style="3" bestFit="1" customWidth="1"/>
    <col min="15882" max="15882" width="9.140625" style="3"/>
    <col min="15883" max="15883" width="11.28515625" style="3" bestFit="1" customWidth="1"/>
    <col min="15884" max="16130" width="9.140625" style="3"/>
    <col min="16131" max="16131" width="2.7109375" style="3" customWidth="1"/>
    <col min="16132" max="16132" width="20.140625" style="3" customWidth="1"/>
    <col min="16133" max="16133" width="50.140625" style="3" customWidth="1"/>
    <col min="16134" max="16134" width="23.42578125" style="3" customWidth="1"/>
    <col min="16135" max="16136" width="2.7109375" style="3" customWidth="1"/>
    <col min="16137" max="16137" width="15.28515625" style="3" bestFit="1" customWidth="1"/>
    <col min="16138" max="16138" width="9.140625" style="3"/>
    <col min="16139" max="16139" width="11.28515625" style="3" bestFit="1" customWidth="1"/>
    <col min="16140" max="16384" width="9.140625" style="3"/>
  </cols>
  <sheetData>
    <row r="1" spans="3:8" ht="85.5" hidden="1" customHeight="1">
      <c r="C1" s="775" t="s">
        <v>14</v>
      </c>
      <c r="D1" s="776"/>
      <c r="E1" s="776"/>
      <c r="F1" s="776"/>
      <c r="G1" s="776"/>
      <c r="H1" s="776"/>
    </row>
    <row r="2" spans="3:8" ht="7.5" customHeight="1"/>
    <row r="3" spans="3:8" ht="9" customHeight="1">
      <c r="C3" s="4"/>
      <c r="D3" s="5"/>
      <c r="E3" s="452"/>
      <c r="F3" s="5"/>
      <c r="G3" s="6"/>
    </row>
    <row r="4" spans="3:8" ht="9.75" customHeight="1">
      <c r="C4" s="7"/>
      <c r="D4" s="8"/>
      <c r="E4" s="453"/>
      <c r="F4" s="9"/>
      <c r="G4" s="10"/>
    </row>
    <row r="5" spans="3:8" ht="9" customHeight="1">
      <c r="C5" s="7"/>
      <c r="D5" s="11"/>
      <c r="E5" s="454"/>
      <c r="F5" s="12"/>
      <c r="G5" s="10"/>
    </row>
    <row r="6" spans="3:8">
      <c r="C6" s="7"/>
      <c r="D6" s="11"/>
      <c r="E6" s="454"/>
      <c r="F6" s="12"/>
      <c r="G6" s="10"/>
    </row>
    <row r="7" spans="3:8">
      <c r="C7" s="7"/>
      <c r="D7" s="11"/>
      <c r="E7" s="454"/>
      <c r="F7" s="12"/>
      <c r="G7" s="10"/>
    </row>
    <row r="8" spans="3:8" ht="15.75">
      <c r="C8" s="7"/>
      <c r="D8" s="777" t="s">
        <v>3765</v>
      </c>
      <c r="E8" s="778"/>
      <c r="F8" s="779"/>
      <c r="G8" s="10"/>
    </row>
    <row r="9" spans="3:8" ht="15.75">
      <c r="C9" s="7"/>
      <c r="D9" s="780" t="s">
        <v>3766</v>
      </c>
      <c r="E9" s="781"/>
      <c r="F9" s="782"/>
      <c r="G9" s="10"/>
    </row>
    <row r="10" spans="3:8" ht="15.75">
      <c r="C10" s="7"/>
      <c r="D10" s="777" t="s">
        <v>3767</v>
      </c>
      <c r="E10" s="778"/>
      <c r="F10" s="779"/>
      <c r="G10" s="10"/>
    </row>
    <row r="11" spans="3:8" ht="19.5">
      <c r="C11" s="7"/>
      <c r="D11" s="783" t="s">
        <v>15</v>
      </c>
      <c r="E11" s="784"/>
      <c r="F11" s="785"/>
      <c r="G11" s="13"/>
    </row>
    <row r="12" spans="3:8" ht="8.25" customHeight="1">
      <c r="C12" s="7"/>
      <c r="D12" s="786"/>
      <c r="E12" s="787"/>
      <c r="F12" s="788"/>
      <c r="G12" s="13"/>
    </row>
    <row r="13" spans="3:8" ht="6" customHeight="1">
      <c r="C13" s="7"/>
      <c r="D13" s="14"/>
      <c r="E13" s="455"/>
      <c r="F13" s="14"/>
      <c r="G13" s="10"/>
    </row>
    <row r="14" spans="3:8" s="17" customFormat="1" ht="21" customHeight="1">
      <c r="C14" s="15"/>
      <c r="D14" s="111" t="s">
        <v>29</v>
      </c>
      <c r="E14" s="789" t="s">
        <v>18288</v>
      </c>
      <c r="F14" s="790"/>
      <c r="G14" s="16"/>
    </row>
    <row r="15" spans="3:8" s="17" customFormat="1" ht="21" customHeight="1">
      <c r="C15" s="15"/>
      <c r="D15" s="112" t="s">
        <v>13</v>
      </c>
      <c r="E15" s="791" t="s">
        <v>24736</v>
      </c>
      <c r="F15" s="792"/>
      <c r="G15" s="16"/>
    </row>
    <row r="16" spans="3:8" s="17" customFormat="1" ht="22.5" customHeight="1">
      <c r="C16" s="15"/>
      <c r="D16" s="18" t="s">
        <v>16</v>
      </c>
      <c r="E16" s="773" t="s">
        <v>18289</v>
      </c>
      <c r="F16" s="774"/>
      <c r="G16" s="16"/>
    </row>
    <row r="17" spans="3:13" s="17" customFormat="1" ht="22.5" customHeight="1">
      <c r="C17" s="15"/>
      <c r="D17" s="18" t="s">
        <v>17</v>
      </c>
      <c r="E17" s="773" t="s">
        <v>18321</v>
      </c>
      <c r="F17" s="793"/>
      <c r="G17" s="16"/>
    </row>
    <row r="18" spans="3:13" s="17" customFormat="1" ht="22.5" customHeight="1">
      <c r="C18" s="15"/>
      <c r="D18" s="18" t="s">
        <v>18</v>
      </c>
      <c r="E18" s="791" t="s">
        <v>18322</v>
      </c>
      <c r="F18" s="792"/>
      <c r="G18" s="19"/>
    </row>
    <row r="19" spans="3:13" s="23" customFormat="1" ht="22.5" customHeight="1">
      <c r="C19" s="21"/>
      <c r="D19" s="113" t="s">
        <v>19</v>
      </c>
      <c r="E19" s="773" t="s">
        <v>18137</v>
      </c>
      <c r="F19" s="774"/>
      <c r="G19" s="22"/>
    </row>
    <row r="20" spans="3:13" s="23" customFormat="1" ht="22.5" customHeight="1">
      <c r="C20" s="21"/>
      <c r="D20" s="113" t="s">
        <v>20</v>
      </c>
      <c r="E20" s="511">
        <v>44389</v>
      </c>
      <c r="F20" s="193"/>
      <c r="G20" s="22"/>
    </row>
    <row r="21" spans="3:13" s="17" customFormat="1" ht="45.75" customHeight="1">
      <c r="C21" s="15"/>
      <c r="D21" s="18" t="s">
        <v>21</v>
      </c>
      <c r="E21" s="769" t="s">
        <v>18089</v>
      </c>
      <c r="F21" s="770"/>
      <c r="G21" s="20"/>
    </row>
    <row r="22" spans="3:13" s="23" customFormat="1" ht="18.75" customHeight="1">
      <c r="C22" s="21"/>
      <c r="D22" s="113" t="s">
        <v>22</v>
      </c>
      <c r="E22" s="796" t="s">
        <v>24878</v>
      </c>
      <c r="F22" s="797"/>
      <c r="G22" s="22"/>
    </row>
    <row r="23" spans="3:13" s="17" customFormat="1" ht="24" customHeight="1">
      <c r="C23" s="15"/>
      <c r="D23" s="18" t="s">
        <v>23</v>
      </c>
      <c r="E23" s="796" t="s">
        <v>24486</v>
      </c>
      <c r="F23" s="797"/>
      <c r="G23" s="20"/>
    </row>
    <row r="24" spans="3:13" s="23" customFormat="1" ht="25.5" customHeight="1">
      <c r="C24" s="21"/>
      <c r="D24" s="113" t="s">
        <v>24</v>
      </c>
      <c r="E24" s="769" t="s">
        <v>24482</v>
      </c>
      <c r="F24" s="798"/>
      <c r="G24" s="22"/>
      <c r="I24" s="23" t="s">
        <v>24483</v>
      </c>
    </row>
    <row r="25" spans="3:13" s="23" customFormat="1" ht="61.5" customHeight="1">
      <c r="C25" s="21"/>
      <c r="D25" s="184" t="s">
        <v>25</v>
      </c>
      <c r="E25" s="801" t="s">
        <v>24692</v>
      </c>
      <c r="F25" s="802"/>
      <c r="G25" s="22"/>
    </row>
    <row r="26" spans="3:13" s="23" customFormat="1" ht="22.5" customHeight="1">
      <c r="C26" s="21"/>
      <c r="D26" s="184" t="s">
        <v>9031</v>
      </c>
      <c r="E26" s="239" t="s">
        <v>11578</v>
      </c>
      <c r="F26" s="185"/>
      <c r="G26" s="22"/>
    </row>
    <row r="27" spans="3:13" s="17" customFormat="1" ht="43.5" customHeight="1">
      <c r="C27" s="15"/>
      <c r="D27" s="114" t="s">
        <v>26</v>
      </c>
      <c r="E27" s="803" t="s">
        <v>18088</v>
      </c>
      <c r="F27" s="804"/>
      <c r="G27" s="20"/>
    </row>
    <row r="28" spans="3:13" s="17" customFormat="1" ht="6" customHeight="1">
      <c r="C28" s="15"/>
      <c r="D28" s="115"/>
      <c r="E28" s="116"/>
      <c r="F28" s="117"/>
      <c r="G28" s="20"/>
    </row>
    <row r="29" spans="3:13" s="27" customFormat="1" ht="19.5" customHeight="1">
      <c r="C29" s="25"/>
      <c r="D29" s="805" t="s">
        <v>95</v>
      </c>
      <c r="E29" s="806"/>
      <c r="F29" s="807"/>
      <c r="G29" s="26"/>
    </row>
    <row r="30" spans="3:13" s="23" customFormat="1" ht="26.25" customHeight="1">
      <c r="C30" s="21"/>
      <c r="D30" s="794" t="s">
        <v>18316</v>
      </c>
      <c r="E30" s="795"/>
      <c r="F30" s="78">
        <v>384623.76660200011</v>
      </c>
      <c r="G30" s="22"/>
      <c r="I30" s="505"/>
      <c r="K30" s="79"/>
    </row>
    <row r="31" spans="3:13" s="23" customFormat="1" ht="26.25" customHeight="1">
      <c r="C31" s="21"/>
      <c r="D31" s="794" t="s">
        <v>18317</v>
      </c>
      <c r="E31" s="795"/>
      <c r="F31" s="78">
        <v>951252.17289025197</v>
      </c>
      <c r="G31" s="22"/>
      <c r="I31" s="505"/>
      <c r="K31" s="79">
        <f>2*5.07</f>
        <v>10.14</v>
      </c>
      <c r="L31" s="23" t="s">
        <v>24480</v>
      </c>
      <c r="M31" s="23" t="s">
        <v>24481</v>
      </c>
    </row>
    <row r="32" spans="3:13" s="23" customFormat="1" ht="26.25" customHeight="1">
      <c r="C32" s="21"/>
      <c r="D32" s="794" t="s">
        <v>18318</v>
      </c>
      <c r="E32" s="795"/>
      <c r="F32" s="78">
        <v>3345712.3742271946</v>
      </c>
      <c r="G32" s="22"/>
      <c r="I32" s="505"/>
      <c r="K32" s="79">
        <v>1479.94</v>
      </c>
      <c r="L32" s="23" t="s">
        <v>24480</v>
      </c>
    </row>
    <row r="33" spans="3:13" s="23" customFormat="1" ht="26.25" customHeight="1">
      <c r="C33" s="21"/>
      <c r="D33" s="794" t="s">
        <v>18551</v>
      </c>
      <c r="E33" s="795"/>
      <c r="F33" s="78">
        <v>23854.691174100004</v>
      </c>
      <c r="G33" s="22"/>
      <c r="I33" s="505"/>
      <c r="K33" s="79">
        <v>5.04</v>
      </c>
      <c r="L33" s="23" t="s">
        <v>24480</v>
      </c>
    </row>
    <row r="34" spans="3:13" s="23" customFormat="1" ht="26.25" customHeight="1">
      <c r="C34" s="21"/>
      <c r="D34" s="794" t="s">
        <v>18319</v>
      </c>
      <c r="E34" s="795"/>
      <c r="F34" s="78">
        <v>63077.569924639989</v>
      </c>
      <c r="G34" s="22"/>
      <c r="I34" s="505"/>
      <c r="K34" s="79">
        <v>13.13</v>
      </c>
      <c r="L34" s="23" t="s">
        <v>24480</v>
      </c>
    </row>
    <row r="35" spans="3:13" s="23" customFormat="1" ht="26.25" customHeight="1">
      <c r="C35" s="21"/>
      <c r="D35" s="794" t="s">
        <v>18550</v>
      </c>
      <c r="E35" s="795"/>
      <c r="F35" s="78">
        <v>43023.500852560006</v>
      </c>
      <c r="G35" s="22"/>
      <c r="I35" s="505"/>
      <c r="K35" s="79">
        <v>6.44</v>
      </c>
      <c r="L35" s="23" t="s">
        <v>24480</v>
      </c>
    </row>
    <row r="36" spans="3:13" s="23" customFormat="1" ht="26.25" customHeight="1">
      <c r="C36" s="21"/>
      <c r="D36" s="794" t="s">
        <v>18320</v>
      </c>
      <c r="E36" s="795"/>
      <c r="F36" s="78">
        <v>162715.36418337002</v>
      </c>
      <c r="G36" s="22"/>
      <c r="I36" s="505"/>
      <c r="K36" s="79">
        <v>15</v>
      </c>
      <c r="L36" s="23" t="s">
        <v>24480</v>
      </c>
    </row>
    <row r="37" spans="3:13" s="82" customFormat="1" ht="26.25" customHeight="1">
      <c r="C37" s="80"/>
      <c r="D37" s="771" t="s">
        <v>9032</v>
      </c>
      <c r="E37" s="772"/>
      <c r="F37" s="28">
        <v>4974259.4398541162</v>
      </c>
      <c r="G37" s="81"/>
      <c r="K37" s="732">
        <f>SUM(K31:K36)</f>
        <v>1529.6900000000003</v>
      </c>
      <c r="L37" s="23" t="s">
        <v>24480</v>
      </c>
    </row>
    <row r="38" spans="3:13" s="17" customFormat="1" ht="6" customHeight="1">
      <c r="C38" s="15"/>
      <c r="D38" s="24"/>
      <c r="E38" s="117"/>
      <c r="F38" s="29"/>
      <c r="G38" s="20"/>
    </row>
    <row r="39" spans="3:13" s="17" customFormat="1" ht="61.5" customHeight="1">
      <c r="C39" s="15"/>
      <c r="D39" s="30" t="s">
        <v>27</v>
      </c>
      <c r="E39" s="799" t="s">
        <v>28</v>
      </c>
      <c r="F39" s="800"/>
      <c r="G39" s="20"/>
      <c r="K39" s="141"/>
      <c r="L39" s="141"/>
      <c r="M39" s="141"/>
    </row>
    <row r="40" spans="3:13" s="17" customFormat="1" ht="9" customHeight="1">
      <c r="C40" s="31"/>
      <c r="D40" s="32"/>
      <c r="E40" s="456"/>
      <c r="F40" s="32"/>
      <c r="G40" s="33"/>
      <c r="K40" s="142"/>
      <c r="L40" s="141"/>
      <c r="M40" s="141"/>
    </row>
    <row r="41" spans="3:13" ht="9" customHeight="1">
      <c r="K41" s="143"/>
      <c r="L41" s="141"/>
      <c r="M41" s="144"/>
    </row>
    <row r="42" spans="3:13" ht="60" customHeight="1">
      <c r="D42" s="768" t="s">
        <v>24877</v>
      </c>
      <c r="E42" s="768"/>
      <c r="F42" s="768"/>
      <c r="G42" s="629"/>
      <c r="K42" s="143"/>
      <c r="L42" s="141"/>
      <c r="M42" s="144"/>
    </row>
    <row r="43" spans="3:13">
      <c r="F43" s="34"/>
      <c r="H43" s="34"/>
    </row>
    <row r="44" spans="3:13">
      <c r="D44" s="3" t="s">
        <v>9679</v>
      </c>
      <c r="E44" s="457">
        <f>F37</f>
        <v>4974259.4398541162</v>
      </c>
      <c r="F44" s="34"/>
      <c r="K44" s="144"/>
      <c r="L44" s="144"/>
    </row>
    <row r="45" spans="3:13">
      <c r="D45" s="3" t="s">
        <v>9680</v>
      </c>
      <c r="E45" s="457">
        <f>'018.01-21-ADM OBRA'!J55</f>
        <v>288656.97969600005</v>
      </c>
      <c r="F45" s="35"/>
    </row>
    <row r="46" spans="3:13">
      <c r="D46" s="3" t="s">
        <v>3773</v>
      </c>
      <c r="E46" s="458">
        <f>E45/E44</f>
        <v>5.8030141609273542E-2</v>
      </c>
      <c r="F46" s="34"/>
    </row>
    <row r="47" spans="3:13">
      <c r="E47" s="459"/>
    </row>
    <row r="48" spans="3:13">
      <c r="F48" s="34"/>
      <c r="H48" s="36"/>
    </row>
    <row r="50" spans="6:8">
      <c r="F50" s="91"/>
    </row>
    <row r="51" spans="6:8">
      <c r="H51" s="37"/>
    </row>
    <row r="53" spans="6:8">
      <c r="H53" s="38"/>
    </row>
  </sheetData>
  <mergeCells count="29">
    <mergeCell ref="E22:F22"/>
    <mergeCell ref="E23:F23"/>
    <mergeCell ref="E24:F24"/>
    <mergeCell ref="E39:F39"/>
    <mergeCell ref="E25:F25"/>
    <mergeCell ref="E27:F27"/>
    <mergeCell ref="D29:F29"/>
    <mergeCell ref="D31:E31"/>
    <mergeCell ref="D34:E34"/>
    <mergeCell ref="D35:E35"/>
    <mergeCell ref="D36:E36"/>
    <mergeCell ref="D33:E33"/>
    <mergeCell ref="D30:E30"/>
    <mergeCell ref="D42:F42"/>
    <mergeCell ref="E21:F21"/>
    <mergeCell ref="D37:E37"/>
    <mergeCell ref="E19:F19"/>
    <mergeCell ref="C1:H1"/>
    <mergeCell ref="D8:F8"/>
    <mergeCell ref="D9:F9"/>
    <mergeCell ref="D10:F10"/>
    <mergeCell ref="D11:F11"/>
    <mergeCell ref="D12:F12"/>
    <mergeCell ref="E14:F14"/>
    <mergeCell ref="E15:F15"/>
    <mergeCell ref="E16:F16"/>
    <mergeCell ref="E17:F17"/>
    <mergeCell ref="E18:F18"/>
    <mergeCell ref="D32:E32"/>
  </mergeCells>
  <printOptions horizontalCentered="1" verticalCentered="1"/>
  <pageMargins left="0.78740157480314965" right="0.39370078740157483" top="0.39370078740157483" bottom="0.39370078740157483" header="0.11811023622047245" footer="0.11811023622047245"/>
  <pageSetup paperSize="9" scale="85" orientation="portrait" r:id="rId1"/>
  <headerFooter>
    <oddHeader>&amp;C&amp;F</oddHeader>
    <oddFooter>Página &amp;P de &amp;N</oddFooter>
  </headerFooter>
  <drawing r:id="rId2"/>
  <legacyDrawing r:id="rId3"/>
</worksheet>
</file>

<file path=xl/worksheets/sheet2.xml><?xml version="1.0" encoding="utf-8"?>
<worksheet xmlns="http://schemas.openxmlformats.org/spreadsheetml/2006/main" xmlns:r="http://schemas.openxmlformats.org/officeDocument/2006/relationships">
  <sheetPr>
    <tabColor rgb="FFFF0000"/>
  </sheetPr>
  <dimension ref="A1:S76"/>
  <sheetViews>
    <sheetView showGridLines="0" view="pageBreakPreview" topLeftCell="A46" zoomScale="90" zoomScaleNormal="100" zoomScaleSheetLayoutView="90" workbookViewId="0">
      <selection activeCell="L1" sqref="L1:Q1048576"/>
    </sheetView>
  </sheetViews>
  <sheetFormatPr defaultColWidth="9.140625" defaultRowHeight="12.75"/>
  <cols>
    <col min="1" max="1" width="9.140625" style="398" customWidth="1"/>
    <col min="2" max="2" width="12.7109375" style="398" customWidth="1"/>
    <col min="3" max="3" width="13.42578125" style="398" customWidth="1"/>
    <col min="4" max="4" width="44.7109375" style="411" customWidth="1"/>
    <col min="5" max="5" width="7.7109375" style="398" customWidth="1"/>
    <col min="6" max="6" width="10.42578125" style="439" customWidth="1"/>
    <col min="7" max="7" width="12.85546875" style="439" customWidth="1"/>
    <col min="8" max="8" width="11.7109375" style="439" customWidth="1"/>
    <col min="9" max="9" width="12.5703125" style="439" customWidth="1"/>
    <col min="10" max="10" width="17.7109375" style="439" customWidth="1"/>
    <col min="11" max="11" width="17.140625" style="411" customWidth="1"/>
    <col min="12" max="12" width="20.140625" style="411" customWidth="1"/>
    <col min="13" max="13" width="20.7109375" style="411" customWidth="1"/>
    <col min="14" max="14" width="14.28515625" style="411" customWidth="1"/>
    <col min="15" max="15" width="16.7109375" style="411" customWidth="1"/>
    <col min="16" max="16" width="12.85546875" style="411" customWidth="1"/>
    <col min="17" max="17" width="11.85546875" style="411" customWidth="1"/>
    <col min="18" max="18" width="15" style="411" customWidth="1"/>
    <col min="19" max="19" width="9.140625" style="411"/>
    <col min="20" max="16384" width="9.140625" style="71"/>
  </cols>
  <sheetData>
    <row r="1" spans="1:19" s="86" customFormat="1" ht="6.75" customHeight="1">
      <c r="A1" s="127"/>
      <c r="B1" s="814"/>
      <c r="C1" s="814"/>
      <c r="D1" s="814"/>
      <c r="E1" s="814"/>
      <c r="F1" s="814"/>
      <c r="G1" s="814"/>
      <c r="H1" s="814"/>
      <c r="I1" s="814"/>
      <c r="J1" s="814"/>
      <c r="K1" s="443"/>
      <c r="L1" s="444"/>
      <c r="M1" s="444"/>
      <c r="N1" s="444"/>
      <c r="O1" s="444"/>
      <c r="P1" s="444"/>
      <c r="Q1" s="444"/>
      <c r="R1" s="444"/>
      <c r="S1" s="444"/>
    </row>
    <row r="2" spans="1:19" s="67" customFormat="1" ht="18.75">
      <c r="A2" s="130"/>
      <c r="B2" s="815" t="s">
        <v>3765</v>
      </c>
      <c r="C2" s="815"/>
      <c r="D2" s="815"/>
      <c r="E2" s="815"/>
      <c r="F2" s="815"/>
      <c r="G2" s="815"/>
      <c r="H2" s="815"/>
      <c r="I2" s="815"/>
      <c r="J2" s="815"/>
      <c r="K2" s="445"/>
      <c r="L2" s="446"/>
      <c r="M2" s="446"/>
      <c r="N2" s="446"/>
      <c r="O2" s="446"/>
      <c r="P2" s="446"/>
      <c r="Q2" s="446"/>
      <c r="R2" s="381"/>
      <c r="S2" s="381"/>
    </row>
    <row r="3" spans="1:19" s="67" customFormat="1" ht="18.75">
      <c r="A3" s="130"/>
      <c r="B3" s="815" t="s">
        <v>3766</v>
      </c>
      <c r="C3" s="815"/>
      <c r="D3" s="815"/>
      <c r="E3" s="815"/>
      <c r="F3" s="815"/>
      <c r="G3" s="815"/>
      <c r="H3" s="815"/>
      <c r="I3" s="815"/>
      <c r="J3" s="815"/>
      <c r="K3" s="445"/>
      <c r="L3" s="446"/>
      <c r="M3" s="446"/>
      <c r="N3" s="446"/>
      <c r="O3" s="446"/>
      <c r="P3" s="446"/>
      <c r="Q3" s="446"/>
      <c r="R3" s="381"/>
      <c r="S3" s="381"/>
    </row>
    <row r="4" spans="1:19" s="67" customFormat="1" ht="18.75">
      <c r="A4" s="130"/>
      <c r="B4" s="815" t="s">
        <v>3768</v>
      </c>
      <c r="C4" s="815"/>
      <c r="D4" s="815"/>
      <c r="E4" s="815"/>
      <c r="F4" s="815"/>
      <c r="G4" s="815"/>
      <c r="H4" s="815"/>
      <c r="I4" s="815"/>
      <c r="J4" s="815"/>
      <c r="K4" s="446"/>
      <c r="L4" s="446"/>
      <c r="M4" s="446"/>
      <c r="N4" s="446"/>
      <c r="O4" s="446"/>
      <c r="P4" s="446"/>
      <c r="Q4" s="446"/>
      <c r="R4" s="381"/>
      <c r="S4" s="381"/>
    </row>
    <row r="5" spans="1:19" s="67" customFormat="1" ht="18.75">
      <c r="A5" s="130"/>
      <c r="B5" s="815" t="s">
        <v>18133</v>
      </c>
      <c r="C5" s="815"/>
      <c r="D5" s="815"/>
      <c r="E5" s="815"/>
      <c r="F5" s="815"/>
      <c r="G5" s="815"/>
      <c r="H5" s="815"/>
      <c r="I5" s="815"/>
      <c r="J5" s="815"/>
      <c r="K5" s="446"/>
      <c r="L5" s="446"/>
      <c r="M5" s="446"/>
      <c r="N5" s="446"/>
      <c r="O5" s="446"/>
      <c r="P5" s="446"/>
      <c r="Q5" s="446"/>
      <c r="R5" s="381"/>
      <c r="S5" s="381"/>
    </row>
    <row r="6" spans="1:19" s="67" customFormat="1">
      <c r="A6" s="130"/>
      <c r="B6" s="809" t="s">
        <v>60</v>
      </c>
      <c r="C6" s="809"/>
      <c r="D6" s="813" t="s">
        <v>24737</v>
      </c>
      <c r="E6" s="813"/>
      <c r="F6" s="130"/>
      <c r="G6" s="347"/>
      <c r="H6" s="347"/>
      <c r="I6" s="347" t="s">
        <v>61</v>
      </c>
      <c r="J6" s="346">
        <f>'018-21-CAPA'!E20</f>
        <v>44389</v>
      </c>
      <c r="K6" s="445"/>
      <c r="L6" s="446"/>
      <c r="M6" s="446"/>
      <c r="N6" s="446"/>
      <c r="O6" s="446"/>
      <c r="P6" s="446"/>
      <c r="Q6" s="446"/>
      <c r="R6" s="446"/>
      <c r="S6" s="381"/>
    </row>
    <row r="7" spans="1:19" s="67" customFormat="1">
      <c r="A7" s="130"/>
      <c r="B7" s="809" t="s">
        <v>62</v>
      </c>
      <c r="C7" s="809"/>
      <c r="D7" s="810" t="s">
        <v>24736</v>
      </c>
      <c r="E7" s="811"/>
      <c r="F7" s="811"/>
      <c r="G7" s="600"/>
      <c r="H7" s="600"/>
      <c r="I7" s="600" t="s">
        <v>16</v>
      </c>
      <c r="J7" s="329" t="s">
        <v>18289</v>
      </c>
      <c r="K7" s="446"/>
      <c r="L7" s="446"/>
      <c r="M7" s="446"/>
      <c r="N7" s="446"/>
      <c r="O7" s="446"/>
      <c r="P7" s="446"/>
      <c r="Q7" s="446"/>
      <c r="R7" s="381"/>
      <c r="S7" s="381"/>
    </row>
    <row r="8" spans="1:19" s="67" customFormat="1">
      <c r="A8" s="130"/>
      <c r="B8" s="812" t="s">
        <v>18</v>
      </c>
      <c r="C8" s="809" t="s">
        <v>63</v>
      </c>
      <c r="D8" s="294" t="s">
        <v>18322</v>
      </c>
      <c r="E8" s="306"/>
      <c r="F8" s="130"/>
      <c r="G8" s="600"/>
      <c r="H8" s="600"/>
      <c r="I8" s="600" t="s">
        <v>64</v>
      </c>
      <c r="J8" s="744" t="s">
        <v>24488</v>
      </c>
      <c r="K8" s="445"/>
      <c r="L8" s="446"/>
      <c r="M8" s="446"/>
      <c r="N8" s="446"/>
      <c r="O8" s="446"/>
      <c r="P8" s="446"/>
      <c r="Q8" s="446"/>
      <c r="R8" s="446"/>
      <c r="S8" s="381"/>
    </row>
    <row r="9" spans="1:19" s="67" customFormat="1">
      <c r="A9" s="130"/>
      <c r="B9" s="809" t="s">
        <v>65</v>
      </c>
      <c r="C9" s="809"/>
      <c r="D9" s="378" t="s">
        <v>15157</v>
      </c>
      <c r="E9" s="347" t="s">
        <v>66</v>
      </c>
      <c r="F9" s="412">
        <v>0.2094</v>
      </c>
      <c r="G9" s="347" t="s">
        <v>66</v>
      </c>
      <c r="H9" s="412">
        <v>0.1089</v>
      </c>
      <c r="I9" s="327" t="s">
        <v>68</v>
      </c>
      <c r="J9" s="729" t="s">
        <v>24487</v>
      </c>
      <c r="K9" s="445"/>
      <c r="L9" s="446"/>
      <c r="M9" s="446"/>
      <c r="N9" s="446"/>
      <c r="O9" s="446"/>
      <c r="P9" s="446"/>
      <c r="Q9" s="446"/>
      <c r="R9" s="446"/>
      <c r="S9" s="381"/>
    </row>
    <row r="10" spans="1:19" s="67" customFormat="1" ht="5.25" customHeight="1">
      <c r="A10" s="130"/>
      <c r="B10" s="600"/>
      <c r="C10" s="600"/>
      <c r="D10" s="378"/>
      <c r="E10" s="347"/>
      <c r="F10" s="306"/>
      <c r="G10" s="327"/>
      <c r="H10" s="327"/>
      <c r="I10" s="327"/>
      <c r="J10" s="606"/>
      <c r="K10" s="445"/>
      <c r="L10" s="446"/>
      <c r="M10" s="446"/>
      <c r="N10" s="446"/>
      <c r="O10" s="446"/>
      <c r="P10" s="446"/>
      <c r="Q10" s="446"/>
      <c r="R10" s="446"/>
      <c r="S10" s="381"/>
    </row>
    <row r="11" spans="1:19" s="1" customFormat="1" ht="45">
      <c r="A11" s="377"/>
      <c r="B11" s="186" t="s">
        <v>71</v>
      </c>
      <c r="C11" s="186" t="s">
        <v>0</v>
      </c>
      <c r="D11" s="186" t="s">
        <v>1</v>
      </c>
      <c r="E11" s="186" t="s">
        <v>171</v>
      </c>
      <c r="F11" s="186" t="s">
        <v>2</v>
      </c>
      <c r="G11" s="186" t="s">
        <v>9033</v>
      </c>
      <c r="H11" s="186" t="s">
        <v>30</v>
      </c>
      <c r="I11" s="186" t="s">
        <v>9034</v>
      </c>
      <c r="J11" s="186" t="s">
        <v>9035</v>
      </c>
      <c r="K11" s="380"/>
      <c r="L11" s="380"/>
      <c r="M11" s="380"/>
      <c r="N11" s="380"/>
      <c r="O11" s="380"/>
      <c r="P11" s="380"/>
      <c r="Q11" s="380"/>
      <c r="R11" s="380"/>
      <c r="S11" s="380"/>
    </row>
    <row r="12" spans="1:19" s="92" customFormat="1">
      <c r="A12" s="256"/>
      <c r="B12" s="390" t="s">
        <v>72</v>
      </c>
      <c r="C12" s="390"/>
      <c r="D12" s="399" t="s">
        <v>149</v>
      </c>
      <c r="E12" s="413"/>
      <c r="F12" s="413"/>
      <c r="G12" s="440"/>
      <c r="H12" s="413"/>
      <c r="I12" s="440"/>
      <c r="J12" s="414"/>
      <c r="K12" s="298"/>
      <c r="L12" s="298"/>
      <c r="M12" s="447"/>
      <c r="N12" s="298"/>
      <c r="O12" s="298"/>
      <c r="P12" s="298"/>
      <c r="Q12" s="298"/>
      <c r="R12" s="298"/>
      <c r="S12" s="298"/>
    </row>
    <row r="13" spans="1:19" s="92" customFormat="1">
      <c r="A13" s="256"/>
      <c r="B13" s="287" t="s">
        <v>18208</v>
      </c>
      <c r="C13" s="287"/>
      <c r="D13" s="400" t="s">
        <v>18209</v>
      </c>
      <c r="E13" s="415"/>
      <c r="F13" s="415"/>
      <c r="G13" s="441"/>
      <c r="H13" s="415"/>
      <c r="I13" s="441"/>
      <c r="J13" s="416"/>
      <c r="K13" s="298"/>
      <c r="L13" s="298"/>
      <c r="M13" s="447"/>
      <c r="N13" s="298"/>
      <c r="O13" s="298"/>
      <c r="P13" s="298"/>
      <c r="Q13" s="298"/>
      <c r="R13" s="298"/>
      <c r="S13" s="298"/>
    </row>
    <row r="14" spans="1:19" s="92" customFormat="1">
      <c r="A14" s="256" t="s">
        <v>12</v>
      </c>
      <c r="B14" s="288" t="s">
        <v>18210</v>
      </c>
      <c r="C14" s="288" t="s">
        <v>18211</v>
      </c>
      <c r="D14" s="289" t="s">
        <v>18217</v>
      </c>
      <c r="E14" s="290" t="s">
        <v>109</v>
      </c>
      <c r="F14" s="292">
        <v>7</v>
      </c>
      <c r="G14" s="510">
        <v>450</v>
      </c>
      <c r="H14" s="508">
        <v>0.2094</v>
      </c>
      <c r="I14" s="510">
        <v>544.23</v>
      </c>
      <c r="J14" s="509">
        <v>3809.61</v>
      </c>
      <c r="K14" s="298"/>
      <c r="L14" s="447"/>
      <c r="M14" s="447"/>
      <c r="N14" s="298"/>
      <c r="O14" s="298"/>
      <c r="P14" s="298"/>
      <c r="Q14" s="298"/>
      <c r="R14" s="298"/>
      <c r="S14" s="298"/>
    </row>
    <row r="15" spans="1:19" s="92" customFormat="1" ht="25.5">
      <c r="A15" s="256" t="s">
        <v>3260</v>
      </c>
      <c r="B15" s="288" t="s">
        <v>24504</v>
      </c>
      <c r="C15" s="288" t="s">
        <v>24501</v>
      </c>
      <c r="D15" s="289" t="s">
        <v>24505</v>
      </c>
      <c r="E15" s="290" t="s">
        <v>109</v>
      </c>
      <c r="F15" s="292">
        <v>1</v>
      </c>
      <c r="G15" s="510">
        <v>10964.12</v>
      </c>
      <c r="H15" s="508">
        <v>0</v>
      </c>
      <c r="I15" s="510">
        <v>10964.12</v>
      </c>
      <c r="J15" s="509">
        <v>10964.12</v>
      </c>
      <c r="K15" s="298"/>
      <c r="L15" s="447"/>
      <c r="M15" s="447"/>
      <c r="N15" s="298"/>
      <c r="O15" s="298"/>
      <c r="P15" s="298"/>
      <c r="Q15" s="298"/>
      <c r="R15" s="298"/>
      <c r="S15" s="298"/>
    </row>
    <row r="16" spans="1:19" s="92" customFormat="1">
      <c r="A16" s="256"/>
      <c r="B16" s="287"/>
      <c r="C16" s="287"/>
      <c r="D16" s="668"/>
      <c r="E16" s="669"/>
      <c r="F16" s="669"/>
      <c r="G16" s="670"/>
      <c r="H16" s="669"/>
      <c r="I16" s="670"/>
      <c r="J16" s="671"/>
      <c r="K16" s="298"/>
      <c r="L16" s="447"/>
      <c r="M16" s="447"/>
      <c r="N16" s="298"/>
      <c r="O16" s="298"/>
      <c r="P16" s="298"/>
      <c r="Q16" s="298"/>
      <c r="R16" s="298"/>
      <c r="S16" s="298"/>
    </row>
    <row r="17" spans="1:19" s="92" customFormat="1">
      <c r="A17" s="256"/>
      <c r="B17" s="287" t="s">
        <v>73</v>
      </c>
      <c r="C17" s="287"/>
      <c r="D17" s="400" t="s">
        <v>74</v>
      </c>
      <c r="E17" s="415"/>
      <c r="F17" s="415"/>
      <c r="G17" s="441"/>
      <c r="H17" s="415"/>
      <c r="I17" s="441"/>
      <c r="J17" s="416"/>
      <c r="K17" s="298"/>
      <c r="L17" s="447"/>
      <c r="M17" s="447"/>
      <c r="N17" s="298"/>
      <c r="O17" s="298"/>
      <c r="P17" s="298"/>
      <c r="Q17" s="298"/>
      <c r="R17" s="298"/>
      <c r="S17" s="298"/>
    </row>
    <row r="18" spans="1:19" s="92" customFormat="1">
      <c r="A18" s="256"/>
      <c r="B18" s="287" t="s">
        <v>75</v>
      </c>
      <c r="C18" s="287"/>
      <c r="D18" s="400" t="s">
        <v>76</v>
      </c>
      <c r="E18" s="415"/>
      <c r="F18" s="415"/>
      <c r="G18" s="441"/>
      <c r="H18" s="415"/>
      <c r="I18" s="441"/>
      <c r="J18" s="416"/>
      <c r="K18" s="298"/>
      <c r="L18" s="447"/>
      <c r="M18" s="447"/>
      <c r="N18" s="298"/>
      <c r="O18" s="298"/>
      <c r="P18" s="298"/>
      <c r="Q18" s="298"/>
      <c r="R18" s="298"/>
      <c r="S18" s="298"/>
    </row>
    <row r="19" spans="1:19" s="92" customFormat="1">
      <c r="A19" s="256"/>
      <c r="B19" s="288" t="s">
        <v>96</v>
      </c>
      <c r="C19" s="288" t="s">
        <v>150</v>
      </c>
      <c r="D19" s="289" t="s">
        <v>151</v>
      </c>
      <c r="E19" s="290" t="s">
        <v>10</v>
      </c>
      <c r="F19" s="292">
        <v>1</v>
      </c>
      <c r="G19" s="292">
        <v>240.82</v>
      </c>
      <c r="H19" s="508">
        <v>0.2094</v>
      </c>
      <c r="I19" s="292">
        <v>291.24770799999999</v>
      </c>
      <c r="J19" s="509">
        <v>291.24770799999999</v>
      </c>
      <c r="K19" s="298"/>
      <c r="L19" s="447"/>
      <c r="M19" s="447"/>
      <c r="N19" s="298"/>
      <c r="O19" s="298"/>
      <c r="P19" s="298"/>
      <c r="Q19" s="298"/>
      <c r="R19" s="298"/>
      <c r="S19" s="298"/>
    </row>
    <row r="20" spans="1:19" s="92" customFormat="1">
      <c r="A20" s="256"/>
      <c r="B20" s="391"/>
      <c r="C20" s="391"/>
      <c r="D20" s="401"/>
      <c r="E20" s="391"/>
      <c r="F20" s="417"/>
      <c r="G20" s="417"/>
      <c r="H20" s="417"/>
      <c r="I20" s="417"/>
      <c r="J20" s="418"/>
      <c r="K20" s="298"/>
      <c r="L20" s="447"/>
      <c r="M20" s="447"/>
      <c r="N20" s="298"/>
      <c r="O20" s="298"/>
      <c r="P20" s="298"/>
      <c r="Q20" s="298"/>
      <c r="R20" s="298"/>
      <c r="S20" s="298"/>
    </row>
    <row r="21" spans="1:19" s="92" customFormat="1">
      <c r="A21" s="256"/>
      <c r="B21" s="392"/>
      <c r="C21" s="393"/>
      <c r="D21" s="402"/>
      <c r="E21" s="393"/>
      <c r="F21" s="393"/>
      <c r="G21" s="460" t="s">
        <v>69</v>
      </c>
      <c r="H21" s="419"/>
      <c r="I21" s="460"/>
      <c r="J21" s="420">
        <v>15064.977708000002</v>
      </c>
      <c r="K21" s="298"/>
      <c r="L21" s="447"/>
      <c r="M21" s="447"/>
      <c r="N21" s="298"/>
      <c r="O21" s="298"/>
      <c r="P21" s="298"/>
      <c r="Q21" s="298"/>
      <c r="R21" s="298"/>
      <c r="S21" s="298"/>
    </row>
    <row r="22" spans="1:19" s="92" customFormat="1">
      <c r="A22" s="256"/>
      <c r="B22" s="391"/>
      <c r="C22" s="391"/>
      <c r="D22" s="401"/>
      <c r="E22" s="391"/>
      <c r="F22" s="417"/>
      <c r="G22" s="417"/>
      <c r="H22" s="417"/>
      <c r="I22" s="417"/>
      <c r="J22" s="418"/>
      <c r="K22" s="298"/>
      <c r="L22" s="447"/>
      <c r="M22" s="447"/>
      <c r="N22" s="298"/>
      <c r="O22" s="298"/>
      <c r="P22" s="298"/>
      <c r="Q22" s="298"/>
      <c r="R22" s="298"/>
      <c r="S22" s="298"/>
    </row>
    <row r="23" spans="1:19" s="92" customFormat="1">
      <c r="A23" s="256"/>
      <c r="B23" s="287" t="s">
        <v>78</v>
      </c>
      <c r="C23" s="287"/>
      <c r="D23" s="399" t="s">
        <v>3</v>
      </c>
      <c r="E23" s="413"/>
      <c r="F23" s="413"/>
      <c r="G23" s="461"/>
      <c r="H23" s="413"/>
      <c r="I23" s="461"/>
      <c r="J23" s="414"/>
      <c r="K23" s="298"/>
      <c r="L23" s="447"/>
      <c r="M23" s="447"/>
      <c r="N23" s="298"/>
      <c r="O23" s="298"/>
      <c r="P23" s="298"/>
      <c r="Q23" s="298"/>
      <c r="R23" s="298"/>
      <c r="S23" s="298"/>
    </row>
    <row r="24" spans="1:19" s="92" customFormat="1">
      <c r="A24" s="256"/>
      <c r="B24" s="287" t="s">
        <v>79</v>
      </c>
      <c r="C24" s="287"/>
      <c r="D24" s="400" t="s">
        <v>152</v>
      </c>
      <c r="E24" s="415"/>
      <c r="F24" s="415"/>
      <c r="G24" s="462"/>
      <c r="H24" s="415"/>
      <c r="I24" s="462"/>
      <c r="J24" s="416"/>
      <c r="K24" s="298"/>
      <c r="L24" s="447"/>
      <c r="M24" s="447"/>
      <c r="N24" s="298"/>
      <c r="O24" s="298"/>
      <c r="P24" s="298"/>
      <c r="Q24" s="298"/>
      <c r="R24" s="298"/>
      <c r="S24" s="298"/>
    </row>
    <row r="25" spans="1:19" s="92" customFormat="1">
      <c r="A25" s="256"/>
      <c r="B25" s="287" t="s">
        <v>15567</v>
      </c>
      <c r="C25" s="287"/>
      <c r="D25" s="399" t="s">
        <v>15568</v>
      </c>
      <c r="E25" s="413"/>
      <c r="F25" s="413"/>
      <c r="G25" s="461"/>
      <c r="H25" s="413"/>
      <c r="I25" s="461"/>
      <c r="J25" s="414"/>
      <c r="K25" s="298"/>
      <c r="L25" s="447"/>
      <c r="M25" s="447"/>
      <c r="N25" s="298"/>
      <c r="O25" s="298"/>
      <c r="P25" s="298"/>
      <c r="Q25" s="298"/>
      <c r="R25" s="298"/>
      <c r="S25" s="298"/>
    </row>
    <row r="26" spans="1:19" s="92" customFormat="1" ht="25.5">
      <c r="A26" s="256" t="s">
        <v>3260</v>
      </c>
      <c r="B26" s="288" t="s">
        <v>15573</v>
      </c>
      <c r="C26" s="288" t="s">
        <v>15427</v>
      </c>
      <c r="D26" s="289" t="s">
        <v>15428</v>
      </c>
      <c r="E26" s="290" t="s">
        <v>3772</v>
      </c>
      <c r="F26" s="292">
        <v>8</v>
      </c>
      <c r="G26" s="510">
        <v>2774.86</v>
      </c>
      <c r="H26" s="508">
        <v>0.2094</v>
      </c>
      <c r="I26" s="510">
        <v>3355.9156840000001</v>
      </c>
      <c r="J26" s="509">
        <v>26847.325472</v>
      </c>
      <c r="K26" s="298"/>
      <c r="L26" s="447"/>
      <c r="M26" s="447"/>
      <c r="N26" s="298"/>
      <c r="O26" s="298"/>
      <c r="P26" s="298"/>
      <c r="Q26" s="298"/>
      <c r="R26" s="298"/>
      <c r="S26" s="298"/>
    </row>
    <row r="27" spans="1:19" s="92" customFormat="1">
      <c r="A27" s="256"/>
      <c r="B27" s="391"/>
      <c r="C27" s="391"/>
      <c r="D27" s="401"/>
      <c r="E27" s="391"/>
      <c r="F27" s="417"/>
      <c r="G27" s="417"/>
      <c r="H27" s="417"/>
      <c r="I27" s="417"/>
      <c r="J27" s="418"/>
      <c r="K27" s="298"/>
      <c r="L27" s="447"/>
      <c r="M27" s="447"/>
      <c r="N27" s="298"/>
      <c r="O27" s="298"/>
      <c r="P27" s="298"/>
      <c r="Q27" s="298"/>
      <c r="R27" s="298"/>
      <c r="S27" s="298"/>
    </row>
    <row r="28" spans="1:19" s="92" customFormat="1">
      <c r="A28" s="256"/>
      <c r="B28" s="392"/>
      <c r="C28" s="393"/>
      <c r="D28" s="402"/>
      <c r="E28" s="393"/>
      <c r="F28" s="393"/>
      <c r="G28" s="460" t="s">
        <v>69</v>
      </c>
      <c r="H28" s="419"/>
      <c r="I28" s="460"/>
      <c r="J28" s="420">
        <v>26847.325472</v>
      </c>
      <c r="K28" s="447"/>
      <c r="L28" s="447"/>
      <c r="M28" s="447"/>
      <c r="N28" s="298"/>
      <c r="O28" s="298"/>
      <c r="P28" s="298"/>
      <c r="Q28" s="298"/>
      <c r="R28" s="298"/>
      <c r="S28" s="298"/>
    </row>
    <row r="29" spans="1:19" s="92" customFormat="1">
      <c r="A29" s="256"/>
      <c r="B29" s="397"/>
      <c r="C29" s="397"/>
      <c r="D29" s="408"/>
      <c r="E29" s="397"/>
      <c r="F29" s="431"/>
      <c r="G29" s="431"/>
      <c r="H29" s="431"/>
      <c r="I29" s="431"/>
      <c r="J29" s="428"/>
      <c r="K29" s="298"/>
      <c r="L29" s="447"/>
      <c r="M29" s="447"/>
      <c r="N29" s="298"/>
      <c r="O29" s="298"/>
      <c r="P29" s="298"/>
      <c r="Q29" s="298"/>
      <c r="R29" s="298"/>
      <c r="S29" s="298"/>
    </row>
    <row r="30" spans="1:19" s="92" customFormat="1">
      <c r="A30" s="256"/>
      <c r="B30" s="390" t="s">
        <v>80</v>
      </c>
      <c r="C30" s="390"/>
      <c r="D30" s="399" t="s">
        <v>81</v>
      </c>
      <c r="E30" s="413"/>
      <c r="F30" s="413"/>
      <c r="G30" s="461"/>
      <c r="H30" s="413"/>
      <c r="I30" s="461"/>
      <c r="J30" s="414"/>
      <c r="K30" s="298"/>
      <c r="L30" s="447"/>
      <c r="M30" s="447"/>
      <c r="N30" s="298"/>
      <c r="O30" s="298"/>
      <c r="P30" s="298"/>
      <c r="Q30" s="298"/>
      <c r="R30" s="298"/>
      <c r="S30" s="298"/>
    </row>
    <row r="31" spans="1:19" s="92" customFormat="1">
      <c r="A31" s="256"/>
      <c r="B31" s="287" t="s">
        <v>3338</v>
      </c>
      <c r="C31" s="287"/>
      <c r="D31" s="400" t="s">
        <v>3339</v>
      </c>
      <c r="E31" s="415"/>
      <c r="F31" s="415"/>
      <c r="G31" s="462"/>
      <c r="H31" s="415"/>
      <c r="I31" s="462"/>
      <c r="J31" s="416"/>
      <c r="K31" s="298"/>
      <c r="L31" s="447"/>
      <c r="M31" s="447"/>
      <c r="N31" s="298"/>
      <c r="O31" s="298"/>
      <c r="P31" s="298"/>
      <c r="Q31" s="298"/>
      <c r="R31" s="298"/>
      <c r="S31" s="298"/>
    </row>
    <row r="32" spans="1:19" s="92" customFormat="1">
      <c r="A32" s="256"/>
      <c r="B32" s="287" t="s">
        <v>3340</v>
      </c>
      <c r="C32" s="287"/>
      <c r="D32" s="400" t="s">
        <v>3341</v>
      </c>
      <c r="E32" s="415"/>
      <c r="F32" s="415"/>
      <c r="G32" s="462"/>
      <c r="H32" s="415"/>
      <c r="I32" s="462"/>
      <c r="J32" s="416"/>
      <c r="K32" s="298"/>
      <c r="L32" s="447"/>
      <c r="M32" s="447"/>
      <c r="N32" s="298"/>
      <c r="O32" s="298"/>
      <c r="P32" s="298"/>
      <c r="Q32" s="298"/>
      <c r="R32" s="298"/>
      <c r="S32" s="298"/>
    </row>
    <row r="33" spans="1:19" s="92" customFormat="1" ht="25.5">
      <c r="A33" s="394" t="s">
        <v>3260</v>
      </c>
      <c r="B33" s="288" t="s">
        <v>3342</v>
      </c>
      <c r="C33" s="285" t="s">
        <v>9000</v>
      </c>
      <c r="D33" s="289" t="s">
        <v>9001</v>
      </c>
      <c r="E33" s="290" t="s">
        <v>10</v>
      </c>
      <c r="F33" s="292">
        <v>17</v>
      </c>
      <c r="G33" s="510">
        <v>192.53</v>
      </c>
      <c r="H33" s="508">
        <v>0.2094</v>
      </c>
      <c r="I33" s="510">
        <v>232.84578200000001</v>
      </c>
      <c r="J33" s="509">
        <v>3958.3782940000001</v>
      </c>
      <c r="K33" s="298"/>
      <c r="L33" s="447"/>
      <c r="M33" s="447"/>
      <c r="N33" s="298"/>
      <c r="O33" s="638"/>
      <c r="P33" s="298"/>
      <c r="Q33" s="298"/>
      <c r="R33" s="298"/>
      <c r="S33" s="298"/>
    </row>
    <row r="34" spans="1:19" s="92" customFormat="1" ht="25.5">
      <c r="A34" s="394" t="s">
        <v>3260</v>
      </c>
      <c r="B34" s="288" t="s">
        <v>9678</v>
      </c>
      <c r="C34" s="285" t="s">
        <v>9675</v>
      </c>
      <c r="D34" s="289" t="s">
        <v>9677</v>
      </c>
      <c r="E34" s="290" t="s">
        <v>10</v>
      </c>
      <c r="F34" s="292">
        <v>17</v>
      </c>
      <c r="G34" s="510">
        <v>77.039999999999992</v>
      </c>
      <c r="H34" s="508">
        <v>0.2094</v>
      </c>
      <c r="I34" s="510">
        <v>93.172175999999993</v>
      </c>
      <c r="J34" s="509">
        <v>1583.9269919999999</v>
      </c>
      <c r="K34" s="298"/>
      <c r="L34" s="447"/>
      <c r="M34" s="447"/>
      <c r="N34" s="298"/>
      <c r="O34" s="298"/>
      <c r="P34" s="298"/>
      <c r="Q34" s="298"/>
      <c r="R34" s="298"/>
      <c r="S34" s="298"/>
    </row>
    <row r="35" spans="1:19" s="92" customFormat="1" ht="25.5">
      <c r="A35" s="256" t="s">
        <v>12</v>
      </c>
      <c r="B35" s="288" t="s">
        <v>15267</v>
      </c>
      <c r="C35" s="285" t="s">
        <v>15266</v>
      </c>
      <c r="D35" s="289" t="s">
        <v>15268</v>
      </c>
      <c r="E35" s="290" t="s">
        <v>109</v>
      </c>
      <c r="F35" s="292">
        <v>1</v>
      </c>
      <c r="G35" s="510">
        <v>7000</v>
      </c>
      <c r="H35" s="508">
        <v>0.2094</v>
      </c>
      <c r="I35" s="510">
        <v>8465.8000000000011</v>
      </c>
      <c r="J35" s="509">
        <v>8465.8000000000011</v>
      </c>
      <c r="K35" s="298"/>
      <c r="L35" s="447"/>
      <c r="M35" s="447"/>
      <c r="N35" s="298"/>
      <c r="O35" s="298"/>
      <c r="P35" s="298"/>
      <c r="Q35" s="298"/>
      <c r="R35" s="298"/>
      <c r="S35" s="298"/>
    </row>
    <row r="36" spans="1:19" s="92" customFormat="1">
      <c r="A36" s="256"/>
      <c r="B36" s="391"/>
      <c r="C36" s="391"/>
      <c r="D36" s="401"/>
      <c r="E36" s="391"/>
      <c r="F36" s="417"/>
      <c r="G36" s="417"/>
      <c r="H36" s="417"/>
      <c r="I36" s="417"/>
      <c r="J36" s="418"/>
      <c r="K36" s="298"/>
      <c r="L36" s="447"/>
      <c r="M36" s="447"/>
      <c r="N36" s="298"/>
      <c r="O36" s="298"/>
      <c r="P36" s="298"/>
      <c r="Q36" s="298"/>
      <c r="R36" s="298"/>
      <c r="S36" s="298"/>
    </row>
    <row r="37" spans="1:19" s="92" customFormat="1">
      <c r="A37" s="256"/>
      <c r="B37" s="287" t="s">
        <v>82</v>
      </c>
      <c r="C37" s="287"/>
      <c r="D37" s="399" t="s">
        <v>83</v>
      </c>
      <c r="E37" s="413"/>
      <c r="F37" s="413"/>
      <c r="G37" s="461"/>
      <c r="H37" s="413"/>
      <c r="I37" s="461"/>
      <c r="J37" s="414"/>
      <c r="K37" s="298"/>
      <c r="L37" s="447"/>
      <c r="M37" s="447"/>
      <c r="N37" s="298"/>
      <c r="O37" s="298"/>
      <c r="P37" s="298"/>
      <c r="Q37" s="298"/>
      <c r="R37" s="298"/>
      <c r="S37" s="298"/>
    </row>
    <row r="38" spans="1:19" s="92" customFormat="1">
      <c r="A38" s="256"/>
      <c r="B38" s="287" t="s">
        <v>84</v>
      </c>
      <c r="C38" s="287"/>
      <c r="D38" s="400" t="s">
        <v>156</v>
      </c>
      <c r="E38" s="415"/>
      <c r="F38" s="415"/>
      <c r="G38" s="462"/>
      <c r="H38" s="415"/>
      <c r="I38" s="462"/>
      <c r="J38" s="416"/>
      <c r="K38" s="298"/>
      <c r="L38" s="447"/>
      <c r="M38" s="447"/>
      <c r="N38" s="298"/>
      <c r="O38" s="298"/>
      <c r="P38" s="298"/>
      <c r="Q38" s="298"/>
      <c r="R38" s="298"/>
      <c r="S38" s="298"/>
    </row>
    <row r="39" spans="1:19" s="92" customFormat="1" ht="15" customHeight="1">
      <c r="A39" s="394" t="s">
        <v>3260</v>
      </c>
      <c r="B39" s="288" t="s">
        <v>97</v>
      </c>
      <c r="C39" s="285" t="s">
        <v>9003</v>
      </c>
      <c r="D39" s="289" t="s">
        <v>9008</v>
      </c>
      <c r="E39" s="290" t="s">
        <v>193</v>
      </c>
      <c r="F39" s="292">
        <v>1497</v>
      </c>
      <c r="G39" s="510">
        <v>2.7</v>
      </c>
      <c r="H39" s="508">
        <v>0.2094</v>
      </c>
      <c r="I39" s="510">
        <v>3.2653800000000004</v>
      </c>
      <c r="J39" s="509">
        <v>4888.2738600000002</v>
      </c>
      <c r="K39" s="298"/>
      <c r="L39" s="447"/>
      <c r="M39" s="447"/>
      <c r="N39" s="298"/>
      <c r="O39" s="298"/>
      <c r="P39" s="298"/>
      <c r="Q39" s="298"/>
      <c r="R39" s="298"/>
      <c r="S39" s="298"/>
    </row>
    <row r="40" spans="1:19" s="92" customFormat="1" ht="14.25" customHeight="1">
      <c r="A40" s="394" t="s">
        <v>3260</v>
      </c>
      <c r="B40" s="288" t="s">
        <v>98</v>
      </c>
      <c r="C40" s="285" t="s">
        <v>9004</v>
      </c>
      <c r="D40" s="289" t="s">
        <v>157</v>
      </c>
      <c r="E40" s="290" t="s">
        <v>85</v>
      </c>
      <c r="F40" s="292">
        <v>8</v>
      </c>
      <c r="G40" s="510">
        <v>387.42</v>
      </c>
      <c r="H40" s="508">
        <v>0.2094</v>
      </c>
      <c r="I40" s="510">
        <v>468.545748</v>
      </c>
      <c r="J40" s="509">
        <v>3748.365984</v>
      </c>
      <c r="K40" s="298"/>
      <c r="L40" s="447"/>
      <c r="M40" s="447"/>
      <c r="N40" s="298"/>
      <c r="O40" s="298"/>
      <c r="P40" s="298"/>
      <c r="Q40" s="298"/>
      <c r="R40" s="298"/>
      <c r="S40" s="298"/>
    </row>
    <row r="41" spans="1:19" s="92" customFormat="1" ht="25.5">
      <c r="A41" s="256" t="s">
        <v>12</v>
      </c>
      <c r="B41" s="288" t="s">
        <v>99</v>
      </c>
      <c r="C41" s="285" t="s">
        <v>9673</v>
      </c>
      <c r="D41" s="289" t="s">
        <v>15265</v>
      </c>
      <c r="E41" s="290" t="s">
        <v>109</v>
      </c>
      <c r="F41" s="292">
        <v>24</v>
      </c>
      <c r="G41" s="510">
        <v>320</v>
      </c>
      <c r="H41" s="508">
        <v>0.2094</v>
      </c>
      <c r="I41" s="510">
        <v>387.00800000000004</v>
      </c>
      <c r="J41" s="509">
        <v>9288.1920000000009</v>
      </c>
      <c r="K41" s="298"/>
      <c r="L41" s="447"/>
      <c r="M41" s="447"/>
      <c r="N41" s="298"/>
      <c r="O41" s="298"/>
      <c r="P41" s="298"/>
      <c r="Q41" s="298"/>
      <c r="R41" s="298"/>
      <c r="S41" s="298"/>
    </row>
    <row r="42" spans="1:19" s="92" customFormat="1">
      <c r="A42" s="256"/>
      <c r="B42" s="391"/>
      <c r="C42" s="391"/>
      <c r="D42" s="401"/>
      <c r="E42" s="391"/>
      <c r="F42" s="417"/>
      <c r="G42" s="417"/>
      <c r="H42" s="417"/>
      <c r="I42" s="417"/>
      <c r="J42" s="418"/>
      <c r="K42" s="298"/>
      <c r="L42" s="447"/>
      <c r="M42" s="447"/>
      <c r="N42" s="298"/>
      <c r="O42" s="298"/>
      <c r="P42" s="298"/>
      <c r="Q42" s="298"/>
      <c r="R42" s="298"/>
      <c r="S42" s="298"/>
    </row>
    <row r="43" spans="1:19" s="92" customFormat="1">
      <c r="A43" s="256"/>
      <c r="B43" s="287" t="s">
        <v>158</v>
      </c>
      <c r="C43" s="287"/>
      <c r="D43" s="399" t="s">
        <v>159</v>
      </c>
      <c r="E43" s="413"/>
      <c r="F43" s="413"/>
      <c r="G43" s="461"/>
      <c r="H43" s="413"/>
      <c r="I43" s="461"/>
      <c r="J43" s="414"/>
      <c r="K43" s="298"/>
      <c r="L43" s="447"/>
      <c r="M43" s="447"/>
      <c r="N43" s="298"/>
      <c r="O43" s="298"/>
      <c r="P43" s="298"/>
      <c r="Q43" s="298"/>
      <c r="R43" s="298"/>
      <c r="S43" s="298"/>
    </row>
    <row r="44" spans="1:19" s="92" customFormat="1" ht="25.5">
      <c r="A44" s="394" t="s">
        <v>3260</v>
      </c>
      <c r="B44" s="288" t="s">
        <v>169</v>
      </c>
      <c r="C44" s="285" t="s">
        <v>9005</v>
      </c>
      <c r="D44" s="289" t="s">
        <v>3284</v>
      </c>
      <c r="E44" s="290" t="s">
        <v>193</v>
      </c>
      <c r="F44" s="292">
        <v>1497</v>
      </c>
      <c r="G44" s="510">
        <v>0.82</v>
      </c>
      <c r="H44" s="508">
        <v>0.2094</v>
      </c>
      <c r="I44" s="510">
        <v>0.99170799999999992</v>
      </c>
      <c r="J44" s="509">
        <v>1484.5868759999998</v>
      </c>
      <c r="K44" s="298"/>
      <c r="L44" s="447"/>
      <c r="M44" s="447"/>
      <c r="N44" s="298"/>
      <c r="O44" s="298"/>
      <c r="P44" s="298"/>
      <c r="Q44" s="298"/>
      <c r="R44" s="298"/>
      <c r="S44" s="298"/>
    </row>
    <row r="45" spans="1:19" s="92" customFormat="1">
      <c r="A45" s="256"/>
      <c r="B45" s="391"/>
      <c r="C45" s="391"/>
      <c r="D45" s="401"/>
      <c r="E45" s="391"/>
      <c r="F45" s="417"/>
      <c r="G45" s="417"/>
      <c r="H45" s="417"/>
      <c r="I45" s="417"/>
      <c r="J45" s="418"/>
      <c r="K45" s="298"/>
      <c r="L45" s="447"/>
      <c r="M45" s="447"/>
      <c r="N45" s="298"/>
      <c r="O45" s="298"/>
      <c r="P45" s="298"/>
      <c r="Q45" s="298"/>
      <c r="R45" s="298"/>
      <c r="S45" s="298"/>
    </row>
    <row r="46" spans="1:19" s="92" customFormat="1">
      <c r="A46" s="256"/>
      <c r="B46" s="287" t="s">
        <v>86</v>
      </c>
      <c r="C46" s="287"/>
      <c r="D46" s="399" t="s">
        <v>160</v>
      </c>
      <c r="E46" s="413"/>
      <c r="F46" s="413"/>
      <c r="G46" s="461"/>
      <c r="H46" s="413"/>
      <c r="I46" s="461"/>
      <c r="J46" s="414"/>
      <c r="K46" s="298"/>
      <c r="L46" s="447"/>
      <c r="M46" s="447"/>
      <c r="N46" s="298"/>
      <c r="O46" s="298"/>
      <c r="P46" s="298"/>
      <c r="Q46" s="298"/>
      <c r="R46" s="298"/>
      <c r="S46" s="298"/>
    </row>
    <row r="47" spans="1:19" s="92" customFormat="1">
      <c r="A47" s="256"/>
      <c r="B47" s="287" t="s">
        <v>87</v>
      </c>
      <c r="C47" s="287"/>
      <c r="D47" s="400" t="s">
        <v>88</v>
      </c>
      <c r="E47" s="415"/>
      <c r="F47" s="415"/>
      <c r="G47" s="462"/>
      <c r="H47" s="415"/>
      <c r="I47" s="462"/>
      <c r="J47" s="416"/>
      <c r="K47" s="298"/>
      <c r="L47" s="447"/>
      <c r="M47" s="447"/>
      <c r="N47" s="298"/>
      <c r="O47" s="298"/>
      <c r="P47" s="298"/>
      <c r="Q47" s="298"/>
      <c r="R47" s="298"/>
      <c r="S47" s="298"/>
    </row>
    <row r="48" spans="1:19" s="92" customFormat="1">
      <c r="A48" s="256" t="s">
        <v>12</v>
      </c>
      <c r="B48" s="288" t="s">
        <v>97</v>
      </c>
      <c r="C48" s="288" t="s">
        <v>9674</v>
      </c>
      <c r="D48" s="289" t="s">
        <v>299</v>
      </c>
      <c r="E48" s="290" t="s">
        <v>109</v>
      </c>
      <c r="F48" s="292">
        <v>148</v>
      </c>
      <c r="G48" s="510">
        <v>9.6</v>
      </c>
      <c r="H48" s="508">
        <v>0.2094</v>
      </c>
      <c r="I48" s="510">
        <v>11.610239999999999</v>
      </c>
      <c r="J48" s="509">
        <v>1718.3155199999999</v>
      </c>
      <c r="K48" s="298"/>
      <c r="L48" s="447"/>
      <c r="M48" s="447"/>
      <c r="N48" s="298"/>
      <c r="O48" s="298"/>
      <c r="P48" s="298"/>
      <c r="Q48" s="298"/>
      <c r="R48" s="298"/>
      <c r="S48" s="298"/>
    </row>
    <row r="49" spans="1:19" s="92" customFormat="1">
      <c r="A49" s="256"/>
      <c r="B49" s="391"/>
      <c r="C49" s="391"/>
      <c r="D49" s="401"/>
      <c r="E49" s="391"/>
      <c r="F49" s="417"/>
      <c r="G49" s="417"/>
      <c r="H49" s="417"/>
      <c r="I49" s="417"/>
      <c r="J49" s="418"/>
      <c r="K49" s="298"/>
      <c r="L49" s="447"/>
      <c r="M49" s="447"/>
      <c r="N49" s="298"/>
      <c r="O49" s="298"/>
      <c r="P49" s="298"/>
      <c r="Q49" s="298"/>
      <c r="R49" s="298"/>
      <c r="S49" s="298"/>
    </row>
    <row r="50" spans="1:19" s="92" customFormat="1">
      <c r="A50" s="256"/>
      <c r="B50" s="392"/>
      <c r="C50" s="393"/>
      <c r="D50" s="402"/>
      <c r="E50" s="393"/>
      <c r="F50" s="393"/>
      <c r="G50" s="460" t="s">
        <v>69</v>
      </c>
      <c r="H50" s="432"/>
      <c r="I50" s="460"/>
      <c r="J50" s="420">
        <v>35135.839526000003</v>
      </c>
      <c r="K50" s="447"/>
      <c r="L50" s="447"/>
      <c r="M50" s="447"/>
      <c r="N50" s="298"/>
      <c r="O50" s="298"/>
      <c r="P50" s="298"/>
      <c r="Q50" s="298"/>
      <c r="R50" s="298"/>
      <c r="S50" s="298"/>
    </row>
    <row r="51" spans="1:19" s="92" customFormat="1">
      <c r="A51" s="256"/>
      <c r="B51" s="391"/>
      <c r="C51" s="391"/>
      <c r="D51" s="401"/>
      <c r="E51" s="391"/>
      <c r="F51" s="417"/>
      <c r="G51" s="417"/>
      <c r="H51" s="417"/>
      <c r="I51" s="417"/>
      <c r="J51" s="418"/>
      <c r="K51" s="298"/>
      <c r="L51" s="447"/>
      <c r="M51" s="447"/>
      <c r="N51" s="298"/>
      <c r="O51" s="298"/>
      <c r="P51" s="298"/>
      <c r="Q51" s="298"/>
      <c r="R51" s="298"/>
      <c r="S51" s="298"/>
    </row>
    <row r="52" spans="1:19" s="92" customFormat="1">
      <c r="A52" s="256"/>
      <c r="B52" s="287" t="s">
        <v>89</v>
      </c>
      <c r="C52" s="287"/>
      <c r="D52" s="399" t="s">
        <v>90</v>
      </c>
      <c r="E52" s="413"/>
      <c r="F52" s="413"/>
      <c r="G52" s="461"/>
      <c r="H52" s="413"/>
      <c r="I52" s="461"/>
      <c r="J52" s="414"/>
      <c r="K52" s="298"/>
      <c r="L52" s="447"/>
      <c r="M52" s="447"/>
      <c r="N52" s="298"/>
      <c r="O52" s="298"/>
      <c r="P52" s="298"/>
      <c r="Q52" s="298"/>
      <c r="R52" s="298"/>
      <c r="S52" s="298"/>
    </row>
    <row r="53" spans="1:19" s="92" customFormat="1">
      <c r="A53" s="256"/>
      <c r="B53" s="287" t="s">
        <v>161</v>
      </c>
      <c r="C53" s="287"/>
      <c r="D53" s="400" t="s">
        <v>162</v>
      </c>
      <c r="E53" s="415"/>
      <c r="F53" s="415"/>
      <c r="G53" s="462"/>
      <c r="H53" s="415"/>
      <c r="I53" s="462"/>
      <c r="J53" s="416"/>
      <c r="K53" s="298"/>
      <c r="L53" s="447"/>
      <c r="M53" s="447"/>
      <c r="N53" s="298"/>
      <c r="O53" s="298"/>
      <c r="P53" s="298"/>
      <c r="Q53" s="298"/>
      <c r="R53" s="298"/>
      <c r="S53" s="298"/>
    </row>
    <row r="54" spans="1:19" s="92" customFormat="1">
      <c r="A54" s="256"/>
      <c r="B54" s="287" t="s">
        <v>163</v>
      </c>
      <c r="C54" s="287"/>
      <c r="D54" s="400" t="s">
        <v>18134</v>
      </c>
      <c r="E54" s="415"/>
      <c r="F54" s="415"/>
      <c r="G54" s="462"/>
      <c r="H54" s="415"/>
      <c r="I54" s="462"/>
      <c r="J54" s="416"/>
      <c r="K54" s="298"/>
      <c r="L54" s="447"/>
      <c r="M54" s="447"/>
      <c r="N54" s="298"/>
      <c r="O54" s="298"/>
      <c r="P54" s="298"/>
      <c r="Q54" s="298"/>
      <c r="R54" s="298"/>
      <c r="S54" s="298"/>
    </row>
    <row r="55" spans="1:19" s="92" customFormat="1" ht="76.5">
      <c r="A55" s="394" t="s">
        <v>3260</v>
      </c>
      <c r="B55" s="288" t="s">
        <v>170</v>
      </c>
      <c r="C55" s="288" t="s">
        <v>9011</v>
      </c>
      <c r="D55" s="289" t="s">
        <v>24881</v>
      </c>
      <c r="E55" s="290" t="s">
        <v>10</v>
      </c>
      <c r="F55" s="292">
        <v>1</v>
      </c>
      <c r="G55" s="510">
        <v>238677.84000000003</v>
      </c>
      <c r="H55" s="508">
        <v>0.2094</v>
      </c>
      <c r="I55" s="510">
        <v>288656.97969600005</v>
      </c>
      <c r="J55" s="509">
        <v>288656.97969600005</v>
      </c>
      <c r="K55" s="298"/>
      <c r="L55" s="447"/>
      <c r="M55" s="447"/>
      <c r="N55" s="292"/>
      <c r="O55" s="298"/>
      <c r="P55" s="298"/>
      <c r="Q55" s="298"/>
      <c r="R55" s="298"/>
      <c r="S55" s="298"/>
    </row>
    <row r="56" spans="1:19" s="92" customFormat="1">
      <c r="A56" s="256"/>
      <c r="B56" s="391"/>
      <c r="C56" s="391"/>
      <c r="D56" s="401"/>
      <c r="E56" s="391"/>
      <c r="F56" s="417"/>
      <c r="G56" s="417"/>
      <c r="H56" s="417"/>
      <c r="I56" s="417"/>
      <c r="J56" s="418"/>
      <c r="K56" s="298"/>
      <c r="L56" s="447"/>
      <c r="M56" s="447"/>
      <c r="N56" s="298"/>
      <c r="O56" s="298"/>
      <c r="P56" s="298"/>
      <c r="Q56" s="298"/>
      <c r="R56" s="298"/>
      <c r="S56" s="298"/>
    </row>
    <row r="57" spans="1:19" s="92" customFormat="1">
      <c r="A57" s="256"/>
      <c r="B57" s="287" t="s">
        <v>91</v>
      </c>
      <c r="C57" s="287"/>
      <c r="D57" s="399" t="s">
        <v>92</v>
      </c>
      <c r="E57" s="413"/>
      <c r="F57" s="413"/>
      <c r="G57" s="461"/>
      <c r="H57" s="413"/>
      <c r="I57" s="461"/>
      <c r="J57" s="414"/>
      <c r="K57" s="298"/>
      <c r="L57" s="447"/>
      <c r="M57" s="447"/>
      <c r="N57" s="298"/>
      <c r="O57" s="298"/>
      <c r="P57" s="298"/>
      <c r="Q57" s="298"/>
      <c r="R57" s="298"/>
      <c r="S57" s="298"/>
    </row>
    <row r="58" spans="1:19" s="92" customFormat="1">
      <c r="A58" s="256"/>
      <c r="B58" s="287" t="s">
        <v>93</v>
      </c>
      <c r="C58" s="287"/>
      <c r="D58" s="400" t="s">
        <v>94</v>
      </c>
      <c r="E58" s="415"/>
      <c r="F58" s="415"/>
      <c r="G58" s="462"/>
      <c r="H58" s="415"/>
      <c r="I58" s="462"/>
      <c r="J58" s="416"/>
      <c r="K58" s="298"/>
      <c r="L58" s="447"/>
      <c r="M58" s="447"/>
      <c r="N58" s="298"/>
      <c r="O58" s="298"/>
      <c r="P58" s="298"/>
      <c r="Q58" s="298"/>
      <c r="R58" s="298"/>
      <c r="S58" s="298"/>
    </row>
    <row r="59" spans="1:19" s="92" customFormat="1" ht="51">
      <c r="A59" s="394" t="s">
        <v>3261</v>
      </c>
      <c r="B59" s="288" t="s">
        <v>3337</v>
      </c>
      <c r="C59" s="288">
        <v>10527</v>
      </c>
      <c r="D59" s="289" t="s">
        <v>11848</v>
      </c>
      <c r="E59" s="290" t="s">
        <v>6958</v>
      </c>
      <c r="F59" s="292">
        <v>300</v>
      </c>
      <c r="G59" s="510" t="s">
        <v>11151</v>
      </c>
      <c r="H59" s="508">
        <v>0.2094</v>
      </c>
      <c r="I59" s="510">
        <v>16.326900000000002</v>
      </c>
      <c r="J59" s="509">
        <v>4898.0700000000006</v>
      </c>
      <c r="K59" s="298"/>
      <c r="L59" s="447"/>
      <c r="M59" s="447"/>
      <c r="N59" s="298"/>
      <c r="O59" s="298"/>
      <c r="P59" s="298"/>
      <c r="Q59" s="298"/>
      <c r="R59" s="298"/>
      <c r="S59" s="298"/>
    </row>
    <row r="60" spans="1:19" s="92" customFormat="1" ht="38.25">
      <c r="A60" s="394" t="s">
        <v>3259</v>
      </c>
      <c r="B60" s="288" t="s">
        <v>100</v>
      </c>
      <c r="C60" s="288">
        <v>97064</v>
      </c>
      <c r="D60" s="289" t="s">
        <v>3715</v>
      </c>
      <c r="E60" s="290" t="s">
        <v>5</v>
      </c>
      <c r="F60" s="292">
        <v>75</v>
      </c>
      <c r="G60" s="510" t="s">
        <v>9956</v>
      </c>
      <c r="H60" s="508">
        <v>0.2094</v>
      </c>
      <c r="I60" s="510">
        <v>18.358692000000001</v>
      </c>
      <c r="J60" s="509">
        <v>1376.9019000000001</v>
      </c>
      <c r="K60" s="298"/>
      <c r="L60" s="447"/>
      <c r="M60" s="447"/>
      <c r="N60" s="298"/>
      <c r="O60" s="298"/>
      <c r="P60" s="298"/>
      <c r="Q60" s="298"/>
      <c r="R60" s="298"/>
      <c r="S60" s="298"/>
    </row>
    <row r="61" spans="1:19" s="92" customFormat="1" ht="51">
      <c r="A61" s="394" t="s">
        <v>3261</v>
      </c>
      <c r="B61" s="288" t="s">
        <v>18135</v>
      </c>
      <c r="C61" s="288">
        <v>20193</v>
      </c>
      <c r="D61" s="289" t="s">
        <v>6956</v>
      </c>
      <c r="E61" s="290" t="s">
        <v>6957</v>
      </c>
      <c r="F61" s="292">
        <v>1050</v>
      </c>
      <c r="G61" s="510" t="s">
        <v>16197</v>
      </c>
      <c r="H61" s="508">
        <v>0.2094</v>
      </c>
      <c r="I61" s="510">
        <v>5.4302060000000001</v>
      </c>
      <c r="J61" s="509">
        <v>5701.7163</v>
      </c>
      <c r="K61" s="298"/>
      <c r="L61" s="447"/>
      <c r="M61" s="447"/>
      <c r="N61" s="298"/>
      <c r="O61" s="298"/>
      <c r="P61" s="298"/>
      <c r="Q61" s="298"/>
      <c r="R61" s="298"/>
      <c r="S61" s="298"/>
    </row>
    <row r="62" spans="1:19" s="92" customFormat="1" ht="63.75">
      <c r="A62" s="394" t="s">
        <v>3259</v>
      </c>
      <c r="B62" s="288" t="s">
        <v>18136</v>
      </c>
      <c r="C62" s="288">
        <v>97063</v>
      </c>
      <c r="D62" s="289" t="s">
        <v>3714</v>
      </c>
      <c r="E62" s="290" t="s">
        <v>193</v>
      </c>
      <c r="F62" s="292">
        <v>700</v>
      </c>
      <c r="G62" s="510" t="s">
        <v>12184</v>
      </c>
      <c r="H62" s="508">
        <v>0.2094</v>
      </c>
      <c r="I62" s="510">
        <v>9.9170799999999986</v>
      </c>
      <c r="J62" s="509">
        <v>6941.9559999999992</v>
      </c>
      <c r="K62" s="298"/>
      <c r="L62" s="447"/>
      <c r="M62" s="447"/>
      <c r="N62" s="298"/>
      <c r="O62" s="298"/>
      <c r="P62" s="298"/>
      <c r="Q62" s="298"/>
      <c r="R62" s="298"/>
      <c r="S62" s="298"/>
    </row>
    <row r="63" spans="1:19" s="92" customFormat="1">
      <c r="A63" s="256"/>
      <c r="B63" s="391"/>
      <c r="C63" s="391"/>
      <c r="D63" s="401"/>
      <c r="E63" s="391"/>
      <c r="F63" s="417"/>
      <c r="G63" s="417"/>
      <c r="H63" s="417"/>
      <c r="I63" s="442"/>
      <c r="J63" s="418"/>
      <c r="K63" s="298"/>
      <c r="L63" s="447"/>
      <c r="M63" s="449"/>
      <c r="N63" s="298"/>
      <c r="O63" s="298"/>
      <c r="P63" s="298"/>
      <c r="Q63" s="298"/>
      <c r="R63" s="298"/>
      <c r="S63" s="298"/>
    </row>
    <row r="64" spans="1:19" s="92" customFormat="1">
      <c r="A64" s="256"/>
      <c r="B64" s="393"/>
      <c r="C64" s="393"/>
      <c r="D64" s="402"/>
      <c r="E64" s="393"/>
      <c r="F64" s="393"/>
      <c r="G64" s="433" t="s">
        <v>69</v>
      </c>
      <c r="H64" s="392"/>
      <c r="I64" s="433"/>
      <c r="J64" s="420">
        <v>307575.62389600009</v>
      </c>
      <c r="K64" s="447"/>
      <c r="L64" s="447"/>
      <c r="M64" s="449"/>
      <c r="N64" s="298"/>
      <c r="O64" s="298"/>
      <c r="P64" s="298"/>
      <c r="Q64" s="298"/>
      <c r="R64" s="298"/>
      <c r="S64" s="298"/>
    </row>
    <row r="65" spans="1:19" s="92" customFormat="1">
      <c r="A65" s="256"/>
      <c r="B65" s="391"/>
      <c r="C65" s="391"/>
      <c r="D65" s="401"/>
      <c r="E65" s="391"/>
      <c r="F65" s="417"/>
      <c r="G65" s="417"/>
      <c r="H65" s="417"/>
      <c r="I65" s="442"/>
      <c r="J65" s="418"/>
      <c r="K65" s="298"/>
      <c r="L65" s="447"/>
      <c r="M65" s="449"/>
      <c r="N65" s="298"/>
      <c r="O65" s="298"/>
      <c r="P65" s="298"/>
      <c r="Q65" s="298"/>
      <c r="R65" s="298"/>
      <c r="S65" s="298"/>
    </row>
    <row r="66" spans="1:19" s="140" customFormat="1">
      <c r="A66" s="394"/>
      <c r="B66" s="395"/>
      <c r="C66" s="395"/>
      <c r="D66" s="404"/>
      <c r="E66" s="395"/>
      <c r="F66" s="395"/>
      <c r="G66" s="434" t="s">
        <v>70</v>
      </c>
      <c r="H66" s="435"/>
      <c r="I66" s="436"/>
      <c r="J66" s="421">
        <v>384623.76660200011</v>
      </c>
      <c r="K66" s="448"/>
      <c r="L66" s="447"/>
      <c r="M66" s="449"/>
      <c r="N66" s="409"/>
      <c r="O66" s="409"/>
      <c r="P66" s="409"/>
      <c r="Q66" s="409"/>
      <c r="R66" s="409"/>
      <c r="S66" s="409"/>
    </row>
    <row r="67" spans="1:19" s="140" customFormat="1" ht="6.75" customHeight="1">
      <c r="A67" s="394"/>
      <c r="B67" s="394"/>
      <c r="C67" s="394"/>
      <c r="D67" s="409"/>
      <c r="E67" s="394"/>
      <c r="F67" s="437"/>
      <c r="G67" s="437"/>
      <c r="H67" s="437"/>
      <c r="I67" s="438"/>
      <c r="J67" s="437"/>
      <c r="K67" s="409"/>
      <c r="L67" s="448"/>
      <c r="M67" s="409"/>
      <c r="N67" s="409"/>
      <c r="O67" s="409"/>
      <c r="P67" s="409"/>
      <c r="Q67" s="409"/>
      <c r="R67" s="409"/>
      <c r="S67" s="409"/>
    </row>
    <row r="68" spans="1:19" s="70" customFormat="1" ht="58.15" customHeight="1">
      <c r="A68" s="128"/>
      <c r="B68" s="808" t="s">
        <v>24510</v>
      </c>
      <c r="C68" s="808"/>
      <c r="D68" s="808"/>
      <c r="E68" s="808"/>
      <c r="F68" s="808"/>
      <c r="G68" s="808"/>
      <c r="H68" s="808"/>
      <c r="I68" s="808"/>
      <c r="J68" s="808"/>
      <c r="K68" s="446"/>
      <c r="L68" s="446"/>
      <c r="M68" s="446"/>
      <c r="N68" s="446"/>
      <c r="O68" s="446"/>
      <c r="P68" s="446"/>
      <c r="Q68" s="446"/>
      <c r="R68" s="446"/>
      <c r="S68" s="446"/>
    </row>
    <row r="69" spans="1:19" s="70" customFormat="1" ht="58.15" customHeight="1">
      <c r="A69" s="128"/>
      <c r="B69" s="808" t="s">
        <v>24879</v>
      </c>
      <c r="C69" s="808"/>
      <c r="D69" s="808"/>
      <c r="E69" s="808"/>
      <c r="F69" s="808"/>
      <c r="G69" s="808"/>
      <c r="H69" s="808"/>
      <c r="I69" s="808"/>
      <c r="J69" s="808"/>
      <c r="K69" s="446"/>
      <c r="L69" s="446"/>
      <c r="M69" s="446"/>
      <c r="N69" s="446"/>
      <c r="O69" s="446"/>
      <c r="P69" s="446"/>
      <c r="Q69" s="446"/>
      <c r="R69" s="446"/>
      <c r="S69" s="446"/>
    </row>
    <row r="70" spans="1:19" s="70" customFormat="1" ht="58.15" customHeight="1">
      <c r="A70" s="128"/>
      <c r="B70" s="808" t="s">
        <v>24880</v>
      </c>
      <c r="C70" s="808"/>
      <c r="D70" s="808"/>
      <c r="E70" s="808"/>
      <c r="F70" s="808"/>
      <c r="G70" s="808"/>
      <c r="H70" s="808"/>
      <c r="I70" s="808"/>
      <c r="J70" s="808"/>
      <c r="K70" s="446"/>
      <c r="L70" s="446"/>
      <c r="M70" s="446"/>
      <c r="N70" s="446"/>
      <c r="O70" s="446"/>
      <c r="P70" s="446"/>
      <c r="Q70" s="446"/>
      <c r="R70" s="446"/>
      <c r="S70" s="446"/>
    </row>
    <row r="71" spans="1:19" ht="6.75" customHeight="1"/>
    <row r="75" spans="1:19" s="411" customFormat="1">
      <c r="A75" s="398"/>
      <c r="B75" s="398"/>
      <c r="C75" s="398"/>
      <c r="D75" s="672"/>
      <c r="E75" s="398"/>
      <c r="F75" s="398"/>
      <c r="G75" s="398"/>
      <c r="H75" s="398"/>
      <c r="I75" s="398"/>
      <c r="J75" s="398"/>
    </row>
    <row r="76" spans="1:19" s="411" customFormat="1">
      <c r="A76" s="398"/>
      <c r="B76" s="398"/>
      <c r="C76" s="398"/>
      <c r="D76" s="410"/>
      <c r="E76" s="398"/>
      <c r="F76" s="398"/>
      <c r="G76" s="398"/>
      <c r="H76" s="398"/>
      <c r="I76" s="398"/>
      <c r="J76" s="398"/>
    </row>
  </sheetData>
  <autoFilter ref="B11:J71"/>
  <mergeCells count="14">
    <mergeCell ref="B6:C6"/>
    <mergeCell ref="D6:E6"/>
    <mergeCell ref="B1:J1"/>
    <mergeCell ref="B2:J2"/>
    <mergeCell ref="B3:J3"/>
    <mergeCell ref="B4:J4"/>
    <mergeCell ref="B5:J5"/>
    <mergeCell ref="B70:J70"/>
    <mergeCell ref="B7:C7"/>
    <mergeCell ref="D7:F7"/>
    <mergeCell ref="B8:C8"/>
    <mergeCell ref="B9:C9"/>
    <mergeCell ref="B68:J68"/>
    <mergeCell ref="B69:J69"/>
  </mergeCells>
  <printOptions horizontalCentered="1"/>
  <pageMargins left="0.59055118110236227" right="0.62992125984251968" top="0.33" bottom="0.26" header="0.19685039370078741" footer="0.17"/>
  <pageSetup paperSize="9" scale="60" orientation="portrait" r:id="rId1"/>
  <headerFooter>
    <oddHeader>&amp;C&amp;F</oddHeader>
    <oddFooter>Página &amp;P de &amp;N</oddFooter>
  </headerFooter>
  <drawing r:id="rId2"/>
  <legacyDrawing r:id="rId3"/>
</worksheet>
</file>

<file path=xl/worksheets/sheet3.xml><?xml version="1.0" encoding="utf-8"?>
<worksheet xmlns="http://schemas.openxmlformats.org/spreadsheetml/2006/main" xmlns:r="http://schemas.openxmlformats.org/officeDocument/2006/relationships">
  <sheetPr>
    <tabColor rgb="FFFF0000"/>
  </sheetPr>
  <dimension ref="A1:S448"/>
  <sheetViews>
    <sheetView showGridLines="0" view="pageBreakPreview" zoomScale="90" zoomScaleNormal="100" zoomScaleSheetLayoutView="90" workbookViewId="0">
      <selection activeCell="K21" sqref="K21"/>
    </sheetView>
  </sheetViews>
  <sheetFormatPr defaultColWidth="9.140625" defaultRowHeight="12.75"/>
  <cols>
    <col min="1" max="1" width="9.140625" style="398" customWidth="1"/>
    <col min="2" max="2" width="12.7109375" style="398" customWidth="1"/>
    <col min="3" max="3" width="13.42578125" style="398" customWidth="1"/>
    <col min="4" max="4" width="44.7109375" style="411" customWidth="1"/>
    <col min="5" max="5" width="7.7109375" style="398" customWidth="1"/>
    <col min="6" max="6" width="10.42578125" style="439" customWidth="1"/>
    <col min="7" max="7" width="12.85546875" style="439" customWidth="1"/>
    <col min="8" max="8" width="11.7109375" style="439" customWidth="1"/>
    <col min="9" max="9" width="12.5703125" style="439" customWidth="1"/>
    <col min="10" max="10" width="17.7109375" style="439" customWidth="1"/>
    <col min="11" max="11" width="17.140625" style="411" customWidth="1"/>
    <col min="12" max="12" width="20.140625" style="411" customWidth="1"/>
    <col min="13" max="13" width="20.7109375" style="411" customWidth="1"/>
    <col min="14" max="14" width="14.28515625" style="411" customWidth="1"/>
    <col min="15" max="15" width="16.7109375" style="411" customWidth="1"/>
    <col min="16" max="16" width="12.85546875" style="411" customWidth="1"/>
    <col min="17" max="17" width="11.85546875" style="411" customWidth="1"/>
    <col min="18" max="18" width="15" style="411" customWidth="1"/>
    <col min="19" max="19" width="9.140625" style="411"/>
    <col min="20" max="16384" width="9.140625" style="71"/>
  </cols>
  <sheetData>
    <row r="1" spans="1:19" s="86" customFormat="1" ht="15.75">
      <c r="A1" s="127"/>
      <c r="B1" s="814"/>
      <c r="C1" s="814"/>
      <c r="D1" s="814"/>
      <c r="E1" s="814"/>
      <c r="F1" s="814"/>
      <c r="G1" s="814"/>
      <c r="H1" s="814"/>
      <c r="I1" s="814"/>
      <c r="J1" s="814"/>
      <c r="K1" s="443"/>
      <c r="L1" s="444"/>
      <c r="M1" s="444"/>
      <c r="N1" s="444"/>
      <c r="O1" s="444"/>
      <c r="P1" s="444"/>
      <c r="Q1" s="444"/>
      <c r="R1" s="444"/>
      <c r="S1" s="444"/>
    </row>
    <row r="2" spans="1:19" s="67" customFormat="1" ht="18.75">
      <c r="A2" s="130"/>
      <c r="B2" s="815" t="s">
        <v>3765</v>
      </c>
      <c r="C2" s="815"/>
      <c r="D2" s="815"/>
      <c r="E2" s="815"/>
      <c r="F2" s="815"/>
      <c r="G2" s="815"/>
      <c r="H2" s="815"/>
      <c r="I2" s="815"/>
      <c r="J2" s="815"/>
      <c r="K2" s="445"/>
      <c r="L2" s="446"/>
      <c r="M2" s="446"/>
      <c r="N2" s="446"/>
      <c r="O2" s="446"/>
      <c r="P2" s="446"/>
      <c r="Q2" s="446"/>
      <c r="R2" s="381"/>
      <c r="S2" s="381"/>
    </row>
    <row r="3" spans="1:19" s="67" customFormat="1" ht="18.75">
      <c r="A3" s="130"/>
      <c r="B3" s="815" t="s">
        <v>3766</v>
      </c>
      <c r="C3" s="815"/>
      <c r="D3" s="815"/>
      <c r="E3" s="815"/>
      <c r="F3" s="815"/>
      <c r="G3" s="815"/>
      <c r="H3" s="815"/>
      <c r="I3" s="815"/>
      <c r="J3" s="815"/>
      <c r="K3" s="445"/>
      <c r="L3" s="446"/>
      <c r="M3" s="446"/>
      <c r="N3" s="446"/>
      <c r="O3" s="446"/>
      <c r="P3" s="446"/>
      <c r="Q3" s="446"/>
      <c r="R3" s="381"/>
      <c r="S3" s="381"/>
    </row>
    <row r="4" spans="1:19" s="67" customFormat="1" ht="18.75">
      <c r="A4" s="130"/>
      <c r="B4" s="815" t="s">
        <v>3768</v>
      </c>
      <c r="C4" s="815"/>
      <c r="D4" s="815"/>
      <c r="E4" s="815"/>
      <c r="F4" s="815"/>
      <c r="G4" s="815"/>
      <c r="H4" s="815"/>
      <c r="I4" s="815"/>
      <c r="J4" s="815"/>
      <c r="K4" s="446"/>
      <c r="L4" s="446"/>
      <c r="M4" s="446"/>
      <c r="N4" s="446"/>
      <c r="O4" s="446"/>
      <c r="P4" s="446"/>
      <c r="Q4" s="446"/>
      <c r="R4" s="381"/>
      <c r="S4" s="381"/>
    </row>
    <row r="5" spans="1:19" s="67" customFormat="1" ht="18.75">
      <c r="A5" s="130"/>
      <c r="B5" s="815" t="s">
        <v>16713</v>
      </c>
      <c r="C5" s="815"/>
      <c r="D5" s="815"/>
      <c r="E5" s="815"/>
      <c r="F5" s="815"/>
      <c r="G5" s="815"/>
      <c r="H5" s="815"/>
      <c r="I5" s="815"/>
      <c r="J5" s="815"/>
      <c r="K5" s="446"/>
      <c r="L5" s="446"/>
      <c r="M5" s="446"/>
      <c r="N5" s="446"/>
      <c r="O5" s="446"/>
      <c r="P5" s="446"/>
      <c r="Q5" s="446"/>
      <c r="R5" s="381"/>
      <c r="S5" s="381"/>
    </row>
    <row r="6" spans="1:19" s="67" customFormat="1">
      <c r="A6" s="130"/>
      <c r="B6" s="809" t="s">
        <v>60</v>
      </c>
      <c r="C6" s="809"/>
      <c r="D6" s="813" t="s">
        <v>24743</v>
      </c>
      <c r="E6" s="813"/>
      <c r="F6" s="130"/>
      <c r="G6" s="347"/>
      <c r="H6" s="347"/>
      <c r="I6" s="347" t="s">
        <v>61</v>
      </c>
      <c r="J6" s="346">
        <f>'018-21-CAPA'!E20</f>
        <v>44389</v>
      </c>
      <c r="K6" s="445"/>
      <c r="L6" s="446"/>
      <c r="M6" s="446"/>
      <c r="N6" s="446"/>
      <c r="O6" s="446"/>
      <c r="P6" s="446"/>
      <c r="Q6" s="446"/>
      <c r="R6" s="446"/>
      <c r="S6" s="381"/>
    </row>
    <row r="7" spans="1:19" s="67" customFormat="1" ht="12.75" customHeight="1">
      <c r="A7" s="130"/>
      <c r="B7" s="809" t="s">
        <v>62</v>
      </c>
      <c r="C7" s="809"/>
      <c r="D7" s="810" t="s">
        <v>24736</v>
      </c>
      <c r="E7" s="811"/>
      <c r="F7" s="811"/>
      <c r="G7" s="512"/>
      <c r="H7" s="512"/>
      <c r="I7" s="512" t="s">
        <v>16</v>
      </c>
      <c r="J7" s="329" t="str">
        <f>'018.01-21-ADM OBRA'!J7</f>
        <v>PROJ-DE-045-20</v>
      </c>
      <c r="K7" s="446"/>
      <c r="L7" s="446"/>
      <c r="M7" s="446"/>
      <c r="N7" s="446"/>
      <c r="O7" s="446"/>
      <c r="P7" s="446"/>
      <c r="Q7" s="446"/>
      <c r="R7" s="381"/>
      <c r="S7" s="381"/>
    </row>
    <row r="8" spans="1:19" s="67" customFormat="1">
      <c r="A8" s="130"/>
      <c r="B8" s="812" t="s">
        <v>18</v>
      </c>
      <c r="C8" s="809" t="s">
        <v>63</v>
      </c>
      <c r="D8" s="294" t="s">
        <v>18322</v>
      </c>
      <c r="E8" s="306"/>
      <c r="F8" s="130"/>
      <c r="G8" s="512"/>
      <c r="H8" s="512"/>
      <c r="I8" s="512" t="s">
        <v>64</v>
      </c>
      <c r="J8" s="744" t="str">
        <f>'018.01-21-ADM OBRA'!J8</f>
        <v>1.497,00 m²</v>
      </c>
      <c r="K8" s="445"/>
      <c r="L8" s="446"/>
      <c r="M8" s="446"/>
      <c r="N8" s="446"/>
      <c r="O8" s="446"/>
      <c r="P8" s="446"/>
      <c r="Q8" s="446"/>
      <c r="R8" s="446"/>
      <c r="S8" s="381"/>
    </row>
    <row r="9" spans="1:19" s="67" customFormat="1">
      <c r="A9" s="130"/>
      <c r="B9" s="809" t="s">
        <v>65</v>
      </c>
      <c r="C9" s="809"/>
      <c r="D9" s="378" t="s">
        <v>15157</v>
      </c>
      <c r="E9" s="347" t="s">
        <v>66</v>
      </c>
      <c r="F9" s="412">
        <v>0.2094</v>
      </c>
      <c r="G9" s="347" t="s">
        <v>66</v>
      </c>
      <c r="H9" s="412">
        <v>0.1089</v>
      </c>
      <c r="I9" s="327" t="s">
        <v>68</v>
      </c>
      <c r="J9" s="744" t="str">
        <f>'018.01-21-ADM OBRA'!J9</f>
        <v>SINAPI MAIO 2021</v>
      </c>
      <c r="K9" s="445"/>
      <c r="L9" s="446"/>
      <c r="M9" s="446"/>
      <c r="N9" s="446"/>
      <c r="O9" s="446"/>
      <c r="P9" s="446"/>
      <c r="Q9" s="446"/>
      <c r="R9" s="446"/>
      <c r="S9" s="381"/>
    </row>
    <row r="10" spans="1:19" s="67" customFormat="1">
      <c r="A10" s="130"/>
      <c r="B10" s="512"/>
      <c r="C10" s="512"/>
      <c r="D10" s="378"/>
      <c r="E10" s="347"/>
      <c r="F10" s="306"/>
      <c r="G10" s="327"/>
      <c r="H10" s="327"/>
      <c r="I10" s="327"/>
      <c r="J10" s="305"/>
      <c r="K10" s="445"/>
      <c r="L10" s="446"/>
      <c r="M10" s="446"/>
      <c r="N10" s="446"/>
      <c r="O10" s="446"/>
      <c r="P10" s="446"/>
      <c r="Q10" s="446"/>
      <c r="R10" s="446"/>
      <c r="S10" s="381"/>
    </row>
    <row r="11" spans="1:19" s="1" customFormat="1" ht="45">
      <c r="A11" s="377"/>
      <c r="B11" s="186" t="s">
        <v>71</v>
      </c>
      <c r="C11" s="186" t="s">
        <v>0</v>
      </c>
      <c r="D11" s="186" t="s">
        <v>1</v>
      </c>
      <c r="E11" s="186" t="s">
        <v>171</v>
      </c>
      <c r="F11" s="186" t="s">
        <v>2</v>
      </c>
      <c r="G11" s="186" t="s">
        <v>9033</v>
      </c>
      <c r="H11" s="186" t="s">
        <v>30</v>
      </c>
      <c r="I11" s="186" t="s">
        <v>9034</v>
      </c>
      <c r="J11" s="186" t="s">
        <v>9035</v>
      </c>
      <c r="K11" s="380"/>
      <c r="L11" s="380"/>
      <c r="M11" s="380"/>
      <c r="N11" s="380"/>
      <c r="O11" s="380"/>
      <c r="P11" s="380"/>
      <c r="Q11" s="380"/>
      <c r="R11" s="380"/>
      <c r="S11" s="380"/>
    </row>
    <row r="12" spans="1:19" s="92" customFormat="1">
      <c r="A12" s="256"/>
      <c r="B12" s="287" t="s">
        <v>78</v>
      </c>
      <c r="C12" s="287"/>
      <c r="D12" s="399" t="s">
        <v>3</v>
      </c>
      <c r="E12" s="413"/>
      <c r="F12" s="413"/>
      <c r="G12" s="461"/>
      <c r="H12" s="413"/>
      <c r="I12" s="461"/>
      <c r="J12" s="414"/>
      <c r="K12" s="298"/>
      <c r="L12" s="447">
        <f t="shared" ref="L12:L98" si="0">I12*F12</f>
        <v>0</v>
      </c>
      <c r="M12" s="447">
        <f t="shared" ref="M12:M85" si="1">L12-J12</f>
        <v>0</v>
      </c>
      <c r="N12" s="298"/>
      <c r="O12" s="298"/>
      <c r="P12" s="298"/>
      <c r="Q12" s="298"/>
      <c r="R12" s="298"/>
      <c r="S12" s="298"/>
    </row>
    <row r="13" spans="1:19" s="92" customFormat="1">
      <c r="A13" s="256"/>
      <c r="B13" s="287" t="s">
        <v>79</v>
      </c>
      <c r="C13" s="287"/>
      <c r="D13" s="400" t="s">
        <v>152</v>
      </c>
      <c r="E13" s="415"/>
      <c r="F13" s="415"/>
      <c r="G13" s="462"/>
      <c r="H13" s="415"/>
      <c r="I13" s="462"/>
      <c r="J13" s="416"/>
      <c r="K13" s="298"/>
      <c r="L13" s="447">
        <f t="shared" si="0"/>
        <v>0</v>
      </c>
      <c r="M13" s="447">
        <f t="shared" si="1"/>
        <v>0</v>
      </c>
      <c r="N13" s="298"/>
      <c r="O13" s="298"/>
      <c r="P13" s="298"/>
      <c r="Q13" s="298"/>
      <c r="R13" s="298"/>
      <c r="S13" s="298"/>
    </row>
    <row r="14" spans="1:19" s="92" customFormat="1">
      <c r="A14" s="256"/>
      <c r="B14" s="287" t="s">
        <v>153</v>
      </c>
      <c r="C14" s="287"/>
      <c r="D14" s="400" t="s">
        <v>154</v>
      </c>
      <c r="E14" s="415"/>
      <c r="F14" s="415"/>
      <c r="G14" s="462"/>
      <c r="H14" s="415"/>
      <c r="I14" s="462"/>
      <c r="J14" s="416"/>
      <c r="K14" s="298"/>
      <c r="L14" s="447">
        <f t="shared" si="0"/>
        <v>0</v>
      </c>
      <c r="M14" s="447">
        <f t="shared" si="1"/>
        <v>0</v>
      </c>
      <c r="N14" s="298"/>
      <c r="O14" s="298"/>
      <c r="P14" s="298"/>
      <c r="Q14" s="298"/>
      <c r="R14" s="298"/>
      <c r="S14" s="298"/>
    </row>
    <row r="15" spans="1:19" s="92" customFormat="1" ht="38.25">
      <c r="A15" s="256" t="s">
        <v>3261</v>
      </c>
      <c r="B15" s="288" t="s">
        <v>166</v>
      </c>
      <c r="C15" s="288">
        <v>10775</v>
      </c>
      <c r="D15" s="289" t="s">
        <v>6969</v>
      </c>
      <c r="E15" s="290" t="s">
        <v>3246</v>
      </c>
      <c r="F15" s="292">
        <v>8</v>
      </c>
      <c r="G15" s="510" t="s">
        <v>20071</v>
      </c>
      <c r="H15" s="508">
        <v>0.2094</v>
      </c>
      <c r="I15" s="510">
        <v>707.49900000000002</v>
      </c>
      <c r="J15" s="509">
        <v>5659.9920000000002</v>
      </c>
      <c r="K15" s="298"/>
      <c r="L15" s="447">
        <f t="shared" si="0"/>
        <v>5659.9920000000002</v>
      </c>
      <c r="M15" s="447">
        <f t="shared" si="1"/>
        <v>0</v>
      </c>
      <c r="N15" s="298"/>
      <c r="O15" s="298"/>
      <c r="P15" s="298"/>
      <c r="Q15" s="298"/>
      <c r="R15" s="298"/>
      <c r="S15" s="298"/>
    </row>
    <row r="16" spans="1:19" s="92" customFormat="1" ht="51">
      <c r="A16" s="256" t="s">
        <v>3259</v>
      </c>
      <c r="B16" s="288" t="s">
        <v>167</v>
      </c>
      <c r="C16" s="288">
        <v>93210</v>
      </c>
      <c r="D16" s="289" t="s">
        <v>234</v>
      </c>
      <c r="E16" s="290" t="s">
        <v>193</v>
      </c>
      <c r="F16" s="292">
        <v>32.4</v>
      </c>
      <c r="G16" s="510" t="s">
        <v>21352</v>
      </c>
      <c r="H16" s="508">
        <v>0.2094</v>
      </c>
      <c r="I16" s="510">
        <v>627.485096</v>
      </c>
      <c r="J16" s="509">
        <v>20330.5171104</v>
      </c>
      <c r="K16" s="298"/>
      <c r="L16" s="447">
        <f t="shared" si="0"/>
        <v>20330.5171104</v>
      </c>
      <c r="M16" s="447">
        <f t="shared" si="1"/>
        <v>0</v>
      </c>
      <c r="N16" s="298"/>
      <c r="O16" s="298"/>
      <c r="P16" s="298"/>
      <c r="Q16" s="298"/>
      <c r="R16" s="298"/>
      <c r="S16" s="298"/>
    </row>
    <row r="17" spans="1:19" s="92" customFormat="1" ht="38.25">
      <c r="A17" s="256" t="s">
        <v>3261</v>
      </c>
      <c r="B17" s="288" t="s">
        <v>168</v>
      </c>
      <c r="C17" s="288">
        <v>10777</v>
      </c>
      <c r="D17" s="289" t="s">
        <v>6972</v>
      </c>
      <c r="E17" s="290" t="s">
        <v>3246</v>
      </c>
      <c r="F17" s="292">
        <v>16</v>
      </c>
      <c r="G17" s="510" t="s">
        <v>20074</v>
      </c>
      <c r="H17" s="508">
        <v>0.2094</v>
      </c>
      <c r="I17" s="510">
        <v>803.2955740000001</v>
      </c>
      <c r="J17" s="509">
        <v>12852.729184000002</v>
      </c>
      <c r="K17" s="298"/>
      <c r="L17" s="447">
        <f t="shared" si="0"/>
        <v>12852.729184000002</v>
      </c>
      <c r="M17" s="447">
        <f t="shared" si="1"/>
        <v>0</v>
      </c>
      <c r="N17" s="298"/>
      <c r="O17" s="298"/>
      <c r="P17" s="298"/>
      <c r="Q17" s="298"/>
      <c r="R17" s="298"/>
      <c r="S17" s="298"/>
    </row>
    <row r="18" spans="1:19" s="92" customFormat="1" ht="38.25">
      <c r="A18" s="256" t="s">
        <v>3259</v>
      </c>
      <c r="B18" s="288" t="s">
        <v>15723</v>
      </c>
      <c r="C18" s="288">
        <v>93585</v>
      </c>
      <c r="D18" s="289" t="s">
        <v>379</v>
      </c>
      <c r="E18" s="290" t="s">
        <v>193</v>
      </c>
      <c r="F18" s="292">
        <v>4</v>
      </c>
      <c r="G18" s="510" t="s">
        <v>21361</v>
      </c>
      <c r="H18" s="508">
        <v>0.2094</v>
      </c>
      <c r="I18" s="510">
        <v>1225.134294</v>
      </c>
      <c r="J18" s="509">
        <v>4900.5371759999998</v>
      </c>
      <c r="K18" s="298"/>
      <c r="L18" s="447">
        <f t="shared" si="0"/>
        <v>4900.5371759999998</v>
      </c>
      <c r="M18" s="447">
        <f t="shared" si="1"/>
        <v>0</v>
      </c>
      <c r="N18" s="298"/>
      <c r="O18" s="298"/>
      <c r="P18" s="298"/>
      <c r="Q18" s="298"/>
      <c r="R18" s="298"/>
      <c r="S18" s="298"/>
    </row>
    <row r="19" spans="1:19" s="92" customFormat="1" ht="38.25">
      <c r="A19" s="256" t="s">
        <v>3260</v>
      </c>
      <c r="B19" s="288" t="s">
        <v>17433</v>
      </c>
      <c r="C19" s="288" t="s">
        <v>8983</v>
      </c>
      <c r="D19" s="289" t="s">
        <v>15415</v>
      </c>
      <c r="E19" s="290" t="s">
        <v>3246</v>
      </c>
      <c r="F19" s="292">
        <v>16</v>
      </c>
      <c r="G19" s="510">
        <v>457.03</v>
      </c>
      <c r="H19" s="508">
        <v>0.2094</v>
      </c>
      <c r="I19" s="510">
        <v>552.73208199999999</v>
      </c>
      <c r="J19" s="509">
        <v>8843.7133119999999</v>
      </c>
      <c r="K19" s="298"/>
      <c r="L19" s="447">
        <f t="shared" si="0"/>
        <v>8843.7133119999999</v>
      </c>
      <c r="M19" s="447">
        <f t="shared" si="1"/>
        <v>0</v>
      </c>
      <c r="N19" s="298"/>
      <c r="O19" s="298"/>
      <c r="P19" s="298"/>
      <c r="Q19" s="298"/>
      <c r="R19" s="298"/>
      <c r="S19" s="298"/>
    </row>
    <row r="20" spans="1:19" s="92" customFormat="1" ht="38.25">
      <c r="A20" s="256" t="s">
        <v>3259</v>
      </c>
      <c r="B20" s="288" t="s">
        <v>17434</v>
      </c>
      <c r="C20" s="288">
        <v>93582</v>
      </c>
      <c r="D20" s="289" t="s">
        <v>236</v>
      </c>
      <c r="E20" s="290" t="s">
        <v>193</v>
      </c>
      <c r="F20" s="292">
        <v>28.8</v>
      </c>
      <c r="G20" s="510" t="s">
        <v>21358</v>
      </c>
      <c r="H20" s="508">
        <v>0.2094</v>
      </c>
      <c r="I20" s="510">
        <v>292.15475800000002</v>
      </c>
      <c r="J20" s="509">
        <v>8414.0570304000012</v>
      </c>
      <c r="K20" s="298"/>
      <c r="L20" s="447">
        <f t="shared" si="0"/>
        <v>8414.0570304000012</v>
      </c>
      <c r="M20" s="447">
        <f t="shared" si="1"/>
        <v>0</v>
      </c>
      <c r="N20" s="298"/>
      <c r="O20" s="298"/>
      <c r="P20" s="298"/>
      <c r="Q20" s="298"/>
      <c r="R20" s="298"/>
      <c r="S20" s="298"/>
    </row>
    <row r="21" spans="1:19" s="92" customFormat="1" ht="51">
      <c r="A21" s="256" t="s">
        <v>3259</v>
      </c>
      <c r="B21" s="288" t="s">
        <v>17435</v>
      </c>
      <c r="C21" s="288">
        <v>93583</v>
      </c>
      <c r="D21" s="289" t="s">
        <v>237</v>
      </c>
      <c r="E21" s="290" t="s">
        <v>193</v>
      </c>
      <c r="F21" s="292">
        <v>28.8</v>
      </c>
      <c r="G21" s="510" t="s">
        <v>21359</v>
      </c>
      <c r="H21" s="508">
        <v>0.2094</v>
      </c>
      <c r="I21" s="510">
        <v>476.588258</v>
      </c>
      <c r="J21" s="509">
        <v>13725.7418304</v>
      </c>
      <c r="K21" s="298"/>
      <c r="L21" s="447">
        <f t="shared" si="0"/>
        <v>13725.7418304</v>
      </c>
      <c r="M21" s="447">
        <f t="shared" si="1"/>
        <v>0</v>
      </c>
      <c r="N21" s="298"/>
      <c r="O21" s="298"/>
      <c r="P21" s="298"/>
      <c r="Q21" s="298"/>
      <c r="R21" s="298"/>
      <c r="S21" s="298"/>
    </row>
    <row r="22" spans="1:19" s="92" customFormat="1">
      <c r="A22" s="256" t="s">
        <v>3260</v>
      </c>
      <c r="B22" s="288" t="s">
        <v>17436</v>
      </c>
      <c r="C22" s="288" t="s">
        <v>8984</v>
      </c>
      <c r="D22" s="289" t="s">
        <v>17422</v>
      </c>
      <c r="E22" s="290" t="s">
        <v>10</v>
      </c>
      <c r="F22" s="292">
        <v>1</v>
      </c>
      <c r="G22" s="510">
        <v>15553.8</v>
      </c>
      <c r="H22" s="508">
        <v>0.2094</v>
      </c>
      <c r="I22" s="510">
        <v>18810.765719999999</v>
      </c>
      <c r="J22" s="509">
        <v>18810.765719999999</v>
      </c>
      <c r="K22" s="298"/>
      <c r="L22" s="447">
        <f t="shared" si="0"/>
        <v>18810.765719999999</v>
      </c>
      <c r="M22" s="447">
        <f t="shared" si="1"/>
        <v>0</v>
      </c>
      <c r="N22" s="298"/>
      <c r="O22" s="298"/>
      <c r="P22" s="298"/>
      <c r="Q22" s="298"/>
      <c r="R22" s="298"/>
      <c r="S22" s="298"/>
    </row>
    <row r="23" spans="1:19" s="92" customFormat="1" ht="25.5">
      <c r="A23" s="256" t="s">
        <v>3260</v>
      </c>
      <c r="B23" s="288" t="s">
        <v>17437</v>
      </c>
      <c r="C23" s="288" t="s">
        <v>15414</v>
      </c>
      <c r="D23" s="289" t="s">
        <v>17432</v>
      </c>
      <c r="E23" s="290" t="s">
        <v>3772</v>
      </c>
      <c r="F23" s="292">
        <v>8</v>
      </c>
      <c r="G23" s="510">
        <v>367.84</v>
      </c>
      <c r="H23" s="508">
        <v>0.2094</v>
      </c>
      <c r="I23" s="510">
        <v>444.86569599999996</v>
      </c>
      <c r="J23" s="509">
        <v>3558.9255679999997</v>
      </c>
      <c r="K23" s="298"/>
      <c r="L23" s="447">
        <f t="shared" si="0"/>
        <v>3558.9255679999997</v>
      </c>
      <c r="M23" s="447">
        <f t="shared" si="1"/>
        <v>0</v>
      </c>
      <c r="N23" s="298"/>
      <c r="O23" s="298"/>
      <c r="P23" s="298"/>
      <c r="Q23" s="298"/>
      <c r="R23" s="298"/>
      <c r="S23" s="298"/>
    </row>
    <row r="24" spans="1:19" s="92" customFormat="1">
      <c r="A24" s="256"/>
      <c r="B24" s="391"/>
      <c r="C24" s="391"/>
      <c r="D24" s="401"/>
      <c r="E24" s="391"/>
      <c r="F24" s="417"/>
      <c r="G24" s="417"/>
      <c r="H24" s="417"/>
      <c r="I24" s="417"/>
      <c r="J24" s="418"/>
      <c r="K24" s="298"/>
      <c r="L24" s="447">
        <f t="shared" si="0"/>
        <v>0</v>
      </c>
      <c r="M24" s="447">
        <f t="shared" si="1"/>
        <v>0</v>
      </c>
      <c r="N24" s="298"/>
      <c r="O24" s="298"/>
      <c r="P24" s="298"/>
      <c r="Q24" s="298"/>
      <c r="R24" s="298"/>
      <c r="S24" s="298"/>
    </row>
    <row r="25" spans="1:19" s="92" customFormat="1">
      <c r="A25" s="256"/>
      <c r="B25" s="287" t="s">
        <v>15567</v>
      </c>
      <c r="C25" s="287"/>
      <c r="D25" s="399" t="s">
        <v>15568</v>
      </c>
      <c r="E25" s="413"/>
      <c r="F25" s="413"/>
      <c r="G25" s="461"/>
      <c r="H25" s="413"/>
      <c r="I25" s="461"/>
      <c r="J25" s="414"/>
      <c r="K25" s="298"/>
      <c r="L25" s="447">
        <f t="shared" si="0"/>
        <v>0</v>
      </c>
      <c r="M25" s="447">
        <f t="shared" si="1"/>
        <v>0</v>
      </c>
      <c r="N25" s="298"/>
      <c r="O25" s="298"/>
      <c r="P25" s="298"/>
      <c r="Q25" s="298"/>
      <c r="R25" s="298"/>
      <c r="S25" s="298"/>
    </row>
    <row r="26" spans="1:19" s="92" customFormat="1" ht="25.5">
      <c r="A26" s="256" t="s">
        <v>3260</v>
      </c>
      <c r="B26" s="288" t="s">
        <v>15569</v>
      </c>
      <c r="C26" s="288" t="s">
        <v>15417</v>
      </c>
      <c r="D26" s="289" t="s">
        <v>15418</v>
      </c>
      <c r="E26" s="290" t="s">
        <v>10</v>
      </c>
      <c r="F26" s="292">
        <v>1</v>
      </c>
      <c r="G26" s="510">
        <v>1998.6</v>
      </c>
      <c r="H26" s="508">
        <v>0.2094</v>
      </c>
      <c r="I26" s="510">
        <v>2417.1068399999999</v>
      </c>
      <c r="J26" s="509">
        <v>2417.1068399999999</v>
      </c>
      <c r="K26" s="298"/>
      <c r="L26" s="447">
        <f t="shared" si="0"/>
        <v>2417.1068399999999</v>
      </c>
      <c r="M26" s="447">
        <f t="shared" si="1"/>
        <v>0</v>
      </c>
      <c r="N26" s="298"/>
      <c r="O26" s="298"/>
      <c r="P26" s="298"/>
      <c r="Q26" s="298"/>
      <c r="R26" s="298"/>
      <c r="S26" s="298"/>
    </row>
    <row r="27" spans="1:19" s="92" customFormat="1" ht="38.25">
      <c r="A27" s="256" t="s">
        <v>3260</v>
      </c>
      <c r="B27" s="288" t="s">
        <v>15570</v>
      </c>
      <c r="C27" s="288" t="s">
        <v>15422</v>
      </c>
      <c r="D27" s="289" t="s">
        <v>15423</v>
      </c>
      <c r="E27" s="290" t="s">
        <v>10</v>
      </c>
      <c r="F27" s="292">
        <v>1</v>
      </c>
      <c r="G27" s="510">
        <v>1203.05</v>
      </c>
      <c r="H27" s="508">
        <v>0.2094</v>
      </c>
      <c r="I27" s="510">
        <v>1454.96867</v>
      </c>
      <c r="J27" s="509">
        <v>1454.96867</v>
      </c>
      <c r="K27" s="298"/>
      <c r="L27" s="447">
        <f t="shared" si="0"/>
        <v>1454.96867</v>
      </c>
      <c r="M27" s="447">
        <f t="shared" si="1"/>
        <v>0</v>
      </c>
      <c r="N27" s="298"/>
      <c r="O27" s="298"/>
      <c r="P27" s="298"/>
      <c r="Q27" s="298"/>
      <c r="R27" s="298"/>
      <c r="S27" s="298"/>
    </row>
    <row r="28" spans="1:19" s="92" customFormat="1">
      <c r="A28" s="256" t="s">
        <v>12</v>
      </c>
      <c r="B28" s="288" t="s">
        <v>15571</v>
      </c>
      <c r="C28" s="288" t="s">
        <v>17424</v>
      </c>
      <c r="D28" s="289" t="s">
        <v>17425</v>
      </c>
      <c r="E28" s="290" t="s">
        <v>109</v>
      </c>
      <c r="F28" s="292">
        <v>6</v>
      </c>
      <c r="G28" s="510">
        <v>1493.5</v>
      </c>
      <c r="H28" s="508">
        <v>0.2094</v>
      </c>
      <c r="I28" s="510">
        <v>1806.2389000000001</v>
      </c>
      <c r="J28" s="509">
        <v>10837.4334</v>
      </c>
      <c r="K28" s="298"/>
      <c r="L28" s="447">
        <f t="shared" si="0"/>
        <v>10837.4334</v>
      </c>
      <c r="M28" s="447">
        <f t="shared" si="1"/>
        <v>0</v>
      </c>
      <c r="N28" s="298"/>
      <c r="O28" s="298"/>
      <c r="P28" s="298"/>
      <c r="Q28" s="298"/>
      <c r="R28" s="298"/>
      <c r="S28" s="298"/>
    </row>
    <row r="29" spans="1:19" s="92" customFormat="1" ht="38.25">
      <c r="A29" s="256" t="s">
        <v>3260</v>
      </c>
      <c r="B29" s="288" t="s">
        <v>15572</v>
      </c>
      <c r="C29" s="288" t="s">
        <v>15424</v>
      </c>
      <c r="D29" s="289" t="s">
        <v>15425</v>
      </c>
      <c r="E29" s="290" t="s">
        <v>10</v>
      </c>
      <c r="F29" s="292">
        <v>1</v>
      </c>
      <c r="G29" s="510">
        <v>658.82</v>
      </c>
      <c r="H29" s="508">
        <v>0.2094</v>
      </c>
      <c r="I29" s="510">
        <v>796.77690800000005</v>
      </c>
      <c r="J29" s="509">
        <v>796.77690800000005</v>
      </c>
      <c r="K29" s="298"/>
      <c r="L29" s="447">
        <f t="shared" si="0"/>
        <v>796.77690800000005</v>
      </c>
      <c r="M29" s="447">
        <f t="shared" si="1"/>
        <v>0</v>
      </c>
      <c r="N29" s="298"/>
      <c r="O29" s="298"/>
      <c r="P29" s="298"/>
      <c r="Q29" s="298"/>
      <c r="R29" s="298"/>
      <c r="S29" s="298"/>
    </row>
    <row r="30" spans="1:19" s="92" customFormat="1">
      <c r="A30" s="256"/>
      <c r="B30" s="391"/>
      <c r="C30" s="391"/>
      <c r="D30" s="401"/>
      <c r="E30" s="391"/>
      <c r="F30" s="417"/>
      <c r="G30" s="417"/>
      <c r="H30" s="417"/>
      <c r="I30" s="417"/>
      <c r="J30" s="418"/>
      <c r="K30" s="298"/>
      <c r="L30" s="447">
        <f t="shared" si="0"/>
        <v>0</v>
      </c>
      <c r="M30" s="447">
        <f t="shared" si="1"/>
        <v>0</v>
      </c>
      <c r="N30" s="298"/>
      <c r="O30" s="298"/>
      <c r="P30" s="298"/>
      <c r="Q30" s="298"/>
      <c r="R30" s="298"/>
      <c r="S30" s="298"/>
    </row>
    <row r="31" spans="1:19" s="92" customFormat="1">
      <c r="A31" s="256"/>
      <c r="B31" s="287" t="s">
        <v>15574</v>
      </c>
      <c r="C31" s="287"/>
      <c r="D31" s="399" t="s">
        <v>15575</v>
      </c>
      <c r="E31" s="413"/>
      <c r="F31" s="413"/>
      <c r="G31" s="461"/>
      <c r="H31" s="413"/>
      <c r="I31" s="461"/>
      <c r="J31" s="414"/>
      <c r="K31" s="298"/>
      <c r="L31" s="447">
        <f t="shared" si="0"/>
        <v>0</v>
      </c>
      <c r="M31" s="447">
        <f t="shared" si="1"/>
        <v>0</v>
      </c>
      <c r="N31" s="298"/>
      <c r="O31" s="298"/>
      <c r="P31" s="298"/>
      <c r="Q31" s="298"/>
      <c r="R31" s="298"/>
      <c r="S31" s="298"/>
    </row>
    <row r="32" spans="1:19" s="92" customFormat="1" ht="38.25">
      <c r="A32" s="256" t="s">
        <v>3260</v>
      </c>
      <c r="B32" s="288" t="s">
        <v>15576</v>
      </c>
      <c r="C32" s="288" t="s">
        <v>15430</v>
      </c>
      <c r="D32" s="289" t="s">
        <v>15431</v>
      </c>
      <c r="E32" s="290" t="s">
        <v>193</v>
      </c>
      <c r="F32" s="292">
        <v>15.38</v>
      </c>
      <c r="G32" s="510">
        <v>319.22000000000003</v>
      </c>
      <c r="H32" s="508">
        <v>0.2094</v>
      </c>
      <c r="I32" s="510">
        <v>386.06466800000004</v>
      </c>
      <c r="J32" s="509">
        <v>5937.6745938400009</v>
      </c>
      <c r="K32" s="298"/>
      <c r="L32" s="447">
        <f t="shared" si="0"/>
        <v>5937.6745938400009</v>
      </c>
      <c r="M32" s="447">
        <f t="shared" si="1"/>
        <v>0</v>
      </c>
      <c r="N32" s="298"/>
      <c r="O32" s="298"/>
      <c r="P32" s="298"/>
      <c r="Q32" s="298"/>
      <c r="R32" s="298"/>
      <c r="S32" s="298"/>
    </row>
    <row r="33" spans="1:19" s="92" customFormat="1">
      <c r="A33" s="256" t="s">
        <v>3259</v>
      </c>
      <c r="B33" s="288" t="s">
        <v>15577</v>
      </c>
      <c r="C33" s="288">
        <v>98459</v>
      </c>
      <c r="D33" s="289" t="s">
        <v>3817</v>
      </c>
      <c r="E33" s="290" t="s">
        <v>193</v>
      </c>
      <c r="F33" s="292">
        <v>191.73</v>
      </c>
      <c r="G33" s="510" t="s">
        <v>16352</v>
      </c>
      <c r="H33" s="508">
        <v>0.2094</v>
      </c>
      <c r="I33" s="510">
        <v>129.05507399999999</v>
      </c>
      <c r="J33" s="509">
        <v>24743.729338019995</v>
      </c>
      <c r="K33" s="298"/>
      <c r="L33" s="447">
        <f t="shared" si="0"/>
        <v>24743.729338019995</v>
      </c>
      <c r="M33" s="447">
        <f t="shared" si="1"/>
        <v>0</v>
      </c>
      <c r="N33" s="298"/>
      <c r="O33" s="298"/>
      <c r="P33" s="298"/>
      <c r="Q33" s="298"/>
      <c r="R33" s="298"/>
      <c r="S33" s="298"/>
    </row>
    <row r="34" spans="1:19" s="92" customFormat="1">
      <c r="A34" s="256"/>
      <c r="B34" s="391"/>
      <c r="C34" s="391"/>
      <c r="D34" s="401"/>
      <c r="E34" s="391"/>
      <c r="F34" s="417"/>
      <c r="G34" s="417"/>
      <c r="H34" s="417"/>
      <c r="I34" s="417"/>
      <c r="J34" s="418"/>
      <c r="K34" s="298"/>
      <c r="L34" s="447">
        <f t="shared" si="0"/>
        <v>0</v>
      </c>
      <c r="M34" s="447">
        <f t="shared" si="1"/>
        <v>0</v>
      </c>
      <c r="N34" s="298"/>
      <c r="O34" s="298"/>
      <c r="P34" s="298"/>
      <c r="Q34" s="298"/>
      <c r="R34" s="298"/>
      <c r="S34" s="298"/>
    </row>
    <row r="35" spans="1:19" s="92" customFormat="1">
      <c r="A35" s="256"/>
      <c r="B35" s="287" t="s">
        <v>15578</v>
      </c>
      <c r="C35" s="287"/>
      <c r="D35" s="400" t="s">
        <v>15579</v>
      </c>
      <c r="E35" s="415"/>
      <c r="F35" s="415"/>
      <c r="G35" s="462"/>
      <c r="H35" s="415"/>
      <c r="I35" s="462"/>
      <c r="J35" s="416"/>
      <c r="K35" s="298"/>
      <c r="L35" s="447">
        <f t="shared" si="0"/>
        <v>0</v>
      </c>
      <c r="M35" s="447">
        <f t="shared" si="1"/>
        <v>0</v>
      </c>
      <c r="N35" s="298"/>
      <c r="O35" s="298"/>
      <c r="P35" s="298"/>
      <c r="Q35" s="298"/>
      <c r="R35" s="298"/>
      <c r="S35" s="298"/>
    </row>
    <row r="36" spans="1:19" s="92" customFormat="1">
      <c r="A36" s="256"/>
      <c r="B36" s="287" t="s">
        <v>15580</v>
      </c>
      <c r="C36" s="287"/>
      <c r="D36" s="400" t="s">
        <v>15581</v>
      </c>
      <c r="E36" s="415"/>
      <c r="F36" s="415"/>
      <c r="G36" s="462"/>
      <c r="H36" s="415"/>
      <c r="I36" s="462"/>
      <c r="J36" s="416"/>
      <c r="K36" s="298"/>
      <c r="L36" s="447">
        <f t="shared" si="0"/>
        <v>0</v>
      </c>
      <c r="M36" s="447">
        <f t="shared" si="1"/>
        <v>0</v>
      </c>
      <c r="N36" s="298"/>
      <c r="O36" s="298"/>
      <c r="P36" s="298"/>
      <c r="Q36" s="298"/>
      <c r="R36" s="298"/>
      <c r="S36" s="298"/>
    </row>
    <row r="37" spans="1:19" s="92" customFormat="1">
      <c r="A37" s="256"/>
      <c r="B37" s="287" t="s">
        <v>24520</v>
      </c>
      <c r="C37" s="287"/>
      <c r="D37" s="400" t="s">
        <v>24521</v>
      </c>
      <c r="E37" s="415"/>
      <c r="F37" s="415"/>
      <c r="G37" s="462"/>
      <c r="H37" s="415"/>
      <c r="I37" s="462"/>
      <c r="J37" s="416"/>
      <c r="K37" s="298"/>
      <c r="L37" s="447">
        <f t="shared" si="0"/>
        <v>0</v>
      </c>
      <c r="M37" s="447"/>
      <c r="N37" s="298"/>
      <c r="O37" s="298"/>
      <c r="P37" s="298"/>
      <c r="Q37" s="298"/>
      <c r="R37" s="298"/>
      <c r="S37" s="298"/>
    </row>
    <row r="38" spans="1:19" s="92" customFormat="1" ht="51">
      <c r="A38" s="256" t="s">
        <v>3259</v>
      </c>
      <c r="B38" s="288" t="s">
        <v>24522</v>
      </c>
      <c r="C38" s="288">
        <v>97627</v>
      </c>
      <c r="D38" s="289" t="s">
        <v>3724</v>
      </c>
      <c r="E38" s="290" t="s">
        <v>209</v>
      </c>
      <c r="F38" s="292">
        <v>11.88</v>
      </c>
      <c r="G38" s="510" t="s">
        <v>24337</v>
      </c>
      <c r="H38" s="508">
        <v>0.2094</v>
      </c>
      <c r="I38" s="510">
        <v>288.36933600000003</v>
      </c>
      <c r="J38" s="509">
        <v>3425.8277116800004</v>
      </c>
      <c r="K38" s="298"/>
      <c r="L38" s="447">
        <f t="shared" ref="L38" si="2">I38*F38</f>
        <v>3425.8277116800004</v>
      </c>
      <c r="M38" s="447">
        <f t="shared" ref="M38" si="3">L38-J38</f>
        <v>0</v>
      </c>
      <c r="N38" s="298"/>
      <c r="O38" s="298"/>
      <c r="P38" s="298"/>
      <c r="Q38" s="298"/>
      <c r="R38" s="298"/>
      <c r="S38" s="298"/>
    </row>
    <row r="39" spans="1:19" s="92" customFormat="1" ht="38.25">
      <c r="A39" s="256" t="s">
        <v>3259</v>
      </c>
      <c r="B39" s="288" t="s">
        <v>24522</v>
      </c>
      <c r="C39" s="288">
        <v>97629</v>
      </c>
      <c r="D39" s="289" t="s">
        <v>3726</v>
      </c>
      <c r="E39" s="290" t="s">
        <v>209</v>
      </c>
      <c r="F39" s="292">
        <v>5.68</v>
      </c>
      <c r="G39" s="510" t="s">
        <v>24339</v>
      </c>
      <c r="H39" s="508">
        <v>0.2094</v>
      </c>
      <c r="I39" s="510">
        <v>127.85776800000001</v>
      </c>
      <c r="J39" s="509">
        <v>726.23212223999997</v>
      </c>
      <c r="K39" s="298"/>
      <c r="L39" s="447">
        <f t="shared" ref="L39:L44" si="4">I39*F39</f>
        <v>726.23212223999997</v>
      </c>
      <c r="M39" s="447">
        <f t="shared" ref="M39:M42" si="5">L39-J39</f>
        <v>0</v>
      </c>
      <c r="N39" s="298"/>
      <c r="O39" s="298"/>
      <c r="P39" s="298"/>
      <c r="Q39" s="298"/>
      <c r="R39" s="298"/>
      <c r="S39" s="298"/>
    </row>
    <row r="40" spans="1:19" s="92" customFormat="1">
      <c r="A40" s="256"/>
      <c r="B40" s="391"/>
      <c r="C40" s="391"/>
      <c r="D40" s="401"/>
      <c r="E40" s="391"/>
      <c r="F40" s="417"/>
      <c r="G40" s="417"/>
      <c r="H40" s="417"/>
      <c r="I40" s="417"/>
      <c r="J40" s="418"/>
      <c r="K40" s="298"/>
      <c r="L40" s="447">
        <f t="shared" si="4"/>
        <v>0</v>
      </c>
      <c r="M40" s="447"/>
      <c r="N40" s="298"/>
      <c r="O40" s="298"/>
      <c r="P40" s="298"/>
      <c r="Q40" s="298"/>
      <c r="R40" s="298"/>
      <c r="S40" s="298"/>
    </row>
    <row r="41" spans="1:19" s="92" customFormat="1">
      <c r="A41" s="256"/>
      <c r="B41" s="287" t="s">
        <v>24523</v>
      </c>
      <c r="C41" s="287"/>
      <c r="D41" s="400" t="s">
        <v>11568</v>
      </c>
      <c r="E41" s="415"/>
      <c r="F41" s="415"/>
      <c r="G41" s="462"/>
      <c r="H41" s="415"/>
      <c r="I41" s="462"/>
      <c r="J41" s="416"/>
      <c r="K41" s="298"/>
      <c r="L41" s="447">
        <f t="shared" si="4"/>
        <v>0</v>
      </c>
      <c r="M41" s="447"/>
      <c r="N41" s="298"/>
      <c r="O41" s="298"/>
      <c r="P41" s="298"/>
      <c r="Q41" s="298"/>
      <c r="R41" s="298"/>
      <c r="S41" s="298"/>
    </row>
    <row r="42" spans="1:19" s="92" customFormat="1" ht="38.25">
      <c r="A42" s="256" t="s">
        <v>3259</v>
      </c>
      <c r="B42" s="288" t="s">
        <v>24524</v>
      </c>
      <c r="C42" s="288">
        <v>97655</v>
      </c>
      <c r="D42" s="289" t="s">
        <v>3750</v>
      </c>
      <c r="E42" s="290" t="s">
        <v>193</v>
      </c>
      <c r="F42" s="292">
        <v>1308.7</v>
      </c>
      <c r="G42" s="510" t="s">
        <v>10390</v>
      </c>
      <c r="H42" s="508">
        <v>0.2094</v>
      </c>
      <c r="I42" s="510">
        <v>21.720824</v>
      </c>
      <c r="J42" s="509">
        <v>28426.042368800001</v>
      </c>
      <c r="K42" s="298"/>
      <c r="L42" s="447">
        <f t="shared" si="4"/>
        <v>28426.042368800001</v>
      </c>
      <c r="M42" s="447">
        <f t="shared" si="5"/>
        <v>0</v>
      </c>
      <c r="N42" s="298"/>
      <c r="O42" s="298"/>
      <c r="P42" s="298"/>
      <c r="Q42" s="298"/>
      <c r="R42" s="298"/>
      <c r="S42" s="298"/>
    </row>
    <row r="43" spans="1:19" s="92" customFormat="1">
      <c r="A43" s="256"/>
      <c r="B43" s="391"/>
      <c r="C43" s="391"/>
      <c r="D43" s="401"/>
      <c r="E43" s="391"/>
      <c r="F43" s="417"/>
      <c r="G43" s="417"/>
      <c r="H43" s="417"/>
      <c r="I43" s="417"/>
      <c r="J43" s="418"/>
      <c r="K43" s="298"/>
      <c r="L43" s="447">
        <f t="shared" si="4"/>
        <v>0</v>
      </c>
      <c r="M43" s="447"/>
      <c r="N43" s="298"/>
      <c r="O43" s="298"/>
      <c r="P43" s="298"/>
      <c r="Q43" s="298"/>
      <c r="R43" s="298"/>
      <c r="S43" s="298"/>
    </row>
    <row r="44" spans="1:19" s="92" customFormat="1">
      <c r="A44" s="256"/>
      <c r="B44" s="287" t="s">
        <v>24528</v>
      </c>
      <c r="C44" s="287"/>
      <c r="D44" s="400" t="s">
        <v>15606</v>
      </c>
      <c r="E44" s="415"/>
      <c r="F44" s="415"/>
      <c r="G44" s="462"/>
      <c r="H44" s="415"/>
      <c r="I44" s="462"/>
      <c r="J44" s="416"/>
      <c r="K44" s="298"/>
      <c r="L44" s="447">
        <f t="shared" si="4"/>
        <v>0</v>
      </c>
      <c r="M44" s="447"/>
      <c r="N44" s="298"/>
      <c r="O44" s="298"/>
      <c r="P44" s="298"/>
      <c r="Q44" s="298"/>
      <c r="R44" s="298"/>
      <c r="S44" s="298"/>
    </row>
    <row r="45" spans="1:19" s="92" customFormat="1" ht="25.5">
      <c r="A45" s="256" t="s">
        <v>3259</v>
      </c>
      <c r="B45" s="288" t="s">
        <v>24529</v>
      </c>
      <c r="C45" s="288">
        <v>97644</v>
      </c>
      <c r="D45" s="289" t="s">
        <v>3740</v>
      </c>
      <c r="E45" s="290" t="s">
        <v>193</v>
      </c>
      <c r="F45" s="292">
        <v>151.19999999999999</v>
      </c>
      <c r="G45" s="510" t="s">
        <v>10235</v>
      </c>
      <c r="H45" s="508">
        <v>0.2094</v>
      </c>
      <c r="I45" s="510">
        <v>9.2881920000000004</v>
      </c>
      <c r="J45" s="509">
        <v>1404.3746303999999</v>
      </c>
      <c r="K45" s="298"/>
      <c r="L45" s="447">
        <f t="shared" ref="L45:L50" si="6">I45*F45</f>
        <v>1404.3746303999999</v>
      </c>
      <c r="M45" s="447">
        <f t="shared" ref="M45:M50" si="7">L45-J45</f>
        <v>0</v>
      </c>
      <c r="N45" s="298"/>
      <c r="O45" s="298"/>
      <c r="P45" s="298"/>
      <c r="Q45" s="298"/>
      <c r="R45" s="298"/>
      <c r="S45" s="298"/>
    </row>
    <row r="46" spans="1:19" s="92" customFormat="1" ht="25.5">
      <c r="A46" s="256" t="s">
        <v>3259</v>
      </c>
      <c r="B46" s="288" t="s">
        <v>24530</v>
      </c>
      <c r="C46" s="288">
        <v>97645</v>
      </c>
      <c r="D46" s="289" t="s">
        <v>3741</v>
      </c>
      <c r="E46" s="290" t="s">
        <v>193</v>
      </c>
      <c r="F46" s="292">
        <v>68.19</v>
      </c>
      <c r="G46" s="510" t="s">
        <v>11500</v>
      </c>
      <c r="H46" s="508">
        <v>0.2094</v>
      </c>
      <c r="I46" s="510">
        <v>33.258499999999998</v>
      </c>
      <c r="J46" s="509">
        <v>2267.8971149999998</v>
      </c>
      <c r="K46" s="298"/>
      <c r="L46" s="447">
        <f t="shared" si="6"/>
        <v>2267.8971149999998</v>
      </c>
      <c r="M46" s="447">
        <f t="shared" si="7"/>
        <v>0</v>
      </c>
      <c r="N46" s="298"/>
      <c r="O46" s="298"/>
      <c r="P46" s="298"/>
      <c r="Q46" s="298"/>
      <c r="R46" s="298"/>
      <c r="S46" s="298"/>
    </row>
    <row r="47" spans="1:19" s="92" customFormat="1">
      <c r="A47" s="256"/>
      <c r="B47" s="391"/>
      <c r="C47" s="391"/>
      <c r="D47" s="401"/>
      <c r="E47" s="391"/>
      <c r="F47" s="417"/>
      <c r="G47" s="417"/>
      <c r="H47" s="417"/>
      <c r="I47" s="417"/>
      <c r="J47" s="418"/>
      <c r="K47" s="298"/>
      <c r="L47" s="447">
        <f t="shared" si="6"/>
        <v>0</v>
      </c>
      <c r="M47" s="447"/>
      <c r="N47" s="298"/>
      <c r="O47" s="298"/>
      <c r="P47" s="298"/>
      <c r="Q47" s="298"/>
      <c r="R47" s="298"/>
      <c r="S47" s="298"/>
    </row>
    <row r="48" spans="1:19" s="92" customFormat="1">
      <c r="A48" s="256"/>
      <c r="B48" s="287" t="s">
        <v>24525</v>
      </c>
      <c r="C48" s="287"/>
      <c r="D48" s="400" t="s">
        <v>24526</v>
      </c>
      <c r="E48" s="415"/>
      <c r="F48" s="415"/>
      <c r="G48" s="462"/>
      <c r="H48" s="415"/>
      <c r="I48" s="462"/>
      <c r="J48" s="416"/>
      <c r="K48" s="298"/>
      <c r="L48" s="447">
        <f t="shared" si="6"/>
        <v>0</v>
      </c>
      <c r="M48" s="447"/>
      <c r="N48" s="298"/>
      <c r="O48" s="298"/>
      <c r="P48" s="298"/>
      <c r="Q48" s="298"/>
      <c r="R48" s="298"/>
      <c r="S48" s="298"/>
    </row>
    <row r="49" spans="1:19" s="92" customFormat="1" ht="38.25">
      <c r="A49" s="256" t="s">
        <v>3259</v>
      </c>
      <c r="B49" s="288" t="s">
        <v>24527</v>
      </c>
      <c r="C49" s="288">
        <v>97622</v>
      </c>
      <c r="D49" s="289" t="s">
        <v>3719</v>
      </c>
      <c r="E49" s="290" t="s">
        <v>209</v>
      </c>
      <c r="F49" s="292">
        <v>74.38</v>
      </c>
      <c r="G49" s="510" t="s">
        <v>21198</v>
      </c>
      <c r="H49" s="508">
        <v>0.2094</v>
      </c>
      <c r="I49" s="510">
        <v>55.995219999999996</v>
      </c>
      <c r="J49" s="509">
        <v>4164.9244635999994</v>
      </c>
      <c r="K49" s="298"/>
      <c r="L49" s="447">
        <f t="shared" si="6"/>
        <v>4164.9244635999994</v>
      </c>
      <c r="M49" s="447">
        <f t="shared" si="7"/>
        <v>0</v>
      </c>
      <c r="N49" s="298"/>
      <c r="O49" s="298"/>
      <c r="P49" s="298"/>
      <c r="Q49" s="298"/>
      <c r="R49" s="298"/>
      <c r="S49" s="298"/>
    </row>
    <row r="50" spans="1:19" s="92" customFormat="1" ht="25.5">
      <c r="A50" s="256" t="s">
        <v>3260</v>
      </c>
      <c r="B50" s="288" t="s">
        <v>24533</v>
      </c>
      <c r="C50" s="288" t="s">
        <v>15433</v>
      </c>
      <c r="D50" s="289" t="s">
        <v>24531</v>
      </c>
      <c r="E50" s="290" t="s">
        <v>193</v>
      </c>
      <c r="F50" s="292">
        <v>69.41</v>
      </c>
      <c r="G50" s="510">
        <v>52.83</v>
      </c>
      <c r="H50" s="508">
        <v>0.2094</v>
      </c>
      <c r="I50" s="510">
        <v>63.892601999999997</v>
      </c>
      <c r="J50" s="509">
        <v>4434.7855048199999</v>
      </c>
      <c r="K50" s="298"/>
      <c r="L50" s="447">
        <f t="shared" si="6"/>
        <v>4434.7855048199999</v>
      </c>
      <c r="M50" s="447">
        <f t="shared" si="7"/>
        <v>0</v>
      </c>
      <c r="N50" s="298"/>
      <c r="O50" s="298"/>
      <c r="P50" s="298"/>
      <c r="Q50" s="298"/>
      <c r="R50" s="298"/>
      <c r="S50" s="298"/>
    </row>
    <row r="51" spans="1:19" s="92" customFormat="1" ht="38.25">
      <c r="A51" s="256" t="s">
        <v>3259</v>
      </c>
      <c r="B51" s="288" t="s">
        <v>24534</v>
      </c>
      <c r="C51" s="288">
        <v>97634</v>
      </c>
      <c r="D51" s="289" t="s">
        <v>3730</v>
      </c>
      <c r="E51" s="290" t="s">
        <v>193</v>
      </c>
      <c r="F51" s="292">
        <v>192.63</v>
      </c>
      <c r="G51" s="510" t="s">
        <v>10871</v>
      </c>
      <c r="H51" s="508">
        <v>0.2094</v>
      </c>
      <c r="I51" s="510">
        <v>12.372162000000001</v>
      </c>
      <c r="J51" s="509">
        <v>2383.2495660600002</v>
      </c>
      <c r="K51" s="298"/>
      <c r="L51" s="447">
        <f t="shared" ref="L51:L66" si="8">I51*F51</f>
        <v>2383.2495660600002</v>
      </c>
      <c r="M51" s="447">
        <f t="shared" ref="M51:M64" si="9">L51-J51</f>
        <v>0</v>
      </c>
      <c r="N51" s="298"/>
      <c r="O51" s="298"/>
      <c r="P51" s="298"/>
      <c r="Q51" s="298"/>
      <c r="R51" s="298"/>
      <c r="S51" s="298"/>
    </row>
    <row r="52" spans="1:19" s="92" customFormat="1" ht="25.5">
      <c r="A52" s="256" t="s">
        <v>3260</v>
      </c>
      <c r="B52" s="288" t="s">
        <v>24535</v>
      </c>
      <c r="C52" s="288" t="s">
        <v>18272</v>
      </c>
      <c r="D52" s="289" t="s">
        <v>24536</v>
      </c>
      <c r="E52" s="290" t="s">
        <v>193</v>
      </c>
      <c r="F52" s="292">
        <v>98.7</v>
      </c>
      <c r="G52" s="510">
        <v>16.510000000000002</v>
      </c>
      <c r="H52" s="508">
        <v>0.2094</v>
      </c>
      <c r="I52" s="510">
        <v>19.967194000000003</v>
      </c>
      <c r="J52" s="509">
        <v>1970.7620478000003</v>
      </c>
      <c r="K52" s="298"/>
      <c r="L52" s="447">
        <f t="shared" si="8"/>
        <v>1970.7620478000003</v>
      </c>
      <c r="M52" s="447">
        <f t="shared" si="9"/>
        <v>0</v>
      </c>
      <c r="N52" s="298"/>
      <c r="O52" s="298"/>
      <c r="P52" s="298"/>
      <c r="Q52" s="298"/>
      <c r="R52" s="298"/>
      <c r="S52" s="298"/>
    </row>
    <row r="53" spans="1:19" s="92" customFormat="1" ht="38.25">
      <c r="A53" s="256" t="s">
        <v>3260</v>
      </c>
      <c r="B53" s="288" t="s">
        <v>24538</v>
      </c>
      <c r="C53" s="288" t="s">
        <v>24539</v>
      </c>
      <c r="D53" s="289" t="s">
        <v>24540</v>
      </c>
      <c r="E53" s="290" t="s">
        <v>193</v>
      </c>
      <c r="F53" s="292">
        <v>18.18</v>
      </c>
      <c r="G53" s="510">
        <v>13.99</v>
      </c>
      <c r="H53" s="508">
        <v>0.2094</v>
      </c>
      <c r="I53" s="510">
        <v>16.919506000000002</v>
      </c>
      <c r="J53" s="509">
        <v>307.59661908000004</v>
      </c>
      <c r="K53" s="298"/>
      <c r="L53" s="447">
        <f t="shared" si="8"/>
        <v>307.59661908000004</v>
      </c>
      <c r="M53" s="447">
        <f t="shared" si="9"/>
        <v>0</v>
      </c>
      <c r="N53" s="298"/>
      <c r="O53" s="298"/>
      <c r="P53" s="298"/>
      <c r="Q53" s="298"/>
      <c r="R53" s="298"/>
      <c r="S53" s="298"/>
    </row>
    <row r="54" spans="1:19" s="92" customFormat="1">
      <c r="A54" s="256"/>
      <c r="B54" s="391"/>
      <c r="C54" s="391"/>
      <c r="D54" s="401"/>
      <c r="E54" s="391"/>
      <c r="F54" s="417"/>
      <c r="G54" s="417"/>
      <c r="H54" s="417"/>
      <c r="I54" s="417"/>
      <c r="J54" s="418"/>
      <c r="K54" s="298"/>
      <c r="L54" s="447">
        <f t="shared" si="8"/>
        <v>0</v>
      </c>
      <c r="M54" s="447"/>
      <c r="N54" s="298"/>
      <c r="O54" s="298"/>
      <c r="P54" s="298"/>
      <c r="Q54" s="298"/>
      <c r="R54" s="298"/>
      <c r="S54" s="298"/>
    </row>
    <row r="55" spans="1:19" s="92" customFormat="1">
      <c r="A55" s="256"/>
      <c r="B55" s="287" t="s">
        <v>24542</v>
      </c>
      <c r="C55" s="287"/>
      <c r="D55" s="400" t="s">
        <v>24543</v>
      </c>
      <c r="E55" s="415"/>
      <c r="F55" s="415"/>
      <c r="G55" s="462"/>
      <c r="H55" s="415"/>
      <c r="I55" s="462"/>
      <c r="J55" s="416"/>
      <c r="K55" s="298"/>
      <c r="L55" s="447">
        <f t="shared" si="8"/>
        <v>0</v>
      </c>
      <c r="M55" s="447"/>
      <c r="N55" s="298"/>
      <c r="O55" s="298"/>
      <c r="P55" s="298"/>
      <c r="Q55" s="298"/>
      <c r="R55" s="298"/>
      <c r="S55" s="298"/>
    </row>
    <row r="56" spans="1:19" s="92" customFormat="1" ht="38.25">
      <c r="A56" s="256" t="s">
        <v>3260</v>
      </c>
      <c r="B56" s="288" t="s">
        <v>24544</v>
      </c>
      <c r="C56" s="288" t="s">
        <v>24545</v>
      </c>
      <c r="D56" s="289" t="s">
        <v>18270</v>
      </c>
      <c r="E56" s="290" t="s">
        <v>209</v>
      </c>
      <c r="F56" s="292">
        <v>36.799999999999997</v>
      </c>
      <c r="G56" s="510">
        <v>105.72</v>
      </c>
      <c r="H56" s="508">
        <v>0.2094</v>
      </c>
      <c r="I56" s="510">
        <v>127.85776800000001</v>
      </c>
      <c r="J56" s="509">
        <v>4705.1658624000002</v>
      </c>
      <c r="K56" s="298"/>
      <c r="L56" s="447">
        <f t="shared" si="8"/>
        <v>4705.1658624000002</v>
      </c>
      <c r="M56" s="447">
        <f t="shared" si="9"/>
        <v>0</v>
      </c>
      <c r="N56" s="298"/>
      <c r="O56" s="298"/>
      <c r="P56" s="298"/>
      <c r="Q56" s="298"/>
      <c r="R56" s="298"/>
      <c r="S56" s="298"/>
    </row>
    <row r="57" spans="1:19" s="92" customFormat="1" ht="25.5">
      <c r="A57" s="256" t="s">
        <v>3260</v>
      </c>
      <c r="B57" s="288" t="s">
        <v>24546</v>
      </c>
      <c r="C57" s="288" t="s">
        <v>24547</v>
      </c>
      <c r="D57" s="289" t="s">
        <v>24548</v>
      </c>
      <c r="E57" s="290" t="s">
        <v>193</v>
      </c>
      <c r="F57" s="292">
        <v>732</v>
      </c>
      <c r="G57" s="510">
        <v>20</v>
      </c>
      <c r="H57" s="508">
        <v>0.2094</v>
      </c>
      <c r="I57" s="510">
        <v>24.188000000000002</v>
      </c>
      <c r="J57" s="509">
        <v>17705.616000000002</v>
      </c>
      <c r="K57" s="298"/>
      <c r="L57" s="447">
        <f t="shared" si="8"/>
        <v>17705.616000000002</v>
      </c>
      <c r="M57" s="447">
        <f t="shared" si="9"/>
        <v>0</v>
      </c>
      <c r="N57" s="298"/>
      <c r="O57" s="298"/>
      <c r="P57" s="298"/>
      <c r="Q57" s="298"/>
      <c r="R57" s="298"/>
      <c r="S57" s="298"/>
    </row>
    <row r="58" spans="1:19" s="92" customFormat="1">
      <c r="A58" s="256"/>
      <c r="B58" s="391"/>
      <c r="C58" s="391"/>
      <c r="D58" s="401"/>
      <c r="E58" s="391"/>
      <c r="F58" s="417"/>
      <c r="G58" s="417"/>
      <c r="H58" s="417"/>
      <c r="I58" s="417"/>
      <c r="J58" s="418"/>
      <c r="K58" s="298"/>
      <c r="L58" s="447">
        <f t="shared" si="8"/>
        <v>0</v>
      </c>
      <c r="M58" s="447"/>
      <c r="N58" s="298"/>
      <c r="O58" s="298"/>
      <c r="P58" s="298"/>
      <c r="Q58" s="298"/>
      <c r="R58" s="298"/>
      <c r="S58" s="298"/>
    </row>
    <row r="59" spans="1:19" s="92" customFormat="1">
      <c r="A59" s="256"/>
      <c r="B59" s="287" t="s">
        <v>24550</v>
      </c>
      <c r="C59" s="287"/>
      <c r="D59" s="400" t="s">
        <v>24551</v>
      </c>
      <c r="E59" s="415"/>
      <c r="F59" s="415"/>
      <c r="G59" s="462"/>
      <c r="H59" s="415"/>
      <c r="I59" s="462"/>
      <c r="J59" s="416"/>
      <c r="K59" s="298"/>
      <c r="L59" s="447">
        <f t="shared" si="8"/>
        <v>0</v>
      </c>
      <c r="M59" s="447"/>
      <c r="N59" s="298"/>
      <c r="O59" s="298"/>
      <c r="P59" s="298"/>
      <c r="Q59" s="298"/>
      <c r="R59" s="298"/>
      <c r="S59" s="298"/>
    </row>
    <row r="60" spans="1:19" s="92" customFormat="1" ht="38.25">
      <c r="A60" s="256" t="s">
        <v>3259</v>
      </c>
      <c r="B60" s="288" t="s">
        <v>24552</v>
      </c>
      <c r="C60" s="288">
        <v>97647</v>
      </c>
      <c r="D60" s="289" t="s">
        <v>3742</v>
      </c>
      <c r="E60" s="290" t="s">
        <v>193</v>
      </c>
      <c r="F60" s="292">
        <v>1394.26</v>
      </c>
      <c r="G60" s="510" t="s">
        <v>16516</v>
      </c>
      <c r="H60" s="508">
        <v>0.2094</v>
      </c>
      <c r="I60" s="510">
        <v>3.5556360000000002</v>
      </c>
      <c r="J60" s="509">
        <v>4957.4810493600007</v>
      </c>
      <c r="K60" s="298"/>
      <c r="L60" s="447">
        <f t="shared" si="8"/>
        <v>4957.4810493600007</v>
      </c>
      <c r="M60" s="447">
        <f t="shared" si="9"/>
        <v>0</v>
      </c>
      <c r="N60" s="298"/>
      <c r="O60" s="298"/>
      <c r="P60" s="298"/>
      <c r="Q60" s="298"/>
      <c r="R60" s="298"/>
      <c r="S60" s="298"/>
    </row>
    <row r="61" spans="1:19" s="92" customFormat="1">
      <c r="A61" s="256"/>
      <c r="B61" s="391"/>
      <c r="C61" s="391"/>
      <c r="D61" s="401"/>
      <c r="E61" s="391"/>
      <c r="F61" s="417"/>
      <c r="G61" s="417"/>
      <c r="H61" s="417"/>
      <c r="I61" s="417"/>
      <c r="J61" s="418"/>
      <c r="K61" s="298"/>
      <c r="L61" s="447">
        <f t="shared" si="8"/>
        <v>0</v>
      </c>
      <c r="M61" s="447"/>
      <c r="N61" s="298"/>
      <c r="O61" s="298"/>
      <c r="P61" s="298"/>
      <c r="Q61" s="298"/>
      <c r="R61" s="298"/>
      <c r="S61" s="298"/>
    </row>
    <row r="62" spans="1:19" s="92" customFormat="1">
      <c r="A62" s="256"/>
      <c r="B62" s="287" t="s">
        <v>24553</v>
      </c>
      <c r="C62" s="287"/>
      <c r="D62" s="400" t="s">
        <v>24554</v>
      </c>
      <c r="E62" s="415"/>
      <c r="F62" s="415"/>
      <c r="G62" s="462"/>
      <c r="H62" s="415"/>
      <c r="I62" s="462"/>
      <c r="J62" s="416"/>
      <c r="K62" s="298"/>
      <c r="L62" s="447">
        <f t="shared" si="8"/>
        <v>0</v>
      </c>
      <c r="M62" s="447"/>
      <c r="N62" s="298"/>
      <c r="O62" s="298"/>
      <c r="P62" s="298"/>
      <c r="Q62" s="298"/>
      <c r="R62" s="298"/>
      <c r="S62" s="298"/>
    </row>
    <row r="63" spans="1:19" s="92" customFormat="1" ht="38.25">
      <c r="A63" s="256" t="s">
        <v>3259</v>
      </c>
      <c r="B63" s="288" t="s">
        <v>24558</v>
      </c>
      <c r="C63" s="288">
        <v>97636</v>
      </c>
      <c r="D63" s="289" t="s">
        <v>3732</v>
      </c>
      <c r="E63" s="290" t="s">
        <v>193</v>
      </c>
      <c r="F63" s="292">
        <v>756.7</v>
      </c>
      <c r="G63" s="510" t="s">
        <v>10174</v>
      </c>
      <c r="H63" s="508">
        <v>0.2094</v>
      </c>
      <c r="I63" s="510">
        <v>16.472027999999998</v>
      </c>
      <c r="J63" s="509">
        <v>12464.383587599999</v>
      </c>
      <c r="K63" s="298"/>
      <c r="L63" s="447">
        <f t="shared" si="8"/>
        <v>12464.383587599999</v>
      </c>
      <c r="M63" s="447">
        <f t="shared" si="9"/>
        <v>0</v>
      </c>
      <c r="N63" s="298"/>
      <c r="O63" s="298"/>
      <c r="P63" s="298"/>
      <c r="Q63" s="298"/>
      <c r="R63" s="298"/>
      <c r="S63" s="298"/>
    </row>
    <row r="64" spans="1:19" s="92" customFormat="1">
      <c r="A64" s="256" t="s">
        <v>3260</v>
      </c>
      <c r="B64" s="288" t="s">
        <v>24559</v>
      </c>
      <c r="C64" s="288" t="s">
        <v>24557</v>
      </c>
      <c r="D64" s="289" t="s">
        <v>24555</v>
      </c>
      <c r="E64" s="290" t="s">
        <v>5</v>
      </c>
      <c r="F64" s="292">
        <v>15.9</v>
      </c>
      <c r="G64" s="510">
        <v>9.99</v>
      </c>
      <c r="H64" s="508">
        <v>0.2094</v>
      </c>
      <c r="I64" s="510">
        <v>12.081906</v>
      </c>
      <c r="J64" s="509">
        <v>192.10230540000001</v>
      </c>
      <c r="K64" s="298"/>
      <c r="L64" s="447">
        <f t="shared" si="8"/>
        <v>192.10230540000001</v>
      </c>
      <c r="M64" s="447">
        <f t="shared" si="9"/>
        <v>0</v>
      </c>
      <c r="N64" s="298"/>
      <c r="O64" s="298"/>
      <c r="P64" s="298"/>
      <c r="Q64" s="298"/>
      <c r="R64" s="298"/>
      <c r="S64" s="298"/>
    </row>
    <row r="65" spans="1:19" s="92" customFormat="1">
      <c r="A65" s="256"/>
      <c r="B65" s="391"/>
      <c r="C65" s="391"/>
      <c r="D65" s="401"/>
      <c r="E65" s="391"/>
      <c r="F65" s="417"/>
      <c r="G65" s="417"/>
      <c r="H65" s="417"/>
      <c r="I65" s="417"/>
      <c r="J65" s="418"/>
      <c r="K65" s="298"/>
      <c r="L65" s="447">
        <f t="shared" si="8"/>
        <v>0</v>
      </c>
      <c r="M65" s="447"/>
      <c r="N65" s="298"/>
      <c r="O65" s="298"/>
      <c r="P65" s="298"/>
      <c r="Q65" s="298"/>
      <c r="R65" s="298"/>
      <c r="S65" s="298"/>
    </row>
    <row r="66" spans="1:19" s="92" customFormat="1">
      <c r="A66" s="256"/>
      <c r="B66" s="287" t="s">
        <v>24560</v>
      </c>
      <c r="C66" s="287"/>
      <c r="D66" s="403" t="s">
        <v>24566</v>
      </c>
      <c r="E66" s="415"/>
      <c r="F66" s="415"/>
      <c r="G66" s="462"/>
      <c r="H66" s="415"/>
      <c r="I66" s="462"/>
      <c r="J66" s="416"/>
      <c r="K66" s="298"/>
      <c r="L66" s="447">
        <f t="shared" si="8"/>
        <v>0</v>
      </c>
      <c r="M66" s="447"/>
      <c r="N66" s="298"/>
      <c r="O66" s="298"/>
      <c r="P66" s="298"/>
      <c r="Q66" s="298"/>
      <c r="R66" s="298"/>
      <c r="S66" s="298"/>
    </row>
    <row r="67" spans="1:19" s="92" customFormat="1" ht="38.25">
      <c r="A67" s="256" t="s">
        <v>3259</v>
      </c>
      <c r="B67" s="288" t="s">
        <v>24561</v>
      </c>
      <c r="C67" s="288">
        <v>97661</v>
      </c>
      <c r="D67" s="289" t="s">
        <v>3756</v>
      </c>
      <c r="E67" s="290" t="s">
        <v>5</v>
      </c>
      <c r="F67" s="292">
        <v>2000</v>
      </c>
      <c r="G67" s="510" t="s">
        <v>10906</v>
      </c>
      <c r="H67" s="508">
        <v>0.2094</v>
      </c>
      <c r="I67" s="510">
        <v>0.67726400000000009</v>
      </c>
      <c r="J67" s="509">
        <v>1354.5280000000002</v>
      </c>
      <c r="K67" s="298"/>
      <c r="L67" s="447">
        <f t="shared" ref="L67:L79" si="10">I67*F67</f>
        <v>1354.5280000000002</v>
      </c>
      <c r="M67" s="447">
        <f t="shared" ref="M67:M79" si="11">L67-J67</f>
        <v>0</v>
      </c>
      <c r="N67" s="298"/>
      <c r="O67" s="298"/>
      <c r="P67" s="298"/>
      <c r="Q67" s="298"/>
      <c r="R67" s="298"/>
      <c r="S67" s="298"/>
    </row>
    <row r="68" spans="1:19" s="92" customFormat="1" ht="38.25">
      <c r="A68" s="256" t="s">
        <v>3259</v>
      </c>
      <c r="B68" s="288" t="s">
        <v>24562</v>
      </c>
      <c r="C68" s="288">
        <v>97665</v>
      </c>
      <c r="D68" s="289" t="s">
        <v>3760</v>
      </c>
      <c r="E68" s="290" t="s">
        <v>109</v>
      </c>
      <c r="F68" s="292">
        <v>75</v>
      </c>
      <c r="G68" s="510" t="s">
        <v>11364</v>
      </c>
      <c r="H68" s="508">
        <v>0.2094</v>
      </c>
      <c r="I68" s="510">
        <v>1.2940580000000002</v>
      </c>
      <c r="J68" s="509">
        <v>97.054350000000014</v>
      </c>
      <c r="K68" s="298"/>
      <c r="L68" s="447">
        <f t="shared" si="10"/>
        <v>97.054350000000014</v>
      </c>
      <c r="M68" s="447">
        <f t="shared" si="11"/>
        <v>0</v>
      </c>
      <c r="N68" s="298"/>
      <c r="O68" s="298"/>
      <c r="P68" s="298"/>
      <c r="Q68" s="298"/>
      <c r="R68" s="298"/>
      <c r="S68" s="298"/>
    </row>
    <row r="69" spans="1:19" s="92" customFormat="1" ht="38.25">
      <c r="A69" s="256" t="s">
        <v>3259</v>
      </c>
      <c r="B69" s="288" t="s">
        <v>24563</v>
      </c>
      <c r="C69" s="288">
        <v>97660</v>
      </c>
      <c r="D69" s="289" t="s">
        <v>3755</v>
      </c>
      <c r="E69" s="290" t="s">
        <v>109</v>
      </c>
      <c r="F69" s="292">
        <v>100</v>
      </c>
      <c r="G69" s="510" t="s">
        <v>9854</v>
      </c>
      <c r="H69" s="508">
        <v>0.2094</v>
      </c>
      <c r="I69" s="510">
        <v>0.6530760000000001</v>
      </c>
      <c r="J69" s="509">
        <v>65.307600000000008</v>
      </c>
      <c r="K69" s="298"/>
      <c r="L69" s="447">
        <f t="shared" si="10"/>
        <v>65.307600000000008</v>
      </c>
      <c r="M69" s="447">
        <f t="shared" si="11"/>
        <v>0</v>
      </c>
      <c r="N69" s="298"/>
      <c r="O69" s="298"/>
      <c r="P69" s="298"/>
      <c r="Q69" s="298"/>
      <c r="R69" s="298"/>
      <c r="S69" s="298"/>
    </row>
    <row r="70" spans="1:19" s="92" customFormat="1" ht="25.5">
      <c r="A70" s="256" t="s">
        <v>3260</v>
      </c>
      <c r="B70" s="288" t="s">
        <v>24564</v>
      </c>
      <c r="C70" s="288" t="s">
        <v>24569</v>
      </c>
      <c r="D70" s="289" t="s">
        <v>24567</v>
      </c>
      <c r="E70" s="290" t="s">
        <v>10</v>
      </c>
      <c r="F70" s="292">
        <v>8</v>
      </c>
      <c r="G70" s="510">
        <v>42.84</v>
      </c>
      <c r="H70" s="508">
        <v>0.2094</v>
      </c>
      <c r="I70" s="510">
        <v>51.810696000000007</v>
      </c>
      <c r="J70" s="509">
        <v>414.48556800000006</v>
      </c>
      <c r="K70" s="298"/>
      <c r="L70" s="447">
        <f t="shared" si="10"/>
        <v>414.48556800000006</v>
      </c>
      <c r="M70" s="447">
        <f t="shared" si="11"/>
        <v>0</v>
      </c>
      <c r="N70" s="298"/>
      <c r="O70" s="298"/>
      <c r="P70" s="298"/>
      <c r="Q70" s="298"/>
      <c r="R70" s="298"/>
      <c r="S70" s="298"/>
    </row>
    <row r="71" spans="1:19" s="92" customFormat="1" ht="25.5">
      <c r="A71" s="256" t="s">
        <v>3259</v>
      </c>
      <c r="B71" s="288" t="s">
        <v>24565</v>
      </c>
      <c r="C71" s="288">
        <v>97663</v>
      </c>
      <c r="D71" s="289" t="s">
        <v>3758</v>
      </c>
      <c r="E71" s="290" t="s">
        <v>109</v>
      </c>
      <c r="F71" s="292">
        <v>13</v>
      </c>
      <c r="G71" s="510" t="s">
        <v>11360</v>
      </c>
      <c r="H71" s="508">
        <v>0.2094</v>
      </c>
      <c r="I71" s="510">
        <v>12.299598</v>
      </c>
      <c r="J71" s="509">
        <v>159.89477399999998</v>
      </c>
      <c r="K71" s="298"/>
      <c r="L71" s="447">
        <f t="shared" si="10"/>
        <v>159.89477399999998</v>
      </c>
      <c r="M71" s="447">
        <f t="shared" si="11"/>
        <v>0</v>
      </c>
      <c r="N71" s="298"/>
      <c r="O71" s="298"/>
      <c r="P71" s="298"/>
      <c r="Q71" s="298"/>
      <c r="R71" s="298"/>
      <c r="S71" s="298"/>
    </row>
    <row r="72" spans="1:19" s="92" customFormat="1" ht="38.25">
      <c r="A72" s="256" t="s">
        <v>3259</v>
      </c>
      <c r="B72" s="288" t="s">
        <v>24574</v>
      </c>
      <c r="C72" s="288">
        <v>97664</v>
      </c>
      <c r="D72" s="289" t="s">
        <v>3759</v>
      </c>
      <c r="E72" s="290" t="s">
        <v>109</v>
      </c>
      <c r="F72" s="292">
        <v>20</v>
      </c>
      <c r="G72" s="510" t="s">
        <v>11092</v>
      </c>
      <c r="H72" s="508">
        <v>0.2094</v>
      </c>
      <c r="I72" s="510">
        <v>1.523844</v>
      </c>
      <c r="J72" s="509">
        <v>30.476880000000001</v>
      </c>
      <c r="K72" s="298"/>
      <c r="L72" s="447">
        <f t="shared" si="10"/>
        <v>30.476880000000001</v>
      </c>
      <c r="M72" s="447">
        <f t="shared" si="11"/>
        <v>0</v>
      </c>
      <c r="N72" s="298"/>
      <c r="O72" s="298"/>
      <c r="P72" s="298"/>
      <c r="Q72" s="298"/>
      <c r="R72" s="298"/>
      <c r="S72" s="298"/>
    </row>
    <row r="73" spans="1:19" s="92" customFormat="1" ht="25.5">
      <c r="A73" s="256" t="s">
        <v>3260</v>
      </c>
      <c r="B73" s="288" t="s">
        <v>24575</v>
      </c>
      <c r="C73" s="288" t="s">
        <v>24577</v>
      </c>
      <c r="D73" s="289" t="s">
        <v>24578</v>
      </c>
      <c r="E73" s="290" t="s">
        <v>193</v>
      </c>
      <c r="F73" s="292">
        <v>20.02</v>
      </c>
      <c r="G73" s="510">
        <v>21.19</v>
      </c>
      <c r="H73" s="508">
        <v>0.2094</v>
      </c>
      <c r="I73" s="510">
        <v>25.627186000000002</v>
      </c>
      <c r="J73" s="509">
        <v>513.05626372000006</v>
      </c>
      <c r="K73" s="298"/>
      <c r="L73" s="447">
        <f t="shared" si="10"/>
        <v>513.05626372000006</v>
      </c>
      <c r="M73" s="447">
        <f t="shared" si="11"/>
        <v>0</v>
      </c>
      <c r="N73" s="298"/>
      <c r="O73" s="298"/>
      <c r="P73" s="298"/>
      <c r="Q73" s="298"/>
      <c r="R73" s="298"/>
      <c r="S73" s="298"/>
    </row>
    <row r="74" spans="1:19" s="92" customFormat="1" ht="25.5">
      <c r="A74" s="256" t="s">
        <v>3260</v>
      </c>
      <c r="B74" s="288" t="s">
        <v>24576</v>
      </c>
      <c r="C74" s="288" t="s">
        <v>24579</v>
      </c>
      <c r="D74" s="289" t="s">
        <v>24580</v>
      </c>
      <c r="E74" s="290" t="s">
        <v>10</v>
      </c>
      <c r="F74" s="292">
        <v>1</v>
      </c>
      <c r="G74" s="510">
        <v>19.5</v>
      </c>
      <c r="H74" s="508">
        <v>0.2094</v>
      </c>
      <c r="I74" s="510">
        <v>23.583300000000001</v>
      </c>
      <c r="J74" s="509">
        <v>23.583300000000001</v>
      </c>
      <c r="K74" s="298"/>
      <c r="L74" s="447">
        <f t="shared" si="10"/>
        <v>23.583300000000001</v>
      </c>
      <c r="M74" s="447">
        <f t="shared" si="11"/>
        <v>0</v>
      </c>
      <c r="N74" s="298"/>
      <c r="O74" s="298"/>
      <c r="P74" s="298"/>
      <c r="Q74" s="298"/>
      <c r="R74" s="298"/>
      <c r="S74" s="298"/>
    </row>
    <row r="75" spans="1:19" s="92" customFormat="1">
      <c r="A75" s="256"/>
      <c r="B75" s="391"/>
      <c r="C75" s="391"/>
      <c r="D75" s="401"/>
      <c r="E75" s="391"/>
      <c r="F75" s="417"/>
      <c r="G75" s="417"/>
      <c r="H75" s="417"/>
      <c r="I75" s="417"/>
      <c r="J75" s="418"/>
      <c r="K75" s="298"/>
      <c r="L75" s="447">
        <f t="shared" si="10"/>
        <v>0</v>
      </c>
      <c r="M75" s="447"/>
      <c r="N75" s="298"/>
      <c r="O75" s="298"/>
      <c r="P75" s="298"/>
      <c r="Q75" s="298"/>
      <c r="R75" s="298"/>
      <c r="S75" s="298"/>
    </row>
    <row r="76" spans="1:19" s="92" customFormat="1">
      <c r="A76" s="256"/>
      <c r="B76" s="287" t="s">
        <v>24570</v>
      </c>
      <c r="C76" s="287"/>
      <c r="D76" s="400" t="s">
        <v>15582</v>
      </c>
      <c r="E76" s="415"/>
      <c r="F76" s="415"/>
      <c r="G76" s="462"/>
      <c r="H76" s="415"/>
      <c r="I76" s="462"/>
      <c r="J76" s="416"/>
      <c r="K76" s="298"/>
      <c r="L76" s="447">
        <f t="shared" si="10"/>
        <v>0</v>
      </c>
      <c r="M76" s="447"/>
      <c r="N76" s="298"/>
      <c r="O76" s="298"/>
      <c r="P76" s="298"/>
      <c r="Q76" s="298"/>
      <c r="R76" s="298"/>
      <c r="S76" s="298"/>
    </row>
    <row r="77" spans="1:19" s="92" customFormat="1" ht="25.5">
      <c r="A77" s="256" t="s">
        <v>3259</v>
      </c>
      <c r="B77" s="288" t="s">
        <v>24571</v>
      </c>
      <c r="C77" s="288">
        <v>98524</v>
      </c>
      <c r="D77" s="289" t="s">
        <v>4508</v>
      </c>
      <c r="E77" s="290" t="s">
        <v>193</v>
      </c>
      <c r="F77" s="292">
        <v>321.91000000000003</v>
      </c>
      <c r="G77" s="510" t="s">
        <v>9889</v>
      </c>
      <c r="H77" s="508">
        <v>0.2094</v>
      </c>
      <c r="I77" s="510">
        <v>3.5314480000000001</v>
      </c>
      <c r="J77" s="509">
        <v>1136.80842568</v>
      </c>
      <c r="K77" s="298"/>
      <c r="L77" s="447">
        <f t="shared" si="10"/>
        <v>1136.80842568</v>
      </c>
      <c r="M77" s="447">
        <f t="shared" si="11"/>
        <v>0</v>
      </c>
      <c r="N77" s="298"/>
      <c r="O77" s="298"/>
      <c r="P77" s="298"/>
      <c r="Q77" s="298"/>
      <c r="R77" s="298"/>
      <c r="S77" s="298"/>
    </row>
    <row r="78" spans="1:19" s="92" customFormat="1" ht="38.25">
      <c r="A78" s="256" t="s">
        <v>3259</v>
      </c>
      <c r="B78" s="288" t="s">
        <v>24572</v>
      </c>
      <c r="C78" s="288">
        <v>98530</v>
      </c>
      <c r="D78" s="289" t="s">
        <v>4517</v>
      </c>
      <c r="E78" s="290" t="s">
        <v>109</v>
      </c>
      <c r="F78" s="292">
        <v>6</v>
      </c>
      <c r="G78" s="510" t="s">
        <v>24377</v>
      </c>
      <c r="H78" s="508">
        <v>0.2094</v>
      </c>
      <c r="I78" s="510">
        <v>135.50117600000002</v>
      </c>
      <c r="J78" s="509">
        <v>813.00705600000015</v>
      </c>
      <c r="K78" s="298"/>
      <c r="L78" s="447">
        <f t="shared" si="10"/>
        <v>813.00705600000015</v>
      </c>
      <c r="M78" s="447">
        <f t="shared" si="11"/>
        <v>0</v>
      </c>
      <c r="N78" s="298"/>
      <c r="O78" s="298"/>
      <c r="P78" s="298"/>
      <c r="Q78" s="298"/>
      <c r="R78" s="298"/>
      <c r="S78" s="298"/>
    </row>
    <row r="79" spans="1:19" s="92" customFormat="1" ht="51">
      <c r="A79" s="256" t="s">
        <v>3259</v>
      </c>
      <c r="B79" s="288" t="s">
        <v>24573</v>
      </c>
      <c r="C79" s="288">
        <v>98527</v>
      </c>
      <c r="D79" s="289" t="s">
        <v>4514</v>
      </c>
      <c r="E79" s="290" t="s">
        <v>109</v>
      </c>
      <c r="F79" s="292">
        <v>6</v>
      </c>
      <c r="G79" s="510" t="s">
        <v>24375</v>
      </c>
      <c r="H79" s="508">
        <v>0.2094</v>
      </c>
      <c r="I79" s="510">
        <v>164.91378400000002</v>
      </c>
      <c r="J79" s="509">
        <v>989.48270400000013</v>
      </c>
      <c r="K79" s="298"/>
      <c r="L79" s="447">
        <f t="shared" si="10"/>
        <v>989.48270400000013</v>
      </c>
      <c r="M79" s="447">
        <f t="shared" si="11"/>
        <v>0</v>
      </c>
      <c r="N79" s="298"/>
      <c r="O79" s="298"/>
      <c r="P79" s="298"/>
      <c r="Q79" s="298"/>
      <c r="R79" s="298"/>
      <c r="S79" s="298"/>
    </row>
    <row r="80" spans="1:19" s="92" customFormat="1">
      <c r="A80" s="256"/>
      <c r="B80" s="391"/>
      <c r="C80" s="391"/>
      <c r="D80" s="401"/>
      <c r="E80" s="391"/>
      <c r="F80" s="417"/>
      <c r="G80" s="417"/>
      <c r="H80" s="417"/>
      <c r="I80" s="417"/>
      <c r="J80" s="418"/>
      <c r="K80" s="298"/>
      <c r="L80" s="447">
        <f t="shared" ref="L80" si="12">I80*F80</f>
        <v>0</v>
      </c>
      <c r="M80" s="447">
        <f t="shared" ref="M80" si="13">L80-J80</f>
        <v>0</v>
      </c>
      <c r="N80" s="298"/>
      <c r="O80" s="298"/>
      <c r="P80" s="298"/>
      <c r="Q80" s="298"/>
      <c r="R80" s="298"/>
      <c r="S80" s="298"/>
    </row>
    <row r="81" spans="1:19" s="92" customFormat="1">
      <c r="A81" s="256"/>
      <c r="B81" s="287" t="s">
        <v>15583</v>
      </c>
      <c r="C81" s="287"/>
      <c r="D81" s="400" t="s">
        <v>152</v>
      </c>
      <c r="E81" s="415"/>
      <c r="F81" s="415"/>
      <c r="G81" s="462"/>
      <c r="H81" s="415"/>
      <c r="I81" s="462"/>
      <c r="J81" s="416"/>
      <c r="K81" s="298"/>
      <c r="L81" s="447">
        <f t="shared" si="0"/>
        <v>0</v>
      </c>
      <c r="M81" s="447">
        <f t="shared" si="1"/>
        <v>0</v>
      </c>
      <c r="N81" s="298"/>
      <c r="O81" s="298"/>
      <c r="P81" s="298"/>
      <c r="Q81" s="298"/>
      <c r="R81" s="298"/>
      <c r="S81" s="298"/>
    </row>
    <row r="82" spans="1:19" s="92" customFormat="1" ht="38.25">
      <c r="A82" s="256" t="s">
        <v>3259</v>
      </c>
      <c r="B82" s="288" t="s">
        <v>15584</v>
      </c>
      <c r="C82" s="288">
        <v>97637</v>
      </c>
      <c r="D82" s="289" t="s">
        <v>3733</v>
      </c>
      <c r="E82" s="290" t="s">
        <v>193</v>
      </c>
      <c r="F82" s="292">
        <v>207.10999999999999</v>
      </c>
      <c r="G82" s="510" t="s">
        <v>11163</v>
      </c>
      <c r="H82" s="508">
        <v>0.2094</v>
      </c>
      <c r="I82" s="510">
        <v>2.6002100000000001</v>
      </c>
      <c r="J82" s="509">
        <v>538.52949309999997</v>
      </c>
      <c r="K82" s="298"/>
      <c r="L82" s="447">
        <f t="shared" si="0"/>
        <v>538.52949309999997</v>
      </c>
      <c r="M82" s="447">
        <f t="shared" si="1"/>
        <v>0</v>
      </c>
      <c r="N82" s="298"/>
      <c r="O82" s="298"/>
      <c r="P82" s="298"/>
      <c r="Q82" s="298"/>
      <c r="R82" s="298"/>
      <c r="S82" s="298"/>
    </row>
    <row r="83" spans="1:19" s="92" customFormat="1" ht="38.25">
      <c r="A83" s="256" t="s">
        <v>3260</v>
      </c>
      <c r="B83" s="288" t="s">
        <v>15585</v>
      </c>
      <c r="C83" s="288" t="s">
        <v>24583</v>
      </c>
      <c r="D83" s="289" t="s">
        <v>15434</v>
      </c>
      <c r="E83" s="290" t="s">
        <v>193</v>
      </c>
      <c r="F83" s="292">
        <v>94</v>
      </c>
      <c r="G83" s="510">
        <v>11.79</v>
      </c>
      <c r="H83" s="508">
        <v>0.2094</v>
      </c>
      <c r="I83" s="510">
        <v>14.258825999999999</v>
      </c>
      <c r="J83" s="509">
        <v>1340.3296439999999</v>
      </c>
      <c r="K83" s="298"/>
      <c r="L83" s="447">
        <f t="shared" si="0"/>
        <v>1340.3296439999999</v>
      </c>
      <c r="M83" s="447">
        <f t="shared" si="1"/>
        <v>0</v>
      </c>
      <c r="N83" s="298"/>
      <c r="O83" s="298"/>
      <c r="P83" s="298"/>
      <c r="Q83" s="298"/>
      <c r="R83" s="298"/>
      <c r="S83" s="298"/>
    </row>
    <row r="84" spans="1:19" s="92" customFormat="1">
      <c r="A84" s="256"/>
      <c r="B84" s="391"/>
      <c r="C84" s="391"/>
      <c r="D84" s="401"/>
      <c r="E84" s="391"/>
      <c r="F84" s="417"/>
      <c r="G84" s="417"/>
      <c r="H84" s="417"/>
      <c r="I84" s="417"/>
      <c r="J84" s="418"/>
      <c r="K84" s="298"/>
      <c r="L84" s="447">
        <f t="shared" si="0"/>
        <v>0</v>
      </c>
      <c r="M84" s="447">
        <f t="shared" si="1"/>
        <v>0</v>
      </c>
      <c r="N84" s="298"/>
      <c r="O84" s="298"/>
      <c r="P84" s="298"/>
      <c r="Q84" s="298"/>
      <c r="R84" s="298"/>
      <c r="S84" s="298"/>
    </row>
    <row r="85" spans="1:19" s="92" customFormat="1">
      <c r="A85" s="256"/>
      <c r="B85" s="287" t="s">
        <v>15586</v>
      </c>
      <c r="C85" s="287"/>
      <c r="D85" s="403" t="s">
        <v>15587</v>
      </c>
      <c r="E85" s="415"/>
      <c r="F85" s="415"/>
      <c r="G85" s="462"/>
      <c r="H85" s="415"/>
      <c r="I85" s="462"/>
      <c r="J85" s="416"/>
      <c r="K85" s="298"/>
      <c r="L85" s="447">
        <f t="shared" si="0"/>
        <v>0</v>
      </c>
      <c r="M85" s="447">
        <f t="shared" si="1"/>
        <v>0</v>
      </c>
      <c r="N85" s="298"/>
      <c r="O85" s="298"/>
      <c r="P85" s="298"/>
      <c r="Q85" s="298"/>
      <c r="R85" s="298"/>
      <c r="S85" s="298"/>
    </row>
    <row r="86" spans="1:19" s="92" customFormat="1" ht="63.75">
      <c r="A86" s="256" t="s">
        <v>3259</v>
      </c>
      <c r="B86" s="288" t="s">
        <v>15588</v>
      </c>
      <c r="C86" s="288">
        <v>100983</v>
      </c>
      <c r="D86" s="289" t="s">
        <v>13855</v>
      </c>
      <c r="E86" s="290" t="s">
        <v>209</v>
      </c>
      <c r="F86" s="292">
        <v>450.55345</v>
      </c>
      <c r="G86" s="510" t="s">
        <v>10213</v>
      </c>
      <c r="H86" s="508">
        <v>0.2094</v>
      </c>
      <c r="I86" s="510">
        <v>7.5708440000000001</v>
      </c>
      <c r="J86" s="509">
        <v>3411.0698836117999</v>
      </c>
      <c r="K86" s="298"/>
      <c r="L86" s="447">
        <f t="shared" si="0"/>
        <v>3411.0698836117999</v>
      </c>
      <c r="M86" s="447">
        <f t="shared" ref="M86" si="14">L86-J86</f>
        <v>0</v>
      </c>
      <c r="N86" s="298"/>
      <c r="O86" s="298"/>
      <c r="P86" s="298"/>
      <c r="Q86" s="298"/>
      <c r="R86" s="298"/>
      <c r="S86" s="298"/>
    </row>
    <row r="87" spans="1:19" s="92" customFormat="1" ht="38.25">
      <c r="A87" s="256" t="s">
        <v>3259</v>
      </c>
      <c r="B87" s="288" t="s">
        <v>15589</v>
      </c>
      <c r="C87" s="288">
        <v>95876</v>
      </c>
      <c r="D87" s="289" t="s">
        <v>13798</v>
      </c>
      <c r="E87" s="290" t="s">
        <v>239</v>
      </c>
      <c r="F87" s="292">
        <v>9957.2312450000009</v>
      </c>
      <c r="G87" s="510" t="s">
        <v>9774</v>
      </c>
      <c r="H87" s="508">
        <v>0.2094</v>
      </c>
      <c r="I87" s="510">
        <v>1.8382880000000001</v>
      </c>
      <c r="J87" s="509">
        <v>18304.258710908562</v>
      </c>
      <c r="K87" s="298"/>
      <c r="L87" s="447">
        <f t="shared" si="0"/>
        <v>18304.258710908562</v>
      </c>
      <c r="M87" s="447" t="s">
        <v>24584</v>
      </c>
      <c r="N87" s="298"/>
      <c r="O87" s="298"/>
      <c r="P87" s="298"/>
      <c r="Q87" s="298"/>
      <c r="R87" s="298"/>
      <c r="S87" s="298"/>
    </row>
    <row r="88" spans="1:19" s="92" customFormat="1" ht="25.5">
      <c r="A88" s="256" t="s">
        <v>3259</v>
      </c>
      <c r="B88" s="288" t="s">
        <v>18139</v>
      </c>
      <c r="C88" s="288" t="s">
        <v>18142</v>
      </c>
      <c r="D88" s="289" t="s">
        <v>18140</v>
      </c>
      <c r="E88" s="290" t="s">
        <v>2503</v>
      </c>
      <c r="F88" s="292">
        <v>675.83017500000005</v>
      </c>
      <c r="G88" s="510">
        <v>12.23</v>
      </c>
      <c r="H88" s="508">
        <v>0.2094</v>
      </c>
      <c r="I88" s="510">
        <v>14.790962</v>
      </c>
      <c r="J88" s="509">
        <v>9996.1784368783519</v>
      </c>
      <c r="K88" s="298"/>
      <c r="L88" s="447">
        <f t="shared" ref="L88" si="15">I88*F88</f>
        <v>9996.1784368783519</v>
      </c>
      <c r="M88" s="447" t="s">
        <v>18141</v>
      </c>
      <c r="N88" s="298"/>
      <c r="O88" s="298"/>
      <c r="P88" s="298"/>
      <c r="Q88" s="298"/>
      <c r="R88" s="298"/>
      <c r="S88" s="298"/>
    </row>
    <row r="89" spans="1:19" s="92" customFormat="1">
      <c r="A89" s="256"/>
      <c r="B89" s="391"/>
      <c r="C89" s="391"/>
      <c r="D89" s="401"/>
      <c r="E89" s="391"/>
      <c r="F89" s="417"/>
      <c r="G89" s="417"/>
      <c r="H89" s="417"/>
      <c r="I89" s="417"/>
      <c r="J89" s="418"/>
      <c r="K89" s="298"/>
      <c r="L89" s="447">
        <f t="shared" si="0"/>
        <v>0</v>
      </c>
      <c r="M89" s="447">
        <f t="shared" ref="M89:M126" si="16">L89-J89</f>
        <v>0</v>
      </c>
      <c r="N89" s="298"/>
      <c r="O89" s="298"/>
      <c r="P89" s="298"/>
      <c r="Q89" s="298"/>
      <c r="R89" s="298"/>
      <c r="S89" s="298"/>
    </row>
    <row r="90" spans="1:19" s="92" customFormat="1">
      <c r="A90" s="256"/>
      <c r="B90" s="392"/>
      <c r="C90" s="393"/>
      <c r="D90" s="402"/>
      <c r="E90" s="393"/>
      <c r="F90" s="393"/>
      <c r="G90" s="460" t="s">
        <v>69</v>
      </c>
      <c r="H90" s="419"/>
      <c r="I90" s="460"/>
      <c r="J90" s="420">
        <v>272009.16072519874</v>
      </c>
      <c r="K90" s="447"/>
      <c r="L90" s="447">
        <f t="shared" si="0"/>
        <v>0</v>
      </c>
      <c r="M90" s="447"/>
      <c r="N90" s="298"/>
      <c r="O90" s="298"/>
      <c r="P90" s="298"/>
      <c r="Q90" s="298"/>
      <c r="R90" s="298"/>
      <c r="S90" s="298"/>
    </row>
    <row r="91" spans="1:19" s="92" customFormat="1">
      <c r="A91" s="256"/>
      <c r="B91" s="391"/>
      <c r="C91" s="391"/>
      <c r="D91" s="401"/>
      <c r="E91" s="391"/>
      <c r="F91" s="417"/>
      <c r="G91" s="417"/>
      <c r="H91" s="417"/>
      <c r="I91" s="417"/>
      <c r="J91" s="418"/>
      <c r="K91" s="298"/>
      <c r="L91" s="447">
        <f t="shared" ref="L91" si="17">I91*F91</f>
        <v>0</v>
      </c>
      <c r="M91" s="447">
        <f t="shared" ref="M91" si="18">L91-J91</f>
        <v>0</v>
      </c>
      <c r="N91" s="298"/>
      <c r="O91" s="298"/>
      <c r="P91" s="298"/>
      <c r="Q91" s="298"/>
      <c r="R91" s="298"/>
      <c r="S91" s="298"/>
    </row>
    <row r="92" spans="1:19" s="92" customFormat="1">
      <c r="A92" s="256"/>
      <c r="B92" s="287" t="s">
        <v>3285</v>
      </c>
      <c r="C92" s="287"/>
      <c r="D92" s="479" t="s">
        <v>24485</v>
      </c>
      <c r="E92" s="413"/>
      <c r="F92" s="413"/>
      <c r="G92" s="461"/>
      <c r="H92" s="413"/>
      <c r="I92" s="461"/>
      <c r="J92" s="414"/>
      <c r="K92" s="298"/>
      <c r="L92" s="447">
        <f t="shared" si="0"/>
        <v>0</v>
      </c>
      <c r="M92" s="447">
        <f t="shared" si="16"/>
        <v>0</v>
      </c>
      <c r="N92" s="298"/>
      <c r="O92" s="298"/>
      <c r="P92" s="298"/>
      <c r="Q92" s="298"/>
      <c r="R92" s="298"/>
      <c r="S92" s="298"/>
    </row>
    <row r="93" spans="1:19" s="92" customFormat="1">
      <c r="A93" s="256"/>
      <c r="B93" s="287" t="s">
        <v>3287</v>
      </c>
      <c r="C93" s="287"/>
      <c r="D93" s="400" t="s">
        <v>3288</v>
      </c>
      <c r="E93" s="415"/>
      <c r="F93" s="415"/>
      <c r="G93" s="462"/>
      <c r="H93" s="415"/>
      <c r="I93" s="462"/>
      <c r="J93" s="416"/>
      <c r="K93" s="298"/>
      <c r="L93" s="447">
        <f t="shared" si="0"/>
        <v>0</v>
      </c>
      <c r="M93" s="447">
        <f t="shared" si="16"/>
        <v>0</v>
      </c>
      <c r="N93" s="298"/>
      <c r="O93" s="298"/>
      <c r="P93" s="298"/>
      <c r="Q93" s="298"/>
      <c r="R93" s="298"/>
      <c r="S93" s="298"/>
    </row>
    <row r="94" spans="1:19" s="92" customFormat="1">
      <c r="A94" s="256"/>
      <c r="B94" s="287" t="s">
        <v>3289</v>
      </c>
      <c r="C94" s="287"/>
      <c r="D94" s="400" t="s">
        <v>3290</v>
      </c>
      <c r="E94" s="415"/>
      <c r="F94" s="415"/>
      <c r="G94" s="462"/>
      <c r="H94" s="415"/>
      <c r="I94" s="462"/>
      <c r="J94" s="416"/>
      <c r="K94" s="298"/>
      <c r="L94" s="447">
        <f t="shared" si="0"/>
        <v>0</v>
      </c>
      <c r="M94" s="447">
        <f t="shared" si="16"/>
        <v>0</v>
      </c>
      <c r="N94" s="298"/>
      <c r="O94" s="298" t="s">
        <v>24876</v>
      </c>
      <c r="P94" s="298"/>
      <c r="Q94" s="298"/>
      <c r="R94" s="298"/>
      <c r="S94" s="298"/>
    </row>
    <row r="95" spans="1:19" s="92" customFormat="1" ht="38.25">
      <c r="A95" s="256" t="s">
        <v>3259</v>
      </c>
      <c r="B95" s="288" t="s">
        <v>3291</v>
      </c>
      <c r="C95" s="288">
        <v>96523</v>
      </c>
      <c r="D95" s="289" t="s">
        <v>2464</v>
      </c>
      <c r="E95" s="290" t="s">
        <v>209</v>
      </c>
      <c r="F95" s="292">
        <v>7.94</v>
      </c>
      <c r="G95" s="510" t="s">
        <v>23664</v>
      </c>
      <c r="H95" s="508">
        <v>0.2094</v>
      </c>
      <c r="I95" s="510">
        <v>99.376398000000009</v>
      </c>
      <c r="J95" s="509">
        <v>789.04860012000006</v>
      </c>
      <c r="K95" s="298"/>
      <c r="L95" s="447">
        <f t="shared" si="0"/>
        <v>789.04860012000006</v>
      </c>
      <c r="M95" s="447">
        <f t="shared" si="16"/>
        <v>0</v>
      </c>
      <c r="N95" s="298"/>
      <c r="O95" s="638">
        <f>K102+F121</f>
        <v>10.458008429403925</v>
      </c>
      <c r="P95" s="298"/>
      <c r="Q95" s="298"/>
      <c r="R95" s="298"/>
      <c r="S95" s="298"/>
    </row>
    <row r="96" spans="1:19" s="92" customFormat="1" ht="38.25">
      <c r="A96" s="256" t="s">
        <v>3259</v>
      </c>
      <c r="B96" s="288" t="s">
        <v>3292</v>
      </c>
      <c r="C96" s="288">
        <v>101616</v>
      </c>
      <c r="D96" s="289" t="s">
        <v>13664</v>
      </c>
      <c r="E96" s="290" t="s">
        <v>193</v>
      </c>
      <c r="F96" s="292">
        <v>8.82</v>
      </c>
      <c r="G96" s="510" t="s">
        <v>11219</v>
      </c>
      <c r="H96" s="508">
        <v>0.2094</v>
      </c>
      <c r="I96" s="510">
        <v>6.3735379999999999</v>
      </c>
      <c r="J96" s="509">
        <v>56.214605159999998</v>
      </c>
      <c r="K96" s="298"/>
      <c r="L96" s="447">
        <f t="shared" si="0"/>
        <v>56.214605159999998</v>
      </c>
      <c r="M96" s="447">
        <f t="shared" si="16"/>
        <v>0</v>
      </c>
      <c r="N96" s="298"/>
      <c r="O96" s="298"/>
      <c r="P96" s="298"/>
      <c r="Q96" s="298"/>
      <c r="R96" s="298"/>
      <c r="S96" s="298"/>
    </row>
    <row r="97" spans="1:19" s="92" customFormat="1" ht="25.5">
      <c r="A97" s="256" t="s">
        <v>3259</v>
      </c>
      <c r="B97" s="288" t="s">
        <v>3293</v>
      </c>
      <c r="C97" s="288">
        <v>93382</v>
      </c>
      <c r="D97" s="289" t="s">
        <v>2501</v>
      </c>
      <c r="E97" s="290" t="s">
        <v>209</v>
      </c>
      <c r="F97" s="292">
        <v>2.11</v>
      </c>
      <c r="G97" s="510" t="s">
        <v>16369</v>
      </c>
      <c r="H97" s="508">
        <v>0.2094</v>
      </c>
      <c r="I97" s="510">
        <v>30.380128000000003</v>
      </c>
      <c r="J97" s="509">
        <v>64.102070080000004</v>
      </c>
      <c r="K97" s="298"/>
      <c r="L97" s="447">
        <f t="shared" si="0"/>
        <v>64.102070080000004</v>
      </c>
      <c r="M97" s="447">
        <f t="shared" si="16"/>
        <v>0</v>
      </c>
      <c r="N97" s="298"/>
      <c r="O97" s="298"/>
      <c r="P97" s="298"/>
      <c r="Q97" s="298"/>
      <c r="R97" s="298"/>
      <c r="S97" s="298"/>
    </row>
    <row r="98" spans="1:19" s="92" customFormat="1">
      <c r="A98" s="256"/>
      <c r="B98" s="391"/>
      <c r="C98" s="391"/>
      <c r="D98" s="401"/>
      <c r="E98" s="391"/>
      <c r="F98" s="417"/>
      <c r="G98" s="417"/>
      <c r="H98" s="417"/>
      <c r="I98" s="417"/>
      <c r="J98" s="418"/>
      <c r="K98" s="298"/>
      <c r="L98" s="447">
        <f t="shared" si="0"/>
        <v>0</v>
      </c>
      <c r="M98" s="447">
        <f t="shared" si="16"/>
        <v>0</v>
      </c>
      <c r="N98" s="298"/>
      <c r="O98" s="298"/>
      <c r="P98" s="298"/>
      <c r="Q98" s="298"/>
      <c r="R98" s="298"/>
      <c r="S98" s="298"/>
    </row>
    <row r="99" spans="1:19" s="92" customFormat="1">
      <c r="A99" s="256"/>
      <c r="B99" s="287" t="s">
        <v>3294</v>
      </c>
      <c r="C99" s="287"/>
      <c r="D99" s="399" t="s">
        <v>3295</v>
      </c>
      <c r="E99" s="413"/>
      <c r="F99" s="413"/>
      <c r="G99" s="461"/>
      <c r="H99" s="413"/>
      <c r="I99" s="461"/>
      <c r="J99" s="414"/>
      <c r="K99" s="298"/>
      <c r="L99" s="447">
        <f t="shared" ref="L99:L127" si="19">I99*F99</f>
        <v>0</v>
      </c>
      <c r="M99" s="447">
        <f t="shared" si="16"/>
        <v>0</v>
      </c>
      <c r="N99" s="298"/>
      <c r="O99" s="298"/>
      <c r="P99" s="298"/>
      <c r="Q99" s="298"/>
      <c r="R99" s="298"/>
      <c r="S99" s="298"/>
    </row>
    <row r="100" spans="1:19" s="92" customFormat="1">
      <c r="A100" s="256"/>
      <c r="B100" s="287" t="s">
        <v>3296</v>
      </c>
      <c r="C100" s="287"/>
      <c r="D100" s="400" t="s">
        <v>3297</v>
      </c>
      <c r="E100" s="415"/>
      <c r="F100" s="415"/>
      <c r="G100" s="462"/>
      <c r="H100" s="415"/>
      <c r="I100" s="462"/>
      <c r="J100" s="416"/>
      <c r="K100" s="298"/>
      <c r="L100" s="447">
        <f t="shared" si="19"/>
        <v>0</v>
      </c>
      <c r="M100" s="447">
        <f t="shared" si="16"/>
        <v>0</v>
      </c>
      <c r="N100" s="298"/>
      <c r="O100" s="298"/>
      <c r="P100" s="298"/>
      <c r="Q100" s="298"/>
      <c r="R100" s="298"/>
      <c r="S100" s="298"/>
    </row>
    <row r="101" spans="1:19" s="92" customFormat="1">
      <c r="A101" s="256"/>
      <c r="B101" s="287" t="s">
        <v>9633</v>
      </c>
      <c r="C101" s="287"/>
      <c r="D101" s="400" t="s">
        <v>9637</v>
      </c>
      <c r="E101" s="415"/>
      <c r="F101" s="415"/>
      <c r="G101" s="462"/>
      <c r="H101" s="415"/>
      <c r="I101" s="462"/>
      <c r="J101" s="416"/>
      <c r="K101" s="298"/>
      <c r="L101" s="447">
        <f t="shared" si="19"/>
        <v>0</v>
      </c>
      <c r="M101" s="447">
        <f t="shared" si="16"/>
        <v>0</v>
      </c>
      <c r="N101" s="298"/>
      <c r="O101" s="298"/>
      <c r="P101" s="298"/>
      <c r="Q101" s="298"/>
      <c r="R101" s="298"/>
      <c r="S101" s="298"/>
    </row>
    <row r="102" spans="1:19" s="92" customFormat="1" ht="63.75">
      <c r="A102" s="256" t="s">
        <v>3260</v>
      </c>
      <c r="B102" s="288" t="s">
        <v>9634</v>
      </c>
      <c r="C102" s="288" t="s">
        <v>8985</v>
      </c>
      <c r="D102" s="289" t="s">
        <v>24484</v>
      </c>
      <c r="E102" s="290" t="s">
        <v>5</v>
      </c>
      <c r="F102" s="292">
        <v>70</v>
      </c>
      <c r="G102" s="510">
        <v>45.82</v>
      </c>
      <c r="H102" s="508">
        <v>0.2094</v>
      </c>
      <c r="I102" s="510">
        <v>55.414708000000005</v>
      </c>
      <c r="J102" s="509">
        <v>3879.0295600000004</v>
      </c>
      <c r="K102" s="298">
        <f>PI()*(0.15^2)*F102</f>
        <v>4.9480084294039246</v>
      </c>
      <c r="L102" s="447">
        <f t="shared" si="19"/>
        <v>3879.0295600000004</v>
      </c>
      <c r="M102" s="447">
        <f t="shared" si="16"/>
        <v>0</v>
      </c>
      <c r="N102" s="298"/>
      <c r="O102" s="298"/>
      <c r="P102" s="298"/>
      <c r="Q102" s="298"/>
      <c r="R102" s="298"/>
      <c r="S102" s="298"/>
    </row>
    <row r="103" spans="1:19" s="92" customFormat="1" ht="38.25">
      <c r="A103" s="256" t="s">
        <v>3259</v>
      </c>
      <c r="B103" s="288" t="s">
        <v>9635</v>
      </c>
      <c r="C103" s="288">
        <v>95584</v>
      </c>
      <c r="D103" s="289" t="s">
        <v>1433</v>
      </c>
      <c r="E103" s="290" t="s">
        <v>108</v>
      </c>
      <c r="F103" s="292">
        <v>58.8</v>
      </c>
      <c r="G103" s="510" t="s">
        <v>19965</v>
      </c>
      <c r="H103" s="508">
        <v>0.2094</v>
      </c>
      <c r="I103" s="510">
        <v>18.806170000000002</v>
      </c>
      <c r="J103" s="509">
        <v>1105.8027959999999</v>
      </c>
      <c r="K103" s="298"/>
      <c r="L103" s="447">
        <f t="shared" si="19"/>
        <v>1105.8027959999999</v>
      </c>
      <c r="M103" s="447">
        <f t="shared" si="16"/>
        <v>0</v>
      </c>
      <c r="N103" s="298"/>
      <c r="O103" s="298"/>
      <c r="P103" s="298"/>
      <c r="Q103" s="298"/>
      <c r="R103" s="298"/>
      <c r="S103" s="298"/>
    </row>
    <row r="104" spans="1:19" s="92" customFormat="1" ht="51">
      <c r="A104" s="256" t="s">
        <v>3259</v>
      </c>
      <c r="B104" s="288" t="s">
        <v>9636</v>
      </c>
      <c r="C104" s="288">
        <v>95578</v>
      </c>
      <c r="D104" s="289" t="s">
        <v>3437</v>
      </c>
      <c r="E104" s="290" t="s">
        <v>108</v>
      </c>
      <c r="F104" s="292">
        <v>260.01</v>
      </c>
      <c r="G104" s="510" t="s">
        <v>10457</v>
      </c>
      <c r="H104" s="508">
        <v>0.2094</v>
      </c>
      <c r="I104" s="510">
        <v>13.678314</v>
      </c>
      <c r="J104" s="509">
        <v>3556.4984231399999</v>
      </c>
      <c r="K104" s="298"/>
      <c r="L104" s="447">
        <f t="shared" si="19"/>
        <v>3556.4984231399999</v>
      </c>
      <c r="M104" s="447">
        <f t="shared" si="16"/>
        <v>0</v>
      </c>
      <c r="N104" s="298"/>
      <c r="O104" s="298"/>
      <c r="P104" s="298"/>
      <c r="Q104" s="298"/>
      <c r="R104" s="298"/>
      <c r="S104" s="298"/>
    </row>
    <row r="105" spans="1:19" s="92" customFormat="1">
      <c r="A105" s="256"/>
      <c r="B105" s="391"/>
      <c r="C105" s="391"/>
      <c r="D105" s="401"/>
      <c r="E105" s="391"/>
      <c r="F105" s="417"/>
      <c r="G105" s="417"/>
      <c r="H105" s="417"/>
      <c r="I105" s="417"/>
      <c r="J105" s="418"/>
      <c r="K105" s="298"/>
      <c r="L105" s="447">
        <f t="shared" si="19"/>
        <v>0</v>
      </c>
      <c r="M105" s="447">
        <f t="shared" si="16"/>
        <v>0</v>
      </c>
      <c r="N105" s="298"/>
      <c r="O105" s="298"/>
      <c r="P105" s="298"/>
      <c r="Q105" s="298"/>
      <c r="R105" s="298"/>
      <c r="S105" s="298"/>
    </row>
    <row r="106" spans="1:19" s="92" customFormat="1">
      <c r="A106" s="256"/>
      <c r="B106" s="287" t="s">
        <v>3298</v>
      </c>
      <c r="C106" s="287"/>
      <c r="D106" s="399" t="s">
        <v>9638</v>
      </c>
      <c r="E106" s="413"/>
      <c r="F106" s="413"/>
      <c r="G106" s="461"/>
      <c r="H106" s="413"/>
      <c r="I106" s="461"/>
      <c r="J106" s="414"/>
      <c r="K106" s="298"/>
      <c r="L106" s="447">
        <f t="shared" si="19"/>
        <v>0</v>
      </c>
      <c r="M106" s="447">
        <f t="shared" si="16"/>
        <v>0</v>
      </c>
      <c r="N106" s="298"/>
      <c r="O106" s="298"/>
      <c r="P106" s="298"/>
      <c r="Q106" s="298"/>
      <c r="R106" s="298"/>
      <c r="S106" s="298"/>
    </row>
    <row r="107" spans="1:19" s="92" customFormat="1" ht="38.25">
      <c r="A107" s="256" t="s">
        <v>3259</v>
      </c>
      <c r="B107" s="288" t="s">
        <v>3299</v>
      </c>
      <c r="C107" s="288">
        <v>95601</v>
      </c>
      <c r="D107" s="289" t="s">
        <v>22177</v>
      </c>
      <c r="E107" s="290" t="s">
        <v>109</v>
      </c>
      <c r="F107" s="292">
        <v>10</v>
      </c>
      <c r="G107" s="510" t="s">
        <v>22178</v>
      </c>
      <c r="H107" s="508">
        <v>0.2094</v>
      </c>
      <c r="I107" s="510">
        <v>16.665531999999999</v>
      </c>
      <c r="J107" s="509">
        <v>166.65531999999999</v>
      </c>
      <c r="K107" s="298"/>
      <c r="L107" s="447">
        <f t="shared" si="19"/>
        <v>166.65531999999999</v>
      </c>
      <c r="M107" s="447">
        <f t="shared" si="16"/>
        <v>0</v>
      </c>
      <c r="N107" s="298"/>
      <c r="O107" s="298"/>
      <c r="P107" s="298"/>
      <c r="Q107" s="298"/>
      <c r="R107" s="298"/>
      <c r="S107" s="298"/>
    </row>
    <row r="108" spans="1:19" s="92" customFormat="1">
      <c r="A108" s="256"/>
      <c r="B108" s="391"/>
      <c r="C108" s="391"/>
      <c r="D108" s="401"/>
      <c r="E108" s="391"/>
      <c r="F108" s="417"/>
      <c r="G108" s="417"/>
      <c r="H108" s="417"/>
      <c r="I108" s="417"/>
      <c r="J108" s="418"/>
      <c r="K108" s="298"/>
      <c r="L108" s="447">
        <f t="shared" si="19"/>
        <v>0</v>
      </c>
      <c r="M108" s="447">
        <f t="shared" si="16"/>
        <v>0</v>
      </c>
      <c r="N108" s="298"/>
      <c r="O108" s="298"/>
      <c r="P108" s="298"/>
      <c r="Q108" s="298"/>
      <c r="R108" s="298"/>
      <c r="S108" s="298"/>
    </row>
    <row r="109" spans="1:19" s="92" customFormat="1">
      <c r="A109" s="256"/>
      <c r="B109" s="287" t="s">
        <v>3300</v>
      </c>
      <c r="C109" s="287"/>
      <c r="D109" s="399" t="s">
        <v>9643</v>
      </c>
      <c r="E109" s="413"/>
      <c r="F109" s="413"/>
      <c r="G109" s="461"/>
      <c r="H109" s="413"/>
      <c r="I109" s="461"/>
      <c r="J109" s="414"/>
      <c r="K109" s="298"/>
      <c r="L109" s="447">
        <f t="shared" si="19"/>
        <v>0</v>
      </c>
      <c r="M109" s="447">
        <f t="shared" si="16"/>
        <v>0</v>
      </c>
      <c r="N109" s="298"/>
      <c r="O109" s="298"/>
      <c r="P109" s="298"/>
      <c r="Q109" s="298"/>
      <c r="R109" s="298"/>
      <c r="S109" s="298"/>
    </row>
    <row r="110" spans="1:19" s="92" customFormat="1">
      <c r="A110" s="256"/>
      <c r="B110" s="287" t="s">
        <v>3301</v>
      </c>
      <c r="C110" s="287"/>
      <c r="D110" s="400" t="s">
        <v>3302</v>
      </c>
      <c r="E110" s="415"/>
      <c r="F110" s="415"/>
      <c r="G110" s="462"/>
      <c r="H110" s="415"/>
      <c r="I110" s="462"/>
      <c r="J110" s="416"/>
      <c r="K110" s="298"/>
      <c r="L110" s="447">
        <f t="shared" si="19"/>
        <v>0</v>
      </c>
      <c r="M110" s="447">
        <f t="shared" si="16"/>
        <v>0</v>
      </c>
      <c r="N110" s="298"/>
      <c r="O110" s="298"/>
      <c r="P110" s="298"/>
      <c r="Q110" s="298"/>
      <c r="R110" s="298"/>
      <c r="S110" s="298"/>
    </row>
    <row r="111" spans="1:19" s="92" customFormat="1" ht="38.25">
      <c r="A111" s="256" t="s">
        <v>3259</v>
      </c>
      <c r="B111" s="288" t="s">
        <v>3303</v>
      </c>
      <c r="C111" s="288">
        <v>96619</v>
      </c>
      <c r="D111" s="289" t="s">
        <v>3417</v>
      </c>
      <c r="E111" s="290" t="s">
        <v>193</v>
      </c>
      <c r="F111" s="292">
        <v>6.48</v>
      </c>
      <c r="G111" s="510" t="s">
        <v>14140</v>
      </c>
      <c r="H111" s="508">
        <v>0.2094</v>
      </c>
      <c r="I111" s="510">
        <v>32.774740000000001</v>
      </c>
      <c r="J111" s="509">
        <v>212.38031520000001</v>
      </c>
      <c r="K111" s="298"/>
      <c r="L111" s="447">
        <f t="shared" si="19"/>
        <v>212.38031520000001</v>
      </c>
      <c r="M111" s="447">
        <f t="shared" si="16"/>
        <v>0</v>
      </c>
      <c r="N111" s="298"/>
      <c r="O111" s="298"/>
      <c r="P111" s="298"/>
      <c r="Q111" s="298"/>
      <c r="R111" s="298"/>
      <c r="S111" s="298"/>
    </row>
    <row r="112" spans="1:19" s="92" customFormat="1">
      <c r="A112" s="256"/>
      <c r="B112" s="391"/>
      <c r="C112" s="391"/>
      <c r="D112" s="401"/>
      <c r="E112" s="391"/>
      <c r="F112" s="417"/>
      <c r="G112" s="417"/>
      <c r="H112" s="417"/>
      <c r="I112" s="417"/>
      <c r="J112" s="418"/>
      <c r="K112" s="298"/>
      <c r="L112" s="447">
        <f t="shared" si="19"/>
        <v>0</v>
      </c>
      <c r="M112" s="447">
        <f t="shared" si="16"/>
        <v>0</v>
      </c>
      <c r="N112" s="298"/>
      <c r="O112" s="298"/>
      <c r="P112" s="298"/>
      <c r="Q112" s="298"/>
      <c r="R112" s="298"/>
      <c r="S112" s="298"/>
    </row>
    <row r="113" spans="1:19" s="92" customFormat="1">
      <c r="A113" s="256"/>
      <c r="B113" s="287" t="s">
        <v>3304</v>
      </c>
      <c r="C113" s="287"/>
      <c r="D113" s="399" t="s">
        <v>3305</v>
      </c>
      <c r="E113" s="413"/>
      <c r="F113" s="413"/>
      <c r="G113" s="461"/>
      <c r="H113" s="413"/>
      <c r="I113" s="461"/>
      <c r="J113" s="414"/>
      <c r="K113" s="298"/>
      <c r="L113" s="447">
        <f t="shared" si="19"/>
        <v>0</v>
      </c>
      <c r="M113" s="447">
        <f t="shared" si="16"/>
        <v>0</v>
      </c>
      <c r="N113" s="298"/>
      <c r="O113" s="298"/>
      <c r="P113" s="298"/>
      <c r="Q113" s="298"/>
      <c r="R113" s="298"/>
      <c r="S113" s="298"/>
    </row>
    <row r="114" spans="1:19" s="92" customFormat="1" ht="63.75">
      <c r="A114" s="256" t="s">
        <v>3259</v>
      </c>
      <c r="B114" s="288" t="s">
        <v>3306</v>
      </c>
      <c r="C114" s="288">
        <v>96540</v>
      </c>
      <c r="D114" s="289" t="s">
        <v>1355</v>
      </c>
      <c r="E114" s="290" t="s">
        <v>193</v>
      </c>
      <c r="F114" s="292">
        <v>12.24</v>
      </c>
      <c r="G114" s="510" t="s">
        <v>22306</v>
      </c>
      <c r="H114" s="508">
        <v>0.2094</v>
      </c>
      <c r="I114" s="510">
        <v>137.653908</v>
      </c>
      <c r="J114" s="509">
        <v>1684.8838339200001</v>
      </c>
      <c r="K114" s="298"/>
      <c r="L114" s="447">
        <f t="shared" si="19"/>
        <v>1684.8838339200001</v>
      </c>
      <c r="M114" s="447">
        <f t="shared" si="16"/>
        <v>0</v>
      </c>
      <c r="N114" s="298"/>
      <c r="O114" s="298"/>
      <c r="P114" s="298"/>
      <c r="Q114" s="298"/>
      <c r="R114" s="298"/>
      <c r="S114" s="298"/>
    </row>
    <row r="115" spans="1:19" s="92" customFormat="1">
      <c r="A115" s="256"/>
      <c r="B115" s="391"/>
      <c r="C115" s="391"/>
      <c r="D115" s="401"/>
      <c r="E115" s="391"/>
      <c r="F115" s="417"/>
      <c r="G115" s="417"/>
      <c r="H115" s="417"/>
      <c r="I115" s="417"/>
      <c r="J115" s="418"/>
      <c r="K115" s="298"/>
      <c r="L115" s="447">
        <f t="shared" si="19"/>
        <v>0</v>
      </c>
      <c r="M115" s="447">
        <f t="shared" si="16"/>
        <v>0</v>
      </c>
      <c r="N115" s="298"/>
      <c r="O115" s="298"/>
      <c r="P115" s="298"/>
      <c r="Q115" s="298"/>
      <c r="R115" s="298"/>
      <c r="S115" s="298"/>
    </row>
    <row r="116" spans="1:19" s="92" customFormat="1">
      <c r="A116" s="256"/>
      <c r="B116" s="287" t="s">
        <v>3307</v>
      </c>
      <c r="C116" s="287"/>
      <c r="D116" s="399" t="s">
        <v>3308</v>
      </c>
      <c r="E116" s="413"/>
      <c r="F116" s="413"/>
      <c r="G116" s="461"/>
      <c r="H116" s="413"/>
      <c r="I116" s="461"/>
      <c r="J116" s="414"/>
      <c r="K116" s="298"/>
      <c r="L116" s="447">
        <f t="shared" si="19"/>
        <v>0</v>
      </c>
      <c r="M116" s="447">
        <f t="shared" si="16"/>
        <v>0</v>
      </c>
      <c r="N116" s="298"/>
      <c r="O116" s="298"/>
      <c r="P116" s="298"/>
      <c r="Q116" s="298"/>
      <c r="R116" s="298"/>
      <c r="S116" s="298"/>
    </row>
    <row r="117" spans="1:19" s="92" customFormat="1" ht="38.25">
      <c r="A117" s="256" t="s">
        <v>3259</v>
      </c>
      <c r="B117" s="288" t="s">
        <v>3309</v>
      </c>
      <c r="C117" s="288">
        <v>96544</v>
      </c>
      <c r="D117" s="289" t="s">
        <v>1440</v>
      </c>
      <c r="E117" s="290" t="s">
        <v>108</v>
      </c>
      <c r="F117" s="292">
        <v>60.83</v>
      </c>
      <c r="G117" s="510" t="s">
        <v>10577</v>
      </c>
      <c r="H117" s="508">
        <v>0.2094</v>
      </c>
      <c r="I117" s="510">
        <v>20.813774000000002</v>
      </c>
      <c r="J117" s="509">
        <v>1266.1018724200001</v>
      </c>
      <c r="K117" s="298"/>
      <c r="L117" s="447">
        <f t="shared" si="19"/>
        <v>1266.1018724200001</v>
      </c>
      <c r="M117" s="447">
        <f t="shared" si="16"/>
        <v>0</v>
      </c>
      <c r="N117" s="298"/>
      <c r="O117" s="298"/>
      <c r="P117" s="298"/>
      <c r="Q117" s="298"/>
      <c r="R117" s="298"/>
      <c r="S117" s="298"/>
    </row>
    <row r="118" spans="1:19" s="92" customFormat="1" ht="38.25">
      <c r="A118" s="256" t="s">
        <v>3259</v>
      </c>
      <c r="B118" s="288" t="s">
        <v>3310</v>
      </c>
      <c r="C118" s="288">
        <v>96545</v>
      </c>
      <c r="D118" s="289" t="s">
        <v>1441</v>
      </c>
      <c r="E118" s="290" t="s">
        <v>108</v>
      </c>
      <c r="F118" s="292">
        <v>34.270000000000003</v>
      </c>
      <c r="G118" s="510" t="s">
        <v>11215</v>
      </c>
      <c r="H118" s="508">
        <v>0.2094</v>
      </c>
      <c r="I118" s="510">
        <v>19.374587999999999</v>
      </c>
      <c r="J118" s="509">
        <v>663.96713076000003</v>
      </c>
      <c r="K118" s="298"/>
      <c r="L118" s="447">
        <f t="shared" si="19"/>
        <v>663.96713076000003</v>
      </c>
      <c r="M118" s="447">
        <f t="shared" si="16"/>
        <v>0</v>
      </c>
      <c r="N118" s="298"/>
      <c r="O118" s="298"/>
      <c r="P118" s="298"/>
      <c r="Q118" s="298"/>
      <c r="R118" s="298"/>
      <c r="S118" s="298"/>
    </row>
    <row r="119" spans="1:19" s="92" customFormat="1">
      <c r="A119" s="256"/>
      <c r="B119" s="391"/>
      <c r="C119" s="391"/>
      <c r="D119" s="401"/>
      <c r="E119" s="391"/>
      <c r="F119" s="417"/>
      <c r="G119" s="417"/>
      <c r="H119" s="417"/>
      <c r="I119" s="417"/>
      <c r="J119" s="418"/>
      <c r="K119" s="298"/>
      <c r="L119" s="447">
        <f t="shared" si="19"/>
        <v>0</v>
      </c>
      <c r="M119" s="447">
        <f t="shared" si="16"/>
        <v>0</v>
      </c>
      <c r="N119" s="298"/>
      <c r="O119" s="298"/>
      <c r="P119" s="298"/>
      <c r="Q119" s="298"/>
      <c r="R119" s="298"/>
      <c r="S119" s="298"/>
    </row>
    <row r="120" spans="1:19" s="92" customFormat="1">
      <c r="A120" s="256"/>
      <c r="B120" s="287" t="s">
        <v>3314</v>
      </c>
      <c r="C120" s="287"/>
      <c r="D120" s="399" t="s">
        <v>3315</v>
      </c>
      <c r="E120" s="413"/>
      <c r="F120" s="413"/>
      <c r="G120" s="461"/>
      <c r="H120" s="413"/>
      <c r="I120" s="461"/>
      <c r="J120" s="414"/>
      <c r="K120" s="298"/>
      <c r="L120" s="447">
        <f t="shared" si="19"/>
        <v>0</v>
      </c>
      <c r="M120" s="447">
        <f t="shared" si="16"/>
        <v>0</v>
      </c>
      <c r="N120" s="298"/>
      <c r="O120" s="298"/>
      <c r="P120" s="298"/>
      <c r="Q120" s="298"/>
      <c r="R120" s="298"/>
      <c r="S120" s="298"/>
    </row>
    <row r="121" spans="1:19" s="92" customFormat="1" ht="51">
      <c r="A121" s="256" t="s">
        <v>3259</v>
      </c>
      <c r="B121" s="288" t="s">
        <v>3316</v>
      </c>
      <c r="C121" s="288">
        <v>96557</v>
      </c>
      <c r="D121" s="289" t="s">
        <v>1482</v>
      </c>
      <c r="E121" s="290" t="s">
        <v>209</v>
      </c>
      <c r="F121" s="292">
        <v>5.51</v>
      </c>
      <c r="G121" s="510" t="s">
        <v>22467</v>
      </c>
      <c r="H121" s="508">
        <v>0.2094</v>
      </c>
      <c r="I121" s="510">
        <v>498.91378199999997</v>
      </c>
      <c r="J121" s="509">
        <v>2749.0149388199998</v>
      </c>
      <c r="K121" s="298"/>
      <c r="L121" s="447">
        <f t="shared" si="19"/>
        <v>2749.0149388199998</v>
      </c>
      <c r="M121" s="447">
        <f t="shared" si="16"/>
        <v>0</v>
      </c>
      <c r="N121" s="298"/>
      <c r="O121" s="298"/>
      <c r="P121" s="298"/>
      <c r="Q121" s="298"/>
      <c r="R121" s="298"/>
      <c r="S121" s="298"/>
    </row>
    <row r="122" spans="1:19" s="92" customFormat="1">
      <c r="A122" s="256"/>
      <c r="B122" s="391"/>
      <c r="C122" s="391"/>
      <c r="D122" s="401"/>
      <c r="E122" s="391"/>
      <c r="F122" s="417"/>
      <c r="G122" s="417"/>
      <c r="H122" s="417"/>
      <c r="I122" s="417"/>
      <c r="J122" s="418"/>
      <c r="K122" s="298"/>
      <c r="L122" s="447">
        <f t="shared" si="19"/>
        <v>0</v>
      </c>
      <c r="M122" s="447">
        <f t="shared" si="16"/>
        <v>0</v>
      </c>
      <c r="N122" s="298"/>
      <c r="O122" s="298"/>
      <c r="P122" s="298"/>
      <c r="Q122" s="298"/>
      <c r="R122" s="298"/>
      <c r="S122" s="298"/>
    </row>
    <row r="123" spans="1:19" s="92" customFormat="1">
      <c r="A123" s="256"/>
      <c r="B123" s="287" t="s">
        <v>3317</v>
      </c>
      <c r="C123" s="287"/>
      <c r="D123" s="399" t="s">
        <v>3318</v>
      </c>
      <c r="E123" s="413"/>
      <c r="F123" s="413"/>
      <c r="G123" s="461"/>
      <c r="H123" s="413"/>
      <c r="I123" s="461"/>
      <c r="J123" s="414"/>
      <c r="K123" s="298"/>
      <c r="L123" s="447">
        <f t="shared" si="19"/>
        <v>0</v>
      </c>
      <c r="M123" s="447">
        <f t="shared" si="16"/>
        <v>0</v>
      </c>
      <c r="N123" s="298"/>
      <c r="O123" s="298"/>
      <c r="P123" s="298"/>
      <c r="Q123" s="298"/>
      <c r="R123" s="298"/>
      <c r="S123" s="298"/>
    </row>
    <row r="124" spans="1:19" s="92" customFormat="1">
      <c r="A124" s="256"/>
      <c r="B124" s="287" t="s">
        <v>3319</v>
      </c>
      <c r="C124" s="287"/>
      <c r="D124" s="400" t="s">
        <v>3288</v>
      </c>
      <c r="E124" s="415"/>
      <c r="F124" s="415"/>
      <c r="G124" s="462"/>
      <c r="H124" s="415"/>
      <c r="I124" s="462"/>
      <c r="J124" s="416"/>
      <c r="K124" s="298"/>
      <c r="L124" s="447">
        <f t="shared" si="19"/>
        <v>0</v>
      </c>
      <c r="M124" s="447">
        <f t="shared" si="16"/>
        <v>0</v>
      </c>
      <c r="N124" s="298"/>
      <c r="O124" s="298"/>
      <c r="P124" s="298"/>
      <c r="Q124" s="298"/>
      <c r="R124" s="298"/>
      <c r="S124" s="298"/>
    </row>
    <row r="125" spans="1:19" s="92" customFormat="1" ht="25.5">
      <c r="A125" s="256" t="s">
        <v>3259</v>
      </c>
      <c r="B125" s="288" t="s">
        <v>3320</v>
      </c>
      <c r="C125" s="288">
        <v>98557</v>
      </c>
      <c r="D125" s="289" t="s">
        <v>4088</v>
      </c>
      <c r="E125" s="290" t="s">
        <v>193</v>
      </c>
      <c r="F125" s="292">
        <v>18.72</v>
      </c>
      <c r="G125" s="510" t="s">
        <v>22567</v>
      </c>
      <c r="H125" s="508">
        <v>0.2094</v>
      </c>
      <c r="I125" s="510">
        <v>44.288227999999997</v>
      </c>
      <c r="J125" s="509">
        <v>829.07562815999984</v>
      </c>
      <c r="K125" s="298"/>
      <c r="L125" s="447">
        <f t="shared" si="19"/>
        <v>829.07562815999984</v>
      </c>
      <c r="M125" s="447">
        <f t="shared" si="16"/>
        <v>0</v>
      </c>
      <c r="N125" s="298"/>
      <c r="O125" s="298"/>
      <c r="P125" s="298"/>
      <c r="Q125" s="298"/>
      <c r="R125" s="298"/>
      <c r="S125" s="298"/>
    </row>
    <row r="126" spans="1:19" s="92" customFormat="1">
      <c r="A126" s="256"/>
      <c r="B126" s="391"/>
      <c r="C126" s="391"/>
      <c r="D126" s="401"/>
      <c r="E126" s="391"/>
      <c r="F126" s="417"/>
      <c r="G126" s="417"/>
      <c r="H126" s="417"/>
      <c r="I126" s="417"/>
      <c r="J126" s="418"/>
      <c r="K126" s="298"/>
      <c r="L126" s="447">
        <f t="shared" si="19"/>
        <v>0</v>
      </c>
      <c r="M126" s="447">
        <f t="shared" si="16"/>
        <v>0</v>
      </c>
      <c r="N126" s="298"/>
      <c r="O126" s="298"/>
      <c r="P126" s="298"/>
      <c r="Q126" s="298"/>
      <c r="R126" s="298"/>
      <c r="S126" s="298"/>
    </row>
    <row r="127" spans="1:19" s="92" customFormat="1">
      <c r="A127" s="256"/>
      <c r="B127" s="391"/>
      <c r="C127" s="391"/>
      <c r="D127" s="401"/>
      <c r="E127" s="391"/>
      <c r="F127" s="417"/>
      <c r="G127" s="417"/>
      <c r="H127" s="417"/>
      <c r="I127" s="417"/>
      <c r="J127" s="418"/>
      <c r="K127" s="298"/>
      <c r="L127" s="447">
        <f t="shared" si="19"/>
        <v>0</v>
      </c>
      <c r="M127" s="447">
        <f t="shared" ref="M127:M165" si="20">L127-J127</f>
        <v>0</v>
      </c>
      <c r="N127" s="298"/>
      <c r="O127" s="298"/>
      <c r="P127" s="298"/>
      <c r="Q127" s="298"/>
      <c r="R127" s="298"/>
      <c r="S127" s="298"/>
    </row>
    <row r="128" spans="1:19" s="92" customFormat="1">
      <c r="A128" s="256"/>
      <c r="B128" s="392"/>
      <c r="C128" s="393"/>
      <c r="D128" s="402"/>
      <c r="E128" s="393"/>
      <c r="F128" s="393"/>
      <c r="G128" s="460" t="s">
        <v>69</v>
      </c>
      <c r="H128" s="419"/>
      <c r="I128" s="460"/>
      <c r="J128" s="420">
        <v>17022.775093780001</v>
      </c>
      <c r="K128" s="447"/>
      <c r="L128" s="447">
        <f t="shared" ref="L128:L182" si="21">I128*F128</f>
        <v>0</v>
      </c>
      <c r="M128" s="447"/>
      <c r="N128" s="298"/>
      <c r="O128" s="298"/>
      <c r="P128" s="298"/>
      <c r="Q128" s="298"/>
      <c r="R128" s="298"/>
      <c r="S128" s="298"/>
    </row>
    <row r="129" spans="1:19" s="92" customFormat="1">
      <c r="A129" s="256"/>
      <c r="B129" s="391"/>
      <c r="C129" s="391"/>
      <c r="D129" s="401"/>
      <c r="E129" s="391"/>
      <c r="F129" s="417"/>
      <c r="G129" s="417"/>
      <c r="H129" s="417"/>
      <c r="I129" s="417"/>
      <c r="J129" s="418"/>
      <c r="K129" s="298"/>
      <c r="L129" s="447">
        <f t="shared" si="21"/>
        <v>0</v>
      </c>
      <c r="M129" s="447">
        <f t="shared" si="20"/>
        <v>0</v>
      </c>
      <c r="N129" s="298"/>
      <c r="O129" s="298"/>
      <c r="P129" s="298"/>
      <c r="Q129" s="298"/>
      <c r="R129" s="298"/>
      <c r="S129" s="298"/>
    </row>
    <row r="130" spans="1:19" s="92" customFormat="1">
      <c r="A130" s="256"/>
      <c r="B130" s="287" t="s">
        <v>181</v>
      </c>
      <c r="C130" s="287"/>
      <c r="D130" s="399" t="s">
        <v>182</v>
      </c>
      <c r="E130" s="413"/>
      <c r="F130" s="413"/>
      <c r="G130" s="461"/>
      <c r="H130" s="413"/>
      <c r="I130" s="461"/>
      <c r="J130" s="414"/>
      <c r="K130" s="298"/>
      <c r="L130" s="447">
        <f t="shared" si="21"/>
        <v>0</v>
      </c>
      <c r="M130" s="447">
        <f t="shared" si="20"/>
        <v>0</v>
      </c>
      <c r="N130" s="298"/>
      <c r="O130" s="298"/>
      <c r="P130" s="298"/>
      <c r="Q130" s="298"/>
      <c r="R130" s="298"/>
      <c r="S130" s="298"/>
    </row>
    <row r="131" spans="1:19" s="92" customFormat="1">
      <c r="A131" s="256"/>
      <c r="B131" s="287" t="s">
        <v>194</v>
      </c>
      <c r="C131" s="287"/>
      <c r="D131" s="400" t="s">
        <v>195</v>
      </c>
      <c r="E131" s="415"/>
      <c r="F131" s="415"/>
      <c r="G131" s="462"/>
      <c r="H131" s="415"/>
      <c r="I131" s="462"/>
      <c r="J131" s="416"/>
      <c r="K131" s="298"/>
      <c r="L131" s="447">
        <f t="shared" si="21"/>
        <v>0</v>
      </c>
      <c r="M131" s="447">
        <f t="shared" si="20"/>
        <v>0</v>
      </c>
      <c r="N131" s="298"/>
      <c r="O131" s="298"/>
      <c r="P131" s="298"/>
      <c r="Q131" s="298"/>
      <c r="R131" s="298"/>
      <c r="S131" s="298"/>
    </row>
    <row r="132" spans="1:19" s="92" customFormat="1">
      <c r="A132" s="256"/>
      <c r="B132" s="287" t="s">
        <v>15605</v>
      </c>
      <c r="C132" s="287"/>
      <c r="D132" s="400" t="s">
        <v>15606</v>
      </c>
      <c r="E132" s="415"/>
      <c r="F132" s="415"/>
      <c r="G132" s="462"/>
      <c r="H132" s="415"/>
      <c r="I132" s="462"/>
      <c r="J132" s="416"/>
      <c r="K132" s="298"/>
      <c r="L132" s="447">
        <f t="shared" si="21"/>
        <v>0</v>
      </c>
      <c r="M132" s="447">
        <f t="shared" si="20"/>
        <v>0</v>
      </c>
      <c r="N132" s="298"/>
      <c r="O132" s="298"/>
      <c r="P132" s="298"/>
      <c r="Q132" s="298"/>
      <c r="R132" s="298"/>
      <c r="S132" s="298"/>
    </row>
    <row r="133" spans="1:19" s="140" customFormat="1" ht="63.75">
      <c r="A133" s="256" t="s">
        <v>3260</v>
      </c>
      <c r="B133" s="285" t="s">
        <v>15607</v>
      </c>
      <c r="C133" s="285" t="s">
        <v>15437</v>
      </c>
      <c r="D133" s="289" t="s">
        <v>24585</v>
      </c>
      <c r="E133" s="290" t="s">
        <v>3240</v>
      </c>
      <c r="F133" s="292">
        <v>2</v>
      </c>
      <c r="G133" s="510">
        <v>6111.9500000000007</v>
      </c>
      <c r="H133" s="508">
        <v>0.2094</v>
      </c>
      <c r="I133" s="510">
        <v>7391.7923300000011</v>
      </c>
      <c r="J133" s="509">
        <v>14783.584660000002</v>
      </c>
      <c r="K133" s="409"/>
      <c r="L133" s="447">
        <f t="shared" si="21"/>
        <v>14783.584660000002</v>
      </c>
      <c r="M133" s="447">
        <f t="shared" si="20"/>
        <v>0</v>
      </c>
      <c r="N133" s="409"/>
      <c r="O133" s="409"/>
      <c r="P133" s="409"/>
      <c r="Q133" s="409"/>
      <c r="R133" s="409"/>
      <c r="S133" s="409"/>
    </row>
    <row r="134" spans="1:19" s="140" customFormat="1" ht="63.75">
      <c r="A134" s="256" t="s">
        <v>3260</v>
      </c>
      <c r="B134" s="285" t="s">
        <v>15608</v>
      </c>
      <c r="C134" s="285" t="s">
        <v>15439</v>
      </c>
      <c r="D134" s="289" t="s">
        <v>24586</v>
      </c>
      <c r="E134" s="290" t="s">
        <v>3240</v>
      </c>
      <c r="F134" s="755">
        <v>1</v>
      </c>
      <c r="G134" s="510">
        <v>2954.09</v>
      </c>
      <c r="H134" s="508">
        <v>0.2094</v>
      </c>
      <c r="I134" s="510">
        <v>3572.6764460000004</v>
      </c>
      <c r="J134" s="509">
        <v>3572.6764460000004</v>
      </c>
      <c r="K134" s="409"/>
      <c r="L134" s="447">
        <f t="shared" si="21"/>
        <v>3572.6764460000004</v>
      </c>
      <c r="M134" s="447">
        <f t="shared" si="20"/>
        <v>0</v>
      </c>
      <c r="N134" s="409"/>
      <c r="O134" s="409"/>
      <c r="P134" s="409"/>
      <c r="Q134" s="409"/>
      <c r="R134" s="409"/>
      <c r="S134" s="409"/>
    </row>
    <row r="135" spans="1:19" s="92" customFormat="1">
      <c r="A135" s="256"/>
      <c r="B135" s="391"/>
      <c r="C135" s="391"/>
      <c r="D135" s="401"/>
      <c r="E135" s="391"/>
      <c r="F135" s="417"/>
      <c r="G135" s="417"/>
      <c r="H135" s="417"/>
      <c r="I135" s="417"/>
      <c r="J135" s="418"/>
      <c r="K135" s="298"/>
      <c r="L135" s="447">
        <f t="shared" si="21"/>
        <v>0</v>
      </c>
      <c r="M135" s="447">
        <f t="shared" si="20"/>
        <v>0</v>
      </c>
      <c r="N135" s="298"/>
      <c r="O135" s="298"/>
      <c r="P135" s="298"/>
      <c r="Q135" s="298"/>
      <c r="R135" s="298"/>
      <c r="S135" s="298"/>
    </row>
    <row r="136" spans="1:19" s="92" customFormat="1">
      <c r="A136" s="256"/>
      <c r="B136" s="287" t="s">
        <v>15639</v>
      </c>
      <c r="C136" s="287"/>
      <c r="D136" s="400" t="s">
        <v>17442</v>
      </c>
      <c r="E136" s="415"/>
      <c r="F136" s="415"/>
      <c r="G136" s="462"/>
      <c r="H136" s="415"/>
      <c r="I136" s="462"/>
      <c r="J136" s="416"/>
      <c r="K136" s="298"/>
      <c r="L136" s="447">
        <f t="shared" si="21"/>
        <v>0</v>
      </c>
      <c r="M136" s="447">
        <f t="shared" si="20"/>
        <v>0</v>
      </c>
      <c r="N136" s="298"/>
      <c r="O136" s="298"/>
      <c r="P136" s="298"/>
      <c r="Q136" s="298"/>
      <c r="R136" s="298"/>
      <c r="S136" s="298"/>
    </row>
    <row r="137" spans="1:19" s="92" customFormat="1">
      <c r="A137" s="256"/>
      <c r="B137" s="287" t="s">
        <v>15641</v>
      </c>
      <c r="C137" s="287"/>
      <c r="D137" s="400" t="s">
        <v>17443</v>
      </c>
      <c r="E137" s="415"/>
      <c r="F137" s="415"/>
      <c r="G137" s="462"/>
      <c r="H137" s="415"/>
      <c r="I137" s="462"/>
      <c r="J137" s="416"/>
      <c r="K137" s="298"/>
      <c r="L137" s="447">
        <f t="shared" si="21"/>
        <v>0</v>
      </c>
      <c r="M137" s="447">
        <f t="shared" si="20"/>
        <v>0</v>
      </c>
      <c r="N137" s="298"/>
      <c r="O137" s="298"/>
      <c r="P137" s="298"/>
      <c r="Q137" s="298"/>
      <c r="R137" s="298"/>
      <c r="S137" s="298"/>
    </row>
    <row r="138" spans="1:19" s="140" customFormat="1" ht="51">
      <c r="A138" s="394" t="s">
        <v>3259</v>
      </c>
      <c r="B138" s="285" t="s">
        <v>15642</v>
      </c>
      <c r="C138" s="285">
        <v>97084</v>
      </c>
      <c r="D138" s="289" t="s">
        <v>3422</v>
      </c>
      <c r="E138" s="290" t="s">
        <v>193</v>
      </c>
      <c r="F138" s="755">
        <v>375.56</v>
      </c>
      <c r="G138" s="510" t="s">
        <v>12166</v>
      </c>
      <c r="H138" s="508">
        <v>0.2094</v>
      </c>
      <c r="I138" s="510">
        <v>0.70145199999999996</v>
      </c>
      <c r="J138" s="509">
        <v>263.43731312</v>
      </c>
      <c r="K138" s="409"/>
      <c r="L138" s="447">
        <f t="shared" si="21"/>
        <v>263.43731312</v>
      </c>
      <c r="M138" s="447">
        <f t="shared" si="20"/>
        <v>0</v>
      </c>
      <c r="N138" s="409"/>
      <c r="O138" s="409"/>
      <c r="P138" s="409"/>
      <c r="Q138" s="409"/>
      <c r="R138" s="409"/>
      <c r="S138" s="409"/>
    </row>
    <row r="139" spans="1:19" s="140" customFormat="1" ht="25.5">
      <c r="A139" s="394" t="s">
        <v>3259</v>
      </c>
      <c r="B139" s="285" t="s">
        <v>15643</v>
      </c>
      <c r="C139" s="285">
        <v>97087</v>
      </c>
      <c r="D139" s="289" t="s">
        <v>12806</v>
      </c>
      <c r="E139" s="290" t="s">
        <v>193</v>
      </c>
      <c r="F139" s="755">
        <v>375.56</v>
      </c>
      <c r="G139" s="510" t="s">
        <v>11077</v>
      </c>
      <c r="H139" s="508">
        <v>0.2094</v>
      </c>
      <c r="I139" s="510">
        <v>1.9350400000000001</v>
      </c>
      <c r="J139" s="509">
        <v>726.72362240000007</v>
      </c>
      <c r="K139" s="409"/>
      <c r="L139" s="447">
        <f t="shared" si="21"/>
        <v>726.72362240000007</v>
      </c>
      <c r="M139" s="447">
        <f t="shared" si="20"/>
        <v>0</v>
      </c>
      <c r="N139" s="409"/>
      <c r="O139" s="409"/>
      <c r="P139" s="409"/>
      <c r="Q139" s="409"/>
      <c r="R139" s="409"/>
      <c r="S139" s="409"/>
    </row>
    <row r="140" spans="1:19" s="140" customFormat="1" ht="51">
      <c r="A140" s="394" t="s">
        <v>3259</v>
      </c>
      <c r="B140" s="285" t="s">
        <v>15644</v>
      </c>
      <c r="C140" s="285">
        <v>94990</v>
      </c>
      <c r="D140" s="289" t="s">
        <v>2753</v>
      </c>
      <c r="E140" s="290" t="s">
        <v>209</v>
      </c>
      <c r="F140" s="755">
        <v>26.289200000000001</v>
      </c>
      <c r="G140" s="510" t="s">
        <v>24064</v>
      </c>
      <c r="H140" s="508">
        <v>0.2094</v>
      </c>
      <c r="I140" s="510">
        <v>798.7361360000001</v>
      </c>
      <c r="J140" s="509">
        <v>20998.134026531203</v>
      </c>
      <c r="K140" s="409"/>
      <c r="L140" s="447">
        <f t="shared" si="21"/>
        <v>20998.134026531203</v>
      </c>
      <c r="M140" s="447">
        <f t="shared" si="20"/>
        <v>0</v>
      </c>
      <c r="N140" s="409"/>
      <c r="O140" s="409"/>
      <c r="P140" s="409"/>
      <c r="Q140" s="409"/>
      <c r="R140" s="409"/>
      <c r="S140" s="409"/>
    </row>
    <row r="141" spans="1:19" s="140" customFormat="1" ht="25.5">
      <c r="A141" s="394" t="s">
        <v>3260</v>
      </c>
      <c r="B141" s="285" t="s">
        <v>15645</v>
      </c>
      <c r="C141" s="285" t="s">
        <v>15440</v>
      </c>
      <c r="D141" s="289" t="s">
        <v>17444</v>
      </c>
      <c r="E141" s="290" t="s">
        <v>193</v>
      </c>
      <c r="F141" s="755">
        <v>375.56</v>
      </c>
      <c r="G141" s="510">
        <v>5.3100000000000005</v>
      </c>
      <c r="H141" s="508">
        <v>0.2094</v>
      </c>
      <c r="I141" s="510">
        <v>6.421914000000001</v>
      </c>
      <c r="J141" s="509">
        <v>2411.8140218400004</v>
      </c>
      <c r="K141" s="409"/>
      <c r="L141" s="447">
        <f t="shared" si="21"/>
        <v>2411.8140218400004</v>
      </c>
      <c r="M141" s="447">
        <f t="shared" si="20"/>
        <v>0</v>
      </c>
      <c r="N141" s="409"/>
      <c r="O141" s="409"/>
      <c r="P141" s="409"/>
      <c r="Q141" s="409"/>
      <c r="R141" s="409"/>
      <c r="S141" s="409"/>
    </row>
    <row r="142" spans="1:19" s="140" customFormat="1" ht="51">
      <c r="A142" s="394" t="s">
        <v>3260</v>
      </c>
      <c r="B142" s="285" t="s">
        <v>15646</v>
      </c>
      <c r="C142" s="285" t="s">
        <v>15442</v>
      </c>
      <c r="D142" s="289" t="s">
        <v>15565</v>
      </c>
      <c r="E142" s="290" t="s">
        <v>5</v>
      </c>
      <c r="F142" s="755">
        <v>215</v>
      </c>
      <c r="G142" s="510">
        <v>8.2200000000000006</v>
      </c>
      <c r="H142" s="508">
        <v>0.2094</v>
      </c>
      <c r="I142" s="510">
        <v>9.9412680000000009</v>
      </c>
      <c r="J142" s="509">
        <v>2137.3726200000001</v>
      </c>
      <c r="K142" s="409"/>
      <c r="L142" s="447">
        <f t="shared" si="21"/>
        <v>2137.3726200000001</v>
      </c>
      <c r="M142" s="447">
        <f t="shared" si="20"/>
        <v>0</v>
      </c>
      <c r="N142" s="409"/>
      <c r="O142" s="409"/>
      <c r="P142" s="409"/>
      <c r="Q142" s="409"/>
      <c r="R142" s="409"/>
      <c r="S142" s="409"/>
    </row>
    <row r="143" spans="1:19" s="140" customFormat="1" ht="25.5">
      <c r="A143" s="394" t="s">
        <v>3259</v>
      </c>
      <c r="B143" s="285" t="s">
        <v>24587</v>
      </c>
      <c r="C143" s="285">
        <v>101094</v>
      </c>
      <c r="D143" s="289" t="s">
        <v>11022</v>
      </c>
      <c r="E143" s="290" t="s">
        <v>5</v>
      </c>
      <c r="F143" s="755">
        <v>12.31</v>
      </c>
      <c r="G143" s="510" t="s">
        <v>24056</v>
      </c>
      <c r="H143" s="508">
        <v>0.2094</v>
      </c>
      <c r="I143" s="510">
        <v>212.709272</v>
      </c>
      <c r="J143" s="509">
        <v>2618.4511383200002</v>
      </c>
      <c r="K143" s="409"/>
      <c r="L143" s="447">
        <f t="shared" si="21"/>
        <v>2618.4511383200002</v>
      </c>
      <c r="M143" s="447">
        <f t="shared" si="20"/>
        <v>0</v>
      </c>
      <c r="N143" s="409"/>
      <c r="O143" s="409"/>
      <c r="P143" s="409"/>
      <c r="Q143" s="409"/>
      <c r="R143" s="409"/>
      <c r="S143" s="409"/>
    </row>
    <row r="144" spans="1:19" s="92" customFormat="1">
      <c r="A144" s="256"/>
      <c r="B144" s="391"/>
      <c r="C144" s="391"/>
      <c r="D144" s="401"/>
      <c r="E144" s="391"/>
      <c r="F144" s="417"/>
      <c r="G144" s="417"/>
      <c r="H144" s="417"/>
      <c r="I144" s="417"/>
      <c r="J144" s="418"/>
      <c r="K144" s="298"/>
      <c r="L144" s="447">
        <f t="shared" si="21"/>
        <v>0</v>
      </c>
      <c r="M144" s="447">
        <f t="shared" si="20"/>
        <v>0</v>
      </c>
      <c r="N144" s="298"/>
      <c r="O144" s="298"/>
      <c r="P144" s="298"/>
      <c r="Q144" s="298"/>
      <c r="R144" s="298"/>
      <c r="S144" s="298"/>
    </row>
    <row r="145" spans="1:19" s="92" customFormat="1">
      <c r="A145" s="256"/>
      <c r="B145" s="287" t="s">
        <v>15669</v>
      </c>
      <c r="C145" s="287"/>
      <c r="D145" s="400" t="s">
        <v>15670</v>
      </c>
      <c r="E145" s="415"/>
      <c r="F145" s="415"/>
      <c r="G145" s="462"/>
      <c r="H145" s="415"/>
      <c r="I145" s="462"/>
      <c r="J145" s="416"/>
      <c r="K145" s="298"/>
      <c r="L145" s="447">
        <f t="shared" si="21"/>
        <v>0</v>
      </c>
      <c r="M145" s="447">
        <f t="shared" si="20"/>
        <v>0</v>
      </c>
      <c r="N145" s="298"/>
      <c r="O145" s="298"/>
      <c r="P145" s="298"/>
      <c r="Q145" s="298"/>
      <c r="R145" s="298"/>
      <c r="S145" s="298"/>
    </row>
    <row r="146" spans="1:19" s="92" customFormat="1">
      <c r="A146" s="256"/>
      <c r="B146" s="287" t="s">
        <v>17448</v>
      </c>
      <c r="C146" s="287"/>
      <c r="D146" s="400" t="s">
        <v>17449</v>
      </c>
      <c r="E146" s="415"/>
      <c r="F146" s="415"/>
      <c r="G146" s="462"/>
      <c r="H146" s="415"/>
      <c r="I146" s="462"/>
      <c r="J146" s="416"/>
      <c r="K146" s="298"/>
      <c r="L146" s="447">
        <f t="shared" si="21"/>
        <v>0</v>
      </c>
      <c r="M146" s="447">
        <f t="shared" si="20"/>
        <v>0</v>
      </c>
      <c r="N146" s="298"/>
      <c r="O146" s="298"/>
      <c r="P146" s="298"/>
      <c r="Q146" s="298"/>
      <c r="R146" s="298"/>
      <c r="S146" s="298"/>
    </row>
    <row r="147" spans="1:19" s="140" customFormat="1" ht="38.25">
      <c r="A147" s="394" t="s">
        <v>3259</v>
      </c>
      <c r="B147" s="285" t="s">
        <v>17450</v>
      </c>
      <c r="C147" s="285">
        <v>88493</v>
      </c>
      <c r="D147" s="289" t="s">
        <v>2711</v>
      </c>
      <c r="E147" s="290" t="s">
        <v>193</v>
      </c>
      <c r="F147" s="755">
        <v>332.25</v>
      </c>
      <c r="G147" s="510" t="s">
        <v>10546</v>
      </c>
      <c r="H147" s="508">
        <v>0.2094</v>
      </c>
      <c r="I147" s="510">
        <v>10.908787999999999</v>
      </c>
      <c r="J147" s="509">
        <v>3624.4448129999996</v>
      </c>
      <c r="K147" s="409"/>
      <c r="L147" s="447">
        <f t="shared" si="21"/>
        <v>3624.4448129999996</v>
      </c>
      <c r="M147" s="447">
        <f t="shared" si="20"/>
        <v>0</v>
      </c>
      <c r="N147" s="409"/>
      <c r="O147" s="409"/>
      <c r="P147" s="409"/>
      <c r="Q147" s="409"/>
      <c r="R147" s="409"/>
      <c r="S147" s="409"/>
    </row>
    <row r="148" spans="1:19" s="92" customFormat="1">
      <c r="A148" s="256"/>
      <c r="B148" s="287" t="s">
        <v>17452</v>
      </c>
      <c r="C148" s="287"/>
      <c r="D148" s="400" t="s">
        <v>17451</v>
      </c>
      <c r="E148" s="415"/>
      <c r="F148" s="415"/>
      <c r="G148" s="462"/>
      <c r="H148" s="415"/>
      <c r="I148" s="462"/>
      <c r="J148" s="416"/>
      <c r="K148" s="298"/>
      <c r="L148" s="447">
        <f t="shared" si="21"/>
        <v>0</v>
      </c>
      <c r="M148" s="447">
        <f t="shared" si="20"/>
        <v>0</v>
      </c>
      <c r="N148" s="298"/>
      <c r="O148" s="298"/>
      <c r="P148" s="298"/>
      <c r="Q148" s="298"/>
      <c r="R148" s="298"/>
      <c r="S148" s="298"/>
    </row>
    <row r="149" spans="1:19" s="140" customFormat="1" ht="63.75">
      <c r="A149" s="394" t="s">
        <v>3259</v>
      </c>
      <c r="B149" s="285" t="s">
        <v>17453</v>
      </c>
      <c r="C149" s="285">
        <v>100721</v>
      </c>
      <c r="D149" s="289" t="s">
        <v>23989</v>
      </c>
      <c r="E149" s="290" t="s">
        <v>193</v>
      </c>
      <c r="F149" s="755">
        <v>146.76</v>
      </c>
      <c r="G149" s="510" t="s">
        <v>12354</v>
      </c>
      <c r="H149" s="508">
        <v>0.2094</v>
      </c>
      <c r="I149" s="510">
        <v>24.381504</v>
      </c>
      <c r="J149" s="509">
        <v>3578.2295270399995</v>
      </c>
      <c r="K149" s="409"/>
      <c r="L149" s="447">
        <f t="shared" si="21"/>
        <v>3578.2295270399995</v>
      </c>
      <c r="M149" s="447">
        <f t="shared" si="20"/>
        <v>0</v>
      </c>
      <c r="N149" s="409"/>
      <c r="O149" s="409"/>
      <c r="P149" s="409"/>
      <c r="Q149" s="409"/>
      <c r="R149" s="409"/>
      <c r="S149" s="409"/>
    </row>
    <row r="150" spans="1:19" s="140" customFormat="1" ht="76.5">
      <c r="A150" s="394" t="s">
        <v>3259</v>
      </c>
      <c r="B150" s="285" t="s">
        <v>17454</v>
      </c>
      <c r="C150" s="285">
        <v>100745</v>
      </c>
      <c r="D150" s="289" t="s">
        <v>23999</v>
      </c>
      <c r="E150" s="290" t="s">
        <v>193</v>
      </c>
      <c r="F150" s="755">
        <v>146.76</v>
      </c>
      <c r="G150" s="510" t="s">
        <v>10491</v>
      </c>
      <c r="H150" s="508">
        <v>0.2094</v>
      </c>
      <c r="I150" s="510">
        <v>23.813086000000002</v>
      </c>
      <c r="J150" s="509">
        <v>3494.8085013600003</v>
      </c>
      <c r="K150" s="409"/>
      <c r="L150" s="447">
        <f t="shared" si="21"/>
        <v>3494.8085013600003</v>
      </c>
      <c r="M150" s="447">
        <f t="shared" si="20"/>
        <v>0</v>
      </c>
      <c r="N150" s="409"/>
      <c r="O150" s="409"/>
      <c r="P150" s="409"/>
      <c r="Q150" s="409"/>
      <c r="R150" s="409"/>
      <c r="S150" s="409"/>
    </row>
    <row r="151" spans="1:19" s="92" customFormat="1">
      <c r="A151" s="256"/>
      <c r="B151" s="287" t="s">
        <v>17455</v>
      </c>
      <c r="C151" s="287"/>
      <c r="D151" s="400" t="s">
        <v>17456</v>
      </c>
      <c r="E151" s="415"/>
      <c r="F151" s="415"/>
      <c r="G151" s="462"/>
      <c r="H151" s="415"/>
      <c r="I151" s="462"/>
      <c r="J151" s="416"/>
      <c r="K151" s="298"/>
      <c r="L151" s="447">
        <f t="shared" si="21"/>
        <v>0</v>
      </c>
      <c r="M151" s="447">
        <f t="shared" si="20"/>
        <v>0</v>
      </c>
      <c r="N151" s="298"/>
      <c r="O151" s="298"/>
      <c r="P151" s="298"/>
      <c r="Q151" s="298"/>
      <c r="R151" s="298"/>
      <c r="S151" s="298"/>
    </row>
    <row r="152" spans="1:19" s="140" customFormat="1" ht="25.5">
      <c r="A152" s="394" t="s">
        <v>3260</v>
      </c>
      <c r="B152" s="285" t="s">
        <v>17457</v>
      </c>
      <c r="C152" s="285" t="s">
        <v>15441</v>
      </c>
      <c r="D152" s="289" t="s">
        <v>17445</v>
      </c>
      <c r="E152" s="290" t="s">
        <v>193</v>
      </c>
      <c r="F152" s="755">
        <v>375.56</v>
      </c>
      <c r="G152" s="510">
        <v>10.09</v>
      </c>
      <c r="H152" s="508">
        <v>0.2094</v>
      </c>
      <c r="I152" s="510">
        <v>12.202846000000001</v>
      </c>
      <c r="J152" s="509">
        <v>4582.9008437600005</v>
      </c>
      <c r="K152" s="409"/>
      <c r="L152" s="447">
        <f>I152*F152</f>
        <v>4582.9008437600005</v>
      </c>
      <c r="M152" s="447">
        <f>L152-J152</f>
        <v>0</v>
      </c>
      <c r="N152" s="409"/>
      <c r="O152" s="409"/>
      <c r="P152" s="409"/>
      <c r="Q152" s="409"/>
      <c r="R152" s="409"/>
      <c r="S152" s="409"/>
    </row>
    <row r="153" spans="1:19" s="92" customFormat="1">
      <c r="A153" s="256"/>
      <c r="B153" s="391"/>
      <c r="C153" s="391"/>
      <c r="D153" s="401"/>
      <c r="E153" s="391"/>
      <c r="F153" s="417"/>
      <c r="G153" s="417"/>
      <c r="H153" s="417"/>
      <c r="I153" s="417"/>
      <c r="J153" s="418"/>
      <c r="K153" s="298"/>
      <c r="L153" s="447">
        <f t="shared" ref="L153:L155" si="22">I153*F153</f>
        <v>0</v>
      </c>
      <c r="M153" s="447">
        <f t="shared" ref="M153:M155" si="23">L153-J153</f>
        <v>0</v>
      </c>
      <c r="N153" s="298"/>
      <c r="O153" s="298"/>
      <c r="P153" s="298"/>
      <c r="Q153" s="298"/>
      <c r="R153" s="298"/>
      <c r="S153" s="298"/>
    </row>
    <row r="154" spans="1:19" s="92" customFormat="1">
      <c r="A154" s="256"/>
      <c r="B154" s="287" t="s">
        <v>15671</v>
      </c>
      <c r="C154" s="287"/>
      <c r="D154" s="400" t="s">
        <v>15055</v>
      </c>
      <c r="E154" s="415"/>
      <c r="F154" s="415"/>
      <c r="G154" s="462"/>
      <c r="H154" s="415"/>
      <c r="I154" s="462"/>
      <c r="J154" s="416"/>
      <c r="K154" s="298"/>
      <c r="L154" s="447">
        <f t="shared" si="22"/>
        <v>0</v>
      </c>
      <c r="M154" s="447">
        <f t="shared" si="23"/>
        <v>0</v>
      </c>
      <c r="N154" s="298"/>
      <c r="O154" s="298"/>
      <c r="P154" s="298"/>
      <c r="Q154" s="298"/>
      <c r="R154" s="298"/>
      <c r="S154" s="298"/>
    </row>
    <row r="155" spans="1:19" s="140" customFormat="1" ht="63.75">
      <c r="A155" s="394" t="s">
        <v>3260</v>
      </c>
      <c r="B155" s="285" t="s">
        <v>15672</v>
      </c>
      <c r="C155" s="285" t="s">
        <v>24694</v>
      </c>
      <c r="D155" s="289" t="s">
        <v>17467</v>
      </c>
      <c r="E155" s="290" t="s">
        <v>3240</v>
      </c>
      <c r="F155" s="755">
        <v>2</v>
      </c>
      <c r="G155" s="510">
        <v>801.59999999999991</v>
      </c>
      <c r="H155" s="508">
        <v>0.2094</v>
      </c>
      <c r="I155" s="510">
        <v>969.45503999999994</v>
      </c>
      <c r="J155" s="509">
        <v>1938.9100799999999</v>
      </c>
      <c r="K155" s="409"/>
      <c r="L155" s="447">
        <f t="shared" si="22"/>
        <v>1938.9100799999999</v>
      </c>
      <c r="M155" s="447">
        <f t="shared" si="23"/>
        <v>0</v>
      </c>
      <c r="N155" s="256"/>
      <c r="O155" s="256"/>
      <c r="P155" s="256"/>
      <c r="Q155" s="256"/>
      <c r="R155" s="256"/>
      <c r="S155" s="256"/>
    </row>
    <row r="156" spans="1:19" s="92" customFormat="1">
      <c r="A156" s="256"/>
      <c r="B156" s="391"/>
      <c r="C156" s="391"/>
      <c r="D156" s="401"/>
      <c r="E156" s="391"/>
      <c r="F156" s="417"/>
      <c r="G156" s="417"/>
      <c r="H156" s="417"/>
      <c r="I156" s="417"/>
      <c r="J156" s="418"/>
      <c r="K156" s="298"/>
      <c r="L156" s="447">
        <f t="shared" si="21"/>
        <v>0</v>
      </c>
      <c r="M156" s="447">
        <f t="shared" si="20"/>
        <v>0</v>
      </c>
      <c r="N156" s="298"/>
      <c r="O156" s="298"/>
      <c r="P156" s="298"/>
      <c r="Q156" s="298"/>
      <c r="R156" s="298"/>
      <c r="S156" s="298"/>
    </row>
    <row r="157" spans="1:19" s="92" customFormat="1">
      <c r="A157" s="256"/>
      <c r="B157" s="287" t="s">
        <v>15705</v>
      </c>
      <c r="C157" s="287"/>
      <c r="D157" s="400" t="s">
        <v>15706</v>
      </c>
      <c r="E157" s="415"/>
      <c r="F157" s="415"/>
      <c r="G157" s="462"/>
      <c r="H157" s="415"/>
      <c r="I157" s="462"/>
      <c r="J157" s="416"/>
      <c r="K157" s="298"/>
      <c r="L157" s="447">
        <f t="shared" si="21"/>
        <v>0</v>
      </c>
      <c r="M157" s="447">
        <f t="shared" si="20"/>
        <v>0</v>
      </c>
      <c r="N157" s="256"/>
      <c r="O157" s="256"/>
      <c r="P157" s="256"/>
      <c r="Q157" s="256"/>
      <c r="R157" s="256"/>
      <c r="S157" s="256"/>
    </row>
    <row r="158" spans="1:19" s="140" customFormat="1" ht="76.5">
      <c r="A158" s="394" t="s">
        <v>3260</v>
      </c>
      <c r="B158" s="285" t="s">
        <v>15707</v>
      </c>
      <c r="C158" s="285" t="s">
        <v>15446</v>
      </c>
      <c r="D158" s="289" t="s">
        <v>15510</v>
      </c>
      <c r="E158" s="290" t="s">
        <v>193</v>
      </c>
      <c r="F158" s="755">
        <v>146.76</v>
      </c>
      <c r="G158" s="510">
        <v>259.97000000000003</v>
      </c>
      <c r="H158" s="508">
        <v>0.2094</v>
      </c>
      <c r="I158" s="510">
        <v>314.40771800000005</v>
      </c>
      <c r="J158" s="509">
        <v>46142.476693680001</v>
      </c>
      <c r="K158" s="409"/>
      <c r="L158" s="447">
        <f t="shared" si="21"/>
        <v>46142.476693680001</v>
      </c>
      <c r="M158" s="447">
        <f t="shared" si="20"/>
        <v>0</v>
      </c>
      <c r="N158" s="256"/>
      <c r="O158" s="256"/>
      <c r="P158" s="256"/>
      <c r="Q158" s="256"/>
      <c r="R158" s="256"/>
      <c r="S158" s="256"/>
    </row>
    <row r="159" spans="1:19" s="92" customFormat="1">
      <c r="A159" s="256"/>
      <c r="B159" s="391"/>
      <c r="C159" s="391"/>
      <c r="D159" s="401"/>
      <c r="E159" s="391"/>
      <c r="F159" s="417"/>
      <c r="G159" s="417"/>
      <c r="H159" s="417"/>
      <c r="I159" s="417"/>
      <c r="J159" s="418"/>
      <c r="K159" s="298"/>
      <c r="L159" s="447">
        <f t="shared" si="21"/>
        <v>0</v>
      </c>
      <c r="M159" s="447">
        <f t="shared" si="20"/>
        <v>0</v>
      </c>
      <c r="N159" s="298"/>
      <c r="O159" s="298"/>
      <c r="P159" s="298"/>
      <c r="Q159" s="298"/>
      <c r="R159" s="298"/>
      <c r="S159" s="298"/>
    </row>
    <row r="160" spans="1:19" s="92" customFormat="1">
      <c r="A160" s="256"/>
      <c r="B160" s="287" t="s">
        <v>15708</v>
      </c>
      <c r="C160" s="287"/>
      <c r="D160" s="400" t="s">
        <v>15582</v>
      </c>
      <c r="E160" s="415"/>
      <c r="F160" s="415"/>
      <c r="G160" s="462"/>
      <c r="H160" s="415"/>
      <c r="I160" s="462"/>
      <c r="J160" s="416"/>
      <c r="K160" s="298"/>
      <c r="L160" s="447">
        <f t="shared" si="21"/>
        <v>0</v>
      </c>
      <c r="M160" s="447">
        <f t="shared" si="20"/>
        <v>0</v>
      </c>
      <c r="N160" s="298"/>
      <c r="O160" s="298"/>
      <c r="P160" s="298"/>
      <c r="Q160" s="298"/>
      <c r="R160" s="298"/>
      <c r="S160" s="298"/>
    </row>
    <row r="161" spans="1:19" s="140" customFormat="1" ht="25.5">
      <c r="A161" s="394" t="s">
        <v>3260</v>
      </c>
      <c r="B161" s="285" t="s">
        <v>15709</v>
      </c>
      <c r="C161" s="285" t="s">
        <v>15447</v>
      </c>
      <c r="D161" s="289" t="s">
        <v>15554</v>
      </c>
      <c r="E161" s="290" t="s">
        <v>209</v>
      </c>
      <c r="F161" s="755">
        <v>32.191000000000003</v>
      </c>
      <c r="G161" s="510">
        <v>182.69</v>
      </c>
      <c r="H161" s="508">
        <v>0.2094</v>
      </c>
      <c r="I161" s="510">
        <v>220.94528600000001</v>
      </c>
      <c r="J161" s="509">
        <v>7112.4497016260011</v>
      </c>
      <c r="K161" s="409"/>
      <c r="L161" s="447">
        <f t="shared" si="21"/>
        <v>7112.4497016260011</v>
      </c>
      <c r="M161" s="447">
        <f t="shared" si="20"/>
        <v>0</v>
      </c>
      <c r="N161" s="409"/>
      <c r="O161" s="409"/>
      <c r="P161" s="409"/>
      <c r="Q161" s="409"/>
      <c r="R161" s="409"/>
      <c r="S161" s="409"/>
    </row>
    <row r="162" spans="1:19" s="140" customFormat="1">
      <c r="A162" s="394" t="s">
        <v>3259</v>
      </c>
      <c r="B162" s="285" t="s">
        <v>15710</v>
      </c>
      <c r="C162" s="285">
        <v>98504</v>
      </c>
      <c r="D162" s="289" t="s">
        <v>4510</v>
      </c>
      <c r="E162" s="290" t="s">
        <v>193</v>
      </c>
      <c r="F162" s="755">
        <v>321.91000000000003</v>
      </c>
      <c r="G162" s="510" t="s">
        <v>10318</v>
      </c>
      <c r="H162" s="508">
        <v>0.2094</v>
      </c>
      <c r="I162" s="510">
        <v>13.738783999999999</v>
      </c>
      <c r="J162" s="509">
        <v>4422.6519574399999</v>
      </c>
      <c r="K162" s="409"/>
      <c r="L162" s="447">
        <f t="shared" si="21"/>
        <v>4422.6519574399999</v>
      </c>
      <c r="M162" s="447">
        <f t="shared" si="20"/>
        <v>0</v>
      </c>
      <c r="N162" s="409"/>
      <c r="O162" s="409"/>
      <c r="P162" s="409"/>
      <c r="Q162" s="409"/>
      <c r="R162" s="409"/>
      <c r="S162" s="409"/>
    </row>
    <row r="163" spans="1:19" s="92" customFormat="1">
      <c r="A163" s="256"/>
      <c r="B163" s="391"/>
      <c r="C163" s="391"/>
      <c r="D163" s="401"/>
      <c r="E163" s="391"/>
      <c r="F163" s="417"/>
      <c r="G163" s="417"/>
      <c r="H163" s="417"/>
      <c r="I163" s="417"/>
      <c r="J163" s="418"/>
      <c r="K163" s="298"/>
      <c r="L163" s="447">
        <f t="shared" si="21"/>
        <v>0</v>
      </c>
      <c r="M163" s="447">
        <f t="shared" si="20"/>
        <v>0</v>
      </c>
      <c r="N163" s="298"/>
      <c r="O163" s="298"/>
      <c r="P163" s="298"/>
      <c r="Q163" s="298"/>
      <c r="R163" s="298"/>
      <c r="S163" s="298"/>
    </row>
    <row r="164" spans="1:19" s="92" customFormat="1">
      <c r="A164" s="256"/>
      <c r="B164" s="287" t="s">
        <v>15711</v>
      </c>
      <c r="C164" s="287"/>
      <c r="D164" s="400" t="s">
        <v>15712</v>
      </c>
      <c r="E164" s="415"/>
      <c r="F164" s="415"/>
      <c r="G164" s="462"/>
      <c r="H164" s="415"/>
      <c r="I164" s="462"/>
      <c r="J164" s="416"/>
      <c r="K164" s="298"/>
      <c r="L164" s="447">
        <f t="shared" si="21"/>
        <v>0</v>
      </c>
      <c r="M164" s="447">
        <f t="shared" si="20"/>
        <v>0</v>
      </c>
      <c r="N164" s="298"/>
      <c r="O164" s="298"/>
      <c r="P164" s="298"/>
      <c r="Q164" s="298"/>
      <c r="R164" s="298"/>
      <c r="S164" s="298"/>
    </row>
    <row r="165" spans="1:19" s="92" customFormat="1">
      <c r="A165" s="256"/>
      <c r="B165" s="287" t="s">
        <v>15713</v>
      </c>
      <c r="C165" s="287"/>
      <c r="D165" s="400" t="s">
        <v>24745</v>
      </c>
      <c r="E165" s="415"/>
      <c r="F165" s="415"/>
      <c r="G165" s="462"/>
      <c r="H165" s="415"/>
      <c r="I165" s="462"/>
      <c r="J165" s="416"/>
      <c r="K165" s="298"/>
      <c r="L165" s="447">
        <f t="shared" si="21"/>
        <v>0</v>
      </c>
      <c r="M165" s="447">
        <f t="shared" si="20"/>
        <v>0</v>
      </c>
      <c r="N165" s="298"/>
      <c r="O165" s="298"/>
      <c r="P165" s="298"/>
      <c r="Q165" s="298"/>
      <c r="R165" s="298"/>
      <c r="S165" s="298"/>
    </row>
    <row r="166" spans="1:19" s="140" customFormat="1" ht="38.25">
      <c r="A166" s="394" t="s">
        <v>3259</v>
      </c>
      <c r="B166" s="285" t="s">
        <v>15714</v>
      </c>
      <c r="C166" s="285">
        <v>100576</v>
      </c>
      <c r="D166" s="289" t="s">
        <v>9279</v>
      </c>
      <c r="E166" s="290" t="s">
        <v>193</v>
      </c>
      <c r="F166" s="755">
        <v>756.7</v>
      </c>
      <c r="G166" s="510" t="s">
        <v>10022</v>
      </c>
      <c r="H166" s="508">
        <v>0.2094</v>
      </c>
      <c r="I166" s="510">
        <v>1.971322</v>
      </c>
      <c r="J166" s="509">
        <v>1491.6993574000001</v>
      </c>
      <c r="K166" s="409"/>
      <c r="L166" s="447">
        <f t="shared" si="21"/>
        <v>1491.6993574000001</v>
      </c>
      <c r="M166" s="447">
        <f t="shared" ref="M166:M226" si="24">L166-J166</f>
        <v>0</v>
      </c>
      <c r="N166" s="409"/>
      <c r="O166" s="409"/>
      <c r="P166" s="409"/>
      <c r="Q166" s="409"/>
      <c r="R166" s="409"/>
      <c r="S166" s="409"/>
    </row>
    <row r="167" spans="1:19" s="140" customFormat="1" ht="89.25">
      <c r="A167" s="394" t="s">
        <v>3259</v>
      </c>
      <c r="B167" s="285" t="s">
        <v>15715</v>
      </c>
      <c r="C167" s="285">
        <v>94275</v>
      </c>
      <c r="D167" s="289" t="s">
        <v>282</v>
      </c>
      <c r="E167" s="290" t="s">
        <v>5</v>
      </c>
      <c r="F167" s="755">
        <v>16</v>
      </c>
      <c r="G167" s="510" t="s">
        <v>21972</v>
      </c>
      <c r="H167" s="508">
        <v>0.2094</v>
      </c>
      <c r="I167" s="510">
        <v>52.451678000000001</v>
      </c>
      <c r="J167" s="509">
        <v>839.22684800000002</v>
      </c>
      <c r="K167" s="409"/>
      <c r="L167" s="447">
        <f t="shared" si="21"/>
        <v>839.22684800000002</v>
      </c>
      <c r="M167" s="447">
        <f t="shared" si="24"/>
        <v>0</v>
      </c>
      <c r="N167" s="409"/>
      <c r="O167" s="409"/>
      <c r="P167" s="409"/>
      <c r="Q167" s="409"/>
      <c r="R167" s="409"/>
      <c r="S167" s="409"/>
    </row>
    <row r="168" spans="1:19" s="140" customFormat="1" ht="25.5">
      <c r="A168" s="394" t="s">
        <v>3259</v>
      </c>
      <c r="B168" s="285" t="s">
        <v>15716</v>
      </c>
      <c r="C168" s="285">
        <v>96402</v>
      </c>
      <c r="D168" s="289" t="s">
        <v>9288</v>
      </c>
      <c r="E168" s="290" t="s">
        <v>193</v>
      </c>
      <c r="F168" s="755">
        <v>756.7</v>
      </c>
      <c r="G168" s="510" t="s">
        <v>9949</v>
      </c>
      <c r="H168" s="508">
        <v>0.2094</v>
      </c>
      <c r="I168" s="510">
        <v>2.4308939999999999</v>
      </c>
      <c r="J168" s="509">
        <v>1839.4574898000001</v>
      </c>
      <c r="K168" s="409"/>
      <c r="L168" s="447">
        <f t="shared" si="21"/>
        <v>1839.4574898000001</v>
      </c>
      <c r="M168" s="447">
        <f t="shared" si="24"/>
        <v>0</v>
      </c>
      <c r="N168" s="409"/>
      <c r="O168" s="409"/>
      <c r="P168" s="409"/>
      <c r="Q168" s="409"/>
      <c r="R168" s="409"/>
      <c r="S168" s="409"/>
    </row>
    <row r="169" spans="1:19" s="140" customFormat="1" ht="51">
      <c r="A169" s="394" t="s">
        <v>3259</v>
      </c>
      <c r="B169" s="285" t="s">
        <v>15717</v>
      </c>
      <c r="C169" s="285">
        <v>95995</v>
      </c>
      <c r="D169" s="289" t="s">
        <v>9301</v>
      </c>
      <c r="E169" s="290" t="s">
        <v>209</v>
      </c>
      <c r="F169" s="755">
        <v>37.835000000000001</v>
      </c>
      <c r="G169" s="510" t="s">
        <v>23968</v>
      </c>
      <c r="H169" s="508">
        <v>0.2094</v>
      </c>
      <c r="I169" s="510">
        <v>1299.0891040000001</v>
      </c>
      <c r="J169" s="509">
        <v>49151.036249840006</v>
      </c>
      <c r="K169" s="409"/>
      <c r="L169" s="447">
        <f t="shared" si="21"/>
        <v>49151.036249840006</v>
      </c>
      <c r="M169" s="447">
        <f t="shared" si="24"/>
        <v>0</v>
      </c>
      <c r="N169" s="409"/>
      <c r="O169" s="409"/>
      <c r="P169" s="409"/>
      <c r="Q169" s="409"/>
      <c r="R169" s="409"/>
      <c r="S169" s="409"/>
    </row>
    <row r="170" spans="1:19" s="140" customFormat="1" ht="38.25">
      <c r="A170" s="394" t="s">
        <v>3259</v>
      </c>
      <c r="B170" s="285" t="s">
        <v>24746</v>
      </c>
      <c r="C170" s="285">
        <v>95876</v>
      </c>
      <c r="D170" s="289" t="s">
        <v>13798</v>
      </c>
      <c r="E170" s="290" t="s">
        <v>239</v>
      </c>
      <c r="F170" s="755">
        <v>533.47349999999994</v>
      </c>
      <c r="G170" s="510" t="s">
        <v>9774</v>
      </c>
      <c r="H170" s="508">
        <v>0.2094</v>
      </c>
      <c r="I170" s="510">
        <v>1.8382880000000001</v>
      </c>
      <c r="J170" s="509">
        <v>980.67793336800003</v>
      </c>
      <c r="K170" s="409"/>
      <c r="L170" s="447">
        <f t="shared" ref="L170" si="25">I170*F170</f>
        <v>980.67793336800003</v>
      </c>
      <c r="M170" s="447">
        <f t="shared" ref="M170" si="26">L170-J170</f>
        <v>0</v>
      </c>
      <c r="N170" s="409" t="s">
        <v>24747</v>
      </c>
      <c r="O170" s="409"/>
      <c r="P170" s="409"/>
      <c r="Q170" s="409"/>
      <c r="R170" s="409"/>
      <c r="S170" s="409"/>
    </row>
    <row r="171" spans="1:19" s="92" customFormat="1">
      <c r="A171" s="256"/>
      <c r="B171" s="391"/>
      <c r="C171" s="391"/>
      <c r="D171" s="401"/>
      <c r="E171" s="391"/>
      <c r="F171" s="417"/>
      <c r="G171" s="417"/>
      <c r="H171" s="417"/>
      <c r="I171" s="417"/>
      <c r="J171" s="418"/>
      <c r="K171" s="298"/>
      <c r="L171" s="447">
        <f t="shared" si="21"/>
        <v>0</v>
      </c>
      <c r="M171" s="447">
        <f t="shared" si="24"/>
        <v>0</v>
      </c>
      <c r="N171" s="298"/>
      <c r="O171" s="298"/>
      <c r="P171" s="298"/>
      <c r="Q171" s="298"/>
      <c r="R171" s="298"/>
      <c r="S171" s="298"/>
    </row>
    <row r="172" spans="1:19" s="140" customFormat="1">
      <c r="A172" s="394"/>
      <c r="B172" s="395"/>
      <c r="C172" s="395"/>
      <c r="D172" s="404"/>
      <c r="E172" s="395"/>
      <c r="F172" s="395"/>
      <c r="G172" s="460" t="s">
        <v>69</v>
      </c>
      <c r="H172" s="419"/>
      <c r="I172" s="460"/>
      <c r="J172" s="421">
        <v>176711.1638445252</v>
      </c>
      <c r="K172" s="448"/>
      <c r="L172" s="447">
        <f t="shared" si="21"/>
        <v>0</v>
      </c>
      <c r="M172" s="447"/>
      <c r="N172" s="409"/>
      <c r="O172" s="409"/>
      <c r="P172" s="409"/>
      <c r="Q172" s="409"/>
      <c r="R172" s="409"/>
      <c r="S172" s="409"/>
    </row>
    <row r="173" spans="1:19" s="92" customFormat="1">
      <c r="A173" s="256"/>
      <c r="B173" s="391"/>
      <c r="C173" s="391"/>
      <c r="D173" s="401"/>
      <c r="E173" s="391"/>
      <c r="F173" s="417"/>
      <c r="G173" s="417"/>
      <c r="H173" s="417"/>
      <c r="I173" s="417"/>
      <c r="J173" s="418"/>
      <c r="K173" s="298"/>
      <c r="L173" s="447">
        <f t="shared" si="21"/>
        <v>0</v>
      </c>
      <c r="M173" s="447">
        <f t="shared" si="24"/>
        <v>0</v>
      </c>
      <c r="N173" s="298"/>
      <c r="O173" s="298"/>
      <c r="P173" s="298"/>
      <c r="Q173" s="298"/>
      <c r="R173" s="298"/>
      <c r="S173" s="298"/>
    </row>
    <row r="174" spans="1:19" s="92" customFormat="1">
      <c r="A174" s="256"/>
      <c r="B174" s="287" t="s">
        <v>184</v>
      </c>
      <c r="C174" s="287"/>
      <c r="D174" s="400" t="s">
        <v>185</v>
      </c>
      <c r="E174" s="415"/>
      <c r="F174" s="415"/>
      <c r="G174" s="462"/>
      <c r="H174" s="415"/>
      <c r="I174" s="462"/>
      <c r="J174" s="416"/>
      <c r="K174" s="298"/>
      <c r="L174" s="447">
        <f t="shared" si="21"/>
        <v>0</v>
      </c>
      <c r="M174" s="447">
        <f t="shared" si="24"/>
        <v>0</v>
      </c>
      <c r="N174" s="298"/>
      <c r="O174" s="298"/>
      <c r="P174" s="298"/>
      <c r="Q174" s="298"/>
      <c r="R174" s="298"/>
      <c r="S174" s="298"/>
    </row>
    <row r="175" spans="1:19" s="92" customFormat="1">
      <c r="A175" s="256"/>
      <c r="B175" s="287" t="s">
        <v>14581</v>
      </c>
      <c r="C175" s="287"/>
      <c r="D175" s="400" t="s">
        <v>14583</v>
      </c>
      <c r="E175" s="415"/>
      <c r="F175" s="415"/>
      <c r="G175" s="462"/>
      <c r="H175" s="415"/>
      <c r="I175" s="462"/>
      <c r="J175" s="416"/>
      <c r="K175" s="298"/>
      <c r="L175" s="447">
        <f t="shared" si="21"/>
        <v>0</v>
      </c>
      <c r="M175" s="447">
        <f t="shared" si="24"/>
        <v>0</v>
      </c>
      <c r="N175" s="298"/>
      <c r="O175" s="298"/>
      <c r="P175" s="298"/>
      <c r="Q175" s="298"/>
      <c r="R175" s="298"/>
      <c r="S175" s="298"/>
    </row>
    <row r="176" spans="1:19" s="92" customFormat="1">
      <c r="A176" s="256"/>
      <c r="B176" s="287" t="s">
        <v>14582</v>
      </c>
      <c r="C176" s="287"/>
      <c r="D176" s="400" t="s">
        <v>14585</v>
      </c>
      <c r="E176" s="415"/>
      <c r="F176" s="415"/>
      <c r="G176" s="462"/>
      <c r="H176" s="415"/>
      <c r="I176" s="462"/>
      <c r="J176" s="416"/>
      <c r="K176" s="298"/>
      <c r="L176" s="447">
        <f t="shared" si="21"/>
        <v>0</v>
      </c>
      <c r="M176" s="447">
        <f t="shared" si="24"/>
        <v>0</v>
      </c>
      <c r="N176" s="256"/>
      <c r="O176" s="256"/>
      <c r="P176" s="256"/>
      <c r="Q176" s="256"/>
      <c r="R176" s="256"/>
      <c r="S176" s="256"/>
    </row>
    <row r="177" spans="1:19" s="140" customFormat="1" ht="38.25">
      <c r="A177" s="394" t="s">
        <v>3259</v>
      </c>
      <c r="B177" s="285" t="s">
        <v>14587</v>
      </c>
      <c r="C177" s="285">
        <v>89356</v>
      </c>
      <c r="D177" s="289" t="s">
        <v>1760</v>
      </c>
      <c r="E177" s="290" t="s">
        <v>5</v>
      </c>
      <c r="F177" s="755">
        <v>9.93</v>
      </c>
      <c r="G177" s="510" t="s">
        <v>19017</v>
      </c>
      <c r="H177" s="508">
        <v>0.2094</v>
      </c>
      <c r="I177" s="510">
        <v>24.054966</v>
      </c>
      <c r="J177" s="509">
        <v>238.86581237999999</v>
      </c>
      <c r="K177" s="409"/>
      <c r="L177" s="447">
        <f t="shared" si="21"/>
        <v>238.86581237999999</v>
      </c>
      <c r="M177" s="447">
        <f t="shared" si="24"/>
        <v>0</v>
      </c>
      <c r="N177" s="256"/>
      <c r="O177" s="256"/>
      <c r="P177" s="256"/>
      <c r="Q177" s="256"/>
      <c r="R177" s="256"/>
      <c r="S177" s="256"/>
    </row>
    <row r="178" spans="1:19" s="92" customFormat="1" ht="38.25">
      <c r="A178" s="394" t="s">
        <v>3259</v>
      </c>
      <c r="B178" s="285" t="s">
        <v>14588</v>
      </c>
      <c r="C178" s="285">
        <v>89357</v>
      </c>
      <c r="D178" s="289" t="s">
        <v>1761</v>
      </c>
      <c r="E178" s="290" t="s">
        <v>5</v>
      </c>
      <c r="F178" s="755">
        <v>56.1</v>
      </c>
      <c r="G178" s="510" t="s">
        <v>19693</v>
      </c>
      <c r="H178" s="508">
        <v>0.2094</v>
      </c>
      <c r="I178" s="510">
        <v>34.177644000000001</v>
      </c>
      <c r="J178" s="509">
        <v>1917.3658284000001</v>
      </c>
      <c r="K178" s="409"/>
      <c r="L178" s="447">
        <f t="shared" si="21"/>
        <v>1917.3658284000001</v>
      </c>
      <c r="M178" s="447">
        <f t="shared" si="24"/>
        <v>0</v>
      </c>
      <c r="N178" s="298"/>
      <c r="O178" s="298"/>
      <c r="P178" s="298"/>
      <c r="Q178" s="298"/>
      <c r="R178" s="298"/>
      <c r="S178" s="298"/>
    </row>
    <row r="179" spans="1:19" s="92" customFormat="1" ht="38.25">
      <c r="A179" s="394" t="s">
        <v>3259</v>
      </c>
      <c r="B179" s="285" t="s">
        <v>14589</v>
      </c>
      <c r="C179" s="285">
        <v>89448</v>
      </c>
      <c r="D179" s="289" t="s">
        <v>243</v>
      </c>
      <c r="E179" s="290" t="s">
        <v>5</v>
      </c>
      <c r="F179" s="755">
        <v>4.1900000000000004</v>
      </c>
      <c r="G179" s="510" t="s">
        <v>22905</v>
      </c>
      <c r="H179" s="508">
        <v>0.2094</v>
      </c>
      <c r="I179" s="510">
        <v>18.189375999999999</v>
      </c>
      <c r="J179" s="509">
        <v>76.213485439999999</v>
      </c>
      <c r="K179" s="409"/>
      <c r="L179" s="447">
        <f t="shared" ref="L179" si="27">I179*F179</f>
        <v>76.213485439999999</v>
      </c>
      <c r="M179" s="447">
        <f t="shared" ref="M179" si="28">L179-J179</f>
        <v>0</v>
      </c>
      <c r="N179" s="298"/>
      <c r="O179" s="298"/>
      <c r="P179" s="298"/>
      <c r="Q179" s="298"/>
      <c r="R179" s="298"/>
      <c r="S179" s="298"/>
    </row>
    <row r="180" spans="1:19" s="92" customFormat="1" ht="38.25">
      <c r="A180" s="394" t="s">
        <v>3259</v>
      </c>
      <c r="B180" s="285" t="s">
        <v>14590</v>
      </c>
      <c r="C180" s="285">
        <v>89449</v>
      </c>
      <c r="D180" s="289" t="s">
        <v>244</v>
      </c>
      <c r="E180" s="290" t="s">
        <v>5</v>
      </c>
      <c r="F180" s="755">
        <v>7.38</v>
      </c>
      <c r="G180" s="510" t="s">
        <v>22906</v>
      </c>
      <c r="H180" s="508">
        <v>0.2094</v>
      </c>
      <c r="I180" s="510">
        <v>20.922620000000002</v>
      </c>
      <c r="J180" s="509">
        <v>154.40893560000001</v>
      </c>
      <c r="K180" s="409"/>
      <c r="L180" s="447">
        <f t="shared" si="21"/>
        <v>154.40893560000001</v>
      </c>
      <c r="M180" s="447">
        <f t="shared" si="24"/>
        <v>0</v>
      </c>
      <c r="N180" s="298"/>
      <c r="O180" s="298"/>
      <c r="P180" s="298"/>
      <c r="Q180" s="298"/>
      <c r="R180" s="298"/>
      <c r="S180" s="298"/>
    </row>
    <row r="181" spans="1:19" s="92" customFormat="1" ht="38.25">
      <c r="A181" s="394" t="s">
        <v>3259</v>
      </c>
      <c r="B181" s="285" t="s">
        <v>14591</v>
      </c>
      <c r="C181" s="285">
        <v>89450</v>
      </c>
      <c r="D181" s="289" t="s">
        <v>245</v>
      </c>
      <c r="E181" s="290" t="s">
        <v>5</v>
      </c>
      <c r="F181" s="755">
        <v>4.3099999999999996</v>
      </c>
      <c r="G181" s="510" t="s">
        <v>15799</v>
      </c>
      <c r="H181" s="508">
        <v>0.2094</v>
      </c>
      <c r="I181" s="510">
        <v>34.552558000000005</v>
      </c>
      <c r="J181" s="509">
        <v>148.92152498000002</v>
      </c>
      <c r="K181" s="409"/>
      <c r="L181" s="447">
        <f t="shared" ref="L181" si="29">I181*F181</f>
        <v>148.92152498000002</v>
      </c>
      <c r="M181" s="447"/>
      <c r="N181" s="298"/>
      <c r="O181" s="298"/>
      <c r="P181" s="298"/>
      <c r="Q181" s="298"/>
      <c r="R181" s="298"/>
      <c r="S181" s="298"/>
    </row>
    <row r="182" spans="1:19" s="92" customFormat="1" ht="25.5">
      <c r="A182" s="394" t="s">
        <v>3260</v>
      </c>
      <c r="B182" s="285" t="s">
        <v>14592</v>
      </c>
      <c r="C182" s="285" t="s">
        <v>9618</v>
      </c>
      <c r="D182" s="289" t="s">
        <v>17316</v>
      </c>
      <c r="E182" s="290" t="s">
        <v>3243</v>
      </c>
      <c r="F182" s="755">
        <v>48</v>
      </c>
      <c r="G182" s="510">
        <v>93.34</v>
      </c>
      <c r="H182" s="508">
        <v>0.2094</v>
      </c>
      <c r="I182" s="510">
        <v>112.885396</v>
      </c>
      <c r="J182" s="509">
        <v>5418.4990079999998</v>
      </c>
      <c r="K182" s="409"/>
      <c r="L182" s="447">
        <f t="shared" si="21"/>
        <v>5418.4990079999998</v>
      </c>
      <c r="M182" s="447">
        <f t="shared" si="24"/>
        <v>0</v>
      </c>
      <c r="N182" s="298"/>
      <c r="O182" s="298"/>
      <c r="P182" s="298"/>
      <c r="Q182" s="298"/>
      <c r="R182" s="298"/>
      <c r="S182" s="298"/>
    </row>
    <row r="183" spans="1:19" s="92" customFormat="1" ht="38.25">
      <c r="A183" s="394" t="s">
        <v>3259</v>
      </c>
      <c r="B183" s="285" t="s">
        <v>14593</v>
      </c>
      <c r="C183" s="285">
        <v>89501</v>
      </c>
      <c r="D183" s="289" t="s">
        <v>250</v>
      </c>
      <c r="E183" s="290" t="s">
        <v>109</v>
      </c>
      <c r="F183" s="755">
        <v>6</v>
      </c>
      <c r="G183" s="510" t="s">
        <v>16081</v>
      </c>
      <c r="H183" s="508">
        <v>0.2094</v>
      </c>
      <c r="I183" s="510">
        <v>16.459934000000001</v>
      </c>
      <c r="J183" s="509">
        <v>98.759603999999996</v>
      </c>
      <c r="K183" s="409"/>
      <c r="L183" s="447">
        <f t="shared" ref="L183:L245" si="30">I183*F183</f>
        <v>98.759603999999996</v>
      </c>
      <c r="M183" s="447">
        <f t="shared" si="24"/>
        <v>0</v>
      </c>
      <c r="N183" s="298"/>
      <c r="O183" s="298"/>
      <c r="P183" s="298"/>
      <c r="Q183" s="298"/>
      <c r="R183" s="298"/>
      <c r="S183" s="298"/>
    </row>
    <row r="184" spans="1:19" s="92" customFormat="1" ht="38.25">
      <c r="A184" s="394" t="s">
        <v>3259</v>
      </c>
      <c r="B184" s="285" t="s">
        <v>14594</v>
      </c>
      <c r="C184" s="285">
        <v>89398</v>
      </c>
      <c r="D184" s="289" t="s">
        <v>1861</v>
      </c>
      <c r="E184" s="290" t="s">
        <v>109</v>
      </c>
      <c r="F184" s="755">
        <v>6</v>
      </c>
      <c r="G184" s="510" t="s">
        <v>10321</v>
      </c>
      <c r="H184" s="508">
        <v>0.2094</v>
      </c>
      <c r="I184" s="510">
        <v>20.426766000000001</v>
      </c>
      <c r="J184" s="509">
        <v>122.560596</v>
      </c>
      <c r="K184" s="409"/>
      <c r="L184" s="447">
        <f t="shared" si="30"/>
        <v>122.560596</v>
      </c>
      <c r="M184" s="447">
        <f t="shared" si="24"/>
        <v>0</v>
      </c>
      <c r="N184" s="298"/>
      <c r="O184" s="298"/>
      <c r="P184" s="298"/>
      <c r="Q184" s="298"/>
      <c r="R184" s="298"/>
      <c r="S184" s="298"/>
    </row>
    <row r="185" spans="1:19" s="92" customFormat="1" ht="51">
      <c r="A185" s="394" t="s">
        <v>3259</v>
      </c>
      <c r="B185" s="285" t="s">
        <v>14595</v>
      </c>
      <c r="C185" s="285">
        <v>89362</v>
      </c>
      <c r="D185" s="289" t="s">
        <v>1827</v>
      </c>
      <c r="E185" s="290" t="s">
        <v>109</v>
      </c>
      <c r="F185" s="755">
        <v>1</v>
      </c>
      <c r="G185" s="510" t="s">
        <v>10312</v>
      </c>
      <c r="H185" s="508">
        <v>0.2094</v>
      </c>
      <c r="I185" s="510">
        <v>9.9775500000000008</v>
      </c>
      <c r="J185" s="509">
        <v>9.9775500000000008</v>
      </c>
      <c r="K185" s="409"/>
      <c r="L185" s="447">
        <f t="shared" si="30"/>
        <v>9.9775500000000008</v>
      </c>
      <c r="M185" s="447">
        <f t="shared" si="24"/>
        <v>0</v>
      </c>
      <c r="N185" s="298"/>
      <c r="O185" s="298"/>
      <c r="P185" s="298"/>
      <c r="Q185" s="298"/>
      <c r="R185" s="298"/>
      <c r="S185" s="298"/>
    </row>
    <row r="186" spans="1:19" s="92" customFormat="1" ht="51">
      <c r="A186" s="394" t="s">
        <v>3259</v>
      </c>
      <c r="B186" s="285" t="s">
        <v>14596</v>
      </c>
      <c r="C186" s="285">
        <v>89363</v>
      </c>
      <c r="D186" s="289" t="s">
        <v>1828</v>
      </c>
      <c r="E186" s="290" t="s">
        <v>109</v>
      </c>
      <c r="F186" s="755">
        <v>1</v>
      </c>
      <c r="G186" s="510" t="s">
        <v>16047</v>
      </c>
      <c r="H186" s="508">
        <v>0.2094</v>
      </c>
      <c r="I186" s="510">
        <v>10.981352000000001</v>
      </c>
      <c r="J186" s="509">
        <v>10.981352000000001</v>
      </c>
      <c r="K186" s="409"/>
      <c r="L186" s="447">
        <f t="shared" si="30"/>
        <v>10.981352000000001</v>
      </c>
      <c r="M186" s="447">
        <f t="shared" si="24"/>
        <v>0</v>
      </c>
      <c r="N186" s="298"/>
      <c r="O186" s="298"/>
      <c r="P186" s="298"/>
      <c r="Q186" s="298"/>
      <c r="R186" s="298"/>
      <c r="S186" s="298"/>
    </row>
    <row r="187" spans="1:19" s="92" customFormat="1" ht="63.75">
      <c r="A187" s="394" t="s">
        <v>3259</v>
      </c>
      <c r="B187" s="285" t="s">
        <v>14597</v>
      </c>
      <c r="C187" s="285">
        <v>94686</v>
      </c>
      <c r="D187" s="289" t="s">
        <v>2271</v>
      </c>
      <c r="E187" s="290" t="s">
        <v>109</v>
      </c>
      <c r="F187" s="755">
        <v>4</v>
      </c>
      <c r="G187" s="510" t="s">
        <v>23266</v>
      </c>
      <c r="H187" s="508">
        <v>0.2094</v>
      </c>
      <c r="I187" s="510">
        <v>341.02661200000006</v>
      </c>
      <c r="J187" s="509">
        <v>1364.1064480000002</v>
      </c>
      <c r="K187" s="409"/>
      <c r="L187" s="447">
        <f t="shared" si="30"/>
        <v>1364.1064480000002</v>
      </c>
      <c r="M187" s="447">
        <f t="shared" si="24"/>
        <v>0</v>
      </c>
      <c r="N187" s="298"/>
      <c r="O187" s="298"/>
      <c r="P187" s="298"/>
      <c r="Q187" s="298"/>
      <c r="R187" s="298"/>
      <c r="S187" s="298"/>
    </row>
    <row r="188" spans="1:19" s="92" customFormat="1" ht="63.75">
      <c r="A188" s="394" t="s">
        <v>3260</v>
      </c>
      <c r="B188" s="285" t="s">
        <v>14598</v>
      </c>
      <c r="C188" s="285" t="s">
        <v>9619</v>
      </c>
      <c r="D188" s="289" t="s">
        <v>17318</v>
      </c>
      <c r="E188" s="290" t="s">
        <v>109</v>
      </c>
      <c r="F188" s="755">
        <v>5</v>
      </c>
      <c r="G188" s="510">
        <v>260.69</v>
      </c>
      <c r="H188" s="508">
        <v>0.2094</v>
      </c>
      <c r="I188" s="510">
        <v>315.27848599999999</v>
      </c>
      <c r="J188" s="509">
        <v>1576.3924299999999</v>
      </c>
      <c r="K188" s="409"/>
      <c r="L188" s="447">
        <f t="shared" si="30"/>
        <v>1576.3924299999999</v>
      </c>
      <c r="M188" s="447">
        <f t="shared" si="24"/>
        <v>0</v>
      </c>
      <c r="N188" s="298"/>
      <c r="O188" s="298"/>
      <c r="P188" s="298"/>
      <c r="Q188" s="298"/>
      <c r="R188" s="298"/>
      <c r="S188" s="298"/>
    </row>
    <row r="189" spans="1:19" s="92" customFormat="1" ht="63.75">
      <c r="A189" s="394" t="s">
        <v>3259</v>
      </c>
      <c r="B189" s="285" t="s">
        <v>14599</v>
      </c>
      <c r="C189" s="285">
        <v>94701</v>
      </c>
      <c r="D189" s="289" t="s">
        <v>2286</v>
      </c>
      <c r="E189" s="290" t="s">
        <v>109</v>
      </c>
      <c r="F189" s="755">
        <v>5</v>
      </c>
      <c r="G189" s="510" t="s">
        <v>23272</v>
      </c>
      <c r="H189" s="508">
        <v>0.2094</v>
      </c>
      <c r="I189" s="510">
        <v>276.67443800000001</v>
      </c>
      <c r="J189" s="509">
        <v>1383.37219</v>
      </c>
      <c r="K189" s="409"/>
      <c r="L189" s="447">
        <f t="shared" si="30"/>
        <v>1383.37219</v>
      </c>
      <c r="M189" s="447">
        <f t="shared" si="24"/>
        <v>0</v>
      </c>
      <c r="N189" s="298"/>
      <c r="O189" s="298"/>
      <c r="P189" s="298"/>
      <c r="Q189" s="298"/>
      <c r="R189" s="298"/>
      <c r="S189" s="298"/>
    </row>
    <row r="190" spans="1:19" s="92" customFormat="1" ht="51">
      <c r="A190" s="394" t="s">
        <v>3259</v>
      </c>
      <c r="B190" s="285" t="s">
        <v>14600</v>
      </c>
      <c r="C190" s="285">
        <v>89367</v>
      </c>
      <c r="D190" s="289" t="s">
        <v>1832</v>
      </c>
      <c r="E190" s="290" t="s">
        <v>109</v>
      </c>
      <c r="F190" s="755">
        <v>6</v>
      </c>
      <c r="G190" s="510" t="s">
        <v>10000</v>
      </c>
      <c r="H190" s="508">
        <v>0.2094</v>
      </c>
      <c r="I190" s="510">
        <v>13.823442</v>
      </c>
      <c r="J190" s="509">
        <v>82.940652</v>
      </c>
      <c r="K190" s="409"/>
      <c r="L190" s="447">
        <f t="shared" si="30"/>
        <v>82.940652</v>
      </c>
      <c r="M190" s="447">
        <f t="shared" si="24"/>
        <v>0</v>
      </c>
      <c r="N190" s="298"/>
      <c r="O190" s="298"/>
      <c r="P190" s="298"/>
      <c r="Q190" s="298"/>
      <c r="R190" s="298"/>
      <c r="S190" s="298"/>
    </row>
    <row r="191" spans="1:19" s="92" customFormat="1" ht="38.25">
      <c r="A191" s="394" t="s">
        <v>3260</v>
      </c>
      <c r="B191" s="285" t="s">
        <v>14601</v>
      </c>
      <c r="C191" s="285" t="s">
        <v>14649</v>
      </c>
      <c r="D191" s="289" t="s">
        <v>17325</v>
      </c>
      <c r="E191" s="290" t="s">
        <v>3240</v>
      </c>
      <c r="F191" s="755">
        <v>3</v>
      </c>
      <c r="G191" s="510">
        <v>60.2</v>
      </c>
      <c r="H191" s="508">
        <v>0.2094</v>
      </c>
      <c r="I191" s="510">
        <v>72.805880000000002</v>
      </c>
      <c r="J191" s="509">
        <v>218.41764000000001</v>
      </c>
      <c r="K191" s="409"/>
      <c r="L191" s="447">
        <f t="shared" si="30"/>
        <v>218.41764000000001</v>
      </c>
      <c r="M191" s="447">
        <f t="shared" si="24"/>
        <v>0</v>
      </c>
      <c r="N191" s="298"/>
      <c r="O191" s="298"/>
      <c r="P191" s="298"/>
      <c r="Q191" s="298"/>
      <c r="R191" s="298"/>
      <c r="S191" s="298"/>
    </row>
    <row r="192" spans="1:19" s="92" customFormat="1" ht="38.25">
      <c r="A192" s="394" t="s">
        <v>3260</v>
      </c>
      <c r="B192" s="285" t="s">
        <v>14602</v>
      </c>
      <c r="C192" s="285" t="s">
        <v>11575</v>
      </c>
      <c r="D192" s="289" t="s">
        <v>14647</v>
      </c>
      <c r="E192" s="290" t="s">
        <v>3240</v>
      </c>
      <c r="F192" s="755">
        <v>1</v>
      </c>
      <c r="G192" s="510">
        <v>17.399999999999999</v>
      </c>
      <c r="H192" s="508">
        <v>0.2094</v>
      </c>
      <c r="I192" s="510">
        <v>21.043559999999999</v>
      </c>
      <c r="J192" s="509">
        <v>21.043559999999999</v>
      </c>
      <c r="K192" s="409"/>
      <c r="L192" s="447">
        <f t="shared" si="30"/>
        <v>21.043559999999999</v>
      </c>
      <c r="M192" s="447">
        <f t="shared" si="24"/>
        <v>0</v>
      </c>
      <c r="N192" s="298"/>
      <c r="O192" s="298"/>
      <c r="P192" s="298"/>
      <c r="Q192" s="298"/>
      <c r="R192" s="298"/>
      <c r="S192" s="298"/>
    </row>
    <row r="193" spans="1:19" s="92" customFormat="1" ht="38.25">
      <c r="A193" s="394" t="s">
        <v>3260</v>
      </c>
      <c r="B193" s="285" t="s">
        <v>14603</v>
      </c>
      <c r="C193" s="285" t="s">
        <v>9620</v>
      </c>
      <c r="D193" s="289" t="s">
        <v>17335</v>
      </c>
      <c r="E193" s="290" t="s">
        <v>3240</v>
      </c>
      <c r="F193" s="755">
        <v>1</v>
      </c>
      <c r="G193" s="510">
        <v>20.41</v>
      </c>
      <c r="H193" s="508">
        <v>0.2094</v>
      </c>
      <c r="I193" s="510">
        <v>24.683854</v>
      </c>
      <c r="J193" s="509">
        <v>24.683854</v>
      </c>
      <c r="K193" s="409"/>
      <c r="L193" s="447">
        <f t="shared" si="30"/>
        <v>24.683854</v>
      </c>
      <c r="M193" s="447">
        <f t="shared" si="24"/>
        <v>0</v>
      </c>
      <c r="N193" s="298"/>
      <c r="O193" s="298"/>
      <c r="P193" s="298"/>
      <c r="Q193" s="298"/>
      <c r="R193" s="298"/>
      <c r="S193" s="298"/>
    </row>
    <row r="194" spans="1:19" s="92" customFormat="1" ht="38.25">
      <c r="A194" s="394" t="s">
        <v>3260</v>
      </c>
      <c r="B194" s="285" t="s">
        <v>14604</v>
      </c>
      <c r="C194" s="285" t="s">
        <v>14695</v>
      </c>
      <c r="D194" s="289" t="s">
        <v>18529</v>
      </c>
      <c r="E194" s="290" t="s">
        <v>3240</v>
      </c>
      <c r="F194" s="755">
        <v>1</v>
      </c>
      <c r="G194" s="510">
        <v>16.87</v>
      </c>
      <c r="H194" s="508">
        <v>0.2094</v>
      </c>
      <c r="I194" s="510">
        <v>20.402578000000002</v>
      </c>
      <c r="J194" s="509">
        <v>20.402578000000002</v>
      </c>
      <c r="K194" s="409"/>
      <c r="L194" s="447">
        <f t="shared" si="30"/>
        <v>20.402578000000002</v>
      </c>
      <c r="M194" s="447">
        <f t="shared" si="24"/>
        <v>0</v>
      </c>
      <c r="N194" s="298"/>
      <c r="O194" s="298"/>
      <c r="P194" s="298"/>
      <c r="Q194" s="298"/>
      <c r="R194" s="298"/>
      <c r="S194" s="298"/>
    </row>
    <row r="195" spans="1:19" s="92" customFormat="1" ht="51">
      <c r="A195" s="394" t="s">
        <v>3259</v>
      </c>
      <c r="B195" s="285" t="s">
        <v>14605</v>
      </c>
      <c r="C195" s="285">
        <v>89366</v>
      </c>
      <c r="D195" s="289" t="s">
        <v>1831</v>
      </c>
      <c r="E195" s="290" t="s">
        <v>109</v>
      </c>
      <c r="F195" s="755">
        <v>1</v>
      </c>
      <c r="G195" s="510" t="s">
        <v>10968</v>
      </c>
      <c r="H195" s="508">
        <v>0.2094</v>
      </c>
      <c r="I195" s="510">
        <v>18.576384000000001</v>
      </c>
      <c r="J195" s="509">
        <v>18.576384000000001</v>
      </c>
      <c r="K195" s="409"/>
      <c r="L195" s="447">
        <f t="shared" si="30"/>
        <v>18.576384000000001</v>
      </c>
      <c r="M195" s="447">
        <f t="shared" si="24"/>
        <v>0</v>
      </c>
      <c r="N195" s="298"/>
      <c r="O195" s="298"/>
      <c r="P195" s="298"/>
      <c r="Q195" s="298"/>
      <c r="R195" s="298"/>
      <c r="S195" s="298"/>
    </row>
    <row r="196" spans="1:19" s="92" customFormat="1" ht="51">
      <c r="A196" s="394" t="s">
        <v>3259</v>
      </c>
      <c r="B196" s="285" t="s">
        <v>14606</v>
      </c>
      <c r="C196" s="285">
        <v>89570</v>
      </c>
      <c r="D196" s="289" t="s">
        <v>1970</v>
      </c>
      <c r="E196" s="290" t="s">
        <v>109</v>
      </c>
      <c r="F196" s="755">
        <v>2</v>
      </c>
      <c r="G196" s="510" t="s">
        <v>11484</v>
      </c>
      <c r="H196" s="508">
        <v>0.2094</v>
      </c>
      <c r="I196" s="510">
        <v>14.63374</v>
      </c>
      <c r="J196" s="509">
        <v>29.267479999999999</v>
      </c>
      <c r="K196" s="409"/>
      <c r="L196" s="447">
        <f t="shared" ref="L196" si="31">I196*F196</f>
        <v>29.267479999999999</v>
      </c>
      <c r="M196" s="447">
        <f t="shared" ref="M196" si="32">L196-J196</f>
        <v>0</v>
      </c>
      <c r="N196" s="298"/>
      <c r="O196" s="298"/>
      <c r="P196" s="298"/>
      <c r="Q196" s="298"/>
      <c r="R196" s="298"/>
      <c r="S196" s="298"/>
    </row>
    <row r="197" spans="1:19" s="92" customFormat="1" ht="51">
      <c r="A197" s="394" t="s">
        <v>3259</v>
      </c>
      <c r="B197" s="285" t="s">
        <v>14607</v>
      </c>
      <c r="C197" s="285">
        <v>89596</v>
      </c>
      <c r="D197" s="289" t="s">
        <v>1991</v>
      </c>
      <c r="E197" s="290" t="s">
        <v>109</v>
      </c>
      <c r="F197" s="755">
        <v>4</v>
      </c>
      <c r="G197" s="510" t="s">
        <v>16073</v>
      </c>
      <c r="H197" s="508">
        <v>0.2094</v>
      </c>
      <c r="I197" s="510">
        <v>13.085708</v>
      </c>
      <c r="J197" s="509">
        <v>52.342832000000001</v>
      </c>
      <c r="K197" s="409"/>
      <c r="L197" s="447">
        <f t="shared" si="30"/>
        <v>52.342832000000001</v>
      </c>
      <c r="M197" s="447">
        <f t="shared" si="24"/>
        <v>0</v>
      </c>
      <c r="N197" s="298"/>
      <c r="O197" s="298"/>
      <c r="P197" s="298"/>
      <c r="Q197" s="298"/>
      <c r="R197" s="298"/>
      <c r="S197" s="298"/>
    </row>
    <row r="198" spans="1:19" s="92" customFormat="1" ht="76.5">
      <c r="A198" s="394" t="s">
        <v>3259</v>
      </c>
      <c r="B198" s="285" t="s">
        <v>14608</v>
      </c>
      <c r="C198" s="285">
        <v>94670</v>
      </c>
      <c r="D198" s="289" t="s">
        <v>2255</v>
      </c>
      <c r="E198" s="290" t="s">
        <v>109</v>
      </c>
      <c r="F198" s="755">
        <v>4</v>
      </c>
      <c r="G198" s="510" t="s">
        <v>23259</v>
      </c>
      <c r="H198" s="508">
        <v>0.2094</v>
      </c>
      <c r="I198" s="510">
        <v>91.79346000000001</v>
      </c>
      <c r="J198" s="509">
        <v>367.17384000000004</v>
      </c>
      <c r="K198" s="409"/>
      <c r="L198" s="447">
        <f t="shared" si="30"/>
        <v>367.17384000000004</v>
      </c>
      <c r="M198" s="447">
        <f t="shared" si="24"/>
        <v>0</v>
      </c>
      <c r="N198" s="298"/>
      <c r="O198" s="298"/>
      <c r="P198" s="298"/>
      <c r="Q198" s="298"/>
      <c r="R198" s="298"/>
      <c r="S198" s="298"/>
    </row>
    <row r="199" spans="1:19" s="92" customFormat="1" ht="76.5">
      <c r="A199" s="394" t="s">
        <v>3259</v>
      </c>
      <c r="B199" s="285" t="s">
        <v>14609</v>
      </c>
      <c r="C199" s="285">
        <v>94658</v>
      </c>
      <c r="D199" s="289" t="s">
        <v>2243</v>
      </c>
      <c r="E199" s="290" t="s">
        <v>109</v>
      </c>
      <c r="F199" s="755">
        <v>4</v>
      </c>
      <c r="G199" s="510" t="s">
        <v>16208</v>
      </c>
      <c r="H199" s="508">
        <v>0.2094</v>
      </c>
      <c r="I199" s="510">
        <v>8.4899880000000003</v>
      </c>
      <c r="J199" s="509">
        <v>33.959952000000001</v>
      </c>
      <c r="K199" s="409"/>
      <c r="L199" s="447">
        <f t="shared" si="30"/>
        <v>33.959952000000001</v>
      </c>
      <c r="M199" s="447">
        <f t="shared" si="24"/>
        <v>0</v>
      </c>
      <c r="N199" s="298"/>
      <c r="O199" s="298"/>
      <c r="P199" s="298"/>
      <c r="Q199" s="298"/>
      <c r="R199" s="298"/>
      <c r="S199" s="298"/>
    </row>
    <row r="200" spans="1:19" s="92" customFormat="1" ht="76.5">
      <c r="A200" s="394" t="s">
        <v>3259</v>
      </c>
      <c r="B200" s="285" t="s">
        <v>14610</v>
      </c>
      <c r="C200" s="285">
        <v>94715</v>
      </c>
      <c r="D200" s="289" t="s">
        <v>2300</v>
      </c>
      <c r="E200" s="290" t="s">
        <v>109</v>
      </c>
      <c r="F200" s="755">
        <v>2</v>
      </c>
      <c r="G200" s="510" t="s">
        <v>23280</v>
      </c>
      <c r="H200" s="508">
        <v>0.2094</v>
      </c>
      <c r="I200" s="510">
        <v>479.73269800000003</v>
      </c>
      <c r="J200" s="509">
        <v>959.46539600000006</v>
      </c>
      <c r="K200" s="409"/>
      <c r="L200" s="447">
        <f t="shared" si="30"/>
        <v>959.46539600000006</v>
      </c>
      <c r="M200" s="447">
        <f t="shared" si="24"/>
        <v>0</v>
      </c>
      <c r="N200" s="298"/>
      <c r="O200" s="298"/>
      <c r="P200" s="298"/>
      <c r="Q200" s="298"/>
      <c r="R200" s="298"/>
      <c r="S200" s="298"/>
    </row>
    <row r="201" spans="1:19" s="92" customFormat="1" ht="76.5">
      <c r="A201" s="394" t="s">
        <v>3259</v>
      </c>
      <c r="B201" s="285" t="s">
        <v>14611</v>
      </c>
      <c r="C201" s="285">
        <v>94711</v>
      </c>
      <c r="D201" s="289" t="s">
        <v>2296</v>
      </c>
      <c r="E201" s="290" t="s">
        <v>109</v>
      </c>
      <c r="F201" s="755">
        <v>4</v>
      </c>
      <c r="G201" s="510" t="s">
        <v>23276</v>
      </c>
      <c r="H201" s="508">
        <v>0.2094</v>
      </c>
      <c r="I201" s="510">
        <v>73.120323999999997</v>
      </c>
      <c r="J201" s="509">
        <v>292.48129599999999</v>
      </c>
      <c r="K201" s="409"/>
      <c r="L201" s="447">
        <f t="shared" si="30"/>
        <v>292.48129599999999</v>
      </c>
      <c r="M201" s="447">
        <f t="shared" si="24"/>
        <v>0</v>
      </c>
      <c r="N201" s="298"/>
      <c r="O201" s="298"/>
      <c r="P201" s="298"/>
      <c r="Q201" s="298"/>
      <c r="R201" s="298"/>
      <c r="S201" s="298"/>
    </row>
    <row r="202" spans="1:19" s="92" customFormat="1" ht="76.5">
      <c r="A202" s="394" t="s">
        <v>3259</v>
      </c>
      <c r="B202" s="285" t="s">
        <v>14612</v>
      </c>
      <c r="C202" s="285">
        <v>94709</v>
      </c>
      <c r="D202" s="289" t="s">
        <v>2294</v>
      </c>
      <c r="E202" s="290" t="s">
        <v>109</v>
      </c>
      <c r="F202" s="755">
        <v>2</v>
      </c>
      <c r="G202" s="510" t="s">
        <v>11549</v>
      </c>
      <c r="H202" s="508">
        <v>0.2094</v>
      </c>
      <c r="I202" s="510">
        <v>39.293406000000004</v>
      </c>
      <c r="J202" s="509">
        <v>78.586812000000009</v>
      </c>
      <c r="K202" s="409"/>
      <c r="L202" s="447">
        <f t="shared" ref="L202" si="33">I202*F202</f>
        <v>78.586812000000009</v>
      </c>
      <c r="M202" s="447"/>
      <c r="N202" s="298"/>
      <c r="O202" s="298"/>
      <c r="P202" s="298"/>
      <c r="Q202" s="298"/>
      <c r="R202" s="298"/>
      <c r="S202" s="298"/>
    </row>
    <row r="203" spans="1:19" s="92" customFormat="1">
      <c r="A203" s="256"/>
      <c r="B203" s="287"/>
      <c r="C203" s="287"/>
      <c r="D203" s="400"/>
      <c r="E203" s="415"/>
      <c r="F203" s="415"/>
      <c r="G203" s="462"/>
      <c r="H203" s="415"/>
      <c r="I203" s="462"/>
      <c r="J203" s="416"/>
      <c r="K203" s="298"/>
      <c r="L203" s="447">
        <f t="shared" si="30"/>
        <v>0</v>
      </c>
      <c r="M203" s="447">
        <f t="shared" si="24"/>
        <v>0</v>
      </c>
      <c r="N203" s="298"/>
      <c r="O203" s="298"/>
      <c r="P203" s="298"/>
      <c r="Q203" s="298"/>
      <c r="R203" s="298"/>
      <c r="S203" s="298"/>
    </row>
    <row r="204" spans="1:19" s="92" customFormat="1">
      <c r="A204" s="256"/>
      <c r="B204" s="287" t="s">
        <v>14653</v>
      </c>
      <c r="C204" s="287"/>
      <c r="D204" s="400" t="s">
        <v>14651</v>
      </c>
      <c r="E204" s="415"/>
      <c r="F204" s="415"/>
      <c r="G204" s="462"/>
      <c r="H204" s="415"/>
      <c r="I204" s="462"/>
      <c r="J204" s="416"/>
      <c r="K204" s="298"/>
      <c r="L204" s="447">
        <f t="shared" si="30"/>
        <v>0</v>
      </c>
      <c r="M204" s="447">
        <f t="shared" si="24"/>
        <v>0</v>
      </c>
      <c r="N204" s="298"/>
      <c r="O204" s="298"/>
      <c r="P204" s="298"/>
      <c r="Q204" s="298"/>
      <c r="R204" s="298"/>
      <c r="S204" s="298"/>
    </row>
    <row r="205" spans="1:19" s="140" customFormat="1" ht="63.75">
      <c r="A205" s="394" t="s">
        <v>3259</v>
      </c>
      <c r="B205" s="285" t="s">
        <v>14654</v>
      </c>
      <c r="C205" s="285">
        <v>94495</v>
      </c>
      <c r="D205" s="289" t="s">
        <v>2373</v>
      </c>
      <c r="E205" s="290" t="s">
        <v>109</v>
      </c>
      <c r="F205" s="755">
        <v>2</v>
      </c>
      <c r="G205" s="510" t="s">
        <v>15803</v>
      </c>
      <c r="H205" s="508">
        <v>0.2094</v>
      </c>
      <c r="I205" s="510">
        <v>101.74682199999999</v>
      </c>
      <c r="J205" s="509">
        <v>203.49364399999999</v>
      </c>
      <c r="K205" s="409"/>
      <c r="L205" s="447">
        <f t="shared" si="30"/>
        <v>203.49364399999999</v>
      </c>
      <c r="M205" s="447">
        <f t="shared" si="24"/>
        <v>0</v>
      </c>
      <c r="N205" s="409"/>
      <c r="O205" s="409"/>
      <c r="P205" s="409"/>
      <c r="Q205" s="409"/>
      <c r="R205" s="409"/>
      <c r="S205" s="409"/>
    </row>
    <row r="206" spans="1:19" s="92" customFormat="1" ht="76.5">
      <c r="A206" s="394" t="s">
        <v>3259</v>
      </c>
      <c r="B206" s="285" t="s">
        <v>14655</v>
      </c>
      <c r="C206" s="285">
        <v>94496</v>
      </c>
      <c r="D206" s="289" t="s">
        <v>2374</v>
      </c>
      <c r="E206" s="290" t="s">
        <v>109</v>
      </c>
      <c r="F206" s="755">
        <v>1</v>
      </c>
      <c r="G206" s="510" t="s">
        <v>23579</v>
      </c>
      <c r="H206" s="508">
        <v>0.2094</v>
      </c>
      <c r="I206" s="510">
        <v>125.366404</v>
      </c>
      <c r="J206" s="509">
        <v>125.366404</v>
      </c>
      <c r="K206" s="409"/>
      <c r="L206" s="447">
        <f t="shared" ref="L206" si="34">I206*F206</f>
        <v>125.366404</v>
      </c>
      <c r="M206" s="447">
        <f t="shared" ref="M206" si="35">L206-J206</f>
        <v>0</v>
      </c>
      <c r="N206" s="298"/>
      <c r="O206" s="298"/>
      <c r="P206" s="298"/>
      <c r="Q206" s="298"/>
      <c r="R206" s="298"/>
      <c r="S206" s="298"/>
    </row>
    <row r="207" spans="1:19" s="92" customFormat="1" ht="76.5">
      <c r="A207" s="394" t="s">
        <v>3259</v>
      </c>
      <c r="B207" s="285" t="s">
        <v>14656</v>
      </c>
      <c r="C207" s="285">
        <v>94497</v>
      </c>
      <c r="D207" s="289" t="s">
        <v>2375</v>
      </c>
      <c r="E207" s="290" t="s">
        <v>109</v>
      </c>
      <c r="F207" s="755">
        <v>2</v>
      </c>
      <c r="G207" s="510" t="s">
        <v>23580</v>
      </c>
      <c r="H207" s="508">
        <v>0.2094</v>
      </c>
      <c r="I207" s="510">
        <v>147.76449200000002</v>
      </c>
      <c r="J207" s="509">
        <v>295.52898400000004</v>
      </c>
      <c r="K207" s="409"/>
      <c r="L207" s="447">
        <f t="shared" si="30"/>
        <v>295.52898400000004</v>
      </c>
      <c r="M207" s="447">
        <f t="shared" si="24"/>
        <v>0</v>
      </c>
      <c r="N207" s="298"/>
      <c r="O207" s="298"/>
      <c r="P207" s="298"/>
      <c r="Q207" s="298"/>
      <c r="R207" s="298"/>
      <c r="S207" s="298"/>
    </row>
    <row r="208" spans="1:19" s="92" customFormat="1" ht="63.75">
      <c r="A208" s="394" t="s">
        <v>3259</v>
      </c>
      <c r="B208" s="285" t="s">
        <v>14657</v>
      </c>
      <c r="C208" s="285">
        <v>94501</v>
      </c>
      <c r="D208" s="289" t="s">
        <v>2379</v>
      </c>
      <c r="E208" s="290" t="s">
        <v>109</v>
      </c>
      <c r="F208" s="755">
        <v>2</v>
      </c>
      <c r="G208" s="510" t="s">
        <v>23584</v>
      </c>
      <c r="H208" s="508">
        <v>0.2094</v>
      </c>
      <c r="I208" s="510">
        <v>828.51156399999991</v>
      </c>
      <c r="J208" s="509">
        <v>1657.0231279999998</v>
      </c>
      <c r="K208" s="409"/>
      <c r="L208" s="447">
        <f t="shared" si="30"/>
        <v>1657.0231279999998</v>
      </c>
      <c r="M208" s="447">
        <f t="shared" si="24"/>
        <v>0</v>
      </c>
      <c r="N208" s="298"/>
      <c r="O208" s="298"/>
      <c r="P208" s="298"/>
      <c r="Q208" s="298"/>
      <c r="R208" s="298"/>
      <c r="S208" s="298"/>
    </row>
    <row r="209" spans="1:19" s="92" customFormat="1">
      <c r="A209" s="256"/>
      <c r="B209" s="287"/>
      <c r="C209" s="287"/>
      <c r="D209" s="400"/>
      <c r="E209" s="415"/>
      <c r="F209" s="415"/>
      <c r="G209" s="462"/>
      <c r="H209" s="415"/>
      <c r="I209" s="462"/>
      <c r="J209" s="416"/>
      <c r="K209" s="298"/>
      <c r="L209" s="447">
        <f t="shared" si="30"/>
        <v>0</v>
      </c>
      <c r="M209" s="447">
        <f t="shared" si="24"/>
        <v>0</v>
      </c>
      <c r="N209" s="298"/>
      <c r="O209" s="298"/>
      <c r="P209" s="298"/>
      <c r="Q209" s="298"/>
      <c r="R209" s="298"/>
      <c r="S209" s="298"/>
    </row>
    <row r="210" spans="1:19" s="92" customFormat="1">
      <c r="A210" s="256"/>
      <c r="B210" s="287" t="s">
        <v>14652</v>
      </c>
      <c r="C210" s="287"/>
      <c r="D210" s="400" t="s">
        <v>11573</v>
      </c>
      <c r="E210" s="415"/>
      <c r="F210" s="415"/>
      <c r="G210" s="462"/>
      <c r="H210" s="415"/>
      <c r="I210" s="462"/>
      <c r="J210" s="416"/>
      <c r="K210" s="298"/>
      <c r="L210" s="447">
        <f t="shared" si="30"/>
        <v>0</v>
      </c>
      <c r="M210" s="447">
        <f t="shared" si="24"/>
        <v>0</v>
      </c>
      <c r="N210" s="298"/>
      <c r="O210" s="298"/>
      <c r="P210" s="298"/>
      <c r="Q210" s="298"/>
      <c r="R210" s="298"/>
      <c r="S210" s="298"/>
    </row>
    <row r="211" spans="1:19" s="140" customFormat="1" ht="38.25">
      <c r="A211" s="394" t="s">
        <v>3259</v>
      </c>
      <c r="B211" s="285" t="s">
        <v>14659</v>
      </c>
      <c r="C211" s="285">
        <v>94799</v>
      </c>
      <c r="D211" s="289" t="s">
        <v>4330</v>
      </c>
      <c r="E211" s="290" t="s">
        <v>109</v>
      </c>
      <c r="F211" s="755">
        <v>2</v>
      </c>
      <c r="G211" s="510" t="s">
        <v>23592</v>
      </c>
      <c r="H211" s="508">
        <v>0.2094</v>
      </c>
      <c r="I211" s="510">
        <v>244.79465400000001</v>
      </c>
      <c r="J211" s="509">
        <v>489.58930800000002</v>
      </c>
      <c r="K211" s="409"/>
      <c r="L211" s="447">
        <f t="shared" si="30"/>
        <v>489.58930800000002</v>
      </c>
      <c r="M211" s="447">
        <f t="shared" si="24"/>
        <v>0</v>
      </c>
      <c r="N211" s="409"/>
      <c r="O211" s="409"/>
      <c r="P211" s="409"/>
      <c r="Q211" s="409"/>
      <c r="R211" s="409"/>
      <c r="S211" s="409"/>
    </row>
    <row r="212" spans="1:19" s="92" customFormat="1" ht="38.25">
      <c r="A212" s="394" t="s">
        <v>3260</v>
      </c>
      <c r="B212" s="285" t="s">
        <v>14660</v>
      </c>
      <c r="C212" s="285" t="s">
        <v>14689</v>
      </c>
      <c r="D212" s="289" t="s">
        <v>17332</v>
      </c>
      <c r="E212" s="290" t="s">
        <v>3240</v>
      </c>
      <c r="F212" s="755">
        <v>1</v>
      </c>
      <c r="G212" s="510">
        <v>20.2</v>
      </c>
      <c r="H212" s="508">
        <v>0.2094</v>
      </c>
      <c r="I212" s="510">
        <v>24.429880000000001</v>
      </c>
      <c r="J212" s="509">
        <v>24.429880000000001</v>
      </c>
      <c r="K212" s="409"/>
      <c r="L212" s="447">
        <f t="shared" si="30"/>
        <v>24.429880000000001</v>
      </c>
      <c r="M212" s="447">
        <f t="shared" si="24"/>
        <v>0</v>
      </c>
      <c r="N212" s="298"/>
      <c r="O212" s="298"/>
      <c r="P212" s="298"/>
      <c r="Q212" s="298"/>
      <c r="R212" s="298"/>
      <c r="S212" s="298"/>
    </row>
    <row r="213" spans="1:19" s="92" customFormat="1" ht="38.25">
      <c r="A213" s="394" t="s">
        <v>3260</v>
      </c>
      <c r="B213" s="285" t="s">
        <v>14661</v>
      </c>
      <c r="C213" s="285" t="s">
        <v>14664</v>
      </c>
      <c r="D213" s="289" t="s">
        <v>18539</v>
      </c>
      <c r="E213" s="290" t="s">
        <v>3240</v>
      </c>
      <c r="F213" s="755">
        <v>2</v>
      </c>
      <c r="G213" s="510">
        <v>22.48</v>
      </c>
      <c r="H213" s="508">
        <v>0.2094</v>
      </c>
      <c r="I213" s="510">
        <v>27.187312000000002</v>
      </c>
      <c r="J213" s="509">
        <v>54.374624000000004</v>
      </c>
      <c r="K213" s="409"/>
      <c r="L213" s="447">
        <f t="shared" si="30"/>
        <v>54.374624000000004</v>
      </c>
      <c r="M213" s="447">
        <f t="shared" si="24"/>
        <v>0</v>
      </c>
      <c r="N213" s="298"/>
      <c r="O213" s="298"/>
      <c r="P213" s="298"/>
      <c r="Q213" s="298"/>
      <c r="R213" s="298"/>
      <c r="S213" s="298"/>
    </row>
    <row r="214" spans="1:19" s="92" customFormat="1">
      <c r="A214" s="256"/>
      <c r="B214" s="287"/>
      <c r="C214" s="287"/>
      <c r="D214" s="400"/>
      <c r="E214" s="415"/>
      <c r="F214" s="415"/>
      <c r="G214" s="462"/>
      <c r="H214" s="415"/>
      <c r="I214" s="462"/>
      <c r="J214" s="416"/>
      <c r="K214" s="298"/>
      <c r="L214" s="447">
        <f t="shared" si="30"/>
        <v>0</v>
      </c>
      <c r="M214" s="447">
        <f t="shared" si="24"/>
        <v>0</v>
      </c>
      <c r="N214" s="298"/>
      <c r="O214" s="298"/>
      <c r="P214" s="298"/>
      <c r="Q214" s="298"/>
      <c r="R214" s="298"/>
      <c r="S214" s="298"/>
    </row>
    <row r="215" spans="1:19" s="92" customFormat="1">
      <c r="A215" s="256"/>
      <c r="B215" s="287" t="s">
        <v>14666</v>
      </c>
      <c r="C215" s="287"/>
      <c r="D215" s="400" t="s">
        <v>14667</v>
      </c>
      <c r="E215" s="415"/>
      <c r="F215" s="415"/>
      <c r="G215" s="462"/>
      <c r="H215" s="415"/>
      <c r="I215" s="462"/>
      <c r="J215" s="416"/>
      <c r="K215" s="298"/>
      <c r="L215" s="447">
        <f t="shared" si="30"/>
        <v>0</v>
      </c>
      <c r="M215" s="447">
        <f t="shared" si="24"/>
        <v>0</v>
      </c>
      <c r="N215" s="298"/>
      <c r="O215" s="298"/>
      <c r="P215" s="298"/>
      <c r="Q215" s="298"/>
      <c r="R215" s="298"/>
      <c r="S215" s="298"/>
    </row>
    <row r="216" spans="1:19" s="140" customFormat="1" ht="38.25">
      <c r="A216" s="394" t="s">
        <v>12</v>
      </c>
      <c r="B216" s="285" t="s">
        <v>14675</v>
      </c>
      <c r="C216" s="285" t="s">
        <v>14614</v>
      </c>
      <c r="D216" s="289" t="s">
        <v>17329</v>
      </c>
      <c r="E216" s="290" t="s">
        <v>109</v>
      </c>
      <c r="F216" s="755">
        <v>2</v>
      </c>
      <c r="G216" s="510">
        <v>31990</v>
      </c>
      <c r="H216" s="508">
        <v>0.1089</v>
      </c>
      <c r="I216" s="510">
        <v>35473.711000000003</v>
      </c>
      <c r="J216" s="509">
        <v>70947.422000000006</v>
      </c>
      <c r="K216" s="409"/>
      <c r="L216" s="447">
        <f t="shared" si="30"/>
        <v>70947.422000000006</v>
      </c>
      <c r="M216" s="447">
        <f t="shared" si="24"/>
        <v>0</v>
      </c>
      <c r="N216" s="409"/>
      <c r="O216" s="409"/>
      <c r="P216" s="409"/>
      <c r="Q216" s="409"/>
      <c r="R216" s="409"/>
      <c r="S216" s="409"/>
    </row>
    <row r="217" spans="1:19" s="92" customFormat="1">
      <c r="A217" s="256"/>
      <c r="B217" s="287"/>
      <c r="C217" s="287"/>
      <c r="D217" s="400"/>
      <c r="E217" s="415"/>
      <c r="F217" s="415"/>
      <c r="G217" s="462"/>
      <c r="H217" s="415"/>
      <c r="I217" s="462"/>
      <c r="J217" s="416"/>
      <c r="K217" s="298"/>
      <c r="L217" s="447">
        <f t="shared" si="30"/>
        <v>0</v>
      </c>
      <c r="M217" s="447">
        <f t="shared" si="24"/>
        <v>0</v>
      </c>
      <c r="N217" s="298"/>
      <c r="O217" s="298"/>
      <c r="P217" s="298"/>
      <c r="Q217" s="298"/>
      <c r="R217" s="298"/>
      <c r="S217" s="298"/>
    </row>
    <row r="218" spans="1:19" s="92" customFormat="1">
      <c r="A218" s="256"/>
      <c r="B218" s="287" t="s">
        <v>14668</v>
      </c>
      <c r="C218" s="287"/>
      <c r="D218" s="400" t="s">
        <v>111</v>
      </c>
      <c r="E218" s="415"/>
      <c r="F218" s="415"/>
      <c r="G218" s="462"/>
      <c r="H218" s="415"/>
      <c r="I218" s="462"/>
      <c r="J218" s="416"/>
      <c r="K218" s="298"/>
      <c r="L218" s="447">
        <f t="shared" si="30"/>
        <v>0</v>
      </c>
      <c r="M218" s="447">
        <f t="shared" si="24"/>
        <v>0</v>
      </c>
      <c r="N218" s="298"/>
      <c r="O218" s="298"/>
      <c r="P218" s="298"/>
      <c r="Q218" s="298"/>
      <c r="R218" s="298"/>
      <c r="S218" s="298"/>
    </row>
    <row r="219" spans="1:19" s="140" customFormat="1" ht="25.5">
      <c r="A219" s="394" t="s">
        <v>3259</v>
      </c>
      <c r="B219" s="285" t="s">
        <v>14669</v>
      </c>
      <c r="C219" s="285">
        <v>90439</v>
      </c>
      <c r="D219" s="289" t="s">
        <v>2406</v>
      </c>
      <c r="E219" s="290" t="s">
        <v>109</v>
      </c>
      <c r="F219" s="755">
        <v>2</v>
      </c>
      <c r="G219" s="510" t="s">
        <v>23628</v>
      </c>
      <c r="H219" s="508">
        <v>0.2094</v>
      </c>
      <c r="I219" s="510">
        <v>66.650034000000005</v>
      </c>
      <c r="J219" s="509">
        <v>133.30006800000001</v>
      </c>
      <c r="K219" s="409"/>
      <c r="L219" s="447">
        <f t="shared" si="30"/>
        <v>133.30006800000001</v>
      </c>
      <c r="M219" s="447">
        <f t="shared" si="24"/>
        <v>0</v>
      </c>
      <c r="N219" s="409"/>
      <c r="O219" s="409"/>
      <c r="P219" s="409"/>
      <c r="Q219" s="409"/>
      <c r="R219" s="409"/>
      <c r="S219" s="409"/>
    </row>
    <row r="220" spans="1:19" s="92" customFormat="1" ht="25.5">
      <c r="A220" s="394" t="s">
        <v>3259</v>
      </c>
      <c r="B220" s="285" t="s">
        <v>14670</v>
      </c>
      <c r="C220" s="285">
        <v>90441</v>
      </c>
      <c r="D220" s="289" t="s">
        <v>2408</v>
      </c>
      <c r="E220" s="290" t="s">
        <v>109</v>
      </c>
      <c r="F220" s="755">
        <v>1</v>
      </c>
      <c r="G220" s="510" t="s">
        <v>23630</v>
      </c>
      <c r="H220" s="508">
        <v>0.2094</v>
      </c>
      <c r="I220" s="510">
        <v>136.37194400000001</v>
      </c>
      <c r="J220" s="509">
        <v>136.37194400000001</v>
      </c>
      <c r="K220" s="409"/>
      <c r="L220" s="447">
        <f t="shared" si="30"/>
        <v>136.37194400000001</v>
      </c>
      <c r="M220" s="447">
        <f t="shared" si="24"/>
        <v>0</v>
      </c>
      <c r="N220" s="298"/>
      <c r="O220" s="298"/>
      <c r="P220" s="298"/>
      <c r="Q220" s="298"/>
      <c r="R220" s="298"/>
      <c r="S220" s="298"/>
    </row>
    <row r="221" spans="1:19" s="92" customFormat="1" ht="38.25">
      <c r="A221" s="394" t="s">
        <v>3259</v>
      </c>
      <c r="B221" s="285" t="s">
        <v>14671</v>
      </c>
      <c r="C221" s="285">
        <v>91190</v>
      </c>
      <c r="D221" s="289" t="s">
        <v>2445</v>
      </c>
      <c r="E221" s="290" t="s">
        <v>109</v>
      </c>
      <c r="F221" s="755">
        <v>2</v>
      </c>
      <c r="G221" s="510" t="s">
        <v>15841</v>
      </c>
      <c r="H221" s="508">
        <v>0.2094</v>
      </c>
      <c r="I221" s="510">
        <v>5.4543939999999997</v>
      </c>
      <c r="J221" s="509">
        <v>10.908787999999999</v>
      </c>
      <c r="K221" s="409"/>
      <c r="L221" s="447">
        <f t="shared" si="30"/>
        <v>10.908787999999999</v>
      </c>
      <c r="M221" s="447">
        <f t="shared" si="24"/>
        <v>0</v>
      </c>
      <c r="N221" s="298"/>
      <c r="O221" s="298"/>
      <c r="P221" s="298"/>
      <c r="Q221" s="298"/>
      <c r="R221" s="298"/>
      <c r="S221" s="298"/>
    </row>
    <row r="222" spans="1:19" s="92" customFormat="1" ht="38.25">
      <c r="A222" s="394" t="s">
        <v>3259</v>
      </c>
      <c r="B222" s="285" t="s">
        <v>14672</v>
      </c>
      <c r="C222" s="285">
        <v>91192</v>
      </c>
      <c r="D222" s="289" t="s">
        <v>2447</v>
      </c>
      <c r="E222" s="290" t="s">
        <v>109</v>
      </c>
      <c r="F222" s="755">
        <v>1</v>
      </c>
      <c r="G222" s="510" t="s">
        <v>18766</v>
      </c>
      <c r="H222" s="508">
        <v>0.2094</v>
      </c>
      <c r="I222" s="510">
        <v>6.4219140000000001</v>
      </c>
      <c r="J222" s="509">
        <v>6.4219140000000001</v>
      </c>
      <c r="K222" s="409"/>
      <c r="L222" s="447">
        <f t="shared" si="30"/>
        <v>6.4219140000000001</v>
      </c>
      <c r="M222" s="447">
        <f t="shared" si="24"/>
        <v>0</v>
      </c>
      <c r="N222" s="298"/>
      <c r="O222" s="298"/>
      <c r="P222" s="298"/>
      <c r="Q222" s="298"/>
      <c r="R222" s="298"/>
      <c r="S222" s="298"/>
    </row>
    <row r="223" spans="1:19" s="92" customFormat="1" ht="38.25">
      <c r="A223" s="394" t="s">
        <v>3259</v>
      </c>
      <c r="B223" s="285" t="s">
        <v>14673</v>
      </c>
      <c r="C223" s="285">
        <v>90443</v>
      </c>
      <c r="D223" s="289" t="s">
        <v>130</v>
      </c>
      <c r="E223" s="290" t="s">
        <v>5</v>
      </c>
      <c r="F223" s="755">
        <v>1.2</v>
      </c>
      <c r="G223" s="510" t="s">
        <v>16337</v>
      </c>
      <c r="H223" s="508">
        <v>0.2094</v>
      </c>
      <c r="I223" s="510">
        <v>14.246732</v>
      </c>
      <c r="J223" s="509">
        <v>17.0960784</v>
      </c>
      <c r="K223" s="409"/>
      <c r="L223" s="447">
        <f t="shared" si="30"/>
        <v>17.0960784</v>
      </c>
      <c r="M223" s="447">
        <f t="shared" si="24"/>
        <v>0</v>
      </c>
      <c r="N223" s="298"/>
      <c r="O223" s="298"/>
      <c r="P223" s="298"/>
      <c r="Q223" s="298"/>
      <c r="R223" s="298"/>
      <c r="S223" s="298"/>
    </row>
    <row r="224" spans="1:19" s="92" customFormat="1" ht="38.25">
      <c r="A224" s="394" t="s">
        <v>3259</v>
      </c>
      <c r="B224" s="285" t="s">
        <v>14674</v>
      </c>
      <c r="C224" s="285">
        <v>90466</v>
      </c>
      <c r="D224" s="289" t="s">
        <v>132</v>
      </c>
      <c r="E224" s="290" t="s">
        <v>5</v>
      </c>
      <c r="F224" s="755">
        <v>1.2</v>
      </c>
      <c r="G224" s="510" t="s">
        <v>19074</v>
      </c>
      <c r="H224" s="508">
        <v>0.2094</v>
      </c>
      <c r="I224" s="510">
        <v>14.065322000000002</v>
      </c>
      <c r="J224" s="509">
        <v>16.8783864</v>
      </c>
      <c r="K224" s="409"/>
      <c r="L224" s="447">
        <f t="shared" si="30"/>
        <v>16.8783864</v>
      </c>
      <c r="M224" s="447">
        <f t="shared" si="24"/>
        <v>0</v>
      </c>
      <c r="N224" s="298"/>
      <c r="O224" s="298"/>
      <c r="P224" s="298"/>
      <c r="Q224" s="298"/>
      <c r="R224" s="298"/>
      <c r="S224" s="298"/>
    </row>
    <row r="225" spans="1:19" s="92" customFormat="1" ht="38.25">
      <c r="A225" s="394" t="s">
        <v>3259</v>
      </c>
      <c r="B225" s="285" t="s">
        <v>14679</v>
      </c>
      <c r="C225" s="285">
        <v>93358</v>
      </c>
      <c r="D225" s="289" t="s">
        <v>16227</v>
      </c>
      <c r="E225" s="290" t="s">
        <v>209</v>
      </c>
      <c r="F225" s="755">
        <v>8.16</v>
      </c>
      <c r="G225" s="510" t="s">
        <v>23682</v>
      </c>
      <c r="H225" s="508">
        <v>0.2094</v>
      </c>
      <c r="I225" s="510">
        <v>84.246803999999997</v>
      </c>
      <c r="J225" s="509">
        <v>687.45392063999998</v>
      </c>
      <c r="K225" s="409"/>
      <c r="L225" s="447">
        <f t="shared" si="30"/>
        <v>687.45392063999998</v>
      </c>
      <c r="M225" s="447">
        <f t="shared" si="24"/>
        <v>0</v>
      </c>
      <c r="N225" s="298"/>
      <c r="O225" s="298"/>
      <c r="P225" s="298"/>
      <c r="Q225" s="298"/>
      <c r="R225" s="298"/>
      <c r="S225" s="298"/>
    </row>
    <row r="226" spans="1:19" s="92" customFormat="1" ht="38.25">
      <c r="A226" s="394" t="s">
        <v>3259</v>
      </c>
      <c r="B226" s="285" t="s">
        <v>14680</v>
      </c>
      <c r="C226" s="288">
        <v>101616</v>
      </c>
      <c r="D226" s="289" t="s">
        <v>13664</v>
      </c>
      <c r="E226" s="290" t="s">
        <v>193</v>
      </c>
      <c r="F226" s="755">
        <v>14.63</v>
      </c>
      <c r="G226" s="510" t="s">
        <v>11219</v>
      </c>
      <c r="H226" s="508">
        <v>0.2094</v>
      </c>
      <c r="I226" s="510">
        <v>6.3735379999999999</v>
      </c>
      <c r="J226" s="509">
        <v>93.244860940000009</v>
      </c>
      <c r="K226" s="409"/>
      <c r="L226" s="447">
        <f t="shared" si="30"/>
        <v>93.244860940000009</v>
      </c>
      <c r="M226" s="447">
        <f t="shared" si="24"/>
        <v>0</v>
      </c>
      <c r="N226" s="298"/>
      <c r="O226" s="298"/>
      <c r="P226" s="298"/>
      <c r="Q226" s="298"/>
      <c r="R226" s="298"/>
      <c r="S226" s="298"/>
    </row>
    <row r="227" spans="1:19" s="92" customFormat="1" ht="25.5">
      <c r="A227" s="394" t="s">
        <v>3259</v>
      </c>
      <c r="B227" s="285" t="s">
        <v>14681</v>
      </c>
      <c r="C227" s="288">
        <v>93382</v>
      </c>
      <c r="D227" s="289" t="s">
        <v>2501</v>
      </c>
      <c r="E227" s="290" t="s">
        <v>209</v>
      </c>
      <c r="F227" s="755">
        <v>7.76</v>
      </c>
      <c r="G227" s="510" t="s">
        <v>16369</v>
      </c>
      <c r="H227" s="508">
        <v>0.2094</v>
      </c>
      <c r="I227" s="510">
        <v>30.380128000000003</v>
      </c>
      <c r="J227" s="509">
        <v>235.74979328000001</v>
      </c>
      <c r="K227" s="409"/>
      <c r="L227" s="447">
        <f t="shared" si="30"/>
        <v>235.74979328000001</v>
      </c>
      <c r="M227" s="447">
        <f t="shared" ref="M227:M291" si="36">L227-J227</f>
        <v>0</v>
      </c>
      <c r="N227" s="298"/>
      <c r="O227" s="298"/>
      <c r="P227" s="298"/>
      <c r="Q227" s="298"/>
      <c r="R227" s="298"/>
      <c r="S227" s="298"/>
    </row>
    <row r="228" spans="1:19" s="92" customFormat="1" ht="63.75">
      <c r="A228" s="394" t="s">
        <v>3259</v>
      </c>
      <c r="B228" s="285" t="s">
        <v>14682</v>
      </c>
      <c r="C228" s="285">
        <v>91173</v>
      </c>
      <c r="D228" s="289" t="s">
        <v>2428</v>
      </c>
      <c r="E228" s="290" t="s">
        <v>5</v>
      </c>
      <c r="F228" s="755">
        <v>19.82</v>
      </c>
      <c r="G228" s="510" t="s">
        <v>10430</v>
      </c>
      <c r="H228" s="508">
        <v>0.2094</v>
      </c>
      <c r="I228" s="510">
        <v>1.584314</v>
      </c>
      <c r="J228" s="509">
        <v>31.40110348</v>
      </c>
      <c r="K228" s="409"/>
      <c r="L228" s="447">
        <f t="shared" ref="L228" si="37">I228*F228</f>
        <v>31.40110348</v>
      </c>
      <c r="M228" s="447">
        <f t="shared" ref="M228" si="38">L228-J228</f>
        <v>0</v>
      </c>
      <c r="N228" s="298"/>
      <c r="O228" s="298"/>
      <c r="P228" s="298"/>
      <c r="Q228" s="298"/>
      <c r="R228" s="298"/>
      <c r="S228" s="298"/>
    </row>
    <row r="229" spans="1:19" s="92" customFormat="1" ht="76.5">
      <c r="A229" s="394" t="s">
        <v>3259</v>
      </c>
      <c r="B229" s="285" t="s">
        <v>14683</v>
      </c>
      <c r="C229" s="285">
        <v>91174</v>
      </c>
      <c r="D229" s="289" t="s">
        <v>2429</v>
      </c>
      <c r="E229" s="290" t="s">
        <v>5</v>
      </c>
      <c r="F229" s="755">
        <v>11.690000000000001</v>
      </c>
      <c r="G229" s="510" t="s">
        <v>20318</v>
      </c>
      <c r="H229" s="508">
        <v>0.2094</v>
      </c>
      <c r="I229" s="510">
        <v>3.108158</v>
      </c>
      <c r="J229" s="509">
        <v>36.334367020000002</v>
      </c>
      <c r="K229" s="409"/>
      <c r="L229" s="447">
        <f t="shared" si="30"/>
        <v>36.334367020000002</v>
      </c>
      <c r="M229" s="447">
        <f t="shared" si="36"/>
        <v>0</v>
      </c>
      <c r="N229" s="298"/>
      <c r="O229" s="298"/>
      <c r="P229" s="298"/>
      <c r="Q229" s="298"/>
      <c r="R229" s="298"/>
      <c r="S229" s="298"/>
    </row>
    <row r="230" spans="1:19" s="92" customFormat="1" ht="63.75">
      <c r="A230" s="394" t="s">
        <v>3259</v>
      </c>
      <c r="B230" s="285" t="s">
        <v>14684</v>
      </c>
      <c r="C230" s="285">
        <v>91175</v>
      </c>
      <c r="D230" s="289" t="s">
        <v>2430</v>
      </c>
      <c r="E230" s="290" t="s">
        <v>5</v>
      </c>
      <c r="F230" s="755">
        <v>10.68</v>
      </c>
      <c r="G230" s="510" t="s">
        <v>9857</v>
      </c>
      <c r="H230" s="508">
        <v>0.2094</v>
      </c>
      <c r="I230" s="510">
        <v>5.0794800000000002</v>
      </c>
      <c r="J230" s="509">
        <v>54.248846399999998</v>
      </c>
      <c r="K230" s="409"/>
      <c r="L230" s="447">
        <f t="shared" si="30"/>
        <v>54.248846399999998</v>
      </c>
      <c r="M230" s="447">
        <f t="shared" si="36"/>
        <v>0</v>
      </c>
      <c r="N230" s="298"/>
      <c r="O230" s="298"/>
      <c r="P230" s="298"/>
      <c r="Q230" s="298"/>
      <c r="R230" s="298"/>
      <c r="S230" s="298"/>
    </row>
    <row r="231" spans="1:19" s="92" customFormat="1">
      <c r="A231" s="394"/>
      <c r="B231" s="285"/>
      <c r="C231" s="285"/>
      <c r="D231" s="407"/>
      <c r="E231" s="230"/>
      <c r="F231" s="426"/>
      <c r="G231" s="464"/>
      <c r="H231" s="427"/>
      <c r="I231" s="464"/>
      <c r="J231" s="428"/>
      <c r="K231" s="409"/>
      <c r="L231" s="447">
        <f t="shared" si="30"/>
        <v>0</v>
      </c>
      <c r="M231" s="447">
        <f t="shared" si="36"/>
        <v>0</v>
      </c>
      <c r="N231" s="298"/>
      <c r="O231" s="298"/>
      <c r="P231" s="298"/>
      <c r="Q231" s="298"/>
      <c r="R231" s="298"/>
      <c r="S231" s="298"/>
    </row>
    <row r="232" spans="1:19" s="92" customFormat="1">
      <c r="A232" s="256"/>
      <c r="B232" s="390" t="s">
        <v>18013</v>
      </c>
      <c r="C232" s="390"/>
      <c r="D232" s="399" t="s">
        <v>18014</v>
      </c>
      <c r="E232" s="413"/>
      <c r="F232" s="413"/>
      <c r="G232" s="461"/>
      <c r="H232" s="413"/>
      <c r="I232" s="461"/>
      <c r="J232" s="414"/>
      <c r="K232" s="298"/>
      <c r="L232" s="447">
        <f t="shared" si="30"/>
        <v>0</v>
      </c>
      <c r="M232" s="447">
        <f t="shared" si="36"/>
        <v>0</v>
      </c>
      <c r="N232" s="298"/>
      <c r="O232" s="298"/>
      <c r="P232" s="298"/>
      <c r="Q232" s="298"/>
      <c r="R232" s="298"/>
      <c r="S232" s="298"/>
    </row>
    <row r="233" spans="1:19" s="92" customFormat="1">
      <c r="A233" s="256"/>
      <c r="B233" s="287" t="s">
        <v>18015</v>
      </c>
      <c r="C233" s="287"/>
      <c r="D233" s="400" t="s">
        <v>18016</v>
      </c>
      <c r="E233" s="415"/>
      <c r="F233" s="415"/>
      <c r="G233" s="462"/>
      <c r="H233" s="415"/>
      <c r="I233" s="462"/>
      <c r="J233" s="416"/>
      <c r="K233" s="298"/>
      <c r="L233" s="447">
        <f t="shared" si="30"/>
        <v>0</v>
      </c>
      <c r="M233" s="447">
        <f t="shared" si="36"/>
        <v>0</v>
      </c>
      <c r="N233" s="256"/>
      <c r="O233" s="256"/>
      <c r="P233" s="256"/>
      <c r="Q233" s="256"/>
      <c r="R233" s="256"/>
      <c r="S233" s="256"/>
    </row>
    <row r="234" spans="1:19" s="140" customFormat="1" ht="63.75">
      <c r="A234" s="256" t="s">
        <v>3259</v>
      </c>
      <c r="B234" s="288" t="s">
        <v>18017</v>
      </c>
      <c r="C234" s="285">
        <v>94719</v>
      </c>
      <c r="D234" s="289" t="s">
        <v>1819</v>
      </c>
      <c r="E234" s="290" t="s">
        <v>5</v>
      </c>
      <c r="F234" s="292">
        <v>24.36</v>
      </c>
      <c r="G234" s="510" t="s">
        <v>22969</v>
      </c>
      <c r="H234" s="508">
        <v>0.2094</v>
      </c>
      <c r="I234" s="510">
        <v>53.552232000000004</v>
      </c>
      <c r="J234" s="509">
        <v>1304.53237152</v>
      </c>
      <c r="K234" s="409"/>
      <c r="L234" s="447">
        <f t="shared" si="30"/>
        <v>1304.53237152</v>
      </c>
      <c r="M234" s="447">
        <f t="shared" si="36"/>
        <v>0</v>
      </c>
      <c r="N234" s="409"/>
      <c r="O234" s="409"/>
      <c r="P234" s="409"/>
      <c r="Q234" s="409"/>
      <c r="R234" s="409"/>
      <c r="S234" s="409"/>
    </row>
    <row r="235" spans="1:19" s="140" customFormat="1" ht="63.75">
      <c r="A235" s="256" t="s">
        <v>3259</v>
      </c>
      <c r="B235" s="288" t="s">
        <v>18018</v>
      </c>
      <c r="C235" s="285">
        <v>94746</v>
      </c>
      <c r="D235" s="289" t="s">
        <v>2316</v>
      </c>
      <c r="E235" s="290" t="s">
        <v>109</v>
      </c>
      <c r="F235" s="292">
        <v>8</v>
      </c>
      <c r="G235" s="510" t="s">
        <v>12420</v>
      </c>
      <c r="H235" s="508">
        <v>0.2094</v>
      </c>
      <c r="I235" s="510">
        <v>37.285801999999997</v>
      </c>
      <c r="J235" s="509">
        <v>298.28641599999997</v>
      </c>
      <c r="K235" s="409"/>
      <c r="L235" s="447">
        <f t="shared" si="30"/>
        <v>298.28641599999997</v>
      </c>
      <c r="M235" s="447">
        <f t="shared" si="36"/>
        <v>0</v>
      </c>
      <c r="N235" s="409"/>
      <c r="O235" s="409"/>
      <c r="P235" s="409"/>
      <c r="Q235" s="409"/>
      <c r="R235" s="409"/>
      <c r="S235" s="409"/>
    </row>
    <row r="236" spans="1:19" s="140" customFormat="1" ht="15" customHeight="1">
      <c r="A236" s="256"/>
      <c r="B236" s="598"/>
      <c r="C236" s="599"/>
      <c r="D236" s="599"/>
      <c r="E236" s="599"/>
      <c r="F236" s="599"/>
      <c r="G236" s="599"/>
      <c r="H236" s="599"/>
      <c r="I236" s="599"/>
      <c r="J236" s="599"/>
      <c r="K236" s="409"/>
      <c r="L236" s="447">
        <f t="shared" si="30"/>
        <v>0</v>
      </c>
      <c r="M236" s="447">
        <f t="shared" si="36"/>
        <v>0</v>
      </c>
      <c r="N236" s="409"/>
      <c r="O236" s="409"/>
      <c r="P236" s="409"/>
      <c r="Q236" s="409"/>
      <c r="R236" s="409"/>
      <c r="S236" s="409"/>
    </row>
    <row r="237" spans="1:19" s="92" customFormat="1">
      <c r="A237" s="256"/>
      <c r="B237" s="390" t="s">
        <v>18019</v>
      </c>
      <c r="C237" s="390"/>
      <c r="D237" s="400" t="s">
        <v>111</v>
      </c>
      <c r="E237" s="415"/>
      <c r="F237" s="415"/>
      <c r="G237" s="462"/>
      <c r="H237" s="415"/>
      <c r="I237" s="462"/>
      <c r="J237" s="416"/>
      <c r="K237" s="298"/>
      <c r="L237" s="447">
        <f t="shared" si="30"/>
        <v>0</v>
      </c>
      <c r="M237" s="447">
        <f t="shared" si="36"/>
        <v>0</v>
      </c>
      <c r="N237" s="298"/>
      <c r="O237" s="298"/>
      <c r="P237" s="298"/>
      <c r="Q237" s="298"/>
      <c r="R237" s="298"/>
      <c r="S237" s="298"/>
    </row>
    <row r="238" spans="1:19" s="140" customFormat="1" ht="48.75" customHeight="1">
      <c r="A238" s="394" t="s">
        <v>3259</v>
      </c>
      <c r="B238" s="285" t="s">
        <v>18020</v>
      </c>
      <c r="C238" s="285">
        <v>93358</v>
      </c>
      <c r="D238" s="289" t="s">
        <v>16227</v>
      </c>
      <c r="E238" s="290" t="s">
        <v>209</v>
      </c>
      <c r="F238" s="755">
        <v>3.6539999999999999</v>
      </c>
      <c r="G238" s="510" t="s">
        <v>23682</v>
      </c>
      <c r="H238" s="508">
        <v>0.2094</v>
      </c>
      <c r="I238" s="510">
        <v>84.246803999999997</v>
      </c>
      <c r="J238" s="509">
        <v>307.83782181599997</v>
      </c>
      <c r="K238" s="409"/>
      <c r="L238" s="447">
        <f t="shared" si="30"/>
        <v>307.83782181599997</v>
      </c>
      <c r="M238" s="447">
        <f t="shared" si="36"/>
        <v>0</v>
      </c>
      <c r="N238" s="409"/>
      <c r="O238" s="409"/>
      <c r="P238" s="409"/>
      <c r="Q238" s="409"/>
      <c r="R238" s="409"/>
      <c r="S238" s="409"/>
    </row>
    <row r="239" spans="1:19" s="140" customFormat="1" ht="38.25">
      <c r="A239" s="394" t="s">
        <v>3259</v>
      </c>
      <c r="B239" s="285" t="s">
        <v>18021</v>
      </c>
      <c r="C239" s="288">
        <v>101616</v>
      </c>
      <c r="D239" s="289" t="s">
        <v>13664</v>
      </c>
      <c r="E239" s="290" t="s">
        <v>193</v>
      </c>
      <c r="F239" s="755">
        <v>7.3079999999999998</v>
      </c>
      <c r="G239" s="510" t="s">
        <v>11219</v>
      </c>
      <c r="H239" s="508">
        <v>0.2094</v>
      </c>
      <c r="I239" s="510">
        <v>6.3735379999999999</v>
      </c>
      <c r="J239" s="509">
        <v>46.577815703999995</v>
      </c>
      <c r="K239" s="409"/>
      <c r="L239" s="447">
        <f t="shared" si="30"/>
        <v>46.577815703999995</v>
      </c>
      <c r="M239" s="447">
        <f t="shared" si="36"/>
        <v>0</v>
      </c>
      <c r="N239" s="409"/>
      <c r="O239" s="409"/>
      <c r="P239" s="409"/>
      <c r="Q239" s="409"/>
      <c r="R239" s="409"/>
      <c r="S239" s="409"/>
    </row>
    <row r="240" spans="1:19" s="140" customFormat="1" ht="25.5">
      <c r="A240" s="394" t="s">
        <v>3259</v>
      </c>
      <c r="B240" s="285" t="s">
        <v>18022</v>
      </c>
      <c r="C240" s="288">
        <v>93382</v>
      </c>
      <c r="D240" s="289" t="s">
        <v>2501</v>
      </c>
      <c r="E240" s="290" t="s">
        <v>209</v>
      </c>
      <c r="F240" s="755">
        <v>3.5</v>
      </c>
      <c r="G240" s="510" t="s">
        <v>16369</v>
      </c>
      <c r="H240" s="508">
        <v>0.2094</v>
      </c>
      <c r="I240" s="510">
        <v>30.380128000000003</v>
      </c>
      <c r="J240" s="509">
        <v>106.330448</v>
      </c>
      <c r="K240" s="409"/>
      <c r="L240" s="447">
        <f t="shared" si="30"/>
        <v>106.330448</v>
      </c>
      <c r="M240" s="447">
        <f t="shared" si="36"/>
        <v>0</v>
      </c>
      <c r="N240" s="409"/>
      <c r="O240" s="409"/>
      <c r="P240" s="409"/>
      <c r="Q240" s="409"/>
      <c r="R240" s="409"/>
      <c r="S240" s="409"/>
    </row>
    <row r="241" spans="1:19" s="140" customFormat="1" ht="21" customHeight="1">
      <c r="A241" s="394" t="s">
        <v>18023</v>
      </c>
      <c r="B241" s="285" t="s">
        <v>18024</v>
      </c>
      <c r="C241" s="285" t="s">
        <v>14697</v>
      </c>
      <c r="D241" s="289" t="s">
        <v>14699</v>
      </c>
      <c r="E241" s="290" t="s">
        <v>3241</v>
      </c>
      <c r="F241" s="755">
        <v>1.218</v>
      </c>
      <c r="G241" s="510">
        <v>165.58999999999997</v>
      </c>
      <c r="H241" s="508">
        <v>0.2094</v>
      </c>
      <c r="I241" s="510">
        <v>200.26454599999997</v>
      </c>
      <c r="J241" s="509">
        <v>243.92221702799995</v>
      </c>
      <c r="K241" s="409"/>
      <c r="L241" s="447">
        <f t="shared" si="30"/>
        <v>243.92221702799995</v>
      </c>
      <c r="M241" s="447">
        <f t="shared" si="36"/>
        <v>0</v>
      </c>
      <c r="N241" s="409"/>
      <c r="O241" s="409"/>
      <c r="P241" s="409"/>
      <c r="Q241" s="409"/>
      <c r="R241" s="409"/>
      <c r="S241" s="409"/>
    </row>
    <row r="242" spans="1:19" s="92" customFormat="1">
      <c r="A242" s="256"/>
      <c r="B242" s="287"/>
      <c r="C242" s="287"/>
      <c r="D242" s="400"/>
      <c r="E242" s="415"/>
      <c r="F242" s="415"/>
      <c r="G242" s="462"/>
      <c r="H242" s="415"/>
      <c r="I242" s="462"/>
      <c r="J242" s="416"/>
      <c r="K242" s="298"/>
      <c r="L242" s="447">
        <f t="shared" si="30"/>
        <v>0</v>
      </c>
      <c r="M242" s="447">
        <f t="shared" si="36"/>
        <v>0</v>
      </c>
      <c r="N242" s="298"/>
      <c r="O242" s="298"/>
      <c r="P242" s="298"/>
      <c r="Q242" s="298"/>
      <c r="R242" s="298"/>
      <c r="S242" s="298"/>
    </row>
    <row r="243" spans="1:19" s="92" customFormat="1">
      <c r="A243" s="256"/>
      <c r="B243" s="287" t="s">
        <v>9612</v>
      </c>
      <c r="C243" s="287"/>
      <c r="D243" s="400" t="s">
        <v>9613</v>
      </c>
      <c r="E243" s="415"/>
      <c r="F243" s="415"/>
      <c r="G243" s="462"/>
      <c r="H243" s="415"/>
      <c r="I243" s="462"/>
      <c r="J243" s="416"/>
      <c r="K243" s="298"/>
      <c r="L243" s="447">
        <f t="shared" si="30"/>
        <v>0</v>
      </c>
      <c r="M243" s="447">
        <f t="shared" si="36"/>
        <v>0</v>
      </c>
      <c r="N243" s="298"/>
      <c r="O243" s="298"/>
      <c r="P243" s="298"/>
      <c r="Q243" s="298"/>
      <c r="R243" s="298"/>
      <c r="S243" s="298"/>
    </row>
    <row r="244" spans="1:19" s="92" customFormat="1">
      <c r="A244" s="256"/>
      <c r="B244" s="287" t="s">
        <v>9616</v>
      </c>
      <c r="C244" s="287"/>
      <c r="D244" s="400" t="s">
        <v>9617</v>
      </c>
      <c r="E244" s="415"/>
      <c r="F244" s="415"/>
      <c r="G244" s="462"/>
      <c r="H244" s="415"/>
      <c r="I244" s="462"/>
      <c r="J244" s="416"/>
      <c r="K244" s="298"/>
      <c r="L244" s="447">
        <f t="shared" si="30"/>
        <v>0</v>
      </c>
      <c r="M244" s="447">
        <f t="shared" si="36"/>
        <v>0</v>
      </c>
      <c r="N244" s="298"/>
      <c r="O244" s="298"/>
      <c r="P244" s="298"/>
      <c r="Q244" s="298"/>
      <c r="R244" s="298"/>
      <c r="S244" s="298"/>
    </row>
    <row r="245" spans="1:19" s="140" customFormat="1" ht="25.5">
      <c r="A245" s="394" t="s">
        <v>3260</v>
      </c>
      <c r="B245" s="285" t="s">
        <v>9614</v>
      </c>
      <c r="C245" s="285" t="s">
        <v>17904</v>
      </c>
      <c r="D245" s="289" t="s">
        <v>14799</v>
      </c>
      <c r="E245" s="290" t="s">
        <v>3243</v>
      </c>
      <c r="F245" s="755">
        <v>40.799999999999997</v>
      </c>
      <c r="G245" s="510">
        <v>84.24</v>
      </c>
      <c r="H245" s="508">
        <v>0.2094</v>
      </c>
      <c r="I245" s="510">
        <v>101.87985599999999</v>
      </c>
      <c r="J245" s="509">
        <v>4156.6981247999993</v>
      </c>
      <c r="K245" s="409"/>
      <c r="L245" s="447">
        <f t="shared" si="30"/>
        <v>4156.6981247999993</v>
      </c>
      <c r="M245" s="447">
        <f t="shared" si="36"/>
        <v>0</v>
      </c>
      <c r="N245" s="409"/>
      <c r="O245" s="409"/>
      <c r="P245" s="409"/>
      <c r="Q245" s="409"/>
      <c r="R245" s="409"/>
      <c r="S245" s="409"/>
    </row>
    <row r="246" spans="1:19" s="140" customFormat="1" ht="25.5">
      <c r="A246" s="394" t="s">
        <v>3260</v>
      </c>
      <c r="B246" s="285" t="s">
        <v>9615</v>
      </c>
      <c r="C246" s="285" t="s">
        <v>17906</v>
      </c>
      <c r="D246" s="289" t="s">
        <v>14800</v>
      </c>
      <c r="E246" s="290" t="s">
        <v>3243</v>
      </c>
      <c r="F246" s="755">
        <v>3.2</v>
      </c>
      <c r="G246" s="510">
        <v>140.08000000000001</v>
      </c>
      <c r="H246" s="508">
        <v>0.2094</v>
      </c>
      <c r="I246" s="510">
        <v>169.41275200000001</v>
      </c>
      <c r="J246" s="509">
        <v>542.12080640000011</v>
      </c>
      <c r="K246" s="409"/>
      <c r="L246" s="447">
        <f t="shared" ref="L246:L305" si="39">I246*F246</f>
        <v>542.12080640000011</v>
      </c>
      <c r="M246" s="447">
        <f t="shared" si="36"/>
        <v>0</v>
      </c>
      <c r="N246" s="409"/>
      <c r="O246" s="409"/>
      <c r="P246" s="409"/>
      <c r="Q246" s="409"/>
      <c r="R246" s="409"/>
      <c r="S246" s="409"/>
    </row>
    <row r="247" spans="1:19" s="140" customFormat="1" ht="25.5">
      <c r="A247" s="394" t="s">
        <v>3260</v>
      </c>
      <c r="B247" s="285" t="s">
        <v>14686</v>
      </c>
      <c r="C247" s="285" t="s">
        <v>17908</v>
      </c>
      <c r="D247" s="289" t="s">
        <v>18710</v>
      </c>
      <c r="E247" s="290" t="s">
        <v>3243</v>
      </c>
      <c r="F247" s="755">
        <v>63.1</v>
      </c>
      <c r="G247" s="510">
        <v>237.55</v>
      </c>
      <c r="H247" s="508">
        <v>0.2094</v>
      </c>
      <c r="I247" s="510">
        <v>287.29297000000003</v>
      </c>
      <c r="J247" s="509">
        <v>18128.186407000001</v>
      </c>
      <c r="K247" s="409"/>
      <c r="L247" s="447">
        <f t="shared" si="39"/>
        <v>18128.186407000001</v>
      </c>
      <c r="M247" s="447">
        <f t="shared" si="36"/>
        <v>0</v>
      </c>
      <c r="N247" s="409"/>
      <c r="O247" s="409"/>
      <c r="P247" s="409"/>
      <c r="Q247" s="409"/>
      <c r="R247" s="409"/>
      <c r="S247" s="409"/>
    </row>
    <row r="248" spans="1:19" s="140" customFormat="1" ht="38.25">
      <c r="A248" s="394" t="s">
        <v>3259</v>
      </c>
      <c r="B248" s="285" t="s">
        <v>14687</v>
      </c>
      <c r="C248" s="285">
        <v>89512</v>
      </c>
      <c r="D248" s="289" t="s">
        <v>1768</v>
      </c>
      <c r="E248" s="290" t="s">
        <v>5</v>
      </c>
      <c r="F248" s="755">
        <v>111.32</v>
      </c>
      <c r="G248" s="510" t="s">
        <v>20939</v>
      </c>
      <c r="H248" s="508">
        <v>0.2094</v>
      </c>
      <c r="I248" s="510">
        <v>77.740232000000006</v>
      </c>
      <c r="J248" s="509">
        <v>8654.0426262399997</v>
      </c>
      <c r="K248" s="409"/>
      <c r="L248" s="447">
        <f t="shared" si="39"/>
        <v>8654.0426262399997</v>
      </c>
      <c r="M248" s="447">
        <f t="shared" si="36"/>
        <v>0</v>
      </c>
      <c r="N248" s="409"/>
      <c r="O248" s="409"/>
      <c r="P248" s="409"/>
      <c r="Q248" s="409"/>
      <c r="R248" s="409"/>
      <c r="S248" s="409"/>
    </row>
    <row r="249" spans="1:19" s="140" customFormat="1">
      <c r="A249" s="394"/>
      <c r="B249" s="285"/>
      <c r="C249" s="285"/>
      <c r="D249" s="407"/>
      <c r="E249" s="230"/>
      <c r="F249" s="426"/>
      <c r="G249" s="464"/>
      <c r="H249" s="427"/>
      <c r="I249" s="462"/>
      <c r="J249" s="416"/>
      <c r="K249" s="409"/>
      <c r="L249" s="447">
        <f t="shared" si="39"/>
        <v>0</v>
      </c>
      <c r="M249" s="447">
        <f t="shared" si="36"/>
        <v>0</v>
      </c>
      <c r="N249" s="409"/>
      <c r="O249" s="409"/>
      <c r="P249" s="409"/>
      <c r="Q249" s="409"/>
      <c r="R249" s="409"/>
      <c r="S249" s="409"/>
    </row>
    <row r="250" spans="1:19" s="92" customFormat="1">
      <c r="A250" s="256"/>
      <c r="B250" s="287" t="s">
        <v>9624</v>
      </c>
      <c r="C250" s="287"/>
      <c r="D250" s="400" t="s">
        <v>11573</v>
      </c>
      <c r="E250" s="415"/>
      <c r="F250" s="415"/>
      <c r="G250" s="462"/>
      <c r="H250" s="415"/>
      <c r="I250" s="462"/>
      <c r="J250" s="416"/>
      <c r="K250" s="298"/>
      <c r="L250" s="447">
        <f t="shared" si="39"/>
        <v>0</v>
      </c>
      <c r="M250" s="447">
        <f t="shared" si="36"/>
        <v>0</v>
      </c>
      <c r="N250" s="298"/>
      <c r="O250" s="298"/>
      <c r="P250" s="298"/>
      <c r="Q250" s="298"/>
      <c r="R250" s="298"/>
      <c r="S250" s="298"/>
    </row>
    <row r="251" spans="1:19" s="140" customFormat="1" ht="63.75">
      <c r="A251" s="394" t="s">
        <v>3260</v>
      </c>
      <c r="B251" s="285" t="s">
        <v>9625</v>
      </c>
      <c r="C251" s="285" t="s">
        <v>17407</v>
      </c>
      <c r="D251" s="289" t="s">
        <v>17408</v>
      </c>
      <c r="E251" s="290" t="s">
        <v>3240</v>
      </c>
      <c r="F251" s="755">
        <v>9</v>
      </c>
      <c r="G251" s="510">
        <v>702.72</v>
      </c>
      <c r="H251" s="508">
        <v>0.2094</v>
      </c>
      <c r="I251" s="510">
        <v>849.86956800000007</v>
      </c>
      <c r="J251" s="509">
        <v>7648.8261120000006</v>
      </c>
      <c r="K251" s="409"/>
      <c r="L251" s="447">
        <f t="shared" si="39"/>
        <v>7648.8261120000006</v>
      </c>
      <c r="M251" s="447">
        <f t="shared" si="36"/>
        <v>0</v>
      </c>
      <c r="N251" s="409"/>
      <c r="O251" s="409"/>
      <c r="P251" s="409"/>
      <c r="Q251" s="409"/>
      <c r="R251" s="409"/>
      <c r="S251" s="409"/>
    </row>
    <row r="252" spans="1:19" s="140" customFormat="1" ht="76.5">
      <c r="A252" s="394" t="s">
        <v>3259</v>
      </c>
      <c r="B252" s="285" t="s">
        <v>9631</v>
      </c>
      <c r="C252" s="285">
        <v>98420</v>
      </c>
      <c r="D252" s="289" t="s">
        <v>3987</v>
      </c>
      <c r="E252" s="290" t="s">
        <v>109</v>
      </c>
      <c r="F252" s="755">
        <v>1</v>
      </c>
      <c r="G252" s="510" t="s">
        <v>21873</v>
      </c>
      <c r="H252" s="508">
        <v>0.2094</v>
      </c>
      <c r="I252" s="510">
        <v>2052.1703899999998</v>
      </c>
      <c r="J252" s="509">
        <v>2052.1703899999998</v>
      </c>
      <c r="K252" s="409"/>
      <c r="L252" s="447">
        <f t="shared" si="39"/>
        <v>2052.1703899999998</v>
      </c>
      <c r="M252" s="447">
        <f t="shared" si="36"/>
        <v>0</v>
      </c>
      <c r="N252" s="409"/>
      <c r="O252" s="409"/>
      <c r="P252" s="409"/>
      <c r="Q252" s="409"/>
      <c r="R252" s="409"/>
      <c r="S252" s="409"/>
    </row>
    <row r="253" spans="1:19" s="140" customFormat="1" ht="51">
      <c r="A253" s="394" t="s">
        <v>3259</v>
      </c>
      <c r="B253" s="285" t="s">
        <v>18712</v>
      </c>
      <c r="C253" s="285">
        <v>97935</v>
      </c>
      <c r="D253" s="289" t="s">
        <v>12542</v>
      </c>
      <c r="E253" s="290" t="s">
        <v>109</v>
      </c>
      <c r="F253" s="755">
        <v>1</v>
      </c>
      <c r="G253" s="510" t="s">
        <v>21787</v>
      </c>
      <c r="H253" s="508">
        <v>0.2094</v>
      </c>
      <c r="I253" s="510">
        <v>802.17083200000002</v>
      </c>
      <c r="J253" s="509">
        <v>802.17083200000002</v>
      </c>
      <c r="K253" s="409"/>
      <c r="L253" s="447">
        <f t="shared" ref="L253" si="40">I253*F253</f>
        <v>802.17083200000002</v>
      </c>
      <c r="M253" s="447"/>
      <c r="N253" s="409"/>
      <c r="O253" s="409"/>
      <c r="P253" s="409"/>
      <c r="Q253" s="409"/>
      <c r="R253" s="409"/>
      <c r="S253" s="409"/>
    </row>
    <row r="254" spans="1:19" s="140" customFormat="1">
      <c r="A254" s="394"/>
      <c r="B254" s="285"/>
      <c r="C254" s="285"/>
      <c r="D254" s="407"/>
      <c r="E254" s="230"/>
      <c r="F254" s="426"/>
      <c r="G254" s="464"/>
      <c r="H254" s="427"/>
      <c r="I254" s="464"/>
      <c r="J254" s="594"/>
      <c r="K254" s="409"/>
      <c r="L254" s="447">
        <f t="shared" si="39"/>
        <v>0</v>
      </c>
      <c r="M254" s="447">
        <f t="shared" si="36"/>
        <v>0</v>
      </c>
      <c r="N254" s="409"/>
      <c r="O254" s="409"/>
      <c r="P254" s="409"/>
      <c r="Q254" s="409"/>
      <c r="R254" s="409"/>
      <c r="S254" s="409"/>
    </row>
    <row r="255" spans="1:19" s="92" customFormat="1">
      <c r="A255" s="256"/>
      <c r="B255" s="287" t="s">
        <v>9626</v>
      </c>
      <c r="C255" s="287"/>
      <c r="D255" s="400" t="s">
        <v>111</v>
      </c>
      <c r="E255" s="415"/>
      <c r="F255" s="415"/>
      <c r="G255" s="462"/>
      <c r="H255" s="415"/>
      <c r="I255" s="462"/>
      <c r="J255" s="416"/>
      <c r="K255" s="298"/>
      <c r="L255" s="447">
        <f t="shared" si="39"/>
        <v>0</v>
      </c>
      <c r="M255" s="447">
        <f t="shared" si="36"/>
        <v>0</v>
      </c>
      <c r="N255" s="298"/>
      <c r="O255" s="298"/>
      <c r="P255" s="298"/>
      <c r="Q255" s="298"/>
      <c r="R255" s="298"/>
      <c r="S255" s="298"/>
    </row>
    <row r="256" spans="1:19" s="140" customFormat="1" ht="48.75" customHeight="1">
      <c r="A256" s="394" t="s">
        <v>3259</v>
      </c>
      <c r="B256" s="285" t="s">
        <v>9627</v>
      </c>
      <c r="C256" s="285">
        <v>93358</v>
      </c>
      <c r="D256" s="289" t="s">
        <v>16227</v>
      </c>
      <c r="E256" s="290" t="s">
        <v>209</v>
      </c>
      <c r="F256" s="755">
        <v>38.56</v>
      </c>
      <c r="G256" s="510" t="s">
        <v>23682</v>
      </c>
      <c r="H256" s="508">
        <v>0.2094</v>
      </c>
      <c r="I256" s="510">
        <v>84.246803999999997</v>
      </c>
      <c r="J256" s="509">
        <v>3248.5567622399999</v>
      </c>
      <c r="K256" s="409"/>
      <c r="L256" s="447">
        <f t="shared" si="39"/>
        <v>3248.5567622399999</v>
      </c>
      <c r="M256" s="447">
        <f t="shared" si="36"/>
        <v>0</v>
      </c>
      <c r="N256" s="409"/>
      <c r="O256" s="409"/>
      <c r="P256" s="409"/>
      <c r="Q256" s="409"/>
      <c r="R256" s="409"/>
      <c r="S256" s="409"/>
    </row>
    <row r="257" spans="1:19" s="140" customFormat="1" ht="38.25">
      <c r="A257" s="394" t="s">
        <v>3259</v>
      </c>
      <c r="B257" s="285" t="s">
        <v>9628</v>
      </c>
      <c r="C257" s="288">
        <v>101616</v>
      </c>
      <c r="D257" s="289" t="s">
        <v>13664</v>
      </c>
      <c r="E257" s="290" t="s">
        <v>193</v>
      </c>
      <c r="F257" s="755">
        <v>61.36</v>
      </c>
      <c r="G257" s="510" t="s">
        <v>11219</v>
      </c>
      <c r="H257" s="508">
        <v>0.2094</v>
      </c>
      <c r="I257" s="510">
        <v>6.3735379999999999</v>
      </c>
      <c r="J257" s="509">
        <v>391.08029168000002</v>
      </c>
      <c r="K257" s="409"/>
      <c r="L257" s="447">
        <f t="shared" si="39"/>
        <v>391.08029168000002</v>
      </c>
      <c r="M257" s="447">
        <f t="shared" si="36"/>
        <v>0</v>
      </c>
      <c r="N257" s="409"/>
      <c r="O257" s="409"/>
      <c r="P257" s="409"/>
      <c r="Q257" s="409"/>
      <c r="R257" s="409"/>
      <c r="S257" s="409"/>
    </row>
    <row r="258" spans="1:19" s="140" customFormat="1" ht="25.5">
      <c r="A258" s="394" t="s">
        <v>3259</v>
      </c>
      <c r="B258" s="285" t="s">
        <v>9629</v>
      </c>
      <c r="C258" s="288">
        <v>93382</v>
      </c>
      <c r="D258" s="289" t="s">
        <v>2501</v>
      </c>
      <c r="E258" s="290" t="s">
        <v>209</v>
      </c>
      <c r="F258" s="755">
        <v>33.869999999999997</v>
      </c>
      <c r="G258" s="510" t="s">
        <v>16369</v>
      </c>
      <c r="H258" s="508">
        <v>0.2094</v>
      </c>
      <c r="I258" s="510">
        <v>30.380128000000003</v>
      </c>
      <c r="J258" s="509">
        <v>1028.97493536</v>
      </c>
      <c r="K258" s="409"/>
      <c r="L258" s="447">
        <f t="shared" si="39"/>
        <v>1028.97493536</v>
      </c>
      <c r="M258" s="447">
        <f t="shared" si="36"/>
        <v>0</v>
      </c>
      <c r="N258" s="409"/>
      <c r="O258" s="409"/>
      <c r="P258" s="409"/>
      <c r="Q258" s="409"/>
      <c r="R258" s="409"/>
      <c r="S258" s="409"/>
    </row>
    <row r="259" spans="1:19" s="140" customFormat="1" ht="25.5">
      <c r="A259" s="394" t="s">
        <v>3259</v>
      </c>
      <c r="B259" s="285" t="s">
        <v>9630</v>
      </c>
      <c r="C259" s="285">
        <v>101747</v>
      </c>
      <c r="D259" s="289" t="s">
        <v>13768</v>
      </c>
      <c r="E259" s="290" t="s">
        <v>193</v>
      </c>
      <c r="F259" s="755">
        <v>4</v>
      </c>
      <c r="G259" s="510" t="s">
        <v>15823</v>
      </c>
      <c r="H259" s="508">
        <v>0.2094</v>
      </c>
      <c r="I259" s="510">
        <v>71.644856000000004</v>
      </c>
      <c r="J259" s="509">
        <v>286.57942400000002</v>
      </c>
      <c r="K259" s="409"/>
      <c r="L259" s="447">
        <f t="shared" si="39"/>
        <v>286.57942400000002</v>
      </c>
      <c r="M259" s="447">
        <f t="shared" si="36"/>
        <v>0</v>
      </c>
      <c r="N259" s="409"/>
      <c r="O259" s="409"/>
      <c r="P259" s="409"/>
      <c r="Q259" s="409"/>
      <c r="R259" s="409"/>
      <c r="S259" s="409"/>
    </row>
    <row r="260" spans="1:19" s="92" customFormat="1">
      <c r="A260" s="256"/>
      <c r="B260" s="287"/>
      <c r="C260" s="287"/>
      <c r="D260" s="400"/>
      <c r="E260" s="415"/>
      <c r="F260" s="415"/>
      <c r="G260" s="462"/>
      <c r="H260" s="415"/>
      <c r="I260" s="462"/>
      <c r="J260" s="416"/>
      <c r="K260" s="298"/>
      <c r="L260" s="447">
        <f t="shared" si="39"/>
        <v>0</v>
      </c>
      <c r="M260" s="447">
        <f t="shared" si="36"/>
        <v>0</v>
      </c>
      <c r="N260" s="298"/>
      <c r="O260" s="298"/>
      <c r="P260" s="298"/>
      <c r="Q260" s="298"/>
      <c r="R260" s="298"/>
      <c r="S260" s="298"/>
    </row>
    <row r="261" spans="1:19" s="92" customFormat="1">
      <c r="A261" s="256"/>
      <c r="B261" s="287" t="s">
        <v>14702</v>
      </c>
      <c r="C261" s="287"/>
      <c r="D261" s="400" t="s">
        <v>14703</v>
      </c>
      <c r="E261" s="391"/>
      <c r="F261" s="417"/>
      <c r="G261" s="417"/>
      <c r="H261" s="417"/>
      <c r="I261" s="417"/>
      <c r="J261" s="418"/>
      <c r="K261" s="298"/>
      <c r="L261" s="447">
        <f t="shared" si="39"/>
        <v>0</v>
      </c>
      <c r="M261" s="447">
        <f t="shared" si="36"/>
        <v>0</v>
      </c>
      <c r="N261" s="298"/>
      <c r="O261" s="298"/>
      <c r="P261" s="298"/>
      <c r="Q261" s="298"/>
      <c r="R261" s="298"/>
      <c r="S261" s="298"/>
    </row>
    <row r="262" spans="1:19" s="92" customFormat="1">
      <c r="A262" s="256"/>
      <c r="B262" s="287" t="s">
        <v>14704</v>
      </c>
      <c r="C262" s="287"/>
      <c r="D262" s="400" t="s">
        <v>14584</v>
      </c>
      <c r="E262" s="391"/>
      <c r="F262" s="417"/>
      <c r="G262" s="417"/>
      <c r="H262" s="417"/>
      <c r="I262" s="417"/>
      <c r="J262" s="418"/>
      <c r="K262" s="298"/>
      <c r="L262" s="447">
        <f t="shared" si="39"/>
        <v>0</v>
      </c>
      <c r="M262" s="447">
        <f t="shared" si="36"/>
        <v>0</v>
      </c>
      <c r="N262" s="298"/>
      <c r="O262" s="298"/>
      <c r="P262" s="298"/>
      <c r="Q262" s="298"/>
      <c r="R262" s="298"/>
      <c r="S262" s="298"/>
    </row>
    <row r="263" spans="1:19" s="140" customFormat="1" ht="51">
      <c r="A263" s="394" t="s">
        <v>3259</v>
      </c>
      <c r="B263" s="285" t="s">
        <v>14705</v>
      </c>
      <c r="C263" s="285">
        <v>89714</v>
      </c>
      <c r="D263" s="289" t="s">
        <v>1779</v>
      </c>
      <c r="E263" s="290" t="s">
        <v>5</v>
      </c>
      <c r="F263" s="755">
        <v>96.72</v>
      </c>
      <c r="G263" s="510" t="s">
        <v>22908</v>
      </c>
      <c r="H263" s="508">
        <v>0.2094</v>
      </c>
      <c r="I263" s="510">
        <v>64.751276000000004</v>
      </c>
      <c r="J263" s="509">
        <v>6262.7434147200001</v>
      </c>
      <c r="K263" s="409"/>
      <c r="L263" s="447">
        <f t="shared" si="39"/>
        <v>6262.7434147200001</v>
      </c>
      <c r="M263" s="447">
        <f t="shared" si="36"/>
        <v>0</v>
      </c>
      <c r="N263" s="409"/>
      <c r="O263" s="409"/>
      <c r="P263" s="409"/>
      <c r="Q263" s="409"/>
      <c r="R263" s="409"/>
      <c r="S263" s="409"/>
    </row>
    <row r="264" spans="1:19" s="92" customFormat="1" ht="51">
      <c r="A264" s="394" t="s">
        <v>3259</v>
      </c>
      <c r="B264" s="285" t="s">
        <v>14706</v>
      </c>
      <c r="C264" s="285">
        <v>89713</v>
      </c>
      <c r="D264" s="289" t="s">
        <v>1778</v>
      </c>
      <c r="E264" s="290" t="s">
        <v>5</v>
      </c>
      <c r="F264" s="755">
        <v>42</v>
      </c>
      <c r="G264" s="510" t="s">
        <v>14151</v>
      </c>
      <c r="H264" s="508">
        <v>0.2094</v>
      </c>
      <c r="I264" s="510">
        <v>50.55292</v>
      </c>
      <c r="J264" s="509">
        <v>2123.22264</v>
      </c>
      <c r="K264" s="409"/>
      <c r="L264" s="447">
        <f t="shared" si="39"/>
        <v>2123.22264</v>
      </c>
      <c r="M264" s="447">
        <f t="shared" si="36"/>
        <v>0</v>
      </c>
      <c r="N264" s="298"/>
      <c r="O264" s="298"/>
      <c r="P264" s="298"/>
      <c r="Q264" s="298"/>
      <c r="R264" s="298"/>
      <c r="S264" s="298"/>
    </row>
    <row r="265" spans="1:19" s="92" customFormat="1" ht="63.75">
      <c r="A265" s="394" t="s">
        <v>3259</v>
      </c>
      <c r="B265" s="285" t="s">
        <v>14707</v>
      </c>
      <c r="C265" s="285">
        <v>89746</v>
      </c>
      <c r="D265" s="289" t="s">
        <v>2109</v>
      </c>
      <c r="E265" s="290" t="s">
        <v>109</v>
      </c>
      <c r="F265" s="755">
        <v>1</v>
      </c>
      <c r="G265" s="510" t="s">
        <v>21421</v>
      </c>
      <c r="H265" s="508">
        <v>0.2094</v>
      </c>
      <c r="I265" s="510">
        <v>27.586413999999998</v>
      </c>
      <c r="J265" s="509">
        <v>27.586413999999998</v>
      </c>
      <c r="K265" s="409"/>
      <c r="L265" s="447">
        <f t="shared" si="39"/>
        <v>27.586413999999998</v>
      </c>
      <c r="M265" s="447">
        <f t="shared" si="36"/>
        <v>0</v>
      </c>
      <c r="N265" s="298"/>
      <c r="O265" s="298"/>
      <c r="P265" s="298"/>
      <c r="Q265" s="298"/>
      <c r="R265" s="298"/>
      <c r="S265" s="298"/>
    </row>
    <row r="266" spans="1:19" s="92" customFormat="1" ht="63.75">
      <c r="A266" s="394" t="s">
        <v>3259</v>
      </c>
      <c r="B266" s="285" t="s">
        <v>14708</v>
      </c>
      <c r="C266" s="285">
        <v>89805</v>
      </c>
      <c r="D266" s="289" t="s">
        <v>2161</v>
      </c>
      <c r="E266" s="290" t="s">
        <v>109</v>
      </c>
      <c r="F266" s="755">
        <v>4</v>
      </c>
      <c r="G266" s="510" t="s">
        <v>10538</v>
      </c>
      <c r="H266" s="508">
        <v>0.2094</v>
      </c>
      <c r="I266" s="510">
        <v>15.685918000000001</v>
      </c>
      <c r="J266" s="509">
        <v>62.743672000000004</v>
      </c>
      <c r="K266" s="409"/>
      <c r="L266" s="447">
        <f t="shared" ref="L266:L267" si="41">I266*F266</f>
        <v>62.743672000000004</v>
      </c>
      <c r="M266" s="447"/>
      <c r="N266" s="298"/>
      <c r="O266" s="298"/>
      <c r="P266" s="298"/>
      <c r="Q266" s="298"/>
      <c r="R266" s="298"/>
      <c r="S266" s="298"/>
    </row>
    <row r="267" spans="1:19" s="92" customFormat="1" ht="63.75">
      <c r="A267" s="394" t="s">
        <v>3259</v>
      </c>
      <c r="B267" s="285" t="s">
        <v>14709</v>
      </c>
      <c r="C267" s="285">
        <v>89744</v>
      </c>
      <c r="D267" s="289" t="s">
        <v>2107</v>
      </c>
      <c r="E267" s="290" t="s">
        <v>109</v>
      </c>
      <c r="F267" s="755">
        <v>7</v>
      </c>
      <c r="G267" s="510" t="s">
        <v>12451</v>
      </c>
      <c r="H267" s="508">
        <v>0.2094</v>
      </c>
      <c r="I267" s="510">
        <v>27.646884</v>
      </c>
      <c r="J267" s="509">
        <v>193.528188</v>
      </c>
      <c r="K267" s="409"/>
      <c r="L267" s="447">
        <f t="shared" si="41"/>
        <v>193.528188</v>
      </c>
      <c r="M267" s="447"/>
      <c r="N267" s="298"/>
      <c r="O267" s="298"/>
      <c r="P267" s="298"/>
      <c r="Q267" s="298"/>
      <c r="R267" s="298"/>
      <c r="S267" s="298"/>
    </row>
    <row r="268" spans="1:19" s="92" customFormat="1">
      <c r="A268" s="394"/>
      <c r="B268" s="285"/>
      <c r="C268" s="285"/>
      <c r="D268" s="407"/>
      <c r="E268" s="468"/>
      <c r="F268" s="469"/>
      <c r="G268" s="470"/>
      <c r="H268" s="471"/>
      <c r="I268" s="470"/>
      <c r="J268" s="418"/>
      <c r="K268" s="409"/>
      <c r="L268" s="447">
        <f t="shared" si="39"/>
        <v>0</v>
      </c>
      <c r="M268" s="447">
        <f t="shared" si="36"/>
        <v>0</v>
      </c>
      <c r="N268" s="298"/>
      <c r="O268" s="298"/>
      <c r="P268" s="298"/>
      <c r="Q268" s="298"/>
      <c r="R268" s="298"/>
      <c r="S268" s="298"/>
    </row>
    <row r="269" spans="1:19" s="92" customFormat="1">
      <c r="A269" s="256"/>
      <c r="B269" s="287" t="s">
        <v>14710</v>
      </c>
      <c r="C269" s="287"/>
      <c r="D269" s="400" t="s">
        <v>11573</v>
      </c>
      <c r="E269" s="391"/>
      <c r="F269" s="417"/>
      <c r="G269" s="417"/>
      <c r="H269" s="417"/>
      <c r="I269" s="417"/>
      <c r="J269" s="418"/>
      <c r="K269" s="298"/>
      <c r="L269" s="447">
        <f t="shared" si="39"/>
        <v>0</v>
      </c>
      <c r="M269" s="447">
        <f t="shared" si="36"/>
        <v>0</v>
      </c>
      <c r="N269" s="298"/>
      <c r="O269" s="298"/>
      <c r="P269" s="298"/>
      <c r="Q269" s="298"/>
      <c r="R269" s="298"/>
      <c r="S269" s="298"/>
    </row>
    <row r="270" spans="1:19" s="140" customFormat="1" ht="63.75">
      <c r="A270" s="394" t="s">
        <v>3260</v>
      </c>
      <c r="B270" s="285" t="s">
        <v>14712</v>
      </c>
      <c r="C270" s="285" t="s">
        <v>17407</v>
      </c>
      <c r="D270" s="289" t="s">
        <v>17408</v>
      </c>
      <c r="E270" s="290" t="s">
        <v>3240</v>
      </c>
      <c r="F270" s="755">
        <v>8</v>
      </c>
      <c r="G270" s="510">
        <v>702.72</v>
      </c>
      <c r="H270" s="508">
        <v>0.2094</v>
      </c>
      <c r="I270" s="510">
        <v>849.86956800000007</v>
      </c>
      <c r="J270" s="509">
        <v>6798.9565440000006</v>
      </c>
      <c r="K270" s="409"/>
      <c r="L270" s="447">
        <f t="shared" si="39"/>
        <v>6798.9565440000006</v>
      </c>
      <c r="M270" s="447">
        <f t="shared" si="36"/>
        <v>0</v>
      </c>
      <c r="N270" s="409"/>
      <c r="O270" s="409"/>
      <c r="P270" s="409"/>
      <c r="Q270" s="409"/>
      <c r="R270" s="409"/>
      <c r="S270" s="409"/>
    </row>
    <row r="271" spans="1:19" s="92" customFormat="1" ht="63.75">
      <c r="A271" s="394" t="s">
        <v>3260</v>
      </c>
      <c r="B271" s="285" t="s">
        <v>14713</v>
      </c>
      <c r="C271" s="285" t="s">
        <v>17409</v>
      </c>
      <c r="D271" s="289" t="s">
        <v>18540</v>
      </c>
      <c r="E271" s="290" t="s">
        <v>3240</v>
      </c>
      <c r="F271" s="755">
        <v>10</v>
      </c>
      <c r="G271" s="510">
        <v>717.39</v>
      </c>
      <c r="H271" s="508">
        <v>0.2094</v>
      </c>
      <c r="I271" s="510">
        <v>867.61146599999995</v>
      </c>
      <c r="J271" s="509">
        <v>8676.1146599999993</v>
      </c>
      <c r="K271" s="409"/>
      <c r="L271" s="447">
        <f t="shared" si="39"/>
        <v>8676.1146599999993</v>
      </c>
      <c r="M271" s="447">
        <f t="shared" si="36"/>
        <v>0</v>
      </c>
      <c r="N271" s="298"/>
      <c r="O271" s="298"/>
      <c r="P271" s="298"/>
      <c r="Q271" s="298"/>
      <c r="R271" s="298"/>
      <c r="S271" s="298"/>
    </row>
    <row r="272" spans="1:19" s="92" customFormat="1" ht="63.75">
      <c r="A272" s="394" t="s">
        <v>3260</v>
      </c>
      <c r="B272" s="285" t="s">
        <v>14714</v>
      </c>
      <c r="C272" s="285" t="s">
        <v>18542</v>
      </c>
      <c r="D272" s="289" t="s">
        <v>18544</v>
      </c>
      <c r="E272" s="290" t="s">
        <v>3240</v>
      </c>
      <c r="F272" s="755">
        <v>1</v>
      </c>
      <c r="G272" s="510">
        <v>1479.7800000000002</v>
      </c>
      <c r="H272" s="508">
        <v>0.2094</v>
      </c>
      <c r="I272" s="510">
        <v>1789.6459320000004</v>
      </c>
      <c r="J272" s="509">
        <v>1789.6459320000004</v>
      </c>
      <c r="K272" s="409"/>
      <c r="L272" s="447">
        <f t="shared" ref="L272:L273" si="42">I272*F272</f>
        <v>1789.6459320000004</v>
      </c>
      <c r="M272" s="447"/>
      <c r="N272" s="298"/>
      <c r="O272" s="298"/>
      <c r="P272" s="298"/>
      <c r="Q272" s="298"/>
      <c r="R272" s="298"/>
      <c r="S272" s="298"/>
    </row>
    <row r="273" spans="1:19" s="92" customFormat="1" ht="76.5">
      <c r="A273" s="394" t="s">
        <v>3259</v>
      </c>
      <c r="B273" s="285" t="s">
        <v>14715</v>
      </c>
      <c r="C273" s="285">
        <v>98420</v>
      </c>
      <c r="D273" s="289" t="s">
        <v>3987</v>
      </c>
      <c r="E273" s="290" t="s">
        <v>109</v>
      </c>
      <c r="F273" s="755">
        <v>1</v>
      </c>
      <c r="G273" s="510" t="s">
        <v>21873</v>
      </c>
      <c r="H273" s="508">
        <v>0.2094</v>
      </c>
      <c r="I273" s="510">
        <v>2052.1703899999998</v>
      </c>
      <c r="J273" s="509">
        <v>2052.1703899999998</v>
      </c>
      <c r="K273" s="409"/>
      <c r="L273" s="447">
        <f t="shared" si="42"/>
        <v>2052.1703899999998</v>
      </c>
      <c r="M273" s="447"/>
      <c r="N273" s="298"/>
      <c r="O273" s="298"/>
      <c r="P273" s="298"/>
      <c r="Q273" s="298"/>
      <c r="R273" s="298"/>
      <c r="S273" s="298"/>
    </row>
    <row r="274" spans="1:19" s="92" customFormat="1">
      <c r="A274" s="256"/>
      <c r="B274" s="391"/>
      <c r="C274" s="391"/>
      <c r="D274" s="401"/>
      <c r="E274" s="391"/>
      <c r="F274" s="417"/>
      <c r="G274" s="417"/>
      <c r="H274" s="417"/>
      <c r="I274" s="417"/>
      <c r="J274" s="418"/>
      <c r="K274" s="298"/>
      <c r="L274" s="447">
        <f t="shared" si="39"/>
        <v>0</v>
      </c>
      <c r="M274" s="447">
        <f t="shared" si="36"/>
        <v>0</v>
      </c>
      <c r="N274" s="298"/>
      <c r="O274" s="298"/>
      <c r="P274" s="298"/>
      <c r="Q274" s="298"/>
      <c r="R274" s="298"/>
      <c r="S274" s="298"/>
    </row>
    <row r="275" spans="1:19" s="92" customFormat="1">
      <c r="A275" s="256"/>
      <c r="B275" s="287" t="s">
        <v>14711</v>
      </c>
      <c r="C275" s="287"/>
      <c r="D275" s="400" t="s">
        <v>111</v>
      </c>
      <c r="E275" s="391"/>
      <c r="F275" s="417"/>
      <c r="G275" s="417"/>
      <c r="H275" s="417"/>
      <c r="I275" s="417"/>
      <c r="J275" s="418"/>
      <c r="K275" s="298"/>
      <c r="L275" s="447">
        <f t="shared" si="39"/>
        <v>0</v>
      </c>
      <c r="M275" s="447">
        <f t="shared" si="36"/>
        <v>0</v>
      </c>
      <c r="N275" s="298"/>
      <c r="O275" s="298"/>
      <c r="P275" s="298"/>
      <c r="Q275" s="298"/>
      <c r="R275" s="298"/>
      <c r="S275" s="298"/>
    </row>
    <row r="276" spans="1:19" s="140" customFormat="1" ht="25.5">
      <c r="A276" s="394" t="s">
        <v>3259</v>
      </c>
      <c r="B276" s="285" t="s">
        <v>14716</v>
      </c>
      <c r="C276" s="285">
        <v>90438</v>
      </c>
      <c r="D276" s="289" t="s">
        <v>2405</v>
      </c>
      <c r="E276" s="290" t="s">
        <v>109</v>
      </c>
      <c r="F276" s="755">
        <v>50</v>
      </c>
      <c r="G276" s="510" t="s">
        <v>14276</v>
      </c>
      <c r="H276" s="508">
        <v>0.2094</v>
      </c>
      <c r="I276" s="510">
        <v>54.592316000000004</v>
      </c>
      <c r="J276" s="509">
        <v>2729.6158</v>
      </c>
      <c r="K276" s="409"/>
      <c r="L276" s="447">
        <f t="shared" si="39"/>
        <v>2729.6158</v>
      </c>
      <c r="M276" s="447">
        <f t="shared" si="36"/>
        <v>0</v>
      </c>
      <c r="N276" s="409"/>
      <c r="O276" s="409"/>
      <c r="P276" s="409"/>
      <c r="Q276" s="409"/>
      <c r="R276" s="409"/>
      <c r="S276" s="409"/>
    </row>
    <row r="277" spans="1:19" s="92" customFormat="1" ht="38.25">
      <c r="A277" s="394" t="s">
        <v>3259</v>
      </c>
      <c r="B277" s="285" t="s">
        <v>14717</v>
      </c>
      <c r="C277" s="285">
        <v>91192</v>
      </c>
      <c r="D277" s="289" t="s">
        <v>2447</v>
      </c>
      <c r="E277" s="290" t="s">
        <v>109</v>
      </c>
      <c r="F277" s="755">
        <v>50</v>
      </c>
      <c r="G277" s="510" t="s">
        <v>18766</v>
      </c>
      <c r="H277" s="508">
        <v>0.2094</v>
      </c>
      <c r="I277" s="510">
        <v>6.4219140000000001</v>
      </c>
      <c r="J277" s="509">
        <v>321.09570000000002</v>
      </c>
      <c r="K277" s="409"/>
      <c r="L277" s="447">
        <f t="shared" si="39"/>
        <v>321.09570000000002</v>
      </c>
      <c r="M277" s="447">
        <f t="shared" si="36"/>
        <v>0</v>
      </c>
      <c r="N277" s="298"/>
      <c r="O277" s="298"/>
      <c r="P277" s="298"/>
      <c r="Q277" s="298"/>
      <c r="R277" s="298"/>
      <c r="S277" s="298"/>
    </row>
    <row r="278" spans="1:19" s="92" customFormat="1" ht="38.25">
      <c r="A278" s="394" t="s">
        <v>3259</v>
      </c>
      <c r="B278" s="285" t="s">
        <v>14718</v>
      </c>
      <c r="C278" s="285">
        <v>90437</v>
      </c>
      <c r="D278" s="289" t="s">
        <v>2404</v>
      </c>
      <c r="E278" s="290" t="s">
        <v>109</v>
      </c>
      <c r="F278" s="755">
        <v>48</v>
      </c>
      <c r="G278" s="510" t="s">
        <v>21466</v>
      </c>
      <c r="H278" s="508">
        <v>0.2094</v>
      </c>
      <c r="I278" s="510">
        <v>38.084006000000002</v>
      </c>
      <c r="J278" s="509">
        <v>1828.0322880000001</v>
      </c>
      <c r="K278" s="409"/>
      <c r="L278" s="447">
        <f t="shared" ref="L278:L279" si="43">I278*F278</f>
        <v>1828.0322880000001</v>
      </c>
      <c r="M278" s="447"/>
      <c r="N278" s="298"/>
      <c r="O278" s="298"/>
      <c r="P278" s="298"/>
      <c r="Q278" s="298"/>
      <c r="R278" s="298"/>
      <c r="S278" s="298"/>
    </row>
    <row r="279" spans="1:19" s="92" customFormat="1" ht="38.25">
      <c r="A279" s="394" t="s">
        <v>3259</v>
      </c>
      <c r="B279" s="285" t="s">
        <v>14719</v>
      </c>
      <c r="C279" s="285">
        <v>91191</v>
      </c>
      <c r="D279" s="289" t="s">
        <v>2446</v>
      </c>
      <c r="E279" s="290" t="s">
        <v>109</v>
      </c>
      <c r="F279" s="755">
        <v>48</v>
      </c>
      <c r="G279" s="510" t="s">
        <v>10038</v>
      </c>
      <c r="H279" s="508">
        <v>0.2094</v>
      </c>
      <c r="I279" s="510">
        <v>5.7809320000000008</v>
      </c>
      <c r="J279" s="509">
        <v>277.48473600000005</v>
      </c>
      <c r="K279" s="409"/>
      <c r="L279" s="447">
        <f t="shared" si="43"/>
        <v>277.48473600000005</v>
      </c>
      <c r="M279" s="447"/>
      <c r="N279" s="298"/>
      <c r="O279" s="298"/>
      <c r="P279" s="298"/>
      <c r="Q279" s="298"/>
      <c r="R279" s="298"/>
      <c r="S279" s="298"/>
    </row>
    <row r="280" spans="1:19" s="92" customFormat="1" ht="38.25">
      <c r="A280" s="394" t="s">
        <v>3259</v>
      </c>
      <c r="B280" s="285" t="s">
        <v>14720</v>
      </c>
      <c r="C280" s="285">
        <v>93358</v>
      </c>
      <c r="D280" s="289" t="s">
        <v>16227</v>
      </c>
      <c r="E280" s="290" t="s">
        <v>209</v>
      </c>
      <c r="F280" s="755">
        <v>32.81</v>
      </c>
      <c r="G280" s="510" t="s">
        <v>23682</v>
      </c>
      <c r="H280" s="508">
        <v>0.2094</v>
      </c>
      <c r="I280" s="510">
        <v>84.246803999999997</v>
      </c>
      <c r="J280" s="509">
        <v>2764.1376392400002</v>
      </c>
      <c r="K280" s="409"/>
      <c r="L280" s="447">
        <f t="shared" si="39"/>
        <v>2764.1376392400002</v>
      </c>
      <c r="M280" s="447">
        <f t="shared" si="36"/>
        <v>0</v>
      </c>
      <c r="N280" s="298"/>
      <c r="O280" s="298"/>
      <c r="P280" s="298"/>
      <c r="Q280" s="298"/>
      <c r="R280" s="298"/>
      <c r="S280" s="298"/>
    </row>
    <row r="281" spans="1:19" s="92" customFormat="1" ht="38.25">
      <c r="A281" s="394" t="s">
        <v>3259</v>
      </c>
      <c r="B281" s="285" t="s">
        <v>14721</v>
      </c>
      <c r="C281" s="288">
        <v>101616</v>
      </c>
      <c r="D281" s="289" t="s">
        <v>13664</v>
      </c>
      <c r="E281" s="290" t="s">
        <v>193</v>
      </c>
      <c r="F281" s="755">
        <v>41.62</v>
      </c>
      <c r="G281" s="510" t="s">
        <v>11219</v>
      </c>
      <c r="H281" s="508">
        <v>0.2094</v>
      </c>
      <c r="I281" s="510">
        <v>6.3735379999999999</v>
      </c>
      <c r="J281" s="509">
        <v>265.26665155999996</v>
      </c>
      <c r="K281" s="409"/>
      <c r="L281" s="447">
        <f t="shared" si="39"/>
        <v>265.26665155999996</v>
      </c>
      <c r="M281" s="447">
        <f t="shared" si="36"/>
        <v>0</v>
      </c>
      <c r="N281" s="298"/>
      <c r="O281" s="298"/>
      <c r="P281" s="298"/>
      <c r="Q281" s="298"/>
      <c r="R281" s="298"/>
      <c r="S281" s="298"/>
    </row>
    <row r="282" spans="1:19" s="92" customFormat="1" ht="25.5">
      <c r="A282" s="394" t="s">
        <v>3259</v>
      </c>
      <c r="B282" s="285" t="s">
        <v>14722</v>
      </c>
      <c r="C282" s="288">
        <v>93382</v>
      </c>
      <c r="D282" s="289" t="s">
        <v>2501</v>
      </c>
      <c r="E282" s="290" t="s">
        <v>209</v>
      </c>
      <c r="F282" s="755">
        <v>27.71</v>
      </c>
      <c r="G282" s="510" t="s">
        <v>16369</v>
      </c>
      <c r="H282" s="508">
        <v>0.2094</v>
      </c>
      <c r="I282" s="510">
        <v>30.380128000000003</v>
      </c>
      <c r="J282" s="509">
        <v>841.83334688000014</v>
      </c>
      <c r="K282" s="409"/>
      <c r="L282" s="447">
        <f t="shared" si="39"/>
        <v>841.83334688000014</v>
      </c>
      <c r="M282" s="447">
        <f t="shared" si="36"/>
        <v>0</v>
      </c>
      <c r="N282" s="298"/>
      <c r="O282" s="298"/>
      <c r="P282" s="298"/>
      <c r="Q282" s="298"/>
      <c r="R282" s="298"/>
      <c r="S282" s="298"/>
    </row>
    <row r="283" spans="1:19" s="92" customFormat="1">
      <c r="A283" s="394" t="s">
        <v>3260</v>
      </c>
      <c r="B283" s="285" t="s">
        <v>14723</v>
      </c>
      <c r="C283" s="285" t="s">
        <v>14697</v>
      </c>
      <c r="D283" s="289" t="s">
        <v>14699</v>
      </c>
      <c r="E283" s="290" t="s">
        <v>3241</v>
      </c>
      <c r="F283" s="755">
        <v>4.16</v>
      </c>
      <c r="G283" s="510">
        <v>165.58999999999997</v>
      </c>
      <c r="H283" s="508">
        <v>0.2094</v>
      </c>
      <c r="I283" s="510">
        <v>200.26454599999997</v>
      </c>
      <c r="J283" s="509">
        <v>833.10051135999993</v>
      </c>
      <c r="K283" s="409"/>
      <c r="L283" s="447">
        <f t="shared" si="39"/>
        <v>833.10051135999993</v>
      </c>
      <c r="M283" s="447">
        <f t="shared" si="36"/>
        <v>0</v>
      </c>
      <c r="N283" s="298"/>
      <c r="O283" s="298"/>
      <c r="P283" s="298"/>
      <c r="Q283" s="298"/>
      <c r="R283" s="298"/>
      <c r="S283" s="298"/>
    </row>
    <row r="284" spans="1:19" s="92" customFormat="1">
      <c r="A284" s="256"/>
      <c r="B284" s="391"/>
      <c r="C284" s="395"/>
      <c r="D284" s="401"/>
      <c r="E284" s="391"/>
      <c r="F284" s="417"/>
      <c r="G284" s="417"/>
      <c r="H284" s="417"/>
      <c r="I284" s="417"/>
      <c r="J284" s="418"/>
      <c r="K284" s="298"/>
      <c r="L284" s="447">
        <f t="shared" si="39"/>
        <v>0</v>
      </c>
      <c r="M284" s="447">
        <f t="shared" si="36"/>
        <v>0</v>
      </c>
      <c r="N284" s="298"/>
      <c r="O284" s="298"/>
      <c r="P284" s="298"/>
      <c r="Q284" s="298"/>
      <c r="R284" s="298"/>
      <c r="S284" s="298"/>
    </row>
    <row r="285" spans="1:19" s="140" customFormat="1">
      <c r="A285" s="394"/>
      <c r="B285" s="395"/>
      <c r="C285" s="395"/>
      <c r="D285" s="404"/>
      <c r="E285" s="395"/>
      <c r="F285" s="395"/>
      <c r="G285" s="460" t="s">
        <v>69</v>
      </c>
      <c r="H285" s="419"/>
      <c r="I285" s="460"/>
      <c r="J285" s="421">
        <v>177070.57741290808</v>
      </c>
      <c r="K285" s="448"/>
      <c r="L285" s="447">
        <f t="shared" si="39"/>
        <v>0</v>
      </c>
      <c r="M285" s="447"/>
      <c r="N285" s="409"/>
      <c r="O285" s="409"/>
      <c r="P285" s="409"/>
      <c r="Q285" s="409"/>
      <c r="R285" s="409"/>
      <c r="S285" s="409"/>
    </row>
    <row r="286" spans="1:19" s="92" customFormat="1">
      <c r="A286" s="256"/>
      <c r="B286" s="391"/>
      <c r="C286" s="391"/>
      <c r="D286" s="401"/>
      <c r="E286" s="391"/>
      <c r="F286" s="417"/>
      <c r="G286" s="417"/>
      <c r="H286" s="417"/>
      <c r="I286" s="417"/>
      <c r="J286" s="418"/>
      <c r="K286" s="298"/>
      <c r="L286" s="447">
        <f t="shared" si="39"/>
        <v>0</v>
      </c>
      <c r="M286" s="447">
        <f t="shared" si="36"/>
        <v>0</v>
      </c>
      <c r="N286" s="298"/>
      <c r="O286" s="298"/>
      <c r="P286" s="298"/>
      <c r="Q286" s="298"/>
      <c r="R286" s="298"/>
      <c r="S286" s="298"/>
    </row>
    <row r="287" spans="1:19" s="140" customFormat="1">
      <c r="A287" s="394"/>
      <c r="B287" s="396" t="s">
        <v>113</v>
      </c>
      <c r="C287" s="396"/>
      <c r="D287" s="405" t="s">
        <v>114</v>
      </c>
      <c r="E287" s="422"/>
      <c r="F287" s="422"/>
      <c r="G287" s="429"/>
      <c r="H287" s="422"/>
      <c r="I287" s="429"/>
      <c r="J287" s="423"/>
      <c r="K287" s="409"/>
      <c r="L287" s="447">
        <f t="shared" si="39"/>
        <v>0</v>
      </c>
      <c r="M287" s="447">
        <f t="shared" si="36"/>
        <v>0</v>
      </c>
      <c r="N287" s="409"/>
      <c r="O287" s="409"/>
      <c r="P287" s="409"/>
      <c r="Q287" s="409"/>
      <c r="R287" s="409"/>
      <c r="S287" s="409"/>
    </row>
    <row r="288" spans="1:19" s="140" customFormat="1">
      <c r="A288" s="394"/>
      <c r="B288" s="396" t="s">
        <v>115</v>
      </c>
      <c r="C288" s="396"/>
      <c r="D288" s="406" t="s">
        <v>116</v>
      </c>
      <c r="E288" s="424"/>
      <c r="F288" s="424"/>
      <c r="G288" s="463"/>
      <c r="H288" s="424"/>
      <c r="I288" s="463"/>
      <c r="J288" s="425"/>
      <c r="K288" s="409"/>
      <c r="L288" s="447">
        <f t="shared" si="39"/>
        <v>0</v>
      </c>
      <c r="M288" s="447">
        <f t="shared" si="36"/>
        <v>0</v>
      </c>
      <c r="N288" s="409"/>
      <c r="O288" s="409"/>
      <c r="P288" s="409"/>
      <c r="Q288" s="409"/>
      <c r="R288" s="409"/>
      <c r="S288" s="409"/>
    </row>
    <row r="289" spans="1:19" s="140" customFormat="1">
      <c r="A289" s="394"/>
      <c r="B289" s="396" t="s">
        <v>117</v>
      </c>
      <c r="C289" s="396"/>
      <c r="D289" s="405" t="s">
        <v>118</v>
      </c>
      <c r="E289" s="422"/>
      <c r="F289" s="422"/>
      <c r="G289" s="429"/>
      <c r="H289" s="422"/>
      <c r="I289" s="429"/>
      <c r="J289" s="423"/>
      <c r="K289" s="409"/>
      <c r="L289" s="447">
        <f t="shared" si="39"/>
        <v>0</v>
      </c>
      <c r="M289" s="447">
        <f t="shared" si="36"/>
        <v>0</v>
      </c>
      <c r="N289" s="409"/>
      <c r="O289" s="409"/>
      <c r="P289" s="409"/>
      <c r="Q289" s="409"/>
      <c r="R289" s="409"/>
      <c r="S289" s="409"/>
    </row>
    <row r="290" spans="1:19" s="140" customFormat="1">
      <c r="A290" s="394"/>
      <c r="B290" s="396" t="s">
        <v>17261</v>
      </c>
      <c r="C290" s="396"/>
      <c r="D290" s="406" t="s">
        <v>17191</v>
      </c>
      <c r="E290" s="424"/>
      <c r="F290" s="424"/>
      <c r="G290" s="463"/>
      <c r="H290" s="424"/>
      <c r="I290" s="463"/>
      <c r="J290" s="425"/>
      <c r="K290" s="409"/>
      <c r="L290" s="447">
        <f t="shared" si="39"/>
        <v>0</v>
      </c>
      <c r="M290" s="447">
        <f t="shared" si="36"/>
        <v>0</v>
      </c>
      <c r="N290" s="409"/>
      <c r="O290" s="409"/>
      <c r="P290" s="409"/>
      <c r="Q290" s="409"/>
      <c r="R290" s="409"/>
      <c r="S290" s="409"/>
    </row>
    <row r="291" spans="1:19" s="140" customFormat="1" ht="25.5">
      <c r="A291" s="394" t="s">
        <v>3260</v>
      </c>
      <c r="B291" s="285" t="s">
        <v>17262</v>
      </c>
      <c r="C291" s="285" t="s">
        <v>14461</v>
      </c>
      <c r="D291" s="289" t="s">
        <v>18454</v>
      </c>
      <c r="E291" s="290" t="s">
        <v>10</v>
      </c>
      <c r="F291" s="755">
        <v>1</v>
      </c>
      <c r="G291" s="510">
        <v>33968.5</v>
      </c>
      <c r="H291" s="508">
        <v>0.2094</v>
      </c>
      <c r="I291" s="510">
        <v>41081.503900000003</v>
      </c>
      <c r="J291" s="509">
        <v>41081.503900000003</v>
      </c>
      <c r="K291" s="409"/>
      <c r="L291" s="447">
        <f t="shared" si="39"/>
        <v>41081.503900000003</v>
      </c>
      <c r="M291" s="447">
        <f t="shared" si="36"/>
        <v>0</v>
      </c>
      <c r="N291" s="409"/>
      <c r="O291" s="409"/>
      <c r="P291" s="409"/>
      <c r="Q291" s="409"/>
      <c r="R291" s="409"/>
      <c r="S291" s="409"/>
    </row>
    <row r="292" spans="1:19" s="140" customFormat="1" ht="25.5">
      <c r="A292" s="394" t="s">
        <v>3260</v>
      </c>
      <c r="B292" s="285" t="s">
        <v>17263</v>
      </c>
      <c r="C292" s="285" t="s">
        <v>14462</v>
      </c>
      <c r="D292" s="289" t="s">
        <v>18455</v>
      </c>
      <c r="E292" s="290" t="s">
        <v>10</v>
      </c>
      <c r="F292" s="755">
        <v>1</v>
      </c>
      <c r="G292" s="510">
        <v>576.5</v>
      </c>
      <c r="H292" s="508">
        <v>0.2094</v>
      </c>
      <c r="I292" s="510">
        <v>697.21910000000003</v>
      </c>
      <c r="J292" s="509">
        <v>697.21910000000003</v>
      </c>
      <c r="K292" s="409"/>
      <c r="L292" s="447">
        <f t="shared" si="39"/>
        <v>697.21910000000003</v>
      </c>
      <c r="M292" s="447">
        <f t="shared" ref="M292:M355" si="44">L292-J292</f>
        <v>0</v>
      </c>
      <c r="N292" s="409"/>
      <c r="O292" s="409"/>
      <c r="P292" s="409"/>
      <c r="Q292" s="409"/>
      <c r="R292" s="409"/>
      <c r="S292" s="409"/>
    </row>
    <row r="293" spans="1:19" s="140" customFormat="1" ht="63.75">
      <c r="A293" s="394" t="s">
        <v>3260</v>
      </c>
      <c r="B293" s="285" t="s">
        <v>14433</v>
      </c>
      <c r="C293" s="285" t="s">
        <v>14463</v>
      </c>
      <c r="D293" s="289" t="s">
        <v>18506</v>
      </c>
      <c r="E293" s="290" t="s">
        <v>10</v>
      </c>
      <c r="F293" s="755">
        <v>1</v>
      </c>
      <c r="G293" s="510">
        <v>6451.380000000001</v>
      </c>
      <c r="H293" s="508">
        <v>0.2094</v>
      </c>
      <c r="I293" s="510">
        <v>7802.2989720000014</v>
      </c>
      <c r="J293" s="509">
        <v>7802.2989720000014</v>
      </c>
      <c r="K293" s="409"/>
      <c r="L293" s="447">
        <f t="shared" si="39"/>
        <v>7802.2989720000014</v>
      </c>
      <c r="M293" s="447">
        <f t="shared" ref="M293" si="45">L293-J293</f>
        <v>0</v>
      </c>
      <c r="N293" s="256"/>
      <c r="O293" s="256"/>
      <c r="P293" s="256"/>
      <c r="Q293" s="256"/>
      <c r="R293" s="256"/>
      <c r="S293" s="256"/>
    </row>
    <row r="294" spans="1:19" s="140" customFormat="1">
      <c r="A294" s="394"/>
      <c r="B294" s="285"/>
      <c r="C294" s="285"/>
      <c r="D294" s="407"/>
      <c r="E294" s="230"/>
      <c r="F294" s="426"/>
      <c r="G294" s="464"/>
      <c r="H294" s="427"/>
      <c r="I294" s="464"/>
      <c r="J294" s="428"/>
      <c r="K294" s="409"/>
      <c r="L294" s="447">
        <f t="shared" si="39"/>
        <v>0</v>
      </c>
      <c r="M294" s="447">
        <f t="shared" si="44"/>
        <v>0</v>
      </c>
      <c r="N294" s="409"/>
      <c r="O294" s="409"/>
      <c r="P294" s="409"/>
      <c r="Q294" s="409"/>
      <c r="R294" s="409"/>
      <c r="S294" s="409"/>
    </row>
    <row r="295" spans="1:19" s="140" customFormat="1">
      <c r="A295" s="394"/>
      <c r="B295" s="396" t="s">
        <v>3262</v>
      </c>
      <c r="C295" s="396"/>
      <c r="D295" s="406" t="s">
        <v>3771</v>
      </c>
      <c r="E295" s="424"/>
      <c r="F295" s="424"/>
      <c r="G295" s="463"/>
      <c r="H295" s="424"/>
      <c r="I295" s="463"/>
      <c r="J295" s="425"/>
      <c r="K295" s="409"/>
      <c r="L295" s="447">
        <f t="shared" si="39"/>
        <v>0</v>
      </c>
      <c r="M295" s="447">
        <f t="shared" si="44"/>
        <v>0</v>
      </c>
      <c r="N295" s="409"/>
      <c r="O295" s="409"/>
      <c r="P295" s="409"/>
      <c r="Q295" s="409"/>
      <c r="R295" s="409"/>
      <c r="S295" s="409"/>
    </row>
    <row r="296" spans="1:19" s="140" customFormat="1" ht="38.25">
      <c r="A296" s="394" t="s">
        <v>3260</v>
      </c>
      <c r="B296" s="285" t="s">
        <v>3263</v>
      </c>
      <c r="C296" s="285" t="s">
        <v>9012</v>
      </c>
      <c r="D296" s="289" t="s">
        <v>16963</v>
      </c>
      <c r="E296" s="290" t="s">
        <v>109</v>
      </c>
      <c r="F296" s="755">
        <v>1</v>
      </c>
      <c r="G296" s="510">
        <v>4937.45</v>
      </c>
      <c r="H296" s="508">
        <v>0.2094</v>
      </c>
      <c r="I296" s="510">
        <v>5971.35203</v>
      </c>
      <c r="J296" s="509">
        <v>5971.35203</v>
      </c>
      <c r="K296" s="409"/>
      <c r="L296" s="447">
        <f t="shared" si="39"/>
        <v>5971.35203</v>
      </c>
      <c r="M296" s="447">
        <f t="shared" si="44"/>
        <v>0</v>
      </c>
      <c r="N296" s="409"/>
      <c r="O296" s="409"/>
      <c r="P296" s="409"/>
      <c r="Q296" s="409"/>
      <c r="R296" s="409"/>
      <c r="S296" s="409"/>
    </row>
    <row r="297" spans="1:19" s="140" customFormat="1" ht="38.25">
      <c r="A297" s="394" t="s">
        <v>3260</v>
      </c>
      <c r="B297" s="285" t="s">
        <v>11588</v>
      </c>
      <c r="C297" s="285" t="s">
        <v>9013</v>
      </c>
      <c r="D297" s="289" t="s">
        <v>16965</v>
      </c>
      <c r="E297" s="290" t="s">
        <v>109</v>
      </c>
      <c r="F297" s="755">
        <v>1</v>
      </c>
      <c r="G297" s="510">
        <v>1435.95</v>
      </c>
      <c r="H297" s="508">
        <v>0.2094</v>
      </c>
      <c r="I297" s="510">
        <v>1736.6379300000001</v>
      </c>
      <c r="J297" s="509">
        <v>1736.6379300000001</v>
      </c>
      <c r="K297" s="409"/>
      <c r="L297" s="447">
        <f t="shared" si="39"/>
        <v>1736.6379300000001</v>
      </c>
      <c r="M297" s="447">
        <f t="shared" si="44"/>
        <v>0</v>
      </c>
      <c r="N297" s="409"/>
      <c r="O297" s="409"/>
      <c r="P297" s="409"/>
      <c r="Q297" s="409"/>
      <c r="R297" s="409"/>
      <c r="S297" s="409"/>
    </row>
    <row r="298" spans="1:19" s="140" customFormat="1" ht="38.25">
      <c r="A298" s="394" t="s">
        <v>3260</v>
      </c>
      <c r="B298" s="285" t="s">
        <v>11589</v>
      </c>
      <c r="C298" s="285" t="s">
        <v>9014</v>
      </c>
      <c r="D298" s="289" t="s">
        <v>18458</v>
      </c>
      <c r="E298" s="290" t="s">
        <v>109</v>
      </c>
      <c r="F298" s="755">
        <v>1</v>
      </c>
      <c r="G298" s="510">
        <v>556.15</v>
      </c>
      <c r="H298" s="508">
        <v>0.2094</v>
      </c>
      <c r="I298" s="510">
        <v>672.60780999999997</v>
      </c>
      <c r="J298" s="509">
        <v>672.60780999999997</v>
      </c>
      <c r="K298" s="409"/>
      <c r="L298" s="447">
        <f t="shared" si="39"/>
        <v>672.60780999999997</v>
      </c>
      <c r="M298" s="447">
        <f t="shared" si="44"/>
        <v>0</v>
      </c>
      <c r="N298" s="409"/>
      <c r="O298" s="409"/>
      <c r="P298" s="409"/>
      <c r="Q298" s="409"/>
      <c r="R298" s="409"/>
      <c r="S298" s="409"/>
    </row>
    <row r="299" spans="1:19" s="140" customFormat="1" ht="38.25">
      <c r="A299" s="394" t="s">
        <v>3260</v>
      </c>
      <c r="B299" s="285" t="s">
        <v>11590</v>
      </c>
      <c r="C299" s="285" t="s">
        <v>9015</v>
      </c>
      <c r="D299" s="289" t="s">
        <v>18457</v>
      </c>
      <c r="E299" s="290" t="s">
        <v>109</v>
      </c>
      <c r="F299" s="755">
        <v>1</v>
      </c>
      <c r="G299" s="510">
        <v>3364.22</v>
      </c>
      <c r="H299" s="508">
        <v>0.2094</v>
      </c>
      <c r="I299" s="510">
        <v>4068.687668</v>
      </c>
      <c r="J299" s="509">
        <v>4068.687668</v>
      </c>
      <c r="K299" s="409"/>
      <c r="L299" s="447">
        <f t="shared" si="39"/>
        <v>4068.687668</v>
      </c>
      <c r="M299" s="447">
        <f t="shared" si="44"/>
        <v>0</v>
      </c>
      <c r="N299" s="409"/>
      <c r="O299" s="409"/>
      <c r="P299" s="409"/>
      <c r="Q299" s="409"/>
      <c r="R299" s="409"/>
      <c r="S299" s="409"/>
    </row>
    <row r="300" spans="1:19" s="140" customFormat="1">
      <c r="A300" s="394"/>
      <c r="B300" s="285"/>
      <c r="C300" s="285"/>
      <c r="D300" s="407"/>
      <c r="E300" s="230"/>
      <c r="F300" s="426"/>
      <c r="G300" s="464"/>
      <c r="H300" s="427"/>
      <c r="I300" s="464"/>
      <c r="J300" s="428"/>
      <c r="K300" s="409"/>
      <c r="L300" s="447">
        <f t="shared" si="39"/>
        <v>0</v>
      </c>
      <c r="M300" s="447">
        <f t="shared" si="44"/>
        <v>0</v>
      </c>
      <c r="N300" s="409"/>
      <c r="O300" s="409"/>
      <c r="P300" s="409"/>
      <c r="Q300" s="409"/>
      <c r="R300" s="409"/>
      <c r="S300" s="409"/>
    </row>
    <row r="301" spans="1:19" s="140" customFormat="1">
      <c r="A301" s="394"/>
      <c r="B301" s="396" t="s">
        <v>3264</v>
      </c>
      <c r="C301" s="396"/>
      <c r="D301" s="405" t="s">
        <v>3272</v>
      </c>
      <c r="E301" s="422"/>
      <c r="F301" s="422"/>
      <c r="G301" s="429"/>
      <c r="H301" s="422"/>
      <c r="I301" s="429"/>
      <c r="J301" s="423"/>
      <c r="K301" s="409"/>
      <c r="L301" s="447">
        <f t="shared" si="39"/>
        <v>0</v>
      </c>
      <c r="M301" s="447">
        <f t="shared" si="44"/>
        <v>0</v>
      </c>
      <c r="N301" s="409"/>
      <c r="O301" s="409"/>
      <c r="P301" s="409"/>
      <c r="Q301" s="409"/>
      <c r="R301" s="409"/>
      <c r="S301" s="409"/>
    </row>
    <row r="302" spans="1:19" s="140" customFormat="1" ht="25.5">
      <c r="A302" s="394" t="s">
        <v>3260</v>
      </c>
      <c r="B302" s="285" t="s">
        <v>3265</v>
      </c>
      <c r="C302" s="285" t="s">
        <v>14465</v>
      </c>
      <c r="D302" s="289" t="s">
        <v>18507</v>
      </c>
      <c r="E302" s="290" t="s">
        <v>5</v>
      </c>
      <c r="F302" s="755">
        <v>16</v>
      </c>
      <c r="G302" s="510">
        <v>50.5</v>
      </c>
      <c r="H302" s="508">
        <v>0.2094</v>
      </c>
      <c r="I302" s="510">
        <v>61.0747</v>
      </c>
      <c r="J302" s="509">
        <v>977.1952</v>
      </c>
      <c r="K302" s="409"/>
      <c r="L302" s="447">
        <f t="shared" si="39"/>
        <v>977.1952</v>
      </c>
      <c r="M302" s="447">
        <f t="shared" si="44"/>
        <v>0</v>
      </c>
      <c r="N302" s="409"/>
      <c r="O302" s="409"/>
      <c r="P302" s="409"/>
      <c r="Q302" s="409"/>
      <c r="R302" s="409"/>
      <c r="S302" s="409"/>
    </row>
    <row r="303" spans="1:19" s="140" customFormat="1" ht="25.5">
      <c r="A303" s="394" t="s">
        <v>3260</v>
      </c>
      <c r="B303" s="285" t="s">
        <v>3266</v>
      </c>
      <c r="C303" s="285" t="s">
        <v>9018</v>
      </c>
      <c r="D303" s="289" t="s">
        <v>18459</v>
      </c>
      <c r="E303" s="290" t="s">
        <v>5</v>
      </c>
      <c r="F303" s="755">
        <v>78.7</v>
      </c>
      <c r="G303" s="510">
        <v>3.6300000000000003</v>
      </c>
      <c r="H303" s="508">
        <v>0.2094</v>
      </c>
      <c r="I303" s="510">
        <v>4.3901220000000007</v>
      </c>
      <c r="J303" s="509">
        <v>345.50260140000006</v>
      </c>
      <c r="K303" s="409"/>
      <c r="L303" s="447">
        <f t="shared" si="39"/>
        <v>345.50260140000006</v>
      </c>
      <c r="M303" s="447">
        <f t="shared" si="44"/>
        <v>0</v>
      </c>
      <c r="N303" s="409"/>
      <c r="O303" s="409"/>
      <c r="P303" s="409"/>
      <c r="Q303" s="409"/>
      <c r="R303" s="409"/>
      <c r="S303" s="409"/>
    </row>
    <row r="304" spans="1:19" s="140" customFormat="1" ht="38.25">
      <c r="A304" s="394" t="s">
        <v>3259</v>
      </c>
      <c r="B304" s="285" t="s">
        <v>3267</v>
      </c>
      <c r="C304" s="285">
        <v>97668</v>
      </c>
      <c r="D304" s="289" t="s">
        <v>4119</v>
      </c>
      <c r="E304" s="290" t="s">
        <v>5</v>
      </c>
      <c r="F304" s="755">
        <v>134.80000000000001</v>
      </c>
      <c r="G304" s="510" t="s">
        <v>11537</v>
      </c>
      <c r="H304" s="508">
        <v>0.2094</v>
      </c>
      <c r="I304" s="510">
        <v>14.004852</v>
      </c>
      <c r="J304" s="509">
        <v>1887.8540496000001</v>
      </c>
      <c r="K304" s="409"/>
      <c r="L304" s="447">
        <f t="shared" si="39"/>
        <v>1887.8540496000001</v>
      </c>
      <c r="M304" s="447">
        <f t="shared" si="44"/>
        <v>0</v>
      </c>
      <c r="N304" s="409"/>
      <c r="O304" s="409"/>
      <c r="P304" s="409"/>
      <c r="Q304" s="409"/>
      <c r="R304" s="409"/>
      <c r="S304" s="409"/>
    </row>
    <row r="305" spans="1:19" s="140" customFormat="1" ht="51">
      <c r="A305" s="394" t="s">
        <v>3260</v>
      </c>
      <c r="B305" s="285" t="s">
        <v>3268</v>
      </c>
      <c r="C305" s="285" t="s">
        <v>14466</v>
      </c>
      <c r="D305" s="289" t="s">
        <v>18508</v>
      </c>
      <c r="E305" s="290" t="s">
        <v>109</v>
      </c>
      <c r="F305" s="755">
        <v>2</v>
      </c>
      <c r="G305" s="510">
        <v>35.6</v>
      </c>
      <c r="H305" s="508">
        <v>0.2094</v>
      </c>
      <c r="I305" s="510">
        <v>43.054640000000006</v>
      </c>
      <c r="J305" s="509">
        <v>86.109280000000012</v>
      </c>
      <c r="K305" s="409"/>
      <c r="L305" s="447">
        <f t="shared" si="39"/>
        <v>86.109280000000012</v>
      </c>
      <c r="M305" s="447">
        <f t="shared" si="44"/>
        <v>0</v>
      </c>
      <c r="N305" s="409"/>
      <c r="O305" s="409"/>
      <c r="P305" s="409"/>
      <c r="Q305" s="409"/>
      <c r="R305" s="409"/>
      <c r="S305" s="409"/>
    </row>
    <row r="306" spans="1:19" s="140" customFormat="1" ht="25.5">
      <c r="A306" s="394" t="s">
        <v>3260</v>
      </c>
      <c r="B306" s="285" t="s">
        <v>3269</v>
      </c>
      <c r="C306" s="285" t="s">
        <v>14507</v>
      </c>
      <c r="D306" s="289" t="s">
        <v>17192</v>
      </c>
      <c r="E306" s="290" t="s">
        <v>109</v>
      </c>
      <c r="F306" s="755">
        <v>1</v>
      </c>
      <c r="G306" s="510">
        <v>24.96</v>
      </c>
      <c r="H306" s="508">
        <v>0.2094</v>
      </c>
      <c r="I306" s="510">
        <v>30.186624000000002</v>
      </c>
      <c r="J306" s="509">
        <v>30.186624000000002</v>
      </c>
      <c r="K306" s="409"/>
      <c r="L306" s="447">
        <f t="shared" ref="L306:L376" si="46">I306*F306</f>
        <v>30.186624000000002</v>
      </c>
      <c r="M306" s="447">
        <f t="shared" si="44"/>
        <v>0</v>
      </c>
      <c r="N306" s="409"/>
      <c r="O306" s="409"/>
      <c r="P306" s="409"/>
      <c r="Q306" s="409"/>
      <c r="R306" s="409"/>
      <c r="S306" s="409"/>
    </row>
    <row r="307" spans="1:19" s="140" customFormat="1">
      <c r="A307" s="394"/>
      <c r="B307" s="285"/>
      <c r="C307" s="285"/>
      <c r="D307" s="407"/>
      <c r="E307" s="230"/>
      <c r="F307" s="426"/>
      <c r="G307" s="464"/>
      <c r="H307" s="427"/>
      <c r="I307" s="464"/>
      <c r="J307" s="428"/>
      <c r="K307" s="409"/>
      <c r="L307" s="447">
        <f t="shared" si="46"/>
        <v>0</v>
      </c>
      <c r="M307" s="447">
        <f t="shared" si="44"/>
        <v>0</v>
      </c>
      <c r="N307" s="409"/>
      <c r="O307" s="409"/>
      <c r="P307" s="409"/>
      <c r="Q307" s="409"/>
      <c r="R307" s="409"/>
      <c r="S307" s="409"/>
    </row>
    <row r="308" spans="1:19" s="140" customFormat="1">
      <c r="A308" s="394"/>
      <c r="B308" s="396" t="s">
        <v>3273</v>
      </c>
      <c r="C308" s="396"/>
      <c r="D308" s="405" t="s">
        <v>3275</v>
      </c>
      <c r="E308" s="422"/>
      <c r="F308" s="429"/>
      <c r="G308" s="429"/>
      <c r="H308" s="422"/>
      <c r="I308" s="429"/>
      <c r="J308" s="423"/>
      <c r="K308" s="409"/>
      <c r="L308" s="447">
        <f t="shared" si="46"/>
        <v>0</v>
      </c>
      <c r="M308" s="447">
        <f t="shared" si="44"/>
        <v>0</v>
      </c>
      <c r="N308" s="256"/>
      <c r="O308" s="256"/>
      <c r="P308" s="256"/>
      <c r="Q308" s="256"/>
      <c r="R308" s="256"/>
      <c r="S308" s="256"/>
    </row>
    <row r="309" spans="1:19" s="140" customFormat="1" ht="35.25" customHeight="1">
      <c r="A309" s="394" t="s">
        <v>3260</v>
      </c>
      <c r="B309" s="285" t="s">
        <v>3274</v>
      </c>
      <c r="C309" s="285" t="s">
        <v>14511</v>
      </c>
      <c r="D309" s="289" t="s">
        <v>17265</v>
      </c>
      <c r="E309" s="290" t="s">
        <v>5</v>
      </c>
      <c r="F309" s="755">
        <v>120</v>
      </c>
      <c r="G309" s="510">
        <v>11.38</v>
      </c>
      <c r="H309" s="508">
        <v>0.2094</v>
      </c>
      <c r="I309" s="510">
        <v>13.762972000000001</v>
      </c>
      <c r="J309" s="509">
        <v>1651.5566400000002</v>
      </c>
      <c r="K309" s="409"/>
      <c r="L309" s="447">
        <f t="shared" si="46"/>
        <v>1651.5566400000002</v>
      </c>
      <c r="M309" s="447">
        <f t="shared" si="44"/>
        <v>0</v>
      </c>
      <c r="N309" s="256"/>
      <c r="O309" s="256"/>
      <c r="P309" s="256"/>
      <c r="Q309" s="256"/>
      <c r="R309" s="256"/>
      <c r="S309" s="256"/>
    </row>
    <row r="310" spans="1:19" s="140" customFormat="1" ht="25.5">
      <c r="A310" s="394" t="s">
        <v>3260</v>
      </c>
      <c r="B310" s="285" t="s">
        <v>14432</v>
      </c>
      <c r="C310" s="285" t="s">
        <v>14513</v>
      </c>
      <c r="D310" s="289" t="s">
        <v>17267</v>
      </c>
      <c r="E310" s="290" t="s">
        <v>5</v>
      </c>
      <c r="F310" s="755">
        <v>40</v>
      </c>
      <c r="G310" s="510">
        <v>13.18</v>
      </c>
      <c r="H310" s="508">
        <v>0.2094</v>
      </c>
      <c r="I310" s="510">
        <v>15.939892</v>
      </c>
      <c r="J310" s="509">
        <v>637.59568000000002</v>
      </c>
      <c r="K310" s="409"/>
      <c r="L310" s="447">
        <f t="shared" si="46"/>
        <v>637.59568000000002</v>
      </c>
      <c r="M310" s="447">
        <f t="shared" si="44"/>
        <v>0</v>
      </c>
      <c r="N310" s="409"/>
      <c r="O310" s="409"/>
      <c r="P310" s="409"/>
      <c r="Q310" s="409"/>
      <c r="R310" s="409"/>
      <c r="S310" s="409"/>
    </row>
    <row r="311" spans="1:19" s="140" customFormat="1" ht="51">
      <c r="A311" s="394" t="s">
        <v>3259</v>
      </c>
      <c r="B311" s="285" t="s">
        <v>14433</v>
      </c>
      <c r="C311" s="285">
        <v>91931</v>
      </c>
      <c r="D311" s="289" t="s">
        <v>126</v>
      </c>
      <c r="E311" s="290" t="s">
        <v>5</v>
      </c>
      <c r="F311" s="755">
        <v>393.5</v>
      </c>
      <c r="G311" s="510" t="s">
        <v>12467</v>
      </c>
      <c r="H311" s="508">
        <v>0.2094</v>
      </c>
      <c r="I311" s="510">
        <v>12.432632</v>
      </c>
      <c r="J311" s="509">
        <v>4892.2406920000003</v>
      </c>
      <c r="K311" s="409"/>
      <c r="L311" s="447">
        <f t="shared" si="46"/>
        <v>4892.2406920000003</v>
      </c>
      <c r="M311" s="447">
        <f t="shared" si="44"/>
        <v>0</v>
      </c>
      <c r="N311" s="409"/>
      <c r="O311" s="409"/>
      <c r="P311" s="409"/>
      <c r="Q311" s="409"/>
      <c r="R311" s="409"/>
      <c r="S311" s="409"/>
    </row>
    <row r="312" spans="1:19" s="140" customFormat="1" ht="38.25">
      <c r="A312" s="394" t="s">
        <v>3259</v>
      </c>
      <c r="B312" s="285" t="s">
        <v>14434</v>
      </c>
      <c r="C312" s="285">
        <v>92984</v>
      </c>
      <c r="D312" s="289" t="s">
        <v>1618</v>
      </c>
      <c r="E312" s="290" t="s">
        <v>5</v>
      </c>
      <c r="F312" s="755">
        <v>157.80000000000001</v>
      </c>
      <c r="G312" s="510" t="s">
        <v>22581</v>
      </c>
      <c r="H312" s="508">
        <v>0.2094</v>
      </c>
      <c r="I312" s="510">
        <v>34.334865999999998</v>
      </c>
      <c r="J312" s="509">
        <v>5418.0418547999998</v>
      </c>
      <c r="K312" s="409"/>
      <c r="L312" s="447">
        <f t="shared" si="46"/>
        <v>5418.0418547999998</v>
      </c>
      <c r="M312" s="447">
        <f t="shared" si="44"/>
        <v>0</v>
      </c>
      <c r="N312" s="409" t="s">
        <v>11574</v>
      </c>
      <c r="O312" s="409"/>
      <c r="P312" s="409"/>
      <c r="Q312" s="409"/>
      <c r="R312" s="409"/>
      <c r="S312" s="409"/>
    </row>
    <row r="313" spans="1:19" s="140" customFormat="1" ht="38.25">
      <c r="A313" s="394" t="s">
        <v>3259</v>
      </c>
      <c r="B313" s="285" t="s">
        <v>14435</v>
      </c>
      <c r="C313" s="285">
        <v>92986</v>
      </c>
      <c r="D313" s="289" t="s">
        <v>127</v>
      </c>
      <c r="E313" s="290" t="s">
        <v>5</v>
      </c>
      <c r="F313" s="755">
        <v>201.6</v>
      </c>
      <c r="G313" s="510" t="s">
        <v>22582</v>
      </c>
      <c r="H313" s="508">
        <v>0.2094</v>
      </c>
      <c r="I313" s="510">
        <v>46.537711999999999</v>
      </c>
      <c r="J313" s="509">
        <v>9382.0027391999993</v>
      </c>
      <c r="K313" s="409"/>
      <c r="L313" s="447">
        <f t="shared" si="46"/>
        <v>9382.0027391999993</v>
      </c>
      <c r="M313" s="447">
        <f t="shared" si="44"/>
        <v>0</v>
      </c>
      <c r="N313" s="409"/>
      <c r="O313" s="409"/>
      <c r="P313" s="409"/>
      <c r="Q313" s="409"/>
      <c r="R313" s="409"/>
      <c r="S313" s="409"/>
    </row>
    <row r="314" spans="1:19" s="140" customFormat="1" ht="38.25">
      <c r="A314" s="394" t="s">
        <v>3259</v>
      </c>
      <c r="B314" s="285" t="s">
        <v>14436</v>
      </c>
      <c r="C314" s="285">
        <v>92988</v>
      </c>
      <c r="D314" s="289" t="s">
        <v>1621</v>
      </c>
      <c r="E314" s="290" t="s">
        <v>5</v>
      </c>
      <c r="F314" s="755">
        <v>429.6</v>
      </c>
      <c r="G314" s="510" t="s">
        <v>22584</v>
      </c>
      <c r="H314" s="508">
        <v>0.2094</v>
      </c>
      <c r="I314" s="510">
        <v>65.452727999999993</v>
      </c>
      <c r="J314" s="509">
        <v>28118.491948799998</v>
      </c>
      <c r="K314" s="409"/>
      <c r="L314" s="447">
        <f t="shared" ref="L314" si="47">I314*F314</f>
        <v>28118.491948799998</v>
      </c>
      <c r="M314" s="447">
        <f t="shared" ref="M314" si="48">L314-J314</f>
        <v>0</v>
      </c>
      <c r="N314" s="409"/>
      <c r="O314" s="409"/>
      <c r="P314" s="409"/>
      <c r="Q314" s="409"/>
      <c r="R314" s="409"/>
      <c r="S314" s="409"/>
    </row>
    <row r="315" spans="1:19" s="140" customFormat="1" ht="38.25">
      <c r="A315" s="394" t="s">
        <v>3259</v>
      </c>
      <c r="B315" s="285" t="s">
        <v>18509</v>
      </c>
      <c r="C315" s="285">
        <v>96977</v>
      </c>
      <c r="D315" s="289" t="s">
        <v>3466</v>
      </c>
      <c r="E315" s="290" t="s">
        <v>5</v>
      </c>
      <c r="F315" s="755">
        <v>27.6</v>
      </c>
      <c r="G315" s="510" t="s">
        <v>9882</v>
      </c>
      <c r="H315" s="508">
        <v>0.2094</v>
      </c>
      <c r="I315" s="510">
        <v>51.459969999999998</v>
      </c>
      <c r="J315" s="509">
        <v>1420.2951720000001</v>
      </c>
      <c r="K315" s="409"/>
      <c r="L315" s="447">
        <f t="shared" si="46"/>
        <v>1420.2951720000001</v>
      </c>
      <c r="M315" s="447">
        <f t="shared" si="44"/>
        <v>0</v>
      </c>
      <c r="N315" s="409"/>
      <c r="O315" s="409"/>
      <c r="P315" s="409"/>
      <c r="Q315" s="409"/>
      <c r="R315" s="409"/>
      <c r="S315" s="409"/>
    </row>
    <row r="316" spans="1:19" s="140" customFormat="1" ht="38.25">
      <c r="A316" s="394" t="s">
        <v>3259</v>
      </c>
      <c r="B316" s="285" t="s">
        <v>18510</v>
      </c>
      <c r="C316" s="285">
        <v>96974</v>
      </c>
      <c r="D316" s="289" t="s">
        <v>3463</v>
      </c>
      <c r="E316" s="290" t="s">
        <v>5</v>
      </c>
      <c r="F316" s="755">
        <v>4</v>
      </c>
      <c r="G316" s="510" t="s">
        <v>16321</v>
      </c>
      <c r="H316" s="508">
        <v>0.2094</v>
      </c>
      <c r="I316" s="510">
        <v>78.018394000000015</v>
      </c>
      <c r="J316" s="509">
        <v>312.07357600000006</v>
      </c>
      <c r="K316" s="409"/>
      <c r="L316" s="447">
        <f t="shared" ref="L316" si="49">I316*F316</f>
        <v>312.07357600000006</v>
      </c>
      <c r="M316" s="447"/>
      <c r="N316" s="409"/>
      <c r="O316" s="409"/>
      <c r="P316" s="409"/>
      <c r="Q316" s="409"/>
      <c r="R316" s="409"/>
      <c r="S316" s="409"/>
    </row>
    <row r="317" spans="1:19" s="140" customFormat="1">
      <c r="A317" s="394"/>
      <c r="B317" s="285"/>
      <c r="C317" s="285"/>
      <c r="D317" s="407"/>
      <c r="E317" s="230"/>
      <c r="F317" s="426"/>
      <c r="G317" s="464"/>
      <c r="H317" s="427"/>
      <c r="I317" s="464"/>
      <c r="J317" s="428"/>
      <c r="K317" s="409"/>
      <c r="L317" s="447">
        <f t="shared" si="46"/>
        <v>0</v>
      </c>
      <c r="M317" s="447"/>
      <c r="N317" s="409"/>
      <c r="O317" s="409"/>
      <c r="P317" s="409"/>
      <c r="Q317" s="409"/>
      <c r="R317" s="409"/>
      <c r="S317" s="409"/>
    </row>
    <row r="318" spans="1:19" s="140" customFormat="1">
      <c r="A318" s="394"/>
      <c r="B318" s="396" t="s">
        <v>3276</v>
      </c>
      <c r="C318" s="396"/>
      <c r="D318" s="405" t="s">
        <v>119</v>
      </c>
      <c r="E318" s="422"/>
      <c r="F318" s="422"/>
      <c r="G318" s="429"/>
      <c r="H318" s="422"/>
      <c r="I318" s="429"/>
      <c r="J318" s="423"/>
      <c r="K318" s="409"/>
      <c r="L318" s="447">
        <f t="shared" si="46"/>
        <v>0</v>
      </c>
      <c r="M318" s="447"/>
      <c r="N318" s="409"/>
      <c r="O318" s="409"/>
      <c r="P318" s="409"/>
      <c r="Q318" s="409"/>
      <c r="R318" s="409"/>
      <c r="S318" s="409"/>
    </row>
    <row r="319" spans="1:19" s="140" customFormat="1">
      <c r="A319" s="394"/>
      <c r="B319" s="396" t="s">
        <v>3277</v>
      </c>
      <c r="C319" s="396"/>
      <c r="D319" s="405" t="s">
        <v>3278</v>
      </c>
      <c r="E319" s="422"/>
      <c r="F319" s="422"/>
      <c r="G319" s="429"/>
      <c r="H319" s="422"/>
      <c r="I319" s="429"/>
      <c r="J319" s="423"/>
      <c r="K319" s="409"/>
      <c r="L319" s="447">
        <f t="shared" si="46"/>
        <v>0</v>
      </c>
      <c r="M319" s="447"/>
      <c r="N319" s="409"/>
      <c r="O319" s="409"/>
      <c r="P319" s="409"/>
      <c r="Q319" s="409"/>
      <c r="R319" s="409"/>
      <c r="S319" s="409"/>
    </row>
    <row r="320" spans="1:19" s="140" customFormat="1" ht="51">
      <c r="A320" s="394" t="s">
        <v>3260</v>
      </c>
      <c r="B320" s="285" t="s">
        <v>3280</v>
      </c>
      <c r="C320" s="285" t="s">
        <v>18521</v>
      </c>
      <c r="D320" s="289" t="s">
        <v>24478</v>
      </c>
      <c r="E320" s="290" t="s">
        <v>109</v>
      </c>
      <c r="F320" s="755">
        <v>4</v>
      </c>
      <c r="G320" s="510">
        <v>3326.3499999999995</v>
      </c>
      <c r="H320" s="508">
        <v>0.2094</v>
      </c>
      <c r="I320" s="510">
        <v>4022.8876899999996</v>
      </c>
      <c r="J320" s="509">
        <v>16091.550759999998</v>
      </c>
      <c r="K320" s="409"/>
      <c r="L320" s="447">
        <f t="shared" ref="L320" si="50">I320*F320</f>
        <v>16091.550759999998</v>
      </c>
      <c r="M320" s="447"/>
      <c r="N320" s="409"/>
      <c r="O320" s="409" t="s">
        <v>18400</v>
      </c>
      <c r="P320" s="409"/>
      <c r="Q320" s="409"/>
      <c r="R320" s="409"/>
      <c r="S320" s="409"/>
    </row>
    <row r="321" spans="1:19" s="140" customFormat="1">
      <c r="A321" s="394"/>
      <c r="B321" s="285"/>
      <c r="C321" s="285"/>
      <c r="D321" s="407"/>
      <c r="E321" s="230"/>
      <c r="F321" s="426"/>
      <c r="G321" s="464"/>
      <c r="H321" s="427"/>
      <c r="I321" s="464"/>
      <c r="J321" s="428"/>
      <c r="K321" s="409"/>
      <c r="L321" s="447">
        <f t="shared" si="46"/>
        <v>0</v>
      </c>
      <c r="M321" s="447">
        <f t="shared" si="44"/>
        <v>0</v>
      </c>
      <c r="N321" s="409"/>
      <c r="O321" s="409"/>
      <c r="P321" s="409"/>
      <c r="Q321" s="409"/>
      <c r="R321" s="409"/>
      <c r="S321" s="409"/>
    </row>
    <row r="322" spans="1:19" s="140" customFormat="1">
      <c r="A322" s="394"/>
      <c r="B322" s="396" t="s">
        <v>9659</v>
      </c>
      <c r="C322" s="396"/>
      <c r="D322" s="405" t="s">
        <v>112</v>
      </c>
      <c r="E322" s="422"/>
      <c r="F322" s="422"/>
      <c r="G322" s="429"/>
      <c r="H322" s="422"/>
      <c r="I322" s="429"/>
      <c r="J322" s="423"/>
      <c r="K322" s="409"/>
      <c r="L322" s="447">
        <f t="shared" si="46"/>
        <v>0</v>
      </c>
      <c r="M322" s="447">
        <f t="shared" si="44"/>
        <v>0</v>
      </c>
      <c r="N322" s="409"/>
      <c r="O322" s="409"/>
      <c r="P322" s="409"/>
      <c r="Q322" s="409"/>
      <c r="R322" s="409"/>
      <c r="S322" s="409"/>
    </row>
    <row r="323" spans="1:19" s="140" customFormat="1" ht="51">
      <c r="A323" s="394" t="s">
        <v>3260</v>
      </c>
      <c r="B323" s="285" t="s">
        <v>9660</v>
      </c>
      <c r="C323" s="285" t="s">
        <v>14537</v>
      </c>
      <c r="D323" s="289" t="s">
        <v>18520</v>
      </c>
      <c r="E323" s="290" t="s">
        <v>3240</v>
      </c>
      <c r="F323" s="755">
        <v>4</v>
      </c>
      <c r="G323" s="510">
        <v>979.55000000000007</v>
      </c>
      <c r="H323" s="508">
        <v>0.2094</v>
      </c>
      <c r="I323" s="510">
        <v>1184.66777</v>
      </c>
      <c r="J323" s="509">
        <v>4738.6710800000001</v>
      </c>
      <c r="K323" s="409"/>
      <c r="L323" s="447">
        <f t="shared" si="46"/>
        <v>4738.6710800000001</v>
      </c>
      <c r="M323" s="447">
        <f t="shared" si="44"/>
        <v>0</v>
      </c>
      <c r="N323" s="409"/>
      <c r="O323" s="409"/>
      <c r="P323" s="409"/>
      <c r="Q323" s="409"/>
      <c r="R323" s="409"/>
      <c r="S323" s="409"/>
    </row>
    <row r="324" spans="1:19" s="140" customFormat="1" ht="25.5">
      <c r="A324" s="394" t="s">
        <v>3260</v>
      </c>
      <c r="B324" s="285" t="s">
        <v>9661</v>
      </c>
      <c r="C324" s="285" t="s">
        <v>18517</v>
      </c>
      <c r="D324" s="289" t="s">
        <v>18511</v>
      </c>
      <c r="E324" s="290" t="s">
        <v>109</v>
      </c>
      <c r="F324" s="755">
        <v>1</v>
      </c>
      <c r="G324" s="510">
        <v>3835.7299999999996</v>
      </c>
      <c r="H324" s="508">
        <v>0.2094</v>
      </c>
      <c r="I324" s="510">
        <v>4638.9318619999995</v>
      </c>
      <c r="J324" s="509">
        <v>4638.9318619999995</v>
      </c>
      <c r="K324" s="409"/>
      <c r="L324" s="447">
        <f t="shared" ref="L324" si="51">I324*F324</f>
        <v>4638.9318619999995</v>
      </c>
      <c r="M324" s="447">
        <f t="shared" ref="M324" si="52">L324-J324</f>
        <v>0</v>
      </c>
      <c r="N324" s="409"/>
      <c r="O324" s="409"/>
      <c r="P324" s="409"/>
      <c r="Q324" s="409"/>
      <c r="R324" s="409"/>
      <c r="S324" s="409"/>
    </row>
    <row r="325" spans="1:19" s="140" customFormat="1" ht="38.25">
      <c r="A325" s="394" t="s">
        <v>3259</v>
      </c>
      <c r="B325" s="285" t="s">
        <v>9661</v>
      </c>
      <c r="C325" s="285">
        <v>98111</v>
      </c>
      <c r="D325" s="289" t="s">
        <v>13597</v>
      </c>
      <c r="E325" s="290" t="s">
        <v>109</v>
      </c>
      <c r="F325" s="755">
        <v>1</v>
      </c>
      <c r="G325" s="510" t="s">
        <v>12470</v>
      </c>
      <c r="H325" s="508">
        <v>0.2094</v>
      </c>
      <c r="I325" s="510">
        <v>37.866314000000003</v>
      </c>
      <c r="J325" s="509">
        <v>37.866314000000003</v>
      </c>
      <c r="K325" s="409"/>
      <c r="L325" s="447">
        <f t="shared" si="46"/>
        <v>37.866314000000003</v>
      </c>
      <c r="M325" s="447">
        <f t="shared" si="44"/>
        <v>0</v>
      </c>
      <c r="N325" s="409"/>
      <c r="O325" s="409"/>
      <c r="P325" s="409"/>
      <c r="Q325" s="409"/>
      <c r="R325" s="409"/>
      <c r="S325" s="409"/>
    </row>
    <row r="326" spans="1:19" s="140" customFormat="1" ht="38.25">
      <c r="A326" s="394" t="s">
        <v>3260</v>
      </c>
      <c r="B326" s="285" t="s">
        <v>9662</v>
      </c>
      <c r="C326" s="285" t="s">
        <v>14378</v>
      </c>
      <c r="D326" s="289" t="s">
        <v>17111</v>
      </c>
      <c r="E326" s="290" t="s">
        <v>10</v>
      </c>
      <c r="F326" s="755">
        <v>1</v>
      </c>
      <c r="G326" s="510">
        <v>159.35999999999999</v>
      </c>
      <c r="H326" s="508">
        <v>0.2094</v>
      </c>
      <c r="I326" s="510">
        <v>192.72998399999997</v>
      </c>
      <c r="J326" s="509">
        <v>192.72998399999997</v>
      </c>
      <c r="K326" s="409"/>
      <c r="L326" s="447">
        <f t="shared" si="46"/>
        <v>192.72998399999997</v>
      </c>
      <c r="M326" s="447">
        <f t="shared" si="44"/>
        <v>0</v>
      </c>
      <c r="N326" s="409"/>
      <c r="O326" s="409"/>
      <c r="P326" s="409"/>
      <c r="Q326" s="409"/>
      <c r="R326" s="409"/>
      <c r="S326" s="409"/>
    </row>
    <row r="327" spans="1:19" s="140" customFormat="1">
      <c r="A327" s="394"/>
      <c r="B327" s="285"/>
      <c r="C327" s="285"/>
      <c r="D327" s="407"/>
      <c r="E327" s="230"/>
      <c r="F327" s="426"/>
      <c r="G327" s="464"/>
      <c r="H327" s="427"/>
      <c r="I327" s="464"/>
      <c r="J327" s="428"/>
      <c r="K327" s="409"/>
      <c r="L327" s="447">
        <f t="shared" si="46"/>
        <v>0</v>
      </c>
      <c r="M327" s="447">
        <f t="shared" si="44"/>
        <v>0</v>
      </c>
      <c r="N327" s="409"/>
      <c r="O327" s="409"/>
      <c r="P327" s="409"/>
      <c r="Q327" s="409"/>
      <c r="R327" s="409"/>
      <c r="S327" s="409"/>
    </row>
    <row r="328" spans="1:19" s="140" customFormat="1">
      <c r="A328" s="394"/>
      <c r="B328" s="396" t="s">
        <v>3282</v>
      </c>
      <c r="C328" s="396"/>
      <c r="D328" s="406" t="s">
        <v>111</v>
      </c>
      <c r="E328" s="422"/>
      <c r="F328" s="422"/>
      <c r="G328" s="429"/>
      <c r="H328" s="422"/>
      <c r="I328" s="429"/>
      <c r="J328" s="423"/>
      <c r="K328" s="409"/>
      <c r="L328" s="447">
        <f t="shared" si="46"/>
        <v>0</v>
      </c>
      <c r="M328" s="447">
        <f t="shared" si="44"/>
        <v>0</v>
      </c>
      <c r="N328" s="409"/>
      <c r="O328" s="409"/>
      <c r="P328" s="409"/>
      <c r="Q328" s="409"/>
      <c r="R328" s="409"/>
      <c r="S328" s="409"/>
    </row>
    <row r="329" spans="1:19" s="140" customFormat="1" ht="38.25">
      <c r="A329" s="394" t="s">
        <v>3259</v>
      </c>
      <c r="B329" s="285" t="s">
        <v>3283</v>
      </c>
      <c r="C329" s="285">
        <v>93358</v>
      </c>
      <c r="D329" s="289" t="s">
        <v>16227</v>
      </c>
      <c r="E329" s="290" t="s">
        <v>209</v>
      </c>
      <c r="F329" s="755">
        <v>22.88</v>
      </c>
      <c r="G329" s="510" t="s">
        <v>23682</v>
      </c>
      <c r="H329" s="508">
        <v>0.2094</v>
      </c>
      <c r="I329" s="510">
        <v>84.246803999999997</v>
      </c>
      <c r="J329" s="509">
        <v>1927.5668755199999</v>
      </c>
      <c r="K329" s="409"/>
      <c r="L329" s="447">
        <f t="shared" si="46"/>
        <v>1927.5668755199999</v>
      </c>
      <c r="M329" s="447">
        <f t="shared" si="44"/>
        <v>0</v>
      </c>
      <c r="N329" s="409"/>
      <c r="O329" s="409"/>
      <c r="P329" s="409"/>
      <c r="Q329" s="409"/>
      <c r="R329" s="409"/>
      <c r="S329" s="409"/>
    </row>
    <row r="330" spans="1:19" s="140" customFormat="1" ht="38.25">
      <c r="A330" s="394" t="s">
        <v>3259</v>
      </c>
      <c r="B330" s="285" t="s">
        <v>14452</v>
      </c>
      <c r="C330" s="285">
        <v>101616</v>
      </c>
      <c r="D330" s="289" t="s">
        <v>13664</v>
      </c>
      <c r="E330" s="290" t="s">
        <v>193</v>
      </c>
      <c r="F330" s="755">
        <v>45.75</v>
      </c>
      <c r="G330" s="510" t="s">
        <v>11219</v>
      </c>
      <c r="H330" s="508">
        <v>0.2094</v>
      </c>
      <c r="I330" s="510">
        <v>6.3735379999999999</v>
      </c>
      <c r="J330" s="509">
        <v>291.58936349999999</v>
      </c>
      <c r="K330" s="409"/>
      <c r="L330" s="447">
        <f t="shared" si="46"/>
        <v>291.58936349999999</v>
      </c>
      <c r="M330" s="447">
        <f t="shared" si="44"/>
        <v>0</v>
      </c>
      <c r="N330" s="409"/>
      <c r="O330" s="409"/>
      <c r="P330" s="409"/>
      <c r="Q330" s="409"/>
      <c r="R330" s="409"/>
      <c r="S330" s="409"/>
    </row>
    <row r="331" spans="1:19" s="140" customFormat="1" ht="25.5">
      <c r="A331" s="394" t="s">
        <v>3259</v>
      </c>
      <c r="B331" s="285" t="s">
        <v>14453</v>
      </c>
      <c r="C331" s="288">
        <v>93382</v>
      </c>
      <c r="D331" s="289" t="s">
        <v>2501</v>
      </c>
      <c r="E331" s="290" t="s">
        <v>209</v>
      </c>
      <c r="F331" s="755">
        <v>22.68</v>
      </c>
      <c r="G331" s="510" t="s">
        <v>16369</v>
      </c>
      <c r="H331" s="508">
        <v>0.2094</v>
      </c>
      <c r="I331" s="510">
        <v>30.380128000000003</v>
      </c>
      <c r="J331" s="509">
        <v>689.02130304000002</v>
      </c>
      <c r="K331" s="409"/>
      <c r="L331" s="447">
        <f t="shared" si="46"/>
        <v>689.02130304000002</v>
      </c>
      <c r="M331" s="447">
        <f t="shared" si="44"/>
        <v>0</v>
      </c>
      <c r="N331" s="409"/>
      <c r="O331" s="409"/>
      <c r="P331" s="409"/>
      <c r="Q331" s="409"/>
      <c r="R331" s="409"/>
      <c r="S331" s="409"/>
    </row>
    <row r="332" spans="1:19" s="140" customFormat="1" ht="25.5">
      <c r="A332" s="394" t="s">
        <v>3259</v>
      </c>
      <c r="B332" s="285" t="s">
        <v>14454</v>
      </c>
      <c r="C332" s="285">
        <v>96985</v>
      </c>
      <c r="D332" s="289" t="s">
        <v>3471</v>
      </c>
      <c r="E332" s="290" t="s">
        <v>109</v>
      </c>
      <c r="F332" s="755">
        <v>6</v>
      </c>
      <c r="G332" s="510" t="s">
        <v>22869</v>
      </c>
      <c r="H332" s="508">
        <v>0.2094</v>
      </c>
      <c r="I332" s="510">
        <v>78.756128000000004</v>
      </c>
      <c r="J332" s="509">
        <v>472.53676800000005</v>
      </c>
      <c r="K332" s="409"/>
      <c r="L332" s="447">
        <f t="shared" si="46"/>
        <v>472.53676800000005</v>
      </c>
      <c r="M332" s="447">
        <f t="shared" si="44"/>
        <v>0</v>
      </c>
      <c r="N332" s="409"/>
      <c r="O332" s="409"/>
      <c r="P332" s="409"/>
      <c r="Q332" s="409"/>
      <c r="R332" s="409"/>
      <c r="S332" s="409"/>
    </row>
    <row r="333" spans="1:19" s="140" customFormat="1" ht="38.25">
      <c r="A333" s="394" t="s">
        <v>3260</v>
      </c>
      <c r="B333" s="285" t="s">
        <v>14455</v>
      </c>
      <c r="C333" s="285" t="s">
        <v>14394</v>
      </c>
      <c r="D333" s="289" t="s">
        <v>17118</v>
      </c>
      <c r="E333" s="290" t="s">
        <v>10</v>
      </c>
      <c r="F333" s="755">
        <v>6</v>
      </c>
      <c r="G333" s="510">
        <v>34.730000000000004</v>
      </c>
      <c r="H333" s="508">
        <v>0.2094</v>
      </c>
      <c r="I333" s="510">
        <v>42.002462000000008</v>
      </c>
      <c r="J333" s="509">
        <v>252.01477200000005</v>
      </c>
      <c r="K333" s="409"/>
      <c r="L333" s="447">
        <f t="shared" si="46"/>
        <v>252.01477200000005</v>
      </c>
      <c r="M333" s="447">
        <f t="shared" si="44"/>
        <v>0</v>
      </c>
      <c r="N333" s="409"/>
      <c r="O333" s="409"/>
      <c r="P333" s="409"/>
      <c r="Q333" s="409"/>
      <c r="R333" s="409"/>
      <c r="S333" s="409"/>
    </row>
    <row r="334" spans="1:19" s="140" customFormat="1" ht="25.5">
      <c r="A334" s="394" t="s">
        <v>3260</v>
      </c>
      <c r="B334" s="285" t="s">
        <v>14468</v>
      </c>
      <c r="C334" s="285" t="s">
        <v>14459</v>
      </c>
      <c r="D334" s="289" t="s">
        <v>136</v>
      </c>
      <c r="E334" s="290" t="s">
        <v>128</v>
      </c>
      <c r="F334" s="755">
        <v>57.38</v>
      </c>
      <c r="G334" s="510">
        <v>5.25</v>
      </c>
      <c r="H334" s="508">
        <v>0.2094</v>
      </c>
      <c r="I334" s="510">
        <v>6.3493500000000003</v>
      </c>
      <c r="J334" s="509">
        <v>364.32570300000003</v>
      </c>
      <c r="K334" s="409"/>
      <c r="L334" s="447">
        <f t="shared" si="46"/>
        <v>364.32570300000003</v>
      </c>
      <c r="M334" s="447">
        <f t="shared" si="44"/>
        <v>0</v>
      </c>
      <c r="N334" s="409"/>
      <c r="O334" s="409"/>
      <c r="P334" s="409"/>
      <c r="Q334" s="409"/>
      <c r="R334" s="409"/>
      <c r="S334" s="409"/>
    </row>
    <row r="335" spans="1:19" s="140" customFormat="1" ht="38.25">
      <c r="A335" s="394" t="s">
        <v>3259</v>
      </c>
      <c r="B335" s="285" t="s">
        <v>14469</v>
      </c>
      <c r="C335" s="288">
        <v>90437</v>
      </c>
      <c r="D335" s="289" t="s">
        <v>2404</v>
      </c>
      <c r="E335" s="290" t="s">
        <v>109</v>
      </c>
      <c r="F335" s="755">
        <v>12</v>
      </c>
      <c r="G335" s="510" t="s">
        <v>21466</v>
      </c>
      <c r="H335" s="508">
        <v>0.2094</v>
      </c>
      <c r="I335" s="510">
        <v>38.084006000000002</v>
      </c>
      <c r="J335" s="509">
        <v>457.00807200000003</v>
      </c>
      <c r="K335" s="409"/>
      <c r="L335" s="447">
        <f t="shared" si="46"/>
        <v>457.00807200000003</v>
      </c>
      <c r="M335" s="447">
        <f t="shared" si="44"/>
        <v>0</v>
      </c>
      <c r="N335" s="409"/>
      <c r="O335" s="409"/>
      <c r="P335" s="409"/>
      <c r="Q335" s="409"/>
      <c r="R335" s="409"/>
      <c r="S335" s="409"/>
    </row>
    <row r="336" spans="1:19" s="140" customFormat="1" ht="38.25">
      <c r="A336" s="394" t="s">
        <v>3259</v>
      </c>
      <c r="B336" s="285" t="s">
        <v>17277</v>
      </c>
      <c r="C336" s="285">
        <v>91191</v>
      </c>
      <c r="D336" s="289" t="s">
        <v>2446</v>
      </c>
      <c r="E336" s="290" t="s">
        <v>109</v>
      </c>
      <c r="F336" s="755">
        <v>12</v>
      </c>
      <c r="G336" s="510" t="s">
        <v>10038</v>
      </c>
      <c r="H336" s="508">
        <v>0.2094</v>
      </c>
      <c r="I336" s="510">
        <v>5.7809320000000008</v>
      </c>
      <c r="J336" s="509">
        <v>69.371184000000014</v>
      </c>
      <c r="K336" s="409"/>
      <c r="L336" s="447">
        <f t="shared" si="46"/>
        <v>69.371184000000014</v>
      </c>
      <c r="M336" s="447">
        <f t="shared" si="44"/>
        <v>0</v>
      </c>
      <c r="N336" s="409"/>
      <c r="O336" s="409"/>
      <c r="P336" s="409"/>
      <c r="Q336" s="409"/>
      <c r="R336" s="409"/>
      <c r="S336" s="409"/>
    </row>
    <row r="337" spans="1:19" s="140" customFormat="1" ht="51">
      <c r="A337" s="394" t="s">
        <v>3259</v>
      </c>
      <c r="B337" s="285" t="s">
        <v>14470</v>
      </c>
      <c r="C337" s="285">
        <v>91222</v>
      </c>
      <c r="D337" s="289" t="s">
        <v>135</v>
      </c>
      <c r="E337" s="290" t="s">
        <v>5</v>
      </c>
      <c r="F337" s="755">
        <v>9.4</v>
      </c>
      <c r="G337" s="510" t="s">
        <v>11527</v>
      </c>
      <c r="H337" s="508">
        <v>0.2094</v>
      </c>
      <c r="I337" s="510">
        <v>15.335191999999999</v>
      </c>
      <c r="J337" s="509">
        <v>144.1508048</v>
      </c>
      <c r="K337" s="409"/>
      <c r="L337" s="447">
        <f t="shared" si="46"/>
        <v>144.1508048</v>
      </c>
      <c r="M337" s="447">
        <f t="shared" si="44"/>
        <v>0</v>
      </c>
      <c r="N337" s="409"/>
      <c r="O337" s="409"/>
      <c r="P337" s="409"/>
      <c r="Q337" s="409"/>
      <c r="R337" s="409"/>
      <c r="S337" s="409"/>
    </row>
    <row r="338" spans="1:19" s="140" customFormat="1" ht="51">
      <c r="A338" s="394" t="s">
        <v>3259</v>
      </c>
      <c r="B338" s="285" t="s">
        <v>14471</v>
      </c>
      <c r="C338" s="285">
        <v>90467</v>
      </c>
      <c r="D338" s="289" t="s">
        <v>133</v>
      </c>
      <c r="E338" s="290" t="s">
        <v>5</v>
      </c>
      <c r="F338" s="755">
        <v>9.4</v>
      </c>
      <c r="G338" s="510" t="s">
        <v>23632</v>
      </c>
      <c r="H338" s="508">
        <v>0.2094</v>
      </c>
      <c r="I338" s="510">
        <v>22.228771999999999</v>
      </c>
      <c r="J338" s="509">
        <v>208.95045680000001</v>
      </c>
      <c r="K338" s="409"/>
      <c r="L338" s="447">
        <f t="shared" si="46"/>
        <v>208.95045680000001</v>
      </c>
      <c r="M338" s="447">
        <f t="shared" si="44"/>
        <v>0</v>
      </c>
      <c r="N338" s="409"/>
      <c r="O338" s="409"/>
      <c r="P338" s="409"/>
      <c r="Q338" s="409"/>
      <c r="R338" s="409"/>
      <c r="S338" s="409"/>
    </row>
    <row r="339" spans="1:19" s="140" customFormat="1">
      <c r="A339" s="394"/>
      <c r="B339" s="285"/>
      <c r="C339" s="285"/>
      <c r="D339" s="407"/>
      <c r="E339" s="230"/>
      <c r="F339" s="426"/>
      <c r="G339" s="464"/>
      <c r="H339" s="427"/>
      <c r="I339" s="464"/>
      <c r="J339" s="430"/>
      <c r="K339" s="409"/>
      <c r="L339" s="447">
        <f t="shared" si="46"/>
        <v>0</v>
      </c>
      <c r="M339" s="447">
        <f t="shared" si="44"/>
        <v>0</v>
      </c>
      <c r="N339" s="409"/>
      <c r="O339" s="409"/>
      <c r="P339" s="409"/>
      <c r="Q339" s="409"/>
      <c r="R339" s="409"/>
      <c r="S339" s="409"/>
    </row>
    <row r="340" spans="1:19" s="92" customFormat="1">
      <c r="A340" s="256"/>
      <c r="B340" s="396" t="s">
        <v>9645</v>
      </c>
      <c r="C340" s="287"/>
      <c r="D340" s="403" t="s">
        <v>9646</v>
      </c>
      <c r="E340" s="415"/>
      <c r="F340" s="415"/>
      <c r="G340" s="462"/>
      <c r="H340" s="415"/>
      <c r="I340" s="462"/>
      <c r="J340" s="416"/>
      <c r="K340" s="298"/>
      <c r="L340" s="447">
        <f t="shared" si="46"/>
        <v>0</v>
      </c>
      <c r="M340" s="447">
        <f t="shared" si="44"/>
        <v>0</v>
      </c>
      <c r="N340" s="298"/>
      <c r="O340" s="298"/>
      <c r="P340" s="298"/>
      <c r="Q340" s="298"/>
      <c r="R340" s="298"/>
      <c r="S340" s="298"/>
    </row>
    <row r="341" spans="1:19" s="92" customFormat="1">
      <c r="A341" s="256"/>
      <c r="B341" s="396" t="s">
        <v>14492</v>
      </c>
      <c r="C341" s="287"/>
      <c r="D341" s="403" t="s">
        <v>9024</v>
      </c>
      <c r="E341" s="415"/>
      <c r="F341" s="415"/>
      <c r="G341" s="462"/>
      <c r="H341" s="415"/>
      <c r="I341" s="462"/>
      <c r="J341" s="416"/>
      <c r="K341" s="298"/>
      <c r="L341" s="447">
        <f t="shared" si="46"/>
        <v>0</v>
      </c>
      <c r="M341" s="447">
        <f t="shared" si="44"/>
        <v>0</v>
      </c>
      <c r="N341" s="298"/>
      <c r="O341" s="298"/>
      <c r="P341" s="298"/>
      <c r="Q341" s="298"/>
      <c r="R341" s="298"/>
      <c r="S341" s="298"/>
    </row>
    <row r="342" spans="1:19" s="92" customFormat="1" ht="38.25">
      <c r="A342" s="256" t="s">
        <v>3259</v>
      </c>
      <c r="B342" s="285" t="s">
        <v>14493</v>
      </c>
      <c r="C342" s="288">
        <v>96977</v>
      </c>
      <c r="D342" s="289" t="s">
        <v>3466</v>
      </c>
      <c r="E342" s="290" t="s">
        <v>5</v>
      </c>
      <c r="F342" s="292">
        <v>286</v>
      </c>
      <c r="G342" s="510" t="s">
        <v>9882</v>
      </c>
      <c r="H342" s="508">
        <v>0.2094</v>
      </c>
      <c r="I342" s="510">
        <v>51.459969999999998</v>
      </c>
      <c r="J342" s="509">
        <v>14717.55142</v>
      </c>
      <c r="K342" s="298"/>
      <c r="L342" s="447">
        <f t="shared" si="46"/>
        <v>14717.55142</v>
      </c>
      <c r="M342" s="447">
        <f t="shared" si="44"/>
        <v>0</v>
      </c>
      <c r="N342" s="298"/>
      <c r="O342" s="298"/>
      <c r="P342" s="298"/>
      <c r="Q342" s="298"/>
      <c r="R342" s="298"/>
      <c r="S342" s="298"/>
    </row>
    <row r="343" spans="1:19" s="140" customFormat="1" ht="38.25">
      <c r="A343" s="256" t="s">
        <v>3259</v>
      </c>
      <c r="B343" s="285" t="s">
        <v>14494</v>
      </c>
      <c r="C343" s="288">
        <v>96974</v>
      </c>
      <c r="D343" s="289" t="s">
        <v>3463</v>
      </c>
      <c r="E343" s="290" t="s">
        <v>5</v>
      </c>
      <c r="F343" s="755">
        <v>24.8</v>
      </c>
      <c r="G343" s="510" t="s">
        <v>16321</v>
      </c>
      <c r="H343" s="508">
        <v>0.2094</v>
      </c>
      <c r="I343" s="510">
        <v>78.018394000000015</v>
      </c>
      <c r="J343" s="509">
        <v>1934.8561712000005</v>
      </c>
      <c r="K343" s="409"/>
      <c r="L343" s="447">
        <f t="shared" si="46"/>
        <v>1934.8561712000005</v>
      </c>
      <c r="M343" s="447">
        <f t="shared" si="44"/>
        <v>0</v>
      </c>
      <c r="N343" s="409"/>
      <c r="O343" s="409"/>
      <c r="P343" s="409"/>
      <c r="Q343" s="409"/>
      <c r="R343" s="409"/>
      <c r="S343" s="409"/>
    </row>
    <row r="344" spans="1:19" s="140" customFormat="1">
      <c r="A344" s="394"/>
      <c r="B344" s="285"/>
      <c r="C344" s="288"/>
      <c r="D344" s="407"/>
      <c r="E344" s="230"/>
      <c r="F344" s="426"/>
      <c r="G344" s="464"/>
      <c r="H344" s="427"/>
      <c r="I344" s="464"/>
      <c r="J344" s="430"/>
      <c r="K344" s="409"/>
      <c r="L344" s="447">
        <f t="shared" si="46"/>
        <v>0</v>
      </c>
      <c r="M344" s="447">
        <f t="shared" si="44"/>
        <v>0</v>
      </c>
      <c r="N344" s="409"/>
      <c r="O344" s="409"/>
      <c r="P344" s="409"/>
      <c r="Q344" s="409"/>
      <c r="R344" s="409"/>
      <c r="S344" s="409"/>
    </row>
    <row r="345" spans="1:19" s="92" customFormat="1">
      <c r="A345" s="256"/>
      <c r="B345" s="396" t="s">
        <v>9648</v>
      </c>
      <c r="C345" s="287"/>
      <c r="D345" s="403" t="s">
        <v>9649</v>
      </c>
      <c r="E345" s="415"/>
      <c r="F345" s="415"/>
      <c r="G345" s="462"/>
      <c r="H345" s="415"/>
      <c r="I345" s="462"/>
      <c r="J345" s="416"/>
      <c r="K345" s="298"/>
      <c r="L345" s="447">
        <f t="shared" si="46"/>
        <v>0</v>
      </c>
      <c r="M345" s="447">
        <f t="shared" si="44"/>
        <v>0</v>
      </c>
      <c r="N345" s="298"/>
      <c r="O345" s="298"/>
      <c r="P345" s="298"/>
      <c r="Q345" s="298"/>
      <c r="R345" s="298"/>
      <c r="S345" s="298"/>
    </row>
    <row r="346" spans="1:19" s="140" customFormat="1" ht="38.25">
      <c r="A346" s="394" t="s">
        <v>3259</v>
      </c>
      <c r="B346" s="285" t="s">
        <v>9651</v>
      </c>
      <c r="C346" s="285">
        <v>98111</v>
      </c>
      <c r="D346" s="289" t="s">
        <v>13597</v>
      </c>
      <c r="E346" s="290" t="s">
        <v>109</v>
      </c>
      <c r="F346" s="755">
        <v>14</v>
      </c>
      <c r="G346" s="510" t="s">
        <v>12470</v>
      </c>
      <c r="H346" s="508">
        <v>0.2094</v>
      </c>
      <c r="I346" s="510">
        <v>37.866314000000003</v>
      </c>
      <c r="J346" s="509">
        <v>530.12839600000007</v>
      </c>
      <c r="K346" s="409"/>
      <c r="L346" s="447">
        <f t="shared" si="46"/>
        <v>530.12839600000007</v>
      </c>
      <c r="M346" s="447">
        <f t="shared" si="44"/>
        <v>0</v>
      </c>
      <c r="N346" s="409"/>
      <c r="O346" s="409"/>
      <c r="P346" s="409"/>
      <c r="Q346" s="409"/>
      <c r="R346" s="409"/>
      <c r="S346" s="409"/>
    </row>
    <row r="347" spans="1:19" s="140" customFormat="1" ht="38.25">
      <c r="A347" s="394" t="s">
        <v>3260</v>
      </c>
      <c r="B347" s="285" t="s">
        <v>9652</v>
      </c>
      <c r="C347" s="285" t="s">
        <v>14378</v>
      </c>
      <c r="D347" s="289" t="s">
        <v>17111</v>
      </c>
      <c r="E347" s="290" t="s">
        <v>10</v>
      </c>
      <c r="F347" s="755">
        <v>14</v>
      </c>
      <c r="G347" s="510">
        <v>159.35999999999999</v>
      </c>
      <c r="H347" s="508">
        <v>0.2094</v>
      </c>
      <c r="I347" s="510">
        <v>192.72998399999997</v>
      </c>
      <c r="J347" s="509">
        <v>2698.2197759999995</v>
      </c>
      <c r="K347" s="409"/>
      <c r="L347" s="447">
        <f t="shared" si="46"/>
        <v>2698.2197759999995</v>
      </c>
      <c r="M347" s="447">
        <f t="shared" si="44"/>
        <v>0</v>
      </c>
      <c r="N347" s="409"/>
      <c r="O347" s="409"/>
      <c r="P347" s="409"/>
      <c r="Q347" s="409"/>
      <c r="R347" s="409"/>
      <c r="S347" s="409"/>
    </row>
    <row r="348" spans="1:19" s="140" customFormat="1" ht="25.5">
      <c r="A348" s="394" t="s">
        <v>3259</v>
      </c>
      <c r="B348" s="285" t="s">
        <v>9653</v>
      </c>
      <c r="C348" s="285">
        <v>96985</v>
      </c>
      <c r="D348" s="289" t="s">
        <v>3471</v>
      </c>
      <c r="E348" s="290" t="s">
        <v>109</v>
      </c>
      <c r="F348" s="755">
        <v>14</v>
      </c>
      <c r="G348" s="510" t="s">
        <v>22869</v>
      </c>
      <c r="H348" s="508">
        <v>0.2094</v>
      </c>
      <c r="I348" s="510">
        <v>78.756128000000004</v>
      </c>
      <c r="J348" s="509">
        <v>1102.5857920000001</v>
      </c>
      <c r="K348" s="409"/>
      <c r="L348" s="447">
        <f t="shared" si="46"/>
        <v>1102.5857920000001</v>
      </c>
      <c r="M348" s="447">
        <f t="shared" si="44"/>
        <v>0</v>
      </c>
      <c r="N348" s="409"/>
      <c r="O348" s="409"/>
      <c r="P348" s="409"/>
      <c r="Q348" s="409"/>
      <c r="R348" s="409"/>
      <c r="S348" s="409"/>
    </row>
    <row r="349" spans="1:19" s="140" customFormat="1" ht="38.25">
      <c r="A349" s="394" t="s">
        <v>3260</v>
      </c>
      <c r="B349" s="285" t="s">
        <v>9654</v>
      </c>
      <c r="C349" s="288" t="s">
        <v>14393</v>
      </c>
      <c r="D349" s="289" t="s">
        <v>17112</v>
      </c>
      <c r="E349" s="290" t="s">
        <v>10</v>
      </c>
      <c r="F349" s="755">
        <v>14</v>
      </c>
      <c r="G349" s="510">
        <v>26.880000000000003</v>
      </c>
      <c r="H349" s="508">
        <v>0.2094</v>
      </c>
      <c r="I349" s="510">
        <v>32.508672000000004</v>
      </c>
      <c r="J349" s="509">
        <v>455.12140800000009</v>
      </c>
      <c r="K349" s="409"/>
      <c r="L349" s="447">
        <f t="shared" si="46"/>
        <v>455.12140800000009</v>
      </c>
      <c r="M349" s="447">
        <f t="shared" si="44"/>
        <v>0</v>
      </c>
      <c r="N349" s="409"/>
      <c r="O349" s="409"/>
      <c r="P349" s="409"/>
      <c r="Q349" s="409"/>
      <c r="R349" s="409"/>
      <c r="S349" s="409"/>
    </row>
    <row r="350" spans="1:19" s="140" customFormat="1" ht="25.5">
      <c r="A350" s="394" t="s">
        <v>3260</v>
      </c>
      <c r="B350" s="285" t="s">
        <v>9655</v>
      </c>
      <c r="C350" s="288" t="s">
        <v>14545</v>
      </c>
      <c r="D350" s="289" t="s">
        <v>17281</v>
      </c>
      <c r="E350" s="290" t="s">
        <v>109</v>
      </c>
      <c r="F350" s="755">
        <v>41</v>
      </c>
      <c r="G350" s="510">
        <v>7.72</v>
      </c>
      <c r="H350" s="508">
        <v>0.2094</v>
      </c>
      <c r="I350" s="510">
        <v>9.3365679999999998</v>
      </c>
      <c r="J350" s="509">
        <v>382.79928799999999</v>
      </c>
      <c r="K350" s="409"/>
      <c r="L350" s="447">
        <f t="shared" si="46"/>
        <v>382.79928799999999</v>
      </c>
      <c r="M350" s="447">
        <f t="shared" si="44"/>
        <v>0</v>
      </c>
      <c r="N350" s="409"/>
      <c r="O350" s="409"/>
      <c r="P350" s="409"/>
      <c r="Q350" s="409"/>
      <c r="R350" s="409"/>
      <c r="S350" s="409"/>
    </row>
    <row r="351" spans="1:19" s="140" customFormat="1" ht="25.5">
      <c r="A351" s="394" t="s">
        <v>3260</v>
      </c>
      <c r="B351" s="285" t="s">
        <v>11576</v>
      </c>
      <c r="C351" s="288" t="s">
        <v>14548</v>
      </c>
      <c r="D351" s="289" t="s">
        <v>17285</v>
      </c>
      <c r="E351" s="290" t="s">
        <v>109</v>
      </c>
      <c r="F351" s="755">
        <v>41</v>
      </c>
      <c r="G351" s="510">
        <v>4.58</v>
      </c>
      <c r="H351" s="508">
        <v>0.2094</v>
      </c>
      <c r="I351" s="510">
        <v>5.5390519999999999</v>
      </c>
      <c r="J351" s="509">
        <v>227.10113200000001</v>
      </c>
      <c r="K351" s="409"/>
      <c r="L351" s="447">
        <f t="shared" si="46"/>
        <v>227.10113200000001</v>
      </c>
      <c r="M351" s="447">
        <f t="shared" si="44"/>
        <v>0</v>
      </c>
      <c r="N351" s="409"/>
      <c r="O351" s="409"/>
      <c r="P351" s="409"/>
      <c r="Q351" s="409"/>
      <c r="R351" s="409"/>
      <c r="S351" s="409"/>
    </row>
    <row r="352" spans="1:19" s="140" customFormat="1" ht="25.5">
      <c r="A352" s="394" t="s">
        <v>3260</v>
      </c>
      <c r="B352" s="285" t="s">
        <v>14509</v>
      </c>
      <c r="C352" s="288" t="s">
        <v>14379</v>
      </c>
      <c r="D352" s="289" t="s">
        <v>17110</v>
      </c>
      <c r="E352" s="290" t="s">
        <v>10</v>
      </c>
      <c r="F352" s="755">
        <v>41</v>
      </c>
      <c r="G352" s="510">
        <v>37.83</v>
      </c>
      <c r="H352" s="508">
        <v>0.2094</v>
      </c>
      <c r="I352" s="510">
        <v>45.751601999999998</v>
      </c>
      <c r="J352" s="509">
        <v>1875.8156819999999</v>
      </c>
      <c r="K352" s="409"/>
      <c r="L352" s="447">
        <f t="shared" ref="L352" si="53">I352*F352</f>
        <v>1875.8156819999999</v>
      </c>
      <c r="M352" s="447"/>
      <c r="N352" s="409"/>
      <c r="O352" s="409"/>
      <c r="P352" s="409"/>
      <c r="Q352" s="409"/>
      <c r="R352" s="409"/>
      <c r="S352" s="409"/>
    </row>
    <row r="353" spans="1:19" s="140" customFormat="1">
      <c r="A353" s="394"/>
      <c r="B353" s="285"/>
      <c r="C353" s="288"/>
      <c r="D353" s="407"/>
      <c r="E353" s="230"/>
      <c r="F353" s="426"/>
      <c r="G353" s="464"/>
      <c r="H353" s="427"/>
      <c r="I353" s="464"/>
      <c r="J353" s="428"/>
      <c r="K353" s="409"/>
      <c r="L353" s="447">
        <f t="shared" si="46"/>
        <v>0</v>
      </c>
      <c r="M353" s="447">
        <f t="shared" si="44"/>
        <v>0</v>
      </c>
      <c r="N353" s="409"/>
      <c r="O353" s="409"/>
      <c r="P353" s="409"/>
      <c r="Q353" s="409"/>
      <c r="R353" s="409"/>
      <c r="S353" s="409"/>
    </row>
    <row r="354" spans="1:19" s="140" customFormat="1">
      <c r="A354" s="394"/>
      <c r="B354" s="396" t="s">
        <v>9650</v>
      </c>
      <c r="C354" s="396"/>
      <c r="D354" s="406" t="s">
        <v>111</v>
      </c>
      <c r="E354" s="422"/>
      <c r="F354" s="422"/>
      <c r="G354" s="429"/>
      <c r="H354" s="422"/>
      <c r="I354" s="429"/>
      <c r="J354" s="423"/>
      <c r="K354" s="409"/>
      <c r="L354" s="447">
        <f t="shared" si="46"/>
        <v>0</v>
      </c>
      <c r="M354" s="447">
        <f t="shared" si="44"/>
        <v>0</v>
      </c>
      <c r="N354" s="409"/>
      <c r="O354" s="409"/>
      <c r="P354" s="409"/>
      <c r="Q354" s="409"/>
      <c r="R354" s="409"/>
      <c r="S354" s="409"/>
    </row>
    <row r="355" spans="1:19" s="140" customFormat="1" ht="38.25">
      <c r="A355" s="394" t="s">
        <v>3259</v>
      </c>
      <c r="B355" s="285" t="s">
        <v>9656</v>
      </c>
      <c r="C355" s="285">
        <v>93358</v>
      </c>
      <c r="D355" s="289" t="s">
        <v>16227</v>
      </c>
      <c r="E355" s="290" t="s">
        <v>209</v>
      </c>
      <c r="F355" s="755">
        <v>51.48</v>
      </c>
      <c r="G355" s="510" t="s">
        <v>23682</v>
      </c>
      <c r="H355" s="508">
        <v>0.2094</v>
      </c>
      <c r="I355" s="510">
        <v>84.246803999999997</v>
      </c>
      <c r="J355" s="509">
        <v>4337.0254699199995</v>
      </c>
      <c r="K355" s="409"/>
      <c r="L355" s="447">
        <f t="shared" si="46"/>
        <v>4337.0254699199995</v>
      </c>
      <c r="M355" s="447">
        <f t="shared" si="44"/>
        <v>0</v>
      </c>
      <c r="N355" s="409"/>
      <c r="O355" s="409"/>
      <c r="P355" s="409"/>
      <c r="Q355" s="409"/>
      <c r="R355" s="409"/>
      <c r="S355" s="409"/>
    </row>
    <row r="356" spans="1:19" s="140" customFormat="1" ht="38.25">
      <c r="A356" s="394" t="s">
        <v>3259</v>
      </c>
      <c r="B356" s="285" t="s">
        <v>9657</v>
      </c>
      <c r="C356" s="288">
        <v>101616</v>
      </c>
      <c r="D356" s="289" t="s">
        <v>13664</v>
      </c>
      <c r="E356" s="290" t="s">
        <v>193</v>
      </c>
      <c r="F356" s="755">
        <v>85.8</v>
      </c>
      <c r="G356" s="510" t="s">
        <v>11219</v>
      </c>
      <c r="H356" s="508">
        <v>0.2094</v>
      </c>
      <c r="I356" s="510">
        <v>6.3735379999999999</v>
      </c>
      <c r="J356" s="509">
        <v>546.84956039999997</v>
      </c>
      <c r="K356" s="409"/>
      <c r="L356" s="447">
        <f t="shared" si="46"/>
        <v>546.84956039999997</v>
      </c>
      <c r="M356" s="447">
        <f t="shared" ref="M356:M425" si="54">L356-J356</f>
        <v>0</v>
      </c>
      <c r="N356" s="409"/>
      <c r="O356" s="409"/>
      <c r="P356" s="409"/>
      <c r="Q356" s="409"/>
      <c r="R356" s="409"/>
      <c r="S356" s="409"/>
    </row>
    <row r="357" spans="1:19" s="140" customFormat="1" ht="25.5">
      <c r="A357" s="394" t="s">
        <v>3259</v>
      </c>
      <c r="B357" s="285" t="s">
        <v>9658</v>
      </c>
      <c r="C357" s="288">
        <v>93382</v>
      </c>
      <c r="D357" s="289" t="s">
        <v>2501</v>
      </c>
      <c r="E357" s="290" t="s">
        <v>209</v>
      </c>
      <c r="F357" s="755">
        <v>51.48</v>
      </c>
      <c r="G357" s="510" t="s">
        <v>16369</v>
      </c>
      <c r="H357" s="508">
        <v>0.2094</v>
      </c>
      <c r="I357" s="510">
        <v>30.380128000000003</v>
      </c>
      <c r="J357" s="509">
        <v>1563.9689894400001</v>
      </c>
      <c r="K357" s="409"/>
      <c r="L357" s="447">
        <f t="shared" si="46"/>
        <v>1563.9689894400001</v>
      </c>
      <c r="M357" s="447">
        <f t="shared" si="54"/>
        <v>0</v>
      </c>
      <c r="N357" s="409"/>
      <c r="O357" s="409"/>
      <c r="P357" s="409"/>
      <c r="Q357" s="409"/>
      <c r="R357" s="409"/>
      <c r="S357" s="409"/>
    </row>
    <row r="358" spans="1:19" s="140" customFormat="1">
      <c r="A358" s="394"/>
      <c r="B358" s="391"/>
      <c r="C358" s="391"/>
      <c r="D358" s="401"/>
      <c r="E358" s="391"/>
      <c r="F358" s="417"/>
      <c r="G358" s="417"/>
      <c r="H358" s="417"/>
      <c r="I358" s="417"/>
      <c r="J358" s="418"/>
      <c r="K358" s="409"/>
      <c r="L358" s="447">
        <f t="shared" si="46"/>
        <v>0</v>
      </c>
      <c r="M358" s="447">
        <f t="shared" si="54"/>
        <v>0</v>
      </c>
      <c r="N358" s="409"/>
      <c r="O358" s="409"/>
      <c r="P358" s="409"/>
      <c r="Q358" s="409"/>
      <c r="R358" s="409"/>
      <c r="S358" s="409"/>
    </row>
    <row r="359" spans="1:19" s="140" customFormat="1">
      <c r="A359" s="394"/>
      <c r="B359" s="396" t="s">
        <v>17193</v>
      </c>
      <c r="C359" s="396"/>
      <c r="D359" s="406" t="s">
        <v>17194</v>
      </c>
      <c r="E359" s="391"/>
      <c r="F359" s="417"/>
      <c r="G359" s="417"/>
      <c r="H359" s="417"/>
      <c r="I359" s="417"/>
      <c r="J359" s="418"/>
      <c r="K359" s="409"/>
      <c r="L359" s="447">
        <f t="shared" si="46"/>
        <v>0</v>
      </c>
      <c r="M359" s="447">
        <f t="shared" si="54"/>
        <v>0</v>
      </c>
      <c r="N359" s="409"/>
      <c r="O359" s="409"/>
      <c r="P359" s="409"/>
      <c r="Q359" s="409"/>
      <c r="R359" s="409"/>
      <c r="S359" s="409"/>
    </row>
    <row r="360" spans="1:19" s="140" customFormat="1" ht="51">
      <c r="A360" s="394" t="s">
        <v>12</v>
      </c>
      <c r="B360" s="285" t="s">
        <v>17195</v>
      </c>
      <c r="C360" s="285" t="s">
        <v>14541</v>
      </c>
      <c r="D360" s="289" t="s">
        <v>16714</v>
      </c>
      <c r="E360" s="290" t="s">
        <v>109</v>
      </c>
      <c r="F360" s="755">
        <v>1</v>
      </c>
      <c r="G360" s="510">
        <v>92800</v>
      </c>
      <c r="H360" s="508">
        <v>0.1089</v>
      </c>
      <c r="I360" s="510">
        <v>102905.92</v>
      </c>
      <c r="J360" s="509">
        <v>102905.92</v>
      </c>
      <c r="K360" s="409"/>
      <c r="L360" s="447">
        <f t="shared" si="46"/>
        <v>102905.92</v>
      </c>
      <c r="M360" s="447">
        <f t="shared" si="54"/>
        <v>0</v>
      </c>
      <c r="N360" s="409"/>
      <c r="O360" s="409"/>
      <c r="P360" s="409"/>
      <c r="Q360" s="409"/>
      <c r="R360" s="409"/>
      <c r="S360" s="409"/>
    </row>
    <row r="361" spans="1:19" s="140" customFormat="1">
      <c r="A361" s="394"/>
      <c r="B361" s="391"/>
      <c r="C361" s="391"/>
      <c r="D361" s="401"/>
      <c r="E361" s="391"/>
      <c r="F361" s="417"/>
      <c r="G361" s="417"/>
      <c r="H361" s="417"/>
      <c r="I361" s="417"/>
      <c r="J361" s="418"/>
      <c r="K361" s="409"/>
      <c r="L361" s="447">
        <f t="shared" si="46"/>
        <v>0</v>
      </c>
      <c r="M361" s="447">
        <f t="shared" si="54"/>
        <v>0</v>
      </c>
      <c r="N361" s="409"/>
      <c r="O361" s="409"/>
      <c r="P361" s="409"/>
      <c r="Q361" s="409"/>
      <c r="R361" s="409"/>
      <c r="S361" s="409"/>
    </row>
    <row r="362" spans="1:19" s="140" customFormat="1">
      <c r="A362" s="394"/>
      <c r="B362" s="396" t="s">
        <v>14480</v>
      </c>
      <c r="C362" s="396"/>
      <c r="D362" s="406" t="s">
        <v>15725</v>
      </c>
      <c r="E362" s="391"/>
      <c r="F362" s="417"/>
      <c r="G362" s="417"/>
      <c r="H362" s="417"/>
      <c r="I362" s="417"/>
      <c r="J362" s="418"/>
      <c r="K362" s="409"/>
      <c r="L362" s="447">
        <f t="shared" si="46"/>
        <v>0</v>
      </c>
      <c r="M362" s="447">
        <f t="shared" si="54"/>
        <v>0</v>
      </c>
      <c r="N362" s="409"/>
      <c r="O362" s="409"/>
      <c r="P362" s="409"/>
      <c r="Q362" s="409"/>
      <c r="R362" s="409"/>
      <c r="S362" s="409"/>
    </row>
    <row r="363" spans="1:19" s="140" customFormat="1">
      <c r="A363" s="394"/>
      <c r="B363" s="396" t="s">
        <v>14481</v>
      </c>
      <c r="C363" s="391"/>
      <c r="D363" s="406" t="s">
        <v>14521</v>
      </c>
      <c r="E363" s="391"/>
      <c r="F363" s="417"/>
      <c r="G363" s="417"/>
      <c r="H363" s="417"/>
      <c r="I363" s="417"/>
      <c r="J363" s="418"/>
      <c r="K363" s="409"/>
      <c r="L363" s="447">
        <f t="shared" si="46"/>
        <v>0</v>
      </c>
      <c r="M363" s="447">
        <f t="shared" si="54"/>
        <v>0</v>
      </c>
      <c r="N363" s="409"/>
      <c r="O363" s="409"/>
      <c r="P363" s="409"/>
      <c r="Q363" s="409"/>
      <c r="R363" s="409"/>
      <c r="S363" s="409"/>
    </row>
    <row r="364" spans="1:19" s="140" customFormat="1" ht="63.75">
      <c r="A364" s="394" t="s">
        <v>3259</v>
      </c>
      <c r="B364" s="285" t="s">
        <v>14486</v>
      </c>
      <c r="C364" s="288">
        <v>101795</v>
      </c>
      <c r="D364" s="289" t="s">
        <v>13213</v>
      </c>
      <c r="E364" s="290" t="s">
        <v>109</v>
      </c>
      <c r="F364" s="755">
        <v>2</v>
      </c>
      <c r="G364" s="510" t="s">
        <v>22893</v>
      </c>
      <c r="H364" s="508">
        <v>0.2094</v>
      </c>
      <c r="I364" s="510">
        <v>567.11184800000001</v>
      </c>
      <c r="J364" s="509">
        <v>1134.223696</v>
      </c>
      <c r="K364" s="409"/>
      <c r="L364" s="447">
        <f t="shared" si="46"/>
        <v>1134.223696</v>
      </c>
      <c r="M364" s="447">
        <f t="shared" si="54"/>
        <v>0</v>
      </c>
      <c r="N364" s="409"/>
      <c r="O364" s="409"/>
      <c r="P364" s="409"/>
      <c r="Q364" s="409"/>
      <c r="R364" s="409"/>
      <c r="S364" s="409"/>
    </row>
    <row r="365" spans="1:19" s="140" customFormat="1" ht="51">
      <c r="A365" s="394" t="s">
        <v>3259</v>
      </c>
      <c r="B365" s="285" t="s">
        <v>14487</v>
      </c>
      <c r="C365" s="288">
        <v>101798</v>
      </c>
      <c r="D365" s="289" t="s">
        <v>13214</v>
      </c>
      <c r="E365" s="290" t="s">
        <v>109</v>
      </c>
      <c r="F365" s="755">
        <v>2</v>
      </c>
      <c r="G365" s="510" t="s">
        <v>22894</v>
      </c>
      <c r="H365" s="508">
        <v>0.2094</v>
      </c>
      <c r="I365" s="510">
        <v>456.56059399999998</v>
      </c>
      <c r="J365" s="509">
        <v>913.12118799999996</v>
      </c>
      <c r="K365" s="409"/>
      <c r="L365" s="447">
        <f t="shared" si="46"/>
        <v>913.12118799999996</v>
      </c>
      <c r="M365" s="447">
        <f t="shared" si="54"/>
        <v>0</v>
      </c>
      <c r="N365" s="409"/>
      <c r="O365" s="409"/>
      <c r="P365" s="409"/>
      <c r="Q365" s="409"/>
      <c r="R365" s="409"/>
      <c r="S365" s="409"/>
    </row>
    <row r="366" spans="1:19" s="140" customFormat="1" ht="63.75">
      <c r="A366" s="394" t="s">
        <v>3259</v>
      </c>
      <c r="B366" s="285" t="s">
        <v>14520</v>
      </c>
      <c r="C366" s="288">
        <v>100561</v>
      </c>
      <c r="D366" s="289" t="s">
        <v>9264</v>
      </c>
      <c r="E366" s="290" t="s">
        <v>109</v>
      </c>
      <c r="F366" s="755">
        <v>1</v>
      </c>
      <c r="G366" s="510" t="s">
        <v>22890</v>
      </c>
      <c r="H366" s="508">
        <v>0.2094</v>
      </c>
      <c r="I366" s="510">
        <v>257.77151599999996</v>
      </c>
      <c r="J366" s="509">
        <v>257.77151599999996</v>
      </c>
      <c r="K366" s="409"/>
      <c r="L366" s="447">
        <f t="shared" si="46"/>
        <v>257.77151599999996</v>
      </c>
      <c r="M366" s="447">
        <f t="shared" si="54"/>
        <v>0</v>
      </c>
      <c r="N366" s="409"/>
      <c r="O366" s="409"/>
      <c r="P366" s="409"/>
      <c r="Q366" s="409"/>
      <c r="R366" s="409"/>
      <c r="S366" s="409"/>
    </row>
    <row r="367" spans="1:19" s="140" customFormat="1">
      <c r="A367" s="394"/>
      <c r="B367" s="391"/>
      <c r="C367" s="391"/>
      <c r="D367" s="401"/>
      <c r="E367" s="391"/>
      <c r="F367" s="417"/>
      <c r="G367" s="417"/>
      <c r="H367" s="417"/>
      <c r="I367" s="417"/>
      <c r="J367" s="418"/>
      <c r="K367" s="409"/>
      <c r="L367" s="447">
        <f t="shared" si="46"/>
        <v>0</v>
      </c>
      <c r="M367" s="447">
        <f t="shared" si="54"/>
        <v>0</v>
      </c>
      <c r="N367" s="409"/>
      <c r="O367" s="409"/>
      <c r="P367" s="409"/>
      <c r="Q367" s="409"/>
      <c r="R367" s="409"/>
      <c r="S367" s="409"/>
    </row>
    <row r="368" spans="1:19" s="140" customFormat="1">
      <c r="A368" s="394"/>
      <c r="B368" s="396" t="s">
        <v>14482</v>
      </c>
      <c r="C368" s="396"/>
      <c r="D368" s="405" t="s">
        <v>3272</v>
      </c>
      <c r="E368" s="391"/>
      <c r="F368" s="417"/>
      <c r="G368" s="417"/>
      <c r="H368" s="417"/>
      <c r="I368" s="417"/>
      <c r="J368" s="418"/>
      <c r="K368" s="409"/>
      <c r="L368" s="447">
        <f t="shared" si="46"/>
        <v>0</v>
      </c>
      <c r="M368" s="447">
        <f t="shared" si="54"/>
        <v>0</v>
      </c>
      <c r="N368" s="409"/>
      <c r="O368" s="409"/>
      <c r="P368" s="409"/>
      <c r="Q368" s="409"/>
      <c r="R368" s="409"/>
      <c r="S368" s="409"/>
    </row>
    <row r="369" spans="1:19" s="140" customFormat="1" ht="38.25">
      <c r="A369" s="394" t="s">
        <v>3259</v>
      </c>
      <c r="B369" s="285" t="s">
        <v>14488</v>
      </c>
      <c r="C369" s="288">
        <v>97668</v>
      </c>
      <c r="D369" s="289" t="s">
        <v>4119</v>
      </c>
      <c r="E369" s="290" t="s">
        <v>5</v>
      </c>
      <c r="F369" s="755">
        <v>36</v>
      </c>
      <c r="G369" s="510" t="s">
        <v>11537</v>
      </c>
      <c r="H369" s="508">
        <v>0.2094</v>
      </c>
      <c r="I369" s="510">
        <v>14.004852</v>
      </c>
      <c r="J369" s="509">
        <v>504.17467199999999</v>
      </c>
      <c r="K369" s="409"/>
      <c r="L369" s="447">
        <f t="shared" si="46"/>
        <v>504.17467199999999</v>
      </c>
      <c r="M369" s="447">
        <f t="shared" si="54"/>
        <v>0</v>
      </c>
      <c r="N369" s="409"/>
      <c r="O369" s="409"/>
      <c r="P369" s="409"/>
      <c r="Q369" s="409"/>
      <c r="R369" s="409"/>
      <c r="S369" s="409"/>
    </row>
    <row r="370" spans="1:19" s="140" customFormat="1" ht="25.5">
      <c r="A370" s="394" t="s">
        <v>3260</v>
      </c>
      <c r="B370" s="285" t="s">
        <v>14522</v>
      </c>
      <c r="C370" s="288" t="s">
        <v>14465</v>
      </c>
      <c r="D370" s="289" t="s">
        <v>18507</v>
      </c>
      <c r="E370" s="290" t="s">
        <v>5</v>
      </c>
      <c r="F370" s="755">
        <v>6</v>
      </c>
      <c r="G370" s="510">
        <v>50.5</v>
      </c>
      <c r="H370" s="508">
        <v>0.2094</v>
      </c>
      <c r="I370" s="510">
        <v>61.0747</v>
      </c>
      <c r="J370" s="509">
        <v>366.44819999999999</v>
      </c>
      <c r="K370" s="409"/>
      <c r="L370" s="447">
        <f t="shared" ref="L370:L371" si="55">I370*F370</f>
        <v>366.44819999999999</v>
      </c>
      <c r="M370" s="447"/>
      <c r="N370" s="409"/>
      <c r="O370" s="409"/>
      <c r="P370" s="409"/>
      <c r="Q370" s="409"/>
      <c r="R370" s="409"/>
      <c r="S370" s="409"/>
    </row>
    <row r="371" spans="1:19" s="140" customFormat="1" ht="51">
      <c r="A371" s="394" t="s">
        <v>3260</v>
      </c>
      <c r="B371" s="285" t="s">
        <v>14523</v>
      </c>
      <c r="C371" s="285" t="s">
        <v>14466</v>
      </c>
      <c r="D371" s="289" t="s">
        <v>18508</v>
      </c>
      <c r="E371" s="290" t="s">
        <v>109</v>
      </c>
      <c r="F371" s="755">
        <v>1</v>
      </c>
      <c r="G371" s="510">
        <v>35.6</v>
      </c>
      <c r="H371" s="508">
        <v>0.2094</v>
      </c>
      <c r="I371" s="510">
        <v>43.054640000000006</v>
      </c>
      <c r="J371" s="509">
        <v>43.054640000000006</v>
      </c>
      <c r="K371" s="409"/>
      <c r="L371" s="447">
        <f t="shared" si="55"/>
        <v>43.054640000000006</v>
      </c>
      <c r="M371" s="447">
        <f t="shared" ref="M371" si="56">L371-J371</f>
        <v>0</v>
      </c>
      <c r="N371" s="409"/>
      <c r="O371" s="409"/>
      <c r="P371" s="409"/>
      <c r="Q371" s="409"/>
      <c r="R371" s="409"/>
      <c r="S371" s="409"/>
    </row>
    <row r="372" spans="1:19" s="140" customFormat="1" ht="38.25">
      <c r="A372" s="394" t="s">
        <v>3260</v>
      </c>
      <c r="B372" s="285" t="s">
        <v>14524</v>
      </c>
      <c r="C372" s="285" t="s">
        <v>18522</v>
      </c>
      <c r="D372" s="289" t="s">
        <v>18524</v>
      </c>
      <c r="E372" s="290" t="s">
        <v>109</v>
      </c>
      <c r="F372" s="755">
        <v>2</v>
      </c>
      <c r="G372" s="510">
        <v>20.29</v>
      </c>
      <c r="H372" s="508">
        <v>0.2094</v>
      </c>
      <c r="I372" s="510">
        <v>24.538726</v>
      </c>
      <c r="J372" s="509">
        <v>49.077452000000001</v>
      </c>
      <c r="K372" s="409"/>
      <c r="L372" s="447">
        <f t="shared" ref="L372" si="57">I372*F372</f>
        <v>49.077452000000001</v>
      </c>
      <c r="M372" s="447">
        <f t="shared" ref="M372" si="58">L372-J372</f>
        <v>0</v>
      </c>
      <c r="N372" s="409"/>
      <c r="O372" s="409"/>
      <c r="P372" s="409"/>
      <c r="Q372" s="409"/>
      <c r="R372" s="409"/>
      <c r="S372" s="409"/>
    </row>
    <row r="373" spans="1:19" s="140" customFormat="1">
      <c r="A373" s="394"/>
      <c r="B373" s="391"/>
      <c r="C373" s="391"/>
      <c r="D373" s="401"/>
      <c r="E373" s="391"/>
      <c r="F373" s="417"/>
      <c r="G373" s="417"/>
      <c r="H373" s="417"/>
      <c r="I373" s="417"/>
      <c r="J373" s="418"/>
      <c r="K373" s="409"/>
      <c r="L373" s="447">
        <f t="shared" si="46"/>
        <v>0</v>
      </c>
      <c r="M373" s="447">
        <f t="shared" si="54"/>
        <v>0</v>
      </c>
      <c r="N373" s="409"/>
      <c r="O373" s="409"/>
      <c r="P373" s="409"/>
      <c r="Q373" s="409"/>
      <c r="R373" s="409"/>
      <c r="S373" s="409"/>
    </row>
    <row r="374" spans="1:19" s="140" customFormat="1">
      <c r="A374" s="394"/>
      <c r="B374" s="396" t="s">
        <v>14485</v>
      </c>
      <c r="C374" s="396"/>
      <c r="D374" s="406" t="s">
        <v>111</v>
      </c>
      <c r="E374" s="391"/>
      <c r="F374" s="417"/>
      <c r="G374" s="417"/>
      <c r="H374" s="417"/>
      <c r="I374" s="417"/>
      <c r="J374" s="418"/>
      <c r="K374" s="409"/>
      <c r="L374" s="447">
        <f t="shared" si="46"/>
        <v>0</v>
      </c>
      <c r="M374" s="447">
        <f t="shared" si="54"/>
        <v>0</v>
      </c>
      <c r="N374" s="409"/>
      <c r="O374" s="409"/>
      <c r="P374" s="409"/>
      <c r="Q374" s="409"/>
      <c r="R374" s="409"/>
      <c r="S374" s="409"/>
    </row>
    <row r="375" spans="1:19" s="92" customFormat="1" ht="38.25">
      <c r="A375" s="394" t="s">
        <v>3259</v>
      </c>
      <c r="B375" s="285" t="s">
        <v>14491</v>
      </c>
      <c r="C375" s="285">
        <v>93358</v>
      </c>
      <c r="D375" s="289" t="s">
        <v>16227</v>
      </c>
      <c r="E375" s="290" t="s">
        <v>209</v>
      </c>
      <c r="F375" s="755">
        <v>5.4</v>
      </c>
      <c r="G375" s="510" t="s">
        <v>23682</v>
      </c>
      <c r="H375" s="508">
        <v>0.2094</v>
      </c>
      <c r="I375" s="510">
        <v>84.246803999999997</v>
      </c>
      <c r="J375" s="509">
        <v>454.93274160000004</v>
      </c>
      <c r="K375" s="409"/>
      <c r="L375" s="447">
        <f t="shared" si="46"/>
        <v>454.93274160000004</v>
      </c>
      <c r="M375" s="447">
        <f t="shared" si="54"/>
        <v>0</v>
      </c>
      <c r="N375" s="298"/>
      <c r="O375" s="298"/>
      <c r="P375" s="298"/>
      <c r="Q375" s="298"/>
      <c r="R375" s="298"/>
      <c r="S375" s="298"/>
    </row>
    <row r="376" spans="1:19" s="92" customFormat="1" ht="38.25">
      <c r="A376" s="394" t="s">
        <v>3259</v>
      </c>
      <c r="B376" s="285" t="s">
        <v>14558</v>
      </c>
      <c r="C376" s="288">
        <v>101616</v>
      </c>
      <c r="D376" s="289" t="s">
        <v>13664</v>
      </c>
      <c r="E376" s="290" t="s">
        <v>193</v>
      </c>
      <c r="F376" s="755">
        <v>10.8</v>
      </c>
      <c r="G376" s="510" t="s">
        <v>11219</v>
      </c>
      <c r="H376" s="508">
        <v>0.2094</v>
      </c>
      <c r="I376" s="510">
        <v>6.3735379999999999</v>
      </c>
      <c r="J376" s="509">
        <v>68.834210400000003</v>
      </c>
      <c r="K376" s="409"/>
      <c r="L376" s="447">
        <f t="shared" si="46"/>
        <v>68.834210400000003</v>
      </c>
      <c r="M376" s="447">
        <f t="shared" si="54"/>
        <v>0</v>
      </c>
      <c r="N376" s="298"/>
      <c r="O376" s="298"/>
      <c r="P376" s="298"/>
      <c r="Q376" s="298"/>
      <c r="R376" s="298"/>
      <c r="S376" s="298"/>
    </row>
    <row r="377" spans="1:19" s="92" customFormat="1" ht="25.5">
      <c r="A377" s="394" t="s">
        <v>3259</v>
      </c>
      <c r="B377" s="285" t="s">
        <v>14559</v>
      </c>
      <c r="C377" s="288">
        <v>93382</v>
      </c>
      <c r="D377" s="289" t="s">
        <v>2501</v>
      </c>
      <c r="E377" s="290" t="s">
        <v>209</v>
      </c>
      <c r="F377" s="755">
        <v>5.4</v>
      </c>
      <c r="G377" s="510" t="s">
        <v>16369</v>
      </c>
      <c r="H377" s="508">
        <v>0.2094</v>
      </c>
      <c r="I377" s="510">
        <v>30.380128000000003</v>
      </c>
      <c r="J377" s="509">
        <v>164.05269120000003</v>
      </c>
      <c r="K377" s="409"/>
      <c r="L377" s="447">
        <f t="shared" ref="L377:L436" si="59">I377*F377</f>
        <v>164.05269120000003</v>
      </c>
      <c r="M377" s="447">
        <f t="shared" si="54"/>
        <v>0</v>
      </c>
      <c r="N377" s="298"/>
      <c r="O377" s="298"/>
      <c r="P377" s="298"/>
      <c r="Q377" s="298"/>
      <c r="R377" s="298"/>
      <c r="S377" s="298"/>
    </row>
    <row r="378" spans="1:19" s="92" customFormat="1" ht="25.5">
      <c r="A378" s="394" t="s">
        <v>3260</v>
      </c>
      <c r="B378" s="285" t="s">
        <v>14560</v>
      </c>
      <c r="C378" s="285" t="s">
        <v>14459</v>
      </c>
      <c r="D378" s="289" t="s">
        <v>136</v>
      </c>
      <c r="E378" s="290" t="s">
        <v>128</v>
      </c>
      <c r="F378" s="755">
        <v>42</v>
      </c>
      <c r="G378" s="510">
        <v>5.25</v>
      </c>
      <c r="H378" s="508">
        <v>0.2094</v>
      </c>
      <c r="I378" s="510">
        <v>6.3493500000000003</v>
      </c>
      <c r="J378" s="509">
        <v>266.67270000000002</v>
      </c>
      <c r="K378" s="409"/>
      <c r="L378" s="447">
        <f t="shared" si="59"/>
        <v>266.67270000000002</v>
      </c>
      <c r="M378" s="447">
        <f t="shared" si="54"/>
        <v>0</v>
      </c>
      <c r="N378" s="298"/>
      <c r="O378" s="298"/>
      <c r="P378" s="298"/>
      <c r="Q378" s="298"/>
      <c r="R378" s="298"/>
      <c r="S378" s="298"/>
    </row>
    <row r="379" spans="1:19" s="92" customFormat="1" ht="38.25">
      <c r="A379" s="394" t="s">
        <v>3259</v>
      </c>
      <c r="B379" s="285" t="s">
        <v>18449</v>
      </c>
      <c r="C379" s="288">
        <v>90437</v>
      </c>
      <c r="D379" s="289" t="s">
        <v>2404</v>
      </c>
      <c r="E379" s="290" t="s">
        <v>109</v>
      </c>
      <c r="F379" s="755">
        <v>4</v>
      </c>
      <c r="G379" s="510" t="s">
        <v>21466</v>
      </c>
      <c r="H379" s="508">
        <v>0.2094</v>
      </c>
      <c r="I379" s="510">
        <v>38.084006000000002</v>
      </c>
      <c r="J379" s="509">
        <v>152.33602400000001</v>
      </c>
      <c r="K379" s="409"/>
      <c r="L379" s="447">
        <f t="shared" ref="L379:L380" si="60">I379*F379</f>
        <v>152.33602400000001</v>
      </c>
      <c r="M379" s="447"/>
      <c r="N379" s="298"/>
      <c r="O379" s="298"/>
      <c r="P379" s="298"/>
      <c r="Q379" s="298"/>
      <c r="R379" s="298"/>
      <c r="S379" s="298"/>
    </row>
    <row r="380" spans="1:19" s="92" customFormat="1" ht="38.25">
      <c r="A380" s="394" t="s">
        <v>3259</v>
      </c>
      <c r="B380" s="285" t="s">
        <v>18450</v>
      </c>
      <c r="C380" s="285">
        <v>91191</v>
      </c>
      <c r="D380" s="289" t="s">
        <v>2446</v>
      </c>
      <c r="E380" s="290" t="s">
        <v>109</v>
      </c>
      <c r="F380" s="755">
        <v>4</v>
      </c>
      <c r="G380" s="510" t="s">
        <v>10038</v>
      </c>
      <c r="H380" s="508">
        <v>0.2094</v>
      </c>
      <c r="I380" s="510">
        <v>5.7809320000000008</v>
      </c>
      <c r="J380" s="509">
        <v>23.123728000000003</v>
      </c>
      <c r="K380" s="409"/>
      <c r="L380" s="447">
        <f t="shared" si="60"/>
        <v>23.123728000000003</v>
      </c>
      <c r="M380" s="447"/>
      <c r="N380" s="298"/>
      <c r="O380" s="298"/>
      <c r="P380" s="298"/>
      <c r="Q380" s="298"/>
      <c r="R380" s="298"/>
      <c r="S380" s="298"/>
    </row>
    <row r="381" spans="1:19" s="92" customFormat="1">
      <c r="A381" s="256"/>
      <c r="B381" s="391"/>
      <c r="C381" s="391"/>
      <c r="D381" s="401"/>
      <c r="E381" s="391"/>
      <c r="F381" s="417"/>
      <c r="G381" s="417"/>
      <c r="H381" s="417"/>
      <c r="I381" s="417"/>
      <c r="J381" s="418"/>
      <c r="K381" s="298"/>
      <c r="L381" s="447">
        <f t="shared" si="59"/>
        <v>0</v>
      </c>
      <c r="M381" s="447">
        <f t="shared" si="54"/>
        <v>0</v>
      </c>
      <c r="N381" s="298"/>
      <c r="O381" s="298"/>
      <c r="P381" s="298"/>
      <c r="Q381" s="298"/>
      <c r="R381" s="298"/>
      <c r="S381" s="298"/>
    </row>
    <row r="382" spans="1:19" s="140" customFormat="1">
      <c r="A382" s="394"/>
      <c r="B382" s="395"/>
      <c r="C382" s="395"/>
      <c r="D382" s="404"/>
      <c r="E382" s="395"/>
      <c r="F382" s="395"/>
      <c r="G382" s="460" t="s">
        <v>69</v>
      </c>
      <c r="H382" s="419"/>
      <c r="I382" s="460"/>
      <c r="J382" s="421">
        <v>285441.50531461992</v>
      </c>
      <c r="K382" s="448"/>
      <c r="L382" s="447">
        <f t="shared" si="59"/>
        <v>0</v>
      </c>
      <c r="M382" s="447"/>
      <c r="N382" s="409"/>
      <c r="O382" s="409"/>
      <c r="P382" s="409"/>
      <c r="Q382" s="409"/>
      <c r="R382" s="409"/>
      <c r="S382" s="409"/>
    </row>
    <row r="383" spans="1:19" s="92" customFormat="1">
      <c r="A383" s="256"/>
      <c r="B383" s="391"/>
      <c r="C383" s="391"/>
      <c r="D383" s="401"/>
      <c r="E383" s="391"/>
      <c r="F383" s="417"/>
      <c r="G383" s="417"/>
      <c r="H383" s="417"/>
      <c r="I383" s="417"/>
      <c r="J383" s="418"/>
      <c r="K383" s="298"/>
      <c r="L383" s="447">
        <f t="shared" si="59"/>
        <v>0</v>
      </c>
      <c r="M383" s="447">
        <f t="shared" si="54"/>
        <v>0</v>
      </c>
      <c r="N383" s="298"/>
      <c r="O383" s="298"/>
      <c r="P383" s="298"/>
      <c r="Q383" s="298"/>
      <c r="R383" s="298"/>
      <c r="S383" s="298"/>
    </row>
    <row r="384" spans="1:19" s="92" customFormat="1">
      <c r="A384" s="256"/>
      <c r="B384" s="390" t="s">
        <v>139</v>
      </c>
      <c r="C384" s="390"/>
      <c r="D384" s="399" t="s">
        <v>140</v>
      </c>
      <c r="E384" s="397"/>
      <c r="F384" s="431"/>
      <c r="G384" s="431"/>
      <c r="H384" s="431"/>
      <c r="I384" s="431"/>
      <c r="J384" s="428"/>
      <c r="K384" s="298"/>
      <c r="L384" s="447">
        <f t="shared" si="59"/>
        <v>0</v>
      </c>
      <c r="M384" s="447">
        <f t="shared" si="54"/>
        <v>0</v>
      </c>
      <c r="N384" s="298"/>
      <c r="O384" s="298"/>
      <c r="P384" s="298"/>
      <c r="Q384" s="298"/>
      <c r="R384" s="298"/>
      <c r="S384" s="298"/>
    </row>
    <row r="385" spans="1:19" s="92" customFormat="1">
      <c r="A385" s="256"/>
      <c r="B385" s="390" t="s">
        <v>14773</v>
      </c>
      <c r="C385" s="390"/>
      <c r="D385" s="399" t="s">
        <v>14811</v>
      </c>
      <c r="E385" s="391"/>
      <c r="F385" s="417"/>
      <c r="G385" s="417"/>
      <c r="H385" s="417"/>
      <c r="I385" s="417"/>
      <c r="J385" s="418"/>
      <c r="K385" s="298"/>
      <c r="L385" s="447">
        <f t="shared" si="59"/>
        <v>0</v>
      </c>
      <c r="M385" s="447">
        <f t="shared" si="54"/>
        <v>0</v>
      </c>
      <c r="N385" s="298"/>
      <c r="O385" s="298"/>
      <c r="P385" s="298"/>
      <c r="Q385" s="298"/>
      <c r="R385" s="298"/>
      <c r="S385" s="298"/>
    </row>
    <row r="386" spans="1:19" s="92" customFormat="1">
      <c r="A386" s="256"/>
      <c r="B386" s="390" t="s">
        <v>14812</v>
      </c>
      <c r="C386" s="390"/>
      <c r="D386" s="399" t="s">
        <v>14813</v>
      </c>
      <c r="E386" s="391"/>
      <c r="F386" s="417"/>
      <c r="G386" s="417"/>
      <c r="H386" s="417"/>
      <c r="I386" s="417"/>
      <c r="J386" s="418"/>
      <c r="K386" s="298"/>
      <c r="L386" s="447">
        <f t="shared" si="59"/>
        <v>0</v>
      </c>
      <c r="M386" s="447">
        <f t="shared" si="54"/>
        <v>0</v>
      </c>
      <c r="N386" s="298"/>
      <c r="O386" s="298"/>
      <c r="P386" s="298"/>
      <c r="Q386" s="298"/>
      <c r="R386" s="298"/>
      <c r="S386" s="298"/>
    </row>
    <row r="387" spans="1:19" s="92" customFormat="1" ht="63.75">
      <c r="A387" s="394" t="s">
        <v>3259</v>
      </c>
      <c r="B387" s="288" t="s">
        <v>14817</v>
      </c>
      <c r="C387" s="285">
        <v>92691</v>
      </c>
      <c r="D387" s="289" t="s">
        <v>13249</v>
      </c>
      <c r="E387" s="290" t="s">
        <v>5</v>
      </c>
      <c r="F387" s="292">
        <v>32.44</v>
      </c>
      <c r="G387" s="510" t="s">
        <v>22960</v>
      </c>
      <c r="H387" s="508">
        <v>0.2094</v>
      </c>
      <c r="I387" s="510">
        <v>102.65387199999999</v>
      </c>
      <c r="J387" s="509">
        <v>3330.0916076799995</v>
      </c>
      <c r="K387" s="298"/>
      <c r="L387" s="447">
        <f t="shared" si="59"/>
        <v>3330.0916076799995</v>
      </c>
      <c r="M387" s="447">
        <f t="shared" si="54"/>
        <v>0</v>
      </c>
      <c r="N387" s="298"/>
      <c r="O387" s="298"/>
      <c r="P387" s="298"/>
      <c r="Q387" s="298"/>
      <c r="R387" s="298"/>
      <c r="S387" s="298"/>
    </row>
    <row r="388" spans="1:19" s="92" customFormat="1" ht="63.75">
      <c r="A388" s="394" t="s">
        <v>3259</v>
      </c>
      <c r="B388" s="288" t="s">
        <v>14828</v>
      </c>
      <c r="C388" s="285">
        <v>92690</v>
      </c>
      <c r="D388" s="289" t="s">
        <v>13248</v>
      </c>
      <c r="E388" s="290" t="s">
        <v>5</v>
      </c>
      <c r="F388" s="292">
        <v>21.97</v>
      </c>
      <c r="G388" s="510" t="s">
        <v>11372</v>
      </c>
      <c r="H388" s="508">
        <v>0.2094</v>
      </c>
      <c r="I388" s="510">
        <v>79.747835999999992</v>
      </c>
      <c r="J388" s="509">
        <v>1752.0599569199996</v>
      </c>
      <c r="K388" s="298"/>
      <c r="L388" s="447">
        <f t="shared" si="59"/>
        <v>1752.0599569199996</v>
      </c>
      <c r="M388" s="447">
        <f t="shared" si="54"/>
        <v>0</v>
      </c>
      <c r="N388" s="298"/>
      <c r="O388" s="298"/>
      <c r="P388" s="298"/>
      <c r="Q388" s="298"/>
      <c r="R388" s="298"/>
      <c r="S388" s="298"/>
    </row>
    <row r="389" spans="1:19" s="92" customFormat="1" ht="38.25">
      <c r="A389" s="394" t="s">
        <v>3260</v>
      </c>
      <c r="B389" s="288" t="s">
        <v>14829</v>
      </c>
      <c r="C389" s="285" t="s">
        <v>16900</v>
      </c>
      <c r="D389" s="289" t="s">
        <v>15049</v>
      </c>
      <c r="E389" s="290" t="s">
        <v>5</v>
      </c>
      <c r="F389" s="292">
        <v>54.41</v>
      </c>
      <c r="G389" s="510">
        <v>0.86</v>
      </c>
      <c r="H389" s="508">
        <v>0.2094</v>
      </c>
      <c r="I389" s="510">
        <v>1.040084</v>
      </c>
      <c r="J389" s="509">
        <v>56.59097044</v>
      </c>
      <c r="K389" s="298"/>
      <c r="L389" s="447">
        <f t="shared" si="59"/>
        <v>56.59097044</v>
      </c>
      <c r="M389" s="447">
        <f t="shared" si="54"/>
        <v>0</v>
      </c>
      <c r="N389" s="298"/>
      <c r="O389" s="298"/>
      <c r="P389" s="298"/>
      <c r="Q389" s="298"/>
      <c r="R389" s="298"/>
      <c r="S389" s="298"/>
    </row>
    <row r="390" spans="1:19" s="92" customFormat="1" ht="38.25">
      <c r="A390" s="394" t="s">
        <v>3260</v>
      </c>
      <c r="B390" s="288" t="s">
        <v>14830</v>
      </c>
      <c r="C390" s="285" t="s">
        <v>16901</v>
      </c>
      <c r="D390" s="289" t="s">
        <v>15050</v>
      </c>
      <c r="E390" s="290" t="s">
        <v>5</v>
      </c>
      <c r="F390" s="292">
        <v>78.56</v>
      </c>
      <c r="G390" s="510">
        <v>8.0399999999999991</v>
      </c>
      <c r="H390" s="508">
        <v>0.2094</v>
      </c>
      <c r="I390" s="510">
        <v>9.7235759999999996</v>
      </c>
      <c r="J390" s="509">
        <v>763.88413056000002</v>
      </c>
      <c r="K390" s="298"/>
      <c r="L390" s="447">
        <f t="shared" si="59"/>
        <v>763.88413056000002</v>
      </c>
      <c r="M390" s="447">
        <f t="shared" si="54"/>
        <v>0</v>
      </c>
      <c r="N390" s="298"/>
      <c r="O390" s="298"/>
      <c r="P390" s="298"/>
      <c r="Q390" s="298"/>
      <c r="R390" s="298"/>
      <c r="S390" s="298"/>
    </row>
    <row r="391" spans="1:19" s="92" customFormat="1" ht="51">
      <c r="A391" s="394" t="s">
        <v>3259</v>
      </c>
      <c r="B391" s="288" t="s">
        <v>14831</v>
      </c>
      <c r="C391" s="285">
        <v>97549</v>
      </c>
      <c r="D391" s="289" t="s">
        <v>13515</v>
      </c>
      <c r="E391" s="290" t="s">
        <v>109</v>
      </c>
      <c r="F391" s="292">
        <v>2</v>
      </c>
      <c r="G391" s="510" t="s">
        <v>23410</v>
      </c>
      <c r="H391" s="508">
        <v>0.2094</v>
      </c>
      <c r="I391" s="510">
        <v>48.073650000000001</v>
      </c>
      <c r="J391" s="509">
        <v>96.147300000000001</v>
      </c>
      <c r="K391" s="298"/>
      <c r="L391" s="447">
        <f t="shared" si="59"/>
        <v>96.147300000000001</v>
      </c>
      <c r="M391" s="447">
        <f t="shared" si="54"/>
        <v>0</v>
      </c>
      <c r="N391" s="298"/>
      <c r="O391" s="298"/>
      <c r="P391" s="298"/>
      <c r="Q391" s="298"/>
      <c r="R391" s="298"/>
      <c r="S391" s="298"/>
    </row>
    <row r="392" spans="1:19" s="92" customFormat="1" ht="51">
      <c r="A392" s="394" t="s">
        <v>3259</v>
      </c>
      <c r="B392" s="288" t="s">
        <v>14832</v>
      </c>
      <c r="C392" s="285">
        <v>97551</v>
      </c>
      <c r="D392" s="289" t="s">
        <v>13517</v>
      </c>
      <c r="E392" s="290" t="s">
        <v>109</v>
      </c>
      <c r="F392" s="292">
        <v>2</v>
      </c>
      <c r="G392" s="510" t="s">
        <v>23411</v>
      </c>
      <c r="H392" s="508">
        <v>0.2094</v>
      </c>
      <c r="I392" s="510">
        <v>80.642792000000014</v>
      </c>
      <c r="J392" s="509">
        <v>161.28558400000003</v>
      </c>
      <c r="K392" s="298"/>
      <c r="L392" s="447">
        <f t="shared" si="59"/>
        <v>161.28558400000003</v>
      </c>
      <c r="M392" s="447">
        <f t="shared" si="54"/>
        <v>0</v>
      </c>
      <c r="N392" s="298"/>
      <c r="O392" s="298"/>
      <c r="P392" s="298"/>
      <c r="Q392" s="298"/>
      <c r="R392" s="298"/>
      <c r="S392" s="298"/>
    </row>
    <row r="393" spans="1:19" s="92" customFormat="1" ht="51">
      <c r="A393" s="394" t="s">
        <v>3259</v>
      </c>
      <c r="B393" s="288" t="s">
        <v>14833</v>
      </c>
      <c r="C393" s="285">
        <v>97554</v>
      </c>
      <c r="D393" s="289" t="s">
        <v>13520</v>
      </c>
      <c r="E393" s="290" t="s">
        <v>109</v>
      </c>
      <c r="F393" s="292">
        <v>1</v>
      </c>
      <c r="G393" s="510" t="s">
        <v>23414</v>
      </c>
      <c r="H393" s="508">
        <v>0.2094</v>
      </c>
      <c r="I393" s="510">
        <v>118.37607199999999</v>
      </c>
      <c r="J393" s="509">
        <v>118.37607199999999</v>
      </c>
      <c r="K393" s="298"/>
      <c r="L393" s="447">
        <f t="shared" si="59"/>
        <v>118.37607199999999</v>
      </c>
      <c r="M393" s="447">
        <f t="shared" si="54"/>
        <v>0</v>
      </c>
      <c r="N393" s="298"/>
      <c r="O393" s="298"/>
      <c r="P393" s="298"/>
      <c r="Q393" s="298"/>
      <c r="R393" s="298"/>
      <c r="S393" s="298"/>
    </row>
    <row r="394" spans="1:19" s="92" customFormat="1" ht="63.75">
      <c r="A394" s="394" t="s">
        <v>3259</v>
      </c>
      <c r="B394" s="288" t="s">
        <v>14834</v>
      </c>
      <c r="C394" s="285">
        <v>97462</v>
      </c>
      <c r="D394" s="289" t="s">
        <v>13448</v>
      </c>
      <c r="E394" s="290" t="s">
        <v>109</v>
      </c>
      <c r="F394" s="292">
        <v>2</v>
      </c>
      <c r="G394" s="510" t="s">
        <v>12451</v>
      </c>
      <c r="H394" s="508">
        <v>0.2094</v>
      </c>
      <c r="I394" s="510">
        <v>27.646884</v>
      </c>
      <c r="J394" s="509">
        <v>55.293768</v>
      </c>
      <c r="K394" s="298"/>
      <c r="L394" s="447">
        <f t="shared" si="59"/>
        <v>55.293768</v>
      </c>
      <c r="M394" s="447">
        <f t="shared" si="54"/>
        <v>0</v>
      </c>
      <c r="N394" s="298"/>
      <c r="O394" s="298"/>
      <c r="P394" s="298"/>
      <c r="Q394" s="298"/>
      <c r="R394" s="298"/>
      <c r="S394" s="298"/>
    </row>
    <row r="395" spans="1:19" s="92" customFormat="1">
      <c r="A395" s="256"/>
      <c r="B395" s="391"/>
      <c r="C395" s="391"/>
      <c r="D395" s="401"/>
      <c r="E395" s="391"/>
      <c r="F395" s="417"/>
      <c r="G395" s="417"/>
      <c r="H395" s="417"/>
      <c r="I395" s="417"/>
      <c r="J395" s="418"/>
      <c r="K395" s="298"/>
      <c r="L395" s="447">
        <f t="shared" si="59"/>
        <v>0</v>
      </c>
      <c r="M395" s="447">
        <f t="shared" si="54"/>
        <v>0</v>
      </c>
      <c r="N395" s="298"/>
      <c r="O395" s="298"/>
      <c r="P395" s="298"/>
      <c r="Q395" s="298"/>
      <c r="R395" s="298"/>
      <c r="S395" s="298"/>
    </row>
    <row r="396" spans="1:19" s="92" customFormat="1">
      <c r="A396" s="256"/>
      <c r="B396" s="390" t="s">
        <v>14815</v>
      </c>
      <c r="C396" s="390"/>
      <c r="D396" s="399" t="s">
        <v>14816</v>
      </c>
      <c r="E396" s="391"/>
      <c r="F396" s="417"/>
      <c r="G396" s="417"/>
      <c r="H396" s="417"/>
      <c r="I396" s="417"/>
      <c r="J396" s="418"/>
      <c r="K396" s="298"/>
      <c r="L396" s="447">
        <f t="shared" si="59"/>
        <v>0</v>
      </c>
      <c r="M396" s="447">
        <f t="shared" si="54"/>
        <v>0</v>
      </c>
      <c r="N396" s="298"/>
      <c r="O396" s="298"/>
      <c r="P396" s="298"/>
      <c r="Q396" s="298"/>
      <c r="R396" s="298"/>
      <c r="S396" s="298"/>
    </row>
    <row r="397" spans="1:19" s="92" customFormat="1" ht="38.25">
      <c r="A397" s="394" t="s">
        <v>3259</v>
      </c>
      <c r="B397" s="288" t="s">
        <v>14822</v>
      </c>
      <c r="C397" s="285">
        <v>93358</v>
      </c>
      <c r="D397" s="289" t="s">
        <v>16227</v>
      </c>
      <c r="E397" s="290" t="s">
        <v>209</v>
      </c>
      <c r="F397" s="292">
        <v>4.3499999999999996</v>
      </c>
      <c r="G397" s="510" t="s">
        <v>23682</v>
      </c>
      <c r="H397" s="508">
        <v>0.2094</v>
      </c>
      <c r="I397" s="510">
        <v>84.246803999999997</v>
      </c>
      <c r="J397" s="509">
        <v>366.47359739999996</v>
      </c>
      <c r="K397" s="298"/>
      <c r="L397" s="447">
        <f t="shared" si="59"/>
        <v>366.47359739999996</v>
      </c>
      <c r="M397" s="447">
        <f t="shared" si="54"/>
        <v>0</v>
      </c>
      <c r="N397" s="298"/>
      <c r="O397" s="298"/>
      <c r="P397" s="298"/>
      <c r="Q397" s="298"/>
      <c r="R397" s="298"/>
      <c r="S397" s="298"/>
    </row>
    <row r="398" spans="1:19" s="92" customFormat="1" ht="38.25">
      <c r="A398" s="394" t="s">
        <v>3259</v>
      </c>
      <c r="B398" s="288" t="s">
        <v>14823</v>
      </c>
      <c r="C398" s="288">
        <v>101616</v>
      </c>
      <c r="D398" s="289" t="s">
        <v>13664</v>
      </c>
      <c r="E398" s="290" t="s">
        <v>193</v>
      </c>
      <c r="F398" s="292">
        <v>10.88</v>
      </c>
      <c r="G398" s="510" t="s">
        <v>11219</v>
      </c>
      <c r="H398" s="508">
        <v>0.2094</v>
      </c>
      <c r="I398" s="510">
        <v>6.3735379999999999</v>
      </c>
      <c r="J398" s="509">
        <v>69.344093440000009</v>
      </c>
      <c r="K398" s="298"/>
      <c r="L398" s="447">
        <f t="shared" si="59"/>
        <v>69.344093440000009</v>
      </c>
      <c r="M398" s="447">
        <f t="shared" si="54"/>
        <v>0</v>
      </c>
      <c r="N398" s="298"/>
      <c r="O398" s="298"/>
      <c r="P398" s="298"/>
      <c r="Q398" s="298"/>
      <c r="R398" s="298"/>
      <c r="S398" s="298"/>
    </row>
    <row r="399" spans="1:19" s="92" customFormat="1" ht="25.5">
      <c r="A399" s="394" t="s">
        <v>3259</v>
      </c>
      <c r="B399" s="288" t="s">
        <v>14824</v>
      </c>
      <c r="C399" s="288">
        <v>93382</v>
      </c>
      <c r="D399" s="289" t="s">
        <v>2501</v>
      </c>
      <c r="E399" s="290" t="s">
        <v>209</v>
      </c>
      <c r="F399" s="292">
        <v>3.26</v>
      </c>
      <c r="G399" s="510" t="s">
        <v>16369</v>
      </c>
      <c r="H399" s="508">
        <v>0.2094</v>
      </c>
      <c r="I399" s="510">
        <v>30.380128000000003</v>
      </c>
      <c r="J399" s="509">
        <v>99.039217280000003</v>
      </c>
      <c r="K399" s="298"/>
      <c r="L399" s="447">
        <f t="shared" si="59"/>
        <v>99.039217280000003</v>
      </c>
      <c r="M399" s="447">
        <f t="shared" si="54"/>
        <v>0</v>
      </c>
      <c r="N399" s="298"/>
      <c r="O399" s="298"/>
      <c r="P399" s="298"/>
      <c r="Q399" s="298"/>
      <c r="R399" s="298"/>
      <c r="S399" s="298"/>
    </row>
    <row r="400" spans="1:19" s="92" customFormat="1" ht="38.25">
      <c r="A400" s="394" t="s">
        <v>3259</v>
      </c>
      <c r="B400" s="288" t="s">
        <v>14825</v>
      </c>
      <c r="C400" s="285">
        <v>96621</v>
      </c>
      <c r="D400" s="289" t="s">
        <v>3418</v>
      </c>
      <c r="E400" s="290" t="s">
        <v>209</v>
      </c>
      <c r="F400" s="292">
        <v>0.55000000000000004</v>
      </c>
      <c r="G400" s="510" t="s">
        <v>22223</v>
      </c>
      <c r="H400" s="508">
        <v>0.2094</v>
      </c>
      <c r="I400" s="510">
        <v>293.09809000000001</v>
      </c>
      <c r="J400" s="509">
        <v>161.20394950000002</v>
      </c>
      <c r="K400" s="298"/>
      <c r="L400" s="447">
        <f t="shared" si="59"/>
        <v>161.20394950000002</v>
      </c>
      <c r="M400" s="447">
        <f t="shared" si="54"/>
        <v>0</v>
      </c>
      <c r="N400" s="298"/>
      <c r="O400" s="298"/>
      <c r="P400" s="298"/>
      <c r="Q400" s="298"/>
      <c r="R400" s="298"/>
      <c r="S400" s="298"/>
    </row>
    <row r="401" spans="1:19" s="92" customFormat="1">
      <c r="A401" s="394" t="s">
        <v>3260</v>
      </c>
      <c r="B401" s="288" t="s">
        <v>14826</v>
      </c>
      <c r="C401" s="285" t="s">
        <v>14697</v>
      </c>
      <c r="D401" s="289" t="s">
        <v>14699</v>
      </c>
      <c r="E401" s="290" t="s">
        <v>3241</v>
      </c>
      <c r="F401" s="292">
        <v>0.55000000000000004</v>
      </c>
      <c r="G401" s="510">
        <v>165.58999999999997</v>
      </c>
      <c r="H401" s="508">
        <v>0.2094</v>
      </c>
      <c r="I401" s="510">
        <v>200.26454599999997</v>
      </c>
      <c r="J401" s="509">
        <v>110.14550029999999</v>
      </c>
      <c r="K401" s="298"/>
      <c r="L401" s="447">
        <f t="shared" si="59"/>
        <v>110.14550029999999</v>
      </c>
      <c r="M401" s="447">
        <f t="shared" si="54"/>
        <v>0</v>
      </c>
      <c r="N401" s="298"/>
      <c r="O401" s="298"/>
      <c r="P401" s="298"/>
      <c r="Q401" s="298"/>
      <c r="R401" s="298"/>
      <c r="S401" s="298"/>
    </row>
    <row r="402" spans="1:19" s="92" customFormat="1" ht="38.25">
      <c r="A402" s="394" t="s">
        <v>3260</v>
      </c>
      <c r="B402" s="288" t="s">
        <v>14827</v>
      </c>
      <c r="C402" s="285" t="s">
        <v>14700</v>
      </c>
      <c r="D402" s="289" t="s">
        <v>14701</v>
      </c>
      <c r="E402" s="290" t="s">
        <v>193</v>
      </c>
      <c r="F402" s="292">
        <v>3.93</v>
      </c>
      <c r="G402" s="510">
        <v>19.88</v>
      </c>
      <c r="H402" s="508">
        <v>0.2094</v>
      </c>
      <c r="I402" s="510">
        <v>24.042871999999999</v>
      </c>
      <c r="J402" s="509">
        <v>94.488486960000003</v>
      </c>
      <c r="K402" s="298"/>
      <c r="L402" s="447">
        <f t="shared" si="59"/>
        <v>94.488486960000003</v>
      </c>
      <c r="M402" s="447">
        <f t="shared" si="54"/>
        <v>0</v>
      </c>
      <c r="N402" s="298"/>
      <c r="O402" s="298"/>
      <c r="P402" s="298"/>
      <c r="Q402" s="298"/>
      <c r="R402" s="298"/>
      <c r="S402" s="298"/>
    </row>
    <row r="403" spans="1:19" s="92" customFormat="1">
      <c r="A403" s="256"/>
      <c r="B403" s="391"/>
      <c r="C403" s="391"/>
      <c r="D403" s="401"/>
      <c r="E403" s="391"/>
      <c r="F403" s="417"/>
      <c r="G403" s="417"/>
      <c r="H403" s="417"/>
      <c r="I403" s="417"/>
      <c r="J403" s="418"/>
      <c r="K403" s="298"/>
      <c r="L403" s="447">
        <f t="shared" si="59"/>
        <v>0</v>
      </c>
      <c r="M403" s="447">
        <f t="shared" si="54"/>
        <v>0</v>
      </c>
      <c r="N403" s="298"/>
      <c r="O403" s="298"/>
      <c r="P403" s="298"/>
      <c r="Q403" s="298"/>
      <c r="R403" s="298"/>
      <c r="S403" s="298"/>
    </row>
    <row r="404" spans="1:19" s="92" customFormat="1">
      <c r="A404" s="256"/>
      <c r="B404" s="392"/>
      <c r="C404" s="393"/>
      <c r="D404" s="402"/>
      <c r="E404" s="393"/>
      <c r="F404" s="393"/>
      <c r="G404" s="460" t="s">
        <v>69</v>
      </c>
      <c r="H404" s="432"/>
      <c r="I404" s="460"/>
      <c r="J404" s="420">
        <v>7234.4242344799986</v>
      </c>
      <c r="K404" s="298"/>
      <c r="L404" s="447">
        <f t="shared" si="59"/>
        <v>0</v>
      </c>
      <c r="M404" s="447"/>
      <c r="N404" s="298"/>
      <c r="O404" s="298"/>
      <c r="P404" s="298"/>
      <c r="Q404" s="298"/>
      <c r="R404" s="298"/>
      <c r="S404" s="298"/>
    </row>
    <row r="405" spans="1:19" s="92" customFormat="1">
      <c r="A405" s="256"/>
      <c r="B405" s="397"/>
      <c r="C405" s="397"/>
      <c r="D405" s="408"/>
      <c r="E405" s="397"/>
      <c r="F405" s="431"/>
      <c r="G405" s="431"/>
      <c r="H405" s="431"/>
      <c r="I405" s="431"/>
      <c r="J405" s="428"/>
      <c r="K405" s="298"/>
      <c r="L405" s="447">
        <f t="shared" si="59"/>
        <v>0</v>
      </c>
      <c r="M405" s="447">
        <f t="shared" si="54"/>
        <v>0</v>
      </c>
      <c r="N405" s="298"/>
      <c r="O405" s="298"/>
      <c r="P405" s="298"/>
      <c r="Q405" s="298"/>
      <c r="R405" s="298"/>
      <c r="S405" s="298"/>
    </row>
    <row r="406" spans="1:19" s="92" customFormat="1">
      <c r="A406" s="256"/>
      <c r="B406" s="390" t="s">
        <v>14579</v>
      </c>
      <c r="C406" s="390"/>
      <c r="D406" s="479" t="s">
        <v>14580</v>
      </c>
      <c r="E406" s="397"/>
      <c r="F406" s="431"/>
      <c r="G406" s="431"/>
      <c r="H406" s="431"/>
      <c r="I406" s="431"/>
      <c r="J406" s="428"/>
      <c r="K406" s="298"/>
      <c r="L406" s="447">
        <f t="shared" si="59"/>
        <v>0</v>
      </c>
      <c r="M406" s="447">
        <f t="shared" si="54"/>
        <v>0</v>
      </c>
      <c r="N406" s="298"/>
      <c r="O406" s="298"/>
      <c r="P406" s="298"/>
      <c r="Q406" s="298"/>
      <c r="R406" s="298"/>
      <c r="S406" s="298"/>
    </row>
    <row r="407" spans="1:19" s="92" customFormat="1">
      <c r="A407" s="256"/>
      <c r="B407" s="390" t="s">
        <v>15053</v>
      </c>
      <c r="C407" s="287"/>
      <c r="D407" s="399" t="s">
        <v>14586</v>
      </c>
      <c r="E407" s="415"/>
      <c r="F407" s="415"/>
      <c r="G407" s="462"/>
      <c r="H407" s="415"/>
      <c r="I407" s="462"/>
      <c r="J407" s="416"/>
      <c r="K407" s="298"/>
      <c r="L407" s="447">
        <f t="shared" si="59"/>
        <v>0</v>
      </c>
      <c r="M407" s="447">
        <f t="shared" si="54"/>
        <v>0</v>
      </c>
      <c r="N407" s="298"/>
      <c r="O407" s="298"/>
      <c r="P407" s="298"/>
      <c r="Q407" s="298"/>
      <c r="R407" s="298"/>
      <c r="S407" s="298"/>
    </row>
    <row r="408" spans="1:19" s="92" customFormat="1" ht="63.75">
      <c r="A408" s="394" t="s">
        <v>3259</v>
      </c>
      <c r="B408" s="288" t="s">
        <v>15057</v>
      </c>
      <c r="C408" s="285">
        <v>92367</v>
      </c>
      <c r="D408" s="289" t="s">
        <v>13233</v>
      </c>
      <c r="E408" s="290" t="s">
        <v>5</v>
      </c>
      <c r="F408" s="292">
        <v>50.02</v>
      </c>
      <c r="G408" s="510" t="s">
        <v>22950</v>
      </c>
      <c r="H408" s="508">
        <v>0.2094</v>
      </c>
      <c r="I408" s="510">
        <v>151.68294800000001</v>
      </c>
      <c r="J408" s="509">
        <v>7587.1810589600009</v>
      </c>
      <c r="K408" s="298"/>
      <c r="L408" s="447">
        <f t="shared" si="59"/>
        <v>7587.1810589600009</v>
      </c>
      <c r="M408" s="447">
        <f t="shared" si="54"/>
        <v>0</v>
      </c>
      <c r="N408" s="298"/>
      <c r="O408" s="298"/>
      <c r="P408" s="298"/>
      <c r="Q408" s="298"/>
      <c r="R408" s="298"/>
      <c r="S408" s="298"/>
    </row>
    <row r="409" spans="1:19" s="92" customFormat="1" ht="63.75">
      <c r="A409" s="394" t="s">
        <v>3259</v>
      </c>
      <c r="B409" s="288" t="s">
        <v>15058</v>
      </c>
      <c r="C409" s="285">
        <v>92390</v>
      </c>
      <c r="D409" s="289" t="s">
        <v>13308</v>
      </c>
      <c r="E409" s="290" t="s">
        <v>109</v>
      </c>
      <c r="F409" s="292">
        <v>1</v>
      </c>
      <c r="G409" s="510" t="s">
        <v>15805</v>
      </c>
      <c r="H409" s="508">
        <v>0.2094</v>
      </c>
      <c r="I409" s="510">
        <v>129.34533000000002</v>
      </c>
      <c r="J409" s="509">
        <v>129.34533000000002</v>
      </c>
      <c r="K409" s="298"/>
      <c r="L409" s="447">
        <f t="shared" si="59"/>
        <v>129.34533000000002</v>
      </c>
      <c r="M409" s="447">
        <f t="shared" si="54"/>
        <v>0</v>
      </c>
      <c r="N409" s="298"/>
      <c r="O409" s="298"/>
      <c r="P409" s="298"/>
      <c r="Q409" s="298"/>
      <c r="R409" s="298"/>
      <c r="S409" s="298"/>
    </row>
    <row r="410" spans="1:19" s="92" customFormat="1" ht="51">
      <c r="A410" s="394" t="s">
        <v>3259</v>
      </c>
      <c r="B410" s="288" t="s">
        <v>15059</v>
      </c>
      <c r="C410" s="285">
        <v>92642</v>
      </c>
      <c r="D410" s="289" t="s">
        <v>13315</v>
      </c>
      <c r="E410" s="290" t="s">
        <v>109</v>
      </c>
      <c r="F410" s="292">
        <v>2</v>
      </c>
      <c r="G410" s="510" t="s">
        <v>23167</v>
      </c>
      <c r="H410" s="508">
        <v>0.2094</v>
      </c>
      <c r="I410" s="510">
        <v>176.47564799999998</v>
      </c>
      <c r="J410" s="509">
        <v>352.95129599999996</v>
      </c>
      <c r="K410" s="298"/>
      <c r="L410" s="447">
        <f t="shared" si="59"/>
        <v>352.95129599999996</v>
      </c>
      <c r="M410" s="447">
        <f t="shared" si="54"/>
        <v>0</v>
      </c>
      <c r="N410" s="298"/>
      <c r="O410" s="298"/>
      <c r="P410" s="298"/>
      <c r="Q410" s="298"/>
      <c r="R410" s="298"/>
      <c r="S410" s="298"/>
    </row>
    <row r="411" spans="1:19" s="92" customFormat="1" ht="25.5">
      <c r="A411" s="394" t="s">
        <v>3260</v>
      </c>
      <c r="B411" s="288" t="s">
        <v>15060</v>
      </c>
      <c r="C411" s="285" t="s">
        <v>15064</v>
      </c>
      <c r="D411" s="289" t="s">
        <v>15105</v>
      </c>
      <c r="E411" s="290" t="s">
        <v>3240</v>
      </c>
      <c r="F411" s="292">
        <v>1</v>
      </c>
      <c r="G411" s="510">
        <v>129.46</v>
      </c>
      <c r="H411" s="508">
        <v>0.2094</v>
      </c>
      <c r="I411" s="510">
        <v>156.56892400000001</v>
      </c>
      <c r="J411" s="509">
        <v>156.56892400000001</v>
      </c>
      <c r="K411" s="298"/>
      <c r="L411" s="447">
        <f t="shared" si="59"/>
        <v>156.56892400000001</v>
      </c>
      <c r="M411" s="447">
        <f t="shared" si="54"/>
        <v>0</v>
      </c>
      <c r="N411" s="298"/>
      <c r="O411" s="298"/>
      <c r="P411" s="298"/>
      <c r="Q411" s="298"/>
      <c r="R411" s="298"/>
      <c r="S411" s="298"/>
    </row>
    <row r="412" spans="1:19" s="92" customFormat="1" ht="25.5">
      <c r="A412" s="394" t="s">
        <v>3260</v>
      </c>
      <c r="B412" s="288" t="s">
        <v>15061</v>
      </c>
      <c r="C412" s="285" t="s">
        <v>15076</v>
      </c>
      <c r="D412" s="289" t="s">
        <v>17909</v>
      </c>
      <c r="E412" s="290" t="s">
        <v>3240</v>
      </c>
      <c r="F412" s="292">
        <v>1</v>
      </c>
      <c r="G412" s="510">
        <v>163.41000000000003</v>
      </c>
      <c r="H412" s="508">
        <v>0.2094</v>
      </c>
      <c r="I412" s="510">
        <v>197.62805400000005</v>
      </c>
      <c r="J412" s="509">
        <v>197.62805400000005</v>
      </c>
      <c r="K412" s="298"/>
      <c r="L412" s="447">
        <f t="shared" si="59"/>
        <v>197.62805400000005</v>
      </c>
      <c r="M412" s="447">
        <f t="shared" si="54"/>
        <v>0</v>
      </c>
      <c r="N412" s="298"/>
      <c r="O412" s="298"/>
      <c r="P412" s="298"/>
      <c r="Q412" s="298"/>
      <c r="R412" s="298"/>
      <c r="S412" s="298"/>
    </row>
    <row r="413" spans="1:19" s="92" customFormat="1" ht="51">
      <c r="A413" s="394" t="s">
        <v>3260</v>
      </c>
      <c r="B413" s="288" t="s">
        <v>15067</v>
      </c>
      <c r="C413" s="285" t="s">
        <v>15084</v>
      </c>
      <c r="D413" s="289" t="s">
        <v>15087</v>
      </c>
      <c r="E413" s="290" t="s">
        <v>3240</v>
      </c>
      <c r="F413" s="292">
        <v>2</v>
      </c>
      <c r="G413" s="510">
        <v>76.02</v>
      </c>
      <c r="H413" s="508">
        <v>0.2094</v>
      </c>
      <c r="I413" s="510">
        <v>91.938587999999996</v>
      </c>
      <c r="J413" s="509">
        <v>183.87717599999999</v>
      </c>
      <c r="K413" s="298"/>
      <c r="L413" s="447">
        <f t="shared" si="59"/>
        <v>183.87717599999999</v>
      </c>
      <c r="M413" s="447">
        <f t="shared" si="54"/>
        <v>0</v>
      </c>
      <c r="N413" s="298"/>
      <c r="O413" s="298"/>
      <c r="P413" s="298"/>
      <c r="Q413" s="298"/>
      <c r="R413" s="298"/>
      <c r="S413" s="298"/>
    </row>
    <row r="414" spans="1:19" s="92" customFormat="1" ht="38.25">
      <c r="A414" s="394" t="s">
        <v>3260</v>
      </c>
      <c r="B414" s="288" t="s">
        <v>15068</v>
      </c>
      <c r="C414" s="285" t="s">
        <v>15086</v>
      </c>
      <c r="D414" s="289" t="s">
        <v>15109</v>
      </c>
      <c r="E414" s="290" t="s">
        <v>109</v>
      </c>
      <c r="F414" s="292">
        <v>1</v>
      </c>
      <c r="G414" s="510">
        <v>177.93999999999997</v>
      </c>
      <c r="H414" s="508">
        <v>0.2094</v>
      </c>
      <c r="I414" s="510">
        <v>215.20063599999997</v>
      </c>
      <c r="J414" s="509">
        <v>215.20063599999997</v>
      </c>
      <c r="K414" s="298"/>
      <c r="L414" s="447">
        <f t="shared" si="59"/>
        <v>215.20063599999997</v>
      </c>
      <c r="M414" s="447">
        <f t="shared" si="54"/>
        <v>0</v>
      </c>
      <c r="N414" s="298"/>
      <c r="O414" s="298"/>
      <c r="P414" s="298"/>
      <c r="Q414" s="298"/>
      <c r="R414" s="298"/>
      <c r="S414" s="298"/>
    </row>
    <row r="415" spans="1:19" s="92" customFormat="1" ht="76.5">
      <c r="A415" s="394" t="s">
        <v>3259</v>
      </c>
      <c r="B415" s="288" t="s">
        <v>15069</v>
      </c>
      <c r="C415" s="285">
        <v>94499</v>
      </c>
      <c r="D415" s="289" t="s">
        <v>2377</v>
      </c>
      <c r="E415" s="290" t="s">
        <v>109</v>
      </c>
      <c r="F415" s="292">
        <v>1</v>
      </c>
      <c r="G415" s="510" t="s">
        <v>23582</v>
      </c>
      <c r="H415" s="508">
        <v>0.2094</v>
      </c>
      <c r="I415" s="510">
        <v>352.97548400000005</v>
      </c>
      <c r="J415" s="509">
        <v>352.97548400000005</v>
      </c>
      <c r="K415" s="298"/>
      <c r="L415" s="447">
        <f t="shared" si="59"/>
        <v>352.97548400000005</v>
      </c>
      <c r="M415" s="447">
        <f t="shared" si="54"/>
        <v>0</v>
      </c>
      <c r="N415" s="298"/>
      <c r="O415" s="298"/>
      <c r="P415" s="298"/>
      <c r="Q415" s="298"/>
      <c r="R415" s="298"/>
      <c r="S415" s="298"/>
    </row>
    <row r="416" spans="1:19" s="92" customFormat="1" ht="38.25">
      <c r="A416" s="394" t="s">
        <v>3259</v>
      </c>
      <c r="B416" s="288" t="s">
        <v>15078</v>
      </c>
      <c r="C416" s="285">
        <v>99624</v>
      </c>
      <c r="D416" s="289" t="s">
        <v>4337</v>
      </c>
      <c r="E416" s="290" t="s">
        <v>109</v>
      </c>
      <c r="F416" s="292">
        <v>1</v>
      </c>
      <c r="G416" s="510" t="s">
        <v>23602</v>
      </c>
      <c r="H416" s="508">
        <v>0.2094</v>
      </c>
      <c r="I416" s="510">
        <v>491.39131400000002</v>
      </c>
      <c r="J416" s="509">
        <v>491.39131400000002</v>
      </c>
      <c r="K416" s="298"/>
      <c r="L416" s="447">
        <f t="shared" si="59"/>
        <v>491.39131400000002</v>
      </c>
      <c r="M416" s="447">
        <f t="shared" si="54"/>
        <v>0</v>
      </c>
      <c r="N416" s="298"/>
      <c r="O416" s="298"/>
      <c r="P416" s="298"/>
      <c r="Q416" s="298"/>
      <c r="R416" s="298"/>
      <c r="S416" s="298"/>
    </row>
    <row r="417" spans="1:19" s="92" customFormat="1" ht="51">
      <c r="A417" s="394" t="s">
        <v>3259</v>
      </c>
      <c r="B417" s="288" t="s">
        <v>15079</v>
      </c>
      <c r="C417" s="285">
        <v>92896</v>
      </c>
      <c r="D417" s="289" t="s">
        <v>13369</v>
      </c>
      <c r="E417" s="290" t="s">
        <v>109</v>
      </c>
      <c r="F417" s="292">
        <v>1</v>
      </c>
      <c r="G417" s="510" t="s">
        <v>21508</v>
      </c>
      <c r="H417" s="508">
        <v>0.2094</v>
      </c>
      <c r="I417" s="510">
        <v>173.27073800000002</v>
      </c>
      <c r="J417" s="509">
        <v>173.27073800000002</v>
      </c>
      <c r="K417" s="298"/>
      <c r="L417" s="447">
        <f t="shared" si="59"/>
        <v>173.27073800000002</v>
      </c>
      <c r="M417" s="447">
        <f t="shared" si="54"/>
        <v>0</v>
      </c>
      <c r="N417" s="298"/>
      <c r="O417" s="298"/>
      <c r="P417" s="298"/>
      <c r="Q417" s="298"/>
      <c r="R417" s="298"/>
      <c r="S417" s="298"/>
    </row>
    <row r="418" spans="1:19" s="92" customFormat="1" ht="63.75">
      <c r="A418" s="394" t="s">
        <v>3259</v>
      </c>
      <c r="B418" s="288" t="s">
        <v>15080</v>
      </c>
      <c r="C418" s="285">
        <v>92368</v>
      </c>
      <c r="D418" s="289" t="s">
        <v>13234</v>
      </c>
      <c r="E418" s="290" t="s">
        <v>5</v>
      </c>
      <c r="F418" s="292">
        <v>7.6</v>
      </c>
      <c r="G418" s="510" t="s">
        <v>22951</v>
      </c>
      <c r="H418" s="508">
        <v>0.2094</v>
      </c>
      <c r="I418" s="510">
        <v>201.42557000000002</v>
      </c>
      <c r="J418" s="509">
        <v>1530.8343320000001</v>
      </c>
      <c r="K418" s="447"/>
      <c r="L418" s="447">
        <f t="shared" si="59"/>
        <v>1530.8343320000001</v>
      </c>
      <c r="M418" s="447">
        <f t="shared" si="54"/>
        <v>0</v>
      </c>
      <c r="N418" s="298"/>
      <c r="O418" s="298"/>
      <c r="P418" s="298"/>
      <c r="Q418" s="298"/>
      <c r="R418" s="298"/>
      <c r="S418" s="298"/>
    </row>
    <row r="419" spans="1:19" s="92" customFormat="1" ht="69" customHeight="1">
      <c r="A419" s="394" t="s">
        <v>3259</v>
      </c>
      <c r="B419" s="288" t="s">
        <v>15081</v>
      </c>
      <c r="C419" s="285">
        <v>92636</v>
      </c>
      <c r="D419" s="289" t="s">
        <v>13310</v>
      </c>
      <c r="E419" s="290" t="s">
        <v>109</v>
      </c>
      <c r="F419" s="292">
        <v>3</v>
      </c>
      <c r="G419" s="510" t="s">
        <v>23164</v>
      </c>
      <c r="H419" s="508">
        <v>0.2094</v>
      </c>
      <c r="I419" s="510">
        <v>166.37715800000001</v>
      </c>
      <c r="J419" s="509">
        <v>499.13147400000003</v>
      </c>
      <c r="K419" s="447"/>
      <c r="L419" s="447">
        <f t="shared" si="59"/>
        <v>499.13147400000003</v>
      </c>
      <c r="M419" s="447">
        <f t="shared" si="54"/>
        <v>0</v>
      </c>
      <c r="N419" s="298"/>
      <c r="O419" s="298"/>
      <c r="P419" s="298"/>
      <c r="Q419" s="298"/>
      <c r="R419" s="298"/>
      <c r="S419" s="298"/>
    </row>
    <row r="420" spans="1:19" s="92" customFormat="1" ht="69" customHeight="1">
      <c r="A420" s="394" t="s">
        <v>3259</v>
      </c>
      <c r="B420" s="288" t="s">
        <v>15082</v>
      </c>
      <c r="C420" s="285">
        <v>92644</v>
      </c>
      <c r="D420" s="289" t="s">
        <v>13316</v>
      </c>
      <c r="E420" s="290" t="s">
        <v>109</v>
      </c>
      <c r="F420" s="292">
        <v>1</v>
      </c>
      <c r="G420" s="510" t="s">
        <v>23168</v>
      </c>
      <c r="H420" s="508">
        <v>0.2094</v>
      </c>
      <c r="I420" s="510">
        <v>220.36477400000001</v>
      </c>
      <c r="J420" s="509">
        <v>220.36477400000001</v>
      </c>
      <c r="K420" s="447"/>
      <c r="L420" s="447">
        <f t="shared" ref="L420" si="61">I420*F420</f>
        <v>220.36477400000001</v>
      </c>
      <c r="M420" s="447"/>
      <c r="N420" s="298"/>
      <c r="O420" s="298"/>
      <c r="P420" s="298"/>
      <c r="Q420" s="298"/>
      <c r="R420" s="298"/>
      <c r="S420" s="298"/>
    </row>
    <row r="421" spans="1:19" s="92" customFormat="1" ht="63.75">
      <c r="A421" s="394" t="s">
        <v>3259</v>
      </c>
      <c r="B421" s="288" t="s">
        <v>15083</v>
      </c>
      <c r="C421" s="285">
        <v>94500</v>
      </c>
      <c r="D421" s="289" t="s">
        <v>2378</v>
      </c>
      <c r="E421" s="290" t="s">
        <v>109</v>
      </c>
      <c r="F421" s="292">
        <v>2</v>
      </c>
      <c r="G421" s="510" t="s">
        <v>23583</v>
      </c>
      <c r="H421" s="508">
        <v>0.2094</v>
      </c>
      <c r="I421" s="510">
        <v>420.31487600000003</v>
      </c>
      <c r="J421" s="509">
        <v>840.62975200000005</v>
      </c>
      <c r="K421" s="447"/>
      <c r="L421" s="447">
        <f t="shared" si="59"/>
        <v>840.62975200000005</v>
      </c>
      <c r="M421" s="447">
        <f t="shared" si="54"/>
        <v>0</v>
      </c>
      <c r="N421" s="298"/>
      <c r="O421" s="298"/>
      <c r="P421" s="298"/>
      <c r="Q421" s="298"/>
      <c r="R421" s="298"/>
      <c r="S421" s="298"/>
    </row>
    <row r="422" spans="1:19" s="92" customFormat="1">
      <c r="A422" s="256"/>
      <c r="B422" s="397"/>
      <c r="C422" s="397"/>
      <c r="D422" s="408"/>
      <c r="E422" s="588"/>
      <c r="F422" s="590"/>
      <c r="G422" s="590"/>
      <c r="H422" s="590"/>
      <c r="I422" s="590"/>
      <c r="J422" s="594"/>
      <c r="K422" s="298"/>
      <c r="L422" s="447">
        <f t="shared" si="59"/>
        <v>0</v>
      </c>
      <c r="M422" s="447">
        <f t="shared" si="54"/>
        <v>0</v>
      </c>
      <c r="N422" s="298"/>
      <c r="O422" s="298"/>
      <c r="P422" s="298"/>
      <c r="Q422" s="298"/>
      <c r="R422" s="298"/>
      <c r="S422" s="298"/>
    </row>
    <row r="423" spans="1:19" s="92" customFormat="1">
      <c r="A423" s="256"/>
      <c r="B423" s="390" t="s">
        <v>15107</v>
      </c>
      <c r="C423" s="390"/>
      <c r="D423" s="399" t="s">
        <v>14573</v>
      </c>
      <c r="E423" s="415"/>
      <c r="F423" s="415"/>
      <c r="G423" s="462"/>
      <c r="H423" s="415"/>
      <c r="I423" s="462"/>
      <c r="J423" s="416"/>
      <c r="K423" s="298"/>
      <c r="L423" s="447">
        <f t="shared" si="59"/>
        <v>0</v>
      </c>
      <c r="M423" s="447">
        <f t="shared" si="54"/>
        <v>0</v>
      </c>
      <c r="N423" s="298"/>
      <c r="O423" s="298"/>
      <c r="P423" s="298"/>
      <c r="Q423" s="298"/>
      <c r="R423" s="298"/>
      <c r="S423" s="298"/>
    </row>
    <row r="424" spans="1:19" s="92" customFormat="1" ht="76.5">
      <c r="A424" s="394" t="s">
        <v>3260</v>
      </c>
      <c r="B424" s="288" t="s">
        <v>18098</v>
      </c>
      <c r="C424" s="285" t="s">
        <v>15089</v>
      </c>
      <c r="D424" s="289" t="s">
        <v>15144</v>
      </c>
      <c r="E424" s="290" t="s">
        <v>109</v>
      </c>
      <c r="F424" s="292">
        <v>1</v>
      </c>
      <c r="G424" s="510">
        <v>518.98000000000013</v>
      </c>
      <c r="H424" s="508">
        <v>0.2094</v>
      </c>
      <c r="I424" s="510">
        <v>627.65441200000021</v>
      </c>
      <c r="J424" s="509">
        <v>627.65441200000021</v>
      </c>
      <c r="K424" s="298"/>
      <c r="L424" s="447">
        <f t="shared" si="59"/>
        <v>627.65441200000021</v>
      </c>
      <c r="M424" s="447">
        <f t="shared" si="54"/>
        <v>0</v>
      </c>
      <c r="N424" s="298"/>
      <c r="O424" s="298"/>
      <c r="P424" s="298"/>
      <c r="Q424" s="298"/>
      <c r="R424" s="298"/>
      <c r="S424" s="298"/>
    </row>
    <row r="425" spans="1:19" s="92" customFormat="1" ht="25.5">
      <c r="A425" s="394" t="s">
        <v>3260</v>
      </c>
      <c r="B425" s="288" t="s">
        <v>18099</v>
      </c>
      <c r="C425" s="285" t="s">
        <v>15090</v>
      </c>
      <c r="D425" s="289" t="s">
        <v>15150</v>
      </c>
      <c r="E425" s="290" t="s">
        <v>3240</v>
      </c>
      <c r="F425" s="292">
        <v>1</v>
      </c>
      <c r="G425" s="510">
        <v>305.45000000000005</v>
      </c>
      <c r="H425" s="508">
        <v>0.2094</v>
      </c>
      <c r="I425" s="510">
        <v>369.41123000000005</v>
      </c>
      <c r="J425" s="509">
        <v>369.41123000000005</v>
      </c>
      <c r="K425" s="298"/>
      <c r="L425" s="447">
        <f t="shared" si="59"/>
        <v>369.41123000000005</v>
      </c>
      <c r="M425" s="447">
        <f t="shared" si="54"/>
        <v>0</v>
      </c>
      <c r="N425" s="298"/>
      <c r="O425" s="298"/>
      <c r="P425" s="298"/>
      <c r="Q425" s="298"/>
      <c r="R425" s="298"/>
      <c r="S425" s="298"/>
    </row>
    <row r="426" spans="1:19" s="92" customFormat="1">
      <c r="A426" s="394"/>
      <c r="B426" s="288"/>
      <c r="C426" s="285"/>
      <c r="D426" s="407"/>
      <c r="E426" s="230"/>
      <c r="F426" s="477"/>
      <c r="G426" s="464"/>
      <c r="H426" s="427"/>
      <c r="I426" s="464"/>
      <c r="J426" s="594"/>
      <c r="K426" s="298"/>
      <c r="L426" s="447">
        <f t="shared" si="59"/>
        <v>0</v>
      </c>
      <c r="M426" s="447">
        <f t="shared" ref="M426:M435" si="62">L426-J426</f>
        <v>0</v>
      </c>
      <c r="N426" s="298"/>
      <c r="O426" s="298"/>
      <c r="P426" s="298"/>
      <c r="Q426" s="298"/>
      <c r="R426" s="298"/>
      <c r="S426" s="298"/>
    </row>
    <row r="427" spans="1:19" s="92" customFormat="1">
      <c r="A427" s="256"/>
      <c r="B427" s="390" t="s">
        <v>15056</v>
      </c>
      <c r="C427" s="390"/>
      <c r="D427" s="399" t="s">
        <v>14816</v>
      </c>
      <c r="E427" s="415"/>
      <c r="F427" s="415"/>
      <c r="G427" s="462"/>
      <c r="H427" s="415"/>
      <c r="I427" s="462"/>
      <c r="J427" s="416"/>
      <c r="K427" s="298"/>
      <c r="L427" s="447">
        <f t="shared" si="59"/>
        <v>0</v>
      </c>
      <c r="M427" s="447">
        <f t="shared" si="62"/>
        <v>0</v>
      </c>
      <c r="N427" s="298"/>
      <c r="O427" s="298"/>
      <c r="P427" s="298"/>
      <c r="Q427" s="298"/>
      <c r="R427" s="298"/>
      <c r="S427" s="298"/>
    </row>
    <row r="428" spans="1:19" s="92" customFormat="1" ht="38.25">
      <c r="A428" s="394" t="s">
        <v>3259</v>
      </c>
      <c r="B428" s="288" t="s">
        <v>15063</v>
      </c>
      <c r="C428" s="285">
        <v>93358</v>
      </c>
      <c r="D428" s="289" t="s">
        <v>16227</v>
      </c>
      <c r="E428" s="290" t="s">
        <v>209</v>
      </c>
      <c r="F428" s="292">
        <v>7.5</v>
      </c>
      <c r="G428" s="510" t="s">
        <v>23682</v>
      </c>
      <c r="H428" s="508">
        <v>0.2094</v>
      </c>
      <c r="I428" s="510">
        <v>84.246803999999997</v>
      </c>
      <c r="J428" s="509">
        <v>631.85103000000004</v>
      </c>
      <c r="K428" s="298"/>
      <c r="L428" s="447">
        <f t="shared" si="59"/>
        <v>631.85103000000004</v>
      </c>
      <c r="M428" s="447">
        <f t="shared" si="62"/>
        <v>0</v>
      </c>
      <c r="N428" s="298"/>
      <c r="O428" s="298"/>
      <c r="P428" s="298"/>
      <c r="Q428" s="298"/>
      <c r="R428" s="298"/>
      <c r="S428" s="298"/>
    </row>
    <row r="429" spans="1:19" s="92" customFormat="1" ht="38.25">
      <c r="A429" s="394" t="s">
        <v>3259</v>
      </c>
      <c r="B429" s="288" t="s">
        <v>15098</v>
      </c>
      <c r="C429" s="288">
        <v>101616</v>
      </c>
      <c r="D429" s="289" t="s">
        <v>13664</v>
      </c>
      <c r="E429" s="290" t="s">
        <v>193</v>
      </c>
      <c r="F429" s="292">
        <v>15.01</v>
      </c>
      <c r="G429" s="510" t="s">
        <v>11219</v>
      </c>
      <c r="H429" s="508">
        <v>0.2094</v>
      </c>
      <c r="I429" s="510">
        <v>6.3735379999999999</v>
      </c>
      <c r="J429" s="509">
        <v>95.66680538</v>
      </c>
      <c r="K429" s="298"/>
      <c r="L429" s="447">
        <f t="shared" si="59"/>
        <v>95.66680538</v>
      </c>
      <c r="M429" s="447">
        <f t="shared" si="62"/>
        <v>0</v>
      </c>
      <c r="N429" s="298"/>
      <c r="O429" s="298"/>
      <c r="P429" s="298"/>
      <c r="Q429" s="298"/>
      <c r="R429" s="298"/>
      <c r="S429" s="298"/>
    </row>
    <row r="430" spans="1:19" s="92" customFormat="1" ht="25.5">
      <c r="A430" s="394" t="s">
        <v>3259</v>
      </c>
      <c r="B430" s="288" t="s">
        <v>15099</v>
      </c>
      <c r="C430" s="288">
        <v>93382</v>
      </c>
      <c r="D430" s="289" t="s">
        <v>2501</v>
      </c>
      <c r="E430" s="290" t="s">
        <v>209</v>
      </c>
      <c r="F430" s="292">
        <v>7.25</v>
      </c>
      <c r="G430" s="510" t="s">
        <v>16369</v>
      </c>
      <c r="H430" s="508">
        <v>0.2094</v>
      </c>
      <c r="I430" s="510">
        <v>30.380128000000003</v>
      </c>
      <c r="J430" s="509">
        <v>220.25592800000001</v>
      </c>
      <c r="K430" s="298"/>
      <c r="L430" s="447">
        <f t="shared" si="59"/>
        <v>220.25592800000001</v>
      </c>
      <c r="M430" s="447">
        <f t="shared" si="62"/>
        <v>0</v>
      </c>
      <c r="N430" s="298"/>
      <c r="O430" s="298"/>
      <c r="P430" s="298"/>
      <c r="Q430" s="298"/>
      <c r="R430" s="298"/>
      <c r="S430" s="298"/>
    </row>
    <row r="431" spans="1:19" s="92" customFormat="1">
      <c r="A431" s="394" t="s">
        <v>3260</v>
      </c>
      <c r="B431" s="288" t="s">
        <v>18095</v>
      </c>
      <c r="C431" s="285" t="s">
        <v>15093</v>
      </c>
      <c r="D431" s="289" t="s">
        <v>14699</v>
      </c>
      <c r="E431" s="290" t="s">
        <v>3241</v>
      </c>
      <c r="F431" s="292">
        <v>1.5</v>
      </c>
      <c r="G431" s="510">
        <v>165.58999999999997</v>
      </c>
      <c r="H431" s="508">
        <v>0.2094</v>
      </c>
      <c r="I431" s="510">
        <v>200.26454599999997</v>
      </c>
      <c r="J431" s="509">
        <v>300.39681899999994</v>
      </c>
      <c r="K431" s="298"/>
      <c r="L431" s="447">
        <f t="shared" si="59"/>
        <v>300.39681899999994</v>
      </c>
      <c r="M431" s="447">
        <f t="shared" si="62"/>
        <v>0</v>
      </c>
      <c r="N431" s="298"/>
      <c r="O431" s="298"/>
      <c r="P431" s="298"/>
      <c r="Q431" s="298"/>
      <c r="R431" s="298"/>
      <c r="S431" s="298"/>
    </row>
    <row r="432" spans="1:19" s="92" customFormat="1" ht="25.5">
      <c r="A432" s="394" t="s">
        <v>3259</v>
      </c>
      <c r="B432" s="288" t="s">
        <v>15126</v>
      </c>
      <c r="C432" s="285">
        <v>98557</v>
      </c>
      <c r="D432" s="289" t="s">
        <v>4088</v>
      </c>
      <c r="E432" s="290" t="s">
        <v>193</v>
      </c>
      <c r="F432" s="292">
        <v>11.94</v>
      </c>
      <c r="G432" s="510" t="s">
        <v>22567</v>
      </c>
      <c r="H432" s="508">
        <v>0.2094</v>
      </c>
      <c r="I432" s="510">
        <v>44.288227999999997</v>
      </c>
      <c r="J432" s="509">
        <v>528.80144231999998</v>
      </c>
      <c r="K432" s="298"/>
      <c r="L432" s="447">
        <f t="shared" si="59"/>
        <v>528.80144231999998</v>
      </c>
      <c r="M432" s="447">
        <f t="shared" si="62"/>
        <v>0</v>
      </c>
      <c r="N432" s="298"/>
      <c r="O432" s="298"/>
      <c r="P432" s="298"/>
      <c r="Q432" s="298"/>
      <c r="R432" s="298"/>
      <c r="S432" s="298"/>
    </row>
    <row r="433" spans="1:19" s="140" customFormat="1" ht="63.75">
      <c r="A433" s="394" t="s">
        <v>3259</v>
      </c>
      <c r="B433" s="288" t="s">
        <v>18096</v>
      </c>
      <c r="C433" s="285">
        <v>91173</v>
      </c>
      <c r="D433" s="289" t="s">
        <v>2428</v>
      </c>
      <c r="E433" s="290" t="s">
        <v>5</v>
      </c>
      <c r="F433" s="292">
        <v>7.6</v>
      </c>
      <c r="G433" s="510" t="s">
        <v>10430</v>
      </c>
      <c r="H433" s="508">
        <v>0.2094</v>
      </c>
      <c r="I433" s="510">
        <v>1.584314</v>
      </c>
      <c r="J433" s="509">
        <v>12.0407864</v>
      </c>
      <c r="K433" s="409"/>
      <c r="L433" s="447">
        <f t="shared" si="59"/>
        <v>12.0407864</v>
      </c>
      <c r="M433" s="447">
        <f t="shared" si="62"/>
        <v>0</v>
      </c>
      <c r="N433" s="409"/>
      <c r="O433" s="409"/>
      <c r="P433" s="409"/>
      <c r="Q433" s="409"/>
      <c r="R433" s="409"/>
      <c r="S433" s="409"/>
    </row>
    <row r="434" spans="1:19" s="140" customFormat="1" ht="76.5">
      <c r="A434" s="394" t="s">
        <v>3259</v>
      </c>
      <c r="B434" s="288" t="s">
        <v>18097</v>
      </c>
      <c r="C434" s="285">
        <v>100746</v>
      </c>
      <c r="D434" s="289" t="s">
        <v>11003</v>
      </c>
      <c r="E434" s="290" t="s">
        <v>193</v>
      </c>
      <c r="F434" s="292">
        <v>1.81</v>
      </c>
      <c r="G434" s="510" t="s">
        <v>11013</v>
      </c>
      <c r="H434" s="508">
        <v>0.2094</v>
      </c>
      <c r="I434" s="510">
        <v>24.937828000000003</v>
      </c>
      <c r="J434" s="509">
        <v>45.137468680000005</v>
      </c>
      <c r="K434" s="409"/>
      <c r="L434" s="447">
        <f t="shared" si="59"/>
        <v>45.137468680000005</v>
      </c>
      <c r="M434" s="447">
        <f t="shared" si="62"/>
        <v>0</v>
      </c>
      <c r="N434" s="409"/>
      <c r="O434" s="409"/>
      <c r="P434" s="409"/>
      <c r="Q434" s="409"/>
      <c r="R434" s="409"/>
      <c r="S434" s="409"/>
    </row>
    <row r="435" spans="1:19" s="92" customFormat="1">
      <c r="A435" s="256"/>
      <c r="B435" s="397"/>
      <c r="C435" s="397"/>
      <c r="D435" s="408"/>
      <c r="E435" s="397"/>
      <c r="F435" s="431"/>
      <c r="G435" s="431"/>
      <c r="H435" s="417"/>
      <c r="I435" s="431"/>
      <c r="J435" s="418"/>
      <c r="K435" s="298"/>
      <c r="L435" s="447">
        <f t="shared" si="59"/>
        <v>0</v>
      </c>
      <c r="M435" s="447">
        <f t="shared" si="62"/>
        <v>0</v>
      </c>
      <c r="N435" s="298"/>
      <c r="O435" s="298"/>
      <c r="P435" s="298"/>
      <c r="Q435" s="298"/>
      <c r="R435" s="298"/>
      <c r="S435" s="298"/>
    </row>
    <row r="436" spans="1:19" s="92" customFormat="1">
      <c r="A436" s="256"/>
      <c r="B436" s="392"/>
      <c r="C436" s="393"/>
      <c r="D436" s="402"/>
      <c r="E436" s="393"/>
      <c r="F436" s="393"/>
      <c r="G436" s="460" t="s">
        <v>69</v>
      </c>
      <c r="H436" s="432"/>
      <c r="I436" s="460"/>
      <c r="J436" s="420">
        <v>15762.566264740004</v>
      </c>
      <c r="K436" s="298"/>
      <c r="L436" s="447">
        <f t="shared" si="59"/>
        <v>0</v>
      </c>
      <c r="M436" s="447"/>
      <c r="N436" s="298"/>
      <c r="O436" s="298"/>
      <c r="P436" s="298"/>
      <c r="Q436" s="298"/>
      <c r="R436" s="298"/>
      <c r="S436" s="298"/>
    </row>
    <row r="437" spans="1:19" s="92" customFormat="1">
      <c r="A437" s="256"/>
      <c r="B437" s="391"/>
      <c r="C437" s="391"/>
      <c r="D437" s="401"/>
      <c r="E437" s="391"/>
      <c r="F437" s="417"/>
      <c r="G437" s="417"/>
      <c r="H437" s="417"/>
      <c r="I437" s="442"/>
      <c r="J437" s="418"/>
      <c r="K437" s="298"/>
      <c r="L437" s="447">
        <f t="shared" ref="L437:L438" si="63">I437*F437</f>
        <v>0</v>
      </c>
      <c r="M437" s="449"/>
      <c r="N437" s="298"/>
      <c r="O437" s="298"/>
      <c r="P437" s="298"/>
      <c r="Q437" s="298"/>
      <c r="R437" s="298"/>
      <c r="S437" s="298"/>
    </row>
    <row r="438" spans="1:19" s="140" customFormat="1">
      <c r="A438" s="394"/>
      <c r="B438" s="395"/>
      <c r="C438" s="395"/>
      <c r="D438" s="404"/>
      <c r="E438" s="395"/>
      <c r="F438" s="395"/>
      <c r="G438" s="434" t="s">
        <v>70</v>
      </c>
      <c r="H438" s="435"/>
      <c r="I438" s="436"/>
      <c r="J438" s="421">
        <v>951252.17289025197</v>
      </c>
      <c r="K438" s="448"/>
      <c r="L438" s="447">
        <f t="shared" si="63"/>
        <v>0</v>
      </c>
      <c r="M438" s="449"/>
      <c r="N438" s="409"/>
      <c r="O438" s="409"/>
      <c r="P438" s="409"/>
      <c r="Q438" s="409"/>
      <c r="R438" s="409"/>
      <c r="S438" s="409"/>
    </row>
    <row r="439" spans="1:19" s="140" customFormat="1">
      <c r="A439" s="394"/>
      <c r="B439" s="394"/>
      <c r="C439" s="394"/>
      <c r="D439" s="409"/>
      <c r="E439" s="394"/>
      <c r="F439" s="437"/>
      <c r="G439" s="437"/>
      <c r="H439" s="437"/>
      <c r="I439" s="438"/>
      <c r="J439" s="437"/>
      <c r="K439" s="409"/>
      <c r="L439" s="448">
        <f>SUM(L12:L438)</f>
        <v>951252.17289025197</v>
      </c>
      <c r="M439" s="409"/>
      <c r="N439" s="409"/>
      <c r="O439" s="409"/>
      <c r="P439" s="409"/>
      <c r="Q439" s="409"/>
      <c r="R439" s="409"/>
      <c r="S439" s="409"/>
    </row>
    <row r="440" spans="1:19" s="70" customFormat="1" ht="58.15" customHeight="1">
      <c r="A440" s="128"/>
      <c r="B440" s="808" t="str">
        <f>'018.01-21-ADM OBRA'!B68:J68</f>
        <v>ENG. GABRIEL DA CUNHA ARAUJO
CREA 23300/D-DF
ART: 0720210046394
MAT.: 973.175-X</v>
      </c>
      <c r="C440" s="808"/>
      <c r="D440" s="808"/>
      <c r="E440" s="808"/>
      <c r="F440" s="808"/>
      <c r="G440" s="808"/>
      <c r="H440" s="808"/>
      <c r="I440" s="808"/>
      <c r="J440" s="808"/>
      <c r="K440" s="446"/>
      <c r="L440" s="446"/>
      <c r="M440" s="446"/>
      <c r="N440" s="446"/>
      <c r="O440" s="446"/>
      <c r="P440" s="446"/>
      <c r="Q440" s="446"/>
      <c r="R440" s="446"/>
      <c r="S440" s="446"/>
    </row>
    <row r="441" spans="1:19" s="70" customFormat="1" ht="58.15" customHeight="1">
      <c r="A441" s="128"/>
      <c r="B441" s="808" t="str">
        <f>'018.01-21-ADM OBRA'!B69:J69</f>
        <v>ENG. GILMAR DA MOTA FERNANDES
CREA 23785/D-DF
ART: 0720210047629
MAT.: 973.113-X</v>
      </c>
      <c r="C441" s="808"/>
      <c r="D441" s="808"/>
      <c r="E441" s="808"/>
      <c r="F441" s="808"/>
      <c r="G441" s="808"/>
      <c r="H441" s="808"/>
      <c r="I441" s="808"/>
      <c r="J441" s="808"/>
      <c r="K441" s="446"/>
      <c r="L441" s="446"/>
      <c r="M441" s="446"/>
      <c r="N441" s="446"/>
      <c r="O441" s="446"/>
      <c r="P441" s="446"/>
      <c r="Q441" s="446"/>
      <c r="R441" s="446"/>
      <c r="S441" s="446"/>
    </row>
    <row r="442" spans="1:19" s="70" customFormat="1" ht="58.15" customHeight="1">
      <c r="A442" s="128"/>
      <c r="B442" s="808" t="str">
        <f>'018.01-21-ADM OBRA'!B70:J70</f>
        <v>ENG. TIAGO DE SOUZA OLIVEIRA
CREA 24935/D-DF
ART: 0720210047000
MAT.: 973.315-9</v>
      </c>
      <c r="C442" s="808"/>
      <c r="D442" s="808"/>
      <c r="E442" s="808"/>
      <c r="F442" s="808"/>
      <c r="G442" s="808"/>
      <c r="H442" s="808"/>
      <c r="I442" s="808"/>
      <c r="J442" s="808"/>
      <c r="K442" s="446"/>
      <c r="L442" s="446"/>
      <c r="M442" s="446"/>
      <c r="N442" s="446"/>
      <c r="O442" s="446"/>
      <c r="P442" s="446"/>
      <c r="Q442" s="446"/>
      <c r="R442" s="446"/>
      <c r="S442" s="446"/>
    </row>
    <row r="447" spans="1:19">
      <c r="D447" s="410"/>
      <c r="F447" s="398"/>
      <c r="G447" s="398"/>
      <c r="H447" s="398"/>
      <c r="I447" s="398"/>
      <c r="J447" s="398"/>
    </row>
    <row r="448" spans="1:19">
      <c r="D448" s="410"/>
      <c r="F448" s="398"/>
      <c r="G448" s="398"/>
      <c r="H448" s="398"/>
      <c r="I448" s="398"/>
      <c r="J448" s="398"/>
    </row>
  </sheetData>
  <autoFilter ref="B11:J443"/>
  <mergeCells count="14">
    <mergeCell ref="B6:C6"/>
    <mergeCell ref="D6:E6"/>
    <mergeCell ref="B1:J1"/>
    <mergeCell ref="B2:J2"/>
    <mergeCell ref="B3:J3"/>
    <mergeCell ref="B4:J4"/>
    <mergeCell ref="B5:J5"/>
    <mergeCell ref="B442:J442"/>
    <mergeCell ref="B7:C7"/>
    <mergeCell ref="D7:F7"/>
    <mergeCell ref="B8:C8"/>
    <mergeCell ref="B9:C9"/>
    <mergeCell ref="B440:J440"/>
    <mergeCell ref="B441:J441"/>
  </mergeCells>
  <printOptions horizontalCentered="1"/>
  <pageMargins left="0.59055118110236227" right="0.62992125984251968" top="0.39370078740157483" bottom="0.39370078740157483" header="0.19685039370078741" footer="0.19685039370078741"/>
  <pageSetup paperSize="9" scale="60" orientation="portrait" r:id="rId1"/>
  <headerFooter>
    <oddHeader>&amp;C&amp;F</oddHeader>
    <oddFooter>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sheetPr>
    <tabColor rgb="FFFF0000"/>
  </sheetPr>
  <dimension ref="A1:S874"/>
  <sheetViews>
    <sheetView showGridLines="0" view="pageBreakPreview" zoomScale="90" zoomScaleNormal="100" zoomScaleSheetLayoutView="90" workbookViewId="0">
      <selection activeCell="L20" sqref="L20"/>
    </sheetView>
  </sheetViews>
  <sheetFormatPr defaultColWidth="9.140625" defaultRowHeight="12.75"/>
  <cols>
    <col min="1" max="1" width="9.140625" style="398" customWidth="1"/>
    <col min="2" max="2" width="12.7109375" style="398" customWidth="1"/>
    <col min="3" max="3" width="13.42578125" style="398" customWidth="1"/>
    <col min="4" max="4" width="44.7109375" style="411" customWidth="1"/>
    <col min="5" max="5" width="7.7109375" style="398" customWidth="1"/>
    <col min="6" max="6" width="9.42578125" style="439" customWidth="1"/>
    <col min="7" max="7" width="12.85546875" style="439" customWidth="1"/>
    <col min="8" max="8" width="11.7109375" style="439" customWidth="1"/>
    <col min="9" max="9" width="12.5703125" style="439" customWidth="1"/>
    <col min="10" max="10" width="17.7109375" style="439" customWidth="1"/>
    <col min="11" max="11" width="17.140625" style="411" customWidth="1"/>
    <col min="12" max="12" width="20.140625" style="411" customWidth="1"/>
    <col min="13" max="13" width="20.7109375" style="411" customWidth="1"/>
    <col min="14" max="14" width="14.28515625" style="411" customWidth="1"/>
    <col min="15" max="15" width="16.7109375" style="411" customWidth="1"/>
    <col min="16" max="16" width="12.85546875" style="411" customWidth="1"/>
    <col min="17" max="17" width="25.140625" style="411" customWidth="1"/>
    <col min="18" max="18" width="15" style="411" customWidth="1"/>
    <col min="19" max="19" width="9.140625" style="411"/>
    <col min="20" max="16384" width="9.140625" style="71"/>
  </cols>
  <sheetData>
    <row r="1" spans="1:19" s="86" customFormat="1" ht="15.75">
      <c r="A1" s="127"/>
      <c r="B1" s="814"/>
      <c r="C1" s="814"/>
      <c r="D1" s="814"/>
      <c r="E1" s="814"/>
      <c r="F1" s="814"/>
      <c r="G1" s="814"/>
      <c r="H1" s="814"/>
      <c r="I1" s="814"/>
      <c r="J1" s="814"/>
      <c r="K1" s="443"/>
      <c r="L1" s="444"/>
      <c r="M1" s="444"/>
      <c r="N1" s="444"/>
      <c r="O1" s="444"/>
      <c r="P1" s="444"/>
      <c r="Q1" s="444"/>
      <c r="R1" s="444"/>
      <c r="S1" s="444"/>
    </row>
    <row r="2" spans="1:19" s="67" customFormat="1" ht="18.75">
      <c r="A2" s="130"/>
      <c r="B2" s="815" t="s">
        <v>3765</v>
      </c>
      <c r="C2" s="815"/>
      <c r="D2" s="815"/>
      <c r="E2" s="815"/>
      <c r="F2" s="815"/>
      <c r="G2" s="815"/>
      <c r="H2" s="815"/>
      <c r="I2" s="815"/>
      <c r="J2" s="815"/>
      <c r="K2" s="445"/>
      <c r="L2" s="446"/>
      <c r="M2" s="446"/>
      <c r="N2" s="446"/>
      <c r="O2" s="446"/>
      <c r="P2" s="446"/>
      <c r="Q2" s="446"/>
      <c r="R2" s="381"/>
      <c r="S2" s="381"/>
    </row>
    <row r="3" spans="1:19" s="67" customFormat="1" ht="18.75">
      <c r="A3" s="130"/>
      <c r="B3" s="815" t="s">
        <v>3766</v>
      </c>
      <c r="C3" s="815"/>
      <c r="D3" s="815"/>
      <c r="E3" s="815"/>
      <c r="F3" s="815"/>
      <c r="G3" s="815"/>
      <c r="H3" s="815"/>
      <c r="I3" s="815"/>
      <c r="J3" s="815"/>
      <c r="K3" s="445"/>
      <c r="L3" s="446"/>
      <c r="M3" s="446"/>
      <c r="N3" s="446"/>
      <c r="O3" s="446"/>
      <c r="P3" s="446"/>
      <c r="Q3" s="446"/>
      <c r="R3" s="381"/>
      <c r="S3" s="381"/>
    </row>
    <row r="4" spans="1:19" s="67" customFormat="1" ht="18.75">
      <c r="A4" s="130"/>
      <c r="B4" s="815" t="s">
        <v>3768</v>
      </c>
      <c r="C4" s="815"/>
      <c r="D4" s="815"/>
      <c r="E4" s="815"/>
      <c r="F4" s="815"/>
      <c r="G4" s="815"/>
      <c r="H4" s="815"/>
      <c r="I4" s="815"/>
      <c r="J4" s="815"/>
      <c r="K4" s="446"/>
      <c r="L4" s="446"/>
      <c r="M4" s="446"/>
      <c r="N4" s="446"/>
      <c r="O4" s="446"/>
      <c r="P4" s="446"/>
      <c r="Q4" s="446"/>
      <c r="R4" s="381"/>
      <c r="S4" s="381"/>
    </row>
    <row r="5" spans="1:19" s="67" customFormat="1" ht="18.75">
      <c r="A5" s="130"/>
      <c r="B5" s="815" t="s">
        <v>17415</v>
      </c>
      <c r="C5" s="815"/>
      <c r="D5" s="815"/>
      <c r="E5" s="815"/>
      <c r="F5" s="815"/>
      <c r="G5" s="815"/>
      <c r="H5" s="815"/>
      <c r="I5" s="815"/>
      <c r="J5" s="815"/>
      <c r="K5" s="446"/>
      <c r="L5" s="446"/>
      <c r="M5" s="446"/>
      <c r="N5" s="446"/>
      <c r="O5" s="446"/>
      <c r="P5" s="446"/>
      <c r="Q5" s="446"/>
      <c r="R5" s="381"/>
      <c r="S5" s="381"/>
    </row>
    <row r="6" spans="1:19" s="67" customFormat="1">
      <c r="A6" s="130"/>
      <c r="B6" s="809" t="s">
        <v>60</v>
      </c>
      <c r="C6" s="809"/>
      <c r="D6" s="813" t="s">
        <v>24744</v>
      </c>
      <c r="E6" s="813"/>
      <c r="F6" s="130"/>
      <c r="G6" s="347"/>
      <c r="H6" s="347"/>
      <c r="I6" s="347" t="s">
        <v>61</v>
      </c>
      <c r="J6" s="346">
        <f>'018-21-CAPA'!E20</f>
        <v>44389</v>
      </c>
      <c r="K6" s="445"/>
      <c r="L6" s="446"/>
      <c r="M6" s="446"/>
      <c r="N6" s="446"/>
      <c r="O6" s="446"/>
      <c r="P6" s="446"/>
      <c r="Q6" s="446"/>
      <c r="R6" s="446"/>
      <c r="S6" s="381"/>
    </row>
    <row r="7" spans="1:19" s="67" customFormat="1" ht="12.75" customHeight="1">
      <c r="A7" s="130"/>
      <c r="B7" s="809" t="s">
        <v>62</v>
      </c>
      <c r="C7" s="809"/>
      <c r="D7" s="810" t="s">
        <v>24736</v>
      </c>
      <c r="E7" s="811"/>
      <c r="F7" s="811"/>
      <c r="G7" s="311"/>
      <c r="H7" s="311"/>
      <c r="I7" s="311" t="s">
        <v>16</v>
      </c>
      <c r="J7" s="329" t="str">
        <f>'018.01-21-ADM OBRA'!J7</f>
        <v>PROJ-DE-045-20</v>
      </c>
      <c r="K7" s="446"/>
      <c r="L7" s="446"/>
      <c r="M7" s="446"/>
      <c r="N7" s="446"/>
      <c r="O7" s="446"/>
      <c r="P7" s="446"/>
      <c r="Q7" s="446"/>
      <c r="R7" s="381"/>
      <c r="S7" s="381"/>
    </row>
    <row r="8" spans="1:19" s="67" customFormat="1">
      <c r="A8" s="130"/>
      <c r="B8" s="812" t="s">
        <v>18</v>
      </c>
      <c r="C8" s="809" t="s">
        <v>63</v>
      </c>
      <c r="D8" s="294" t="s">
        <v>18322</v>
      </c>
      <c r="E8" s="306"/>
      <c r="F8" s="130"/>
      <c r="G8" s="311"/>
      <c r="H8" s="311"/>
      <c r="I8" s="311" t="s">
        <v>64</v>
      </c>
      <c r="J8" s="329" t="str">
        <f>'018.01-21-ADM OBRA'!J8</f>
        <v>1.497,00 m²</v>
      </c>
      <c r="K8" s="445"/>
      <c r="L8" s="446"/>
      <c r="M8" s="446"/>
      <c r="N8" s="446"/>
      <c r="O8" s="446"/>
      <c r="P8" s="446"/>
      <c r="Q8" s="446"/>
      <c r="R8" s="446"/>
      <c r="S8" s="381"/>
    </row>
    <row r="9" spans="1:19" s="67" customFormat="1">
      <c r="A9" s="130"/>
      <c r="B9" s="809" t="s">
        <v>65</v>
      </c>
      <c r="C9" s="809"/>
      <c r="D9" s="378" t="s">
        <v>15157</v>
      </c>
      <c r="E9" s="347" t="s">
        <v>66</v>
      </c>
      <c r="F9" s="412">
        <v>0.2094</v>
      </c>
      <c r="G9" s="347" t="s">
        <v>66</v>
      </c>
      <c r="H9" s="412">
        <v>0.1089</v>
      </c>
      <c r="I9" s="327" t="s">
        <v>68</v>
      </c>
      <c r="J9" s="329" t="str">
        <f>'018.01-21-ADM OBRA'!J9</f>
        <v>SINAPI MAIO 2021</v>
      </c>
      <c r="K9" s="445"/>
      <c r="L9" s="446"/>
      <c r="M9" s="446"/>
      <c r="N9" s="446"/>
      <c r="O9" s="446"/>
      <c r="P9" s="446"/>
      <c r="Q9" s="446"/>
      <c r="R9" s="446"/>
      <c r="S9" s="381"/>
    </row>
    <row r="10" spans="1:19" s="67" customFormat="1">
      <c r="A10" s="130"/>
      <c r="B10" s="311"/>
      <c r="C10" s="311"/>
      <c r="D10" s="378"/>
      <c r="E10" s="347"/>
      <c r="F10" s="306"/>
      <c r="G10" s="327"/>
      <c r="H10" s="327"/>
      <c r="I10" s="327"/>
      <c r="J10" s="305"/>
      <c r="K10" s="445"/>
      <c r="L10" s="446"/>
      <c r="M10" s="446"/>
      <c r="N10" s="446"/>
      <c r="O10" s="446"/>
      <c r="P10" s="446"/>
      <c r="Q10" s="446"/>
      <c r="R10" s="446"/>
      <c r="S10" s="381"/>
    </row>
    <row r="11" spans="1:19" s="1" customFormat="1" ht="45">
      <c r="A11" s="377"/>
      <c r="B11" s="186" t="s">
        <v>71</v>
      </c>
      <c r="C11" s="186" t="s">
        <v>0</v>
      </c>
      <c r="D11" s="186" t="s">
        <v>1</v>
      </c>
      <c r="E11" s="186" t="s">
        <v>171</v>
      </c>
      <c r="F11" s="186" t="s">
        <v>2</v>
      </c>
      <c r="G11" s="186" t="s">
        <v>9033</v>
      </c>
      <c r="H11" s="186" t="s">
        <v>30</v>
      </c>
      <c r="I11" s="186" t="s">
        <v>9034</v>
      </c>
      <c r="J11" s="186" t="s">
        <v>9035</v>
      </c>
      <c r="K11" s="380"/>
      <c r="L11" s="380"/>
      <c r="M11" s="380"/>
      <c r="N11" s="380"/>
      <c r="O11" s="380"/>
      <c r="P11" s="380"/>
      <c r="Q11" s="380"/>
      <c r="R11" s="380"/>
      <c r="S11" s="380"/>
    </row>
    <row r="12" spans="1:19" s="92" customFormat="1">
      <c r="A12" s="256"/>
      <c r="B12" s="287" t="s">
        <v>3285</v>
      </c>
      <c r="C12" s="287"/>
      <c r="D12" s="399" t="s">
        <v>3286</v>
      </c>
      <c r="E12" s="413"/>
      <c r="F12" s="413"/>
      <c r="G12" s="461"/>
      <c r="H12" s="413"/>
      <c r="I12" s="461"/>
      <c r="J12" s="414"/>
      <c r="K12" s="298"/>
      <c r="L12" s="447">
        <f t="shared" ref="L12:L61" si="0">I12*F12</f>
        <v>0</v>
      </c>
      <c r="M12" s="447"/>
      <c r="N12" s="298"/>
      <c r="O12" s="298"/>
      <c r="P12" s="298"/>
      <c r="Q12" s="298"/>
      <c r="R12" s="298"/>
      <c r="S12" s="298"/>
    </row>
    <row r="13" spans="1:19" s="140" customFormat="1">
      <c r="A13" s="256"/>
      <c r="B13" s="287" t="s">
        <v>3287</v>
      </c>
      <c r="C13" s="287"/>
      <c r="D13" s="400" t="s">
        <v>3288</v>
      </c>
      <c r="E13" s="415"/>
      <c r="F13" s="415"/>
      <c r="G13" s="462"/>
      <c r="H13" s="415"/>
      <c r="I13" s="462"/>
      <c r="J13" s="416"/>
      <c r="K13" s="409"/>
      <c r="L13" s="447">
        <f t="shared" si="0"/>
        <v>0</v>
      </c>
      <c r="M13" s="409"/>
      <c r="N13" s="409"/>
      <c r="O13" s="298" t="s">
        <v>24876</v>
      </c>
      <c r="P13" s="409"/>
      <c r="Q13" s="409"/>
      <c r="R13" s="409"/>
      <c r="S13" s="409"/>
    </row>
    <row r="14" spans="1:19" s="140" customFormat="1">
      <c r="A14" s="256"/>
      <c r="B14" s="287" t="s">
        <v>3289</v>
      </c>
      <c r="C14" s="287"/>
      <c r="D14" s="400" t="s">
        <v>3290</v>
      </c>
      <c r="E14" s="415"/>
      <c r="F14" s="415"/>
      <c r="G14" s="462"/>
      <c r="H14" s="415"/>
      <c r="I14" s="462"/>
      <c r="J14" s="416"/>
      <c r="K14" s="409"/>
      <c r="L14" s="447">
        <f t="shared" si="0"/>
        <v>0</v>
      </c>
      <c r="M14" s="409"/>
      <c r="N14" s="409"/>
      <c r="O14" s="638">
        <f>K23+F46+F65+F78+F94+F103</f>
        <v>65.963979825313274</v>
      </c>
      <c r="P14" s="409"/>
      <c r="Q14" s="409"/>
      <c r="R14" s="409"/>
      <c r="S14" s="409"/>
    </row>
    <row r="15" spans="1:19" s="140" customFormat="1" ht="38.25">
      <c r="A15" s="256" t="s">
        <v>3259</v>
      </c>
      <c r="B15" s="288" t="s">
        <v>3291</v>
      </c>
      <c r="C15" s="288">
        <v>96527</v>
      </c>
      <c r="D15" s="289" t="s">
        <v>2468</v>
      </c>
      <c r="E15" s="290" t="s">
        <v>209</v>
      </c>
      <c r="F15" s="292">
        <v>65.22</v>
      </c>
      <c r="G15" s="510" t="s">
        <v>14231</v>
      </c>
      <c r="H15" s="508">
        <v>0.2094</v>
      </c>
      <c r="I15" s="510">
        <v>130.30075600000001</v>
      </c>
      <c r="J15" s="509">
        <v>8498.2153063200003</v>
      </c>
      <c r="K15" s="409"/>
      <c r="L15" s="447">
        <f t="shared" si="0"/>
        <v>8498.2153063200003</v>
      </c>
      <c r="M15" s="409"/>
      <c r="N15" s="409"/>
      <c r="O15" s="409"/>
      <c r="P15" s="409"/>
      <c r="Q15" s="409"/>
      <c r="R15" s="409"/>
      <c r="S15" s="409"/>
    </row>
    <row r="16" spans="1:19" s="140" customFormat="1" ht="38.25">
      <c r="A16" s="256" t="s">
        <v>3259</v>
      </c>
      <c r="B16" s="288" t="s">
        <v>3292</v>
      </c>
      <c r="C16" s="288">
        <v>96523</v>
      </c>
      <c r="D16" s="289" t="s">
        <v>2464</v>
      </c>
      <c r="E16" s="290" t="s">
        <v>209</v>
      </c>
      <c r="F16" s="292">
        <v>10.53</v>
      </c>
      <c r="G16" s="510" t="s">
        <v>23664</v>
      </c>
      <c r="H16" s="508">
        <v>0.2094</v>
      </c>
      <c r="I16" s="510">
        <v>99.376398000000009</v>
      </c>
      <c r="J16" s="509">
        <v>1046.43347094</v>
      </c>
      <c r="K16" s="409"/>
      <c r="L16" s="447">
        <f t="shared" si="0"/>
        <v>1046.43347094</v>
      </c>
      <c r="M16" s="409"/>
      <c r="N16" s="409"/>
      <c r="O16" s="409"/>
      <c r="P16" s="409"/>
      <c r="Q16" s="409"/>
      <c r="R16" s="409"/>
      <c r="S16" s="409"/>
    </row>
    <row r="17" spans="1:19" s="140" customFormat="1" ht="38.25">
      <c r="A17" s="256" t="s">
        <v>3259</v>
      </c>
      <c r="B17" s="288" t="s">
        <v>3293</v>
      </c>
      <c r="C17" s="288">
        <v>101616</v>
      </c>
      <c r="D17" s="289" t="s">
        <v>13664</v>
      </c>
      <c r="E17" s="290" t="s">
        <v>193</v>
      </c>
      <c r="F17" s="292">
        <v>173.14999999999998</v>
      </c>
      <c r="G17" s="510" t="s">
        <v>11219</v>
      </c>
      <c r="H17" s="508">
        <v>0.2094</v>
      </c>
      <c r="I17" s="510">
        <v>6.3735379999999999</v>
      </c>
      <c r="J17" s="509">
        <v>1103.5781046999998</v>
      </c>
      <c r="K17" s="409"/>
      <c r="L17" s="447">
        <f t="shared" si="0"/>
        <v>1103.5781046999998</v>
      </c>
      <c r="M17" s="409"/>
      <c r="N17" s="409"/>
      <c r="O17" s="409"/>
      <c r="P17" s="409"/>
      <c r="Q17" s="409"/>
      <c r="R17" s="409"/>
      <c r="S17" s="409"/>
    </row>
    <row r="18" spans="1:19" s="140" customFormat="1" ht="25.5">
      <c r="A18" s="256" t="s">
        <v>3259</v>
      </c>
      <c r="B18" s="288" t="s">
        <v>3762</v>
      </c>
      <c r="C18" s="288">
        <v>93382</v>
      </c>
      <c r="D18" s="289" t="s">
        <v>2501</v>
      </c>
      <c r="E18" s="290" t="s">
        <v>209</v>
      </c>
      <c r="F18" s="292">
        <v>47.86</v>
      </c>
      <c r="G18" s="510" t="s">
        <v>16369</v>
      </c>
      <c r="H18" s="508">
        <v>0.2094</v>
      </c>
      <c r="I18" s="510">
        <v>30.380128000000003</v>
      </c>
      <c r="J18" s="509">
        <v>1453.9929260800002</v>
      </c>
      <c r="K18" s="409"/>
      <c r="L18" s="447">
        <f t="shared" si="0"/>
        <v>1453.9929260800002</v>
      </c>
      <c r="M18" s="409"/>
      <c r="N18" s="409"/>
      <c r="O18" s="409"/>
      <c r="P18" s="409"/>
      <c r="Q18" s="409"/>
      <c r="R18" s="409"/>
      <c r="S18" s="409"/>
    </row>
    <row r="19" spans="1:19" s="140" customFormat="1">
      <c r="A19" s="256"/>
      <c r="B19" s="391"/>
      <c r="C19" s="391"/>
      <c r="D19" s="401"/>
      <c r="E19" s="391"/>
      <c r="F19" s="417"/>
      <c r="G19" s="417"/>
      <c r="H19" s="417"/>
      <c r="I19" s="417"/>
      <c r="J19" s="418"/>
      <c r="K19" s="409"/>
      <c r="L19" s="447">
        <f t="shared" si="0"/>
        <v>0</v>
      </c>
      <c r="M19" s="409"/>
      <c r="N19" s="409"/>
      <c r="O19" s="409"/>
      <c r="P19" s="409"/>
      <c r="Q19" s="409"/>
      <c r="R19" s="409"/>
      <c r="S19" s="409"/>
    </row>
    <row r="20" spans="1:19" s="140" customFormat="1">
      <c r="A20" s="256"/>
      <c r="B20" s="287" t="s">
        <v>3294</v>
      </c>
      <c r="C20" s="287"/>
      <c r="D20" s="399" t="s">
        <v>3295</v>
      </c>
      <c r="E20" s="413"/>
      <c r="F20" s="413"/>
      <c r="G20" s="461"/>
      <c r="H20" s="413"/>
      <c r="I20" s="461"/>
      <c r="J20" s="414"/>
      <c r="K20" s="409"/>
      <c r="L20" s="447">
        <f t="shared" si="0"/>
        <v>0</v>
      </c>
      <c r="M20" s="409"/>
      <c r="N20" s="409"/>
      <c r="O20" s="409"/>
      <c r="P20" s="409"/>
      <c r="Q20" s="409"/>
      <c r="R20" s="409"/>
      <c r="S20" s="409"/>
    </row>
    <row r="21" spans="1:19" s="140" customFormat="1">
      <c r="A21" s="256"/>
      <c r="B21" s="287" t="s">
        <v>3296</v>
      </c>
      <c r="C21" s="287"/>
      <c r="D21" s="400" t="s">
        <v>3297</v>
      </c>
      <c r="E21" s="415"/>
      <c r="F21" s="415"/>
      <c r="G21" s="462"/>
      <c r="H21" s="415"/>
      <c r="I21" s="462"/>
      <c r="J21" s="416"/>
      <c r="K21" s="409"/>
      <c r="L21" s="447">
        <f t="shared" si="0"/>
        <v>0</v>
      </c>
      <c r="M21" s="409"/>
      <c r="N21" s="409"/>
      <c r="O21" s="409"/>
      <c r="P21" s="409"/>
      <c r="Q21" s="409"/>
      <c r="R21" s="409"/>
      <c r="S21" s="409"/>
    </row>
    <row r="22" spans="1:19" s="140" customFormat="1">
      <c r="A22" s="256"/>
      <c r="B22" s="287" t="s">
        <v>9633</v>
      </c>
      <c r="C22" s="287"/>
      <c r="D22" s="400" t="s">
        <v>9637</v>
      </c>
      <c r="E22" s="415"/>
      <c r="F22" s="415"/>
      <c r="G22" s="462"/>
      <c r="H22" s="415"/>
      <c r="I22" s="462"/>
      <c r="J22" s="416"/>
      <c r="K22" s="409"/>
      <c r="L22" s="447">
        <f t="shared" si="0"/>
        <v>0</v>
      </c>
      <c r="M22" s="409"/>
      <c r="N22" s="409"/>
      <c r="O22" s="409"/>
      <c r="P22" s="409"/>
      <c r="Q22" s="409"/>
      <c r="R22" s="409"/>
      <c r="S22" s="409"/>
    </row>
    <row r="23" spans="1:19" s="140" customFormat="1" ht="38.25">
      <c r="A23" s="256" t="s">
        <v>3260</v>
      </c>
      <c r="B23" s="288" t="s">
        <v>9634</v>
      </c>
      <c r="C23" s="288" t="s">
        <v>11564</v>
      </c>
      <c r="D23" s="289" t="s">
        <v>18721</v>
      </c>
      <c r="E23" s="290" t="s">
        <v>5</v>
      </c>
      <c r="F23" s="292">
        <v>232</v>
      </c>
      <c r="G23" s="510">
        <v>83.86</v>
      </c>
      <c r="H23" s="508">
        <v>0.2094</v>
      </c>
      <c r="I23" s="510">
        <v>101.420284</v>
      </c>
      <c r="J23" s="509">
        <v>23529.505888</v>
      </c>
      <c r="K23" s="298">
        <f>PI()*(0.2^2)*F23</f>
        <v>29.153979825313282</v>
      </c>
      <c r="L23" s="447">
        <f t="shared" si="0"/>
        <v>23529.505888</v>
      </c>
      <c r="M23" s="409"/>
      <c r="N23" s="409"/>
      <c r="O23" s="409"/>
      <c r="P23" s="409"/>
      <c r="Q23" s="409"/>
      <c r="R23" s="409"/>
      <c r="S23" s="409"/>
    </row>
    <row r="24" spans="1:19" s="140" customFormat="1" ht="38.25">
      <c r="A24" s="256" t="s">
        <v>3259</v>
      </c>
      <c r="B24" s="288" t="s">
        <v>9635</v>
      </c>
      <c r="C24" s="288">
        <v>95584</v>
      </c>
      <c r="D24" s="289" t="s">
        <v>1433</v>
      </c>
      <c r="E24" s="290" t="s">
        <v>108</v>
      </c>
      <c r="F24" s="292">
        <v>241.08</v>
      </c>
      <c r="G24" s="510" t="s">
        <v>19965</v>
      </c>
      <c r="H24" s="508">
        <v>0.2094</v>
      </c>
      <c r="I24" s="510">
        <v>18.806170000000002</v>
      </c>
      <c r="J24" s="509">
        <v>4533.7914636000005</v>
      </c>
      <c r="K24" s="409"/>
      <c r="L24" s="447">
        <f t="shared" si="0"/>
        <v>4533.7914636000005</v>
      </c>
      <c r="M24" s="409"/>
      <c r="N24" s="409"/>
      <c r="O24" s="409"/>
      <c r="P24" s="409"/>
      <c r="Q24" s="409"/>
      <c r="R24" s="409"/>
      <c r="S24" s="409"/>
    </row>
    <row r="25" spans="1:19" s="140" customFormat="1" ht="51">
      <c r="A25" s="256" t="s">
        <v>3259</v>
      </c>
      <c r="B25" s="288" t="s">
        <v>9636</v>
      </c>
      <c r="C25" s="288">
        <v>95578</v>
      </c>
      <c r="D25" s="289" t="s">
        <v>3437</v>
      </c>
      <c r="E25" s="290" t="s">
        <v>108</v>
      </c>
      <c r="F25" s="292">
        <v>1066.04</v>
      </c>
      <c r="G25" s="510" t="s">
        <v>10457</v>
      </c>
      <c r="H25" s="508">
        <v>0.2094</v>
      </c>
      <c r="I25" s="510">
        <v>13.678314</v>
      </c>
      <c r="J25" s="509">
        <v>14581.629856559999</v>
      </c>
      <c r="K25" s="409"/>
      <c r="L25" s="447">
        <f t="shared" si="0"/>
        <v>14581.629856559999</v>
      </c>
      <c r="M25" s="409"/>
      <c r="N25" s="409"/>
      <c r="O25" s="409"/>
      <c r="P25" s="409"/>
      <c r="Q25" s="409"/>
      <c r="R25" s="409"/>
      <c r="S25" s="409"/>
    </row>
    <row r="26" spans="1:19" s="140" customFormat="1">
      <c r="A26" s="256"/>
      <c r="B26" s="391"/>
      <c r="C26" s="391"/>
      <c r="D26" s="401"/>
      <c r="E26" s="391"/>
      <c r="F26" s="415"/>
      <c r="G26" s="417"/>
      <c r="H26" s="417"/>
      <c r="I26" s="417"/>
      <c r="J26" s="418"/>
      <c r="K26" s="409"/>
      <c r="L26" s="447">
        <f t="shared" si="0"/>
        <v>0</v>
      </c>
      <c r="M26" s="409"/>
      <c r="N26" s="409"/>
      <c r="O26" s="409"/>
      <c r="P26" s="409"/>
      <c r="Q26" s="409"/>
      <c r="R26" s="409"/>
      <c r="S26" s="409"/>
    </row>
    <row r="27" spans="1:19" s="140" customFormat="1">
      <c r="A27" s="256"/>
      <c r="B27" s="287" t="s">
        <v>3298</v>
      </c>
      <c r="C27" s="287"/>
      <c r="D27" s="399" t="s">
        <v>9638</v>
      </c>
      <c r="E27" s="413"/>
      <c r="F27" s="415"/>
      <c r="G27" s="461"/>
      <c r="H27" s="413"/>
      <c r="I27" s="461"/>
      <c r="J27" s="414"/>
      <c r="K27" s="409"/>
      <c r="L27" s="447">
        <f t="shared" si="0"/>
        <v>0</v>
      </c>
      <c r="M27" s="409"/>
      <c r="N27" s="409"/>
      <c r="O27" s="409"/>
      <c r="P27" s="409"/>
      <c r="Q27" s="409"/>
      <c r="R27" s="409"/>
      <c r="S27" s="409"/>
    </row>
    <row r="28" spans="1:19" s="140" customFormat="1" ht="38.25">
      <c r="A28" s="256" t="s">
        <v>3259</v>
      </c>
      <c r="B28" s="288" t="s">
        <v>3299</v>
      </c>
      <c r="C28" s="288">
        <v>95601</v>
      </c>
      <c r="D28" s="289" t="s">
        <v>22177</v>
      </c>
      <c r="E28" s="290" t="s">
        <v>109</v>
      </c>
      <c r="F28" s="292">
        <v>41</v>
      </c>
      <c r="G28" s="510" t="s">
        <v>22178</v>
      </c>
      <c r="H28" s="508">
        <v>0.2094</v>
      </c>
      <c r="I28" s="510">
        <v>16.665531999999999</v>
      </c>
      <c r="J28" s="509">
        <v>683.28681199999994</v>
      </c>
      <c r="K28" s="409"/>
      <c r="L28" s="447">
        <f t="shared" si="0"/>
        <v>683.28681199999994</v>
      </c>
      <c r="M28" s="409"/>
      <c r="N28" s="409"/>
      <c r="O28" s="409"/>
      <c r="P28" s="409"/>
      <c r="Q28" s="409"/>
      <c r="R28" s="409"/>
      <c r="S28" s="409"/>
    </row>
    <row r="29" spans="1:19" s="140" customFormat="1">
      <c r="A29" s="256"/>
      <c r="B29" s="391"/>
      <c r="C29" s="391"/>
      <c r="D29" s="401"/>
      <c r="E29" s="391"/>
      <c r="F29" s="415"/>
      <c r="G29" s="417"/>
      <c r="H29" s="417"/>
      <c r="I29" s="417"/>
      <c r="J29" s="418"/>
      <c r="K29" s="409"/>
      <c r="L29" s="447">
        <f t="shared" si="0"/>
        <v>0</v>
      </c>
      <c r="M29" s="409"/>
      <c r="N29" s="409"/>
      <c r="O29" s="409"/>
      <c r="P29" s="409"/>
      <c r="Q29" s="409"/>
      <c r="R29" s="409"/>
      <c r="S29" s="409"/>
    </row>
    <row r="30" spans="1:19" s="140" customFormat="1">
      <c r="A30" s="256"/>
      <c r="B30" s="287" t="s">
        <v>3300</v>
      </c>
      <c r="C30" s="287"/>
      <c r="D30" s="399" t="s">
        <v>9643</v>
      </c>
      <c r="E30" s="413"/>
      <c r="F30" s="415"/>
      <c r="G30" s="461"/>
      <c r="H30" s="413"/>
      <c r="I30" s="461"/>
      <c r="J30" s="414"/>
      <c r="K30" s="409"/>
      <c r="L30" s="447">
        <f t="shared" si="0"/>
        <v>0</v>
      </c>
      <c r="M30" s="409"/>
      <c r="N30" s="409"/>
      <c r="O30" s="409"/>
      <c r="P30" s="409"/>
      <c r="Q30" s="409"/>
      <c r="R30" s="409"/>
      <c r="S30" s="409"/>
    </row>
    <row r="31" spans="1:19" s="140" customFormat="1">
      <c r="A31" s="256"/>
      <c r="B31" s="287" t="s">
        <v>3301</v>
      </c>
      <c r="C31" s="287"/>
      <c r="D31" s="400" t="s">
        <v>3302</v>
      </c>
      <c r="E31" s="415"/>
      <c r="F31" s="415"/>
      <c r="G31" s="462"/>
      <c r="H31" s="415"/>
      <c r="I31" s="462"/>
      <c r="J31" s="416"/>
      <c r="K31" s="409"/>
      <c r="L31" s="447">
        <f t="shared" si="0"/>
        <v>0</v>
      </c>
      <c r="M31" s="409"/>
      <c r="N31" s="409"/>
      <c r="O31" s="409"/>
      <c r="P31" s="409"/>
      <c r="Q31" s="409"/>
      <c r="R31" s="409"/>
      <c r="S31" s="409"/>
    </row>
    <row r="32" spans="1:19" s="140" customFormat="1" ht="38.25">
      <c r="A32" s="256" t="s">
        <v>3259</v>
      </c>
      <c r="B32" s="288" t="s">
        <v>3303</v>
      </c>
      <c r="C32" s="288">
        <v>96619</v>
      </c>
      <c r="D32" s="289" t="s">
        <v>3417</v>
      </c>
      <c r="E32" s="290" t="s">
        <v>193</v>
      </c>
      <c r="F32" s="292">
        <v>67.08</v>
      </c>
      <c r="G32" s="510" t="s">
        <v>14140</v>
      </c>
      <c r="H32" s="508">
        <v>0.2094</v>
      </c>
      <c r="I32" s="510">
        <v>32.774740000000001</v>
      </c>
      <c r="J32" s="509">
        <v>2198.5295592000002</v>
      </c>
      <c r="K32" s="409"/>
      <c r="L32" s="447">
        <f t="shared" si="0"/>
        <v>2198.5295592000002</v>
      </c>
      <c r="M32" s="409"/>
      <c r="N32" s="409"/>
      <c r="O32" s="409"/>
      <c r="P32" s="409"/>
      <c r="Q32" s="409"/>
      <c r="R32" s="409"/>
      <c r="S32" s="409"/>
    </row>
    <row r="33" spans="1:19" s="140" customFormat="1">
      <c r="A33" s="256"/>
      <c r="B33" s="391"/>
      <c r="C33" s="391"/>
      <c r="D33" s="401"/>
      <c r="E33" s="391"/>
      <c r="F33" s="415"/>
      <c r="G33" s="417"/>
      <c r="H33" s="417"/>
      <c r="I33" s="417"/>
      <c r="J33" s="418"/>
      <c r="K33" s="409"/>
      <c r="L33" s="447">
        <f t="shared" si="0"/>
        <v>0</v>
      </c>
      <c r="M33" s="409"/>
      <c r="N33" s="409"/>
      <c r="O33" s="409"/>
      <c r="P33" s="409"/>
      <c r="Q33" s="409"/>
      <c r="R33" s="409"/>
      <c r="S33" s="409"/>
    </row>
    <row r="34" spans="1:19" s="140" customFormat="1">
      <c r="A34" s="256"/>
      <c r="B34" s="287" t="s">
        <v>3304</v>
      </c>
      <c r="C34" s="287"/>
      <c r="D34" s="399" t="s">
        <v>3305</v>
      </c>
      <c r="E34" s="413"/>
      <c r="F34" s="415"/>
      <c r="G34" s="461"/>
      <c r="H34" s="413"/>
      <c r="I34" s="461"/>
      <c r="J34" s="414"/>
      <c r="K34" s="409"/>
      <c r="L34" s="447">
        <f t="shared" si="0"/>
        <v>0</v>
      </c>
      <c r="M34" s="409"/>
      <c r="N34" s="409"/>
      <c r="O34" s="409"/>
      <c r="P34" s="409"/>
      <c r="Q34" s="409"/>
      <c r="R34" s="409"/>
      <c r="S34" s="409"/>
    </row>
    <row r="35" spans="1:19" s="140" customFormat="1" ht="63.75">
      <c r="A35" s="256" t="s">
        <v>3259</v>
      </c>
      <c r="B35" s="288" t="s">
        <v>3306</v>
      </c>
      <c r="C35" s="288">
        <v>96540</v>
      </c>
      <c r="D35" s="289" t="s">
        <v>1355</v>
      </c>
      <c r="E35" s="290" t="s">
        <v>193</v>
      </c>
      <c r="F35" s="292">
        <v>59.04</v>
      </c>
      <c r="G35" s="510" t="s">
        <v>22306</v>
      </c>
      <c r="H35" s="508">
        <v>0.2094</v>
      </c>
      <c r="I35" s="510">
        <v>137.653908</v>
      </c>
      <c r="J35" s="509">
        <v>8127.0867283199996</v>
      </c>
      <c r="K35" s="409"/>
      <c r="L35" s="447">
        <f t="shared" si="0"/>
        <v>8127.0867283199996</v>
      </c>
      <c r="M35" s="409"/>
      <c r="N35" s="409"/>
      <c r="O35" s="409"/>
      <c r="P35" s="409"/>
      <c r="Q35" s="409"/>
      <c r="R35" s="409"/>
      <c r="S35" s="409"/>
    </row>
    <row r="36" spans="1:19" s="140" customFormat="1" ht="51">
      <c r="A36" s="256" t="s">
        <v>3259</v>
      </c>
      <c r="B36" s="288" t="s">
        <v>3763</v>
      </c>
      <c r="C36" s="288">
        <v>96542</v>
      </c>
      <c r="D36" s="289" t="s">
        <v>1357</v>
      </c>
      <c r="E36" s="290" t="s">
        <v>193</v>
      </c>
      <c r="F36" s="292">
        <v>254.99</v>
      </c>
      <c r="G36" s="510" t="s">
        <v>22308</v>
      </c>
      <c r="H36" s="508">
        <v>0.2094</v>
      </c>
      <c r="I36" s="510">
        <v>96.413368000000006</v>
      </c>
      <c r="J36" s="509">
        <v>24584.444706320002</v>
      </c>
      <c r="K36" s="409"/>
      <c r="L36" s="447">
        <f t="shared" si="0"/>
        <v>24584.444706320002</v>
      </c>
      <c r="M36" s="409"/>
      <c r="N36" s="409"/>
      <c r="O36" s="409"/>
      <c r="P36" s="409"/>
      <c r="Q36" s="409"/>
      <c r="R36" s="409"/>
      <c r="S36" s="409"/>
    </row>
    <row r="37" spans="1:19" s="140" customFormat="1">
      <c r="A37" s="256"/>
      <c r="B37" s="391"/>
      <c r="C37" s="391"/>
      <c r="D37" s="401"/>
      <c r="E37" s="391"/>
      <c r="F37" s="415"/>
      <c r="G37" s="417"/>
      <c r="H37" s="417"/>
      <c r="I37" s="417"/>
      <c r="J37" s="418"/>
      <c r="K37" s="409"/>
      <c r="L37" s="447">
        <f t="shared" si="0"/>
        <v>0</v>
      </c>
      <c r="M37" s="409"/>
      <c r="N37" s="409"/>
      <c r="O37" s="409"/>
      <c r="P37" s="409"/>
      <c r="Q37" s="409"/>
      <c r="R37" s="409"/>
      <c r="S37" s="409"/>
    </row>
    <row r="38" spans="1:19" s="140" customFormat="1">
      <c r="A38" s="256"/>
      <c r="B38" s="287" t="s">
        <v>3307</v>
      </c>
      <c r="C38" s="287"/>
      <c r="D38" s="399" t="s">
        <v>3308</v>
      </c>
      <c r="E38" s="413"/>
      <c r="F38" s="415"/>
      <c r="G38" s="461"/>
      <c r="H38" s="413"/>
      <c r="I38" s="461"/>
      <c r="J38" s="414"/>
      <c r="K38" s="409"/>
      <c r="L38" s="447">
        <f t="shared" si="0"/>
        <v>0</v>
      </c>
      <c r="M38" s="409"/>
      <c r="N38" s="409"/>
      <c r="O38" s="409"/>
      <c r="P38" s="409"/>
      <c r="Q38" s="409"/>
      <c r="R38" s="409"/>
      <c r="S38" s="409"/>
    </row>
    <row r="39" spans="1:19" s="140" customFormat="1" ht="38.25">
      <c r="A39" s="256" t="s">
        <v>3259</v>
      </c>
      <c r="B39" s="288" t="s">
        <v>3309</v>
      </c>
      <c r="C39" s="288">
        <v>96543</v>
      </c>
      <c r="D39" s="289" t="s">
        <v>1358</v>
      </c>
      <c r="E39" s="290" t="s">
        <v>108</v>
      </c>
      <c r="F39" s="292">
        <v>379.83623999999998</v>
      </c>
      <c r="G39" s="510" t="s">
        <v>12153</v>
      </c>
      <c r="H39" s="508">
        <v>0.2094</v>
      </c>
      <c r="I39" s="510">
        <v>22.337617999999999</v>
      </c>
      <c r="J39" s="509">
        <v>8484.6368316763183</v>
      </c>
      <c r="K39" s="409"/>
      <c r="L39" s="447">
        <f t="shared" si="0"/>
        <v>8484.6368316763183</v>
      </c>
      <c r="M39" s="409"/>
      <c r="N39" s="409"/>
      <c r="O39" s="409"/>
      <c r="P39" s="409"/>
      <c r="Q39" s="409"/>
      <c r="R39" s="409"/>
      <c r="S39" s="409"/>
    </row>
    <row r="40" spans="1:19" s="140" customFormat="1" ht="38.25">
      <c r="A40" s="256" t="s">
        <v>3259</v>
      </c>
      <c r="B40" s="288" t="s">
        <v>3310</v>
      </c>
      <c r="C40" s="288">
        <v>96544</v>
      </c>
      <c r="D40" s="289" t="s">
        <v>1440</v>
      </c>
      <c r="E40" s="290" t="s">
        <v>108</v>
      </c>
      <c r="F40" s="292">
        <v>12</v>
      </c>
      <c r="G40" s="510" t="s">
        <v>10577</v>
      </c>
      <c r="H40" s="508">
        <v>0.2094</v>
      </c>
      <c r="I40" s="510">
        <v>20.813774000000002</v>
      </c>
      <c r="J40" s="509">
        <v>249.76528800000003</v>
      </c>
      <c r="K40" s="409"/>
      <c r="L40" s="447">
        <f t="shared" si="0"/>
        <v>249.76528800000003</v>
      </c>
      <c r="M40" s="409"/>
      <c r="N40" s="409"/>
      <c r="O40" s="409"/>
      <c r="P40" s="409"/>
      <c r="Q40" s="409"/>
      <c r="R40" s="409"/>
      <c r="S40" s="409"/>
    </row>
    <row r="41" spans="1:19" s="140" customFormat="1" ht="38.25">
      <c r="A41" s="256" t="s">
        <v>3259</v>
      </c>
      <c r="B41" s="288" t="s">
        <v>3311</v>
      </c>
      <c r="C41" s="288">
        <v>96545</v>
      </c>
      <c r="D41" s="289" t="s">
        <v>1441</v>
      </c>
      <c r="E41" s="290" t="s">
        <v>108</v>
      </c>
      <c r="F41" s="292">
        <v>520.9248</v>
      </c>
      <c r="G41" s="510" t="s">
        <v>11215</v>
      </c>
      <c r="H41" s="508">
        <v>0.2094</v>
      </c>
      <c r="I41" s="510">
        <v>19.374587999999999</v>
      </c>
      <c r="J41" s="509">
        <v>10092.7033789824</v>
      </c>
      <c r="K41" s="409"/>
      <c r="L41" s="447">
        <f t="shared" si="0"/>
        <v>10092.7033789824</v>
      </c>
      <c r="M41" s="409"/>
      <c r="N41" s="409"/>
      <c r="O41" s="409"/>
      <c r="P41" s="409"/>
      <c r="Q41" s="409"/>
      <c r="R41" s="409"/>
      <c r="S41" s="409"/>
    </row>
    <row r="42" spans="1:19" s="140" customFormat="1" ht="38.25">
      <c r="A42" s="256" t="s">
        <v>3259</v>
      </c>
      <c r="B42" s="288" t="s">
        <v>3312</v>
      </c>
      <c r="C42" s="288">
        <v>96546</v>
      </c>
      <c r="D42" s="289" t="s">
        <v>1442</v>
      </c>
      <c r="E42" s="290" t="s">
        <v>108</v>
      </c>
      <c r="F42" s="292">
        <v>284</v>
      </c>
      <c r="G42" s="510" t="s">
        <v>11376</v>
      </c>
      <c r="H42" s="508">
        <v>0.2094</v>
      </c>
      <c r="I42" s="510">
        <v>17.246044000000001</v>
      </c>
      <c r="J42" s="509">
        <v>4897.8764960000008</v>
      </c>
      <c r="K42" s="409"/>
      <c r="L42" s="447">
        <f t="shared" si="0"/>
        <v>4897.8764960000008</v>
      </c>
      <c r="M42" s="409"/>
      <c r="N42" s="409"/>
      <c r="O42" s="409"/>
      <c r="P42" s="409"/>
      <c r="Q42" s="409"/>
      <c r="R42" s="409"/>
      <c r="S42" s="409"/>
    </row>
    <row r="43" spans="1:19" s="140" customFormat="1" ht="38.25">
      <c r="A43" s="256" t="s">
        <v>3259</v>
      </c>
      <c r="B43" s="288" t="s">
        <v>3313</v>
      </c>
      <c r="C43" s="288">
        <v>96547</v>
      </c>
      <c r="D43" s="289" t="s">
        <v>1443</v>
      </c>
      <c r="E43" s="290" t="s">
        <v>108</v>
      </c>
      <c r="F43" s="292">
        <v>10</v>
      </c>
      <c r="G43" s="510" t="s">
        <v>15943</v>
      </c>
      <c r="H43" s="508">
        <v>0.2094</v>
      </c>
      <c r="I43" s="510">
        <v>14.536987999999999</v>
      </c>
      <c r="J43" s="509">
        <v>145.36987999999999</v>
      </c>
      <c r="K43" s="409"/>
      <c r="L43" s="447">
        <f t="shared" si="0"/>
        <v>145.36987999999999</v>
      </c>
      <c r="M43" s="409"/>
      <c r="N43" s="409"/>
      <c r="O43" s="409"/>
      <c r="P43" s="409"/>
      <c r="Q43" s="409"/>
      <c r="R43" s="409"/>
      <c r="S43" s="409"/>
    </row>
    <row r="44" spans="1:19" s="140" customFormat="1">
      <c r="A44" s="256"/>
      <c r="B44" s="391"/>
      <c r="C44" s="391"/>
      <c r="D44" s="401"/>
      <c r="E44" s="391"/>
      <c r="F44" s="415"/>
      <c r="G44" s="417"/>
      <c r="H44" s="417"/>
      <c r="I44" s="417"/>
      <c r="J44" s="418"/>
      <c r="K44" s="409"/>
      <c r="L44" s="447">
        <f t="shared" si="0"/>
        <v>0</v>
      </c>
      <c r="M44" s="409"/>
      <c r="N44" s="409"/>
      <c r="O44" s="409"/>
      <c r="P44" s="409"/>
      <c r="Q44" s="409"/>
      <c r="R44" s="409"/>
      <c r="S44" s="409"/>
    </row>
    <row r="45" spans="1:19" s="140" customFormat="1">
      <c r="A45" s="256"/>
      <c r="B45" s="287" t="s">
        <v>3314</v>
      </c>
      <c r="C45" s="287"/>
      <c r="D45" s="399" t="s">
        <v>3315</v>
      </c>
      <c r="E45" s="413"/>
      <c r="F45" s="415"/>
      <c r="G45" s="461"/>
      <c r="H45" s="413"/>
      <c r="I45" s="461"/>
      <c r="J45" s="414"/>
      <c r="K45" s="409"/>
      <c r="L45" s="447">
        <f t="shared" si="0"/>
        <v>0</v>
      </c>
      <c r="M45" s="409"/>
      <c r="N45" s="409"/>
      <c r="O45" s="409"/>
      <c r="P45" s="409"/>
      <c r="Q45" s="409"/>
      <c r="R45" s="409"/>
      <c r="S45" s="409"/>
    </row>
    <row r="46" spans="1:19" s="140" customFormat="1" ht="51">
      <c r="A46" s="256" t="s">
        <v>3259</v>
      </c>
      <c r="B46" s="288" t="s">
        <v>3316</v>
      </c>
      <c r="C46" s="288">
        <v>96557</v>
      </c>
      <c r="D46" s="289" t="s">
        <v>1482</v>
      </c>
      <c r="E46" s="290" t="s">
        <v>209</v>
      </c>
      <c r="F46" s="292">
        <v>27.89</v>
      </c>
      <c r="G46" s="510" t="s">
        <v>22467</v>
      </c>
      <c r="H46" s="508">
        <v>0.2094</v>
      </c>
      <c r="I46" s="510">
        <v>498.91378199999997</v>
      </c>
      <c r="J46" s="509">
        <v>13914.70537998</v>
      </c>
      <c r="K46" s="409"/>
      <c r="L46" s="447">
        <f t="shared" si="0"/>
        <v>13914.70537998</v>
      </c>
      <c r="M46" s="409"/>
      <c r="N46" s="409"/>
      <c r="O46" s="409"/>
      <c r="P46" s="409"/>
      <c r="Q46" s="409"/>
      <c r="R46" s="409"/>
      <c r="S46" s="409"/>
    </row>
    <row r="47" spans="1:19" s="140" customFormat="1">
      <c r="A47" s="256"/>
      <c r="B47" s="391"/>
      <c r="C47" s="391"/>
      <c r="D47" s="401"/>
      <c r="E47" s="391"/>
      <c r="F47" s="415"/>
      <c r="G47" s="417"/>
      <c r="H47" s="417"/>
      <c r="I47" s="417"/>
      <c r="J47" s="418"/>
      <c r="K47" s="409"/>
      <c r="L47" s="447">
        <f t="shared" si="0"/>
        <v>0</v>
      </c>
      <c r="M47" s="409"/>
      <c r="N47" s="409"/>
      <c r="O47" s="409"/>
      <c r="P47" s="409"/>
      <c r="Q47" s="409"/>
      <c r="R47" s="409"/>
      <c r="S47" s="409"/>
    </row>
    <row r="48" spans="1:19" s="140" customFormat="1">
      <c r="A48" s="256"/>
      <c r="B48" s="287" t="s">
        <v>3317</v>
      </c>
      <c r="C48" s="287"/>
      <c r="D48" s="399" t="s">
        <v>3318</v>
      </c>
      <c r="E48" s="413"/>
      <c r="F48" s="415"/>
      <c r="G48" s="461"/>
      <c r="H48" s="413"/>
      <c r="I48" s="461"/>
      <c r="J48" s="414"/>
      <c r="K48" s="409"/>
      <c r="L48" s="447">
        <f t="shared" si="0"/>
        <v>0</v>
      </c>
      <c r="M48" s="409"/>
      <c r="N48" s="409"/>
      <c r="O48" s="409"/>
      <c r="P48" s="409"/>
      <c r="Q48" s="409"/>
      <c r="R48" s="409"/>
      <c r="S48" s="409"/>
    </row>
    <row r="49" spans="1:19" s="140" customFormat="1">
      <c r="A49" s="256"/>
      <c r="B49" s="287" t="s">
        <v>3319</v>
      </c>
      <c r="C49" s="287"/>
      <c r="D49" s="400" t="s">
        <v>3288</v>
      </c>
      <c r="E49" s="415"/>
      <c r="F49" s="415"/>
      <c r="G49" s="462"/>
      <c r="H49" s="415"/>
      <c r="I49" s="462"/>
      <c r="J49" s="416"/>
      <c r="K49" s="409"/>
      <c r="L49" s="447">
        <f t="shared" si="0"/>
        <v>0</v>
      </c>
      <c r="M49" s="409"/>
      <c r="N49" s="409"/>
      <c r="O49" s="409"/>
      <c r="P49" s="409"/>
      <c r="Q49" s="409"/>
      <c r="R49" s="409"/>
      <c r="S49" s="409"/>
    </row>
    <row r="50" spans="1:19" s="140" customFormat="1" ht="25.5">
      <c r="A50" s="256" t="s">
        <v>3259</v>
      </c>
      <c r="B50" s="288" t="s">
        <v>3320</v>
      </c>
      <c r="C50" s="288">
        <v>98557</v>
      </c>
      <c r="D50" s="289" t="s">
        <v>4088</v>
      </c>
      <c r="E50" s="290" t="s">
        <v>193</v>
      </c>
      <c r="F50" s="292">
        <v>350.5</v>
      </c>
      <c r="G50" s="510" t="s">
        <v>22567</v>
      </c>
      <c r="H50" s="508">
        <v>0.2094</v>
      </c>
      <c r="I50" s="510">
        <v>44.288227999999997</v>
      </c>
      <c r="J50" s="509">
        <v>15523.023913999999</v>
      </c>
      <c r="K50" s="409"/>
      <c r="L50" s="447">
        <f t="shared" si="0"/>
        <v>15523.023913999999</v>
      </c>
      <c r="M50" s="409"/>
      <c r="N50" s="409"/>
      <c r="O50" s="409"/>
      <c r="P50" s="409"/>
      <c r="Q50" s="409"/>
      <c r="R50" s="409"/>
      <c r="S50" s="409"/>
    </row>
    <row r="51" spans="1:19" s="140" customFormat="1">
      <c r="A51" s="256"/>
      <c r="B51" s="391"/>
      <c r="C51" s="391"/>
      <c r="D51" s="589"/>
      <c r="E51" s="588"/>
      <c r="F51" s="590"/>
      <c r="G51" s="470"/>
      <c r="H51" s="471"/>
      <c r="I51" s="470"/>
      <c r="J51" s="418"/>
      <c r="K51" s="409"/>
      <c r="L51" s="447">
        <f t="shared" si="0"/>
        <v>0</v>
      </c>
      <c r="M51" s="409"/>
      <c r="N51" s="409"/>
      <c r="O51" s="409"/>
      <c r="P51" s="409"/>
      <c r="Q51" s="409"/>
      <c r="R51" s="409"/>
      <c r="S51" s="409"/>
    </row>
    <row r="52" spans="1:19" s="140" customFormat="1">
      <c r="A52" s="256"/>
      <c r="B52" s="287" t="s">
        <v>3321</v>
      </c>
      <c r="C52" s="287"/>
      <c r="D52" s="399" t="s">
        <v>3322</v>
      </c>
      <c r="E52" s="413"/>
      <c r="F52" s="413"/>
      <c r="G52" s="461"/>
      <c r="H52" s="413"/>
      <c r="I52" s="461"/>
      <c r="J52" s="414"/>
      <c r="K52" s="409"/>
      <c r="L52" s="447">
        <f t="shared" si="0"/>
        <v>0</v>
      </c>
      <c r="M52" s="409"/>
      <c r="N52" s="409"/>
      <c r="O52" s="409"/>
      <c r="P52" s="409"/>
      <c r="Q52" s="409"/>
      <c r="R52" s="409"/>
      <c r="S52" s="409"/>
    </row>
    <row r="53" spans="1:19" s="140" customFormat="1">
      <c r="A53" s="256"/>
      <c r="B53" s="287" t="s">
        <v>3323</v>
      </c>
      <c r="C53" s="287"/>
      <c r="D53" s="400" t="s">
        <v>3324</v>
      </c>
      <c r="E53" s="415"/>
      <c r="F53" s="415"/>
      <c r="G53" s="462"/>
      <c r="H53" s="415"/>
      <c r="I53" s="462"/>
      <c r="J53" s="416"/>
      <c r="K53" s="409"/>
      <c r="L53" s="447">
        <f t="shared" si="0"/>
        <v>0</v>
      </c>
      <c r="M53" s="409"/>
      <c r="N53" s="409"/>
      <c r="O53" s="409"/>
      <c r="P53" s="409"/>
      <c r="Q53" s="409"/>
      <c r="R53" s="409"/>
      <c r="S53" s="409"/>
    </row>
    <row r="54" spans="1:19" s="140" customFormat="1">
      <c r="A54" s="256"/>
      <c r="B54" s="287" t="s">
        <v>3325</v>
      </c>
      <c r="C54" s="287"/>
      <c r="D54" s="400" t="s">
        <v>15222</v>
      </c>
      <c r="E54" s="415"/>
      <c r="F54" s="415"/>
      <c r="G54" s="462"/>
      <c r="H54" s="415"/>
      <c r="I54" s="462"/>
      <c r="J54" s="416"/>
      <c r="K54" s="409"/>
      <c r="L54" s="447">
        <f t="shared" si="0"/>
        <v>0</v>
      </c>
      <c r="M54" s="409"/>
      <c r="N54" s="409"/>
      <c r="O54" s="409"/>
      <c r="P54" s="409"/>
      <c r="Q54" s="409"/>
      <c r="R54" s="409"/>
      <c r="S54" s="409"/>
    </row>
    <row r="55" spans="1:19" s="140" customFormat="1">
      <c r="A55" s="256"/>
      <c r="B55" s="287" t="s">
        <v>3326</v>
      </c>
      <c r="C55" s="287"/>
      <c r="D55" s="400" t="s">
        <v>3327</v>
      </c>
      <c r="E55" s="415"/>
      <c r="F55" s="415"/>
      <c r="G55" s="462"/>
      <c r="H55" s="415"/>
      <c r="I55" s="462"/>
      <c r="J55" s="416"/>
      <c r="K55" s="409"/>
      <c r="L55" s="447">
        <f t="shared" si="0"/>
        <v>0</v>
      </c>
      <c r="M55" s="409"/>
      <c r="N55" s="409"/>
      <c r="O55" s="409"/>
      <c r="P55" s="409"/>
      <c r="Q55" s="409"/>
      <c r="R55" s="409"/>
      <c r="S55" s="409"/>
    </row>
    <row r="56" spans="1:19" s="140" customFormat="1" ht="63.75">
      <c r="A56" s="256" t="s">
        <v>3259</v>
      </c>
      <c r="B56" s="288" t="s">
        <v>3328</v>
      </c>
      <c r="C56" s="288">
        <v>92423</v>
      </c>
      <c r="D56" s="289" t="s">
        <v>12834</v>
      </c>
      <c r="E56" s="290" t="s">
        <v>193</v>
      </c>
      <c r="F56" s="292">
        <v>29</v>
      </c>
      <c r="G56" s="510" t="s">
        <v>22249</v>
      </c>
      <c r="H56" s="508">
        <v>0.2094</v>
      </c>
      <c r="I56" s="510">
        <v>67.544989999999999</v>
      </c>
      <c r="J56" s="509">
        <v>1958.8047099999999</v>
      </c>
      <c r="K56" s="409"/>
      <c r="L56" s="447">
        <f t="shared" si="0"/>
        <v>1958.8047099999999</v>
      </c>
      <c r="M56" s="409"/>
      <c r="N56" s="409"/>
      <c r="O56" s="409"/>
      <c r="P56" s="409"/>
      <c r="Q56" s="409"/>
      <c r="R56" s="409"/>
      <c r="S56" s="409"/>
    </row>
    <row r="57" spans="1:19" s="140" customFormat="1">
      <c r="A57" s="256"/>
      <c r="B57" s="391"/>
      <c r="C57" s="391"/>
      <c r="D57" s="401"/>
      <c r="E57" s="391"/>
      <c r="F57" s="417"/>
      <c r="G57" s="417"/>
      <c r="H57" s="417"/>
      <c r="I57" s="417"/>
      <c r="J57" s="418"/>
      <c r="K57" s="409"/>
      <c r="L57" s="447">
        <f t="shared" si="0"/>
        <v>0</v>
      </c>
      <c r="M57" s="409"/>
      <c r="N57" s="409"/>
      <c r="O57" s="409"/>
      <c r="P57" s="409"/>
      <c r="Q57" s="409"/>
      <c r="R57" s="409"/>
      <c r="S57" s="409"/>
    </row>
    <row r="58" spans="1:19" s="140" customFormat="1">
      <c r="A58" s="256"/>
      <c r="B58" s="287" t="s">
        <v>3329</v>
      </c>
      <c r="C58" s="287"/>
      <c r="D58" s="399" t="s">
        <v>3308</v>
      </c>
      <c r="E58" s="413"/>
      <c r="F58" s="413"/>
      <c r="G58" s="461"/>
      <c r="H58" s="413"/>
      <c r="I58" s="461"/>
      <c r="J58" s="414"/>
      <c r="K58" s="409"/>
      <c r="L58" s="447">
        <f t="shared" si="0"/>
        <v>0</v>
      </c>
      <c r="M58" s="409"/>
      <c r="N58" s="409"/>
      <c r="O58" s="409"/>
      <c r="P58" s="409"/>
      <c r="Q58" s="409"/>
      <c r="R58" s="409"/>
      <c r="S58" s="409"/>
    </row>
    <row r="59" spans="1:19" s="140" customFormat="1" ht="63.75">
      <c r="A59" s="256" t="s">
        <v>3259</v>
      </c>
      <c r="B59" s="288" t="s">
        <v>3764</v>
      </c>
      <c r="C59" s="288">
        <v>92775</v>
      </c>
      <c r="D59" s="289" t="s">
        <v>1380</v>
      </c>
      <c r="E59" s="290" t="s">
        <v>108</v>
      </c>
      <c r="F59" s="292">
        <v>11.89</v>
      </c>
      <c r="G59" s="510" t="s">
        <v>10985</v>
      </c>
      <c r="H59" s="508">
        <v>0.2094</v>
      </c>
      <c r="I59" s="510">
        <v>22.385994000000004</v>
      </c>
      <c r="J59" s="509">
        <v>266.16946866000006</v>
      </c>
      <c r="K59" s="409"/>
      <c r="L59" s="447">
        <f t="shared" si="0"/>
        <v>266.16946866000006</v>
      </c>
      <c r="M59" s="409"/>
      <c r="N59" s="409"/>
      <c r="O59" s="409"/>
      <c r="P59" s="409"/>
      <c r="Q59" s="409"/>
      <c r="R59" s="409"/>
      <c r="S59" s="409"/>
    </row>
    <row r="60" spans="1:19" s="140" customFormat="1" ht="63.75">
      <c r="A60" s="256" t="s">
        <v>3259</v>
      </c>
      <c r="B60" s="288" t="s">
        <v>3330</v>
      </c>
      <c r="C60" s="288">
        <v>92776</v>
      </c>
      <c r="D60" s="289" t="s">
        <v>1381</v>
      </c>
      <c r="E60" s="290" t="s">
        <v>108</v>
      </c>
      <c r="F60" s="292">
        <v>36.020000000000003</v>
      </c>
      <c r="G60" s="510" t="s">
        <v>12372</v>
      </c>
      <c r="H60" s="508">
        <v>0.2094</v>
      </c>
      <c r="I60" s="510">
        <v>20.874244000000001</v>
      </c>
      <c r="J60" s="509">
        <v>751.89026888000012</v>
      </c>
      <c r="K60" s="409"/>
      <c r="L60" s="447">
        <f t="shared" si="0"/>
        <v>751.89026888000012</v>
      </c>
      <c r="M60" s="409"/>
      <c r="N60" s="409"/>
      <c r="O60" s="409"/>
      <c r="P60" s="409"/>
      <c r="Q60" s="409"/>
      <c r="R60" s="409"/>
      <c r="S60" s="409"/>
    </row>
    <row r="61" spans="1:19" s="140" customFormat="1" ht="63.75">
      <c r="A61" s="256" t="s">
        <v>3259</v>
      </c>
      <c r="B61" s="288" t="s">
        <v>18025</v>
      </c>
      <c r="C61" s="288">
        <v>92778</v>
      </c>
      <c r="D61" s="289" t="s">
        <v>1383</v>
      </c>
      <c r="E61" s="290" t="s">
        <v>108</v>
      </c>
      <c r="F61" s="292">
        <v>32</v>
      </c>
      <c r="G61" s="510" t="s">
        <v>16434</v>
      </c>
      <c r="H61" s="508">
        <v>0.2094</v>
      </c>
      <c r="I61" s="510">
        <v>17.161386</v>
      </c>
      <c r="J61" s="509">
        <v>549.16435200000001</v>
      </c>
      <c r="K61" s="409"/>
      <c r="L61" s="447">
        <f t="shared" si="0"/>
        <v>549.16435200000001</v>
      </c>
      <c r="M61" s="409"/>
      <c r="N61" s="409"/>
      <c r="O61" s="409"/>
      <c r="P61" s="409"/>
      <c r="Q61" s="409"/>
      <c r="R61" s="409"/>
      <c r="S61" s="409"/>
    </row>
    <row r="62" spans="1:19" s="140" customFormat="1" ht="63.75">
      <c r="A62" s="256" t="s">
        <v>3259</v>
      </c>
      <c r="B62" s="288" t="s">
        <v>18026</v>
      </c>
      <c r="C62" s="288">
        <v>92779</v>
      </c>
      <c r="D62" s="289" t="s">
        <v>1384</v>
      </c>
      <c r="E62" s="290" t="s">
        <v>108</v>
      </c>
      <c r="F62" s="292">
        <v>118.64</v>
      </c>
      <c r="G62" s="510" t="s">
        <v>10056</v>
      </c>
      <c r="H62" s="508">
        <v>0.2094</v>
      </c>
      <c r="I62" s="510">
        <v>14.367672000000001</v>
      </c>
      <c r="J62" s="509">
        <v>1704.5806060800001</v>
      </c>
      <c r="K62" s="409"/>
      <c r="L62" s="447">
        <f t="shared" ref="L62:L156" si="1">I62*F62</f>
        <v>1704.5806060800001</v>
      </c>
      <c r="M62" s="409"/>
      <c r="N62" s="409"/>
      <c r="O62" s="409"/>
      <c r="P62" s="409"/>
      <c r="Q62" s="409"/>
      <c r="R62" s="409"/>
      <c r="S62" s="409"/>
    </row>
    <row r="63" spans="1:19" s="140" customFormat="1">
      <c r="A63" s="256"/>
      <c r="B63" s="391"/>
      <c r="C63" s="391"/>
      <c r="D63" s="401"/>
      <c r="E63" s="391"/>
      <c r="F63" s="417"/>
      <c r="G63" s="417"/>
      <c r="H63" s="417"/>
      <c r="I63" s="417"/>
      <c r="J63" s="418"/>
      <c r="K63" s="409"/>
      <c r="L63" s="447">
        <f t="shared" si="1"/>
        <v>0</v>
      </c>
      <c r="M63" s="409"/>
      <c r="N63" s="409"/>
      <c r="O63" s="409"/>
      <c r="P63" s="409"/>
      <c r="Q63" s="409"/>
      <c r="R63" s="409"/>
      <c r="S63" s="409"/>
    </row>
    <row r="64" spans="1:19" s="140" customFormat="1">
      <c r="A64" s="256"/>
      <c r="B64" s="287" t="s">
        <v>3331</v>
      </c>
      <c r="C64" s="287"/>
      <c r="D64" s="399" t="s">
        <v>3315</v>
      </c>
      <c r="E64" s="413"/>
      <c r="F64" s="413"/>
      <c r="G64" s="461"/>
      <c r="H64" s="413"/>
      <c r="I64" s="461"/>
      <c r="J64" s="414"/>
      <c r="K64" s="409"/>
      <c r="L64" s="447">
        <f t="shared" si="1"/>
        <v>0</v>
      </c>
      <c r="M64" s="409"/>
      <c r="N64" s="409"/>
      <c r="O64" s="409"/>
      <c r="P64" s="409"/>
      <c r="Q64" s="409"/>
      <c r="R64" s="409"/>
      <c r="S64" s="409"/>
    </row>
    <row r="65" spans="1:19" s="140" customFormat="1" ht="63.75">
      <c r="A65" s="256" t="s">
        <v>3260</v>
      </c>
      <c r="B65" s="288" t="s">
        <v>3332</v>
      </c>
      <c r="C65" s="288" t="s">
        <v>8986</v>
      </c>
      <c r="D65" s="289" t="s">
        <v>18723</v>
      </c>
      <c r="E65" s="290" t="s">
        <v>3241</v>
      </c>
      <c r="F65" s="292">
        <v>1.44</v>
      </c>
      <c r="G65" s="510">
        <v>408.62</v>
      </c>
      <c r="H65" s="508">
        <v>0.2094</v>
      </c>
      <c r="I65" s="510">
        <v>494.18502800000005</v>
      </c>
      <c r="J65" s="509">
        <v>711.62644032000003</v>
      </c>
      <c r="K65" s="409"/>
      <c r="L65" s="447">
        <f t="shared" si="1"/>
        <v>711.62644032000003</v>
      </c>
      <c r="M65" s="409"/>
      <c r="N65" s="409"/>
      <c r="O65" s="409"/>
      <c r="P65" s="409"/>
      <c r="Q65" s="409"/>
      <c r="R65" s="409"/>
      <c r="S65" s="409"/>
    </row>
    <row r="66" spans="1:19" s="140" customFormat="1">
      <c r="A66" s="256"/>
      <c r="B66" s="391"/>
      <c r="C66" s="391"/>
      <c r="D66" s="401"/>
      <c r="E66" s="391"/>
      <c r="F66" s="417"/>
      <c r="G66" s="417"/>
      <c r="H66" s="417"/>
      <c r="I66" s="417"/>
      <c r="J66" s="418"/>
      <c r="K66" s="409"/>
      <c r="L66" s="447">
        <f t="shared" si="1"/>
        <v>0</v>
      </c>
      <c r="M66" s="409"/>
      <c r="N66" s="409"/>
      <c r="O66" s="409"/>
      <c r="P66" s="409"/>
      <c r="Q66" s="409"/>
      <c r="R66" s="409"/>
      <c r="S66" s="409"/>
    </row>
    <row r="67" spans="1:19" s="140" customFormat="1">
      <c r="A67" s="256"/>
      <c r="B67" s="287" t="s">
        <v>15223</v>
      </c>
      <c r="C67" s="287"/>
      <c r="D67" s="400" t="s">
        <v>15224</v>
      </c>
      <c r="E67" s="415"/>
      <c r="F67" s="415"/>
      <c r="G67" s="462"/>
      <c r="H67" s="415"/>
      <c r="I67" s="462"/>
      <c r="J67" s="416"/>
      <c r="K67" s="409"/>
      <c r="L67" s="447">
        <f t="shared" si="1"/>
        <v>0</v>
      </c>
      <c r="M67" s="409"/>
      <c r="N67" s="409"/>
      <c r="O67" s="409"/>
      <c r="P67" s="409"/>
      <c r="Q67" s="409"/>
      <c r="R67" s="409"/>
      <c r="S67" s="409"/>
    </row>
    <row r="68" spans="1:19" s="140" customFormat="1">
      <c r="A68" s="256"/>
      <c r="B68" s="287" t="s">
        <v>15225</v>
      </c>
      <c r="C68" s="287"/>
      <c r="D68" s="400" t="s">
        <v>3327</v>
      </c>
      <c r="E68" s="415"/>
      <c r="F68" s="415"/>
      <c r="G68" s="462"/>
      <c r="H68" s="415"/>
      <c r="I68" s="462"/>
      <c r="J68" s="416"/>
      <c r="K68" s="409"/>
      <c r="L68" s="447">
        <f t="shared" si="1"/>
        <v>0</v>
      </c>
      <c r="M68" s="409"/>
      <c r="N68" s="409"/>
      <c r="O68" s="409"/>
      <c r="P68" s="409"/>
      <c r="Q68" s="409"/>
      <c r="R68" s="409"/>
      <c r="S68" s="409"/>
    </row>
    <row r="69" spans="1:19" s="140" customFormat="1" ht="51">
      <c r="A69" s="256" t="s">
        <v>3259</v>
      </c>
      <c r="B69" s="288" t="s">
        <v>15226</v>
      </c>
      <c r="C69" s="288">
        <v>92460</v>
      </c>
      <c r="D69" s="289" t="s">
        <v>12859</v>
      </c>
      <c r="E69" s="290" t="s">
        <v>193</v>
      </c>
      <c r="F69" s="292">
        <v>60</v>
      </c>
      <c r="G69" s="510" t="s">
        <v>22268</v>
      </c>
      <c r="H69" s="508">
        <v>0.2094</v>
      </c>
      <c r="I69" s="510">
        <v>106.48766999999999</v>
      </c>
      <c r="J69" s="509">
        <v>6389.2601999999997</v>
      </c>
      <c r="K69" s="409"/>
      <c r="L69" s="447">
        <f t="shared" si="1"/>
        <v>6389.2601999999997</v>
      </c>
      <c r="M69" s="409"/>
      <c r="N69" s="409"/>
      <c r="O69" s="409"/>
      <c r="P69" s="409"/>
      <c r="Q69" s="409"/>
      <c r="R69" s="409"/>
      <c r="S69" s="409"/>
    </row>
    <row r="70" spans="1:19" s="140" customFormat="1">
      <c r="A70" s="256"/>
      <c r="B70" s="391"/>
      <c r="C70" s="391"/>
      <c r="D70" s="401"/>
      <c r="E70" s="391"/>
      <c r="F70" s="417"/>
      <c r="G70" s="417"/>
      <c r="H70" s="417"/>
      <c r="I70" s="417"/>
      <c r="J70" s="418"/>
      <c r="K70" s="409"/>
      <c r="L70" s="447">
        <f t="shared" si="1"/>
        <v>0</v>
      </c>
      <c r="M70" s="409"/>
      <c r="N70" s="409"/>
      <c r="O70" s="409"/>
      <c r="P70" s="409"/>
      <c r="Q70" s="409"/>
      <c r="R70" s="409"/>
      <c r="S70" s="409"/>
    </row>
    <row r="71" spans="1:19" s="140" customFormat="1">
      <c r="A71" s="256"/>
      <c r="B71" s="287" t="s">
        <v>15227</v>
      </c>
      <c r="C71" s="287"/>
      <c r="D71" s="399" t="s">
        <v>3308</v>
      </c>
      <c r="E71" s="413"/>
      <c r="F71" s="413"/>
      <c r="G71" s="461"/>
      <c r="H71" s="413"/>
      <c r="I71" s="461"/>
      <c r="J71" s="414"/>
      <c r="K71" s="409"/>
      <c r="L71" s="447">
        <f t="shared" si="1"/>
        <v>0</v>
      </c>
      <c r="M71" s="409"/>
      <c r="N71" s="409"/>
      <c r="O71" s="409"/>
      <c r="P71" s="409"/>
      <c r="Q71" s="409"/>
      <c r="R71" s="409"/>
      <c r="S71" s="409"/>
    </row>
    <row r="72" spans="1:19" s="140" customFormat="1" ht="63.75">
      <c r="A72" s="256" t="s">
        <v>3259</v>
      </c>
      <c r="B72" s="288" t="s">
        <v>15228</v>
      </c>
      <c r="C72" s="288">
        <v>92775</v>
      </c>
      <c r="D72" s="289" t="s">
        <v>1380</v>
      </c>
      <c r="E72" s="290" t="s">
        <v>108</v>
      </c>
      <c r="F72" s="292">
        <v>69</v>
      </c>
      <c r="G72" s="510" t="s">
        <v>10985</v>
      </c>
      <c r="H72" s="508">
        <v>0.2094</v>
      </c>
      <c r="I72" s="510">
        <v>22.385994000000004</v>
      </c>
      <c r="J72" s="509">
        <v>1544.6335860000002</v>
      </c>
      <c r="K72" s="409"/>
      <c r="L72" s="447">
        <f t="shared" si="1"/>
        <v>1544.6335860000002</v>
      </c>
      <c r="M72" s="409"/>
      <c r="N72" s="409"/>
      <c r="O72" s="409"/>
      <c r="P72" s="409"/>
      <c r="Q72" s="409"/>
      <c r="R72" s="409"/>
      <c r="S72" s="409"/>
    </row>
    <row r="73" spans="1:19" s="140" customFormat="1" ht="63.75">
      <c r="A73" s="256" t="s">
        <v>3259</v>
      </c>
      <c r="B73" s="288" t="s">
        <v>15229</v>
      </c>
      <c r="C73" s="288">
        <v>92777</v>
      </c>
      <c r="D73" s="289" t="s">
        <v>1382</v>
      </c>
      <c r="E73" s="290" t="s">
        <v>108</v>
      </c>
      <c r="F73" s="292">
        <v>61</v>
      </c>
      <c r="G73" s="510" t="s">
        <v>12380</v>
      </c>
      <c r="H73" s="508">
        <v>0.2094</v>
      </c>
      <c r="I73" s="510">
        <v>19.3504</v>
      </c>
      <c r="J73" s="509">
        <v>1180.3743999999999</v>
      </c>
      <c r="K73" s="409"/>
      <c r="L73" s="447">
        <f t="shared" si="1"/>
        <v>1180.3743999999999</v>
      </c>
      <c r="M73" s="409"/>
      <c r="N73" s="409"/>
      <c r="O73" s="409"/>
      <c r="P73" s="409"/>
      <c r="Q73" s="409"/>
      <c r="R73" s="409"/>
      <c r="S73" s="409"/>
    </row>
    <row r="74" spans="1:19" s="140" customFormat="1" ht="63.75">
      <c r="A74" s="256" t="s">
        <v>3259</v>
      </c>
      <c r="B74" s="288" t="s">
        <v>15230</v>
      </c>
      <c r="C74" s="288">
        <v>92778</v>
      </c>
      <c r="D74" s="289" t="s">
        <v>1383</v>
      </c>
      <c r="E74" s="290" t="s">
        <v>108</v>
      </c>
      <c r="F74" s="292">
        <v>108</v>
      </c>
      <c r="G74" s="510" t="s">
        <v>16434</v>
      </c>
      <c r="H74" s="508">
        <v>0.2094</v>
      </c>
      <c r="I74" s="510">
        <v>17.161386</v>
      </c>
      <c r="J74" s="509">
        <v>1853.4296879999999</v>
      </c>
      <c r="K74" s="409"/>
      <c r="L74" s="447">
        <f t="shared" si="1"/>
        <v>1853.4296879999999</v>
      </c>
      <c r="M74" s="409"/>
      <c r="N74" s="409"/>
      <c r="O74" s="409"/>
      <c r="P74" s="409"/>
      <c r="Q74" s="409"/>
      <c r="R74" s="409"/>
      <c r="S74" s="409"/>
    </row>
    <row r="75" spans="1:19" s="140" customFormat="1" ht="63.75">
      <c r="A75" s="256" t="s">
        <v>3259</v>
      </c>
      <c r="B75" s="288" t="s">
        <v>15231</v>
      </c>
      <c r="C75" s="288">
        <v>92779</v>
      </c>
      <c r="D75" s="289" t="s">
        <v>1384</v>
      </c>
      <c r="E75" s="290" t="s">
        <v>108</v>
      </c>
      <c r="F75" s="292">
        <v>10</v>
      </c>
      <c r="G75" s="510" t="s">
        <v>10056</v>
      </c>
      <c r="H75" s="508">
        <v>0.2094</v>
      </c>
      <c r="I75" s="510">
        <v>14.367672000000001</v>
      </c>
      <c r="J75" s="509">
        <v>143.67672000000002</v>
      </c>
      <c r="K75" s="409"/>
      <c r="L75" s="447">
        <f t="shared" si="1"/>
        <v>143.67672000000002</v>
      </c>
      <c r="M75" s="409"/>
      <c r="N75" s="409"/>
      <c r="O75" s="409"/>
      <c r="P75" s="409"/>
      <c r="Q75" s="409"/>
      <c r="R75" s="409"/>
      <c r="S75" s="409"/>
    </row>
    <row r="76" spans="1:19" s="140" customFormat="1">
      <c r="A76" s="256"/>
      <c r="B76" s="391"/>
      <c r="C76" s="391"/>
      <c r="D76" s="401"/>
      <c r="E76" s="391"/>
      <c r="F76" s="417"/>
      <c r="G76" s="417"/>
      <c r="H76" s="417"/>
      <c r="I76" s="417"/>
      <c r="J76" s="418"/>
      <c r="K76" s="409"/>
      <c r="L76" s="447">
        <f t="shared" si="1"/>
        <v>0</v>
      </c>
      <c r="M76" s="409"/>
      <c r="N76" s="409"/>
      <c r="O76" s="409"/>
      <c r="P76" s="409"/>
      <c r="Q76" s="409"/>
      <c r="R76" s="409"/>
      <c r="S76" s="409"/>
    </row>
    <row r="77" spans="1:19" s="140" customFormat="1">
      <c r="A77" s="256"/>
      <c r="B77" s="287" t="s">
        <v>15232</v>
      </c>
      <c r="C77" s="287"/>
      <c r="D77" s="399" t="s">
        <v>3315</v>
      </c>
      <c r="E77" s="413"/>
      <c r="F77" s="413"/>
      <c r="G77" s="461"/>
      <c r="H77" s="413"/>
      <c r="I77" s="461"/>
      <c r="J77" s="414"/>
      <c r="K77" s="409"/>
      <c r="L77" s="447">
        <f t="shared" si="1"/>
        <v>0</v>
      </c>
      <c r="M77" s="409"/>
      <c r="N77" s="409"/>
      <c r="O77" s="409"/>
      <c r="P77" s="409"/>
      <c r="Q77" s="409"/>
      <c r="R77" s="409"/>
      <c r="S77" s="409"/>
    </row>
    <row r="78" spans="1:19" s="140" customFormat="1" ht="51">
      <c r="A78" s="256" t="s">
        <v>3260</v>
      </c>
      <c r="B78" s="288" t="s">
        <v>15233</v>
      </c>
      <c r="C78" s="288" t="s">
        <v>9641</v>
      </c>
      <c r="D78" s="289" t="s">
        <v>17848</v>
      </c>
      <c r="E78" s="290" t="s">
        <v>3241</v>
      </c>
      <c r="F78" s="292">
        <v>3.75</v>
      </c>
      <c r="G78" s="510">
        <v>402.68</v>
      </c>
      <c r="H78" s="508">
        <v>0.2094</v>
      </c>
      <c r="I78" s="510">
        <v>487.001192</v>
      </c>
      <c r="J78" s="509">
        <v>1826.2544700000001</v>
      </c>
      <c r="K78" s="409"/>
      <c r="L78" s="447">
        <f t="shared" si="1"/>
        <v>1826.2544700000001</v>
      </c>
      <c r="M78" s="409"/>
      <c r="N78" s="409"/>
      <c r="O78" s="409"/>
      <c r="P78" s="409"/>
      <c r="Q78" s="409"/>
      <c r="R78" s="409"/>
      <c r="S78" s="409"/>
    </row>
    <row r="79" spans="1:19" s="140" customFormat="1">
      <c r="A79" s="256"/>
      <c r="B79" s="391"/>
      <c r="C79" s="391"/>
      <c r="D79" s="401"/>
      <c r="E79" s="391"/>
      <c r="F79" s="417"/>
      <c r="G79" s="417"/>
      <c r="H79" s="417"/>
      <c r="I79" s="417"/>
      <c r="J79" s="418"/>
      <c r="K79" s="409"/>
      <c r="L79" s="447">
        <f t="shared" si="1"/>
        <v>0</v>
      </c>
      <c r="M79" s="409"/>
      <c r="N79" s="409"/>
      <c r="O79" s="409"/>
      <c r="P79" s="409"/>
      <c r="Q79" s="409"/>
      <c r="R79" s="409"/>
      <c r="S79" s="409"/>
    </row>
    <row r="80" spans="1:19" s="140" customFormat="1" ht="25.5">
      <c r="A80" s="256"/>
      <c r="B80" s="287" t="s">
        <v>18727</v>
      </c>
      <c r="C80" s="287"/>
      <c r="D80" s="399" t="s">
        <v>18729</v>
      </c>
      <c r="E80" s="413"/>
      <c r="F80" s="413"/>
      <c r="G80" s="461"/>
      <c r="H80" s="413"/>
      <c r="I80" s="461"/>
      <c r="J80" s="414"/>
      <c r="K80" s="409"/>
      <c r="L80" s="447">
        <f t="shared" ref="L80:L83" si="2">I80*F80</f>
        <v>0</v>
      </c>
      <c r="M80" s="409"/>
      <c r="N80" s="409"/>
      <c r="O80" s="409"/>
      <c r="P80" s="409"/>
      <c r="Q80" s="409"/>
      <c r="R80" s="409"/>
      <c r="S80" s="409"/>
    </row>
    <row r="81" spans="1:19" s="140" customFormat="1" ht="38.25">
      <c r="A81" s="256" t="s">
        <v>3260</v>
      </c>
      <c r="B81" s="288" t="s">
        <v>18728</v>
      </c>
      <c r="C81" s="288" t="s">
        <v>18724</v>
      </c>
      <c r="D81" s="289" t="s">
        <v>18741</v>
      </c>
      <c r="E81" s="290" t="s">
        <v>5</v>
      </c>
      <c r="F81" s="292">
        <v>10.799999999999999</v>
      </c>
      <c r="G81" s="510">
        <v>118.57</v>
      </c>
      <c r="H81" s="508">
        <v>0.2094</v>
      </c>
      <c r="I81" s="510">
        <v>143.39855800000001</v>
      </c>
      <c r="J81" s="509">
        <v>1548.7044263999999</v>
      </c>
      <c r="K81" s="409"/>
      <c r="L81" s="447">
        <f t="shared" si="2"/>
        <v>1548.7044263999999</v>
      </c>
      <c r="M81" s="409"/>
      <c r="N81" s="409"/>
      <c r="O81" s="409"/>
      <c r="P81" s="409"/>
      <c r="Q81" s="409"/>
      <c r="R81" s="409"/>
      <c r="S81" s="409"/>
    </row>
    <row r="82" spans="1:19" s="140" customFormat="1" ht="25.5">
      <c r="A82" s="256" t="s">
        <v>3260</v>
      </c>
      <c r="B82" s="288" t="s">
        <v>18731</v>
      </c>
      <c r="C82" s="288" t="s">
        <v>18732</v>
      </c>
      <c r="D82" s="289" t="s">
        <v>18726</v>
      </c>
      <c r="E82" s="290" t="s">
        <v>4</v>
      </c>
      <c r="F82" s="292">
        <v>0.62000000000000011</v>
      </c>
      <c r="G82" s="510">
        <v>132.21</v>
      </c>
      <c r="H82" s="508">
        <v>0.2094</v>
      </c>
      <c r="I82" s="510">
        <v>159.89477400000001</v>
      </c>
      <c r="J82" s="509">
        <v>99.134759880000018</v>
      </c>
      <c r="K82" s="409"/>
      <c r="L82" s="447">
        <f t="shared" ref="L82" si="3">I82*F82</f>
        <v>99.134759880000018</v>
      </c>
      <c r="M82" s="409"/>
      <c r="N82" s="409"/>
      <c r="O82" s="409"/>
      <c r="P82" s="409"/>
      <c r="Q82" s="409"/>
      <c r="R82" s="409"/>
      <c r="S82" s="409"/>
    </row>
    <row r="83" spans="1:19" s="140" customFormat="1">
      <c r="A83" s="256"/>
      <c r="B83" s="391"/>
      <c r="C83" s="391"/>
      <c r="D83" s="401"/>
      <c r="E83" s="391"/>
      <c r="F83" s="417"/>
      <c r="G83" s="417"/>
      <c r="H83" s="417"/>
      <c r="I83" s="417"/>
      <c r="J83" s="418"/>
      <c r="K83" s="409"/>
      <c r="L83" s="447">
        <f t="shared" si="2"/>
        <v>0</v>
      </c>
      <c r="M83" s="409"/>
      <c r="N83" s="409"/>
      <c r="O83" s="409"/>
      <c r="P83" s="409"/>
      <c r="Q83" s="409"/>
      <c r="R83" s="409"/>
      <c r="S83" s="409"/>
    </row>
    <row r="84" spans="1:19" s="140" customFormat="1">
      <c r="A84" s="256"/>
      <c r="B84" s="287" t="s">
        <v>15234</v>
      </c>
      <c r="C84" s="287"/>
      <c r="D84" s="400" t="s">
        <v>15235</v>
      </c>
      <c r="E84" s="415"/>
      <c r="F84" s="415"/>
      <c r="G84" s="462"/>
      <c r="H84" s="415"/>
      <c r="I84" s="462"/>
      <c r="J84" s="416"/>
      <c r="K84" s="409"/>
      <c r="L84" s="447">
        <f t="shared" si="1"/>
        <v>0</v>
      </c>
      <c r="M84" s="409"/>
      <c r="N84" s="409"/>
      <c r="O84" s="409"/>
      <c r="P84" s="409"/>
      <c r="Q84" s="409"/>
      <c r="R84" s="409"/>
      <c r="S84" s="409"/>
    </row>
    <row r="85" spans="1:19" s="140" customFormat="1">
      <c r="A85" s="256"/>
      <c r="B85" s="287" t="s">
        <v>15236</v>
      </c>
      <c r="C85" s="287"/>
      <c r="D85" s="400" t="s">
        <v>3327</v>
      </c>
      <c r="E85" s="415"/>
      <c r="F85" s="415"/>
      <c r="G85" s="462"/>
      <c r="H85" s="415"/>
      <c r="I85" s="462"/>
      <c r="J85" s="416"/>
      <c r="K85" s="409"/>
      <c r="L85" s="447">
        <f t="shared" si="1"/>
        <v>0</v>
      </c>
      <c r="M85" s="409"/>
      <c r="N85" s="409"/>
      <c r="O85" s="409"/>
      <c r="P85" s="409"/>
      <c r="Q85" s="409"/>
      <c r="R85" s="409"/>
      <c r="S85" s="409"/>
    </row>
    <row r="86" spans="1:19" s="140" customFormat="1" ht="51">
      <c r="A86" s="256" t="s">
        <v>3259</v>
      </c>
      <c r="B86" s="288" t="s">
        <v>15237</v>
      </c>
      <c r="C86" s="288">
        <v>92518</v>
      </c>
      <c r="D86" s="289" t="s">
        <v>12898</v>
      </c>
      <c r="E86" s="290" t="s">
        <v>193</v>
      </c>
      <c r="F86" s="292">
        <v>30</v>
      </c>
      <c r="G86" s="510" t="s">
        <v>10452</v>
      </c>
      <c r="H86" s="508">
        <v>0.2094</v>
      </c>
      <c r="I86" s="510">
        <v>34.262301999999998</v>
      </c>
      <c r="J86" s="509">
        <v>1027.86906</v>
      </c>
      <c r="K86" s="409"/>
      <c r="L86" s="447">
        <f t="shared" si="1"/>
        <v>1027.86906</v>
      </c>
      <c r="M86" s="409"/>
      <c r="N86" s="409"/>
      <c r="O86" s="409"/>
      <c r="P86" s="409"/>
      <c r="Q86" s="409"/>
      <c r="R86" s="409"/>
      <c r="S86" s="409"/>
    </row>
    <row r="87" spans="1:19" s="140" customFormat="1">
      <c r="A87" s="256"/>
      <c r="B87" s="391"/>
      <c r="C87" s="391"/>
      <c r="D87" s="401"/>
      <c r="E87" s="391"/>
      <c r="F87" s="417"/>
      <c r="G87" s="417"/>
      <c r="H87" s="417"/>
      <c r="I87" s="417"/>
      <c r="J87" s="418"/>
      <c r="K87" s="409"/>
      <c r="L87" s="447">
        <f t="shared" si="1"/>
        <v>0</v>
      </c>
      <c r="M87" s="409"/>
      <c r="N87" s="409"/>
      <c r="O87" s="409"/>
      <c r="P87" s="409"/>
      <c r="Q87" s="409"/>
      <c r="R87" s="409"/>
      <c r="S87" s="409"/>
    </row>
    <row r="88" spans="1:19" s="140" customFormat="1">
      <c r="A88" s="256"/>
      <c r="B88" s="287" t="s">
        <v>15238</v>
      </c>
      <c r="C88" s="287"/>
      <c r="D88" s="399" t="s">
        <v>3308</v>
      </c>
      <c r="E88" s="413"/>
      <c r="F88" s="413"/>
      <c r="G88" s="461"/>
      <c r="H88" s="413"/>
      <c r="I88" s="461"/>
      <c r="J88" s="414"/>
      <c r="K88" s="409"/>
      <c r="L88" s="447">
        <f t="shared" si="1"/>
        <v>0</v>
      </c>
      <c r="M88" s="409"/>
      <c r="N88" s="409"/>
      <c r="O88" s="409"/>
      <c r="P88" s="409"/>
      <c r="Q88" s="409"/>
      <c r="R88" s="409"/>
      <c r="S88" s="409"/>
    </row>
    <row r="89" spans="1:19" s="140" customFormat="1" ht="63.75">
      <c r="A89" s="256" t="s">
        <v>3259</v>
      </c>
      <c r="B89" s="288" t="s">
        <v>15239</v>
      </c>
      <c r="C89" s="288">
        <v>92784</v>
      </c>
      <c r="D89" s="289" t="s">
        <v>1389</v>
      </c>
      <c r="E89" s="290" t="s">
        <v>108</v>
      </c>
      <c r="F89" s="292">
        <v>23</v>
      </c>
      <c r="G89" s="510" t="s">
        <v>10248</v>
      </c>
      <c r="H89" s="508">
        <v>0.2094</v>
      </c>
      <c r="I89" s="510">
        <v>19.785784</v>
      </c>
      <c r="J89" s="509">
        <v>455.07303200000001</v>
      </c>
      <c r="K89" s="409"/>
      <c r="L89" s="447">
        <f t="shared" si="1"/>
        <v>455.07303200000001</v>
      </c>
      <c r="M89" s="409"/>
      <c r="N89" s="409"/>
      <c r="O89" s="409"/>
      <c r="P89" s="409"/>
      <c r="Q89" s="409"/>
      <c r="R89" s="409"/>
      <c r="S89" s="409"/>
    </row>
    <row r="90" spans="1:19" s="140" customFormat="1" ht="63.75">
      <c r="A90" s="256" t="s">
        <v>3259</v>
      </c>
      <c r="B90" s="288" t="s">
        <v>18027</v>
      </c>
      <c r="C90" s="288">
        <v>92785</v>
      </c>
      <c r="D90" s="289" t="s">
        <v>1390</v>
      </c>
      <c r="E90" s="290" t="s">
        <v>108</v>
      </c>
      <c r="F90" s="292">
        <v>55</v>
      </c>
      <c r="G90" s="510" t="s">
        <v>12213</v>
      </c>
      <c r="H90" s="508">
        <v>0.2094</v>
      </c>
      <c r="I90" s="510">
        <v>18.854545999999999</v>
      </c>
      <c r="J90" s="509">
        <v>1037.0000299999999</v>
      </c>
      <c r="K90" s="409"/>
      <c r="L90" s="447">
        <f t="shared" si="1"/>
        <v>1037.0000299999999</v>
      </c>
      <c r="M90" s="409"/>
      <c r="N90" s="409"/>
      <c r="O90" s="409"/>
      <c r="P90" s="409"/>
      <c r="Q90" s="409"/>
      <c r="R90" s="409"/>
      <c r="S90" s="409"/>
    </row>
    <row r="91" spans="1:19" s="140" customFormat="1" ht="63.75">
      <c r="A91" s="256" t="s">
        <v>3259</v>
      </c>
      <c r="B91" s="288" t="s">
        <v>18028</v>
      </c>
      <c r="C91" s="288">
        <v>92786</v>
      </c>
      <c r="D91" s="289" t="s">
        <v>1391</v>
      </c>
      <c r="E91" s="290" t="s">
        <v>108</v>
      </c>
      <c r="F91" s="292">
        <v>175</v>
      </c>
      <c r="G91" s="510" t="s">
        <v>15857</v>
      </c>
      <c r="H91" s="508">
        <v>0.2094</v>
      </c>
      <c r="I91" s="510">
        <v>17.802368000000001</v>
      </c>
      <c r="J91" s="509">
        <v>3115.4144000000001</v>
      </c>
      <c r="K91" s="409"/>
      <c r="L91" s="447">
        <f t="shared" si="1"/>
        <v>3115.4144000000001</v>
      </c>
      <c r="M91" s="409"/>
      <c r="N91" s="409"/>
      <c r="O91" s="409"/>
      <c r="P91" s="409"/>
      <c r="Q91" s="409"/>
      <c r="R91" s="409"/>
      <c r="S91" s="409"/>
    </row>
    <row r="92" spans="1:19" s="140" customFormat="1">
      <c r="A92" s="256"/>
      <c r="B92" s="391"/>
      <c r="C92" s="391"/>
      <c r="D92" s="401"/>
      <c r="E92" s="391"/>
      <c r="F92" s="417"/>
      <c r="G92" s="417"/>
      <c r="H92" s="417"/>
      <c r="I92" s="417"/>
      <c r="J92" s="418"/>
      <c r="K92" s="409"/>
      <c r="L92" s="447">
        <f t="shared" si="1"/>
        <v>0</v>
      </c>
      <c r="M92" s="409"/>
      <c r="N92" s="409"/>
      <c r="O92" s="409"/>
      <c r="P92" s="409"/>
      <c r="Q92" s="409"/>
      <c r="R92" s="409"/>
      <c r="S92" s="409"/>
    </row>
    <row r="93" spans="1:19" s="140" customFormat="1">
      <c r="A93" s="256"/>
      <c r="B93" s="287" t="s">
        <v>15240</v>
      </c>
      <c r="C93" s="287"/>
      <c r="D93" s="399" t="s">
        <v>3315</v>
      </c>
      <c r="E93" s="413"/>
      <c r="F93" s="413"/>
      <c r="G93" s="461"/>
      <c r="H93" s="413"/>
      <c r="I93" s="461"/>
      <c r="J93" s="414"/>
      <c r="K93" s="409"/>
      <c r="L93" s="447">
        <f t="shared" si="1"/>
        <v>0</v>
      </c>
      <c r="M93" s="409"/>
      <c r="N93" s="409"/>
      <c r="O93" s="409"/>
      <c r="P93" s="409"/>
      <c r="Q93" s="409"/>
      <c r="R93" s="409"/>
      <c r="S93" s="409"/>
    </row>
    <row r="94" spans="1:19" s="140" customFormat="1" ht="51">
      <c r="A94" s="256" t="s">
        <v>3260</v>
      </c>
      <c r="B94" s="288" t="s">
        <v>15241</v>
      </c>
      <c r="C94" s="288" t="s">
        <v>9641</v>
      </c>
      <c r="D94" s="289" t="s">
        <v>17848</v>
      </c>
      <c r="E94" s="290" t="s">
        <v>3241</v>
      </c>
      <c r="F94" s="292">
        <v>3.63</v>
      </c>
      <c r="G94" s="510">
        <v>402.68</v>
      </c>
      <c r="H94" s="508">
        <v>0.2094</v>
      </c>
      <c r="I94" s="510">
        <v>487.001192</v>
      </c>
      <c r="J94" s="509">
        <v>1767.81432696</v>
      </c>
      <c r="K94" s="409"/>
      <c r="L94" s="447">
        <f t="shared" si="1"/>
        <v>1767.81432696</v>
      </c>
      <c r="M94" s="409"/>
      <c r="N94" s="409"/>
      <c r="O94" s="409"/>
      <c r="P94" s="409"/>
      <c r="Q94" s="409"/>
      <c r="R94" s="409"/>
      <c r="S94" s="409"/>
    </row>
    <row r="95" spans="1:19" s="140" customFormat="1">
      <c r="A95" s="256"/>
      <c r="B95" s="391"/>
      <c r="C95" s="391"/>
      <c r="D95" s="401"/>
      <c r="E95" s="391"/>
      <c r="F95" s="417"/>
      <c r="G95" s="417"/>
      <c r="H95" s="417"/>
      <c r="I95" s="417"/>
      <c r="J95" s="418"/>
      <c r="K95" s="409"/>
      <c r="L95" s="447">
        <f t="shared" ref="L95:L104" si="4">I95*F95</f>
        <v>0</v>
      </c>
      <c r="M95" s="409"/>
      <c r="N95" s="409"/>
      <c r="O95" s="409"/>
      <c r="P95" s="409"/>
      <c r="Q95" s="409"/>
      <c r="R95" s="409"/>
      <c r="S95" s="409"/>
    </row>
    <row r="96" spans="1:19" s="140" customFormat="1">
      <c r="A96" s="256"/>
      <c r="B96" s="287" t="s">
        <v>24855</v>
      </c>
      <c r="C96" s="287"/>
      <c r="D96" s="399" t="s">
        <v>24856</v>
      </c>
      <c r="E96" s="391"/>
      <c r="F96" s="417"/>
      <c r="G96" s="417"/>
      <c r="H96" s="417"/>
      <c r="I96" s="417"/>
      <c r="J96" s="418"/>
      <c r="K96" s="409"/>
      <c r="L96" s="447"/>
      <c r="M96" s="409"/>
      <c r="N96" s="409"/>
      <c r="O96" s="409"/>
      <c r="P96" s="409"/>
      <c r="Q96" s="409"/>
      <c r="R96" s="409"/>
      <c r="S96" s="409"/>
    </row>
    <row r="97" spans="1:19" s="140" customFormat="1" ht="25.5">
      <c r="A97" s="256" t="s">
        <v>3259</v>
      </c>
      <c r="B97" s="288" t="s">
        <v>24857</v>
      </c>
      <c r="C97" s="288">
        <v>99814</v>
      </c>
      <c r="D97" s="289" t="s">
        <v>4483</v>
      </c>
      <c r="E97" s="290" t="s">
        <v>193</v>
      </c>
      <c r="F97" s="292">
        <v>0.89999999999999991</v>
      </c>
      <c r="G97" s="510" t="s">
        <v>12214</v>
      </c>
      <c r="H97" s="508">
        <v>0.2094</v>
      </c>
      <c r="I97" s="510">
        <v>1.8987580000000002</v>
      </c>
      <c r="J97" s="509">
        <v>1.7088821999999999</v>
      </c>
      <c r="K97" s="409"/>
      <c r="L97" s="447">
        <f t="shared" ref="L97" si="5">I97*F97</f>
        <v>1.7088821999999999</v>
      </c>
      <c r="M97" s="409"/>
      <c r="N97" s="409"/>
      <c r="O97" s="409"/>
      <c r="P97" s="409"/>
      <c r="Q97" s="409"/>
      <c r="R97" s="409"/>
      <c r="S97" s="409"/>
    </row>
    <row r="98" spans="1:19" s="140" customFormat="1">
      <c r="A98" s="256" t="s">
        <v>3260</v>
      </c>
      <c r="B98" s="288" t="s">
        <v>24858</v>
      </c>
      <c r="C98" s="288" t="s">
        <v>24861</v>
      </c>
      <c r="D98" s="289" t="s">
        <v>24863</v>
      </c>
      <c r="E98" s="290" t="s">
        <v>193</v>
      </c>
      <c r="F98" s="292">
        <v>0.89999999999999991</v>
      </c>
      <c r="G98" s="510">
        <v>5.28</v>
      </c>
      <c r="H98" s="508">
        <v>0.2094</v>
      </c>
      <c r="I98" s="510">
        <v>6.3856320000000002</v>
      </c>
      <c r="J98" s="509">
        <v>5.7470687999999992</v>
      </c>
      <c r="K98" s="409"/>
      <c r="L98" s="447">
        <f t="shared" ref="L98:L100" si="6">I98*F98</f>
        <v>5.7470687999999992</v>
      </c>
      <c r="M98" s="409"/>
      <c r="N98" s="409"/>
      <c r="O98" s="409"/>
      <c r="P98" s="409"/>
      <c r="Q98" s="409"/>
      <c r="R98" s="409"/>
      <c r="S98" s="409"/>
    </row>
    <row r="99" spans="1:19" s="140" customFormat="1" ht="38.25">
      <c r="A99" s="256" t="s">
        <v>3260</v>
      </c>
      <c r="B99" s="288" t="s">
        <v>24859</v>
      </c>
      <c r="C99" s="288" t="s">
        <v>18724</v>
      </c>
      <c r="D99" s="289" t="s">
        <v>18741</v>
      </c>
      <c r="E99" s="290" t="s">
        <v>5</v>
      </c>
      <c r="F99" s="292">
        <v>1.8</v>
      </c>
      <c r="G99" s="510">
        <v>118.57</v>
      </c>
      <c r="H99" s="508">
        <v>0.2094</v>
      </c>
      <c r="I99" s="510">
        <v>143.39855800000001</v>
      </c>
      <c r="J99" s="509">
        <v>258.1174044</v>
      </c>
      <c r="K99" s="409"/>
      <c r="L99" s="447">
        <f t="shared" si="6"/>
        <v>258.1174044</v>
      </c>
      <c r="M99" s="409"/>
      <c r="N99" s="409"/>
      <c r="O99" s="409"/>
      <c r="P99" s="409"/>
      <c r="Q99" s="409"/>
      <c r="R99" s="409"/>
      <c r="S99" s="409"/>
    </row>
    <row r="100" spans="1:19" s="140" customFormat="1" ht="25.5">
      <c r="A100" s="256" t="s">
        <v>3260</v>
      </c>
      <c r="B100" s="288" t="s">
        <v>24860</v>
      </c>
      <c r="C100" s="288" t="s">
        <v>24864</v>
      </c>
      <c r="D100" s="289" t="s">
        <v>18726</v>
      </c>
      <c r="E100" s="290" t="s">
        <v>109</v>
      </c>
      <c r="F100" s="292">
        <v>36</v>
      </c>
      <c r="G100" s="510">
        <v>4.84</v>
      </c>
      <c r="H100" s="508">
        <v>0.2094</v>
      </c>
      <c r="I100" s="510">
        <v>5.8534959999999998</v>
      </c>
      <c r="J100" s="509">
        <v>210.72585599999999</v>
      </c>
      <c r="K100" s="409"/>
      <c r="L100" s="447">
        <f t="shared" si="6"/>
        <v>210.72585599999999</v>
      </c>
      <c r="M100" s="409"/>
      <c r="N100" s="409"/>
      <c r="O100" s="409"/>
      <c r="P100" s="409"/>
      <c r="Q100" s="409"/>
      <c r="R100" s="409"/>
      <c r="S100" s="409"/>
    </row>
    <row r="101" spans="1:19" s="140" customFormat="1" ht="51">
      <c r="A101" s="256" t="s">
        <v>3259</v>
      </c>
      <c r="B101" s="288" t="s">
        <v>24872</v>
      </c>
      <c r="C101" s="288">
        <v>92518</v>
      </c>
      <c r="D101" s="289" t="s">
        <v>12898</v>
      </c>
      <c r="E101" s="290" t="s">
        <v>193</v>
      </c>
      <c r="F101" s="292">
        <v>0.75</v>
      </c>
      <c r="G101" s="510" t="s">
        <v>10452</v>
      </c>
      <c r="H101" s="508">
        <v>0.2094</v>
      </c>
      <c r="I101" s="510">
        <v>34.262301999999998</v>
      </c>
      <c r="J101" s="509">
        <v>25.696726499999997</v>
      </c>
      <c r="K101" s="409"/>
      <c r="L101" s="447">
        <f t="shared" ref="L101" si="7">I101*F101</f>
        <v>25.696726499999997</v>
      </c>
      <c r="M101" s="409"/>
      <c r="N101" s="409"/>
      <c r="O101" s="409"/>
      <c r="P101" s="409"/>
      <c r="Q101" s="409"/>
      <c r="R101" s="409"/>
      <c r="S101" s="409"/>
    </row>
    <row r="102" spans="1:19" s="140" customFormat="1" ht="63.75">
      <c r="A102" s="256" t="s">
        <v>3259</v>
      </c>
      <c r="B102" s="288" t="s">
        <v>24873</v>
      </c>
      <c r="C102" s="288">
        <v>92784</v>
      </c>
      <c r="D102" s="289" t="s">
        <v>1389</v>
      </c>
      <c r="E102" s="290" t="s">
        <v>108</v>
      </c>
      <c r="F102" s="292">
        <v>14.4</v>
      </c>
      <c r="G102" s="510" t="s">
        <v>10248</v>
      </c>
      <c r="H102" s="508">
        <v>0.2094</v>
      </c>
      <c r="I102" s="510">
        <v>19.785784</v>
      </c>
      <c r="J102" s="509">
        <v>284.91528959999999</v>
      </c>
      <c r="K102" s="409"/>
      <c r="L102" s="447">
        <f t="shared" ref="L102" si="8">I102*F102</f>
        <v>284.91528959999999</v>
      </c>
      <c r="M102" s="409"/>
      <c r="N102" s="409"/>
      <c r="O102" s="409"/>
      <c r="P102" s="409"/>
      <c r="Q102" s="409"/>
      <c r="R102" s="409"/>
      <c r="S102" s="409"/>
    </row>
    <row r="103" spans="1:19" s="140" customFormat="1" ht="51">
      <c r="A103" s="256" t="s">
        <v>3260</v>
      </c>
      <c r="B103" s="288" t="s">
        <v>24874</v>
      </c>
      <c r="C103" s="288" t="s">
        <v>9641</v>
      </c>
      <c r="D103" s="289" t="s">
        <v>17848</v>
      </c>
      <c r="E103" s="290" t="s">
        <v>3241</v>
      </c>
      <c r="F103" s="292">
        <v>0.1</v>
      </c>
      <c r="G103" s="510">
        <v>402.68</v>
      </c>
      <c r="H103" s="508">
        <v>0.2094</v>
      </c>
      <c r="I103" s="510">
        <v>487.001192</v>
      </c>
      <c r="J103" s="509">
        <v>48.700119200000003</v>
      </c>
      <c r="K103" s="409"/>
      <c r="L103" s="447">
        <f t="shared" ref="L103" si="9">I103*F103</f>
        <v>48.700119200000003</v>
      </c>
      <c r="M103" s="409"/>
      <c r="N103" s="409"/>
      <c r="O103" s="409"/>
      <c r="P103" s="409"/>
      <c r="Q103" s="409"/>
      <c r="R103" s="409"/>
      <c r="S103" s="409"/>
    </row>
    <row r="104" spans="1:19" s="140" customFormat="1">
      <c r="A104" s="256"/>
      <c r="B104" s="391"/>
      <c r="C104" s="391"/>
      <c r="D104" s="401"/>
      <c r="E104" s="391"/>
      <c r="F104" s="417"/>
      <c r="G104" s="417"/>
      <c r="H104" s="417"/>
      <c r="I104" s="417"/>
      <c r="J104" s="418"/>
      <c r="K104" s="409"/>
      <c r="L104" s="447">
        <f t="shared" si="4"/>
        <v>0</v>
      </c>
      <c r="M104" s="409"/>
      <c r="N104" s="409"/>
      <c r="O104" s="409"/>
      <c r="P104" s="409"/>
      <c r="Q104" s="409"/>
      <c r="R104" s="409"/>
      <c r="S104" s="409"/>
    </row>
    <row r="105" spans="1:19" s="92" customFormat="1">
      <c r="A105" s="256"/>
      <c r="B105" s="390" t="s">
        <v>11566</v>
      </c>
      <c r="C105" s="390"/>
      <c r="D105" s="399" t="s">
        <v>11568</v>
      </c>
      <c r="E105" s="413"/>
      <c r="F105" s="413"/>
      <c r="G105" s="461"/>
      <c r="H105" s="413"/>
      <c r="I105" s="461"/>
      <c r="J105" s="414"/>
      <c r="K105" s="298"/>
      <c r="L105" s="447">
        <f t="shared" si="1"/>
        <v>0</v>
      </c>
      <c r="M105" s="447"/>
      <c r="N105" s="298"/>
      <c r="O105" s="298"/>
      <c r="P105" s="298"/>
      <c r="Q105" s="298"/>
      <c r="R105" s="298"/>
      <c r="S105" s="298"/>
    </row>
    <row r="106" spans="1:19" s="92" customFormat="1">
      <c r="A106" s="256"/>
      <c r="B106" s="287" t="s">
        <v>11567</v>
      </c>
      <c r="C106" s="287"/>
      <c r="D106" s="400" t="s">
        <v>11569</v>
      </c>
      <c r="E106" s="415"/>
      <c r="F106" s="415"/>
      <c r="G106" s="462"/>
      <c r="H106" s="415"/>
      <c r="I106" s="462"/>
      <c r="J106" s="416"/>
      <c r="K106" s="298"/>
      <c r="L106" s="447">
        <f t="shared" si="1"/>
        <v>0</v>
      </c>
      <c r="M106" s="447"/>
      <c r="N106" s="256"/>
      <c r="O106" s="256"/>
      <c r="P106" s="256"/>
      <c r="Q106" s="256"/>
      <c r="R106" s="256"/>
      <c r="S106" s="256"/>
    </row>
    <row r="107" spans="1:19" s="140" customFormat="1" ht="51">
      <c r="A107" s="256" t="s">
        <v>3260</v>
      </c>
      <c r="B107" s="288" t="s">
        <v>15241</v>
      </c>
      <c r="C107" s="288" t="s">
        <v>9642</v>
      </c>
      <c r="D107" s="289" t="s">
        <v>24749</v>
      </c>
      <c r="E107" s="290" t="s">
        <v>3244</v>
      </c>
      <c r="F107" s="292">
        <v>3734.5</v>
      </c>
      <c r="G107" s="510">
        <v>11.96</v>
      </c>
      <c r="H107" s="508">
        <v>0.2094</v>
      </c>
      <c r="I107" s="510">
        <v>14.464424000000001</v>
      </c>
      <c r="J107" s="509">
        <v>54017.391428000003</v>
      </c>
      <c r="K107" s="409"/>
      <c r="L107" s="447">
        <f t="shared" si="1"/>
        <v>54017.391428000003</v>
      </c>
      <c r="M107" s="409"/>
      <c r="N107" s="409"/>
      <c r="O107" s="409"/>
      <c r="P107" s="409"/>
      <c r="Q107" s="409"/>
      <c r="R107" s="409"/>
      <c r="S107" s="409"/>
    </row>
    <row r="108" spans="1:19" s="140" customFormat="1" ht="51">
      <c r="A108" s="256" t="s">
        <v>3260</v>
      </c>
      <c r="B108" s="288" t="s">
        <v>18029</v>
      </c>
      <c r="C108" s="288" t="s">
        <v>11570</v>
      </c>
      <c r="D108" s="289" t="s">
        <v>24750</v>
      </c>
      <c r="E108" s="290" t="s">
        <v>3244</v>
      </c>
      <c r="F108" s="292">
        <v>684</v>
      </c>
      <c r="G108" s="510">
        <v>11.96</v>
      </c>
      <c r="H108" s="508">
        <v>0.2094</v>
      </c>
      <c r="I108" s="510">
        <v>14.464424000000001</v>
      </c>
      <c r="J108" s="509">
        <v>9893.666016000001</v>
      </c>
      <c r="K108" s="409"/>
      <c r="L108" s="447">
        <f t="shared" si="1"/>
        <v>9893.666016000001</v>
      </c>
      <c r="M108" s="409"/>
      <c r="N108" s="409"/>
      <c r="O108" s="409"/>
      <c r="P108" s="409"/>
      <c r="Q108" s="409"/>
      <c r="R108" s="409"/>
      <c r="S108" s="409"/>
    </row>
    <row r="109" spans="1:19" s="140" customFormat="1" ht="31.5" customHeight="1">
      <c r="A109" s="256" t="s">
        <v>3260</v>
      </c>
      <c r="B109" s="288" t="s">
        <v>18030</v>
      </c>
      <c r="C109" s="288" t="s">
        <v>17858</v>
      </c>
      <c r="D109" s="289" t="s">
        <v>24751</v>
      </c>
      <c r="E109" s="290" t="s">
        <v>3244</v>
      </c>
      <c r="F109" s="292">
        <v>47</v>
      </c>
      <c r="G109" s="510">
        <v>15.28</v>
      </c>
      <c r="H109" s="508">
        <v>0.2094</v>
      </c>
      <c r="I109" s="510">
        <v>18.479631999999999</v>
      </c>
      <c r="J109" s="509">
        <v>868.54270399999996</v>
      </c>
      <c r="K109" s="409"/>
      <c r="L109" s="447">
        <f t="shared" ref="L109" si="10">I109*F109</f>
        <v>868.54270399999996</v>
      </c>
      <c r="M109" s="409"/>
      <c r="N109" s="409"/>
      <c r="O109" s="409"/>
      <c r="P109" s="409"/>
      <c r="Q109" s="409"/>
      <c r="R109" s="409"/>
      <c r="S109" s="409"/>
    </row>
    <row r="110" spans="1:19" s="140" customFormat="1" ht="51">
      <c r="A110" s="256" t="s">
        <v>3260</v>
      </c>
      <c r="B110" s="288" t="s">
        <v>18031</v>
      </c>
      <c r="C110" s="288" t="s">
        <v>11571</v>
      </c>
      <c r="D110" s="289" t="s">
        <v>24499</v>
      </c>
      <c r="E110" s="290" t="s">
        <v>3244</v>
      </c>
      <c r="F110" s="292">
        <v>469.5</v>
      </c>
      <c r="G110" s="510">
        <v>11.24</v>
      </c>
      <c r="H110" s="508">
        <v>0.2094</v>
      </c>
      <c r="I110" s="510">
        <v>13.593656000000001</v>
      </c>
      <c r="J110" s="509">
        <v>6382.2214920000006</v>
      </c>
      <c r="K110" s="409"/>
      <c r="L110" s="447">
        <f t="shared" si="1"/>
        <v>6382.2214920000006</v>
      </c>
      <c r="M110" s="409"/>
      <c r="N110" s="409"/>
      <c r="O110" s="409"/>
      <c r="P110" s="409"/>
      <c r="Q110" s="409"/>
      <c r="R110" s="409"/>
      <c r="S110" s="409"/>
    </row>
    <row r="111" spans="1:19" s="140" customFormat="1" ht="51">
      <c r="A111" s="256" t="s">
        <v>3260</v>
      </c>
      <c r="B111" s="288" t="s">
        <v>18032</v>
      </c>
      <c r="C111" s="288" t="s">
        <v>15220</v>
      </c>
      <c r="D111" s="289" t="s">
        <v>24491</v>
      </c>
      <c r="E111" s="290" t="s">
        <v>3244</v>
      </c>
      <c r="F111" s="292">
        <v>3042.3</v>
      </c>
      <c r="G111" s="510">
        <v>11.96</v>
      </c>
      <c r="H111" s="508">
        <v>0.2094</v>
      </c>
      <c r="I111" s="510">
        <v>14.464424000000001</v>
      </c>
      <c r="J111" s="509">
        <v>44005.117135200009</v>
      </c>
      <c r="K111" s="409"/>
      <c r="L111" s="447">
        <f t="shared" ref="L111:L115" si="11">I111*F111</f>
        <v>44005.117135200009</v>
      </c>
      <c r="M111" s="409"/>
      <c r="N111" s="409"/>
      <c r="O111" s="409"/>
      <c r="P111" s="409"/>
      <c r="Q111" s="409"/>
      <c r="R111" s="409"/>
      <c r="S111" s="409"/>
    </row>
    <row r="112" spans="1:19" s="140" customFormat="1" ht="51">
      <c r="A112" s="256" t="s">
        <v>3260</v>
      </c>
      <c r="B112" s="288" t="s">
        <v>18033</v>
      </c>
      <c r="C112" s="288" t="s">
        <v>15221</v>
      </c>
      <c r="D112" s="289" t="s">
        <v>24752</v>
      </c>
      <c r="E112" s="290" t="s">
        <v>3244</v>
      </c>
      <c r="F112" s="292">
        <v>442</v>
      </c>
      <c r="G112" s="510">
        <v>11.96</v>
      </c>
      <c r="H112" s="508">
        <v>0.2094</v>
      </c>
      <c r="I112" s="510">
        <v>14.464424000000001</v>
      </c>
      <c r="J112" s="509">
        <v>6393.2754080000004</v>
      </c>
      <c r="K112" s="409"/>
      <c r="L112" s="447">
        <f t="shared" si="11"/>
        <v>6393.2754080000004</v>
      </c>
      <c r="M112" s="409"/>
      <c r="N112" s="409"/>
      <c r="O112" s="409"/>
      <c r="P112" s="409"/>
      <c r="Q112" s="409"/>
      <c r="R112" s="409"/>
      <c r="S112" s="409"/>
    </row>
    <row r="113" spans="1:19" s="140" customFormat="1" ht="51">
      <c r="A113" s="256" t="s">
        <v>3260</v>
      </c>
      <c r="B113" s="288" t="s">
        <v>18034</v>
      </c>
      <c r="C113" s="288" t="s">
        <v>17853</v>
      </c>
      <c r="D113" s="289" t="s">
        <v>24492</v>
      </c>
      <c r="E113" s="290" t="s">
        <v>3244</v>
      </c>
      <c r="F113" s="292">
        <v>30.2</v>
      </c>
      <c r="G113" s="510">
        <v>10.62</v>
      </c>
      <c r="H113" s="508">
        <v>0.2094</v>
      </c>
      <c r="I113" s="510">
        <v>12.843828</v>
      </c>
      <c r="J113" s="509">
        <v>387.88360560000001</v>
      </c>
      <c r="K113" s="409"/>
      <c r="L113" s="447">
        <f t="shared" si="11"/>
        <v>387.88360560000001</v>
      </c>
      <c r="M113" s="409"/>
      <c r="N113" s="409"/>
      <c r="O113" s="409"/>
      <c r="P113" s="409"/>
      <c r="Q113" s="409"/>
      <c r="R113" s="409"/>
      <c r="S113" s="409"/>
    </row>
    <row r="114" spans="1:19" s="140" customFormat="1" ht="51">
      <c r="A114" s="256" t="s">
        <v>3260</v>
      </c>
      <c r="B114" s="288" t="s">
        <v>18035</v>
      </c>
      <c r="C114" s="288" t="s">
        <v>17854</v>
      </c>
      <c r="D114" s="289" t="s">
        <v>24493</v>
      </c>
      <c r="E114" s="290" t="s">
        <v>3244</v>
      </c>
      <c r="F114" s="292">
        <v>267.60000000000002</v>
      </c>
      <c r="G114" s="510">
        <v>10.62</v>
      </c>
      <c r="H114" s="508">
        <v>0.2094</v>
      </c>
      <c r="I114" s="510">
        <v>12.843828</v>
      </c>
      <c r="J114" s="509">
        <v>3437.0083728000004</v>
      </c>
      <c r="K114" s="409"/>
      <c r="L114" s="447">
        <f t="shared" si="11"/>
        <v>3437.0083728000004</v>
      </c>
      <c r="M114" s="409"/>
      <c r="N114" s="409"/>
      <c r="O114" s="409"/>
      <c r="P114" s="409"/>
      <c r="Q114" s="409"/>
      <c r="R114" s="409"/>
      <c r="S114" s="409"/>
    </row>
    <row r="115" spans="1:19" s="140" customFormat="1" ht="51">
      <c r="A115" s="256" t="s">
        <v>3260</v>
      </c>
      <c r="B115" s="288" t="s">
        <v>24514</v>
      </c>
      <c r="C115" s="288" t="s">
        <v>17855</v>
      </c>
      <c r="D115" s="289" t="s">
        <v>24494</v>
      </c>
      <c r="E115" s="290" t="s">
        <v>3244</v>
      </c>
      <c r="F115" s="292">
        <v>1658.5</v>
      </c>
      <c r="G115" s="510">
        <v>11.96</v>
      </c>
      <c r="H115" s="508">
        <v>0.2094</v>
      </c>
      <c r="I115" s="510">
        <v>14.464424000000001</v>
      </c>
      <c r="J115" s="509">
        <v>23989.247204000003</v>
      </c>
      <c r="K115" s="409"/>
      <c r="L115" s="447">
        <f t="shared" si="11"/>
        <v>23989.247204000003</v>
      </c>
      <c r="M115" s="409"/>
      <c r="N115" s="409"/>
      <c r="O115" s="409"/>
      <c r="P115" s="409"/>
      <c r="Q115" s="409"/>
      <c r="R115" s="409"/>
      <c r="S115" s="409"/>
    </row>
    <row r="116" spans="1:19" s="140" customFormat="1" ht="51">
      <c r="A116" s="256" t="s">
        <v>3260</v>
      </c>
      <c r="B116" s="288" t="s">
        <v>24515</v>
      </c>
      <c r="C116" s="288" t="s">
        <v>17856</v>
      </c>
      <c r="D116" s="289" t="s">
        <v>24495</v>
      </c>
      <c r="E116" s="290" t="s">
        <v>3244</v>
      </c>
      <c r="F116" s="292">
        <v>29.9</v>
      </c>
      <c r="G116" s="510">
        <v>11.96</v>
      </c>
      <c r="H116" s="508">
        <v>0.2094</v>
      </c>
      <c r="I116" s="510">
        <v>14.464424000000001</v>
      </c>
      <c r="J116" s="509">
        <v>432.48627759999999</v>
      </c>
      <c r="K116" s="409"/>
      <c r="L116" s="447">
        <f t="shared" si="1"/>
        <v>432.48627759999999</v>
      </c>
      <c r="M116" s="409"/>
      <c r="N116" s="409"/>
      <c r="O116" s="409"/>
      <c r="P116" s="409"/>
      <c r="Q116" s="409"/>
      <c r="R116" s="409"/>
      <c r="S116" s="409"/>
    </row>
    <row r="117" spans="1:19" s="140" customFormat="1" ht="63.75">
      <c r="A117" s="256" t="s">
        <v>3260</v>
      </c>
      <c r="B117" s="288" t="s">
        <v>24516</v>
      </c>
      <c r="C117" s="288" t="s">
        <v>17871</v>
      </c>
      <c r="D117" s="289" t="s">
        <v>24761</v>
      </c>
      <c r="E117" s="290" t="s">
        <v>3244</v>
      </c>
      <c r="F117" s="292">
        <v>128</v>
      </c>
      <c r="G117" s="510">
        <v>11.48</v>
      </c>
      <c r="H117" s="508">
        <v>0.2094</v>
      </c>
      <c r="I117" s="510">
        <v>13.883912</v>
      </c>
      <c r="J117" s="509">
        <v>1777.1407360000001</v>
      </c>
      <c r="K117" s="409"/>
      <c r="L117" s="447">
        <f t="shared" ref="L117" si="12">I117*F117</f>
        <v>1777.1407360000001</v>
      </c>
      <c r="M117" s="409"/>
      <c r="N117" s="409"/>
      <c r="O117" s="409"/>
      <c r="P117" s="409"/>
      <c r="Q117" s="409"/>
      <c r="R117" s="409"/>
      <c r="S117" s="409"/>
    </row>
    <row r="118" spans="1:19" s="140" customFormat="1" ht="63.75">
      <c r="A118" s="256" t="s">
        <v>3260</v>
      </c>
      <c r="B118" s="288" t="s">
        <v>24517</v>
      </c>
      <c r="C118" s="288" t="s">
        <v>17867</v>
      </c>
      <c r="D118" s="289" t="s">
        <v>24758</v>
      </c>
      <c r="E118" s="290" t="s">
        <v>3244</v>
      </c>
      <c r="F118" s="292">
        <v>421.1</v>
      </c>
      <c r="G118" s="510">
        <v>11.48</v>
      </c>
      <c r="H118" s="508">
        <v>0.2094</v>
      </c>
      <c r="I118" s="510">
        <v>13.883912</v>
      </c>
      <c r="J118" s="509">
        <v>5846.5153432000006</v>
      </c>
      <c r="K118" s="409"/>
      <c r="L118" s="447">
        <f t="shared" ref="L118:L119" si="13">I118*F118</f>
        <v>5846.5153432000006</v>
      </c>
      <c r="M118" s="409"/>
      <c r="N118" s="409"/>
      <c r="O118" s="409"/>
      <c r="P118" s="409"/>
      <c r="Q118" s="409"/>
      <c r="R118" s="409"/>
      <c r="S118" s="409"/>
    </row>
    <row r="119" spans="1:19" s="140" customFormat="1" ht="63.75">
      <c r="A119" s="256" t="s">
        <v>3260</v>
      </c>
      <c r="B119" s="288" t="s">
        <v>24518</v>
      </c>
      <c r="C119" s="288" t="s">
        <v>24753</v>
      </c>
      <c r="D119" s="289" t="s">
        <v>24760</v>
      </c>
      <c r="E119" s="290" t="s">
        <v>3244</v>
      </c>
      <c r="F119" s="292">
        <v>6174</v>
      </c>
      <c r="G119" s="510">
        <v>11.48</v>
      </c>
      <c r="H119" s="508">
        <v>0.2094</v>
      </c>
      <c r="I119" s="510">
        <v>13.883912</v>
      </c>
      <c r="J119" s="509">
        <v>85719.272687999997</v>
      </c>
      <c r="K119" s="409"/>
      <c r="L119" s="447">
        <f t="shared" si="13"/>
        <v>85719.272687999997</v>
      </c>
      <c r="M119" s="409"/>
      <c r="N119" s="409"/>
      <c r="O119" s="409"/>
      <c r="P119" s="409"/>
      <c r="Q119" s="409"/>
      <c r="R119" s="409"/>
      <c r="S119" s="409"/>
    </row>
    <row r="120" spans="1:19" s="140" customFormat="1" ht="51">
      <c r="A120" s="256" t="s">
        <v>3260</v>
      </c>
      <c r="B120" s="288" t="s">
        <v>24755</v>
      </c>
      <c r="C120" s="288" t="s">
        <v>17857</v>
      </c>
      <c r="D120" s="289" t="s">
        <v>24754</v>
      </c>
      <c r="E120" s="290" t="s">
        <v>3244</v>
      </c>
      <c r="F120" s="292">
        <v>835.4</v>
      </c>
      <c r="G120" s="510">
        <v>12.54</v>
      </c>
      <c r="H120" s="508">
        <v>0.2094</v>
      </c>
      <c r="I120" s="510">
        <v>15.165875999999999</v>
      </c>
      <c r="J120" s="509">
        <v>12669.572810399999</v>
      </c>
      <c r="K120" s="409"/>
      <c r="L120" s="447">
        <f t="shared" si="1"/>
        <v>12669.572810399999</v>
      </c>
      <c r="M120" s="409"/>
      <c r="N120" s="409"/>
      <c r="O120" s="409"/>
      <c r="P120" s="409"/>
      <c r="Q120" s="409"/>
      <c r="R120" s="409"/>
      <c r="S120" s="409"/>
    </row>
    <row r="121" spans="1:19" s="140" customFormat="1" ht="51">
      <c r="A121" s="256" t="s">
        <v>3260</v>
      </c>
      <c r="B121" s="288" t="s">
        <v>24756</v>
      </c>
      <c r="C121" s="288" t="s">
        <v>17859</v>
      </c>
      <c r="D121" s="289" t="s">
        <v>24497</v>
      </c>
      <c r="E121" s="290" t="s">
        <v>3244</v>
      </c>
      <c r="F121" s="292">
        <v>16.5</v>
      </c>
      <c r="G121" s="510">
        <v>12.42</v>
      </c>
      <c r="H121" s="508">
        <v>0.2094</v>
      </c>
      <c r="I121" s="510">
        <v>15.020748000000001</v>
      </c>
      <c r="J121" s="509">
        <v>247.84234200000003</v>
      </c>
      <c r="K121" s="409"/>
      <c r="L121" s="447">
        <f t="shared" si="1"/>
        <v>247.84234200000003</v>
      </c>
      <c r="M121" s="409"/>
      <c r="N121" s="409"/>
      <c r="O121" s="409"/>
      <c r="P121" s="409"/>
      <c r="Q121" s="409"/>
      <c r="R121" s="409"/>
      <c r="S121" s="409"/>
    </row>
    <row r="122" spans="1:19" s="140" customFormat="1" ht="51">
      <c r="A122" s="256" t="s">
        <v>3260</v>
      </c>
      <c r="B122" s="288" t="s">
        <v>24757</v>
      </c>
      <c r="C122" s="288" t="s">
        <v>17860</v>
      </c>
      <c r="D122" s="289" t="s">
        <v>24498</v>
      </c>
      <c r="E122" s="290" t="s">
        <v>3244</v>
      </c>
      <c r="F122" s="292">
        <v>104.2</v>
      </c>
      <c r="G122" s="510">
        <v>13.68</v>
      </c>
      <c r="H122" s="508">
        <v>0.2094</v>
      </c>
      <c r="I122" s="510">
        <v>16.544592000000002</v>
      </c>
      <c r="J122" s="509">
        <v>1723.9464864000001</v>
      </c>
      <c r="K122" s="409"/>
      <c r="L122" s="447">
        <f t="shared" si="1"/>
        <v>1723.9464864000001</v>
      </c>
      <c r="M122" s="409"/>
      <c r="N122" s="409"/>
      <c r="O122" s="409"/>
      <c r="P122" s="409"/>
      <c r="Q122" s="409"/>
      <c r="R122" s="409"/>
      <c r="S122" s="409"/>
    </row>
    <row r="123" spans="1:19" s="140" customFormat="1" ht="51">
      <c r="A123" s="256" t="s">
        <v>3260</v>
      </c>
      <c r="B123" s="288" t="s">
        <v>24805</v>
      </c>
      <c r="C123" s="288" t="s">
        <v>17861</v>
      </c>
      <c r="D123" s="289" t="s">
        <v>24513</v>
      </c>
      <c r="E123" s="290" t="s">
        <v>3244</v>
      </c>
      <c r="F123" s="292">
        <v>114.5</v>
      </c>
      <c r="G123" s="510">
        <v>11.3</v>
      </c>
      <c r="H123" s="508">
        <v>0.2094</v>
      </c>
      <c r="I123" s="510">
        <v>13.666220000000001</v>
      </c>
      <c r="J123" s="509">
        <v>1564.7821900000001</v>
      </c>
      <c r="K123" s="409"/>
      <c r="L123" s="447">
        <f t="shared" ref="L123" si="14">I123*F123</f>
        <v>1564.7821900000001</v>
      </c>
      <c r="M123" s="409"/>
      <c r="N123" s="409"/>
      <c r="O123" s="409"/>
      <c r="P123" s="409"/>
      <c r="Q123" s="409"/>
      <c r="R123" s="409"/>
      <c r="S123" s="409"/>
    </row>
    <row r="124" spans="1:19" s="140" customFormat="1" ht="38.25">
      <c r="A124" s="256" t="s">
        <v>3260</v>
      </c>
      <c r="B124" s="288" t="s">
        <v>24806</v>
      </c>
      <c r="C124" s="288" t="s">
        <v>17862</v>
      </c>
      <c r="D124" s="289" t="s">
        <v>7555</v>
      </c>
      <c r="E124" s="290" t="s">
        <v>109</v>
      </c>
      <c r="F124" s="292">
        <v>678</v>
      </c>
      <c r="G124" s="510">
        <v>0.62</v>
      </c>
      <c r="H124" s="508">
        <v>0.2094</v>
      </c>
      <c r="I124" s="510">
        <v>0.74982800000000005</v>
      </c>
      <c r="J124" s="509">
        <v>508.38338400000004</v>
      </c>
      <c r="K124" s="409"/>
      <c r="L124" s="447">
        <f t="shared" ref="L124:L126" si="15">I124*F124</f>
        <v>508.38338400000004</v>
      </c>
      <c r="M124" s="409"/>
      <c r="N124" s="409"/>
      <c r="O124" s="409"/>
      <c r="P124" s="409"/>
      <c r="Q124" s="409"/>
      <c r="R124" s="409"/>
      <c r="S124" s="409"/>
    </row>
    <row r="125" spans="1:19" s="140" customFormat="1" ht="15.75" customHeight="1">
      <c r="A125" s="256" t="s">
        <v>3260</v>
      </c>
      <c r="B125" s="288" t="s">
        <v>24807</v>
      </c>
      <c r="C125" s="288" t="s">
        <v>17869</v>
      </c>
      <c r="D125" s="289" t="s">
        <v>7750</v>
      </c>
      <c r="E125" s="290" t="s">
        <v>109</v>
      </c>
      <c r="F125" s="292">
        <v>84</v>
      </c>
      <c r="G125" s="510">
        <v>0.3</v>
      </c>
      <c r="H125" s="508">
        <v>0.2094</v>
      </c>
      <c r="I125" s="510">
        <v>0.36281999999999998</v>
      </c>
      <c r="J125" s="509">
        <v>30.476879999999998</v>
      </c>
      <c r="K125" s="409"/>
      <c r="L125" s="447">
        <f t="shared" ref="L125" si="16">I125*F125</f>
        <v>30.476879999999998</v>
      </c>
      <c r="M125" s="409"/>
      <c r="N125" s="409"/>
      <c r="O125" s="409"/>
      <c r="P125" s="409"/>
      <c r="Q125" s="409"/>
      <c r="R125" s="409"/>
      <c r="S125" s="409"/>
    </row>
    <row r="126" spans="1:19" s="140" customFormat="1" ht="38.25">
      <c r="A126" s="256" t="s">
        <v>3259</v>
      </c>
      <c r="B126" s="288" t="s">
        <v>24808</v>
      </c>
      <c r="C126" s="756">
        <v>100716</v>
      </c>
      <c r="D126" s="289" t="s">
        <v>10981</v>
      </c>
      <c r="E126" s="290" t="s">
        <v>193</v>
      </c>
      <c r="F126" s="292">
        <v>1191.3399999999999</v>
      </c>
      <c r="G126" s="510" t="s">
        <v>11511</v>
      </c>
      <c r="H126" s="508">
        <v>0.2094</v>
      </c>
      <c r="I126" s="510">
        <v>29.56983</v>
      </c>
      <c r="J126" s="509">
        <v>35227.721272199997</v>
      </c>
      <c r="K126" s="409"/>
      <c r="L126" s="447">
        <f t="shared" si="15"/>
        <v>35227.721272199997</v>
      </c>
      <c r="M126" s="409"/>
      <c r="N126" s="409"/>
      <c r="O126" s="409"/>
      <c r="P126" s="409"/>
      <c r="Q126" s="409"/>
      <c r="R126" s="409"/>
      <c r="S126" s="409"/>
    </row>
    <row r="127" spans="1:19" s="140" customFormat="1" ht="51">
      <c r="A127" s="256" t="s">
        <v>3260</v>
      </c>
      <c r="B127" s="288" t="s">
        <v>24809</v>
      </c>
      <c r="C127" s="288" t="s">
        <v>17863</v>
      </c>
      <c r="D127" s="289" t="s">
        <v>17864</v>
      </c>
      <c r="E127" s="290" t="s">
        <v>193</v>
      </c>
      <c r="F127" s="292">
        <v>1191.3399999999999</v>
      </c>
      <c r="G127" s="510">
        <v>16.18</v>
      </c>
      <c r="H127" s="508">
        <v>0.2094</v>
      </c>
      <c r="I127" s="510">
        <v>19.568092</v>
      </c>
      <c r="J127" s="509">
        <v>23312.250723279998</v>
      </c>
      <c r="K127" s="409"/>
      <c r="L127" s="447">
        <f t="shared" si="1"/>
        <v>23312.250723279998</v>
      </c>
      <c r="M127" s="409"/>
      <c r="N127" s="409"/>
      <c r="O127" s="409"/>
      <c r="P127" s="409"/>
      <c r="Q127" s="409"/>
      <c r="R127" s="409"/>
      <c r="S127" s="409"/>
    </row>
    <row r="128" spans="1:19" s="140" customFormat="1" ht="51">
      <c r="A128" s="256" t="s">
        <v>3260</v>
      </c>
      <c r="B128" s="288" t="s">
        <v>24810</v>
      </c>
      <c r="C128" s="288" t="s">
        <v>24793</v>
      </c>
      <c r="D128" s="289" t="s">
        <v>24804</v>
      </c>
      <c r="E128" s="290" t="s">
        <v>193</v>
      </c>
      <c r="F128" s="292">
        <v>119.134</v>
      </c>
      <c r="G128" s="510">
        <v>13.02</v>
      </c>
      <c r="H128" s="508">
        <v>0.2094</v>
      </c>
      <c r="I128" s="510">
        <v>15.746388</v>
      </c>
      <c r="J128" s="509">
        <v>1875.9301879919999</v>
      </c>
      <c r="K128" s="409"/>
      <c r="L128" s="447">
        <f t="shared" ref="L128" si="17">I128*F128</f>
        <v>1875.9301879919999</v>
      </c>
      <c r="M128" s="409"/>
      <c r="N128" s="409" t="s">
        <v>24813</v>
      </c>
      <c r="O128" s="409"/>
      <c r="P128" s="409"/>
      <c r="Q128" s="409"/>
      <c r="R128" s="409"/>
      <c r="S128" s="409"/>
    </row>
    <row r="129" spans="1:19" s="140" customFormat="1" ht="63.75">
      <c r="A129" s="256" t="s">
        <v>3260</v>
      </c>
      <c r="B129" s="288" t="s">
        <v>24811</v>
      </c>
      <c r="C129" s="288" t="s">
        <v>17866</v>
      </c>
      <c r="D129" s="289" t="s">
        <v>24511</v>
      </c>
      <c r="E129" s="290" t="s">
        <v>193</v>
      </c>
      <c r="F129" s="292">
        <v>1191.3399999999999</v>
      </c>
      <c r="G129" s="510">
        <v>15.92</v>
      </c>
      <c r="H129" s="508">
        <v>0.2094</v>
      </c>
      <c r="I129" s="510">
        <v>19.253648000000002</v>
      </c>
      <c r="J129" s="509">
        <v>22937.641008319999</v>
      </c>
      <c r="K129" s="409"/>
      <c r="L129" s="447">
        <f t="shared" si="1"/>
        <v>22937.641008319999</v>
      </c>
      <c r="M129" s="409"/>
      <c r="N129" s="409"/>
      <c r="O129" s="409"/>
      <c r="P129" s="409"/>
      <c r="Q129" s="409"/>
      <c r="R129" s="409"/>
      <c r="S129" s="409"/>
    </row>
    <row r="130" spans="1:19" s="92" customFormat="1">
      <c r="A130" s="256"/>
      <c r="B130" s="391"/>
      <c r="C130" s="391"/>
      <c r="D130" s="401"/>
      <c r="E130" s="391"/>
      <c r="F130" s="417"/>
      <c r="G130" s="417"/>
      <c r="H130" s="417"/>
      <c r="I130" s="417"/>
      <c r="J130" s="418"/>
      <c r="K130" s="298"/>
      <c r="L130" s="447">
        <f t="shared" si="1"/>
        <v>0</v>
      </c>
      <c r="M130" s="447"/>
      <c r="N130" s="298"/>
      <c r="O130" s="298"/>
      <c r="P130" s="298"/>
      <c r="Q130" s="298"/>
      <c r="R130" s="298"/>
      <c r="S130" s="298"/>
    </row>
    <row r="131" spans="1:19" s="92" customFormat="1" ht="25.5">
      <c r="A131" s="256"/>
      <c r="B131" s="287" t="s">
        <v>24762</v>
      </c>
      <c r="C131" s="287"/>
      <c r="D131" s="400" t="s">
        <v>24763</v>
      </c>
      <c r="E131" s="391"/>
      <c r="F131" s="417"/>
      <c r="G131" s="417"/>
      <c r="H131" s="417"/>
      <c r="I131" s="417"/>
      <c r="J131" s="418"/>
      <c r="K131" s="298"/>
      <c r="L131" s="447">
        <f t="shared" ref="L131:L149" si="18">I131*F131</f>
        <v>0</v>
      </c>
      <c r="M131" s="447"/>
      <c r="N131" s="298"/>
      <c r="O131" s="298"/>
      <c r="P131" s="298"/>
      <c r="Q131" s="298"/>
      <c r="R131" s="298"/>
      <c r="S131" s="298"/>
    </row>
    <row r="132" spans="1:19" s="92" customFormat="1" ht="25.5">
      <c r="A132" s="256" t="s">
        <v>3260</v>
      </c>
      <c r="B132" s="288" t="s">
        <v>24766</v>
      </c>
      <c r="C132" s="288" t="s">
        <v>24780</v>
      </c>
      <c r="D132" s="289" t="s">
        <v>24782</v>
      </c>
      <c r="E132" s="290" t="s">
        <v>3244</v>
      </c>
      <c r="F132" s="292">
        <v>5194.0999999999995</v>
      </c>
      <c r="G132" s="510">
        <v>1.8</v>
      </c>
      <c r="H132" s="508">
        <v>0.2094</v>
      </c>
      <c r="I132" s="510">
        <v>2.17692</v>
      </c>
      <c r="J132" s="509">
        <v>11307.140171999999</v>
      </c>
      <c r="K132" s="409"/>
      <c r="L132" s="447">
        <f t="shared" si="18"/>
        <v>11307.140171999999</v>
      </c>
      <c r="M132" s="447"/>
      <c r="N132" s="298"/>
      <c r="O132" s="298"/>
      <c r="P132" s="298"/>
      <c r="Q132" s="298"/>
      <c r="R132" s="298"/>
      <c r="S132" s="298"/>
    </row>
    <row r="133" spans="1:19" s="92" customFormat="1" ht="63.75">
      <c r="A133" s="256" t="s">
        <v>3259</v>
      </c>
      <c r="B133" s="288" t="s">
        <v>24767</v>
      </c>
      <c r="C133" s="288">
        <v>100999</v>
      </c>
      <c r="D133" s="289" t="s">
        <v>13871</v>
      </c>
      <c r="E133" s="290" t="s">
        <v>2503</v>
      </c>
      <c r="F133" s="292">
        <v>5.1940999999999997</v>
      </c>
      <c r="G133" s="510" t="s">
        <v>21504</v>
      </c>
      <c r="H133" s="508">
        <v>0.2094</v>
      </c>
      <c r="I133" s="510">
        <v>5.0552919999999997</v>
      </c>
      <c r="J133" s="509">
        <v>26.257692177199996</v>
      </c>
      <c r="K133" s="409"/>
      <c r="L133" s="447">
        <f t="shared" ref="L133:L134" si="19">I133*F133</f>
        <v>26.257692177199996</v>
      </c>
      <c r="M133" s="447"/>
      <c r="N133" s="298"/>
      <c r="O133" s="298"/>
      <c r="P133" s="298"/>
      <c r="Q133" s="298"/>
      <c r="R133" s="298"/>
      <c r="S133" s="298"/>
    </row>
    <row r="134" spans="1:19" s="92" customFormat="1" ht="38.25">
      <c r="A134" s="256" t="s">
        <v>3259</v>
      </c>
      <c r="B134" s="288" t="s">
        <v>24769</v>
      </c>
      <c r="C134" s="288">
        <v>95879</v>
      </c>
      <c r="D134" s="289" t="s">
        <v>13801</v>
      </c>
      <c r="E134" s="290" t="s">
        <v>2502</v>
      </c>
      <c r="F134" s="292">
        <v>88.299700000000001</v>
      </c>
      <c r="G134" s="510" t="s">
        <v>9828</v>
      </c>
      <c r="H134" s="508">
        <v>0.2094</v>
      </c>
      <c r="I134" s="510">
        <v>1.2335880000000001</v>
      </c>
      <c r="J134" s="509">
        <v>108.92545032360002</v>
      </c>
      <c r="K134" s="409"/>
      <c r="L134" s="447">
        <f t="shared" si="19"/>
        <v>108.92545032360002</v>
      </c>
      <c r="M134" s="447"/>
      <c r="N134" s="447" t="s">
        <v>24584</v>
      </c>
      <c r="O134" s="298"/>
      <c r="P134" s="298"/>
      <c r="Q134" s="298"/>
      <c r="R134" s="298"/>
      <c r="S134" s="298"/>
    </row>
    <row r="135" spans="1:19" s="92" customFormat="1" ht="25.5">
      <c r="A135" s="256" t="s">
        <v>3259</v>
      </c>
      <c r="B135" s="288" t="s">
        <v>24770</v>
      </c>
      <c r="C135" s="288" t="s">
        <v>18142</v>
      </c>
      <c r="D135" s="289" t="s">
        <v>18140</v>
      </c>
      <c r="E135" s="290" t="s">
        <v>2503</v>
      </c>
      <c r="F135" s="292">
        <v>5.1940999999999997</v>
      </c>
      <c r="G135" s="510">
        <v>12.23</v>
      </c>
      <c r="H135" s="508">
        <v>0.2094</v>
      </c>
      <c r="I135" s="510">
        <v>14.790962</v>
      </c>
      <c r="J135" s="509">
        <v>76.825735724200001</v>
      </c>
      <c r="K135" s="409"/>
      <c r="L135" s="447">
        <f t="shared" ref="L135" si="20">I135*F135</f>
        <v>76.825735724200001</v>
      </c>
      <c r="M135" s="447"/>
      <c r="N135" s="447" t="s">
        <v>18141</v>
      </c>
      <c r="O135" s="298"/>
      <c r="P135" s="298"/>
      <c r="Q135" s="298"/>
      <c r="R135" s="298"/>
      <c r="S135" s="298"/>
    </row>
    <row r="136" spans="1:19" s="92" customFormat="1" ht="38.25">
      <c r="A136" s="256" t="s">
        <v>3260</v>
      </c>
      <c r="B136" s="288" t="s">
        <v>24771</v>
      </c>
      <c r="C136" s="288" t="s">
        <v>24784</v>
      </c>
      <c r="D136" s="289" t="s">
        <v>24791</v>
      </c>
      <c r="E136" s="290" t="s">
        <v>193</v>
      </c>
      <c r="F136" s="292">
        <v>450</v>
      </c>
      <c r="G136" s="510">
        <v>1.97</v>
      </c>
      <c r="H136" s="508">
        <v>0.2094</v>
      </c>
      <c r="I136" s="510">
        <v>2.3825180000000001</v>
      </c>
      <c r="J136" s="509">
        <v>1072.1331</v>
      </c>
      <c r="K136" s="409"/>
      <c r="L136" s="447">
        <f t="shared" ref="L136" si="21">I136*F136</f>
        <v>1072.1331</v>
      </c>
      <c r="M136" s="447"/>
      <c r="N136" s="298"/>
      <c r="O136" s="298"/>
      <c r="P136" s="298"/>
      <c r="Q136" s="298"/>
      <c r="R136" s="298"/>
      <c r="S136" s="298"/>
    </row>
    <row r="137" spans="1:19" s="92" customFormat="1" ht="25.5">
      <c r="A137" s="256" t="s">
        <v>3259</v>
      </c>
      <c r="B137" s="288" t="s">
        <v>24772</v>
      </c>
      <c r="C137" s="288">
        <v>99814</v>
      </c>
      <c r="D137" s="289" t="s">
        <v>4483</v>
      </c>
      <c r="E137" s="290" t="s">
        <v>193</v>
      </c>
      <c r="F137" s="292">
        <v>900</v>
      </c>
      <c r="G137" s="510" t="s">
        <v>12214</v>
      </c>
      <c r="H137" s="508">
        <v>0.2094</v>
      </c>
      <c r="I137" s="510">
        <v>1.8987580000000002</v>
      </c>
      <c r="J137" s="509">
        <v>1708.8822000000002</v>
      </c>
      <c r="K137" s="409"/>
      <c r="L137" s="447">
        <f t="shared" ref="L137:L138" si="22">I137*F137</f>
        <v>1708.8822000000002</v>
      </c>
      <c r="M137" s="447"/>
      <c r="N137" s="298"/>
      <c r="O137" s="298"/>
      <c r="P137" s="298"/>
      <c r="Q137" s="298"/>
      <c r="R137" s="298"/>
      <c r="S137" s="298"/>
    </row>
    <row r="138" spans="1:19" s="92" customFormat="1" ht="25.5">
      <c r="A138" s="256" t="s">
        <v>3260</v>
      </c>
      <c r="B138" s="288" t="s">
        <v>24773</v>
      </c>
      <c r="C138" s="288" t="s">
        <v>24792</v>
      </c>
      <c r="D138" s="289" t="s">
        <v>24794</v>
      </c>
      <c r="E138" s="290" t="s">
        <v>193</v>
      </c>
      <c r="F138" s="292">
        <v>450</v>
      </c>
      <c r="G138" s="510">
        <v>1.73</v>
      </c>
      <c r="H138" s="508">
        <v>0.2094</v>
      </c>
      <c r="I138" s="510">
        <v>2.0922619999999998</v>
      </c>
      <c r="J138" s="509">
        <v>941.51789999999994</v>
      </c>
      <c r="K138" s="409"/>
      <c r="L138" s="447">
        <f t="shared" si="22"/>
        <v>941.51789999999994</v>
      </c>
      <c r="M138" s="447"/>
      <c r="N138" s="298"/>
      <c r="O138" s="298"/>
      <c r="P138" s="298"/>
      <c r="Q138" s="298"/>
      <c r="R138" s="298"/>
      <c r="S138" s="298"/>
    </row>
    <row r="139" spans="1:19" s="92" customFormat="1" ht="51">
      <c r="A139" s="256" t="s">
        <v>3260</v>
      </c>
      <c r="B139" s="288" t="s">
        <v>24774</v>
      </c>
      <c r="C139" s="288" t="s">
        <v>24764</v>
      </c>
      <c r="D139" s="289" t="s">
        <v>24765</v>
      </c>
      <c r="E139" s="290" t="s">
        <v>3244</v>
      </c>
      <c r="F139" s="292">
        <v>298</v>
      </c>
      <c r="G139" s="510">
        <v>11.96</v>
      </c>
      <c r="H139" s="508">
        <v>0.2094</v>
      </c>
      <c r="I139" s="510">
        <v>14.464424000000001</v>
      </c>
      <c r="J139" s="509">
        <v>4310.3983520000002</v>
      </c>
      <c r="K139" s="409"/>
      <c r="L139" s="447">
        <f t="shared" ref="L139" si="23">I139*F139</f>
        <v>4310.3983520000002</v>
      </c>
      <c r="M139" s="447"/>
      <c r="N139" s="298"/>
      <c r="O139" s="298"/>
      <c r="P139" s="298"/>
      <c r="Q139" s="298"/>
      <c r="R139" s="298"/>
      <c r="S139" s="298"/>
    </row>
    <row r="140" spans="1:19" s="92" customFormat="1" ht="51">
      <c r="A140" s="256" t="s">
        <v>3260</v>
      </c>
      <c r="B140" s="288" t="s">
        <v>24775</v>
      </c>
      <c r="C140" s="288" t="s">
        <v>17856</v>
      </c>
      <c r="D140" s="289" t="s">
        <v>24495</v>
      </c>
      <c r="E140" s="290" t="s">
        <v>3244</v>
      </c>
      <c r="F140" s="292">
        <v>2275.9</v>
      </c>
      <c r="G140" s="510">
        <v>11.96</v>
      </c>
      <c r="H140" s="508">
        <v>0.2094</v>
      </c>
      <c r="I140" s="510">
        <v>14.464424000000001</v>
      </c>
      <c r="J140" s="509">
        <v>32919.582581600007</v>
      </c>
      <c r="K140" s="409"/>
      <c r="L140" s="447">
        <f t="shared" ref="L140:L144" si="24">I140*F140</f>
        <v>32919.582581600007</v>
      </c>
      <c r="M140" s="447"/>
      <c r="N140" s="298"/>
      <c r="O140" s="298"/>
      <c r="P140" s="298"/>
      <c r="Q140" s="298"/>
      <c r="R140" s="298"/>
      <c r="S140" s="298"/>
    </row>
    <row r="141" spans="1:19" s="92" customFormat="1" ht="51">
      <c r="A141" s="256" t="s">
        <v>3260</v>
      </c>
      <c r="B141" s="288" t="s">
        <v>24777</v>
      </c>
      <c r="C141" s="288" t="s">
        <v>17854</v>
      </c>
      <c r="D141" s="289" t="s">
        <v>24493</v>
      </c>
      <c r="E141" s="290" t="s">
        <v>3244</v>
      </c>
      <c r="F141" s="292">
        <v>1058.8</v>
      </c>
      <c r="G141" s="510">
        <v>10.62</v>
      </c>
      <c r="H141" s="508">
        <v>0.2094</v>
      </c>
      <c r="I141" s="510">
        <v>12.843828</v>
      </c>
      <c r="J141" s="509">
        <v>13599.045086399999</v>
      </c>
      <c r="K141" s="409"/>
      <c r="L141" s="447">
        <f t="shared" si="24"/>
        <v>13599.045086399999</v>
      </c>
      <c r="M141" s="447"/>
      <c r="N141" s="298"/>
      <c r="O141" s="298"/>
      <c r="P141" s="298"/>
      <c r="Q141" s="298"/>
      <c r="R141" s="298"/>
      <c r="S141" s="298"/>
    </row>
    <row r="142" spans="1:19" s="92" customFormat="1" ht="51">
      <c r="A142" s="256" t="s">
        <v>3260</v>
      </c>
      <c r="B142" s="288" t="s">
        <v>24778</v>
      </c>
      <c r="C142" s="288" t="s">
        <v>17861</v>
      </c>
      <c r="D142" s="289" t="s">
        <v>24513</v>
      </c>
      <c r="E142" s="290" t="s">
        <v>3244</v>
      </c>
      <c r="F142" s="292">
        <v>671.2</v>
      </c>
      <c r="G142" s="510">
        <v>11.3</v>
      </c>
      <c r="H142" s="508">
        <v>0.2094</v>
      </c>
      <c r="I142" s="510">
        <v>13.666220000000001</v>
      </c>
      <c r="J142" s="509">
        <v>9172.7668640000011</v>
      </c>
      <c r="K142" s="409"/>
      <c r="L142" s="447">
        <f t="shared" si="24"/>
        <v>9172.7668640000011</v>
      </c>
      <c r="M142" s="447"/>
      <c r="N142" s="298"/>
      <c r="O142" s="298"/>
      <c r="P142" s="298"/>
      <c r="Q142" s="298"/>
      <c r="R142" s="298"/>
      <c r="S142" s="298"/>
    </row>
    <row r="143" spans="1:19" s="92" customFormat="1" ht="51">
      <c r="A143" s="256" t="s">
        <v>3260</v>
      </c>
      <c r="B143" s="288" t="s">
        <v>24779</v>
      </c>
      <c r="C143" s="288" t="s">
        <v>24768</v>
      </c>
      <c r="D143" s="289" t="s">
        <v>24776</v>
      </c>
      <c r="E143" s="290" t="s">
        <v>3244</v>
      </c>
      <c r="F143" s="292">
        <v>890.19999999999993</v>
      </c>
      <c r="G143" s="510">
        <v>12.58</v>
      </c>
      <c r="H143" s="508">
        <v>0.2094</v>
      </c>
      <c r="I143" s="510">
        <v>15.214252</v>
      </c>
      <c r="J143" s="509">
        <v>13543.727130399999</v>
      </c>
      <c r="K143" s="409"/>
      <c r="L143" s="447">
        <f t="shared" si="24"/>
        <v>13543.727130399999</v>
      </c>
      <c r="M143" s="447"/>
      <c r="N143" s="298"/>
      <c r="O143" s="298"/>
      <c r="P143" s="298"/>
      <c r="Q143" s="298"/>
      <c r="R143" s="298"/>
      <c r="S143" s="298"/>
    </row>
    <row r="144" spans="1:19" s="140" customFormat="1" ht="38.25">
      <c r="A144" s="256" t="s">
        <v>3259</v>
      </c>
      <c r="B144" s="288" t="s">
        <v>24799</v>
      </c>
      <c r="C144" s="756">
        <v>100716</v>
      </c>
      <c r="D144" s="289" t="s">
        <v>10981</v>
      </c>
      <c r="E144" s="290" t="s">
        <v>193</v>
      </c>
      <c r="F144" s="292">
        <v>582.29999999999995</v>
      </c>
      <c r="G144" s="510" t="s">
        <v>11511</v>
      </c>
      <c r="H144" s="508">
        <v>0.2094</v>
      </c>
      <c r="I144" s="510">
        <v>29.56983</v>
      </c>
      <c r="J144" s="509">
        <v>17218.512008999998</v>
      </c>
      <c r="K144" s="409"/>
      <c r="L144" s="447">
        <f t="shared" si="24"/>
        <v>17218.512008999998</v>
      </c>
      <c r="M144" s="409"/>
      <c r="N144" s="409" t="s">
        <v>24783</v>
      </c>
      <c r="O144" s="409"/>
      <c r="P144" s="409"/>
      <c r="Q144" s="409"/>
      <c r="R144" s="409"/>
      <c r="S144" s="409"/>
    </row>
    <row r="145" spans="1:19" s="92" customFormat="1" ht="25.5">
      <c r="A145" s="256" t="s">
        <v>3259</v>
      </c>
      <c r="B145" s="288" t="s">
        <v>24800</v>
      </c>
      <c r="C145" s="756">
        <v>100717</v>
      </c>
      <c r="D145" s="289" t="s">
        <v>10982</v>
      </c>
      <c r="E145" s="290" t="s">
        <v>193</v>
      </c>
      <c r="F145" s="292">
        <v>450</v>
      </c>
      <c r="G145" s="510" t="s">
        <v>10910</v>
      </c>
      <c r="H145" s="508">
        <v>0.2094</v>
      </c>
      <c r="I145" s="510">
        <v>10.038020000000001</v>
      </c>
      <c r="J145" s="509">
        <v>4517.1090000000004</v>
      </c>
      <c r="K145" s="409"/>
      <c r="L145" s="447">
        <f t="shared" ref="L145:L148" si="25">I145*F145</f>
        <v>4517.1090000000004</v>
      </c>
      <c r="M145" s="447"/>
      <c r="N145" s="298" t="s">
        <v>24748</v>
      </c>
      <c r="O145" s="298"/>
      <c r="P145" s="298"/>
      <c r="Q145" s="298"/>
      <c r="R145" s="298"/>
      <c r="S145" s="298"/>
    </row>
    <row r="146" spans="1:19" s="92" customFormat="1" ht="51">
      <c r="A146" s="256" t="s">
        <v>3260</v>
      </c>
      <c r="B146" s="288" t="s">
        <v>24801</v>
      </c>
      <c r="C146" s="288" t="s">
        <v>17863</v>
      </c>
      <c r="D146" s="289" t="s">
        <v>17864</v>
      </c>
      <c r="E146" s="290" t="s">
        <v>193</v>
      </c>
      <c r="F146" s="292">
        <v>1032.3</v>
      </c>
      <c r="G146" s="510">
        <v>16.18</v>
      </c>
      <c r="H146" s="508">
        <v>0.2094</v>
      </c>
      <c r="I146" s="510">
        <v>19.568092</v>
      </c>
      <c r="J146" s="509">
        <v>20200.141371599999</v>
      </c>
      <c r="K146" s="409"/>
      <c r="L146" s="447">
        <f t="shared" si="25"/>
        <v>20200.141371599999</v>
      </c>
      <c r="M146" s="447"/>
      <c r="N146" s="298"/>
      <c r="O146" s="298"/>
      <c r="P146" s="298"/>
      <c r="Q146" s="298"/>
      <c r="R146" s="298"/>
      <c r="S146" s="298"/>
    </row>
    <row r="147" spans="1:19" s="140" customFormat="1" ht="51">
      <c r="A147" s="256" t="s">
        <v>3260</v>
      </c>
      <c r="B147" s="288" t="s">
        <v>24802</v>
      </c>
      <c r="C147" s="288" t="s">
        <v>24793</v>
      </c>
      <c r="D147" s="289" t="s">
        <v>24804</v>
      </c>
      <c r="E147" s="290" t="s">
        <v>193</v>
      </c>
      <c r="F147" s="292">
        <v>103.23</v>
      </c>
      <c r="G147" s="510">
        <v>13.02</v>
      </c>
      <c r="H147" s="508">
        <v>0.2094</v>
      </c>
      <c r="I147" s="510">
        <v>15.746388</v>
      </c>
      <c r="J147" s="509">
        <v>1625.4996332400001</v>
      </c>
      <c r="K147" s="409"/>
      <c r="L147" s="447">
        <f t="shared" si="25"/>
        <v>1625.4996332400001</v>
      </c>
      <c r="M147" s="409"/>
      <c r="N147" s="409" t="s">
        <v>24813</v>
      </c>
      <c r="O147" s="409"/>
      <c r="P147" s="409"/>
      <c r="Q147" s="409"/>
      <c r="R147" s="409"/>
      <c r="S147" s="409"/>
    </row>
    <row r="148" spans="1:19" s="92" customFormat="1" ht="63.75">
      <c r="A148" s="256" t="s">
        <v>3260</v>
      </c>
      <c r="B148" s="288" t="s">
        <v>24812</v>
      </c>
      <c r="C148" s="288" t="s">
        <v>17866</v>
      </c>
      <c r="D148" s="289" t="s">
        <v>24511</v>
      </c>
      <c r="E148" s="290" t="s">
        <v>193</v>
      </c>
      <c r="F148" s="292">
        <v>1032.3</v>
      </c>
      <c r="G148" s="510">
        <v>15.92</v>
      </c>
      <c r="H148" s="508">
        <v>0.2094</v>
      </c>
      <c r="I148" s="510">
        <v>19.253648000000002</v>
      </c>
      <c r="J148" s="509">
        <v>19875.540830400001</v>
      </c>
      <c r="K148" s="409"/>
      <c r="L148" s="447">
        <f t="shared" si="25"/>
        <v>19875.540830400001</v>
      </c>
      <c r="M148" s="447"/>
      <c r="N148" s="298"/>
      <c r="O148" s="298"/>
      <c r="P148" s="298"/>
      <c r="Q148" s="298"/>
      <c r="R148" s="298"/>
      <c r="S148" s="298"/>
    </row>
    <row r="149" spans="1:19" s="92" customFormat="1">
      <c r="A149" s="256"/>
      <c r="B149" s="391"/>
      <c r="C149" s="391"/>
      <c r="D149" s="401"/>
      <c r="E149" s="391"/>
      <c r="F149" s="417"/>
      <c r="G149" s="417"/>
      <c r="H149" s="417"/>
      <c r="I149" s="417"/>
      <c r="J149" s="418"/>
      <c r="K149" s="298"/>
      <c r="L149" s="447">
        <f t="shared" si="18"/>
        <v>0</v>
      </c>
      <c r="M149" s="447"/>
      <c r="N149" s="298"/>
      <c r="O149" s="298"/>
      <c r="P149" s="298"/>
      <c r="Q149" s="298"/>
      <c r="R149" s="298"/>
      <c r="S149" s="298"/>
    </row>
    <row r="150" spans="1:19" s="92" customFormat="1">
      <c r="A150" s="256"/>
      <c r="B150" s="392"/>
      <c r="C150" s="393"/>
      <c r="D150" s="402"/>
      <c r="E150" s="393"/>
      <c r="F150" s="393"/>
      <c r="G150" s="460" t="s">
        <v>69</v>
      </c>
      <c r="H150" s="419"/>
      <c r="I150" s="460"/>
      <c r="J150" s="420">
        <v>667887.38308641559</v>
      </c>
      <c r="K150" s="447"/>
      <c r="L150" s="447">
        <f t="shared" si="1"/>
        <v>0</v>
      </c>
      <c r="M150" s="447"/>
      <c r="N150" s="298"/>
      <c r="O150" s="298"/>
      <c r="P150" s="298"/>
      <c r="Q150" s="298"/>
      <c r="R150" s="298"/>
      <c r="S150" s="298"/>
    </row>
    <row r="151" spans="1:19" s="92" customFormat="1">
      <c r="A151" s="256"/>
      <c r="B151" s="391"/>
      <c r="C151" s="391"/>
      <c r="D151" s="401"/>
      <c r="E151" s="391"/>
      <c r="F151" s="417"/>
      <c r="G151" s="417"/>
      <c r="H151" s="417"/>
      <c r="I151" s="417"/>
      <c r="J151" s="418"/>
      <c r="K151" s="298"/>
      <c r="L151" s="447">
        <f t="shared" si="1"/>
        <v>0</v>
      </c>
      <c r="M151" s="447"/>
      <c r="N151" s="298"/>
      <c r="O151" s="298"/>
      <c r="P151" s="298"/>
      <c r="Q151" s="298"/>
      <c r="R151" s="298"/>
      <c r="S151" s="298"/>
    </row>
    <row r="152" spans="1:19" s="92" customFormat="1">
      <c r="A152" s="256"/>
      <c r="B152" s="287" t="s">
        <v>181</v>
      </c>
      <c r="C152" s="287"/>
      <c r="D152" s="399" t="s">
        <v>182</v>
      </c>
      <c r="E152" s="413"/>
      <c r="F152" s="413"/>
      <c r="G152" s="461"/>
      <c r="H152" s="413"/>
      <c r="I152" s="461"/>
      <c r="J152" s="414"/>
      <c r="K152" s="298"/>
      <c r="L152" s="447">
        <f t="shared" si="1"/>
        <v>0</v>
      </c>
      <c r="M152" s="447"/>
      <c r="N152" s="298"/>
      <c r="O152" s="298"/>
      <c r="P152" s="298"/>
      <c r="Q152" s="298"/>
      <c r="R152" s="298"/>
      <c r="S152" s="298"/>
    </row>
    <row r="153" spans="1:19" s="92" customFormat="1">
      <c r="A153" s="256"/>
      <c r="B153" s="287" t="s">
        <v>194</v>
      </c>
      <c r="C153" s="287"/>
      <c r="D153" s="400" t="s">
        <v>195</v>
      </c>
      <c r="E153" s="415"/>
      <c r="F153" s="415"/>
      <c r="G153" s="462"/>
      <c r="H153" s="415"/>
      <c r="I153" s="462"/>
      <c r="J153" s="416"/>
      <c r="K153" s="298"/>
      <c r="L153" s="447">
        <f t="shared" si="1"/>
        <v>0</v>
      </c>
      <c r="M153" s="447"/>
      <c r="N153" s="298"/>
      <c r="O153" s="298"/>
      <c r="P153" s="298"/>
      <c r="Q153" s="298"/>
      <c r="R153" s="298"/>
      <c r="S153" s="298"/>
    </row>
    <row r="154" spans="1:19" s="92" customFormat="1">
      <c r="A154" s="256"/>
      <c r="B154" s="287" t="s">
        <v>15595</v>
      </c>
      <c r="C154" s="287"/>
      <c r="D154" s="400" t="s">
        <v>15596</v>
      </c>
      <c r="E154" s="415"/>
      <c r="F154" s="415"/>
      <c r="G154" s="462"/>
      <c r="H154" s="415"/>
      <c r="I154" s="462"/>
      <c r="J154" s="416"/>
      <c r="K154" s="298"/>
      <c r="L154" s="447">
        <f t="shared" si="1"/>
        <v>0</v>
      </c>
      <c r="M154" s="447"/>
      <c r="N154" s="298"/>
      <c r="O154" s="298"/>
      <c r="P154" s="298"/>
      <c r="Q154" s="298"/>
      <c r="R154" s="298"/>
      <c r="S154" s="298"/>
    </row>
    <row r="155" spans="1:19" s="140" customFormat="1" ht="89.25">
      <c r="A155" s="394" t="s">
        <v>3259</v>
      </c>
      <c r="B155" s="285" t="s">
        <v>15597</v>
      </c>
      <c r="C155" s="285">
        <v>87519</v>
      </c>
      <c r="D155" s="289" t="s">
        <v>2552</v>
      </c>
      <c r="E155" s="290" t="s">
        <v>193</v>
      </c>
      <c r="F155" s="755">
        <v>652.32000000000005</v>
      </c>
      <c r="G155" s="510" t="s">
        <v>23742</v>
      </c>
      <c r="H155" s="508">
        <v>0.2094</v>
      </c>
      <c r="I155" s="510">
        <v>96.594778000000005</v>
      </c>
      <c r="J155" s="509">
        <v>63010.705584960007</v>
      </c>
      <c r="K155" s="409"/>
      <c r="L155" s="447">
        <f t="shared" si="1"/>
        <v>63010.705584960007</v>
      </c>
      <c r="M155" s="447"/>
      <c r="N155" s="409"/>
      <c r="O155" s="409"/>
      <c r="P155" s="409"/>
      <c r="Q155" s="409"/>
      <c r="R155" s="409"/>
      <c r="S155" s="409"/>
    </row>
    <row r="156" spans="1:19" s="140" customFormat="1" ht="51">
      <c r="A156" s="394" t="s">
        <v>3259</v>
      </c>
      <c r="B156" s="285" t="s">
        <v>15598</v>
      </c>
      <c r="C156" s="285">
        <v>102253</v>
      </c>
      <c r="D156" s="289" t="s">
        <v>13675</v>
      </c>
      <c r="E156" s="290" t="s">
        <v>193</v>
      </c>
      <c r="F156" s="755">
        <v>12.8</v>
      </c>
      <c r="G156" s="510" t="s">
        <v>23823</v>
      </c>
      <c r="H156" s="508">
        <v>0.2094</v>
      </c>
      <c r="I156" s="510">
        <v>915.84233800000004</v>
      </c>
      <c r="J156" s="509">
        <v>11722.781926400001</v>
      </c>
      <c r="K156" s="409"/>
      <c r="L156" s="447">
        <f t="shared" si="1"/>
        <v>11722.781926400001</v>
      </c>
      <c r="M156" s="447"/>
      <c r="N156" s="409"/>
      <c r="O156" s="409"/>
      <c r="P156" s="409"/>
      <c r="Q156" s="409"/>
      <c r="R156" s="409"/>
      <c r="S156" s="409"/>
    </row>
    <row r="157" spans="1:19" s="140" customFormat="1" ht="25.5">
      <c r="A157" s="394" t="s">
        <v>3259</v>
      </c>
      <c r="B157" s="285" t="s">
        <v>15599</v>
      </c>
      <c r="C157" s="285">
        <v>93202</v>
      </c>
      <c r="D157" s="289" t="s">
        <v>204</v>
      </c>
      <c r="E157" s="290" t="s">
        <v>5</v>
      </c>
      <c r="F157" s="755">
        <v>199.15</v>
      </c>
      <c r="G157" s="510" t="s">
        <v>16388</v>
      </c>
      <c r="H157" s="508">
        <v>0.2094</v>
      </c>
      <c r="I157" s="510">
        <v>29.606112</v>
      </c>
      <c r="J157" s="509">
        <v>5896.0572048000004</v>
      </c>
      <c r="K157" s="409"/>
      <c r="L157" s="447">
        <f t="shared" ref="L157:L233" si="26">I157*F157</f>
        <v>5896.0572048000004</v>
      </c>
      <c r="M157" s="447"/>
      <c r="N157" s="409"/>
      <c r="O157" s="409"/>
      <c r="P157" s="409"/>
      <c r="Q157" s="409"/>
      <c r="R157" s="409"/>
      <c r="S157" s="409"/>
    </row>
    <row r="158" spans="1:19" s="140" customFormat="1" ht="25.5">
      <c r="A158" s="394" t="s">
        <v>3259</v>
      </c>
      <c r="B158" s="285" t="s">
        <v>15600</v>
      </c>
      <c r="C158" s="285">
        <v>93182</v>
      </c>
      <c r="D158" s="289" t="s">
        <v>1484</v>
      </c>
      <c r="E158" s="290" t="s">
        <v>5</v>
      </c>
      <c r="F158" s="755">
        <v>26.7</v>
      </c>
      <c r="G158" s="510" t="s">
        <v>22512</v>
      </c>
      <c r="H158" s="508">
        <v>0.2094</v>
      </c>
      <c r="I158" s="510">
        <v>51.036680000000004</v>
      </c>
      <c r="J158" s="509">
        <v>1362.6793560000001</v>
      </c>
      <c r="K158" s="409"/>
      <c r="L158" s="447">
        <f t="shared" si="26"/>
        <v>1362.6793560000001</v>
      </c>
      <c r="M158" s="447"/>
      <c r="N158" s="409"/>
      <c r="O158" s="409"/>
      <c r="P158" s="409"/>
      <c r="Q158" s="409"/>
      <c r="R158" s="409"/>
      <c r="S158" s="409"/>
    </row>
    <row r="159" spans="1:19" s="140" customFormat="1" ht="25.5">
      <c r="A159" s="394" t="s">
        <v>3259</v>
      </c>
      <c r="B159" s="285" t="s">
        <v>15601</v>
      </c>
      <c r="C159" s="285">
        <v>93183</v>
      </c>
      <c r="D159" s="289" t="s">
        <v>1485</v>
      </c>
      <c r="E159" s="290" t="s">
        <v>5</v>
      </c>
      <c r="F159" s="755">
        <v>125.14</v>
      </c>
      <c r="G159" s="510" t="s">
        <v>20033</v>
      </c>
      <c r="H159" s="508">
        <v>0.2094</v>
      </c>
      <c r="I159" s="510">
        <v>65.380164000000008</v>
      </c>
      <c r="J159" s="509">
        <v>8181.6737229600012</v>
      </c>
      <c r="K159" s="409"/>
      <c r="L159" s="447">
        <f t="shared" si="26"/>
        <v>8181.6737229600012</v>
      </c>
      <c r="M159" s="447"/>
      <c r="N159" s="409"/>
      <c r="O159" s="409"/>
      <c r="P159" s="409"/>
      <c r="Q159" s="409"/>
      <c r="R159" s="409"/>
      <c r="S159" s="409"/>
    </row>
    <row r="160" spans="1:19" s="140" customFormat="1" ht="25.5">
      <c r="A160" s="394" t="s">
        <v>3259</v>
      </c>
      <c r="B160" s="285" t="s">
        <v>15602</v>
      </c>
      <c r="C160" s="285">
        <v>93184</v>
      </c>
      <c r="D160" s="289" t="s">
        <v>1486</v>
      </c>
      <c r="E160" s="290" t="s">
        <v>5</v>
      </c>
      <c r="F160" s="755">
        <v>61.6</v>
      </c>
      <c r="G160" s="510" t="s">
        <v>22513</v>
      </c>
      <c r="H160" s="508">
        <v>0.2094</v>
      </c>
      <c r="I160" s="510">
        <v>37.91469</v>
      </c>
      <c r="J160" s="509">
        <v>2335.5449039999999</v>
      </c>
      <c r="K160" s="409"/>
      <c r="L160" s="447">
        <f t="shared" si="26"/>
        <v>2335.5449039999999</v>
      </c>
      <c r="M160" s="447"/>
      <c r="N160" s="409"/>
      <c r="O160" s="409"/>
      <c r="P160" s="409"/>
      <c r="Q160" s="409"/>
      <c r="R160" s="409"/>
      <c r="S160" s="409"/>
    </row>
    <row r="161" spans="1:19" s="140" customFormat="1" ht="25.5">
      <c r="A161" s="394" t="s">
        <v>3259</v>
      </c>
      <c r="B161" s="285" t="s">
        <v>15603</v>
      </c>
      <c r="C161" s="285">
        <v>93185</v>
      </c>
      <c r="D161" s="289" t="s">
        <v>1487</v>
      </c>
      <c r="E161" s="290" t="s">
        <v>5</v>
      </c>
      <c r="F161" s="755">
        <v>2.2999999999999998</v>
      </c>
      <c r="G161" s="510" t="s">
        <v>10176</v>
      </c>
      <c r="H161" s="508">
        <v>0.2094</v>
      </c>
      <c r="I161" s="510">
        <v>64.412644</v>
      </c>
      <c r="J161" s="509">
        <v>148.14908119999998</v>
      </c>
      <c r="K161" s="409"/>
      <c r="L161" s="447">
        <f t="shared" si="26"/>
        <v>148.14908119999998</v>
      </c>
      <c r="M161" s="447"/>
      <c r="N161" s="409"/>
      <c r="O161" s="409"/>
      <c r="P161" s="409"/>
      <c r="Q161" s="409"/>
      <c r="R161" s="409"/>
      <c r="S161" s="409"/>
    </row>
    <row r="162" spans="1:19" s="140" customFormat="1" ht="25.5">
      <c r="A162" s="394" t="s">
        <v>3259</v>
      </c>
      <c r="B162" s="285" t="s">
        <v>15604</v>
      </c>
      <c r="C162" s="285">
        <v>93194</v>
      </c>
      <c r="D162" s="289" t="s">
        <v>1496</v>
      </c>
      <c r="E162" s="290" t="s">
        <v>5</v>
      </c>
      <c r="F162" s="755">
        <v>26.7</v>
      </c>
      <c r="G162" s="510" t="s">
        <v>22520</v>
      </c>
      <c r="H162" s="508">
        <v>0.2094</v>
      </c>
      <c r="I162" s="510">
        <v>50.020783999999999</v>
      </c>
      <c r="J162" s="509">
        <v>1335.5549328</v>
      </c>
      <c r="K162" s="409"/>
      <c r="L162" s="447">
        <f t="shared" si="26"/>
        <v>1335.5549328</v>
      </c>
      <c r="M162" s="447"/>
      <c r="N162" s="409"/>
      <c r="O162" s="409"/>
      <c r="P162" s="409"/>
      <c r="Q162" s="409"/>
      <c r="R162" s="409"/>
      <c r="S162" s="409"/>
    </row>
    <row r="163" spans="1:19" s="140" customFormat="1" ht="38.25">
      <c r="A163" s="394" t="s">
        <v>3259</v>
      </c>
      <c r="B163" s="285" t="s">
        <v>17468</v>
      </c>
      <c r="C163" s="285">
        <v>93195</v>
      </c>
      <c r="D163" s="289" t="s">
        <v>1497</v>
      </c>
      <c r="E163" s="290" t="s">
        <v>5</v>
      </c>
      <c r="F163" s="755">
        <v>166.36</v>
      </c>
      <c r="G163" s="510" t="s">
        <v>22521</v>
      </c>
      <c r="H163" s="508">
        <v>0.2094</v>
      </c>
      <c r="I163" s="510">
        <v>60.385342000000001</v>
      </c>
      <c r="J163" s="509">
        <v>10045.705495120001</v>
      </c>
      <c r="K163" s="409"/>
      <c r="L163" s="447">
        <f t="shared" si="26"/>
        <v>10045.705495120001</v>
      </c>
      <c r="M163" s="447"/>
      <c r="N163" s="409"/>
      <c r="O163" s="409"/>
      <c r="P163" s="409"/>
      <c r="Q163" s="409"/>
      <c r="R163" s="409"/>
      <c r="S163" s="409"/>
    </row>
    <row r="164" spans="1:19" s="92" customFormat="1">
      <c r="A164" s="256"/>
      <c r="B164" s="391"/>
      <c r="C164" s="391"/>
      <c r="D164" s="401"/>
      <c r="E164" s="391"/>
      <c r="F164" s="417"/>
      <c r="G164" s="417"/>
      <c r="H164" s="417"/>
      <c r="I164" s="417"/>
      <c r="J164" s="418"/>
      <c r="K164" s="298"/>
      <c r="L164" s="447">
        <f t="shared" si="26"/>
        <v>0</v>
      </c>
      <c r="M164" s="447"/>
      <c r="N164" s="298"/>
      <c r="O164" s="298"/>
      <c r="P164" s="298"/>
      <c r="Q164" s="298"/>
      <c r="R164" s="298"/>
      <c r="S164" s="298"/>
    </row>
    <row r="165" spans="1:19" s="92" customFormat="1">
      <c r="A165" s="256"/>
      <c r="B165" s="287" t="s">
        <v>15605</v>
      </c>
      <c r="C165" s="287"/>
      <c r="D165" s="400" t="s">
        <v>15606</v>
      </c>
      <c r="E165" s="415"/>
      <c r="F165" s="415"/>
      <c r="G165" s="462"/>
      <c r="H165" s="415"/>
      <c r="I165" s="462"/>
      <c r="J165" s="416"/>
      <c r="K165" s="298"/>
      <c r="L165" s="447">
        <f t="shared" si="26"/>
        <v>0</v>
      </c>
      <c r="M165" s="447"/>
      <c r="N165" s="298"/>
      <c r="O165" s="298"/>
      <c r="P165" s="298"/>
      <c r="Q165" s="298"/>
      <c r="R165" s="298"/>
      <c r="S165" s="298"/>
    </row>
    <row r="166" spans="1:19" s="140" customFormat="1" ht="63.75">
      <c r="A166" s="256" t="s">
        <v>3260</v>
      </c>
      <c r="B166" s="285" t="s">
        <v>15607</v>
      </c>
      <c r="C166" s="285" t="s">
        <v>15453</v>
      </c>
      <c r="D166" s="289" t="s">
        <v>17469</v>
      </c>
      <c r="E166" s="290" t="s">
        <v>3240</v>
      </c>
      <c r="F166" s="755">
        <v>17</v>
      </c>
      <c r="G166" s="510">
        <v>791.67000000000007</v>
      </c>
      <c r="H166" s="508">
        <v>0.2094</v>
      </c>
      <c r="I166" s="510">
        <v>957.44569800000011</v>
      </c>
      <c r="J166" s="509">
        <v>16276.576866000001</v>
      </c>
      <c r="K166" s="409"/>
      <c r="L166" s="447">
        <f t="shared" si="26"/>
        <v>16276.576866000001</v>
      </c>
      <c r="M166" s="447"/>
      <c r="N166" s="409"/>
      <c r="O166" s="409"/>
      <c r="P166" s="409"/>
      <c r="Q166" s="409"/>
      <c r="R166" s="409"/>
      <c r="S166" s="409"/>
    </row>
    <row r="167" spans="1:19" s="140" customFormat="1" ht="76.5">
      <c r="A167" s="256" t="s">
        <v>3260</v>
      </c>
      <c r="B167" s="285" t="s">
        <v>15608</v>
      </c>
      <c r="C167" s="285" t="s">
        <v>15456</v>
      </c>
      <c r="D167" s="289" t="s">
        <v>24588</v>
      </c>
      <c r="E167" s="290" t="s">
        <v>3240</v>
      </c>
      <c r="F167" s="292">
        <v>4</v>
      </c>
      <c r="G167" s="510">
        <v>1356.68</v>
      </c>
      <c r="H167" s="508">
        <v>0.2094</v>
      </c>
      <c r="I167" s="510">
        <v>1640.7687920000001</v>
      </c>
      <c r="J167" s="509">
        <v>6563.0751680000003</v>
      </c>
      <c r="K167" s="409"/>
      <c r="L167" s="447">
        <f>I167*F167</f>
        <v>6563.0751680000003</v>
      </c>
      <c r="M167" s="447"/>
      <c r="N167" s="409"/>
      <c r="O167" s="409"/>
      <c r="P167" s="409"/>
      <c r="Q167" s="409"/>
      <c r="R167" s="409"/>
      <c r="S167" s="409"/>
    </row>
    <row r="168" spans="1:19" s="140" customFormat="1" ht="76.5">
      <c r="A168" s="256" t="s">
        <v>3260</v>
      </c>
      <c r="B168" s="285" t="s">
        <v>15609</v>
      </c>
      <c r="C168" s="285" t="s">
        <v>15448</v>
      </c>
      <c r="D168" s="289" t="s">
        <v>24591</v>
      </c>
      <c r="E168" s="290" t="s">
        <v>3240</v>
      </c>
      <c r="F168" s="755">
        <v>1</v>
      </c>
      <c r="G168" s="510">
        <v>1492.15</v>
      </c>
      <c r="H168" s="508">
        <v>0.2094</v>
      </c>
      <c r="I168" s="510">
        <v>1804.6062100000001</v>
      </c>
      <c r="J168" s="509">
        <v>1804.6062100000001</v>
      </c>
      <c r="K168" s="409"/>
      <c r="L168" s="447">
        <f t="shared" ref="L168" si="27">I168*F168</f>
        <v>1804.6062100000001</v>
      </c>
      <c r="M168" s="447"/>
      <c r="N168" s="409"/>
      <c r="O168" s="409"/>
      <c r="P168" s="409"/>
      <c r="Q168" s="409"/>
      <c r="R168" s="409"/>
      <c r="S168" s="409"/>
    </row>
    <row r="169" spans="1:19" s="140" customFormat="1" ht="89.25">
      <c r="A169" s="256" t="s">
        <v>3260</v>
      </c>
      <c r="B169" s="285" t="s">
        <v>15610</v>
      </c>
      <c r="C169" s="285" t="s">
        <v>15455</v>
      </c>
      <c r="D169" s="289" t="s">
        <v>24596</v>
      </c>
      <c r="E169" s="290" t="s">
        <v>3240</v>
      </c>
      <c r="F169" s="755">
        <v>3</v>
      </c>
      <c r="G169" s="510">
        <v>1714.6399999999999</v>
      </c>
      <c r="H169" s="508">
        <v>0.2094</v>
      </c>
      <c r="I169" s="510">
        <v>2073.6856159999998</v>
      </c>
      <c r="J169" s="509">
        <v>6221.0568479999993</v>
      </c>
      <c r="K169" s="409"/>
      <c r="L169" s="447">
        <f t="shared" si="26"/>
        <v>6221.0568479999993</v>
      </c>
      <c r="M169" s="447"/>
      <c r="N169" s="409"/>
      <c r="O169" s="409"/>
      <c r="P169" s="409"/>
      <c r="Q169" s="409"/>
      <c r="R169" s="409"/>
      <c r="S169" s="409"/>
    </row>
    <row r="170" spans="1:19" s="140" customFormat="1" ht="89.25">
      <c r="A170" s="256" t="s">
        <v>3260</v>
      </c>
      <c r="B170" s="285" t="s">
        <v>15611</v>
      </c>
      <c r="C170" s="285" t="s">
        <v>15451</v>
      </c>
      <c r="D170" s="289" t="s">
        <v>24598</v>
      </c>
      <c r="E170" s="290" t="s">
        <v>3240</v>
      </c>
      <c r="F170" s="755">
        <v>1</v>
      </c>
      <c r="G170" s="510">
        <v>1762.87</v>
      </c>
      <c r="H170" s="508">
        <v>0.2094</v>
      </c>
      <c r="I170" s="510">
        <v>2132.0149779999997</v>
      </c>
      <c r="J170" s="509">
        <v>2132.0149779999997</v>
      </c>
      <c r="K170" s="409"/>
      <c r="L170" s="447">
        <f t="shared" ref="L170" si="28">I170*F170</f>
        <v>2132.0149779999997</v>
      </c>
      <c r="M170" s="447"/>
      <c r="N170" s="409"/>
      <c r="O170" s="409"/>
      <c r="P170" s="409"/>
      <c r="Q170" s="409"/>
      <c r="R170" s="409"/>
      <c r="S170" s="409"/>
    </row>
    <row r="171" spans="1:19" s="140" customFormat="1" ht="63.75">
      <c r="A171" s="256" t="s">
        <v>3260</v>
      </c>
      <c r="B171" s="285" t="s">
        <v>15612</v>
      </c>
      <c r="C171" s="285" t="s">
        <v>15452</v>
      </c>
      <c r="D171" s="289" t="s">
        <v>24593</v>
      </c>
      <c r="E171" s="290" t="s">
        <v>3240</v>
      </c>
      <c r="F171" s="755">
        <v>6</v>
      </c>
      <c r="G171" s="510">
        <v>1139.43</v>
      </c>
      <c r="H171" s="508">
        <v>0.2094</v>
      </c>
      <c r="I171" s="510">
        <v>1378.026642</v>
      </c>
      <c r="J171" s="509">
        <v>8268.1598520000007</v>
      </c>
      <c r="K171" s="409"/>
      <c r="L171" s="447">
        <f>I171*F171</f>
        <v>8268.1598520000007</v>
      </c>
      <c r="M171" s="447"/>
      <c r="N171" s="409"/>
      <c r="O171" s="409"/>
      <c r="P171" s="409"/>
      <c r="Q171" s="409"/>
      <c r="R171" s="409"/>
      <c r="S171" s="409"/>
    </row>
    <row r="172" spans="1:19" s="140" customFormat="1" ht="89.25">
      <c r="A172" s="256" t="s">
        <v>3260</v>
      </c>
      <c r="B172" s="285" t="s">
        <v>15613</v>
      </c>
      <c r="C172" s="285" t="s">
        <v>15450</v>
      </c>
      <c r="D172" s="289" t="s">
        <v>24599</v>
      </c>
      <c r="E172" s="290" t="s">
        <v>3240</v>
      </c>
      <c r="F172" s="755">
        <v>1</v>
      </c>
      <c r="G172" s="510">
        <v>1762.87</v>
      </c>
      <c r="H172" s="508">
        <v>0.2094</v>
      </c>
      <c r="I172" s="510">
        <v>2132.0149779999997</v>
      </c>
      <c r="J172" s="509">
        <v>2132.0149779999997</v>
      </c>
      <c r="K172" s="409"/>
      <c r="L172" s="447">
        <f t="shared" ref="L172" si="29">I172*F172</f>
        <v>2132.0149779999997</v>
      </c>
      <c r="M172" s="447"/>
      <c r="N172" s="409"/>
      <c r="O172" s="409"/>
      <c r="P172" s="409"/>
      <c r="Q172" s="409"/>
      <c r="R172" s="409"/>
      <c r="S172" s="409"/>
    </row>
    <row r="173" spans="1:19" s="140" customFormat="1" ht="63.75">
      <c r="A173" s="256" t="s">
        <v>3260</v>
      </c>
      <c r="B173" s="285" t="s">
        <v>15614</v>
      </c>
      <c r="C173" s="285" t="s">
        <v>15454</v>
      </c>
      <c r="D173" s="289" t="s">
        <v>24592</v>
      </c>
      <c r="E173" s="290" t="s">
        <v>3240</v>
      </c>
      <c r="F173" s="755">
        <v>10</v>
      </c>
      <c r="G173" s="510">
        <v>1043.21</v>
      </c>
      <c r="H173" s="508">
        <v>0.2094</v>
      </c>
      <c r="I173" s="510">
        <v>1261.6581740000001</v>
      </c>
      <c r="J173" s="509">
        <v>12616.581740000001</v>
      </c>
      <c r="K173" s="409"/>
      <c r="L173" s="447">
        <f t="shared" ref="L173:L179" si="30">I173*F173</f>
        <v>12616.581740000001</v>
      </c>
      <c r="M173" s="447"/>
      <c r="N173" s="409"/>
      <c r="O173" s="409"/>
      <c r="P173" s="409"/>
      <c r="Q173" s="409"/>
      <c r="R173" s="409"/>
      <c r="S173" s="409"/>
    </row>
    <row r="174" spans="1:19" s="140" customFormat="1" ht="51">
      <c r="A174" s="256" t="s">
        <v>3260</v>
      </c>
      <c r="B174" s="285" t="s">
        <v>15615</v>
      </c>
      <c r="C174" s="285" t="s">
        <v>15459</v>
      </c>
      <c r="D174" s="289" t="s">
        <v>24600</v>
      </c>
      <c r="E174" s="290" t="s">
        <v>3240</v>
      </c>
      <c r="F174" s="755">
        <v>2</v>
      </c>
      <c r="G174" s="510">
        <v>3407.49</v>
      </c>
      <c r="H174" s="508">
        <v>0.2094</v>
      </c>
      <c r="I174" s="510">
        <v>4121.0184060000001</v>
      </c>
      <c r="J174" s="509">
        <v>8242.0368120000003</v>
      </c>
      <c r="K174" s="409"/>
      <c r="L174" s="447">
        <f t="shared" si="30"/>
        <v>8242.0368120000003</v>
      </c>
      <c r="M174" s="447"/>
      <c r="N174" s="409"/>
      <c r="O174" s="409"/>
      <c r="P174" s="409"/>
      <c r="Q174" s="409"/>
      <c r="R174" s="409"/>
      <c r="S174" s="409"/>
    </row>
    <row r="175" spans="1:19" s="140" customFormat="1" ht="51">
      <c r="A175" s="256" t="s">
        <v>3260</v>
      </c>
      <c r="B175" s="285" t="s">
        <v>15616</v>
      </c>
      <c r="C175" s="285" t="s">
        <v>15462</v>
      </c>
      <c r="D175" s="289" t="s">
        <v>24603</v>
      </c>
      <c r="E175" s="290" t="s">
        <v>3240</v>
      </c>
      <c r="F175" s="292">
        <v>2</v>
      </c>
      <c r="G175" s="510">
        <v>1073.98</v>
      </c>
      <c r="H175" s="508">
        <v>0.2094</v>
      </c>
      <c r="I175" s="510">
        <v>1298.871412</v>
      </c>
      <c r="J175" s="509">
        <v>2597.7428239999999</v>
      </c>
      <c r="K175" s="409"/>
      <c r="L175" s="447">
        <f t="shared" si="30"/>
        <v>2597.7428239999999</v>
      </c>
      <c r="M175" s="447"/>
      <c r="N175" s="409"/>
      <c r="O175" s="409"/>
      <c r="P175" s="409"/>
      <c r="Q175" s="409"/>
      <c r="R175" s="409"/>
      <c r="S175" s="409"/>
    </row>
    <row r="176" spans="1:19" s="140" customFormat="1" ht="63.75">
      <c r="A176" s="256" t="s">
        <v>3260</v>
      </c>
      <c r="B176" s="285" t="s">
        <v>15617</v>
      </c>
      <c r="C176" s="285" t="s">
        <v>15458</v>
      </c>
      <c r="D176" s="289" t="s">
        <v>24604</v>
      </c>
      <c r="E176" s="290" t="s">
        <v>3240</v>
      </c>
      <c r="F176" s="292">
        <v>2</v>
      </c>
      <c r="G176" s="510">
        <v>3456.8199999999997</v>
      </c>
      <c r="H176" s="508">
        <v>0.2094</v>
      </c>
      <c r="I176" s="510">
        <v>4180.6781080000001</v>
      </c>
      <c r="J176" s="509">
        <v>8361.3562160000001</v>
      </c>
      <c r="K176" s="409"/>
      <c r="L176" s="447">
        <f t="shared" si="30"/>
        <v>8361.3562160000001</v>
      </c>
      <c r="M176" s="447"/>
      <c r="N176" s="409"/>
      <c r="O176" s="409"/>
      <c r="P176" s="409"/>
      <c r="Q176" s="409"/>
      <c r="R176" s="409"/>
      <c r="S176" s="409"/>
    </row>
    <row r="177" spans="1:19" s="140" customFormat="1" ht="38.25">
      <c r="A177" s="256" t="s">
        <v>3260</v>
      </c>
      <c r="B177" s="285" t="s">
        <v>15618</v>
      </c>
      <c r="C177" s="285" t="s">
        <v>15464</v>
      </c>
      <c r="D177" s="289" t="s">
        <v>24606</v>
      </c>
      <c r="E177" s="290" t="s">
        <v>3240</v>
      </c>
      <c r="F177" s="292">
        <v>1</v>
      </c>
      <c r="G177" s="510">
        <v>805.4899999999999</v>
      </c>
      <c r="H177" s="508">
        <v>0.2094</v>
      </c>
      <c r="I177" s="510">
        <v>974.15960599999994</v>
      </c>
      <c r="J177" s="509">
        <v>974.15960599999994</v>
      </c>
      <c r="K177" s="409"/>
      <c r="L177" s="447">
        <f t="shared" si="30"/>
        <v>974.15960599999994</v>
      </c>
      <c r="M177" s="447"/>
      <c r="N177" s="409"/>
      <c r="O177" s="409"/>
      <c r="P177" s="409"/>
      <c r="Q177" s="409"/>
      <c r="R177" s="409"/>
      <c r="S177" s="409"/>
    </row>
    <row r="178" spans="1:19" s="140" customFormat="1" ht="38.25">
      <c r="A178" s="256" t="s">
        <v>3260</v>
      </c>
      <c r="B178" s="285" t="s">
        <v>15619</v>
      </c>
      <c r="C178" s="285" t="s">
        <v>15449</v>
      </c>
      <c r="D178" s="289" t="s">
        <v>24607</v>
      </c>
      <c r="E178" s="290" t="s">
        <v>3240</v>
      </c>
      <c r="F178" s="292">
        <v>2</v>
      </c>
      <c r="G178" s="510">
        <v>715.98</v>
      </c>
      <c r="H178" s="508">
        <v>0.2094</v>
      </c>
      <c r="I178" s="510">
        <v>865.9062120000001</v>
      </c>
      <c r="J178" s="509">
        <v>1731.8124240000002</v>
      </c>
      <c r="K178" s="409"/>
      <c r="L178" s="447">
        <f t="shared" si="30"/>
        <v>1731.8124240000002</v>
      </c>
      <c r="M178" s="447"/>
      <c r="N178" s="409"/>
      <c r="O178" s="409"/>
      <c r="P178" s="409"/>
      <c r="Q178" s="409"/>
      <c r="R178" s="409"/>
      <c r="S178" s="409"/>
    </row>
    <row r="179" spans="1:19" s="140" customFormat="1" ht="51">
      <c r="A179" s="256" t="s">
        <v>3260</v>
      </c>
      <c r="B179" s="285" t="s">
        <v>15620</v>
      </c>
      <c r="C179" s="285" t="s">
        <v>15460</v>
      </c>
      <c r="D179" s="289" t="s">
        <v>24608</v>
      </c>
      <c r="E179" s="290" t="s">
        <v>3240</v>
      </c>
      <c r="F179" s="292">
        <v>5</v>
      </c>
      <c r="G179" s="510">
        <v>1073.98</v>
      </c>
      <c r="H179" s="508">
        <v>0.2094</v>
      </c>
      <c r="I179" s="510">
        <v>1298.871412</v>
      </c>
      <c r="J179" s="509">
        <v>6494.3570600000003</v>
      </c>
      <c r="K179" s="409"/>
      <c r="L179" s="447">
        <f t="shared" si="30"/>
        <v>6494.3570600000003</v>
      </c>
      <c r="M179" s="447"/>
      <c r="N179" s="409"/>
      <c r="O179" s="409"/>
      <c r="P179" s="409"/>
      <c r="Q179" s="409"/>
      <c r="R179" s="409"/>
      <c r="S179" s="409"/>
    </row>
    <row r="180" spans="1:19" s="140" customFormat="1" ht="63.75">
      <c r="A180" s="256" t="s">
        <v>3260</v>
      </c>
      <c r="B180" s="285" t="s">
        <v>15621</v>
      </c>
      <c r="C180" s="285" t="s">
        <v>15463</v>
      </c>
      <c r="D180" s="289" t="s">
        <v>24609</v>
      </c>
      <c r="E180" s="290" t="s">
        <v>3240</v>
      </c>
      <c r="F180" s="755">
        <v>1</v>
      </c>
      <c r="G180" s="510">
        <v>2414.7800000000002</v>
      </c>
      <c r="H180" s="508">
        <v>0.2094</v>
      </c>
      <c r="I180" s="510">
        <v>2920.4349320000001</v>
      </c>
      <c r="J180" s="509">
        <v>2920.4349320000001</v>
      </c>
      <c r="K180" s="409"/>
      <c r="L180" s="447">
        <f t="shared" si="26"/>
        <v>2920.4349320000001</v>
      </c>
      <c r="M180" s="447"/>
      <c r="N180" s="409"/>
      <c r="O180" s="409"/>
      <c r="P180" s="409"/>
      <c r="Q180" s="409"/>
      <c r="R180" s="409"/>
      <c r="S180" s="409"/>
    </row>
    <row r="181" spans="1:19" s="140" customFormat="1" ht="51">
      <c r="A181" s="256" t="s">
        <v>3260</v>
      </c>
      <c r="B181" s="285" t="s">
        <v>15622</v>
      </c>
      <c r="C181" s="285" t="s">
        <v>15461</v>
      </c>
      <c r="D181" s="289" t="s">
        <v>24611</v>
      </c>
      <c r="E181" s="290" t="s">
        <v>3240</v>
      </c>
      <c r="F181" s="755">
        <v>1</v>
      </c>
      <c r="G181" s="510">
        <v>2240.9</v>
      </c>
      <c r="H181" s="508">
        <v>0.2094</v>
      </c>
      <c r="I181" s="510">
        <v>2710.14446</v>
      </c>
      <c r="J181" s="509">
        <v>2710.14446</v>
      </c>
      <c r="K181" s="409"/>
      <c r="L181" s="447">
        <f>I181*F181</f>
        <v>2710.14446</v>
      </c>
      <c r="M181" s="447"/>
      <c r="N181" s="409"/>
      <c r="O181" s="409"/>
      <c r="P181" s="409"/>
      <c r="Q181" s="409"/>
      <c r="R181" s="409"/>
      <c r="S181" s="409"/>
    </row>
    <row r="182" spans="1:19" s="140" customFormat="1" ht="25.5">
      <c r="A182" s="256" t="s">
        <v>3260</v>
      </c>
      <c r="B182" s="285" t="s">
        <v>15623</v>
      </c>
      <c r="C182" s="285" t="s">
        <v>15465</v>
      </c>
      <c r="D182" s="289" t="s">
        <v>17527</v>
      </c>
      <c r="E182" s="290" t="s">
        <v>3240</v>
      </c>
      <c r="F182" s="755">
        <v>2</v>
      </c>
      <c r="G182" s="510">
        <v>263.21999999999997</v>
      </c>
      <c r="H182" s="508">
        <v>0.2094</v>
      </c>
      <c r="I182" s="510">
        <v>318.33826799999997</v>
      </c>
      <c r="J182" s="509">
        <v>636.67653599999994</v>
      </c>
      <c r="K182" s="409"/>
      <c r="L182" s="447">
        <f t="shared" si="26"/>
        <v>636.67653599999994</v>
      </c>
      <c r="M182" s="447"/>
      <c r="N182" s="409"/>
      <c r="O182" s="409"/>
      <c r="P182" s="409"/>
      <c r="Q182" s="409"/>
      <c r="R182" s="409"/>
      <c r="S182" s="409"/>
    </row>
    <row r="183" spans="1:19" s="140" customFormat="1" ht="51">
      <c r="A183" s="256" t="s">
        <v>3260</v>
      </c>
      <c r="B183" s="285" t="s">
        <v>15624</v>
      </c>
      <c r="C183" s="285" t="s">
        <v>15466</v>
      </c>
      <c r="D183" s="289" t="s">
        <v>24615</v>
      </c>
      <c r="E183" s="290" t="s">
        <v>3240</v>
      </c>
      <c r="F183" s="292">
        <v>2</v>
      </c>
      <c r="G183" s="510">
        <v>518.49</v>
      </c>
      <c r="H183" s="508">
        <v>0.2094</v>
      </c>
      <c r="I183" s="510">
        <v>627.06180600000005</v>
      </c>
      <c r="J183" s="509">
        <v>1254.1236120000001</v>
      </c>
      <c r="K183" s="409"/>
      <c r="L183" s="447">
        <f t="shared" si="26"/>
        <v>1254.1236120000001</v>
      </c>
      <c r="M183" s="447"/>
      <c r="N183" s="409"/>
      <c r="O183" s="409"/>
      <c r="P183" s="409"/>
      <c r="Q183" s="409"/>
      <c r="R183" s="409"/>
      <c r="S183" s="409"/>
    </row>
    <row r="184" spans="1:19" s="140" customFormat="1" ht="51">
      <c r="A184" s="256" t="s">
        <v>3260</v>
      </c>
      <c r="B184" s="285" t="s">
        <v>15625</v>
      </c>
      <c r="C184" s="285" t="s">
        <v>15467</v>
      </c>
      <c r="D184" s="289" t="s">
        <v>24616</v>
      </c>
      <c r="E184" s="290" t="s">
        <v>3240</v>
      </c>
      <c r="F184" s="755">
        <v>2</v>
      </c>
      <c r="G184" s="510">
        <v>777.73000000000013</v>
      </c>
      <c r="H184" s="508">
        <v>0.2094</v>
      </c>
      <c r="I184" s="510">
        <v>940.58666200000016</v>
      </c>
      <c r="J184" s="509">
        <v>1881.1733240000003</v>
      </c>
      <c r="K184" s="409"/>
      <c r="L184" s="447">
        <f t="shared" si="26"/>
        <v>1881.1733240000003</v>
      </c>
      <c r="M184" s="447"/>
      <c r="N184" s="409"/>
      <c r="O184" s="409"/>
      <c r="P184" s="409"/>
      <c r="Q184" s="409"/>
      <c r="R184" s="409"/>
      <c r="S184" s="409"/>
    </row>
    <row r="185" spans="1:19" s="140" customFormat="1" ht="51">
      <c r="A185" s="256" t="s">
        <v>3260</v>
      </c>
      <c r="B185" s="285" t="s">
        <v>15626</v>
      </c>
      <c r="C185" s="285" t="s">
        <v>15468</v>
      </c>
      <c r="D185" s="289" t="s">
        <v>24617</v>
      </c>
      <c r="E185" s="290" t="s">
        <v>3240</v>
      </c>
      <c r="F185" s="292">
        <v>3</v>
      </c>
      <c r="G185" s="510">
        <v>1036.99</v>
      </c>
      <c r="H185" s="508">
        <v>0.2094</v>
      </c>
      <c r="I185" s="510">
        <v>1254.135706</v>
      </c>
      <c r="J185" s="509">
        <v>3762.4071180000001</v>
      </c>
      <c r="K185" s="409"/>
      <c r="L185" s="447">
        <f t="shared" si="26"/>
        <v>3762.4071180000001</v>
      </c>
      <c r="M185" s="447"/>
      <c r="N185" s="409"/>
      <c r="O185" s="409"/>
      <c r="P185" s="409"/>
      <c r="Q185" s="409"/>
      <c r="R185" s="409"/>
      <c r="S185" s="409"/>
    </row>
    <row r="186" spans="1:19" s="140" customFormat="1" ht="51">
      <c r="A186" s="256" t="s">
        <v>3260</v>
      </c>
      <c r="B186" s="285" t="s">
        <v>15627</v>
      </c>
      <c r="C186" s="285" t="s">
        <v>15470</v>
      </c>
      <c r="D186" s="289" t="s">
        <v>24618</v>
      </c>
      <c r="E186" s="290" t="s">
        <v>3240</v>
      </c>
      <c r="F186" s="292">
        <v>3</v>
      </c>
      <c r="G186" s="510">
        <v>1166.5999999999999</v>
      </c>
      <c r="H186" s="508">
        <v>0.2094</v>
      </c>
      <c r="I186" s="510">
        <v>1410.8860399999999</v>
      </c>
      <c r="J186" s="509">
        <v>4232.6581200000001</v>
      </c>
      <c r="K186" s="409"/>
      <c r="L186" s="447">
        <f t="shared" si="26"/>
        <v>4232.6581200000001</v>
      </c>
      <c r="M186" s="447"/>
      <c r="N186" s="409"/>
      <c r="O186" s="409"/>
      <c r="P186" s="409"/>
      <c r="Q186" s="409"/>
      <c r="R186" s="409"/>
      <c r="S186" s="409"/>
    </row>
    <row r="187" spans="1:19" s="140" customFormat="1" ht="51">
      <c r="A187" s="256" t="s">
        <v>3260</v>
      </c>
      <c r="B187" s="285" t="s">
        <v>15628</v>
      </c>
      <c r="C187" s="285" t="s">
        <v>15471</v>
      </c>
      <c r="D187" s="289" t="s">
        <v>24619</v>
      </c>
      <c r="E187" s="290" t="s">
        <v>3240</v>
      </c>
      <c r="F187" s="755">
        <v>1</v>
      </c>
      <c r="G187" s="510">
        <v>1555.48</v>
      </c>
      <c r="H187" s="508">
        <v>0.2094</v>
      </c>
      <c r="I187" s="510">
        <v>1881.197512</v>
      </c>
      <c r="J187" s="509">
        <v>1881.197512</v>
      </c>
      <c r="K187" s="409"/>
      <c r="L187" s="447">
        <f t="shared" si="26"/>
        <v>1881.197512</v>
      </c>
      <c r="M187" s="447"/>
      <c r="N187" s="409"/>
      <c r="O187" s="409"/>
      <c r="P187" s="409"/>
      <c r="Q187" s="409"/>
      <c r="R187" s="409"/>
      <c r="S187" s="409"/>
    </row>
    <row r="188" spans="1:19" s="140" customFormat="1" ht="51">
      <c r="A188" s="256" t="s">
        <v>3260</v>
      </c>
      <c r="B188" s="285" t="s">
        <v>15629</v>
      </c>
      <c r="C188" s="285" t="s">
        <v>15472</v>
      </c>
      <c r="D188" s="289" t="s">
        <v>24620</v>
      </c>
      <c r="E188" s="290" t="s">
        <v>3240</v>
      </c>
      <c r="F188" s="292">
        <v>5</v>
      </c>
      <c r="G188" s="510">
        <v>1620.2900000000002</v>
      </c>
      <c r="H188" s="508">
        <v>0.2094</v>
      </c>
      <c r="I188" s="510">
        <v>1959.5787260000002</v>
      </c>
      <c r="J188" s="509">
        <v>9797.8936300000005</v>
      </c>
      <c r="K188" s="409"/>
      <c r="L188" s="447">
        <f t="shared" si="26"/>
        <v>9797.8936300000005</v>
      </c>
      <c r="M188" s="447"/>
      <c r="N188" s="409"/>
      <c r="O188" s="409"/>
      <c r="P188" s="409"/>
      <c r="Q188" s="409"/>
      <c r="R188" s="409"/>
      <c r="S188" s="409"/>
    </row>
    <row r="189" spans="1:19" s="140" customFormat="1" ht="51">
      <c r="A189" s="256" t="s">
        <v>3260</v>
      </c>
      <c r="B189" s="285" t="s">
        <v>15630</v>
      </c>
      <c r="C189" s="285" t="s">
        <v>15473</v>
      </c>
      <c r="D189" s="289" t="s">
        <v>24621</v>
      </c>
      <c r="E189" s="290" t="s">
        <v>3240</v>
      </c>
      <c r="F189" s="755">
        <v>1</v>
      </c>
      <c r="G189" s="510">
        <v>1879.5500000000002</v>
      </c>
      <c r="H189" s="508">
        <v>0.2094</v>
      </c>
      <c r="I189" s="510">
        <v>2273.1277700000001</v>
      </c>
      <c r="J189" s="509">
        <v>2273.1277700000001</v>
      </c>
      <c r="K189" s="409"/>
      <c r="L189" s="447">
        <f t="shared" si="26"/>
        <v>2273.1277700000001</v>
      </c>
      <c r="M189" s="447"/>
      <c r="N189" s="409"/>
      <c r="O189" s="409"/>
      <c r="P189" s="409"/>
      <c r="Q189" s="409"/>
      <c r="R189" s="409"/>
      <c r="S189" s="409"/>
    </row>
    <row r="190" spans="1:19" s="140" customFormat="1" ht="51">
      <c r="A190" s="256" t="s">
        <v>3260</v>
      </c>
      <c r="B190" s="285" t="s">
        <v>15631</v>
      </c>
      <c r="C190" s="285" t="s">
        <v>15477</v>
      </c>
      <c r="D190" s="289" t="s">
        <v>24623</v>
      </c>
      <c r="E190" s="290" t="s">
        <v>3240</v>
      </c>
      <c r="F190" s="292">
        <v>1</v>
      </c>
      <c r="G190" s="510">
        <v>2073.9899999999998</v>
      </c>
      <c r="H190" s="508">
        <v>0.2094</v>
      </c>
      <c r="I190" s="510">
        <v>2508.2835059999998</v>
      </c>
      <c r="J190" s="509">
        <v>2508.2835059999998</v>
      </c>
      <c r="K190" s="409"/>
      <c r="L190" s="447">
        <f t="shared" ref="L190:L201" si="31">I190*F190</f>
        <v>2508.2835059999998</v>
      </c>
      <c r="M190" s="447"/>
      <c r="N190" s="409"/>
      <c r="O190" s="409"/>
      <c r="P190" s="409"/>
      <c r="Q190" s="409"/>
      <c r="R190" s="409"/>
      <c r="S190" s="409"/>
    </row>
    <row r="191" spans="1:19" s="140" customFormat="1" ht="51">
      <c r="A191" s="256" t="s">
        <v>3260</v>
      </c>
      <c r="B191" s="285" t="s">
        <v>15632</v>
      </c>
      <c r="C191" s="285" t="s">
        <v>15478</v>
      </c>
      <c r="D191" s="289" t="s">
        <v>24624</v>
      </c>
      <c r="E191" s="290" t="s">
        <v>3240</v>
      </c>
      <c r="F191" s="755">
        <v>2</v>
      </c>
      <c r="G191" s="510">
        <v>2366.69</v>
      </c>
      <c r="H191" s="508">
        <v>0.2094</v>
      </c>
      <c r="I191" s="510">
        <v>2862.2748860000002</v>
      </c>
      <c r="J191" s="509">
        <v>5724.5497720000003</v>
      </c>
      <c r="K191" s="409"/>
      <c r="L191" s="447">
        <f t="shared" si="31"/>
        <v>5724.5497720000003</v>
      </c>
      <c r="M191" s="447"/>
      <c r="N191" s="409"/>
      <c r="O191" s="409"/>
      <c r="P191" s="409"/>
      <c r="Q191" s="409"/>
      <c r="R191" s="409"/>
      <c r="S191" s="409"/>
    </row>
    <row r="192" spans="1:19" s="140" customFormat="1" ht="51">
      <c r="A192" s="256" t="s">
        <v>3260</v>
      </c>
      <c r="B192" s="285" t="s">
        <v>15633</v>
      </c>
      <c r="C192" s="285" t="s">
        <v>15476</v>
      </c>
      <c r="D192" s="289" t="s">
        <v>24622</v>
      </c>
      <c r="E192" s="290" t="s">
        <v>3240</v>
      </c>
      <c r="F192" s="755">
        <v>1</v>
      </c>
      <c r="G192" s="510">
        <v>2333.2200000000003</v>
      </c>
      <c r="H192" s="508">
        <v>0.2094</v>
      </c>
      <c r="I192" s="510">
        <v>2821.7962680000005</v>
      </c>
      <c r="J192" s="509">
        <v>2821.7962680000005</v>
      </c>
      <c r="K192" s="409"/>
      <c r="L192" s="447">
        <f t="shared" si="31"/>
        <v>2821.7962680000005</v>
      </c>
      <c r="M192" s="447"/>
      <c r="N192" s="409"/>
      <c r="O192" s="409"/>
      <c r="P192" s="409"/>
      <c r="Q192" s="409"/>
      <c r="R192" s="409"/>
      <c r="S192" s="409"/>
    </row>
    <row r="193" spans="1:19" s="140" customFormat="1" ht="51">
      <c r="A193" s="256" t="s">
        <v>3260</v>
      </c>
      <c r="B193" s="285" t="s">
        <v>24644</v>
      </c>
      <c r="C193" s="285" t="s">
        <v>24614</v>
      </c>
      <c r="D193" s="289" t="s">
        <v>24625</v>
      </c>
      <c r="E193" s="290" t="s">
        <v>3240</v>
      </c>
      <c r="F193" s="755">
        <v>1</v>
      </c>
      <c r="G193" s="510">
        <v>2430.4499999999998</v>
      </c>
      <c r="H193" s="508">
        <v>0.2094</v>
      </c>
      <c r="I193" s="510">
        <v>2939.3862300000001</v>
      </c>
      <c r="J193" s="509">
        <v>2939.3862300000001</v>
      </c>
      <c r="K193" s="409"/>
      <c r="L193" s="447">
        <f t="shared" si="31"/>
        <v>2939.3862300000001</v>
      </c>
      <c r="M193" s="447"/>
      <c r="N193" s="409"/>
      <c r="O193" s="409"/>
      <c r="P193" s="409"/>
      <c r="Q193" s="409"/>
      <c r="R193" s="409"/>
      <c r="S193" s="409"/>
    </row>
    <row r="194" spans="1:19" s="140" customFormat="1" ht="51">
      <c r="A194" s="256" t="s">
        <v>3260</v>
      </c>
      <c r="B194" s="285" t="s">
        <v>24645</v>
      </c>
      <c r="C194" s="285" t="s">
        <v>15469</v>
      </c>
      <c r="D194" s="289" t="s">
        <v>24629</v>
      </c>
      <c r="E194" s="290" t="s">
        <v>3240</v>
      </c>
      <c r="F194" s="755">
        <v>1</v>
      </c>
      <c r="G194" s="510">
        <v>3679.0699999999997</v>
      </c>
      <c r="H194" s="508">
        <v>0.2094</v>
      </c>
      <c r="I194" s="510">
        <v>4449.4672579999997</v>
      </c>
      <c r="J194" s="509">
        <v>4449.4672579999997</v>
      </c>
      <c r="K194" s="409"/>
      <c r="L194" s="447">
        <f t="shared" si="31"/>
        <v>4449.4672579999997</v>
      </c>
      <c r="M194" s="447"/>
      <c r="N194" s="409"/>
      <c r="O194" s="409"/>
      <c r="P194" s="409"/>
      <c r="Q194" s="409"/>
      <c r="R194" s="409"/>
      <c r="S194" s="409"/>
    </row>
    <row r="195" spans="1:19" s="140" customFormat="1" ht="51">
      <c r="A195" s="256" t="s">
        <v>3260</v>
      </c>
      <c r="B195" s="285" t="s">
        <v>24646</v>
      </c>
      <c r="C195" s="285" t="s">
        <v>24627</v>
      </c>
      <c r="D195" s="289" t="s">
        <v>24626</v>
      </c>
      <c r="E195" s="290" t="s">
        <v>3240</v>
      </c>
      <c r="F195" s="755">
        <v>1</v>
      </c>
      <c r="G195" s="510">
        <v>2560.0700000000002</v>
      </c>
      <c r="H195" s="508">
        <v>0.2094</v>
      </c>
      <c r="I195" s="510">
        <v>3096.1486580000001</v>
      </c>
      <c r="J195" s="509">
        <v>3096.1486580000001</v>
      </c>
      <c r="K195" s="409"/>
      <c r="L195" s="447">
        <f t="shared" si="31"/>
        <v>3096.1486580000001</v>
      </c>
      <c r="M195" s="447"/>
      <c r="N195" s="409"/>
      <c r="O195" s="409"/>
      <c r="P195" s="409"/>
      <c r="Q195" s="409"/>
      <c r="R195" s="409"/>
      <c r="S195" s="409"/>
    </row>
    <row r="196" spans="1:19" s="140" customFormat="1" ht="51">
      <c r="A196" s="256" t="s">
        <v>3260</v>
      </c>
      <c r="B196" s="285" t="s">
        <v>24647</v>
      </c>
      <c r="C196" s="285" t="s">
        <v>24628</v>
      </c>
      <c r="D196" s="289" t="s">
        <v>24630</v>
      </c>
      <c r="E196" s="290" t="s">
        <v>3240</v>
      </c>
      <c r="F196" s="755">
        <v>1</v>
      </c>
      <c r="G196" s="510">
        <v>4632.8999999999996</v>
      </c>
      <c r="H196" s="508">
        <v>0.2094</v>
      </c>
      <c r="I196" s="510">
        <v>5603.0292599999993</v>
      </c>
      <c r="J196" s="509">
        <v>5603.0292599999993</v>
      </c>
      <c r="K196" s="409"/>
      <c r="L196" s="447">
        <f t="shared" si="31"/>
        <v>5603.0292599999993</v>
      </c>
      <c r="M196" s="447"/>
      <c r="N196" s="409"/>
      <c r="O196" s="409"/>
      <c r="P196" s="409"/>
      <c r="Q196" s="409"/>
      <c r="R196" s="409"/>
      <c r="S196" s="409"/>
    </row>
    <row r="197" spans="1:19" s="140" customFormat="1" ht="51">
      <c r="A197" s="256" t="s">
        <v>3260</v>
      </c>
      <c r="B197" s="285" t="s">
        <v>24648</v>
      </c>
      <c r="C197" s="285" t="s">
        <v>24632</v>
      </c>
      <c r="D197" s="289" t="s">
        <v>24631</v>
      </c>
      <c r="E197" s="290" t="s">
        <v>3240</v>
      </c>
      <c r="F197" s="755">
        <v>6</v>
      </c>
      <c r="G197" s="510">
        <v>4652.37</v>
      </c>
      <c r="H197" s="508">
        <v>0.2094</v>
      </c>
      <c r="I197" s="510">
        <v>5626.5762780000005</v>
      </c>
      <c r="J197" s="509">
        <v>33759.457668000003</v>
      </c>
      <c r="K197" s="409"/>
      <c r="L197" s="447">
        <f t="shared" si="31"/>
        <v>33759.457668000003</v>
      </c>
      <c r="M197" s="447"/>
      <c r="N197" s="409"/>
      <c r="O197" s="409"/>
      <c r="P197" s="409"/>
      <c r="Q197" s="409"/>
      <c r="R197" s="409"/>
      <c r="S197" s="409"/>
    </row>
    <row r="198" spans="1:19" s="140" customFormat="1" ht="51">
      <c r="A198" s="256" t="s">
        <v>3260</v>
      </c>
      <c r="B198" s="285" t="s">
        <v>24649</v>
      </c>
      <c r="C198" s="285" t="s">
        <v>24633</v>
      </c>
      <c r="D198" s="289" t="s">
        <v>24634</v>
      </c>
      <c r="E198" s="290" t="s">
        <v>3240</v>
      </c>
      <c r="F198" s="755">
        <v>2</v>
      </c>
      <c r="G198" s="510">
        <v>3562.81</v>
      </c>
      <c r="H198" s="508">
        <v>0.2094</v>
      </c>
      <c r="I198" s="510">
        <v>4308.8624140000002</v>
      </c>
      <c r="J198" s="509">
        <v>8617.7248280000003</v>
      </c>
      <c r="K198" s="409"/>
      <c r="L198" s="447">
        <f t="shared" si="31"/>
        <v>8617.7248280000003</v>
      </c>
      <c r="M198" s="447"/>
      <c r="N198" s="409"/>
      <c r="O198" s="409"/>
      <c r="P198" s="409"/>
      <c r="Q198" s="409"/>
      <c r="R198" s="409"/>
      <c r="S198" s="409"/>
    </row>
    <row r="199" spans="1:19" s="140" customFormat="1" ht="51">
      <c r="A199" s="256" t="s">
        <v>3260</v>
      </c>
      <c r="B199" s="285" t="s">
        <v>24650</v>
      </c>
      <c r="C199" s="285" t="s">
        <v>24635</v>
      </c>
      <c r="D199" s="289" t="s">
        <v>24636</v>
      </c>
      <c r="E199" s="290" t="s">
        <v>3240</v>
      </c>
      <c r="F199" s="755">
        <v>2</v>
      </c>
      <c r="G199" s="510">
        <v>3518.37</v>
      </c>
      <c r="H199" s="508">
        <v>0.2094</v>
      </c>
      <c r="I199" s="510">
        <v>4255.1166780000003</v>
      </c>
      <c r="J199" s="509">
        <v>8510.2333560000006</v>
      </c>
      <c r="K199" s="409"/>
      <c r="L199" s="447">
        <f t="shared" si="31"/>
        <v>8510.2333560000006</v>
      </c>
      <c r="M199" s="447"/>
      <c r="N199" s="409"/>
      <c r="O199" s="409"/>
      <c r="P199" s="409"/>
      <c r="Q199" s="409"/>
      <c r="R199" s="409"/>
      <c r="S199" s="409"/>
    </row>
    <row r="200" spans="1:19" s="140" customFormat="1" ht="51">
      <c r="A200" s="256" t="s">
        <v>3260</v>
      </c>
      <c r="B200" s="285" t="s">
        <v>24651</v>
      </c>
      <c r="C200" s="285" t="s">
        <v>24637</v>
      </c>
      <c r="D200" s="289" t="s">
        <v>24638</v>
      </c>
      <c r="E200" s="290" t="s">
        <v>3240</v>
      </c>
      <c r="F200" s="755">
        <v>6</v>
      </c>
      <c r="G200" s="510">
        <v>3525.7699999999995</v>
      </c>
      <c r="H200" s="508">
        <v>0.2094</v>
      </c>
      <c r="I200" s="510">
        <v>4264.0662379999994</v>
      </c>
      <c r="J200" s="509">
        <v>25584.397427999997</v>
      </c>
      <c r="K200" s="409"/>
      <c r="L200" s="447">
        <f t="shared" si="31"/>
        <v>25584.397427999997</v>
      </c>
      <c r="M200" s="447"/>
      <c r="N200" s="409"/>
      <c r="O200" s="409"/>
      <c r="P200" s="409"/>
      <c r="Q200" s="409"/>
      <c r="R200" s="409"/>
      <c r="S200" s="409"/>
    </row>
    <row r="201" spans="1:19" s="140" customFormat="1" ht="51">
      <c r="A201" s="256" t="s">
        <v>3260</v>
      </c>
      <c r="B201" s="285" t="s">
        <v>24652</v>
      </c>
      <c r="C201" s="285" t="s">
        <v>24639</v>
      </c>
      <c r="D201" s="289" t="s">
        <v>24640</v>
      </c>
      <c r="E201" s="290" t="s">
        <v>3240</v>
      </c>
      <c r="F201" s="755">
        <v>2</v>
      </c>
      <c r="G201" s="510">
        <v>3577.62</v>
      </c>
      <c r="H201" s="508">
        <v>0.2094</v>
      </c>
      <c r="I201" s="510">
        <v>4326.7736279999999</v>
      </c>
      <c r="J201" s="509">
        <v>8653.5472559999998</v>
      </c>
      <c r="K201" s="409"/>
      <c r="L201" s="447">
        <f t="shared" si="31"/>
        <v>8653.5472559999998</v>
      </c>
      <c r="M201" s="447"/>
      <c r="N201" s="409"/>
      <c r="O201" s="409"/>
      <c r="P201" s="409"/>
      <c r="Q201" s="409"/>
      <c r="R201" s="409"/>
      <c r="S201" s="409"/>
    </row>
    <row r="202" spans="1:19" s="140" customFormat="1" ht="51">
      <c r="A202" s="256" t="s">
        <v>3260</v>
      </c>
      <c r="B202" s="285" t="s">
        <v>24653</v>
      </c>
      <c r="C202" s="285" t="s">
        <v>15475</v>
      </c>
      <c r="D202" s="289" t="s">
        <v>24641</v>
      </c>
      <c r="E202" s="290" t="s">
        <v>3240</v>
      </c>
      <c r="F202" s="292">
        <v>1</v>
      </c>
      <c r="G202" s="510">
        <v>3804.75</v>
      </c>
      <c r="H202" s="508">
        <v>0.2094</v>
      </c>
      <c r="I202" s="510">
        <v>4601.4646499999999</v>
      </c>
      <c r="J202" s="509">
        <v>4601.4646499999999</v>
      </c>
      <c r="K202" s="409"/>
      <c r="L202" s="447">
        <f t="shared" si="26"/>
        <v>4601.4646499999999</v>
      </c>
      <c r="M202" s="447"/>
      <c r="N202" s="409"/>
      <c r="O202" s="409"/>
      <c r="P202" s="409"/>
      <c r="Q202" s="409"/>
      <c r="R202" s="409"/>
      <c r="S202" s="409"/>
    </row>
    <row r="203" spans="1:19" s="140" customFormat="1" ht="51">
      <c r="A203" s="256" t="s">
        <v>3260</v>
      </c>
      <c r="B203" s="285" t="s">
        <v>24654</v>
      </c>
      <c r="C203" s="285" t="s">
        <v>17784</v>
      </c>
      <c r="D203" s="289" t="s">
        <v>24642</v>
      </c>
      <c r="E203" s="290" t="s">
        <v>3240</v>
      </c>
      <c r="F203" s="292">
        <v>8</v>
      </c>
      <c r="G203" s="510">
        <v>392.42</v>
      </c>
      <c r="H203" s="508">
        <v>0.2094</v>
      </c>
      <c r="I203" s="510">
        <v>474.59274800000003</v>
      </c>
      <c r="J203" s="509">
        <v>3796.7419840000002</v>
      </c>
      <c r="K203" s="409"/>
      <c r="L203" s="447">
        <f t="shared" ref="L203" si="32">I203*F203</f>
        <v>3796.7419840000002</v>
      </c>
      <c r="M203" s="447"/>
      <c r="N203" s="409"/>
      <c r="O203" s="409"/>
      <c r="P203" s="409"/>
      <c r="Q203" s="409"/>
      <c r="R203" s="409"/>
      <c r="S203" s="409"/>
    </row>
    <row r="204" spans="1:19" s="140" customFormat="1" ht="51">
      <c r="A204" s="256" t="s">
        <v>3260</v>
      </c>
      <c r="B204" s="285" t="s">
        <v>24655</v>
      </c>
      <c r="C204" s="285" t="s">
        <v>15485</v>
      </c>
      <c r="D204" s="289" t="s">
        <v>24643</v>
      </c>
      <c r="E204" s="290" t="s">
        <v>3240</v>
      </c>
      <c r="F204" s="292">
        <v>2</v>
      </c>
      <c r="G204" s="510">
        <v>743.8</v>
      </c>
      <c r="H204" s="508">
        <v>0.2094</v>
      </c>
      <c r="I204" s="510">
        <v>899.55171999999993</v>
      </c>
      <c r="J204" s="509">
        <v>1799.1034399999999</v>
      </c>
      <c r="K204" s="409"/>
      <c r="L204" s="447">
        <f t="shared" si="26"/>
        <v>1799.1034399999999</v>
      </c>
      <c r="M204" s="447"/>
      <c r="N204" s="409"/>
      <c r="O204" s="409"/>
      <c r="P204" s="409"/>
      <c r="Q204" s="409"/>
      <c r="R204" s="409"/>
      <c r="S204" s="409"/>
    </row>
    <row r="205" spans="1:19" s="140" customFormat="1" ht="25.5">
      <c r="A205" s="256" t="s">
        <v>3260</v>
      </c>
      <c r="B205" s="285" t="s">
        <v>24656</v>
      </c>
      <c r="C205" s="285" t="s">
        <v>15494</v>
      </c>
      <c r="D205" s="289" t="s">
        <v>15474</v>
      </c>
      <c r="E205" s="290" t="s">
        <v>193</v>
      </c>
      <c r="F205" s="292">
        <v>2</v>
      </c>
      <c r="G205" s="510">
        <v>361.03</v>
      </c>
      <c r="H205" s="508">
        <v>0.2094</v>
      </c>
      <c r="I205" s="510">
        <v>436.629682</v>
      </c>
      <c r="J205" s="509">
        <v>873.25936400000001</v>
      </c>
      <c r="K205" s="409"/>
      <c r="L205" s="447">
        <f t="shared" si="26"/>
        <v>873.25936400000001</v>
      </c>
      <c r="M205" s="447"/>
      <c r="N205" s="409"/>
      <c r="O205" s="409"/>
      <c r="P205" s="409"/>
      <c r="Q205" s="409"/>
      <c r="R205" s="409"/>
      <c r="S205" s="409"/>
    </row>
    <row r="206" spans="1:19" s="92" customFormat="1">
      <c r="A206" s="256"/>
      <c r="B206" s="391"/>
      <c r="C206" s="391"/>
      <c r="D206" s="401"/>
      <c r="E206" s="391"/>
      <c r="F206" s="417"/>
      <c r="G206" s="417"/>
      <c r="H206" s="417"/>
      <c r="I206" s="417"/>
      <c r="J206" s="418"/>
      <c r="K206" s="298"/>
      <c r="L206" s="447">
        <f t="shared" si="26"/>
        <v>0</v>
      </c>
      <c r="M206" s="447"/>
      <c r="N206" s="298"/>
      <c r="O206" s="298"/>
      <c r="P206" s="298"/>
      <c r="Q206" s="298"/>
      <c r="R206" s="298"/>
      <c r="S206" s="298"/>
    </row>
    <row r="207" spans="1:19" s="92" customFormat="1">
      <c r="A207" s="256"/>
      <c r="B207" s="287" t="s">
        <v>17534</v>
      </c>
      <c r="C207" s="287"/>
      <c r="D207" s="400" t="s">
        <v>17539</v>
      </c>
      <c r="E207" s="415"/>
      <c r="F207" s="415"/>
      <c r="G207" s="462"/>
      <c r="H207" s="415"/>
      <c r="I207" s="462"/>
      <c r="J207" s="416"/>
      <c r="K207" s="298"/>
      <c r="L207" s="447">
        <f t="shared" si="26"/>
        <v>0</v>
      </c>
      <c r="M207" s="447"/>
      <c r="N207" s="409"/>
      <c r="O207" s="409"/>
      <c r="P207" s="409"/>
      <c r="Q207" s="409"/>
      <c r="R207" s="409"/>
      <c r="S207" s="409"/>
    </row>
    <row r="208" spans="1:19" s="140" customFormat="1" ht="25.5">
      <c r="A208" s="256" t="s">
        <v>12</v>
      </c>
      <c r="B208" s="285" t="s">
        <v>17535</v>
      </c>
      <c r="C208" s="285" t="s">
        <v>15301</v>
      </c>
      <c r="D208" s="289" t="s">
        <v>17486</v>
      </c>
      <c r="E208" s="290" t="s">
        <v>109</v>
      </c>
      <c r="F208" s="755">
        <v>82</v>
      </c>
      <c r="G208" s="510">
        <v>6.52</v>
      </c>
      <c r="H208" s="508">
        <v>0.2094</v>
      </c>
      <c r="I208" s="510">
        <v>7.8852880000000001</v>
      </c>
      <c r="J208" s="509">
        <v>646.593616</v>
      </c>
      <c r="K208" s="409"/>
      <c r="L208" s="447">
        <f t="shared" si="26"/>
        <v>646.593616</v>
      </c>
      <c r="M208" s="447"/>
      <c r="N208" s="409"/>
      <c r="O208" s="409"/>
      <c r="P208" s="409"/>
      <c r="Q208" s="409"/>
      <c r="R208" s="409"/>
      <c r="S208" s="409"/>
    </row>
    <row r="209" spans="1:19" s="140" customFormat="1" ht="25.5">
      <c r="A209" s="256" t="s">
        <v>12</v>
      </c>
      <c r="B209" s="285" t="s">
        <v>17536</v>
      </c>
      <c r="C209" s="285" t="s">
        <v>15309</v>
      </c>
      <c r="D209" s="289" t="s">
        <v>17489</v>
      </c>
      <c r="E209" s="290" t="s">
        <v>109</v>
      </c>
      <c r="F209" s="755">
        <v>54</v>
      </c>
      <c r="G209" s="510">
        <v>27.79</v>
      </c>
      <c r="H209" s="508">
        <v>0.2094</v>
      </c>
      <c r="I209" s="510">
        <v>33.609226</v>
      </c>
      <c r="J209" s="509">
        <v>1814.8982040000001</v>
      </c>
      <c r="K209" s="409"/>
      <c r="L209" s="447">
        <f t="shared" si="26"/>
        <v>1814.8982040000001</v>
      </c>
      <c r="M209" s="447"/>
      <c r="N209" s="409"/>
      <c r="O209" s="409"/>
      <c r="P209" s="409"/>
      <c r="Q209" s="409"/>
      <c r="R209" s="409"/>
      <c r="S209" s="409"/>
    </row>
    <row r="210" spans="1:19" s="140" customFormat="1" ht="25.5">
      <c r="A210" s="256" t="s">
        <v>12</v>
      </c>
      <c r="B210" s="285" t="s">
        <v>17537</v>
      </c>
      <c r="C210" s="285" t="s">
        <v>15311</v>
      </c>
      <c r="D210" s="289" t="s">
        <v>17492</v>
      </c>
      <c r="E210" s="290" t="s">
        <v>109</v>
      </c>
      <c r="F210" s="755">
        <v>2</v>
      </c>
      <c r="G210" s="510">
        <v>48.02</v>
      </c>
      <c r="H210" s="508">
        <v>0.2094</v>
      </c>
      <c r="I210" s="510">
        <v>58.075388000000004</v>
      </c>
      <c r="J210" s="509">
        <v>116.15077600000001</v>
      </c>
      <c r="K210" s="409"/>
      <c r="L210" s="447">
        <f t="shared" si="26"/>
        <v>116.15077600000001</v>
      </c>
      <c r="M210" s="447"/>
      <c r="N210" s="409"/>
      <c r="O210" s="409"/>
      <c r="P210" s="409"/>
      <c r="Q210" s="409"/>
      <c r="R210" s="409"/>
      <c r="S210" s="409"/>
    </row>
    <row r="211" spans="1:19" s="140" customFormat="1" ht="25.5">
      <c r="A211" s="256" t="s">
        <v>12</v>
      </c>
      <c r="B211" s="285" t="s">
        <v>17538</v>
      </c>
      <c r="C211" s="285" t="s">
        <v>15324</v>
      </c>
      <c r="D211" s="289" t="s">
        <v>17493</v>
      </c>
      <c r="E211" s="290" t="s">
        <v>109</v>
      </c>
      <c r="F211" s="755">
        <v>26</v>
      </c>
      <c r="G211" s="510">
        <v>39.08</v>
      </c>
      <c r="H211" s="508">
        <v>0.2094</v>
      </c>
      <c r="I211" s="510">
        <v>47.263351999999998</v>
      </c>
      <c r="J211" s="509">
        <v>1228.8471519999998</v>
      </c>
      <c r="K211" s="409"/>
      <c r="L211" s="447">
        <f t="shared" si="26"/>
        <v>1228.8471519999998</v>
      </c>
      <c r="M211" s="447"/>
      <c r="N211" s="409"/>
      <c r="O211" s="409"/>
      <c r="P211" s="409"/>
      <c r="Q211" s="409"/>
      <c r="R211" s="409"/>
      <c r="S211" s="409"/>
    </row>
    <row r="212" spans="1:19" s="92" customFormat="1">
      <c r="A212" s="256"/>
      <c r="B212" s="391"/>
      <c r="C212" s="391"/>
      <c r="D212" s="401"/>
      <c r="E212" s="391"/>
      <c r="F212" s="417"/>
      <c r="G212" s="417"/>
      <c r="H212" s="417"/>
      <c r="I212" s="417"/>
      <c r="J212" s="418"/>
      <c r="K212" s="298"/>
      <c r="L212" s="447">
        <f t="shared" si="26"/>
        <v>0</v>
      </c>
      <c r="M212" s="447"/>
      <c r="N212" s="298"/>
      <c r="O212" s="298"/>
      <c r="P212" s="298"/>
      <c r="Q212" s="298"/>
      <c r="R212" s="298"/>
      <c r="S212" s="298"/>
    </row>
    <row r="213" spans="1:19" s="92" customFormat="1">
      <c r="A213" s="256"/>
      <c r="B213" s="287" t="s">
        <v>15634</v>
      </c>
      <c r="C213" s="287"/>
      <c r="D213" s="400" t="s">
        <v>15635</v>
      </c>
      <c r="E213" s="415"/>
      <c r="F213" s="415"/>
      <c r="G213" s="462"/>
      <c r="H213" s="415"/>
      <c r="I213" s="462"/>
      <c r="J213" s="416"/>
      <c r="K213" s="298"/>
      <c r="L213" s="447">
        <f t="shared" si="26"/>
        <v>0</v>
      </c>
      <c r="M213" s="447"/>
      <c r="N213" s="298"/>
      <c r="O213" s="298"/>
      <c r="P213" s="298"/>
      <c r="Q213" s="298"/>
      <c r="R213" s="298"/>
      <c r="S213" s="298"/>
    </row>
    <row r="214" spans="1:19" s="140" customFormat="1" ht="51">
      <c r="A214" s="256" t="s">
        <v>3260</v>
      </c>
      <c r="B214" s="285" t="s">
        <v>15636</v>
      </c>
      <c r="C214" s="285" t="s">
        <v>15497</v>
      </c>
      <c r="D214" s="289" t="s">
        <v>15495</v>
      </c>
      <c r="E214" s="290" t="s">
        <v>193</v>
      </c>
      <c r="F214" s="755">
        <v>9.36</v>
      </c>
      <c r="G214" s="510">
        <v>449.47</v>
      </c>
      <c r="H214" s="508">
        <v>0.2094</v>
      </c>
      <c r="I214" s="510">
        <v>543.58901800000001</v>
      </c>
      <c r="J214" s="509">
        <v>5087.9932084799993</v>
      </c>
      <c r="K214" s="409"/>
      <c r="L214" s="447">
        <f t="shared" si="26"/>
        <v>5087.9932084799993</v>
      </c>
      <c r="M214" s="447"/>
      <c r="N214" s="409"/>
      <c r="O214" s="409"/>
      <c r="P214" s="409"/>
      <c r="Q214" s="409"/>
      <c r="R214" s="409"/>
      <c r="S214" s="409"/>
    </row>
    <row r="215" spans="1:19" s="92" customFormat="1">
      <c r="A215" s="256"/>
      <c r="B215" s="391"/>
      <c r="C215" s="391"/>
      <c r="D215" s="401"/>
      <c r="E215" s="391"/>
      <c r="F215" s="417"/>
      <c r="G215" s="417"/>
      <c r="H215" s="417"/>
      <c r="I215" s="417"/>
      <c r="J215" s="418"/>
      <c r="K215" s="298"/>
      <c r="L215" s="447">
        <f t="shared" si="26"/>
        <v>0</v>
      </c>
      <c r="M215" s="447"/>
      <c r="N215" s="298"/>
      <c r="O215" s="298"/>
      <c r="P215" s="298"/>
      <c r="Q215" s="298"/>
      <c r="R215" s="298"/>
      <c r="S215" s="298"/>
    </row>
    <row r="216" spans="1:19" s="92" customFormat="1">
      <c r="A216" s="256"/>
      <c r="B216" s="287" t="s">
        <v>3333</v>
      </c>
      <c r="C216" s="287"/>
      <c r="D216" s="400" t="s">
        <v>11572</v>
      </c>
      <c r="E216" s="415"/>
      <c r="F216" s="415"/>
      <c r="G216" s="462"/>
      <c r="H216" s="415"/>
      <c r="I216" s="462"/>
      <c r="J216" s="416"/>
      <c r="K216" s="298"/>
      <c r="L216" s="447">
        <f t="shared" si="26"/>
        <v>0</v>
      </c>
      <c r="M216" s="447"/>
      <c r="N216" s="409"/>
      <c r="O216" s="409"/>
      <c r="P216" s="409"/>
      <c r="Q216" s="409"/>
      <c r="R216" s="409"/>
      <c r="S216" s="409"/>
    </row>
    <row r="217" spans="1:19" s="140" customFormat="1" ht="51">
      <c r="A217" s="256" t="s">
        <v>3260</v>
      </c>
      <c r="B217" s="285" t="s">
        <v>3334</v>
      </c>
      <c r="C217" s="285" t="s">
        <v>15498</v>
      </c>
      <c r="D217" s="289" t="s">
        <v>17540</v>
      </c>
      <c r="E217" s="290" t="s">
        <v>193</v>
      </c>
      <c r="F217" s="755">
        <v>1496.08</v>
      </c>
      <c r="G217" s="510">
        <v>230.73</v>
      </c>
      <c r="H217" s="508">
        <v>0.2094</v>
      </c>
      <c r="I217" s="510">
        <v>279.04486199999997</v>
      </c>
      <c r="J217" s="509">
        <v>417473.43714095996</v>
      </c>
      <c r="K217" s="409"/>
      <c r="L217" s="447">
        <f t="shared" si="26"/>
        <v>417473.43714095996</v>
      </c>
      <c r="M217" s="447"/>
      <c r="N217" s="409"/>
      <c r="O217" s="409"/>
      <c r="P217" s="409"/>
      <c r="Q217" s="409"/>
      <c r="R217" s="409"/>
      <c r="S217" s="409"/>
    </row>
    <row r="218" spans="1:19" s="140" customFormat="1" ht="51">
      <c r="A218" s="256" t="s">
        <v>3260</v>
      </c>
      <c r="B218" s="285" t="s">
        <v>3335</v>
      </c>
      <c r="C218" s="285" t="s">
        <v>15501</v>
      </c>
      <c r="D218" s="289" t="s">
        <v>17541</v>
      </c>
      <c r="E218" s="290" t="s">
        <v>193</v>
      </c>
      <c r="F218" s="755">
        <v>473.01</v>
      </c>
      <c r="G218" s="510">
        <v>81.759999999999991</v>
      </c>
      <c r="H218" s="508">
        <v>0.2094</v>
      </c>
      <c r="I218" s="510">
        <v>98.880543999999986</v>
      </c>
      <c r="J218" s="509">
        <v>46771.486117439992</v>
      </c>
      <c r="K218" s="409"/>
      <c r="L218" s="447">
        <f t="shared" si="26"/>
        <v>46771.486117439992</v>
      </c>
      <c r="M218" s="447"/>
      <c r="N218" s="409"/>
      <c r="O218" s="409"/>
      <c r="P218" s="409"/>
      <c r="Q218" s="409"/>
      <c r="R218" s="409"/>
      <c r="S218" s="409"/>
    </row>
    <row r="219" spans="1:19" s="140" customFormat="1" ht="38.25">
      <c r="A219" s="256" t="s">
        <v>3260</v>
      </c>
      <c r="B219" s="285" t="s">
        <v>3769</v>
      </c>
      <c r="C219" s="285" t="s">
        <v>15500</v>
      </c>
      <c r="D219" s="289" t="s">
        <v>15486</v>
      </c>
      <c r="E219" s="290" t="s">
        <v>5</v>
      </c>
      <c r="F219" s="755">
        <v>58.32</v>
      </c>
      <c r="G219" s="510">
        <v>54.150000000000006</v>
      </c>
      <c r="H219" s="508">
        <v>0.2094</v>
      </c>
      <c r="I219" s="510">
        <v>65.489010000000007</v>
      </c>
      <c r="J219" s="509">
        <v>3819.3190632000005</v>
      </c>
      <c r="K219" s="409"/>
      <c r="L219" s="447">
        <f t="shared" si="26"/>
        <v>3819.3190632000005</v>
      </c>
      <c r="M219" s="447"/>
      <c r="N219" s="409"/>
      <c r="O219" s="409"/>
      <c r="P219" s="409"/>
      <c r="Q219" s="409"/>
      <c r="R219" s="409"/>
      <c r="S219" s="409"/>
    </row>
    <row r="220" spans="1:19" s="140" customFormat="1" ht="38.25">
      <c r="A220" s="394" t="s">
        <v>3259</v>
      </c>
      <c r="B220" s="285" t="s">
        <v>3770</v>
      </c>
      <c r="C220" s="285">
        <v>94228</v>
      </c>
      <c r="D220" s="289" t="s">
        <v>3913</v>
      </c>
      <c r="E220" s="290" t="s">
        <v>5</v>
      </c>
      <c r="F220" s="755">
        <v>201.95</v>
      </c>
      <c r="G220" s="510" t="s">
        <v>21655</v>
      </c>
      <c r="H220" s="508">
        <v>0.2094</v>
      </c>
      <c r="I220" s="510">
        <v>105.49596200000001</v>
      </c>
      <c r="J220" s="509">
        <v>21304.909525899999</v>
      </c>
      <c r="K220" s="409"/>
      <c r="L220" s="447">
        <f t="shared" si="26"/>
        <v>21304.909525899999</v>
      </c>
      <c r="M220" s="447"/>
      <c r="N220" s="409"/>
      <c r="O220" s="409"/>
      <c r="P220" s="409"/>
      <c r="Q220" s="409"/>
      <c r="R220" s="409"/>
      <c r="S220" s="409"/>
    </row>
    <row r="221" spans="1:19" s="140" customFormat="1" ht="38.25">
      <c r="A221" s="394" t="s">
        <v>3259</v>
      </c>
      <c r="B221" s="285" t="s">
        <v>15637</v>
      </c>
      <c r="C221" s="285">
        <v>94231</v>
      </c>
      <c r="D221" s="289" t="s">
        <v>3915</v>
      </c>
      <c r="E221" s="290" t="s">
        <v>5</v>
      </c>
      <c r="F221" s="755">
        <v>67.5</v>
      </c>
      <c r="G221" s="510" t="s">
        <v>20751</v>
      </c>
      <c r="H221" s="508">
        <v>0.2094</v>
      </c>
      <c r="I221" s="510">
        <v>62.634826000000004</v>
      </c>
      <c r="J221" s="509">
        <v>4227.8507550000004</v>
      </c>
      <c r="K221" s="409"/>
      <c r="L221" s="447">
        <f t="shared" si="26"/>
        <v>4227.8507550000004</v>
      </c>
      <c r="M221" s="447"/>
      <c r="N221" s="409"/>
      <c r="O221" s="409"/>
      <c r="P221" s="409"/>
      <c r="Q221" s="409"/>
      <c r="R221" s="409"/>
      <c r="S221" s="409"/>
    </row>
    <row r="222" spans="1:19" s="140" customFormat="1" ht="38.25">
      <c r="A222" s="256" t="s">
        <v>3260</v>
      </c>
      <c r="B222" s="285" t="s">
        <v>15638</v>
      </c>
      <c r="C222" s="285" t="s">
        <v>15502</v>
      </c>
      <c r="D222" s="289" t="s">
        <v>17545</v>
      </c>
      <c r="E222" s="290" t="s">
        <v>193</v>
      </c>
      <c r="F222" s="755">
        <v>42</v>
      </c>
      <c r="G222" s="510">
        <v>150.46</v>
      </c>
      <c r="H222" s="508">
        <v>0.2094</v>
      </c>
      <c r="I222" s="510">
        <v>181.96632400000001</v>
      </c>
      <c r="J222" s="509">
        <v>7642.5856080000003</v>
      </c>
      <c r="K222" s="409"/>
      <c r="L222" s="447">
        <f t="shared" si="26"/>
        <v>7642.5856080000003</v>
      </c>
      <c r="M222" s="447"/>
      <c r="N222" s="409"/>
      <c r="O222" s="409"/>
      <c r="P222" s="409"/>
      <c r="Q222" s="409"/>
      <c r="R222" s="409"/>
      <c r="S222" s="409"/>
    </row>
    <row r="223" spans="1:19" s="92" customFormat="1">
      <c r="A223" s="256"/>
      <c r="B223" s="391"/>
      <c r="C223" s="391"/>
      <c r="D223" s="401"/>
      <c r="E223" s="391"/>
      <c r="F223" s="417"/>
      <c r="G223" s="417"/>
      <c r="H223" s="417"/>
      <c r="I223" s="417"/>
      <c r="J223" s="418"/>
      <c r="K223" s="298"/>
      <c r="L223" s="447">
        <f t="shared" si="26"/>
        <v>0</v>
      </c>
      <c r="M223" s="447"/>
      <c r="N223" s="298"/>
      <c r="O223" s="298"/>
      <c r="P223" s="298"/>
      <c r="Q223" s="298"/>
      <c r="R223" s="298"/>
      <c r="S223" s="298"/>
    </row>
    <row r="224" spans="1:19" s="92" customFormat="1">
      <c r="A224" s="256"/>
      <c r="B224" s="287" t="s">
        <v>15639</v>
      </c>
      <c r="C224" s="287"/>
      <c r="D224" s="400" t="s">
        <v>15640</v>
      </c>
      <c r="E224" s="415"/>
      <c r="F224" s="415"/>
      <c r="G224" s="462"/>
      <c r="H224" s="415"/>
      <c r="I224" s="462"/>
      <c r="J224" s="416"/>
      <c r="K224" s="298"/>
      <c r="L224" s="447">
        <f t="shared" si="26"/>
        <v>0</v>
      </c>
      <c r="M224" s="447">
        <f t="shared" ref="M224:M225" si="33">L224-J224</f>
        <v>0</v>
      </c>
      <c r="N224" s="298"/>
      <c r="O224" s="298"/>
      <c r="P224" s="298"/>
      <c r="Q224" s="298"/>
      <c r="R224" s="298"/>
      <c r="S224" s="298"/>
    </row>
    <row r="225" spans="1:19" s="92" customFormat="1">
      <c r="A225" s="256"/>
      <c r="B225" s="287" t="s">
        <v>15641</v>
      </c>
      <c r="C225" s="287"/>
      <c r="D225" s="400" t="s">
        <v>17565</v>
      </c>
      <c r="E225" s="415"/>
      <c r="F225" s="415"/>
      <c r="G225" s="462"/>
      <c r="H225" s="415"/>
      <c r="I225" s="462"/>
      <c r="J225" s="416"/>
      <c r="K225" s="298"/>
      <c r="L225" s="447">
        <f t="shared" si="26"/>
        <v>0</v>
      </c>
      <c r="M225" s="447">
        <f t="shared" si="33"/>
        <v>0</v>
      </c>
      <c r="N225" s="298"/>
      <c r="O225" s="298"/>
      <c r="P225" s="298"/>
      <c r="Q225" s="298"/>
      <c r="R225" s="298"/>
      <c r="S225" s="298"/>
    </row>
    <row r="226" spans="1:19" s="140" customFormat="1" ht="51">
      <c r="A226" s="394" t="s">
        <v>3259</v>
      </c>
      <c r="B226" s="285" t="s">
        <v>15642</v>
      </c>
      <c r="C226" s="285">
        <v>97084</v>
      </c>
      <c r="D226" s="289" t="s">
        <v>3422</v>
      </c>
      <c r="E226" s="290" t="s">
        <v>193</v>
      </c>
      <c r="F226" s="755">
        <v>7.69</v>
      </c>
      <c r="G226" s="510" t="s">
        <v>12166</v>
      </c>
      <c r="H226" s="508">
        <v>0.2094</v>
      </c>
      <c r="I226" s="510">
        <v>0.70145199999999996</v>
      </c>
      <c r="J226" s="509">
        <v>5.3941658800000001</v>
      </c>
      <c r="K226" s="409"/>
      <c r="L226" s="447">
        <f t="shared" si="26"/>
        <v>5.3941658800000001</v>
      </c>
      <c r="M226" s="447"/>
      <c r="N226" s="409"/>
      <c r="O226" s="409"/>
      <c r="P226" s="409"/>
      <c r="Q226" s="409"/>
      <c r="R226" s="409"/>
      <c r="S226" s="409"/>
    </row>
    <row r="227" spans="1:19" s="140" customFormat="1" ht="25.5">
      <c r="A227" s="394" t="s">
        <v>3259</v>
      </c>
      <c r="B227" s="285" t="s">
        <v>15643</v>
      </c>
      <c r="C227" s="285">
        <v>97087</v>
      </c>
      <c r="D227" s="289" t="s">
        <v>12806</v>
      </c>
      <c r="E227" s="290" t="s">
        <v>193</v>
      </c>
      <c r="F227" s="755">
        <v>7.69</v>
      </c>
      <c r="G227" s="510" t="s">
        <v>11077</v>
      </c>
      <c r="H227" s="508">
        <v>0.2094</v>
      </c>
      <c r="I227" s="510">
        <v>1.9350400000000001</v>
      </c>
      <c r="J227" s="509">
        <v>14.880457600000002</v>
      </c>
      <c r="K227" s="409"/>
      <c r="L227" s="447">
        <f t="shared" si="26"/>
        <v>14.880457600000002</v>
      </c>
      <c r="M227" s="447"/>
      <c r="N227" s="409"/>
      <c r="O227" s="409"/>
      <c r="P227" s="409"/>
      <c r="Q227" s="409"/>
      <c r="R227" s="409"/>
      <c r="S227" s="409"/>
    </row>
    <row r="228" spans="1:19" s="140" customFormat="1" ht="51">
      <c r="A228" s="394" t="s">
        <v>3259</v>
      </c>
      <c r="B228" s="285" t="s">
        <v>15644</v>
      </c>
      <c r="C228" s="285">
        <v>94990</v>
      </c>
      <c r="D228" s="289" t="s">
        <v>2753</v>
      </c>
      <c r="E228" s="290" t="s">
        <v>209</v>
      </c>
      <c r="F228" s="755">
        <v>0.53830000000000011</v>
      </c>
      <c r="G228" s="510" t="s">
        <v>24064</v>
      </c>
      <c r="H228" s="508">
        <v>0.2094</v>
      </c>
      <c r="I228" s="510">
        <v>798.7361360000001</v>
      </c>
      <c r="J228" s="509">
        <v>429.95966200880014</v>
      </c>
      <c r="K228" s="409"/>
      <c r="L228" s="447">
        <f t="shared" si="26"/>
        <v>429.95966200880014</v>
      </c>
      <c r="M228" s="447"/>
      <c r="N228" s="409"/>
      <c r="O228" s="409"/>
      <c r="P228" s="409"/>
      <c r="Q228" s="409"/>
      <c r="R228" s="409"/>
      <c r="S228" s="409"/>
    </row>
    <row r="229" spans="1:19" s="140" customFormat="1" ht="25.5">
      <c r="A229" s="394" t="s">
        <v>3260</v>
      </c>
      <c r="B229" s="285" t="s">
        <v>15645</v>
      </c>
      <c r="C229" s="285" t="s">
        <v>15440</v>
      </c>
      <c r="D229" s="289" t="s">
        <v>17444</v>
      </c>
      <c r="E229" s="290" t="s">
        <v>193</v>
      </c>
      <c r="F229" s="755">
        <v>7.69</v>
      </c>
      <c r="G229" s="510">
        <v>5.3100000000000005</v>
      </c>
      <c r="H229" s="508">
        <v>0.2094</v>
      </c>
      <c r="I229" s="510">
        <v>6.421914000000001</v>
      </c>
      <c r="J229" s="509">
        <v>49.384518660000012</v>
      </c>
      <c r="K229" s="409"/>
      <c r="L229" s="447">
        <f t="shared" si="26"/>
        <v>49.384518660000012</v>
      </c>
      <c r="M229" s="447"/>
      <c r="N229" s="409"/>
      <c r="O229" s="409"/>
      <c r="P229" s="409"/>
      <c r="Q229" s="409"/>
      <c r="R229" s="409"/>
      <c r="S229" s="409"/>
    </row>
    <row r="230" spans="1:19" s="140" customFormat="1" ht="51">
      <c r="A230" s="394" t="s">
        <v>3260</v>
      </c>
      <c r="B230" s="285" t="s">
        <v>15646</v>
      </c>
      <c r="C230" s="285" t="s">
        <v>15442</v>
      </c>
      <c r="D230" s="289" t="s">
        <v>15565</v>
      </c>
      <c r="E230" s="290" t="s">
        <v>5</v>
      </c>
      <c r="F230" s="755">
        <v>5</v>
      </c>
      <c r="G230" s="510">
        <v>8.2200000000000006</v>
      </c>
      <c r="H230" s="508">
        <v>0.2094</v>
      </c>
      <c r="I230" s="510">
        <v>9.9412680000000009</v>
      </c>
      <c r="J230" s="509">
        <v>49.706340000000004</v>
      </c>
      <c r="K230" s="409"/>
      <c r="L230" s="447">
        <f t="shared" si="26"/>
        <v>49.706340000000004</v>
      </c>
      <c r="M230" s="447"/>
      <c r="N230" s="409"/>
      <c r="O230" s="409"/>
      <c r="P230" s="409"/>
      <c r="Q230" s="409"/>
      <c r="R230" s="409"/>
      <c r="S230" s="409"/>
    </row>
    <row r="231" spans="1:19" s="92" customFormat="1">
      <c r="A231" s="256"/>
      <c r="B231" s="391"/>
      <c r="C231" s="391"/>
      <c r="D231" s="401"/>
      <c r="E231" s="391"/>
      <c r="F231" s="417"/>
      <c r="G231" s="417"/>
      <c r="H231" s="417"/>
      <c r="I231" s="417"/>
      <c r="J231" s="418"/>
      <c r="K231" s="298"/>
      <c r="L231" s="447">
        <f t="shared" si="26"/>
        <v>0</v>
      </c>
      <c r="M231" s="447"/>
      <c r="N231" s="298"/>
      <c r="O231" s="298"/>
      <c r="P231" s="298"/>
      <c r="Q231" s="298"/>
      <c r="R231" s="298"/>
      <c r="S231" s="298"/>
    </row>
    <row r="232" spans="1:19" s="92" customFormat="1">
      <c r="A232" s="256"/>
      <c r="B232" s="287" t="s">
        <v>15647</v>
      </c>
      <c r="C232" s="287"/>
      <c r="D232" s="400" t="s">
        <v>15648</v>
      </c>
      <c r="E232" s="415"/>
      <c r="F232" s="415"/>
      <c r="G232" s="462"/>
      <c r="H232" s="415"/>
      <c r="I232" s="462"/>
      <c r="J232" s="416"/>
      <c r="K232" s="298"/>
      <c r="L232" s="447">
        <f t="shared" si="26"/>
        <v>0</v>
      </c>
      <c r="M232" s="447">
        <f t="shared" ref="M232" si="34">L232-J232</f>
        <v>0</v>
      </c>
      <c r="N232" s="298"/>
      <c r="O232" s="298"/>
      <c r="P232" s="298"/>
      <c r="Q232" s="298"/>
      <c r="R232" s="298"/>
      <c r="S232" s="298"/>
    </row>
    <row r="233" spans="1:19" s="140" customFormat="1" ht="51">
      <c r="A233" s="394" t="s">
        <v>3259</v>
      </c>
      <c r="B233" s="285" t="s">
        <v>15649</v>
      </c>
      <c r="C233" s="285">
        <v>97084</v>
      </c>
      <c r="D233" s="289" t="s">
        <v>3422</v>
      </c>
      <c r="E233" s="290" t="s">
        <v>193</v>
      </c>
      <c r="F233" s="755">
        <v>329.19</v>
      </c>
      <c r="G233" s="510" t="s">
        <v>12166</v>
      </c>
      <c r="H233" s="508">
        <v>0.2094</v>
      </c>
      <c r="I233" s="510">
        <v>0.70145199999999996</v>
      </c>
      <c r="J233" s="509">
        <v>230.91098387999997</v>
      </c>
      <c r="K233" s="409"/>
      <c r="L233" s="447">
        <f t="shared" si="26"/>
        <v>230.91098387999997</v>
      </c>
      <c r="M233" s="447"/>
      <c r="N233" s="409"/>
      <c r="O233" s="409"/>
      <c r="P233" s="409"/>
      <c r="Q233" s="409"/>
      <c r="R233" s="409"/>
      <c r="S233" s="409"/>
    </row>
    <row r="234" spans="1:19" s="140" customFormat="1" ht="25.5">
      <c r="A234" s="394" t="s">
        <v>3259</v>
      </c>
      <c r="B234" s="285" t="s">
        <v>15650</v>
      </c>
      <c r="C234" s="285">
        <v>97087</v>
      </c>
      <c r="D234" s="289" t="s">
        <v>12806</v>
      </c>
      <c r="E234" s="290" t="s">
        <v>193</v>
      </c>
      <c r="F234" s="755">
        <v>329.19</v>
      </c>
      <c r="G234" s="510" t="s">
        <v>11077</v>
      </c>
      <c r="H234" s="508">
        <v>0.2094</v>
      </c>
      <c r="I234" s="510">
        <v>1.9350400000000001</v>
      </c>
      <c r="J234" s="509">
        <v>636.99581760000001</v>
      </c>
      <c r="K234" s="409"/>
      <c r="L234" s="447">
        <f t="shared" ref="L234:L298" si="35">I234*F234</f>
        <v>636.99581760000001</v>
      </c>
      <c r="M234" s="447"/>
      <c r="N234" s="409"/>
      <c r="O234" s="409"/>
      <c r="P234" s="409"/>
      <c r="Q234" s="409"/>
      <c r="R234" s="409"/>
      <c r="S234" s="409"/>
    </row>
    <row r="235" spans="1:19" s="140" customFormat="1" ht="38.25">
      <c r="A235" s="394" t="s">
        <v>3259</v>
      </c>
      <c r="B235" s="285" t="s">
        <v>15651</v>
      </c>
      <c r="C235" s="285">
        <v>95241</v>
      </c>
      <c r="D235" s="289" t="s">
        <v>15893</v>
      </c>
      <c r="E235" s="290" t="s">
        <v>193</v>
      </c>
      <c r="F235" s="755">
        <v>329.19</v>
      </c>
      <c r="G235" s="510" t="s">
        <v>14160</v>
      </c>
      <c r="H235" s="508">
        <v>0.2094</v>
      </c>
      <c r="I235" s="510">
        <v>31.420212000000003</v>
      </c>
      <c r="J235" s="509">
        <v>10343.219588280001</v>
      </c>
      <c r="K235" s="409"/>
      <c r="L235" s="447">
        <f t="shared" si="35"/>
        <v>10343.219588280001</v>
      </c>
      <c r="M235" s="447"/>
      <c r="N235" s="409"/>
      <c r="O235" s="409"/>
      <c r="P235" s="409"/>
      <c r="Q235" s="409"/>
      <c r="R235" s="409"/>
      <c r="S235" s="409"/>
    </row>
    <row r="236" spans="1:19" s="140" customFormat="1" ht="63.75">
      <c r="A236" s="394" t="s">
        <v>3259</v>
      </c>
      <c r="B236" s="285" t="s">
        <v>15652</v>
      </c>
      <c r="C236" s="285">
        <v>87630</v>
      </c>
      <c r="D236" s="289" t="s">
        <v>2766</v>
      </c>
      <c r="E236" s="290" t="s">
        <v>193</v>
      </c>
      <c r="F236" s="755">
        <v>1122.24</v>
      </c>
      <c r="G236" s="510" t="s">
        <v>15967</v>
      </c>
      <c r="H236" s="508">
        <v>0.2094</v>
      </c>
      <c r="I236" s="510">
        <v>43.719810000000003</v>
      </c>
      <c r="J236" s="509">
        <v>49064.1195744</v>
      </c>
      <c r="K236" s="409"/>
      <c r="L236" s="447">
        <f t="shared" si="35"/>
        <v>49064.1195744</v>
      </c>
      <c r="M236" s="447"/>
      <c r="N236" s="409"/>
      <c r="O236" s="409"/>
      <c r="P236" s="409"/>
      <c r="Q236" s="409"/>
      <c r="R236" s="409"/>
      <c r="S236" s="409"/>
    </row>
    <row r="237" spans="1:19" s="140" customFormat="1" ht="38.25">
      <c r="A237" s="394" t="s">
        <v>3259</v>
      </c>
      <c r="B237" s="285" t="s">
        <v>15653</v>
      </c>
      <c r="C237" s="285">
        <v>98555</v>
      </c>
      <c r="D237" s="289" t="s">
        <v>4082</v>
      </c>
      <c r="E237" s="290" t="s">
        <v>193</v>
      </c>
      <c r="F237" s="755">
        <v>271.19</v>
      </c>
      <c r="G237" s="510" t="s">
        <v>22565</v>
      </c>
      <c r="H237" s="508">
        <v>0.2094</v>
      </c>
      <c r="I237" s="510">
        <v>29.400513999999998</v>
      </c>
      <c r="J237" s="509">
        <v>7973.125391659999</v>
      </c>
      <c r="K237" s="409"/>
      <c r="L237" s="447">
        <f t="shared" si="35"/>
        <v>7973.125391659999</v>
      </c>
      <c r="M237" s="447"/>
      <c r="N237" s="256"/>
      <c r="O237" s="256"/>
      <c r="P237" s="256"/>
      <c r="Q237" s="256"/>
      <c r="R237" s="256"/>
      <c r="S237" s="256"/>
    </row>
    <row r="238" spans="1:19" s="140" customFormat="1" ht="38.25">
      <c r="A238" s="394" t="s">
        <v>3260</v>
      </c>
      <c r="B238" s="285" t="s">
        <v>15654</v>
      </c>
      <c r="C238" s="285" t="s">
        <v>15504</v>
      </c>
      <c r="D238" s="289" t="s">
        <v>17566</v>
      </c>
      <c r="E238" s="290" t="s">
        <v>193</v>
      </c>
      <c r="F238" s="755">
        <v>271.19</v>
      </c>
      <c r="G238" s="510">
        <v>109.56</v>
      </c>
      <c r="H238" s="508">
        <v>0.2094</v>
      </c>
      <c r="I238" s="510">
        <v>132.50186400000001</v>
      </c>
      <c r="J238" s="509">
        <v>35933.18049816</v>
      </c>
      <c r="K238" s="409"/>
      <c r="L238" s="447">
        <f t="shared" si="35"/>
        <v>35933.18049816</v>
      </c>
      <c r="M238" s="447"/>
      <c r="N238" s="256"/>
      <c r="O238" s="256"/>
      <c r="P238" s="256"/>
      <c r="Q238" s="256"/>
      <c r="R238" s="256"/>
      <c r="S238" s="256"/>
    </row>
    <row r="239" spans="1:19" s="140" customFormat="1" ht="38.25">
      <c r="A239" s="394" t="s">
        <v>3259</v>
      </c>
      <c r="B239" s="285" t="s">
        <v>15655</v>
      </c>
      <c r="C239" s="285">
        <v>101752</v>
      </c>
      <c r="D239" s="289" t="s">
        <v>13754</v>
      </c>
      <c r="E239" s="290" t="s">
        <v>193</v>
      </c>
      <c r="F239" s="755">
        <v>851.62</v>
      </c>
      <c r="G239" s="510" t="s">
        <v>12169</v>
      </c>
      <c r="H239" s="508">
        <v>0.2094</v>
      </c>
      <c r="I239" s="510">
        <v>44.566390000000006</v>
      </c>
      <c r="J239" s="509">
        <v>37953.629051800002</v>
      </c>
      <c r="K239" s="409"/>
      <c r="L239" s="447">
        <f t="shared" si="35"/>
        <v>37953.629051800002</v>
      </c>
      <c r="M239" s="447"/>
      <c r="N239" s="409"/>
      <c r="O239" s="409"/>
      <c r="P239" s="409"/>
      <c r="Q239" s="409"/>
      <c r="R239" s="409"/>
      <c r="S239" s="409"/>
    </row>
    <row r="240" spans="1:19" s="92" customFormat="1">
      <c r="A240" s="256"/>
      <c r="B240" s="391"/>
      <c r="C240" s="391"/>
      <c r="D240" s="401"/>
      <c r="E240" s="391"/>
      <c r="F240" s="417"/>
      <c r="G240" s="417"/>
      <c r="H240" s="417"/>
      <c r="I240" s="417"/>
      <c r="J240" s="418"/>
      <c r="K240" s="298"/>
      <c r="L240" s="447">
        <f t="shared" si="35"/>
        <v>0</v>
      </c>
      <c r="M240" s="447"/>
      <c r="N240" s="298"/>
      <c r="O240" s="298"/>
      <c r="P240" s="298"/>
      <c r="Q240" s="298"/>
      <c r="R240" s="298"/>
      <c r="S240" s="298"/>
    </row>
    <row r="241" spans="1:19" s="92" customFormat="1">
      <c r="A241" s="256"/>
      <c r="B241" s="287" t="s">
        <v>15656</v>
      </c>
      <c r="C241" s="287"/>
      <c r="D241" s="400" t="s">
        <v>15657</v>
      </c>
      <c r="E241" s="415"/>
      <c r="F241" s="415"/>
      <c r="G241" s="462"/>
      <c r="H241" s="415"/>
      <c r="I241" s="462"/>
      <c r="J241" s="416"/>
      <c r="K241" s="298"/>
      <c r="L241" s="447">
        <f t="shared" si="35"/>
        <v>0</v>
      </c>
      <c r="M241" s="447">
        <f t="shared" ref="M241" si="36">L241-J241</f>
        <v>0</v>
      </c>
      <c r="N241" s="298"/>
      <c r="O241" s="298"/>
      <c r="P241" s="298"/>
      <c r="Q241" s="298"/>
      <c r="R241" s="298"/>
      <c r="S241" s="298"/>
    </row>
    <row r="242" spans="1:19" s="140" customFormat="1" ht="63.75">
      <c r="A242" s="394" t="s">
        <v>3259</v>
      </c>
      <c r="B242" s="285" t="s">
        <v>15658</v>
      </c>
      <c r="C242" s="285">
        <v>87879</v>
      </c>
      <c r="D242" s="289" t="s">
        <v>2843</v>
      </c>
      <c r="E242" s="290" t="s">
        <v>193</v>
      </c>
      <c r="F242" s="755">
        <v>1829.89</v>
      </c>
      <c r="G242" s="510" t="s">
        <v>9809</v>
      </c>
      <c r="H242" s="508">
        <v>0.2094</v>
      </c>
      <c r="I242" s="510">
        <v>4.2449940000000002</v>
      </c>
      <c r="J242" s="509">
        <v>7767.8720706600006</v>
      </c>
      <c r="K242" s="409"/>
      <c r="L242" s="447">
        <f t="shared" si="35"/>
        <v>7767.8720706600006</v>
      </c>
      <c r="M242" s="447"/>
      <c r="N242" s="409"/>
      <c r="O242" s="409"/>
      <c r="P242" s="409"/>
      <c r="Q242" s="409"/>
      <c r="R242" s="409"/>
      <c r="S242" s="409"/>
    </row>
    <row r="243" spans="1:19" s="140" customFormat="1" ht="89.25">
      <c r="A243" s="394" t="s">
        <v>3259</v>
      </c>
      <c r="B243" s="285" t="s">
        <v>15659</v>
      </c>
      <c r="C243" s="285">
        <v>87529</v>
      </c>
      <c r="D243" s="289" t="s">
        <v>223</v>
      </c>
      <c r="E243" s="290" t="s">
        <v>193</v>
      </c>
      <c r="F243" s="755">
        <v>996.95</v>
      </c>
      <c r="G243" s="510" t="s">
        <v>22574</v>
      </c>
      <c r="H243" s="508">
        <v>0.2094</v>
      </c>
      <c r="I243" s="510">
        <v>37.950972</v>
      </c>
      <c r="J243" s="509">
        <v>37835.2215354</v>
      </c>
      <c r="K243" s="409"/>
      <c r="L243" s="447">
        <f t="shared" si="35"/>
        <v>37835.2215354</v>
      </c>
      <c r="M243" s="447"/>
      <c r="N243" s="409"/>
      <c r="O243" s="409"/>
      <c r="P243" s="409"/>
      <c r="Q243" s="409"/>
      <c r="R243" s="409"/>
      <c r="S243" s="409"/>
    </row>
    <row r="244" spans="1:19" s="140" customFormat="1" ht="89.25">
      <c r="A244" s="394" t="s">
        <v>3259</v>
      </c>
      <c r="B244" s="285" t="s">
        <v>15660</v>
      </c>
      <c r="C244" s="285">
        <v>87531</v>
      </c>
      <c r="D244" s="289" t="s">
        <v>222</v>
      </c>
      <c r="E244" s="290" t="s">
        <v>193</v>
      </c>
      <c r="F244" s="755">
        <v>832.93</v>
      </c>
      <c r="G244" s="510" t="s">
        <v>12156</v>
      </c>
      <c r="H244" s="508">
        <v>0.2094</v>
      </c>
      <c r="I244" s="510">
        <v>36.511786000000001</v>
      </c>
      <c r="J244" s="509">
        <v>30411.76191298</v>
      </c>
      <c r="K244" s="409"/>
      <c r="L244" s="447">
        <f t="shared" si="35"/>
        <v>30411.76191298</v>
      </c>
      <c r="M244" s="447"/>
      <c r="N244" s="409"/>
      <c r="O244" s="409"/>
      <c r="P244" s="409"/>
      <c r="Q244" s="409"/>
      <c r="R244" s="409"/>
      <c r="S244" s="409"/>
    </row>
    <row r="245" spans="1:19" s="140" customFormat="1" ht="38.25">
      <c r="A245" s="394" t="s">
        <v>3259</v>
      </c>
      <c r="B245" s="285" t="s">
        <v>15661</v>
      </c>
      <c r="C245" s="285">
        <v>98555</v>
      </c>
      <c r="D245" s="289" t="s">
        <v>4082</v>
      </c>
      <c r="E245" s="290" t="s">
        <v>193</v>
      </c>
      <c r="F245" s="755">
        <v>408.64</v>
      </c>
      <c r="G245" s="510" t="s">
        <v>22565</v>
      </c>
      <c r="H245" s="508">
        <v>0.2094</v>
      </c>
      <c r="I245" s="510">
        <v>29.400513999999998</v>
      </c>
      <c r="J245" s="509">
        <v>12014.226040959998</v>
      </c>
      <c r="K245" s="409"/>
      <c r="L245" s="447">
        <f t="shared" si="35"/>
        <v>12014.226040959998</v>
      </c>
      <c r="M245" s="447"/>
      <c r="N245" s="409"/>
      <c r="O245" s="409"/>
      <c r="P245" s="409"/>
      <c r="Q245" s="409"/>
      <c r="R245" s="409"/>
      <c r="S245" s="409"/>
    </row>
    <row r="246" spans="1:19" s="140" customFormat="1" ht="38.25">
      <c r="A246" s="394" t="s">
        <v>3260</v>
      </c>
      <c r="B246" s="285" t="s">
        <v>15662</v>
      </c>
      <c r="C246" s="285" t="s">
        <v>15506</v>
      </c>
      <c r="D246" s="289" t="s">
        <v>17569</v>
      </c>
      <c r="E246" s="290" t="s">
        <v>193</v>
      </c>
      <c r="F246" s="755">
        <v>832.93</v>
      </c>
      <c r="G246" s="510">
        <v>95.11</v>
      </c>
      <c r="H246" s="508">
        <v>0.2094</v>
      </c>
      <c r="I246" s="510">
        <v>115.026034</v>
      </c>
      <c r="J246" s="509">
        <v>95808.634499619991</v>
      </c>
      <c r="K246" s="409"/>
      <c r="L246" s="447">
        <f t="shared" si="35"/>
        <v>95808.634499619991</v>
      </c>
      <c r="M246" s="447"/>
      <c r="N246" s="409"/>
      <c r="O246" s="409"/>
      <c r="P246" s="409"/>
      <c r="Q246" s="409"/>
      <c r="R246" s="409"/>
      <c r="S246" s="409"/>
    </row>
    <row r="247" spans="1:19" s="140" customFormat="1" ht="63.75">
      <c r="A247" s="394" t="s">
        <v>3259</v>
      </c>
      <c r="B247" s="285" t="s">
        <v>15663</v>
      </c>
      <c r="C247" s="285">
        <v>87905</v>
      </c>
      <c r="D247" s="289" t="s">
        <v>2863</v>
      </c>
      <c r="E247" s="290" t="s">
        <v>193</v>
      </c>
      <c r="F247" s="755">
        <v>637.07000000000005</v>
      </c>
      <c r="G247" s="510" t="s">
        <v>10030</v>
      </c>
      <c r="H247" s="508">
        <v>0.2094</v>
      </c>
      <c r="I247" s="510">
        <v>9.3002859999999998</v>
      </c>
      <c r="J247" s="509">
        <v>5924.93320202</v>
      </c>
      <c r="K247" s="409"/>
      <c r="L247" s="447">
        <f t="shared" si="35"/>
        <v>5924.93320202</v>
      </c>
      <c r="M247" s="447"/>
      <c r="N247" s="409"/>
      <c r="O247" s="409"/>
      <c r="P247" s="409"/>
      <c r="Q247" s="409"/>
      <c r="R247" s="409"/>
      <c r="S247" s="409"/>
    </row>
    <row r="248" spans="1:19" s="140" customFormat="1" ht="63.75">
      <c r="A248" s="394" t="s">
        <v>3259</v>
      </c>
      <c r="B248" s="285" t="s">
        <v>15664</v>
      </c>
      <c r="C248" s="285">
        <v>87775</v>
      </c>
      <c r="D248" s="289" t="s">
        <v>228</v>
      </c>
      <c r="E248" s="290" t="s">
        <v>193</v>
      </c>
      <c r="F248" s="755">
        <v>637.07000000000005</v>
      </c>
      <c r="G248" s="510" t="s">
        <v>16019</v>
      </c>
      <c r="H248" s="508">
        <v>0.2094</v>
      </c>
      <c r="I248" s="510">
        <v>62.030126000000003</v>
      </c>
      <c r="J248" s="509">
        <v>39517.532370820001</v>
      </c>
      <c r="K248" s="409"/>
      <c r="L248" s="447">
        <f t="shared" si="35"/>
        <v>39517.532370820001</v>
      </c>
      <c r="M248" s="447"/>
      <c r="N248" s="256"/>
      <c r="O248" s="256"/>
      <c r="P248" s="256"/>
      <c r="Q248" s="256"/>
      <c r="R248" s="256"/>
      <c r="S248" s="256"/>
    </row>
    <row r="249" spans="1:19" s="92" customFormat="1">
      <c r="A249" s="256"/>
      <c r="B249" s="391"/>
      <c r="C249" s="391"/>
      <c r="D249" s="401"/>
      <c r="E249" s="391"/>
      <c r="F249" s="417"/>
      <c r="G249" s="417"/>
      <c r="H249" s="417"/>
      <c r="I249" s="417"/>
      <c r="J249" s="418"/>
      <c r="K249" s="298"/>
      <c r="L249" s="447">
        <f t="shared" si="35"/>
        <v>0</v>
      </c>
      <c r="M249" s="447"/>
      <c r="N249" s="298"/>
      <c r="O249" s="298"/>
      <c r="P249" s="298"/>
      <c r="Q249" s="298"/>
      <c r="R249" s="298"/>
      <c r="S249" s="298"/>
    </row>
    <row r="250" spans="1:19" s="92" customFormat="1">
      <c r="A250" s="256"/>
      <c r="B250" s="287" t="s">
        <v>15665</v>
      </c>
      <c r="C250" s="287"/>
      <c r="D250" s="400" t="s">
        <v>15666</v>
      </c>
      <c r="E250" s="415"/>
      <c r="F250" s="415"/>
      <c r="G250" s="462"/>
      <c r="H250" s="415"/>
      <c r="I250" s="462"/>
      <c r="J250" s="416"/>
      <c r="K250" s="298"/>
      <c r="L250" s="447">
        <f t="shared" si="35"/>
        <v>0</v>
      </c>
      <c r="M250" s="447"/>
      <c r="N250" s="298"/>
      <c r="O250" s="298"/>
      <c r="P250" s="298"/>
      <c r="Q250" s="298"/>
      <c r="R250" s="298"/>
      <c r="S250" s="298"/>
    </row>
    <row r="251" spans="1:19" s="140" customFormat="1" ht="38.25">
      <c r="A251" s="394" t="s">
        <v>3260</v>
      </c>
      <c r="B251" s="285" t="s">
        <v>15667</v>
      </c>
      <c r="C251" s="285" t="s">
        <v>15505</v>
      </c>
      <c r="D251" s="289" t="s">
        <v>17567</v>
      </c>
      <c r="E251" s="290" t="s">
        <v>193</v>
      </c>
      <c r="F251" s="755">
        <v>368.85</v>
      </c>
      <c r="G251" s="510">
        <v>107.42999999999998</v>
      </c>
      <c r="H251" s="508">
        <v>0.2094</v>
      </c>
      <c r="I251" s="510">
        <v>129.92584199999999</v>
      </c>
      <c r="J251" s="509">
        <v>47923.1468217</v>
      </c>
      <c r="K251" s="409"/>
      <c r="L251" s="447">
        <f t="shared" si="35"/>
        <v>47923.1468217</v>
      </c>
      <c r="M251" s="447"/>
      <c r="N251" s="409"/>
      <c r="O251" s="409"/>
      <c r="P251" s="409"/>
      <c r="Q251" s="409"/>
      <c r="R251" s="409"/>
      <c r="S251" s="409"/>
    </row>
    <row r="252" spans="1:19" s="140" customFormat="1" ht="63.75">
      <c r="A252" s="394" t="s">
        <v>3261</v>
      </c>
      <c r="B252" s="285" t="s">
        <v>15668</v>
      </c>
      <c r="C252" s="285">
        <v>39511</v>
      </c>
      <c r="D252" s="289" t="s">
        <v>6490</v>
      </c>
      <c r="E252" s="290" t="s">
        <v>3242</v>
      </c>
      <c r="F252" s="755">
        <v>789.91</v>
      </c>
      <c r="G252" s="510" t="s">
        <v>19797</v>
      </c>
      <c r="H252" s="508">
        <v>0.2094</v>
      </c>
      <c r="I252" s="510">
        <v>145.394068</v>
      </c>
      <c r="J252" s="509">
        <v>114848.22825387999</v>
      </c>
      <c r="K252" s="409"/>
      <c r="L252" s="447">
        <f t="shared" si="35"/>
        <v>114848.22825387999</v>
      </c>
      <c r="M252" s="447"/>
      <c r="N252" s="409"/>
      <c r="O252" s="409"/>
      <c r="P252" s="409"/>
      <c r="Q252" s="409"/>
      <c r="R252" s="409"/>
      <c r="S252" s="409"/>
    </row>
    <row r="253" spans="1:19" s="92" customFormat="1">
      <c r="A253" s="256"/>
      <c r="B253" s="391"/>
      <c r="C253" s="391"/>
      <c r="D253" s="401"/>
      <c r="E253" s="391"/>
      <c r="F253" s="417"/>
      <c r="G253" s="417"/>
      <c r="H253" s="417"/>
      <c r="I253" s="417"/>
      <c r="J253" s="418"/>
      <c r="K253" s="298"/>
      <c r="L253" s="447">
        <f t="shared" si="35"/>
        <v>0</v>
      </c>
      <c r="M253" s="447"/>
      <c r="N253" s="298"/>
      <c r="O253" s="298"/>
      <c r="P253" s="298"/>
      <c r="Q253" s="298"/>
      <c r="R253" s="298"/>
      <c r="S253" s="298"/>
    </row>
    <row r="254" spans="1:19" s="92" customFormat="1">
      <c r="A254" s="256"/>
      <c r="B254" s="287" t="s">
        <v>15669</v>
      </c>
      <c r="C254" s="287"/>
      <c r="D254" s="400" t="s">
        <v>15670</v>
      </c>
      <c r="E254" s="415"/>
      <c r="F254" s="415"/>
      <c r="G254" s="462"/>
      <c r="H254" s="415"/>
      <c r="I254" s="462"/>
      <c r="J254" s="416"/>
      <c r="K254" s="298"/>
      <c r="L254" s="447">
        <f t="shared" si="35"/>
        <v>0</v>
      </c>
      <c r="M254" s="447"/>
      <c r="N254" s="298"/>
      <c r="O254" s="298"/>
      <c r="P254" s="298"/>
      <c r="Q254" s="298"/>
      <c r="R254" s="298"/>
      <c r="S254" s="298"/>
    </row>
    <row r="255" spans="1:19" s="92" customFormat="1">
      <c r="A255" s="256"/>
      <c r="B255" s="287" t="s">
        <v>17455</v>
      </c>
      <c r="C255" s="287"/>
      <c r="D255" s="400" t="s">
        <v>17456</v>
      </c>
      <c r="E255" s="415"/>
      <c r="F255" s="415"/>
      <c r="G255" s="462"/>
      <c r="H255" s="415"/>
      <c r="I255" s="462"/>
      <c r="J255" s="416"/>
      <c r="K255" s="298"/>
      <c r="L255" s="447">
        <f t="shared" si="35"/>
        <v>0</v>
      </c>
      <c r="M255" s="447"/>
      <c r="N255" s="298"/>
      <c r="O255" s="298"/>
      <c r="P255" s="298"/>
      <c r="Q255" s="298"/>
      <c r="R255" s="298"/>
      <c r="S255" s="298"/>
    </row>
    <row r="256" spans="1:19" s="140" customFormat="1" ht="25.5">
      <c r="A256" s="394" t="s">
        <v>3260</v>
      </c>
      <c r="B256" s="285" t="s">
        <v>17457</v>
      </c>
      <c r="C256" s="285" t="s">
        <v>15441</v>
      </c>
      <c r="D256" s="289" t="s">
        <v>17445</v>
      </c>
      <c r="E256" s="290" t="s">
        <v>193</v>
      </c>
      <c r="F256" s="755">
        <v>7.69</v>
      </c>
      <c r="G256" s="510">
        <v>10.09</v>
      </c>
      <c r="H256" s="508">
        <v>0.2094</v>
      </c>
      <c r="I256" s="510">
        <v>12.202846000000001</v>
      </c>
      <c r="J256" s="509">
        <v>93.839885740000014</v>
      </c>
      <c r="K256" s="409"/>
      <c r="L256" s="447">
        <f t="shared" si="35"/>
        <v>93.839885740000014</v>
      </c>
      <c r="M256" s="447"/>
      <c r="N256" s="409"/>
      <c r="O256" s="409"/>
      <c r="P256" s="409"/>
      <c r="Q256" s="409"/>
      <c r="R256" s="409"/>
      <c r="S256" s="409"/>
    </row>
    <row r="257" spans="1:19" s="92" customFormat="1">
      <c r="A257" s="256"/>
      <c r="B257" s="287" t="s">
        <v>17571</v>
      </c>
      <c r="C257" s="287"/>
      <c r="D257" s="400" t="s">
        <v>17572</v>
      </c>
      <c r="E257" s="415"/>
      <c r="F257" s="415"/>
      <c r="G257" s="462"/>
      <c r="H257" s="415"/>
      <c r="I257" s="462"/>
      <c r="J257" s="416"/>
      <c r="K257" s="298"/>
      <c r="L257" s="447">
        <f t="shared" si="35"/>
        <v>0</v>
      </c>
      <c r="M257" s="447"/>
      <c r="N257" s="298"/>
      <c r="O257" s="298"/>
      <c r="P257" s="298"/>
      <c r="Q257" s="298"/>
      <c r="R257" s="298"/>
      <c r="S257" s="298"/>
    </row>
    <row r="258" spans="1:19" s="140" customFormat="1" ht="25.5">
      <c r="A258" s="394" t="s">
        <v>3259</v>
      </c>
      <c r="B258" s="285" t="s">
        <v>17578</v>
      </c>
      <c r="C258" s="285">
        <v>88484</v>
      </c>
      <c r="D258" s="289" t="s">
        <v>2709</v>
      </c>
      <c r="E258" s="290" t="s">
        <v>193</v>
      </c>
      <c r="F258" s="755">
        <v>368.85</v>
      </c>
      <c r="G258" s="510" t="s">
        <v>9889</v>
      </c>
      <c r="H258" s="508">
        <v>0.2094</v>
      </c>
      <c r="I258" s="510">
        <v>3.5314480000000001</v>
      </c>
      <c r="J258" s="509">
        <v>1302.5745948000001</v>
      </c>
      <c r="K258" s="409"/>
      <c r="L258" s="447">
        <f t="shared" si="35"/>
        <v>1302.5745948000001</v>
      </c>
      <c r="M258" s="447"/>
      <c r="N258" s="409"/>
      <c r="O258" s="409"/>
      <c r="P258" s="409"/>
      <c r="Q258" s="409"/>
      <c r="R258" s="409"/>
      <c r="S258" s="409"/>
    </row>
    <row r="259" spans="1:19" s="140" customFormat="1" ht="25.5">
      <c r="A259" s="394" t="s">
        <v>3259</v>
      </c>
      <c r="B259" s="285" t="s">
        <v>17579</v>
      </c>
      <c r="C259" s="285">
        <v>88496</v>
      </c>
      <c r="D259" s="289" t="s">
        <v>220</v>
      </c>
      <c r="E259" s="290" t="s">
        <v>193</v>
      </c>
      <c r="F259" s="292">
        <v>368.85</v>
      </c>
      <c r="G259" s="510" t="s">
        <v>12267</v>
      </c>
      <c r="H259" s="508">
        <v>0.2094</v>
      </c>
      <c r="I259" s="510">
        <v>30.271282000000003</v>
      </c>
      <c r="J259" s="509">
        <v>11165.562365700001</v>
      </c>
      <c r="K259" s="409"/>
      <c r="L259" s="447">
        <f t="shared" si="35"/>
        <v>11165.562365700001</v>
      </c>
      <c r="M259" s="447"/>
      <c r="N259" s="409"/>
      <c r="O259" s="409"/>
      <c r="P259" s="409"/>
      <c r="Q259" s="409"/>
      <c r="R259" s="409"/>
      <c r="S259" s="409"/>
    </row>
    <row r="260" spans="1:19" s="140" customFormat="1" ht="38.25">
      <c r="A260" s="394" t="s">
        <v>3259</v>
      </c>
      <c r="B260" s="285" t="s">
        <v>24657</v>
      </c>
      <c r="C260" s="285">
        <v>88488</v>
      </c>
      <c r="D260" s="289" t="s">
        <v>221</v>
      </c>
      <c r="E260" s="290" t="s">
        <v>193</v>
      </c>
      <c r="F260" s="292">
        <v>368.85</v>
      </c>
      <c r="G260" s="510" t="s">
        <v>11043</v>
      </c>
      <c r="H260" s="508">
        <v>0.2094</v>
      </c>
      <c r="I260" s="510">
        <v>17.427454000000001</v>
      </c>
      <c r="J260" s="509">
        <v>6428.1164079000009</v>
      </c>
      <c r="K260" s="409"/>
      <c r="L260" s="447">
        <f t="shared" si="35"/>
        <v>6428.1164079000009</v>
      </c>
      <c r="M260" s="447"/>
      <c r="N260" s="409"/>
      <c r="O260" s="409"/>
      <c r="P260" s="409"/>
      <c r="Q260" s="409"/>
      <c r="R260" s="409"/>
      <c r="S260" s="409"/>
    </row>
    <row r="261" spans="1:19" s="140" customFormat="1" ht="51">
      <c r="A261" s="394" t="s">
        <v>3260</v>
      </c>
      <c r="B261" s="285" t="s">
        <v>24658</v>
      </c>
      <c r="C261" s="285" t="s">
        <v>15507</v>
      </c>
      <c r="D261" s="289" t="s">
        <v>17576</v>
      </c>
      <c r="E261" s="290" t="s">
        <v>193</v>
      </c>
      <c r="F261" s="755">
        <v>292.14999999999998</v>
      </c>
      <c r="G261" s="510">
        <v>109.12</v>
      </c>
      <c r="H261" s="508">
        <v>0.2094</v>
      </c>
      <c r="I261" s="510">
        <v>131.969728</v>
      </c>
      <c r="J261" s="509">
        <v>38554.956035199997</v>
      </c>
      <c r="K261" s="409"/>
      <c r="L261" s="447">
        <f t="shared" si="35"/>
        <v>38554.956035199997</v>
      </c>
      <c r="M261" s="447"/>
      <c r="N261" s="409"/>
      <c r="O261" s="409"/>
      <c r="P261" s="409"/>
      <c r="Q261" s="409"/>
      <c r="R261" s="409"/>
      <c r="S261" s="409"/>
    </row>
    <row r="262" spans="1:19" s="92" customFormat="1">
      <c r="A262" s="256"/>
      <c r="B262" s="287" t="s">
        <v>17575</v>
      </c>
      <c r="C262" s="287"/>
      <c r="D262" s="400" t="s">
        <v>15596</v>
      </c>
      <c r="E262" s="415"/>
      <c r="F262" s="415"/>
      <c r="G262" s="462"/>
      <c r="H262" s="415"/>
      <c r="I262" s="462"/>
      <c r="J262" s="416"/>
      <c r="K262" s="298"/>
      <c r="L262" s="447">
        <f t="shared" si="35"/>
        <v>0</v>
      </c>
      <c r="M262" s="447"/>
      <c r="N262" s="298"/>
      <c r="O262" s="298"/>
      <c r="P262" s="298"/>
      <c r="Q262" s="298"/>
      <c r="R262" s="298"/>
      <c r="S262" s="298"/>
    </row>
    <row r="263" spans="1:19" s="140" customFormat="1" ht="25.5">
      <c r="A263" s="394" t="s">
        <v>3259</v>
      </c>
      <c r="B263" s="285" t="s">
        <v>17578</v>
      </c>
      <c r="C263" s="285">
        <v>88485</v>
      </c>
      <c r="D263" s="289" t="s">
        <v>225</v>
      </c>
      <c r="E263" s="290" t="s">
        <v>193</v>
      </c>
      <c r="F263" s="755">
        <v>1465.54</v>
      </c>
      <c r="G263" s="510" t="s">
        <v>9888</v>
      </c>
      <c r="H263" s="508">
        <v>0.2094</v>
      </c>
      <c r="I263" s="510">
        <v>3.0718760000000001</v>
      </c>
      <c r="J263" s="509">
        <v>4501.9571530399999</v>
      </c>
      <c r="K263" s="409"/>
      <c r="L263" s="447">
        <f t="shared" ref="L263" si="37">I263*F263</f>
        <v>4501.9571530399999</v>
      </c>
      <c r="M263" s="447"/>
      <c r="N263" s="409"/>
      <c r="O263" s="409"/>
      <c r="P263" s="409"/>
      <c r="Q263" s="409"/>
      <c r="R263" s="409"/>
      <c r="S263" s="409"/>
    </row>
    <row r="264" spans="1:19" s="140" customFormat="1" ht="25.5">
      <c r="A264" s="394" t="s">
        <v>3259</v>
      </c>
      <c r="B264" s="285" t="s">
        <v>17579</v>
      </c>
      <c r="C264" s="285">
        <v>88497</v>
      </c>
      <c r="D264" s="289" t="s">
        <v>224</v>
      </c>
      <c r="E264" s="290" t="s">
        <v>193</v>
      </c>
      <c r="F264" s="755">
        <v>828.47</v>
      </c>
      <c r="G264" s="510" t="s">
        <v>10093</v>
      </c>
      <c r="H264" s="508">
        <v>0.2094</v>
      </c>
      <c r="I264" s="510">
        <v>16.605062</v>
      </c>
      <c r="J264" s="509">
        <v>13756.795715140001</v>
      </c>
      <c r="K264" s="409"/>
      <c r="L264" s="447">
        <f t="shared" si="35"/>
        <v>13756.795715140001</v>
      </c>
      <c r="M264" s="447"/>
      <c r="N264" s="409"/>
      <c r="O264" s="409"/>
      <c r="P264" s="409"/>
      <c r="Q264" s="409"/>
      <c r="R264" s="409"/>
      <c r="S264" s="409"/>
    </row>
    <row r="265" spans="1:19" s="140" customFormat="1" ht="38.25">
      <c r="A265" s="394" t="s">
        <v>3259</v>
      </c>
      <c r="B265" s="285" t="s">
        <v>24657</v>
      </c>
      <c r="C265" s="285">
        <v>88489</v>
      </c>
      <c r="D265" s="289" t="s">
        <v>227</v>
      </c>
      <c r="E265" s="290" t="s">
        <v>193</v>
      </c>
      <c r="F265" s="755">
        <v>1465.54</v>
      </c>
      <c r="G265" s="510" t="s">
        <v>11393</v>
      </c>
      <c r="H265" s="508">
        <v>0.2094</v>
      </c>
      <c r="I265" s="510">
        <v>15.286816000000002</v>
      </c>
      <c r="J265" s="509">
        <v>22403.440320640002</v>
      </c>
      <c r="K265" s="409"/>
      <c r="L265" s="447">
        <f t="shared" si="35"/>
        <v>22403.440320640002</v>
      </c>
      <c r="M265" s="447"/>
      <c r="N265" s="409"/>
      <c r="O265" s="409"/>
      <c r="P265" s="409"/>
      <c r="Q265" s="409"/>
      <c r="R265" s="409"/>
      <c r="S265" s="409"/>
    </row>
    <row r="266" spans="1:19" s="140" customFormat="1" ht="51">
      <c r="A266" s="394" t="s">
        <v>3260</v>
      </c>
      <c r="B266" s="285" t="s">
        <v>24658</v>
      </c>
      <c r="C266" s="285" t="s">
        <v>15507</v>
      </c>
      <c r="D266" s="289" t="s">
        <v>17576</v>
      </c>
      <c r="E266" s="290" t="s">
        <v>193</v>
      </c>
      <c r="F266" s="755">
        <v>168.48</v>
      </c>
      <c r="G266" s="510">
        <v>109.12</v>
      </c>
      <c r="H266" s="508">
        <v>0.2094</v>
      </c>
      <c r="I266" s="510">
        <v>131.969728</v>
      </c>
      <c r="J266" s="509">
        <v>22234.259773440001</v>
      </c>
      <c r="K266" s="409"/>
      <c r="L266" s="447">
        <f t="shared" ref="L266" si="38">I266*F266</f>
        <v>22234.259773440001</v>
      </c>
      <c r="M266" s="447"/>
      <c r="N266" s="409"/>
      <c r="O266" s="409"/>
      <c r="P266" s="409"/>
      <c r="Q266" s="409"/>
      <c r="R266" s="409"/>
      <c r="S266" s="409"/>
    </row>
    <row r="267" spans="1:19" s="92" customFormat="1">
      <c r="A267" s="256"/>
      <c r="B267" s="391"/>
      <c r="C267" s="391"/>
      <c r="D267" s="401"/>
      <c r="E267" s="391"/>
      <c r="F267" s="417"/>
      <c r="G267" s="417"/>
      <c r="H267" s="417"/>
      <c r="I267" s="417"/>
      <c r="J267" s="418"/>
      <c r="K267" s="298"/>
      <c r="L267" s="447">
        <f t="shared" si="35"/>
        <v>0</v>
      </c>
      <c r="M267" s="447"/>
      <c r="N267" s="298"/>
      <c r="O267" s="298"/>
      <c r="P267" s="298"/>
      <c r="Q267" s="298"/>
      <c r="R267" s="298"/>
      <c r="S267" s="298"/>
    </row>
    <row r="268" spans="1:19" s="92" customFormat="1">
      <c r="A268" s="256"/>
      <c r="B268" s="287" t="s">
        <v>17588</v>
      </c>
      <c r="C268" s="287"/>
      <c r="D268" s="400" t="s">
        <v>17589</v>
      </c>
      <c r="E268" s="415"/>
      <c r="F268" s="415"/>
      <c r="G268" s="462"/>
      <c r="H268" s="415"/>
      <c r="I268" s="462"/>
      <c r="J268" s="416"/>
      <c r="K268" s="298"/>
      <c r="L268" s="447">
        <f t="shared" si="35"/>
        <v>0</v>
      </c>
      <c r="M268" s="447"/>
      <c r="N268" s="298"/>
      <c r="O268" s="298"/>
      <c r="P268" s="298"/>
      <c r="Q268" s="298"/>
      <c r="R268" s="298"/>
      <c r="S268" s="298"/>
    </row>
    <row r="269" spans="1:19" s="92" customFormat="1">
      <c r="A269" s="256"/>
      <c r="B269" s="287" t="s">
        <v>17591</v>
      </c>
      <c r="C269" s="287"/>
      <c r="D269" s="400" t="s">
        <v>17590</v>
      </c>
      <c r="E269" s="415"/>
      <c r="F269" s="415"/>
      <c r="G269" s="462"/>
      <c r="H269" s="415"/>
      <c r="I269" s="462"/>
      <c r="J269" s="416"/>
      <c r="K269" s="298"/>
      <c r="L269" s="447">
        <f t="shared" si="35"/>
        <v>0</v>
      </c>
      <c r="M269" s="447"/>
      <c r="N269" s="298"/>
      <c r="O269" s="298"/>
      <c r="P269" s="298"/>
      <c r="Q269" s="298"/>
      <c r="R269" s="298"/>
      <c r="S269" s="298"/>
    </row>
    <row r="270" spans="1:19" s="140" customFormat="1" ht="25.5">
      <c r="A270" s="394" t="s">
        <v>3259</v>
      </c>
      <c r="B270" s="285" t="s">
        <v>17596</v>
      </c>
      <c r="C270" s="285">
        <v>101741</v>
      </c>
      <c r="D270" s="289" t="s">
        <v>13767</v>
      </c>
      <c r="E270" s="290" t="s">
        <v>5</v>
      </c>
      <c r="F270" s="755">
        <v>460.73</v>
      </c>
      <c r="G270" s="510" t="s">
        <v>10666</v>
      </c>
      <c r="H270" s="508">
        <v>0.2094</v>
      </c>
      <c r="I270" s="510">
        <v>24.030778000000002</v>
      </c>
      <c r="J270" s="509">
        <v>11071.700347940001</v>
      </c>
      <c r="K270" s="409"/>
      <c r="L270" s="447">
        <f t="shared" si="35"/>
        <v>11071.700347940001</v>
      </c>
      <c r="M270" s="447"/>
      <c r="N270" s="409"/>
      <c r="O270" s="409"/>
      <c r="P270" s="409"/>
      <c r="Q270" s="409"/>
      <c r="R270" s="409"/>
      <c r="S270" s="409"/>
    </row>
    <row r="271" spans="1:19" s="92" customFormat="1">
      <c r="A271" s="256"/>
      <c r="B271" s="287" t="s">
        <v>17592</v>
      </c>
      <c r="C271" s="287"/>
      <c r="D271" s="400" t="s">
        <v>24659</v>
      </c>
      <c r="E271" s="415"/>
      <c r="F271" s="415"/>
      <c r="G271" s="462"/>
      <c r="H271" s="415"/>
      <c r="I271" s="462"/>
      <c r="J271" s="416"/>
      <c r="K271" s="298"/>
      <c r="L271" s="447">
        <f t="shared" si="35"/>
        <v>0</v>
      </c>
      <c r="M271" s="447"/>
      <c r="N271" s="298"/>
      <c r="O271" s="298"/>
      <c r="P271" s="298"/>
      <c r="Q271" s="298"/>
      <c r="R271" s="298"/>
      <c r="S271" s="298"/>
    </row>
    <row r="272" spans="1:19" s="140" customFormat="1" ht="25.5">
      <c r="A272" s="394" t="s">
        <v>3259</v>
      </c>
      <c r="B272" s="285" t="s">
        <v>17597</v>
      </c>
      <c r="C272" s="285">
        <v>98689</v>
      </c>
      <c r="D272" s="289" t="s">
        <v>13749</v>
      </c>
      <c r="E272" s="290" t="s">
        <v>5</v>
      </c>
      <c r="F272" s="755">
        <v>30.8</v>
      </c>
      <c r="G272" s="510" t="s">
        <v>22545</v>
      </c>
      <c r="H272" s="508">
        <v>0.2094</v>
      </c>
      <c r="I272" s="510">
        <v>117.952782</v>
      </c>
      <c r="J272" s="509">
        <v>3632.9456856000002</v>
      </c>
      <c r="K272" s="409"/>
      <c r="L272" s="447">
        <f t="shared" si="35"/>
        <v>3632.9456856000002</v>
      </c>
      <c r="M272" s="447"/>
      <c r="N272" s="409"/>
      <c r="O272" s="409"/>
      <c r="P272" s="409"/>
      <c r="Q272" s="409"/>
      <c r="R272" s="409"/>
      <c r="S272" s="409"/>
    </row>
    <row r="273" spans="1:19" s="140" customFormat="1" ht="25.5">
      <c r="A273" s="394" t="s">
        <v>3260</v>
      </c>
      <c r="B273" s="285" t="s">
        <v>24662</v>
      </c>
      <c r="C273" s="285" t="s">
        <v>15457</v>
      </c>
      <c r="D273" s="289" t="s">
        <v>24660</v>
      </c>
      <c r="E273" s="290" t="s">
        <v>193</v>
      </c>
      <c r="F273" s="755">
        <v>2.7450000000000001</v>
      </c>
      <c r="G273" s="510">
        <v>318.83000000000004</v>
      </c>
      <c r="H273" s="508">
        <v>0.2094</v>
      </c>
      <c r="I273" s="510">
        <v>385.59300200000007</v>
      </c>
      <c r="J273" s="509">
        <v>1058.4527904900003</v>
      </c>
      <c r="K273" s="409"/>
      <c r="L273" s="447">
        <f t="shared" ref="L273" si="39">I273*F273</f>
        <v>1058.4527904900003</v>
      </c>
      <c r="M273" s="447"/>
      <c r="N273" s="409"/>
      <c r="O273" s="409"/>
      <c r="P273" s="409"/>
      <c r="Q273" s="409"/>
      <c r="R273" s="409"/>
      <c r="S273" s="409"/>
    </row>
    <row r="274" spans="1:19" s="92" customFormat="1">
      <c r="A274" s="256"/>
      <c r="B274" s="287" t="s">
        <v>17593</v>
      </c>
      <c r="C274" s="287"/>
      <c r="D274" s="400" t="s">
        <v>17594</v>
      </c>
      <c r="E274" s="415"/>
      <c r="F274" s="415"/>
      <c r="G274" s="462"/>
      <c r="H274" s="415"/>
      <c r="I274" s="462"/>
      <c r="J274" s="416"/>
      <c r="K274" s="298"/>
      <c r="L274" s="447">
        <f t="shared" si="35"/>
        <v>0</v>
      </c>
      <c r="M274" s="447"/>
      <c r="N274" s="298"/>
      <c r="O274" s="298"/>
      <c r="P274" s="298"/>
      <c r="Q274" s="298"/>
      <c r="R274" s="298"/>
      <c r="S274" s="298"/>
    </row>
    <row r="275" spans="1:19" s="140" customFormat="1" ht="38.25">
      <c r="A275" s="394" t="s">
        <v>3260</v>
      </c>
      <c r="B275" s="285" t="s">
        <v>17595</v>
      </c>
      <c r="C275" s="285" t="s">
        <v>15521</v>
      </c>
      <c r="D275" s="289" t="s">
        <v>17587</v>
      </c>
      <c r="E275" s="290" t="s">
        <v>5</v>
      </c>
      <c r="F275" s="755">
        <v>97.5</v>
      </c>
      <c r="G275" s="510">
        <v>23</v>
      </c>
      <c r="H275" s="508">
        <v>0.2094</v>
      </c>
      <c r="I275" s="510">
        <v>27.816200000000002</v>
      </c>
      <c r="J275" s="509">
        <v>2712.0795000000003</v>
      </c>
      <c r="K275" s="409"/>
      <c r="L275" s="447">
        <f t="shared" si="35"/>
        <v>2712.0795000000003</v>
      </c>
      <c r="M275" s="447"/>
      <c r="N275" s="409"/>
      <c r="O275" s="409"/>
      <c r="P275" s="409"/>
      <c r="Q275" s="409"/>
      <c r="R275" s="409"/>
      <c r="S275" s="409"/>
    </row>
    <row r="276" spans="1:19" s="92" customFormat="1">
      <c r="A276" s="256"/>
      <c r="B276" s="391"/>
      <c r="C276" s="391"/>
      <c r="D276" s="401"/>
      <c r="E276" s="391"/>
      <c r="F276" s="417"/>
      <c r="G276" s="417"/>
      <c r="H276" s="417"/>
      <c r="I276" s="417"/>
      <c r="J276" s="418"/>
      <c r="K276" s="298"/>
      <c r="L276" s="447">
        <f t="shared" si="35"/>
        <v>0</v>
      </c>
      <c r="M276" s="447"/>
      <c r="N276" s="298"/>
      <c r="O276" s="298"/>
      <c r="P276" s="298"/>
      <c r="Q276" s="298"/>
      <c r="R276" s="298"/>
      <c r="S276" s="298"/>
    </row>
    <row r="277" spans="1:19" s="92" customFormat="1">
      <c r="A277" s="256"/>
      <c r="B277" s="287" t="s">
        <v>15671</v>
      </c>
      <c r="C277" s="287"/>
      <c r="D277" s="400" t="s">
        <v>15055</v>
      </c>
      <c r="E277" s="415"/>
      <c r="F277" s="415"/>
      <c r="G277" s="462"/>
      <c r="H277" s="415"/>
      <c r="I277" s="462"/>
      <c r="J277" s="416"/>
      <c r="K277" s="298"/>
      <c r="L277" s="447">
        <f t="shared" si="35"/>
        <v>0</v>
      </c>
      <c r="M277" s="447"/>
      <c r="N277" s="298"/>
      <c r="O277" s="298"/>
      <c r="P277" s="298"/>
      <c r="Q277" s="298"/>
      <c r="R277" s="298"/>
      <c r="S277" s="298"/>
    </row>
    <row r="278" spans="1:19" s="140" customFormat="1" ht="38.25">
      <c r="A278" s="394" t="s">
        <v>3260</v>
      </c>
      <c r="B278" s="285" t="s">
        <v>15672</v>
      </c>
      <c r="C278" s="285" t="s">
        <v>15508</v>
      </c>
      <c r="D278" s="289" t="s">
        <v>17581</v>
      </c>
      <c r="E278" s="290" t="s">
        <v>3240</v>
      </c>
      <c r="F278" s="755">
        <v>3</v>
      </c>
      <c r="G278" s="510">
        <v>3639.6400000000003</v>
      </c>
      <c r="H278" s="508">
        <v>0.2094</v>
      </c>
      <c r="I278" s="510">
        <v>4401.7806160000009</v>
      </c>
      <c r="J278" s="509">
        <v>13205.341848000004</v>
      </c>
      <c r="K278" s="409"/>
      <c r="L278" s="447">
        <f t="shared" si="35"/>
        <v>13205.341848000004</v>
      </c>
      <c r="M278" s="447"/>
      <c r="N278" s="409"/>
      <c r="O278" s="409"/>
      <c r="P278" s="409"/>
      <c r="Q278" s="450"/>
      <c r="R278" s="409"/>
      <c r="S278" s="409"/>
    </row>
    <row r="279" spans="1:19" s="140" customFormat="1" ht="51">
      <c r="A279" s="394" t="s">
        <v>3260</v>
      </c>
      <c r="B279" s="285" t="s">
        <v>15673</v>
      </c>
      <c r="C279" s="285" t="s">
        <v>15509</v>
      </c>
      <c r="D279" s="289" t="s">
        <v>17586</v>
      </c>
      <c r="E279" s="290" t="s">
        <v>5</v>
      </c>
      <c r="F279" s="755">
        <v>23.59</v>
      </c>
      <c r="G279" s="510">
        <v>222.35</v>
      </c>
      <c r="H279" s="508">
        <v>0.2094</v>
      </c>
      <c r="I279" s="510">
        <v>268.91009000000003</v>
      </c>
      <c r="J279" s="509">
        <v>6343.5890231000003</v>
      </c>
      <c r="K279" s="409"/>
      <c r="L279" s="447">
        <f t="shared" si="35"/>
        <v>6343.5890231000003</v>
      </c>
      <c r="M279" s="447"/>
      <c r="N279" s="409"/>
      <c r="O279" s="409"/>
      <c r="P279" s="409"/>
      <c r="Q279" s="409"/>
      <c r="R279" s="409"/>
      <c r="S279" s="409"/>
    </row>
    <row r="280" spans="1:19" s="92" customFormat="1">
      <c r="A280" s="256"/>
      <c r="B280" s="391"/>
      <c r="C280" s="391"/>
      <c r="D280" s="401"/>
      <c r="E280" s="391"/>
      <c r="F280" s="417"/>
      <c r="G280" s="417"/>
      <c r="H280" s="417"/>
      <c r="I280" s="417"/>
      <c r="J280" s="418"/>
      <c r="K280" s="298"/>
      <c r="L280" s="447">
        <f t="shared" si="35"/>
        <v>0</v>
      </c>
      <c r="M280" s="447"/>
      <c r="N280" s="298"/>
      <c r="O280" s="298"/>
      <c r="P280" s="298"/>
      <c r="Q280" s="298"/>
      <c r="R280" s="298"/>
      <c r="S280" s="298"/>
    </row>
    <row r="281" spans="1:19" s="92" customFormat="1">
      <c r="A281" s="256"/>
      <c r="B281" s="287" t="s">
        <v>15674</v>
      </c>
      <c r="C281" s="287"/>
      <c r="D281" s="400" t="s">
        <v>15675</v>
      </c>
      <c r="E281" s="415"/>
      <c r="F281" s="415"/>
      <c r="G281" s="462"/>
      <c r="H281" s="415"/>
      <c r="I281" s="462"/>
      <c r="J281" s="416"/>
      <c r="K281" s="298"/>
      <c r="L281" s="447">
        <f t="shared" si="35"/>
        <v>0</v>
      </c>
      <c r="M281" s="447"/>
      <c r="N281" s="298"/>
      <c r="O281" s="298"/>
      <c r="P281" s="298"/>
      <c r="Q281" s="298"/>
      <c r="R281" s="298"/>
      <c r="S281" s="298"/>
    </row>
    <row r="282" spans="1:19" s="140" customFormat="1" ht="25.5">
      <c r="A282" s="394" t="s">
        <v>3260</v>
      </c>
      <c r="B282" s="285" t="s">
        <v>15676</v>
      </c>
      <c r="C282" s="285" t="s">
        <v>15522</v>
      </c>
      <c r="D282" s="289" t="s">
        <v>15379</v>
      </c>
      <c r="E282" s="290" t="s">
        <v>10</v>
      </c>
      <c r="F282" s="755">
        <v>8</v>
      </c>
      <c r="G282" s="510">
        <v>149.89999999999998</v>
      </c>
      <c r="H282" s="508">
        <v>0.2094</v>
      </c>
      <c r="I282" s="510">
        <v>181.28905999999998</v>
      </c>
      <c r="J282" s="509">
        <v>1450.3124799999998</v>
      </c>
      <c r="K282" s="409"/>
      <c r="L282" s="447">
        <f t="shared" si="35"/>
        <v>1450.3124799999998</v>
      </c>
      <c r="M282" s="447"/>
      <c r="N282" s="409"/>
      <c r="O282" s="409"/>
      <c r="P282" s="409"/>
      <c r="Q282" s="409"/>
      <c r="R282" s="409"/>
      <c r="S282" s="409"/>
    </row>
    <row r="283" spans="1:19" s="140" customFormat="1" ht="51">
      <c r="A283" s="394" t="s">
        <v>3259</v>
      </c>
      <c r="B283" s="285" t="s">
        <v>15677</v>
      </c>
      <c r="C283" s="285">
        <v>100868</v>
      </c>
      <c r="D283" s="289" t="s">
        <v>10769</v>
      </c>
      <c r="E283" s="290" t="s">
        <v>109</v>
      </c>
      <c r="F283" s="755">
        <v>30</v>
      </c>
      <c r="G283" s="510" t="s">
        <v>23507</v>
      </c>
      <c r="H283" s="508">
        <v>0.2094</v>
      </c>
      <c r="I283" s="510">
        <v>292.6748</v>
      </c>
      <c r="J283" s="509">
        <v>8780.2440000000006</v>
      </c>
      <c r="K283" s="409"/>
      <c r="L283" s="447">
        <f t="shared" si="35"/>
        <v>8780.2440000000006</v>
      </c>
      <c r="M283" s="447"/>
      <c r="N283" s="409"/>
      <c r="O283" s="409"/>
      <c r="P283" s="409"/>
      <c r="Q283" s="409"/>
      <c r="R283" s="409"/>
      <c r="S283" s="409"/>
    </row>
    <row r="284" spans="1:19" s="140" customFormat="1" ht="38.25">
      <c r="A284" s="394" t="s">
        <v>3259</v>
      </c>
      <c r="B284" s="285" t="s">
        <v>15678</v>
      </c>
      <c r="C284" s="285">
        <v>100875</v>
      </c>
      <c r="D284" s="289" t="s">
        <v>10776</v>
      </c>
      <c r="E284" s="290" t="s">
        <v>109</v>
      </c>
      <c r="F284" s="755">
        <v>2</v>
      </c>
      <c r="G284" s="510" t="s">
        <v>23513</v>
      </c>
      <c r="H284" s="508">
        <v>0.2094</v>
      </c>
      <c r="I284" s="510">
        <v>966.9153</v>
      </c>
      <c r="J284" s="509">
        <v>1933.8306</v>
      </c>
      <c r="K284" s="409"/>
      <c r="L284" s="447">
        <f t="shared" si="35"/>
        <v>1933.8306</v>
      </c>
      <c r="M284" s="447"/>
      <c r="N284" s="409"/>
      <c r="O284" s="409"/>
      <c r="P284" s="409"/>
      <c r="Q284" s="409"/>
      <c r="R284" s="409"/>
      <c r="S284" s="409"/>
    </row>
    <row r="285" spans="1:19" s="140" customFormat="1" ht="25.5">
      <c r="A285" s="394" t="s">
        <v>3260</v>
      </c>
      <c r="B285" s="285" t="s">
        <v>15679</v>
      </c>
      <c r="C285" s="285" t="s">
        <v>15523</v>
      </c>
      <c r="D285" s="289" t="s">
        <v>15538</v>
      </c>
      <c r="E285" s="290" t="s">
        <v>3240</v>
      </c>
      <c r="F285" s="755">
        <v>15</v>
      </c>
      <c r="G285" s="510">
        <v>55.43</v>
      </c>
      <c r="H285" s="508">
        <v>0.2094</v>
      </c>
      <c r="I285" s="510">
        <v>67.037042</v>
      </c>
      <c r="J285" s="509">
        <v>1005.55563</v>
      </c>
      <c r="K285" s="409"/>
      <c r="L285" s="447">
        <f t="shared" si="35"/>
        <v>1005.55563</v>
      </c>
      <c r="M285" s="447"/>
      <c r="N285" s="409"/>
      <c r="O285" s="409"/>
      <c r="P285" s="409"/>
      <c r="Q285" s="409"/>
      <c r="R285" s="409"/>
      <c r="S285" s="409"/>
    </row>
    <row r="286" spans="1:19" s="140" customFormat="1" ht="25.5">
      <c r="A286" s="394" t="s">
        <v>3260</v>
      </c>
      <c r="B286" s="285" t="s">
        <v>15680</v>
      </c>
      <c r="C286" s="285" t="s">
        <v>15526</v>
      </c>
      <c r="D286" s="289" t="s">
        <v>15535</v>
      </c>
      <c r="E286" s="290" t="s">
        <v>3240</v>
      </c>
      <c r="F286" s="755">
        <v>20</v>
      </c>
      <c r="G286" s="510">
        <v>55.43</v>
      </c>
      <c r="H286" s="508">
        <v>0.2094</v>
      </c>
      <c r="I286" s="510">
        <v>67.037042</v>
      </c>
      <c r="J286" s="509">
        <v>1340.7408399999999</v>
      </c>
      <c r="K286" s="409"/>
      <c r="L286" s="447">
        <f t="shared" si="35"/>
        <v>1340.7408399999999</v>
      </c>
      <c r="M286" s="447"/>
      <c r="N286" s="409"/>
      <c r="O286" s="409"/>
      <c r="P286" s="409"/>
      <c r="Q286" s="409"/>
      <c r="R286" s="409"/>
      <c r="S286" s="409"/>
    </row>
    <row r="287" spans="1:19" s="140" customFormat="1" ht="51">
      <c r="A287" s="394" t="s">
        <v>3259</v>
      </c>
      <c r="B287" s="285" t="s">
        <v>15681</v>
      </c>
      <c r="C287" s="285">
        <v>95547</v>
      </c>
      <c r="D287" s="289" t="s">
        <v>10750</v>
      </c>
      <c r="E287" s="290" t="s">
        <v>109</v>
      </c>
      <c r="F287" s="755">
        <v>24</v>
      </c>
      <c r="G287" s="510" t="s">
        <v>16195</v>
      </c>
      <c r="H287" s="508">
        <v>0.2094</v>
      </c>
      <c r="I287" s="510">
        <v>64.835933999999995</v>
      </c>
      <c r="J287" s="509">
        <v>1556.0624159999998</v>
      </c>
      <c r="K287" s="409"/>
      <c r="L287" s="447">
        <f t="shared" si="35"/>
        <v>1556.0624159999998</v>
      </c>
      <c r="M287" s="447"/>
      <c r="N287" s="409"/>
      <c r="O287" s="409"/>
      <c r="P287" s="409"/>
      <c r="Q287" s="409"/>
      <c r="R287" s="409"/>
      <c r="S287" s="409"/>
    </row>
    <row r="288" spans="1:19" s="140" customFormat="1" ht="25.5">
      <c r="A288" s="394" t="s">
        <v>3260</v>
      </c>
      <c r="B288" s="285" t="s">
        <v>15682</v>
      </c>
      <c r="C288" s="285" t="s">
        <v>15528</v>
      </c>
      <c r="D288" s="289" t="s">
        <v>17599</v>
      </c>
      <c r="E288" s="290" t="s">
        <v>3240</v>
      </c>
      <c r="F288" s="755">
        <v>10</v>
      </c>
      <c r="G288" s="510">
        <v>22.66</v>
      </c>
      <c r="H288" s="508">
        <v>0.2094</v>
      </c>
      <c r="I288" s="510">
        <v>27.405004000000002</v>
      </c>
      <c r="J288" s="509">
        <v>274.05004000000002</v>
      </c>
      <c r="K288" s="409"/>
      <c r="L288" s="447">
        <f t="shared" si="35"/>
        <v>274.05004000000002</v>
      </c>
      <c r="M288" s="447"/>
      <c r="N288" s="409"/>
      <c r="O288" s="409"/>
      <c r="P288" s="409"/>
      <c r="Q288" s="409"/>
      <c r="R288" s="409"/>
      <c r="S288" s="409"/>
    </row>
    <row r="289" spans="1:19" s="140" customFormat="1" ht="25.5">
      <c r="A289" s="394" t="s">
        <v>3260</v>
      </c>
      <c r="B289" s="285" t="s">
        <v>15683</v>
      </c>
      <c r="C289" s="285" t="s">
        <v>15531</v>
      </c>
      <c r="D289" s="289" t="s">
        <v>17609</v>
      </c>
      <c r="E289" s="290" t="s">
        <v>3240</v>
      </c>
      <c r="F289" s="755">
        <v>8</v>
      </c>
      <c r="G289" s="510">
        <v>66.509999999999991</v>
      </c>
      <c r="H289" s="508">
        <v>0.2094</v>
      </c>
      <c r="I289" s="510">
        <v>80.437193999999991</v>
      </c>
      <c r="J289" s="509">
        <v>643.49755199999993</v>
      </c>
      <c r="K289" s="409"/>
      <c r="L289" s="447">
        <f t="shared" si="35"/>
        <v>643.49755199999993</v>
      </c>
      <c r="M289" s="447"/>
      <c r="N289" s="409"/>
      <c r="O289" s="409"/>
      <c r="P289" s="409"/>
      <c r="Q289" s="409"/>
      <c r="R289" s="409"/>
      <c r="S289" s="409"/>
    </row>
    <row r="290" spans="1:19" s="140" customFormat="1" ht="38.25">
      <c r="A290" s="394" t="s">
        <v>3260</v>
      </c>
      <c r="B290" s="285" t="s">
        <v>15684</v>
      </c>
      <c r="C290" s="285" t="s">
        <v>15534</v>
      </c>
      <c r="D290" s="289" t="s">
        <v>17610</v>
      </c>
      <c r="E290" s="290" t="s">
        <v>3240</v>
      </c>
      <c r="F290" s="755">
        <v>2</v>
      </c>
      <c r="G290" s="510">
        <v>2076.5100000000002</v>
      </c>
      <c r="H290" s="508">
        <v>0.2094</v>
      </c>
      <c r="I290" s="510">
        <v>2511.3311940000003</v>
      </c>
      <c r="J290" s="509">
        <v>5022.6623880000006</v>
      </c>
      <c r="K290" s="409"/>
      <c r="L290" s="447">
        <f t="shared" si="35"/>
        <v>5022.6623880000006</v>
      </c>
      <c r="M290" s="447"/>
      <c r="N290" s="409"/>
      <c r="O290" s="409"/>
      <c r="P290" s="409"/>
      <c r="Q290" s="409"/>
      <c r="R290" s="409"/>
      <c r="S290" s="409"/>
    </row>
    <row r="291" spans="1:19" s="140" customFormat="1" ht="38.25">
      <c r="A291" s="394" t="s">
        <v>3260</v>
      </c>
      <c r="B291" s="285" t="s">
        <v>15685</v>
      </c>
      <c r="C291" s="285" t="s">
        <v>15537</v>
      </c>
      <c r="D291" s="289" t="s">
        <v>17624</v>
      </c>
      <c r="E291" s="290" t="s">
        <v>3240</v>
      </c>
      <c r="F291" s="755">
        <v>4</v>
      </c>
      <c r="G291" s="510">
        <v>393.7</v>
      </c>
      <c r="H291" s="508">
        <v>0.2094</v>
      </c>
      <c r="I291" s="510">
        <v>476.14078000000001</v>
      </c>
      <c r="J291" s="509">
        <v>1904.56312</v>
      </c>
      <c r="K291" s="409"/>
      <c r="L291" s="447">
        <f t="shared" si="35"/>
        <v>1904.56312</v>
      </c>
      <c r="M291" s="447"/>
      <c r="N291" s="409"/>
      <c r="O291" s="409"/>
      <c r="P291" s="409"/>
      <c r="Q291" s="409"/>
      <c r="R291" s="409"/>
      <c r="S291" s="409"/>
    </row>
    <row r="292" spans="1:19" s="140" customFormat="1" ht="38.25">
      <c r="A292" s="394" t="s">
        <v>3259</v>
      </c>
      <c r="B292" s="285" t="s">
        <v>15686</v>
      </c>
      <c r="C292" s="285">
        <v>86904</v>
      </c>
      <c r="D292" s="289" t="s">
        <v>10701</v>
      </c>
      <c r="E292" s="290" t="s">
        <v>109</v>
      </c>
      <c r="F292" s="755">
        <v>3</v>
      </c>
      <c r="G292" s="510" t="s">
        <v>23460</v>
      </c>
      <c r="H292" s="508">
        <v>0.2094</v>
      </c>
      <c r="I292" s="510">
        <v>152.130426</v>
      </c>
      <c r="J292" s="509">
        <v>456.391278</v>
      </c>
      <c r="K292" s="409"/>
      <c r="L292" s="447">
        <f t="shared" si="35"/>
        <v>456.391278</v>
      </c>
      <c r="M292" s="447"/>
      <c r="N292" s="409"/>
      <c r="O292" s="409"/>
      <c r="P292" s="409"/>
      <c r="Q292" s="409"/>
      <c r="R292" s="409"/>
      <c r="S292" s="409"/>
    </row>
    <row r="293" spans="1:19" s="140" customFormat="1" ht="38.25">
      <c r="A293" s="394" t="s">
        <v>3260</v>
      </c>
      <c r="B293" s="285" t="s">
        <v>15687</v>
      </c>
      <c r="C293" s="285" t="s">
        <v>15539</v>
      </c>
      <c r="D293" s="289" t="s">
        <v>15529</v>
      </c>
      <c r="E293" s="290" t="s">
        <v>3240</v>
      </c>
      <c r="F293" s="755">
        <v>9</v>
      </c>
      <c r="G293" s="510">
        <v>630.12</v>
      </c>
      <c r="H293" s="508">
        <v>0.2094</v>
      </c>
      <c r="I293" s="510">
        <v>762.06712800000003</v>
      </c>
      <c r="J293" s="509">
        <v>6858.6041519999999</v>
      </c>
      <c r="K293" s="409"/>
      <c r="L293" s="447">
        <f t="shared" si="35"/>
        <v>6858.6041519999999</v>
      </c>
      <c r="M293" s="447"/>
      <c r="N293" s="409"/>
      <c r="O293" s="409"/>
      <c r="P293" s="409"/>
      <c r="Q293" s="409"/>
      <c r="R293" s="409"/>
      <c r="S293" s="409"/>
    </row>
    <row r="294" spans="1:19" s="140" customFormat="1" ht="38.25">
      <c r="A294" s="394" t="s">
        <v>3259</v>
      </c>
      <c r="B294" s="285" t="s">
        <v>15688</v>
      </c>
      <c r="C294" s="285">
        <v>86872</v>
      </c>
      <c r="D294" s="289" t="s">
        <v>10675</v>
      </c>
      <c r="E294" s="290" t="s">
        <v>109</v>
      </c>
      <c r="F294" s="755">
        <v>2</v>
      </c>
      <c r="G294" s="510" t="s">
        <v>23444</v>
      </c>
      <c r="H294" s="508">
        <v>0.2094</v>
      </c>
      <c r="I294" s="510">
        <v>891.55758600000013</v>
      </c>
      <c r="J294" s="509">
        <v>1783.1151720000003</v>
      </c>
      <c r="K294" s="409"/>
      <c r="L294" s="447">
        <f t="shared" si="35"/>
        <v>1783.1151720000003</v>
      </c>
      <c r="M294" s="447"/>
      <c r="N294" s="409"/>
      <c r="O294" s="409"/>
      <c r="P294" s="409"/>
      <c r="Q294" s="409"/>
      <c r="R294" s="409"/>
      <c r="S294" s="409"/>
    </row>
    <row r="295" spans="1:19" s="140" customFormat="1" ht="38.25">
      <c r="A295" s="394" t="s">
        <v>3259</v>
      </c>
      <c r="B295" s="285" t="s">
        <v>15689</v>
      </c>
      <c r="C295" s="285">
        <v>86901</v>
      </c>
      <c r="D295" s="289" t="s">
        <v>10698</v>
      </c>
      <c r="E295" s="290" t="s">
        <v>109</v>
      </c>
      <c r="F295" s="755">
        <v>16</v>
      </c>
      <c r="G295" s="510" t="s">
        <v>23458</v>
      </c>
      <c r="H295" s="508">
        <v>0.2094</v>
      </c>
      <c r="I295" s="510">
        <v>154.77901200000002</v>
      </c>
      <c r="J295" s="509">
        <v>2476.4641920000004</v>
      </c>
      <c r="K295" s="409"/>
      <c r="L295" s="447">
        <f t="shared" si="35"/>
        <v>2476.4641920000004</v>
      </c>
      <c r="M295" s="447"/>
      <c r="N295" s="409"/>
      <c r="O295" s="409"/>
      <c r="P295" s="409"/>
      <c r="Q295" s="409"/>
      <c r="R295" s="409"/>
      <c r="S295" s="409"/>
    </row>
    <row r="296" spans="1:19" s="140" customFormat="1" ht="38.25">
      <c r="A296" s="394" t="s">
        <v>3259</v>
      </c>
      <c r="B296" s="285" t="s">
        <v>15690</v>
      </c>
      <c r="C296" s="285">
        <v>100852</v>
      </c>
      <c r="D296" s="289" t="s">
        <v>10754</v>
      </c>
      <c r="E296" s="290" t="s">
        <v>109</v>
      </c>
      <c r="F296" s="755">
        <v>13</v>
      </c>
      <c r="G296" s="510" t="s">
        <v>23497</v>
      </c>
      <c r="H296" s="508">
        <v>0.2094</v>
      </c>
      <c r="I296" s="510">
        <v>218.30879400000001</v>
      </c>
      <c r="J296" s="509">
        <v>2838.014322</v>
      </c>
      <c r="K296" s="409"/>
      <c r="L296" s="447">
        <f t="shared" si="35"/>
        <v>2838.014322</v>
      </c>
      <c r="M296" s="447"/>
      <c r="N296" s="409"/>
      <c r="O296" s="409"/>
      <c r="P296" s="409"/>
      <c r="Q296" s="409"/>
      <c r="R296" s="409"/>
      <c r="S296" s="409"/>
    </row>
    <row r="297" spans="1:19" s="140" customFormat="1" ht="38.25">
      <c r="A297" s="394" t="s">
        <v>3260</v>
      </c>
      <c r="B297" s="285" t="s">
        <v>15691</v>
      </c>
      <c r="C297" s="285" t="s">
        <v>15540</v>
      </c>
      <c r="D297" s="289" t="s">
        <v>17653</v>
      </c>
      <c r="E297" s="290" t="s">
        <v>3240</v>
      </c>
      <c r="F297" s="755">
        <v>1</v>
      </c>
      <c r="G297" s="510">
        <v>2068.15</v>
      </c>
      <c r="H297" s="508">
        <v>0.2094</v>
      </c>
      <c r="I297" s="510">
        <v>2501.2206100000003</v>
      </c>
      <c r="J297" s="509">
        <v>2501.2206100000003</v>
      </c>
      <c r="K297" s="409"/>
      <c r="L297" s="447">
        <f t="shared" si="35"/>
        <v>2501.2206100000003</v>
      </c>
      <c r="M297" s="447"/>
      <c r="N297" s="409"/>
      <c r="O297" s="409"/>
      <c r="P297" s="409"/>
      <c r="Q297" s="409"/>
      <c r="R297" s="409"/>
      <c r="S297" s="409"/>
    </row>
    <row r="298" spans="1:19" s="140" customFormat="1" ht="38.25">
      <c r="A298" s="394" t="s">
        <v>3261</v>
      </c>
      <c r="B298" s="285" t="s">
        <v>15692</v>
      </c>
      <c r="C298" s="285">
        <v>38633</v>
      </c>
      <c r="D298" s="289" t="s">
        <v>6507</v>
      </c>
      <c r="E298" s="290" t="s">
        <v>3240</v>
      </c>
      <c r="F298" s="755">
        <v>16</v>
      </c>
      <c r="G298" s="510" t="s">
        <v>10569</v>
      </c>
      <c r="H298" s="508">
        <v>0.2094</v>
      </c>
      <c r="I298" s="510">
        <v>16.762284000000001</v>
      </c>
      <c r="J298" s="509">
        <v>268.19654400000002</v>
      </c>
      <c r="K298" s="409"/>
      <c r="L298" s="447">
        <f t="shared" si="35"/>
        <v>268.19654400000002</v>
      </c>
      <c r="M298" s="447"/>
      <c r="N298" s="409"/>
      <c r="O298" s="409"/>
      <c r="P298" s="409"/>
      <c r="Q298" s="409"/>
      <c r="R298" s="409"/>
      <c r="S298" s="409"/>
    </row>
    <row r="299" spans="1:19" s="140" customFormat="1" ht="38.25">
      <c r="A299" s="394" t="s">
        <v>3261</v>
      </c>
      <c r="B299" s="285" t="s">
        <v>15693</v>
      </c>
      <c r="C299" s="285">
        <v>38605</v>
      </c>
      <c r="D299" s="289" t="s">
        <v>4561</v>
      </c>
      <c r="E299" s="290" t="s">
        <v>3240</v>
      </c>
      <c r="F299" s="755">
        <v>32</v>
      </c>
      <c r="G299" s="510" t="s">
        <v>15882</v>
      </c>
      <c r="H299" s="508">
        <v>0.2094</v>
      </c>
      <c r="I299" s="510">
        <v>111.74856000000001</v>
      </c>
      <c r="J299" s="509">
        <v>3575.9539200000004</v>
      </c>
      <c r="K299" s="409"/>
      <c r="L299" s="447">
        <f t="shared" ref="L299:L364" si="40">I299*F299</f>
        <v>3575.9539200000004</v>
      </c>
      <c r="M299" s="447"/>
      <c r="N299" s="409"/>
      <c r="O299" s="409"/>
      <c r="P299" s="409"/>
      <c r="Q299" s="409"/>
      <c r="R299" s="409"/>
      <c r="S299" s="409"/>
    </row>
    <row r="300" spans="1:19" s="140" customFormat="1" ht="51">
      <c r="A300" s="394" t="s">
        <v>3259</v>
      </c>
      <c r="B300" s="285" t="s">
        <v>15694</v>
      </c>
      <c r="C300" s="285">
        <v>86877</v>
      </c>
      <c r="D300" s="289" t="s">
        <v>10679</v>
      </c>
      <c r="E300" s="290" t="s">
        <v>109</v>
      </c>
      <c r="F300" s="755">
        <v>30</v>
      </c>
      <c r="G300" s="510" t="s">
        <v>23448</v>
      </c>
      <c r="H300" s="508">
        <v>0.2094</v>
      </c>
      <c r="I300" s="510">
        <v>33.621320000000004</v>
      </c>
      <c r="J300" s="509">
        <v>1008.6396000000001</v>
      </c>
      <c r="K300" s="409"/>
      <c r="L300" s="447">
        <f t="shared" si="40"/>
        <v>1008.6396000000001</v>
      </c>
      <c r="M300" s="447"/>
      <c r="N300" s="409"/>
      <c r="O300" s="409"/>
      <c r="P300" s="409"/>
      <c r="Q300" s="409"/>
      <c r="R300" s="409"/>
      <c r="S300" s="409"/>
    </row>
    <row r="301" spans="1:19" s="140" customFormat="1" ht="38.25">
      <c r="A301" s="394" t="s">
        <v>3259</v>
      </c>
      <c r="B301" s="285" t="s">
        <v>15695</v>
      </c>
      <c r="C301" s="285">
        <v>86881</v>
      </c>
      <c r="D301" s="289" t="s">
        <v>10683</v>
      </c>
      <c r="E301" s="290" t="s">
        <v>109</v>
      </c>
      <c r="F301" s="292">
        <v>30</v>
      </c>
      <c r="G301" s="510" t="s">
        <v>23449</v>
      </c>
      <c r="H301" s="508">
        <v>0.2094</v>
      </c>
      <c r="I301" s="510">
        <v>188.38823800000003</v>
      </c>
      <c r="J301" s="509">
        <v>5651.6471400000009</v>
      </c>
      <c r="K301" s="409"/>
      <c r="L301" s="447">
        <f t="shared" si="40"/>
        <v>5651.6471400000009</v>
      </c>
      <c r="M301" s="447"/>
      <c r="N301" s="409"/>
      <c r="O301" s="409"/>
      <c r="P301" s="409"/>
      <c r="Q301" s="409"/>
      <c r="R301" s="409"/>
      <c r="S301" s="409"/>
    </row>
    <row r="302" spans="1:19" s="140" customFormat="1" ht="38.25">
      <c r="A302" s="394" t="s">
        <v>3260</v>
      </c>
      <c r="B302" s="285" t="s">
        <v>15696</v>
      </c>
      <c r="C302" s="285" t="s">
        <v>15543</v>
      </c>
      <c r="D302" s="289" t="s">
        <v>17655</v>
      </c>
      <c r="E302" s="290" t="s">
        <v>3240</v>
      </c>
      <c r="F302" s="755">
        <v>14</v>
      </c>
      <c r="G302" s="510">
        <v>195.98</v>
      </c>
      <c r="H302" s="508">
        <v>0.2094</v>
      </c>
      <c r="I302" s="510">
        <v>237.01821200000001</v>
      </c>
      <c r="J302" s="509">
        <v>3318.2549680000002</v>
      </c>
      <c r="K302" s="409"/>
      <c r="L302" s="447">
        <f t="shared" si="40"/>
        <v>3318.2549680000002</v>
      </c>
      <c r="M302" s="447"/>
      <c r="N302" s="409"/>
      <c r="O302" s="409"/>
      <c r="P302" s="409"/>
      <c r="Q302" s="409"/>
      <c r="R302" s="409"/>
      <c r="S302" s="409"/>
    </row>
    <row r="303" spans="1:19" s="140" customFormat="1" ht="38.25">
      <c r="A303" s="394" t="s">
        <v>3260</v>
      </c>
      <c r="B303" s="285" t="s">
        <v>15697</v>
      </c>
      <c r="C303" s="285" t="s">
        <v>15544</v>
      </c>
      <c r="D303" s="289" t="s">
        <v>17657</v>
      </c>
      <c r="E303" s="290" t="s">
        <v>3240</v>
      </c>
      <c r="F303" s="755">
        <v>14</v>
      </c>
      <c r="G303" s="510">
        <v>630.63</v>
      </c>
      <c r="H303" s="508">
        <v>0.2094</v>
      </c>
      <c r="I303" s="510">
        <v>762.68392200000005</v>
      </c>
      <c r="J303" s="509">
        <v>10677.574908000001</v>
      </c>
      <c r="K303" s="409"/>
      <c r="L303" s="447">
        <f t="shared" si="40"/>
        <v>10677.574908000001</v>
      </c>
      <c r="M303" s="447"/>
      <c r="N303" s="409"/>
      <c r="O303" s="409"/>
      <c r="P303" s="409"/>
      <c r="Q303" s="409"/>
      <c r="R303" s="409"/>
      <c r="S303" s="409"/>
    </row>
    <row r="304" spans="1:19" s="140" customFormat="1" ht="38.25">
      <c r="A304" s="394" t="s">
        <v>3260</v>
      </c>
      <c r="B304" s="285" t="s">
        <v>17713</v>
      </c>
      <c r="C304" s="285" t="s">
        <v>15546</v>
      </c>
      <c r="D304" s="289" t="s">
        <v>15524</v>
      </c>
      <c r="E304" s="290" t="s">
        <v>3240</v>
      </c>
      <c r="F304" s="755">
        <v>28</v>
      </c>
      <c r="G304" s="510">
        <v>169.8</v>
      </c>
      <c r="H304" s="508">
        <v>0.2094</v>
      </c>
      <c r="I304" s="510">
        <v>205.35612000000003</v>
      </c>
      <c r="J304" s="509">
        <v>5749.9713600000014</v>
      </c>
      <c r="K304" s="409"/>
      <c r="L304" s="447">
        <f t="shared" si="40"/>
        <v>5749.9713600000014</v>
      </c>
      <c r="M304" s="447"/>
      <c r="N304" s="409"/>
      <c r="O304" s="409"/>
      <c r="P304" s="409"/>
      <c r="Q304" s="409"/>
      <c r="R304" s="409"/>
      <c r="S304" s="409"/>
    </row>
    <row r="305" spans="1:19" s="140" customFormat="1" ht="38.25">
      <c r="A305" s="394" t="s">
        <v>3259</v>
      </c>
      <c r="B305" s="285" t="s">
        <v>17714</v>
      </c>
      <c r="C305" s="285">
        <v>86914</v>
      </c>
      <c r="D305" s="289" t="s">
        <v>10709</v>
      </c>
      <c r="E305" s="290" t="s">
        <v>109</v>
      </c>
      <c r="F305" s="755">
        <v>2</v>
      </c>
      <c r="G305" s="510" t="s">
        <v>15880</v>
      </c>
      <c r="H305" s="508">
        <v>0.2094</v>
      </c>
      <c r="I305" s="510">
        <v>49.609588000000002</v>
      </c>
      <c r="J305" s="509">
        <v>99.219176000000004</v>
      </c>
      <c r="K305" s="409"/>
      <c r="L305" s="447">
        <f t="shared" si="40"/>
        <v>99.219176000000004</v>
      </c>
      <c r="M305" s="447"/>
      <c r="N305" s="409"/>
      <c r="O305" s="409"/>
      <c r="P305" s="409"/>
      <c r="Q305" s="409"/>
      <c r="R305" s="409"/>
      <c r="S305" s="409"/>
    </row>
    <row r="306" spans="1:19" s="140" customFormat="1" ht="25.5">
      <c r="A306" s="394" t="s">
        <v>3259</v>
      </c>
      <c r="B306" s="285" t="s">
        <v>17715</v>
      </c>
      <c r="C306" s="285">
        <v>86887</v>
      </c>
      <c r="D306" s="289" t="s">
        <v>10690</v>
      </c>
      <c r="E306" s="290" t="s">
        <v>109</v>
      </c>
      <c r="F306" s="755">
        <v>28</v>
      </c>
      <c r="G306" s="510" t="s">
        <v>23450</v>
      </c>
      <c r="H306" s="508">
        <v>0.2094</v>
      </c>
      <c r="I306" s="510">
        <v>50.274757999999999</v>
      </c>
      <c r="J306" s="509">
        <v>1407.6932239999999</v>
      </c>
      <c r="K306" s="409"/>
      <c r="L306" s="447">
        <f t="shared" si="40"/>
        <v>1407.6932239999999</v>
      </c>
      <c r="M306" s="447"/>
      <c r="N306" s="409"/>
      <c r="O306" s="409"/>
      <c r="P306" s="409"/>
      <c r="Q306" s="409"/>
      <c r="R306" s="409"/>
      <c r="S306" s="409"/>
    </row>
    <row r="307" spans="1:19" s="140" customFormat="1" ht="38.25">
      <c r="A307" s="394" t="s">
        <v>3260</v>
      </c>
      <c r="B307" s="285" t="s">
        <v>17716</v>
      </c>
      <c r="C307" s="285" t="s">
        <v>15547</v>
      </c>
      <c r="D307" s="289" t="s">
        <v>15532</v>
      </c>
      <c r="E307" s="290" t="s">
        <v>3240</v>
      </c>
      <c r="F307" s="755">
        <v>4</v>
      </c>
      <c r="G307" s="510">
        <v>205.91</v>
      </c>
      <c r="H307" s="508">
        <v>0.2094</v>
      </c>
      <c r="I307" s="510">
        <v>249.02755400000001</v>
      </c>
      <c r="J307" s="509">
        <v>996.11021600000004</v>
      </c>
      <c r="K307" s="409"/>
      <c r="L307" s="447">
        <f t="shared" si="40"/>
        <v>996.11021600000004</v>
      </c>
      <c r="M307" s="447"/>
      <c r="N307" s="409"/>
      <c r="O307" s="409"/>
      <c r="P307" s="409"/>
      <c r="Q307" s="409"/>
      <c r="R307" s="409"/>
      <c r="S307" s="409"/>
    </row>
    <row r="308" spans="1:19" s="140" customFormat="1" ht="51">
      <c r="A308" s="394" t="s">
        <v>3260</v>
      </c>
      <c r="B308" s="285" t="s">
        <v>17717</v>
      </c>
      <c r="C308" s="285" t="s">
        <v>15548</v>
      </c>
      <c r="D308" s="289" t="s">
        <v>17666</v>
      </c>
      <c r="E308" s="290" t="s">
        <v>3240</v>
      </c>
      <c r="F308" s="755">
        <v>16</v>
      </c>
      <c r="G308" s="510">
        <v>251.77</v>
      </c>
      <c r="H308" s="508">
        <v>0.2094</v>
      </c>
      <c r="I308" s="510">
        <v>304.49063800000005</v>
      </c>
      <c r="J308" s="509">
        <v>4871.8502080000007</v>
      </c>
      <c r="K308" s="409"/>
      <c r="L308" s="447">
        <f t="shared" si="40"/>
        <v>4871.8502080000007</v>
      </c>
      <c r="M308" s="447"/>
      <c r="N308" s="409"/>
      <c r="O308" s="409"/>
      <c r="P308" s="409"/>
      <c r="Q308" s="409"/>
      <c r="R308" s="409"/>
      <c r="S308" s="409"/>
    </row>
    <row r="309" spans="1:19" s="140" customFormat="1" ht="38.25">
      <c r="A309" s="394" t="s">
        <v>3260</v>
      </c>
      <c r="B309" s="285" t="s">
        <v>17718</v>
      </c>
      <c r="C309" s="285" t="s">
        <v>15549</v>
      </c>
      <c r="D309" s="289" t="s">
        <v>17671</v>
      </c>
      <c r="E309" s="290" t="s">
        <v>3240</v>
      </c>
      <c r="F309" s="755">
        <v>4</v>
      </c>
      <c r="G309" s="510">
        <v>569.07000000000005</v>
      </c>
      <c r="H309" s="508">
        <v>0.2094</v>
      </c>
      <c r="I309" s="510">
        <v>688.23325800000009</v>
      </c>
      <c r="J309" s="509">
        <v>2752.9330320000004</v>
      </c>
      <c r="K309" s="409"/>
      <c r="L309" s="447">
        <f t="shared" si="40"/>
        <v>2752.9330320000004</v>
      </c>
      <c r="M309" s="447"/>
      <c r="N309" s="409"/>
      <c r="O309" s="409"/>
      <c r="P309" s="409"/>
      <c r="Q309" s="409"/>
      <c r="R309" s="409"/>
      <c r="S309" s="409"/>
    </row>
    <row r="310" spans="1:19" s="140" customFormat="1" ht="25.5">
      <c r="A310" s="394" t="s">
        <v>3259</v>
      </c>
      <c r="B310" s="285" t="s">
        <v>17719</v>
      </c>
      <c r="C310" s="285">
        <v>100848</v>
      </c>
      <c r="D310" s="289" t="s">
        <v>10751</v>
      </c>
      <c r="E310" s="290" t="s">
        <v>109</v>
      </c>
      <c r="F310" s="755">
        <v>2</v>
      </c>
      <c r="G310" s="510" t="s">
        <v>23495</v>
      </c>
      <c r="H310" s="508">
        <v>0.2094</v>
      </c>
      <c r="I310" s="510">
        <v>450.65872200000001</v>
      </c>
      <c r="J310" s="509">
        <v>901.31744400000002</v>
      </c>
      <c r="K310" s="409"/>
      <c r="L310" s="447">
        <f t="shared" si="40"/>
        <v>901.31744400000002</v>
      </c>
      <c r="M310" s="447"/>
      <c r="N310" s="409"/>
      <c r="O310" s="409"/>
      <c r="P310" s="409"/>
      <c r="Q310" s="409"/>
      <c r="R310" s="409"/>
      <c r="S310" s="409"/>
    </row>
    <row r="311" spans="1:19" s="140" customFormat="1" ht="25.5">
      <c r="A311" s="394" t="s">
        <v>3259</v>
      </c>
      <c r="B311" s="285" t="s">
        <v>17720</v>
      </c>
      <c r="C311" s="285">
        <v>100851</v>
      </c>
      <c r="D311" s="289" t="s">
        <v>10753</v>
      </c>
      <c r="E311" s="290" t="s">
        <v>109</v>
      </c>
      <c r="F311" s="755">
        <v>2</v>
      </c>
      <c r="G311" s="510" t="s">
        <v>23496</v>
      </c>
      <c r="H311" s="508">
        <v>0.2094</v>
      </c>
      <c r="I311" s="510">
        <v>82.323857999999987</v>
      </c>
      <c r="J311" s="509">
        <v>164.64771599999997</v>
      </c>
      <c r="K311" s="409"/>
      <c r="L311" s="447">
        <f t="shared" si="40"/>
        <v>164.64771599999997</v>
      </c>
      <c r="M311" s="447"/>
      <c r="N311" s="409"/>
      <c r="O311" s="409"/>
      <c r="P311" s="409"/>
      <c r="Q311" s="409"/>
      <c r="R311" s="409"/>
      <c r="S311" s="409"/>
    </row>
    <row r="312" spans="1:19" s="140" customFormat="1" ht="51">
      <c r="A312" s="394" t="s">
        <v>3260</v>
      </c>
      <c r="B312" s="285" t="s">
        <v>17721</v>
      </c>
      <c r="C312" s="285" t="s">
        <v>15550</v>
      </c>
      <c r="D312" s="289" t="s">
        <v>17687</v>
      </c>
      <c r="E312" s="290" t="s">
        <v>3240</v>
      </c>
      <c r="F312" s="755">
        <v>18</v>
      </c>
      <c r="G312" s="510">
        <v>762.71</v>
      </c>
      <c r="H312" s="508">
        <v>0.2094</v>
      </c>
      <c r="I312" s="510">
        <v>922.4214740000001</v>
      </c>
      <c r="J312" s="509">
        <v>16603.586532000001</v>
      </c>
      <c r="K312" s="409"/>
      <c r="L312" s="447">
        <f t="shared" si="40"/>
        <v>16603.586532000001</v>
      </c>
      <c r="M312" s="447"/>
      <c r="N312" s="409"/>
      <c r="O312" s="409"/>
      <c r="P312" s="409"/>
      <c r="Q312" s="409"/>
      <c r="R312" s="409"/>
      <c r="S312" s="409"/>
    </row>
    <row r="313" spans="1:19" s="140" customFormat="1" ht="51">
      <c r="A313" s="394" t="s">
        <v>3260</v>
      </c>
      <c r="B313" s="285" t="s">
        <v>17722</v>
      </c>
      <c r="C313" s="285" t="s">
        <v>15551</v>
      </c>
      <c r="D313" s="289" t="s">
        <v>17689</v>
      </c>
      <c r="E313" s="290" t="s">
        <v>3240</v>
      </c>
      <c r="F313" s="292">
        <v>18</v>
      </c>
      <c r="G313" s="510">
        <v>165.64</v>
      </c>
      <c r="H313" s="508">
        <v>0.2094</v>
      </c>
      <c r="I313" s="510">
        <v>200.32501599999998</v>
      </c>
      <c r="J313" s="509">
        <v>3605.8502879999996</v>
      </c>
      <c r="K313" s="409"/>
      <c r="L313" s="447">
        <f t="shared" si="40"/>
        <v>3605.8502879999996</v>
      </c>
      <c r="M313" s="447"/>
      <c r="N313" s="409"/>
      <c r="O313" s="409"/>
      <c r="P313" s="409"/>
      <c r="Q313" s="409"/>
      <c r="R313" s="409"/>
      <c r="S313" s="409"/>
    </row>
    <row r="314" spans="1:19" s="140" customFormat="1" ht="38.25">
      <c r="A314" s="394" t="s">
        <v>3260</v>
      </c>
      <c r="B314" s="285" t="s">
        <v>17723</v>
      </c>
      <c r="C314" s="285" t="s">
        <v>15552</v>
      </c>
      <c r="D314" s="289" t="s">
        <v>17698</v>
      </c>
      <c r="E314" s="290" t="s">
        <v>3240</v>
      </c>
      <c r="F314" s="755">
        <v>20</v>
      </c>
      <c r="G314" s="510">
        <v>87.58</v>
      </c>
      <c r="H314" s="508">
        <v>0.2094</v>
      </c>
      <c r="I314" s="510">
        <v>105.919252</v>
      </c>
      <c r="J314" s="509">
        <v>2118.3850400000001</v>
      </c>
      <c r="K314" s="409"/>
      <c r="L314" s="447">
        <f t="shared" si="40"/>
        <v>2118.3850400000001</v>
      </c>
      <c r="M314" s="447"/>
      <c r="N314" s="409"/>
      <c r="O314" s="409"/>
      <c r="P314" s="409"/>
      <c r="Q314" s="409"/>
      <c r="R314" s="409"/>
      <c r="S314" s="409"/>
    </row>
    <row r="315" spans="1:19" s="140" customFormat="1" ht="38.25">
      <c r="A315" s="394" t="s">
        <v>3259</v>
      </c>
      <c r="B315" s="285" t="s">
        <v>17724</v>
      </c>
      <c r="C315" s="285">
        <v>100858</v>
      </c>
      <c r="D315" s="289" t="s">
        <v>10760</v>
      </c>
      <c r="E315" s="290" t="s">
        <v>109</v>
      </c>
      <c r="F315" s="755">
        <v>4</v>
      </c>
      <c r="G315" s="510" t="s">
        <v>23500</v>
      </c>
      <c r="H315" s="508">
        <v>0.2094</v>
      </c>
      <c r="I315" s="510">
        <v>697.83589400000005</v>
      </c>
      <c r="J315" s="509">
        <v>2791.3435760000002</v>
      </c>
      <c r="K315" s="409"/>
      <c r="L315" s="447">
        <f t="shared" si="40"/>
        <v>2791.3435760000002</v>
      </c>
      <c r="M315" s="447"/>
      <c r="N315" s="409"/>
      <c r="O315" s="409"/>
      <c r="P315" s="409"/>
      <c r="Q315" s="409"/>
      <c r="R315" s="409"/>
      <c r="S315" s="409"/>
    </row>
    <row r="316" spans="1:19" s="140" customFormat="1" ht="51">
      <c r="A316" s="394" t="s">
        <v>3260</v>
      </c>
      <c r="B316" s="285" t="s">
        <v>17725</v>
      </c>
      <c r="C316" s="285" t="s">
        <v>15553</v>
      </c>
      <c r="D316" s="289" t="s">
        <v>17701</v>
      </c>
      <c r="E316" s="290" t="s">
        <v>3240</v>
      </c>
      <c r="F316" s="755">
        <v>8</v>
      </c>
      <c r="G316" s="510">
        <v>631.45000000000005</v>
      </c>
      <c r="H316" s="508">
        <v>0.2094</v>
      </c>
      <c r="I316" s="510">
        <v>763.67563000000007</v>
      </c>
      <c r="J316" s="509">
        <v>6109.4050400000006</v>
      </c>
      <c r="K316" s="409"/>
      <c r="L316" s="447">
        <f t="shared" si="40"/>
        <v>6109.4050400000006</v>
      </c>
      <c r="M316" s="447"/>
      <c r="N316" s="409"/>
      <c r="O316" s="409"/>
      <c r="P316" s="409"/>
      <c r="Q316" s="409"/>
      <c r="R316" s="409"/>
      <c r="S316" s="409"/>
    </row>
    <row r="317" spans="1:19" s="140" customFormat="1" ht="38.25">
      <c r="A317" s="394" t="s">
        <v>3260</v>
      </c>
      <c r="B317" s="285" t="s">
        <v>17726</v>
      </c>
      <c r="C317" s="285" t="s">
        <v>15556</v>
      </c>
      <c r="D317" s="289" t="s">
        <v>15541</v>
      </c>
      <c r="E317" s="290" t="s">
        <v>3240</v>
      </c>
      <c r="F317" s="755">
        <v>2</v>
      </c>
      <c r="G317" s="510">
        <v>874.81</v>
      </c>
      <c r="H317" s="508">
        <v>0.2094</v>
      </c>
      <c r="I317" s="510">
        <v>1057.995214</v>
      </c>
      <c r="J317" s="509">
        <v>2115.9904280000001</v>
      </c>
      <c r="K317" s="409"/>
      <c r="L317" s="447">
        <f t="shared" si="40"/>
        <v>2115.9904280000001</v>
      </c>
      <c r="M317" s="447"/>
      <c r="N317" s="409"/>
      <c r="O317" s="409"/>
      <c r="P317" s="409"/>
      <c r="Q317" s="409"/>
      <c r="R317" s="409"/>
      <c r="S317" s="409"/>
    </row>
    <row r="318" spans="1:19" s="140" customFormat="1" ht="38.25">
      <c r="A318" s="394" t="s">
        <v>3260</v>
      </c>
      <c r="B318" s="285" t="s">
        <v>17727</v>
      </c>
      <c r="C318" s="285" t="s">
        <v>15557</v>
      </c>
      <c r="D318" s="289" t="s">
        <v>24664</v>
      </c>
      <c r="E318" s="290" t="s">
        <v>3240</v>
      </c>
      <c r="F318" s="755">
        <v>1</v>
      </c>
      <c r="G318" s="510">
        <v>1502.15</v>
      </c>
      <c r="H318" s="508">
        <v>0.2094</v>
      </c>
      <c r="I318" s="510">
        <v>1816.7002100000002</v>
      </c>
      <c r="J318" s="509">
        <v>1816.7002100000002</v>
      </c>
      <c r="K318" s="409"/>
      <c r="L318" s="447">
        <f t="shared" si="40"/>
        <v>1816.7002100000002</v>
      </c>
      <c r="M318" s="447"/>
      <c r="N318" s="409"/>
      <c r="O318" s="409"/>
      <c r="P318" s="409"/>
      <c r="Q318" s="409"/>
      <c r="R318" s="409"/>
      <c r="S318" s="409"/>
    </row>
    <row r="319" spans="1:19" s="140" customFormat="1" ht="38.25">
      <c r="A319" s="394" t="s">
        <v>3260</v>
      </c>
      <c r="B319" s="285" t="s">
        <v>17728</v>
      </c>
      <c r="C319" s="285" t="s">
        <v>15558</v>
      </c>
      <c r="D319" s="289" t="s">
        <v>24665</v>
      </c>
      <c r="E319" s="290" t="s">
        <v>3240</v>
      </c>
      <c r="F319" s="755">
        <v>1</v>
      </c>
      <c r="G319" s="510">
        <v>905.09</v>
      </c>
      <c r="H319" s="508">
        <v>0.2094</v>
      </c>
      <c r="I319" s="510">
        <v>1094.6158460000001</v>
      </c>
      <c r="J319" s="509">
        <v>1094.6158460000001</v>
      </c>
      <c r="K319" s="409"/>
      <c r="L319" s="447">
        <f t="shared" si="40"/>
        <v>1094.6158460000001</v>
      </c>
      <c r="M319" s="447"/>
      <c r="N319" s="409"/>
      <c r="O319" s="409"/>
      <c r="P319" s="409"/>
      <c r="Q319" s="409"/>
      <c r="R319" s="409"/>
      <c r="S319" s="409"/>
    </row>
    <row r="320" spans="1:19" s="140" customFormat="1" ht="38.25">
      <c r="A320" s="394" t="s">
        <v>3260</v>
      </c>
      <c r="B320" s="285" t="s">
        <v>17729</v>
      </c>
      <c r="C320" s="285" t="s">
        <v>15559</v>
      </c>
      <c r="D320" s="289" t="s">
        <v>24666</v>
      </c>
      <c r="E320" s="290" t="s">
        <v>3240</v>
      </c>
      <c r="F320" s="755">
        <v>2</v>
      </c>
      <c r="G320" s="510">
        <v>1321.38</v>
      </c>
      <c r="H320" s="508">
        <v>0.2094</v>
      </c>
      <c r="I320" s="510">
        <v>1598.0769720000001</v>
      </c>
      <c r="J320" s="509">
        <v>3196.1539440000001</v>
      </c>
      <c r="K320" s="409"/>
      <c r="L320" s="447">
        <f t="shared" si="40"/>
        <v>3196.1539440000001</v>
      </c>
      <c r="M320" s="447"/>
      <c r="N320" s="409"/>
      <c r="O320" s="409"/>
      <c r="P320" s="409"/>
      <c r="Q320" s="409"/>
      <c r="R320" s="409"/>
      <c r="S320" s="409"/>
    </row>
    <row r="321" spans="1:19" s="140" customFormat="1" ht="51">
      <c r="A321" s="394" t="s">
        <v>3260</v>
      </c>
      <c r="B321" s="285" t="s">
        <v>17730</v>
      </c>
      <c r="C321" s="285" t="s">
        <v>15560</v>
      </c>
      <c r="D321" s="289" t="s">
        <v>24667</v>
      </c>
      <c r="E321" s="290" t="s">
        <v>3240</v>
      </c>
      <c r="F321" s="755">
        <v>1</v>
      </c>
      <c r="G321" s="510">
        <v>1254.96</v>
      </c>
      <c r="H321" s="508">
        <v>0.2094</v>
      </c>
      <c r="I321" s="510">
        <v>1517.7486240000001</v>
      </c>
      <c r="J321" s="509">
        <v>1517.7486240000001</v>
      </c>
      <c r="K321" s="409"/>
      <c r="L321" s="447">
        <f t="shared" si="40"/>
        <v>1517.7486240000001</v>
      </c>
      <c r="M321" s="447"/>
      <c r="N321" s="409"/>
      <c r="O321" s="409"/>
      <c r="P321" s="409"/>
      <c r="Q321" s="409"/>
      <c r="R321" s="409"/>
      <c r="S321" s="409"/>
    </row>
    <row r="322" spans="1:19" s="140" customFormat="1" ht="38.25">
      <c r="A322" s="394" t="s">
        <v>3260</v>
      </c>
      <c r="B322" s="285" t="s">
        <v>17731</v>
      </c>
      <c r="C322" s="285" t="s">
        <v>15561</v>
      </c>
      <c r="D322" s="289" t="s">
        <v>24669</v>
      </c>
      <c r="E322" s="290" t="s">
        <v>3240</v>
      </c>
      <c r="F322" s="755">
        <v>1</v>
      </c>
      <c r="G322" s="510">
        <v>765.65</v>
      </c>
      <c r="H322" s="508">
        <v>0.2094</v>
      </c>
      <c r="I322" s="510">
        <v>925.97711000000004</v>
      </c>
      <c r="J322" s="509">
        <v>925.97711000000004</v>
      </c>
      <c r="K322" s="409"/>
      <c r="L322" s="447">
        <f t="shared" si="40"/>
        <v>925.97711000000004</v>
      </c>
      <c r="M322" s="447"/>
      <c r="N322" s="409"/>
      <c r="O322" s="409"/>
      <c r="P322" s="409"/>
      <c r="Q322" s="409"/>
      <c r="R322" s="409"/>
      <c r="S322" s="409"/>
    </row>
    <row r="323" spans="1:19" s="140" customFormat="1" ht="38.25">
      <c r="A323" s="394" t="s">
        <v>3260</v>
      </c>
      <c r="B323" s="285" t="s">
        <v>17732</v>
      </c>
      <c r="C323" s="285" t="s">
        <v>15562</v>
      </c>
      <c r="D323" s="289" t="s">
        <v>24670</v>
      </c>
      <c r="E323" s="290" t="s">
        <v>3240</v>
      </c>
      <c r="F323" s="755">
        <v>1</v>
      </c>
      <c r="G323" s="510">
        <v>1227.07</v>
      </c>
      <c r="H323" s="508">
        <v>0.2094</v>
      </c>
      <c r="I323" s="510">
        <v>1484.018458</v>
      </c>
      <c r="J323" s="509">
        <v>1484.018458</v>
      </c>
      <c r="K323" s="409"/>
      <c r="L323" s="447">
        <f t="shared" si="40"/>
        <v>1484.018458</v>
      </c>
      <c r="M323" s="447"/>
      <c r="N323" s="409"/>
      <c r="O323" s="409"/>
      <c r="P323" s="409"/>
      <c r="Q323" s="409"/>
      <c r="R323" s="409"/>
      <c r="S323" s="409"/>
    </row>
    <row r="324" spans="1:19" s="140" customFormat="1" ht="38.25">
      <c r="A324" s="394" t="s">
        <v>3260</v>
      </c>
      <c r="B324" s="285" t="s">
        <v>17733</v>
      </c>
      <c r="C324" s="285" t="s">
        <v>15563</v>
      </c>
      <c r="D324" s="289" t="s">
        <v>24668</v>
      </c>
      <c r="E324" s="290" t="s">
        <v>3240</v>
      </c>
      <c r="F324" s="755">
        <v>1</v>
      </c>
      <c r="G324" s="510">
        <v>2723.2</v>
      </c>
      <c r="H324" s="508">
        <v>0.2094</v>
      </c>
      <c r="I324" s="510">
        <v>3293.4380799999999</v>
      </c>
      <c r="J324" s="509">
        <v>3293.4380799999999</v>
      </c>
      <c r="K324" s="409"/>
      <c r="L324" s="447">
        <f t="shared" si="40"/>
        <v>3293.4380799999999</v>
      </c>
      <c r="M324" s="447"/>
      <c r="N324" s="409"/>
      <c r="O324" s="409"/>
      <c r="P324" s="409"/>
      <c r="Q324" s="409"/>
      <c r="R324" s="409"/>
      <c r="S324" s="409"/>
    </row>
    <row r="325" spans="1:19" s="140" customFormat="1" ht="38.25">
      <c r="A325" s="394" t="s">
        <v>3260</v>
      </c>
      <c r="B325" s="285" t="s">
        <v>17734</v>
      </c>
      <c r="C325" s="285" t="s">
        <v>15564</v>
      </c>
      <c r="D325" s="289" t="s">
        <v>24671</v>
      </c>
      <c r="E325" s="290" t="s">
        <v>3240</v>
      </c>
      <c r="F325" s="755">
        <v>1</v>
      </c>
      <c r="G325" s="510">
        <v>308.98</v>
      </c>
      <c r="H325" s="508">
        <v>0.2094</v>
      </c>
      <c r="I325" s="510">
        <v>373.68041200000005</v>
      </c>
      <c r="J325" s="509">
        <v>373.68041200000005</v>
      </c>
      <c r="K325" s="409"/>
      <c r="L325" s="447">
        <f t="shared" si="40"/>
        <v>373.68041200000005</v>
      </c>
      <c r="M325" s="447"/>
      <c r="N325" s="409"/>
      <c r="O325" s="409"/>
      <c r="P325" s="409"/>
      <c r="Q325" s="409"/>
      <c r="R325" s="409"/>
      <c r="S325" s="409"/>
    </row>
    <row r="326" spans="1:19" s="140" customFormat="1" ht="38.25">
      <c r="A326" s="394" t="s">
        <v>3260</v>
      </c>
      <c r="B326" s="285" t="s">
        <v>17735</v>
      </c>
      <c r="C326" s="285" t="s">
        <v>15722</v>
      </c>
      <c r="D326" s="289" t="s">
        <v>24672</v>
      </c>
      <c r="E326" s="290" t="s">
        <v>3240</v>
      </c>
      <c r="F326" s="755">
        <v>1</v>
      </c>
      <c r="G326" s="510">
        <v>1774.69</v>
      </c>
      <c r="H326" s="508">
        <v>0.2094</v>
      </c>
      <c r="I326" s="510">
        <v>2146.310086</v>
      </c>
      <c r="J326" s="509">
        <v>2146.310086</v>
      </c>
      <c r="K326" s="409"/>
      <c r="L326" s="447">
        <f t="shared" si="40"/>
        <v>2146.310086</v>
      </c>
      <c r="M326" s="447"/>
      <c r="N326" s="409"/>
      <c r="O326" s="409"/>
      <c r="P326" s="409"/>
      <c r="Q326" s="409"/>
      <c r="R326" s="409"/>
      <c r="S326" s="409"/>
    </row>
    <row r="327" spans="1:19" s="140" customFormat="1" ht="38.25">
      <c r="A327" s="394" t="s">
        <v>3260</v>
      </c>
      <c r="B327" s="285" t="s">
        <v>17736</v>
      </c>
      <c r="C327" s="285" t="s">
        <v>15724</v>
      </c>
      <c r="D327" s="289" t="s">
        <v>24673</v>
      </c>
      <c r="E327" s="290" t="s">
        <v>3240</v>
      </c>
      <c r="F327" s="755">
        <v>1</v>
      </c>
      <c r="G327" s="510">
        <v>732.69</v>
      </c>
      <c r="H327" s="508">
        <v>0.2094</v>
      </c>
      <c r="I327" s="510">
        <v>886.11528600000008</v>
      </c>
      <c r="J327" s="509">
        <v>886.11528600000008</v>
      </c>
      <c r="K327" s="409"/>
      <c r="L327" s="447">
        <f t="shared" si="40"/>
        <v>886.11528600000008</v>
      </c>
      <c r="M327" s="447"/>
      <c r="N327" s="409"/>
      <c r="O327" s="409"/>
      <c r="P327" s="409"/>
      <c r="Q327" s="409"/>
      <c r="R327" s="409"/>
      <c r="S327" s="409"/>
    </row>
    <row r="328" spans="1:19" s="140" customFormat="1" ht="38.25">
      <c r="A328" s="394" t="s">
        <v>3260</v>
      </c>
      <c r="B328" s="285" t="s">
        <v>17737</v>
      </c>
      <c r="C328" s="285" t="s">
        <v>17709</v>
      </c>
      <c r="D328" s="289" t="s">
        <v>24674</v>
      </c>
      <c r="E328" s="290" t="s">
        <v>3240</v>
      </c>
      <c r="F328" s="755">
        <v>2</v>
      </c>
      <c r="G328" s="510">
        <v>1292.99</v>
      </c>
      <c r="H328" s="508">
        <v>0.2094</v>
      </c>
      <c r="I328" s="510">
        <v>1563.7421060000001</v>
      </c>
      <c r="J328" s="509">
        <v>3127.4842120000003</v>
      </c>
      <c r="K328" s="409"/>
      <c r="L328" s="447">
        <f t="shared" si="40"/>
        <v>3127.4842120000003</v>
      </c>
      <c r="M328" s="447"/>
      <c r="N328" s="409"/>
      <c r="O328" s="409"/>
      <c r="P328" s="409"/>
      <c r="Q328" s="409"/>
      <c r="R328" s="409"/>
      <c r="S328" s="409"/>
    </row>
    <row r="329" spans="1:19" s="140" customFormat="1" ht="38.25">
      <c r="A329" s="394" t="s">
        <v>3260</v>
      </c>
      <c r="B329" s="285" t="s">
        <v>17738</v>
      </c>
      <c r="C329" s="285" t="s">
        <v>15443</v>
      </c>
      <c r="D329" s="289" t="s">
        <v>24675</v>
      </c>
      <c r="E329" s="290" t="s">
        <v>3240</v>
      </c>
      <c r="F329" s="755">
        <v>1</v>
      </c>
      <c r="G329" s="510">
        <v>1353.83</v>
      </c>
      <c r="H329" s="508">
        <v>0.2094</v>
      </c>
      <c r="I329" s="510">
        <v>1637.3220019999999</v>
      </c>
      <c r="J329" s="509">
        <v>1637.3220019999999</v>
      </c>
      <c r="K329" s="409"/>
      <c r="L329" s="447">
        <f t="shared" ref="L329" si="41">I329*F329</f>
        <v>1637.3220019999999</v>
      </c>
      <c r="M329" s="447"/>
      <c r="N329" s="409"/>
      <c r="O329" s="409"/>
      <c r="P329" s="409"/>
      <c r="Q329" s="409"/>
      <c r="R329" s="409"/>
      <c r="S329" s="409"/>
    </row>
    <row r="330" spans="1:19" s="140" customFormat="1" ht="38.25">
      <c r="A330" s="394" t="s">
        <v>3260</v>
      </c>
      <c r="B330" s="285" t="s">
        <v>24682</v>
      </c>
      <c r="C330" s="285" t="s">
        <v>15444</v>
      </c>
      <c r="D330" s="289" t="s">
        <v>24676</v>
      </c>
      <c r="E330" s="290" t="s">
        <v>3240</v>
      </c>
      <c r="F330" s="755">
        <v>1</v>
      </c>
      <c r="G330" s="510">
        <v>1262.56</v>
      </c>
      <c r="H330" s="508">
        <v>0.2094</v>
      </c>
      <c r="I330" s="510">
        <v>1526.9400639999999</v>
      </c>
      <c r="J330" s="509">
        <v>1526.9400639999999</v>
      </c>
      <c r="K330" s="409"/>
      <c r="L330" s="447">
        <f t="shared" ref="L330" si="42">I330*F330</f>
        <v>1526.9400639999999</v>
      </c>
      <c r="M330" s="447"/>
      <c r="N330" s="409"/>
      <c r="O330" s="409"/>
      <c r="P330" s="409"/>
      <c r="Q330" s="409"/>
      <c r="R330" s="409"/>
      <c r="S330" s="409"/>
    </row>
    <row r="331" spans="1:19" s="140" customFormat="1" ht="38.25">
      <c r="A331" s="394" t="s">
        <v>3260</v>
      </c>
      <c r="B331" s="285" t="s">
        <v>24683</v>
      </c>
      <c r="C331" s="285" t="s">
        <v>15445</v>
      </c>
      <c r="D331" s="289" t="s">
        <v>24677</v>
      </c>
      <c r="E331" s="290" t="s">
        <v>3240</v>
      </c>
      <c r="F331" s="755">
        <v>1</v>
      </c>
      <c r="G331" s="510">
        <v>844.24</v>
      </c>
      <c r="H331" s="508">
        <v>0.2094</v>
      </c>
      <c r="I331" s="510">
        <v>1021.023856</v>
      </c>
      <c r="J331" s="509">
        <v>1021.023856</v>
      </c>
      <c r="K331" s="409"/>
      <c r="L331" s="447">
        <f t="shared" ref="L331" si="43">I331*F331</f>
        <v>1021.023856</v>
      </c>
      <c r="M331" s="447"/>
      <c r="N331" s="409"/>
      <c r="O331" s="409"/>
      <c r="P331" s="409"/>
      <c r="Q331" s="409"/>
      <c r="R331" s="409"/>
      <c r="S331" s="409"/>
    </row>
    <row r="332" spans="1:19" s="140" customFormat="1" ht="38.25">
      <c r="A332" s="394" t="s">
        <v>3260</v>
      </c>
      <c r="B332" s="285" t="s">
        <v>24684</v>
      </c>
      <c r="C332" s="285" t="s">
        <v>17785</v>
      </c>
      <c r="D332" s="289" t="s">
        <v>24678</v>
      </c>
      <c r="E332" s="290" t="s">
        <v>3240</v>
      </c>
      <c r="F332" s="755">
        <v>1</v>
      </c>
      <c r="G332" s="510">
        <v>1825.4</v>
      </c>
      <c r="H332" s="508">
        <v>0.2094</v>
      </c>
      <c r="I332" s="510">
        <v>2207.6387600000003</v>
      </c>
      <c r="J332" s="509">
        <v>2207.6387600000003</v>
      </c>
      <c r="K332" s="409"/>
      <c r="L332" s="447">
        <f t="shared" ref="L332" si="44">I332*F332</f>
        <v>2207.6387600000003</v>
      </c>
      <c r="M332" s="447"/>
      <c r="N332" s="409"/>
      <c r="O332" s="409"/>
      <c r="P332" s="409"/>
      <c r="Q332" s="409"/>
      <c r="R332" s="409"/>
      <c r="S332" s="409"/>
    </row>
    <row r="333" spans="1:19" s="140" customFormat="1" ht="38.25">
      <c r="A333" s="394" t="s">
        <v>3260</v>
      </c>
      <c r="B333" s="285" t="s">
        <v>24685</v>
      </c>
      <c r="C333" s="285" t="s">
        <v>17710</v>
      </c>
      <c r="D333" s="289" t="s">
        <v>17712</v>
      </c>
      <c r="E333" s="290" t="s">
        <v>5</v>
      </c>
      <c r="F333" s="755">
        <v>58.71</v>
      </c>
      <c r="G333" s="510">
        <v>68.900000000000006</v>
      </c>
      <c r="H333" s="508">
        <v>0.2094</v>
      </c>
      <c r="I333" s="510">
        <v>83.327660000000009</v>
      </c>
      <c r="J333" s="509">
        <v>4892.1669186000008</v>
      </c>
      <c r="K333" s="409"/>
      <c r="L333" s="447">
        <f t="shared" si="40"/>
        <v>4892.1669186000008</v>
      </c>
      <c r="M333" s="447"/>
      <c r="N333" s="409"/>
      <c r="O333" s="409"/>
      <c r="P333" s="409"/>
      <c r="Q333" s="409"/>
      <c r="R333" s="409"/>
      <c r="S333" s="409"/>
    </row>
    <row r="334" spans="1:19" s="140" customFormat="1" ht="38.25">
      <c r="A334" s="394" t="s">
        <v>3260</v>
      </c>
      <c r="B334" s="285" t="s">
        <v>24686</v>
      </c>
      <c r="C334" s="285" t="s">
        <v>24679</v>
      </c>
      <c r="D334" s="289" t="s">
        <v>24680</v>
      </c>
      <c r="E334" s="290" t="s">
        <v>5</v>
      </c>
      <c r="F334" s="755">
        <v>14.93</v>
      </c>
      <c r="G334" s="510">
        <v>65.14</v>
      </c>
      <c r="H334" s="508">
        <v>0.2094</v>
      </c>
      <c r="I334" s="510">
        <v>78.780315999999999</v>
      </c>
      <c r="J334" s="509">
        <v>1176.1901178799999</v>
      </c>
      <c r="K334" s="409"/>
      <c r="L334" s="447">
        <f t="shared" ref="L334" si="45">I334*F334</f>
        <v>1176.1901178799999</v>
      </c>
      <c r="M334" s="447"/>
      <c r="N334" s="409"/>
      <c r="O334" s="409"/>
      <c r="P334" s="409"/>
      <c r="Q334" s="409"/>
      <c r="R334" s="409"/>
      <c r="S334" s="409"/>
    </row>
    <row r="335" spans="1:19" s="92" customFormat="1">
      <c r="A335" s="256"/>
      <c r="B335" s="391"/>
      <c r="C335" s="391"/>
      <c r="D335" s="401"/>
      <c r="E335" s="391"/>
      <c r="F335" s="417"/>
      <c r="G335" s="417"/>
      <c r="H335" s="417"/>
      <c r="I335" s="417"/>
      <c r="J335" s="418"/>
      <c r="K335" s="298"/>
      <c r="L335" s="447">
        <f t="shared" si="40"/>
        <v>0</v>
      </c>
      <c r="M335" s="447"/>
      <c r="N335" s="298"/>
      <c r="O335" s="298"/>
      <c r="P335" s="298"/>
      <c r="Q335" s="298"/>
      <c r="R335" s="298"/>
      <c r="S335" s="298"/>
    </row>
    <row r="336" spans="1:19" s="92" customFormat="1">
      <c r="A336" s="256"/>
      <c r="B336" s="287" t="s">
        <v>16833</v>
      </c>
      <c r="C336" s="287"/>
      <c r="D336" s="400" t="s">
        <v>16834</v>
      </c>
      <c r="E336" s="415"/>
      <c r="F336" s="415"/>
      <c r="G336" s="462"/>
      <c r="H336" s="415"/>
      <c r="I336" s="462"/>
      <c r="J336" s="416"/>
      <c r="K336" s="298"/>
      <c r="L336" s="447">
        <f t="shared" si="40"/>
        <v>0</v>
      </c>
      <c r="M336" s="447"/>
      <c r="N336" s="298"/>
      <c r="O336" s="298"/>
      <c r="P336" s="298"/>
      <c r="Q336" s="298"/>
      <c r="R336" s="298"/>
      <c r="S336" s="298"/>
    </row>
    <row r="337" spans="1:19" s="140" customFormat="1" ht="236.25" customHeight="1">
      <c r="A337" s="394" t="s">
        <v>12</v>
      </c>
      <c r="B337" s="285" t="s">
        <v>16835</v>
      </c>
      <c r="C337" s="285" t="s">
        <v>16815</v>
      </c>
      <c r="D337" s="289" t="s">
        <v>18314</v>
      </c>
      <c r="E337" s="290" t="s">
        <v>109</v>
      </c>
      <c r="F337" s="755">
        <v>1</v>
      </c>
      <c r="G337" s="510">
        <v>23650</v>
      </c>
      <c r="H337" s="508">
        <v>0.1089</v>
      </c>
      <c r="I337" s="510">
        <v>26225.485000000001</v>
      </c>
      <c r="J337" s="509">
        <v>26225.485000000001</v>
      </c>
      <c r="K337" s="409"/>
      <c r="L337" s="447">
        <f t="shared" si="40"/>
        <v>26225.485000000001</v>
      </c>
      <c r="M337" s="447"/>
      <c r="N337" s="409"/>
      <c r="O337" s="409"/>
      <c r="P337" s="409"/>
      <c r="Q337" s="409"/>
      <c r="R337" s="409"/>
      <c r="S337" s="409"/>
    </row>
    <row r="338" spans="1:19" s="140" customFormat="1" ht="234.75" customHeight="1">
      <c r="A338" s="394" t="s">
        <v>12</v>
      </c>
      <c r="B338" s="285" t="s">
        <v>16836</v>
      </c>
      <c r="C338" s="285" t="s">
        <v>16816</v>
      </c>
      <c r="D338" s="289" t="s">
        <v>18315</v>
      </c>
      <c r="E338" s="290" t="s">
        <v>109</v>
      </c>
      <c r="F338" s="755">
        <v>1</v>
      </c>
      <c r="G338" s="510">
        <v>25800</v>
      </c>
      <c r="H338" s="508">
        <v>0.1089</v>
      </c>
      <c r="I338" s="510">
        <v>28609.62</v>
      </c>
      <c r="J338" s="509">
        <v>28609.62</v>
      </c>
      <c r="K338" s="409"/>
      <c r="L338" s="447">
        <f t="shared" si="40"/>
        <v>28609.62</v>
      </c>
      <c r="M338" s="447"/>
      <c r="N338" s="409"/>
      <c r="O338" s="409"/>
      <c r="P338" s="409"/>
      <c r="Q338" s="409"/>
      <c r="R338" s="409"/>
      <c r="S338" s="409"/>
    </row>
    <row r="339" spans="1:19" s="92" customFormat="1">
      <c r="A339" s="256"/>
      <c r="B339" s="391"/>
      <c r="C339" s="391"/>
      <c r="D339" s="401"/>
      <c r="E339" s="391"/>
      <c r="F339" s="417"/>
      <c r="G339" s="417"/>
      <c r="H339" s="417"/>
      <c r="I339" s="417"/>
      <c r="J339" s="418"/>
      <c r="K339" s="298"/>
      <c r="L339" s="447">
        <f t="shared" si="40"/>
        <v>0</v>
      </c>
      <c r="M339" s="447"/>
      <c r="N339" s="298"/>
      <c r="O339" s="298"/>
      <c r="P339" s="298"/>
      <c r="Q339" s="298"/>
      <c r="R339" s="298"/>
      <c r="S339" s="298"/>
    </row>
    <row r="340" spans="1:19" s="92" customFormat="1">
      <c r="A340" s="256"/>
      <c r="B340" s="287" t="s">
        <v>15698</v>
      </c>
      <c r="C340" s="287"/>
      <c r="D340" s="400" t="s">
        <v>15699</v>
      </c>
      <c r="E340" s="415"/>
      <c r="F340" s="415"/>
      <c r="G340" s="462"/>
      <c r="H340" s="415"/>
      <c r="I340" s="462"/>
      <c r="J340" s="416"/>
      <c r="K340" s="298"/>
      <c r="L340" s="447">
        <f t="shared" si="40"/>
        <v>0</v>
      </c>
      <c r="M340" s="447"/>
      <c r="N340" s="298"/>
      <c r="O340" s="298"/>
      <c r="P340" s="298"/>
      <c r="Q340" s="298"/>
      <c r="R340" s="298"/>
      <c r="S340" s="298"/>
    </row>
    <row r="341" spans="1:19" s="92" customFormat="1">
      <c r="A341" s="256"/>
      <c r="B341" s="287" t="s">
        <v>17776</v>
      </c>
      <c r="C341" s="287"/>
      <c r="D341" s="400" t="s">
        <v>17447</v>
      </c>
      <c r="E341" s="415"/>
      <c r="F341" s="415"/>
      <c r="G341" s="462"/>
      <c r="H341" s="415"/>
      <c r="I341" s="462"/>
      <c r="J341" s="416"/>
      <c r="K341" s="298"/>
      <c r="L341" s="447">
        <f t="shared" si="40"/>
        <v>0</v>
      </c>
      <c r="M341" s="447"/>
      <c r="N341" s="298"/>
      <c r="O341" s="298"/>
      <c r="P341" s="298"/>
      <c r="Q341" s="298"/>
      <c r="R341" s="298"/>
      <c r="S341" s="298"/>
    </row>
    <row r="342" spans="1:19" s="140" customFormat="1" ht="38.25">
      <c r="A342" s="394" t="s">
        <v>3259</v>
      </c>
      <c r="B342" s="285" t="s">
        <v>15700</v>
      </c>
      <c r="C342" s="285">
        <v>102494</v>
      </c>
      <c r="D342" s="289" t="s">
        <v>24014</v>
      </c>
      <c r="E342" s="290" t="s">
        <v>193</v>
      </c>
      <c r="F342" s="755">
        <v>1.2</v>
      </c>
      <c r="G342" s="510" t="s">
        <v>12176</v>
      </c>
      <c r="H342" s="508">
        <v>0.2094</v>
      </c>
      <c r="I342" s="510">
        <v>47.771300000000004</v>
      </c>
      <c r="J342" s="509">
        <v>57.325560000000003</v>
      </c>
      <c r="K342" s="409"/>
      <c r="L342" s="447">
        <f t="shared" si="40"/>
        <v>57.325560000000003</v>
      </c>
      <c r="M342" s="447"/>
      <c r="N342" s="409"/>
      <c r="O342" s="409"/>
      <c r="P342" s="409"/>
      <c r="Q342" s="409"/>
      <c r="R342" s="409"/>
      <c r="S342" s="409"/>
    </row>
    <row r="343" spans="1:19" s="140" customFormat="1" ht="63.75">
      <c r="A343" s="394" t="s">
        <v>3260</v>
      </c>
      <c r="B343" s="285" t="s">
        <v>15701</v>
      </c>
      <c r="C343" s="285" t="s">
        <v>17711</v>
      </c>
      <c r="D343" s="289" t="s">
        <v>17754</v>
      </c>
      <c r="E343" s="290" t="s">
        <v>3240</v>
      </c>
      <c r="F343" s="755">
        <v>12</v>
      </c>
      <c r="G343" s="510">
        <v>14.33</v>
      </c>
      <c r="H343" s="508">
        <v>0.2094</v>
      </c>
      <c r="I343" s="510">
        <v>17.330702000000002</v>
      </c>
      <c r="J343" s="509">
        <v>207.96842400000003</v>
      </c>
      <c r="K343" s="409"/>
      <c r="L343" s="447">
        <f t="shared" ref="L343" si="46">I343*F343</f>
        <v>207.96842400000003</v>
      </c>
      <c r="M343" s="447"/>
      <c r="N343" s="409"/>
      <c r="O343" s="409"/>
      <c r="P343" s="409"/>
      <c r="Q343" s="409"/>
      <c r="R343" s="409"/>
      <c r="S343" s="409"/>
    </row>
    <row r="344" spans="1:19" s="140" customFormat="1" ht="63.75">
      <c r="A344" s="394" t="s">
        <v>3260</v>
      </c>
      <c r="B344" s="285" t="s">
        <v>15702</v>
      </c>
      <c r="C344" s="285" t="s">
        <v>17756</v>
      </c>
      <c r="D344" s="289" t="s">
        <v>17755</v>
      </c>
      <c r="E344" s="290" t="s">
        <v>3240</v>
      </c>
      <c r="F344" s="755">
        <v>1</v>
      </c>
      <c r="G344" s="510">
        <v>13.49</v>
      </c>
      <c r="H344" s="508">
        <v>0.2094</v>
      </c>
      <c r="I344" s="510">
        <v>16.314806000000001</v>
      </c>
      <c r="J344" s="509">
        <v>16.314806000000001</v>
      </c>
      <c r="K344" s="409"/>
      <c r="L344" s="447">
        <f t="shared" si="40"/>
        <v>16.314806000000001</v>
      </c>
      <c r="M344" s="447"/>
      <c r="N344" s="409"/>
      <c r="O344" s="409"/>
      <c r="P344" s="409"/>
      <c r="Q344" s="409"/>
      <c r="R344" s="409"/>
      <c r="S344" s="409"/>
    </row>
    <row r="345" spans="1:19" s="140" customFormat="1" ht="63.75">
      <c r="A345" s="394" t="s">
        <v>3260</v>
      </c>
      <c r="B345" s="285" t="s">
        <v>15703</v>
      </c>
      <c r="C345" s="285" t="s">
        <v>17757</v>
      </c>
      <c r="D345" s="289" t="s">
        <v>17758</v>
      </c>
      <c r="E345" s="290" t="s">
        <v>3240</v>
      </c>
      <c r="F345" s="292">
        <v>2</v>
      </c>
      <c r="G345" s="510">
        <v>21.24</v>
      </c>
      <c r="H345" s="508">
        <v>0.2094</v>
      </c>
      <c r="I345" s="510">
        <v>25.687656</v>
      </c>
      <c r="J345" s="509">
        <v>51.375312000000001</v>
      </c>
      <c r="K345" s="409"/>
      <c r="L345" s="447">
        <f t="shared" si="40"/>
        <v>51.375312000000001</v>
      </c>
      <c r="M345" s="447"/>
      <c r="N345" s="409"/>
      <c r="O345" s="409"/>
      <c r="P345" s="409"/>
      <c r="Q345" s="409"/>
      <c r="R345" s="409"/>
      <c r="S345" s="409"/>
    </row>
    <row r="346" spans="1:19" s="140" customFormat="1" ht="63.75">
      <c r="A346" s="394" t="s">
        <v>3260</v>
      </c>
      <c r="B346" s="285" t="s">
        <v>15704</v>
      </c>
      <c r="C346" s="285" t="s">
        <v>17762</v>
      </c>
      <c r="D346" s="289" t="s">
        <v>17766</v>
      </c>
      <c r="E346" s="290" t="s">
        <v>3240</v>
      </c>
      <c r="F346" s="755">
        <v>15</v>
      </c>
      <c r="G346" s="510">
        <v>33.43</v>
      </c>
      <c r="H346" s="508">
        <v>0.2094</v>
      </c>
      <c r="I346" s="510">
        <v>40.430242</v>
      </c>
      <c r="J346" s="509">
        <v>606.45362999999998</v>
      </c>
      <c r="K346" s="409"/>
      <c r="L346" s="447">
        <f t="shared" si="40"/>
        <v>606.45362999999998</v>
      </c>
      <c r="M346" s="447"/>
      <c r="N346" s="409"/>
      <c r="O346" s="409"/>
      <c r="P346" s="409"/>
      <c r="Q346" s="409"/>
      <c r="R346" s="409"/>
      <c r="S346" s="409"/>
    </row>
    <row r="347" spans="1:19" s="140" customFormat="1" ht="63.75">
      <c r="A347" s="394" t="s">
        <v>3260</v>
      </c>
      <c r="B347" s="285" t="s">
        <v>17765</v>
      </c>
      <c r="C347" s="285" t="s">
        <v>17763</v>
      </c>
      <c r="D347" s="289" t="s">
        <v>17767</v>
      </c>
      <c r="E347" s="290" t="s">
        <v>3240</v>
      </c>
      <c r="F347" s="755">
        <v>6</v>
      </c>
      <c r="G347" s="510">
        <v>38.96</v>
      </c>
      <c r="H347" s="508">
        <v>0.2094</v>
      </c>
      <c r="I347" s="510">
        <v>47.118224000000005</v>
      </c>
      <c r="J347" s="509">
        <v>282.70934400000004</v>
      </c>
      <c r="K347" s="409"/>
      <c r="L347" s="447">
        <f t="shared" si="40"/>
        <v>282.70934400000004</v>
      </c>
      <c r="M347" s="447"/>
      <c r="N347" s="409"/>
      <c r="O347" s="409"/>
      <c r="P347" s="409"/>
      <c r="Q347" s="409"/>
      <c r="R347" s="409"/>
      <c r="S347" s="409"/>
    </row>
    <row r="348" spans="1:19" s="140" customFormat="1" ht="38.25">
      <c r="A348" s="394" t="s">
        <v>3260</v>
      </c>
      <c r="B348" s="285" t="s">
        <v>17774</v>
      </c>
      <c r="C348" s="285" t="s">
        <v>17764</v>
      </c>
      <c r="D348" s="289" t="s">
        <v>24689</v>
      </c>
      <c r="E348" s="290" t="s">
        <v>3240</v>
      </c>
      <c r="F348" s="755">
        <v>1</v>
      </c>
      <c r="G348" s="510">
        <v>3183.74</v>
      </c>
      <c r="H348" s="508">
        <v>0.2094</v>
      </c>
      <c r="I348" s="510">
        <v>3850.415156</v>
      </c>
      <c r="J348" s="509">
        <v>3850.415156</v>
      </c>
      <c r="K348" s="409"/>
      <c r="L348" s="447">
        <f t="shared" si="40"/>
        <v>3850.415156</v>
      </c>
      <c r="M348" s="447"/>
      <c r="N348" s="409"/>
      <c r="O348" s="409"/>
      <c r="P348" s="409"/>
      <c r="Q348" s="409"/>
      <c r="R348" s="409"/>
      <c r="S348" s="409"/>
    </row>
    <row r="349" spans="1:19" s="140" customFormat="1" ht="38.25">
      <c r="A349" s="394" t="s">
        <v>3260</v>
      </c>
      <c r="B349" s="285" t="s">
        <v>17775</v>
      </c>
      <c r="C349" s="285" t="s">
        <v>17769</v>
      </c>
      <c r="D349" s="289" t="s">
        <v>17770</v>
      </c>
      <c r="E349" s="290" t="s">
        <v>3240</v>
      </c>
      <c r="F349" s="755">
        <v>1</v>
      </c>
      <c r="G349" s="510">
        <v>705.25</v>
      </c>
      <c r="H349" s="508">
        <v>0.2094</v>
      </c>
      <c r="I349" s="510">
        <v>852.92935</v>
      </c>
      <c r="J349" s="509">
        <v>852.92935</v>
      </c>
      <c r="K349" s="409"/>
      <c r="L349" s="447">
        <f t="shared" si="40"/>
        <v>852.92935</v>
      </c>
      <c r="M349" s="447"/>
      <c r="N349" s="409"/>
      <c r="O349" s="409"/>
      <c r="P349" s="409"/>
      <c r="Q349" s="409"/>
      <c r="R349" s="409"/>
      <c r="S349" s="409"/>
    </row>
    <row r="350" spans="1:19" s="140" customFormat="1">
      <c r="A350" s="394" t="s">
        <v>3260</v>
      </c>
      <c r="B350" s="285" t="s">
        <v>24687</v>
      </c>
      <c r="C350" s="285" t="s">
        <v>17771</v>
      </c>
      <c r="D350" s="289" t="s">
        <v>17777</v>
      </c>
      <c r="E350" s="290" t="s">
        <v>193</v>
      </c>
      <c r="F350" s="755">
        <v>46.08</v>
      </c>
      <c r="G350" s="510">
        <v>109.26</v>
      </c>
      <c r="H350" s="508">
        <v>0.2094</v>
      </c>
      <c r="I350" s="510">
        <v>132.13904400000001</v>
      </c>
      <c r="J350" s="509">
        <v>6088.9671475200003</v>
      </c>
      <c r="K350" s="409"/>
      <c r="L350" s="447">
        <f t="shared" si="40"/>
        <v>6088.9671475200003</v>
      </c>
      <c r="M350" s="447"/>
      <c r="N350" s="409"/>
      <c r="O350" s="409"/>
      <c r="P350" s="409"/>
      <c r="Q350" s="409"/>
      <c r="R350" s="409"/>
      <c r="S350" s="409"/>
    </row>
    <row r="351" spans="1:19" s="92" customFormat="1">
      <c r="A351" s="256"/>
      <c r="B351" s="391"/>
      <c r="C351" s="391"/>
      <c r="D351" s="401"/>
      <c r="E351" s="391"/>
      <c r="F351" s="417"/>
      <c r="G351" s="417"/>
      <c r="H351" s="417"/>
      <c r="I351" s="417"/>
      <c r="J351" s="418"/>
      <c r="K351" s="298"/>
      <c r="L351" s="447">
        <f t="shared" si="40"/>
        <v>0</v>
      </c>
      <c r="M351" s="447"/>
      <c r="N351" s="298"/>
      <c r="O351" s="298"/>
      <c r="P351" s="298"/>
      <c r="Q351" s="298"/>
      <c r="R351" s="298"/>
      <c r="S351" s="298"/>
    </row>
    <row r="352" spans="1:19" s="92" customFormat="1">
      <c r="A352" s="256"/>
      <c r="B352" s="391"/>
      <c r="C352" s="391"/>
      <c r="D352" s="401"/>
      <c r="E352" s="391"/>
      <c r="F352" s="417"/>
      <c r="G352" s="417"/>
      <c r="H352" s="417"/>
      <c r="I352" s="417"/>
      <c r="J352" s="418"/>
      <c r="K352" s="298"/>
      <c r="L352" s="447">
        <f t="shared" si="40"/>
        <v>0</v>
      </c>
      <c r="M352" s="447"/>
      <c r="N352" s="298"/>
      <c r="O352" s="298"/>
      <c r="P352" s="298"/>
      <c r="Q352" s="298"/>
      <c r="R352" s="298"/>
      <c r="S352" s="298"/>
    </row>
    <row r="353" spans="1:19" s="140" customFormat="1">
      <c r="A353" s="394"/>
      <c r="B353" s="395"/>
      <c r="C353" s="395"/>
      <c r="D353" s="404"/>
      <c r="E353" s="395"/>
      <c r="F353" s="395"/>
      <c r="G353" s="460" t="s">
        <v>69</v>
      </c>
      <c r="H353" s="419"/>
      <c r="I353" s="460"/>
      <c r="J353" s="421">
        <v>1761265.5639699197</v>
      </c>
      <c r="K353" s="448"/>
      <c r="L353" s="447">
        <f t="shared" si="40"/>
        <v>0</v>
      </c>
      <c r="M353" s="447"/>
      <c r="N353" s="409"/>
      <c r="O353" s="409"/>
      <c r="P353" s="409"/>
      <c r="Q353" s="409"/>
      <c r="R353" s="409"/>
      <c r="S353" s="409"/>
    </row>
    <row r="354" spans="1:19" s="92" customFormat="1">
      <c r="A354" s="256"/>
      <c r="B354" s="391"/>
      <c r="C354" s="391"/>
      <c r="D354" s="401"/>
      <c r="E354" s="391"/>
      <c r="F354" s="417"/>
      <c r="G354" s="417"/>
      <c r="H354" s="417"/>
      <c r="I354" s="417"/>
      <c r="J354" s="418"/>
      <c r="K354" s="298"/>
      <c r="L354" s="447">
        <f t="shared" si="40"/>
        <v>0</v>
      </c>
      <c r="M354" s="447"/>
      <c r="N354" s="298"/>
      <c r="O354" s="298"/>
      <c r="P354" s="298"/>
      <c r="Q354" s="298"/>
      <c r="R354" s="298"/>
      <c r="S354" s="298"/>
    </row>
    <row r="355" spans="1:19" s="92" customFormat="1">
      <c r="A355" s="256"/>
      <c r="B355" s="287" t="s">
        <v>184</v>
      </c>
      <c r="C355" s="287"/>
      <c r="D355" s="400" t="s">
        <v>185</v>
      </c>
      <c r="E355" s="415"/>
      <c r="F355" s="415"/>
      <c r="G355" s="462"/>
      <c r="H355" s="415"/>
      <c r="I355" s="462"/>
      <c r="J355" s="416"/>
      <c r="K355" s="298"/>
      <c r="L355" s="447">
        <f t="shared" si="40"/>
        <v>0</v>
      </c>
      <c r="M355" s="447"/>
      <c r="N355" s="298"/>
      <c r="O355" s="298"/>
      <c r="P355" s="298"/>
      <c r="Q355" s="298"/>
      <c r="R355" s="298"/>
      <c r="S355" s="298"/>
    </row>
    <row r="356" spans="1:19" s="92" customFormat="1">
      <c r="A356" s="256"/>
      <c r="B356" s="287" t="s">
        <v>14581</v>
      </c>
      <c r="C356" s="287"/>
      <c r="D356" s="400" t="s">
        <v>14583</v>
      </c>
      <c r="E356" s="415"/>
      <c r="F356" s="415"/>
      <c r="G356" s="462"/>
      <c r="H356" s="415"/>
      <c r="I356" s="462"/>
      <c r="J356" s="416"/>
      <c r="K356" s="298"/>
      <c r="L356" s="447">
        <f t="shared" si="40"/>
        <v>0</v>
      </c>
      <c r="M356" s="447"/>
      <c r="N356" s="298"/>
      <c r="O356" s="298"/>
      <c r="P356" s="298"/>
      <c r="Q356" s="298"/>
      <c r="R356" s="298"/>
      <c r="S356" s="298"/>
    </row>
    <row r="357" spans="1:19" s="92" customFormat="1">
      <c r="A357" s="256"/>
      <c r="B357" s="287" t="s">
        <v>14582</v>
      </c>
      <c r="C357" s="287"/>
      <c r="D357" s="400" t="s">
        <v>14585</v>
      </c>
      <c r="E357" s="415"/>
      <c r="F357" s="415"/>
      <c r="G357" s="462"/>
      <c r="H357" s="415"/>
      <c r="I357" s="462"/>
      <c r="J357" s="416"/>
      <c r="K357" s="298"/>
      <c r="L357" s="447">
        <f t="shared" si="40"/>
        <v>0</v>
      </c>
      <c r="M357" s="447"/>
      <c r="N357" s="256"/>
      <c r="O357" s="256"/>
      <c r="P357" s="256"/>
      <c r="Q357" s="256"/>
      <c r="R357" s="256"/>
      <c r="S357" s="256"/>
    </row>
    <row r="358" spans="1:19" s="140" customFormat="1" ht="38.25">
      <c r="A358" s="394" t="s">
        <v>3259</v>
      </c>
      <c r="B358" s="285" t="s">
        <v>14587</v>
      </c>
      <c r="C358" s="285">
        <v>89356</v>
      </c>
      <c r="D358" s="289" t="s">
        <v>1760</v>
      </c>
      <c r="E358" s="290" t="s">
        <v>5</v>
      </c>
      <c r="F358" s="755">
        <v>189.31</v>
      </c>
      <c r="G358" s="510" t="s">
        <v>19017</v>
      </c>
      <c r="H358" s="508">
        <v>0.2094</v>
      </c>
      <c r="I358" s="510">
        <v>24.054966</v>
      </c>
      <c r="J358" s="509">
        <v>4553.8456134600001</v>
      </c>
      <c r="K358" s="409"/>
      <c r="L358" s="447">
        <f t="shared" si="40"/>
        <v>4553.8456134600001</v>
      </c>
      <c r="M358" s="447"/>
      <c r="N358" s="256"/>
      <c r="O358" s="256"/>
      <c r="P358" s="256"/>
      <c r="Q358" s="256"/>
      <c r="R358" s="256"/>
      <c r="S358" s="256"/>
    </row>
    <row r="359" spans="1:19" s="140" customFormat="1" ht="38.25">
      <c r="A359" s="394" t="s">
        <v>3259</v>
      </c>
      <c r="B359" s="285" t="s">
        <v>14588</v>
      </c>
      <c r="C359" s="285">
        <v>89357</v>
      </c>
      <c r="D359" s="289" t="s">
        <v>1761</v>
      </c>
      <c r="E359" s="290" t="s">
        <v>5</v>
      </c>
      <c r="F359" s="755">
        <v>27.12</v>
      </c>
      <c r="G359" s="510" t="s">
        <v>19693</v>
      </c>
      <c r="H359" s="508">
        <v>0.2094</v>
      </c>
      <c r="I359" s="510">
        <v>34.177644000000001</v>
      </c>
      <c r="J359" s="509">
        <v>926.89770528000008</v>
      </c>
      <c r="K359" s="409"/>
      <c r="L359" s="447">
        <f t="shared" si="40"/>
        <v>926.89770528000008</v>
      </c>
      <c r="M359" s="447"/>
      <c r="N359" s="256"/>
      <c r="O359" s="256"/>
      <c r="P359" s="256"/>
      <c r="Q359" s="256"/>
      <c r="R359" s="256"/>
      <c r="S359" s="256"/>
    </row>
    <row r="360" spans="1:19" s="92" customFormat="1" ht="38.25">
      <c r="A360" s="394" t="s">
        <v>3259</v>
      </c>
      <c r="B360" s="285" t="s">
        <v>14589</v>
      </c>
      <c r="C360" s="285">
        <v>89449</v>
      </c>
      <c r="D360" s="289" t="s">
        <v>244</v>
      </c>
      <c r="E360" s="290" t="s">
        <v>5</v>
      </c>
      <c r="F360" s="755">
        <v>70.64</v>
      </c>
      <c r="G360" s="510" t="s">
        <v>22906</v>
      </c>
      <c r="H360" s="508">
        <v>0.2094</v>
      </c>
      <c r="I360" s="510">
        <v>20.922620000000002</v>
      </c>
      <c r="J360" s="509">
        <v>1477.9738768000002</v>
      </c>
      <c r="K360" s="409"/>
      <c r="L360" s="447">
        <f t="shared" si="40"/>
        <v>1477.9738768000002</v>
      </c>
      <c r="M360" s="447"/>
      <c r="N360" s="298"/>
      <c r="O360" s="298"/>
      <c r="P360" s="298"/>
      <c r="Q360" s="298"/>
      <c r="R360" s="298"/>
      <c r="S360" s="298"/>
    </row>
    <row r="361" spans="1:19" s="92" customFormat="1" ht="38.25">
      <c r="A361" s="394" t="s">
        <v>3259</v>
      </c>
      <c r="B361" s="285" t="s">
        <v>14590</v>
      </c>
      <c r="C361" s="285">
        <v>89450</v>
      </c>
      <c r="D361" s="289" t="s">
        <v>245</v>
      </c>
      <c r="E361" s="290" t="s">
        <v>5</v>
      </c>
      <c r="F361" s="755">
        <v>24.24</v>
      </c>
      <c r="G361" s="510" t="s">
        <v>15799</v>
      </c>
      <c r="H361" s="508">
        <v>0.2094</v>
      </c>
      <c r="I361" s="510">
        <v>34.552558000000005</v>
      </c>
      <c r="J361" s="509">
        <v>837.55400592000001</v>
      </c>
      <c r="K361" s="409"/>
      <c r="L361" s="447">
        <f t="shared" si="40"/>
        <v>837.55400592000001</v>
      </c>
      <c r="M361" s="447"/>
      <c r="N361" s="298"/>
      <c r="O361" s="298"/>
      <c r="P361" s="298"/>
      <c r="Q361" s="298"/>
      <c r="R361" s="298"/>
      <c r="S361" s="298"/>
    </row>
    <row r="362" spans="1:19" s="92" customFormat="1" ht="38.25">
      <c r="A362" s="394" t="s">
        <v>3259</v>
      </c>
      <c r="B362" s="285" t="s">
        <v>14591</v>
      </c>
      <c r="C362" s="285">
        <v>89451</v>
      </c>
      <c r="D362" s="289" t="s">
        <v>246</v>
      </c>
      <c r="E362" s="290" t="s">
        <v>5</v>
      </c>
      <c r="F362" s="755">
        <v>39.020000000000003</v>
      </c>
      <c r="G362" s="510" t="s">
        <v>20112</v>
      </c>
      <c r="H362" s="508">
        <v>0.2094</v>
      </c>
      <c r="I362" s="510">
        <v>57.119962000000001</v>
      </c>
      <c r="J362" s="509">
        <v>2228.8209172400002</v>
      </c>
      <c r="K362" s="409"/>
      <c r="L362" s="447">
        <f t="shared" si="40"/>
        <v>2228.8209172400002</v>
      </c>
      <c r="M362" s="447"/>
      <c r="N362" s="298"/>
      <c r="O362" s="298"/>
      <c r="P362" s="298"/>
      <c r="Q362" s="298"/>
      <c r="R362" s="298"/>
      <c r="S362" s="298"/>
    </row>
    <row r="363" spans="1:19" s="92" customFormat="1" ht="25.5">
      <c r="A363" s="394" t="s">
        <v>3260</v>
      </c>
      <c r="B363" s="285" t="s">
        <v>14592</v>
      </c>
      <c r="C363" s="285" t="s">
        <v>9618</v>
      </c>
      <c r="D363" s="289" t="s">
        <v>17316</v>
      </c>
      <c r="E363" s="290" t="s">
        <v>3243</v>
      </c>
      <c r="F363" s="755">
        <v>17.22</v>
      </c>
      <c r="G363" s="510">
        <v>93.34</v>
      </c>
      <c r="H363" s="508">
        <v>0.2094</v>
      </c>
      <c r="I363" s="510">
        <v>112.885396</v>
      </c>
      <c r="J363" s="509">
        <v>1943.8865191199998</v>
      </c>
      <c r="K363" s="409"/>
      <c r="L363" s="447">
        <f t="shared" si="40"/>
        <v>1943.8865191199998</v>
      </c>
      <c r="M363" s="447"/>
      <c r="N363" s="298"/>
      <c r="O363" s="298"/>
      <c r="P363" s="298"/>
      <c r="Q363" s="298"/>
      <c r="R363" s="298"/>
      <c r="S363" s="298"/>
    </row>
    <row r="364" spans="1:19" s="92" customFormat="1" ht="48" customHeight="1">
      <c r="A364" s="394" t="s">
        <v>3259</v>
      </c>
      <c r="B364" s="285" t="s">
        <v>14593</v>
      </c>
      <c r="C364" s="285">
        <v>89362</v>
      </c>
      <c r="D364" s="289" t="s">
        <v>1827</v>
      </c>
      <c r="E364" s="290" t="s">
        <v>109</v>
      </c>
      <c r="F364" s="755">
        <v>73</v>
      </c>
      <c r="G364" s="510" t="s">
        <v>10312</v>
      </c>
      <c r="H364" s="508">
        <v>0.2094</v>
      </c>
      <c r="I364" s="510">
        <v>9.9775500000000008</v>
      </c>
      <c r="J364" s="509">
        <v>728.36115000000007</v>
      </c>
      <c r="K364" s="409"/>
      <c r="L364" s="447">
        <f t="shared" si="40"/>
        <v>728.36115000000007</v>
      </c>
      <c r="M364" s="447"/>
      <c r="N364" s="298"/>
      <c r="O364" s="298"/>
      <c r="P364" s="298"/>
      <c r="Q364" s="298"/>
      <c r="R364" s="298"/>
      <c r="S364" s="298"/>
    </row>
    <row r="365" spans="1:19" s="92" customFormat="1" ht="51">
      <c r="A365" s="394" t="s">
        <v>3259</v>
      </c>
      <c r="B365" s="285" t="s">
        <v>14594</v>
      </c>
      <c r="C365" s="285">
        <v>89367</v>
      </c>
      <c r="D365" s="289" t="s">
        <v>1832</v>
      </c>
      <c r="E365" s="290" t="s">
        <v>109</v>
      </c>
      <c r="F365" s="755">
        <v>9</v>
      </c>
      <c r="G365" s="510" t="s">
        <v>10000</v>
      </c>
      <c r="H365" s="508">
        <v>0.2094</v>
      </c>
      <c r="I365" s="510">
        <v>13.823442</v>
      </c>
      <c r="J365" s="509">
        <v>124.410978</v>
      </c>
      <c r="K365" s="409"/>
      <c r="L365" s="447">
        <f t="shared" ref="L365:L418" si="47">I365*F365</f>
        <v>124.410978</v>
      </c>
      <c r="M365" s="447"/>
      <c r="N365" s="298"/>
      <c r="O365" s="298"/>
      <c r="P365" s="298"/>
      <c r="Q365" s="298"/>
      <c r="R365" s="298"/>
      <c r="S365" s="298"/>
    </row>
    <row r="366" spans="1:19" s="92" customFormat="1" ht="38.25">
      <c r="A366" s="394" t="s">
        <v>3259</v>
      </c>
      <c r="B366" s="285" t="s">
        <v>14595</v>
      </c>
      <c r="C366" s="285">
        <v>89501</v>
      </c>
      <c r="D366" s="289" t="s">
        <v>250</v>
      </c>
      <c r="E366" s="290" t="s">
        <v>109</v>
      </c>
      <c r="F366" s="755">
        <v>29</v>
      </c>
      <c r="G366" s="510" t="s">
        <v>16081</v>
      </c>
      <c r="H366" s="508">
        <v>0.2094</v>
      </c>
      <c r="I366" s="510">
        <v>16.459934000000001</v>
      </c>
      <c r="J366" s="509">
        <v>477.33808600000003</v>
      </c>
      <c r="K366" s="409"/>
      <c r="L366" s="447">
        <f t="shared" si="47"/>
        <v>477.33808600000003</v>
      </c>
      <c r="M366" s="447"/>
      <c r="N366" s="298"/>
      <c r="O366" s="298"/>
      <c r="P366" s="298"/>
      <c r="Q366" s="298"/>
      <c r="R366" s="298"/>
      <c r="S366" s="298"/>
    </row>
    <row r="367" spans="1:19" s="92" customFormat="1" ht="38.25">
      <c r="A367" s="394" t="s">
        <v>3259</v>
      </c>
      <c r="B367" s="285" t="s">
        <v>14596</v>
      </c>
      <c r="C367" s="285">
        <v>89505</v>
      </c>
      <c r="D367" s="289" t="s">
        <v>251</v>
      </c>
      <c r="E367" s="290" t="s">
        <v>109</v>
      </c>
      <c r="F367" s="755">
        <v>8</v>
      </c>
      <c r="G367" s="510" t="s">
        <v>10275</v>
      </c>
      <c r="H367" s="508">
        <v>0.2094</v>
      </c>
      <c r="I367" s="510">
        <v>43.465835999999996</v>
      </c>
      <c r="J367" s="509">
        <v>347.72668799999997</v>
      </c>
      <c r="K367" s="409"/>
      <c r="L367" s="447">
        <f t="shared" si="47"/>
        <v>347.72668799999997</v>
      </c>
      <c r="M367" s="447"/>
      <c r="N367" s="298"/>
      <c r="O367" s="298"/>
      <c r="P367" s="298"/>
      <c r="Q367" s="298"/>
      <c r="R367" s="298"/>
      <c r="S367" s="298"/>
    </row>
    <row r="368" spans="1:19" s="92" customFormat="1" ht="63.75">
      <c r="A368" s="394" t="s">
        <v>3259</v>
      </c>
      <c r="B368" s="285" t="s">
        <v>14597</v>
      </c>
      <c r="C368" s="285">
        <v>94686</v>
      </c>
      <c r="D368" s="289" t="s">
        <v>2271</v>
      </c>
      <c r="E368" s="290" t="s">
        <v>109</v>
      </c>
      <c r="F368" s="755">
        <v>2</v>
      </c>
      <c r="G368" s="510" t="s">
        <v>23266</v>
      </c>
      <c r="H368" s="508">
        <v>0.2094</v>
      </c>
      <c r="I368" s="510">
        <v>341.02661200000006</v>
      </c>
      <c r="J368" s="509">
        <v>682.05322400000011</v>
      </c>
      <c r="K368" s="409"/>
      <c r="L368" s="447">
        <f t="shared" si="47"/>
        <v>682.05322400000011</v>
      </c>
      <c r="M368" s="447"/>
      <c r="N368" s="298"/>
      <c r="O368" s="298"/>
      <c r="P368" s="298"/>
      <c r="Q368" s="298"/>
      <c r="R368" s="298"/>
      <c r="S368" s="298"/>
    </row>
    <row r="369" spans="1:19" s="92" customFormat="1" ht="38.25">
      <c r="A369" s="394" t="s">
        <v>3259</v>
      </c>
      <c r="B369" s="285" t="s">
        <v>14598</v>
      </c>
      <c r="C369" s="285">
        <v>89395</v>
      </c>
      <c r="D369" s="289" t="s">
        <v>1858</v>
      </c>
      <c r="E369" s="290" t="s">
        <v>109</v>
      </c>
      <c r="F369" s="755">
        <v>43</v>
      </c>
      <c r="G369" s="510" t="s">
        <v>10997</v>
      </c>
      <c r="H369" s="508">
        <v>0.2094</v>
      </c>
      <c r="I369" s="510">
        <v>13.944381999999999</v>
      </c>
      <c r="J369" s="509">
        <v>599.60842600000001</v>
      </c>
      <c r="K369" s="409"/>
      <c r="L369" s="447">
        <f t="shared" si="47"/>
        <v>599.60842600000001</v>
      </c>
      <c r="M369" s="447"/>
      <c r="N369" s="298"/>
      <c r="O369" s="298"/>
      <c r="P369" s="298"/>
      <c r="Q369" s="298"/>
      <c r="R369" s="298"/>
      <c r="S369" s="298"/>
    </row>
    <row r="370" spans="1:19" s="92" customFormat="1" ht="38.25">
      <c r="A370" s="394" t="s">
        <v>3259</v>
      </c>
      <c r="B370" s="285" t="s">
        <v>14599</v>
      </c>
      <c r="C370" s="285">
        <v>89625</v>
      </c>
      <c r="D370" s="289" t="s">
        <v>256</v>
      </c>
      <c r="E370" s="290" t="s">
        <v>109</v>
      </c>
      <c r="F370" s="755">
        <v>18</v>
      </c>
      <c r="G370" s="510" t="s">
        <v>11407</v>
      </c>
      <c r="H370" s="508">
        <v>0.2094</v>
      </c>
      <c r="I370" s="510">
        <v>25.965817999999999</v>
      </c>
      <c r="J370" s="509">
        <v>467.38472400000001</v>
      </c>
      <c r="K370" s="409"/>
      <c r="L370" s="447">
        <f t="shared" si="47"/>
        <v>467.38472400000001</v>
      </c>
      <c r="M370" s="447"/>
      <c r="N370" s="298"/>
      <c r="O370" s="298"/>
      <c r="P370" s="298"/>
      <c r="Q370" s="298"/>
      <c r="R370" s="298"/>
      <c r="S370" s="298"/>
    </row>
    <row r="371" spans="1:19" s="92" customFormat="1" ht="38.25">
      <c r="A371" s="394" t="s">
        <v>3259</v>
      </c>
      <c r="B371" s="285" t="s">
        <v>14600</v>
      </c>
      <c r="C371" s="285">
        <v>89628</v>
      </c>
      <c r="D371" s="289" t="s">
        <v>257</v>
      </c>
      <c r="E371" s="290" t="s">
        <v>109</v>
      </c>
      <c r="F371" s="755">
        <v>8</v>
      </c>
      <c r="G371" s="510" t="s">
        <v>23083</v>
      </c>
      <c r="H371" s="508">
        <v>0.2094</v>
      </c>
      <c r="I371" s="510">
        <v>55.547742</v>
      </c>
      <c r="J371" s="509">
        <v>444.381936</v>
      </c>
      <c r="K371" s="409"/>
      <c r="L371" s="447">
        <f t="shared" si="47"/>
        <v>444.381936</v>
      </c>
      <c r="M371" s="447"/>
      <c r="N371" s="298"/>
      <c r="O371" s="298"/>
      <c r="P371" s="298"/>
      <c r="Q371" s="298"/>
      <c r="R371" s="298"/>
      <c r="S371" s="298"/>
    </row>
    <row r="372" spans="1:19" s="92" customFormat="1" ht="38.25">
      <c r="A372" s="394" t="s">
        <v>3259</v>
      </c>
      <c r="B372" s="285" t="s">
        <v>14601</v>
      </c>
      <c r="C372" s="285">
        <v>89629</v>
      </c>
      <c r="D372" s="289" t="s">
        <v>258</v>
      </c>
      <c r="E372" s="290" t="s">
        <v>109</v>
      </c>
      <c r="F372" s="755">
        <v>9</v>
      </c>
      <c r="G372" s="510" t="s">
        <v>23084</v>
      </c>
      <c r="H372" s="508">
        <v>0.2094</v>
      </c>
      <c r="I372" s="510">
        <v>102.49665</v>
      </c>
      <c r="J372" s="509">
        <v>922.46985000000006</v>
      </c>
      <c r="K372" s="409"/>
      <c r="L372" s="447">
        <f t="shared" si="47"/>
        <v>922.46985000000006</v>
      </c>
      <c r="M372" s="447"/>
      <c r="N372" s="298"/>
      <c r="O372" s="298"/>
      <c r="P372" s="298"/>
      <c r="Q372" s="298"/>
      <c r="R372" s="298"/>
      <c r="S372" s="298"/>
    </row>
    <row r="373" spans="1:19" s="92" customFormat="1" ht="63.75">
      <c r="A373" s="394" t="s">
        <v>3259</v>
      </c>
      <c r="B373" s="285" t="s">
        <v>14602</v>
      </c>
      <c r="C373" s="285">
        <v>94701</v>
      </c>
      <c r="D373" s="289" t="s">
        <v>2286</v>
      </c>
      <c r="E373" s="290" t="s">
        <v>109</v>
      </c>
      <c r="F373" s="755">
        <v>1</v>
      </c>
      <c r="G373" s="510" t="s">
        <v>23272</v>
      </c>
      <c r="H373" s="508">
        <v>0.2094</v>
      </c>
      <c r="I373" s="510">
        <v>276.67443800000001</v>
      </c>
      <c r="J373" s="509">
        <v>276.67443800000001</v>
      </c>
      <c r="K373" s="409"/>
      <c r="L373" s="447">
        <f t="shared" si="47"/>
        <v>276.67443800000001</v>
      </c>
      <c r="M373" s="447"/>
      <c r="N373" s="298"/>
      <c r="O373" s="298"/>
      <c r="P373" s="298"/>
      <c r="Q373" s="298"/>
      <c r="R373" s="298"/>
      <c r="S373" s="298"/>
    </row>
    <row r="374" spans="1:19" s="92" customFormat="1" ht="63.75">
      <c r="A374" s="394" t="s">
        <v>3259</v>
      </c>
      <c r="B374" s="285" t="s">
        <v>14603</v>
      </c>
      <c r="C374" s="285">
        <v>89383</v>
      </c>
      <c r="D374" s="289" t="s">
        <v>1846</v>
      </c>
      <c r="E374" s="290" t="s">
        <v>109</v>
      </c>
      <c r="F374" s="755">
        <v>56</v>
      </c>
      <c r="G374" s="510" t="s">
        <v>10198</v>
      </c>
      <c r="H374" s="508">
        <v>0.2094</v>
      </c>
      <c r="I374" s="510">
        <v>7.6555020000000003</v>
      </c>
      <c r="J374" s="509">
        <v>428.70811200000003</v>
      </c>
      <c r="K374" s="409"/>
      <c r="L374" s="447">
        <f t="shared" si="47"/>
        <v>428.70811200000003</v>
      </c>
      <c r="M374" s="447"/>
      <c r="N374" s="298"/>
      <c r="O374" s="298"/>
      <c r="P374" s="298"/>
      <c r="Q374" s="298"/>
      <c r="R374" s="298"/>
      <c r="S374" s="298"/>
    </row>
    <row r="375" spans="1:19" s="92" customFormat="1" ht="63.75">
      <c r="A375" s="394" t="s">
        <v>3259</v>
      </c>
      <c r="B375" s="285" t="s">
        <v>14604</v>
      </c>
      <c r="C375" s="285">
        <v>89391</v>
      </c>
      <c r="D375" s="289" t="s">
        <v>1854</v>
      </c>
      <c r="E375" s="290" t="s">
        <v>109</v>
      </c>
      <c r="F375" s="755">
        <v>12</v>
      </c>
      <c r="G375" s="510" t="s">
        <v>12233</v>
      </c>
      <c r="H375" s="508">
        <v>0.2094</v>
      </c>
      <c r="I375" s="510">
        <v>10.304088</v>
      </c>
      <c r="J375" s="509">
        <v>123.649056</v>
      </c>
      <c r="K375" s="409"/>
      <c r="L375" s="447">
        <f t="shared" si="47"/>
        <v>123.649056</v>
      </c>
      <c r="M375" s="447"/>
      <c r="N375" s="298"/>
      <c r="O375" s="298"/>
      <c r="P375" s="298"/>
      <c r="Q375" s="298"/>
      <c r="R375" s="298"/>
      <c r="S375" s="298"/>
    </row>
    <row r="376" spans="1:19" s="92" customFormat="1" ht="51">
      <c r="A376" s="394" t="s">
        <v>3259</v>
      </c>
      <c r="B376" s="285" t="s">
        <v>14605</v>
      </c>
      <c r="C376" s="285">
        <v>89596</v>
      </c>
      <c r="D376" s="289" t="s">
        <v>1991</v>
      </c>
      <c r="E376" s="290" t="s">
        <v>109</v>
      </c>
      <c r="F376" s="755">
        <v>44</v>
      </c>
      <c r="G376" s="510" t="s">
        <v>16073</v>
      </c>
      <c r="H376" s="508">
        <v>0.2094</v>
      </c>
      <c r="I376" s="510">
        <v>13.085708</v>
      </c>
      <c r="J376" s="509">
        <v>575.77115200000003</v>
      </c>
      <c r="K376" s="409"/>
      <c r="L376" s="447">
        <f t="shared" si="47"/>
        <v>575.77115200000003</v>
      </c>
      <c r="M376" s="447"/>
      <c r="N376" s="298"/>
      <c r="O376" s="298"/>
      <c r="P376" s="298"/>
      <c r="Q376" s="298"/>
      <c r="R376" s="298"/>
      <c r="S376" s="298"/>
    </row>
    <row r="377" spans="1:19" s="92" customFormat="1" ht="51">
      <c r="A377" s="394" t="s">
        <v>3259</v>
      </c>
      <c r="B377" s="285" t="s">
        <v>14606</v>
      </c>
      <c r="C377" s="285">
        <v>89610</v>
      </c>
      <c r="D377" s="289" t="s">
        <v>1997</v>
      </c>
      <c r="E377" s="290" t="s">
        <v>109</v>
      </c>
      <c r="F377" s="755">
        <v>6</v>
      </c>
      <c r="G377" s="510" t="s">
        <v>19425</v>
      </c>
      <c r="H377" s="508">
        <v>0.2094</v>
      </c>
      <c r="I377" s="510">
        <v>24.986204000000001</v>
      </c>
      <c r="J377" s="509">
        <v>149.917224</v>
      </c>
      <c r="K377" s="409"/>
      <c r="L377" s="447">
        <f t="shared" si="47"/>
        <v>149.917224</v>
      </c>
      <c r="M377" s="447"/>
      <c r="N377" s="298"/>
      <c r="O377" s="298"/>
      <c r="P377" s="298"/>
      <c r="Q377" s="298"/>
      <c r="R377" s="298"/>
      <c r="S377" s="298"/>
    </row>
    <row r="378" spans="1:19" s="92" customFormat="1" ht="51">
      <c r="A378" s="394" t="s">
        <v>3259</v>
      </c>
      <c r="B378" s="285" t="s">
        <v>14607</v>
      </c>
      <c r="C378" s="285">
        <v>90373</v>
      </c>
      <c r="D378" s="289" t="s">
        <v>2223</v>
      </c>
      <c r="E378" s="290" t="s">
        <v>109</v>
      </c>
      <c r="F378" s="755">
        <v>42</v>
      </c>
      <c r="G378" s="510" t="s">
        <v>9786</v>
      </c>
      <c r="H378" s="508">
        <v>0.2094</v>
      </c>
      <c r="I378" s="510">
        <v>17.076727999999999</v>
      </c>
      <c r="J378" s="509">
        <v>717.222576</v>
      </c>
      <c r="K378" s="409"/>
      <c r="L378" s="447">
        <f t="shared" si="47"/>
        <v>717.222576</v>
      </c>
      <c r="M378" s="447"/>
      <c r="N378" s="298"/>
      <c r="O378" s="298"/>
      <c r="P378" s="298"/>
      <c r="Q378" s="298"/>
      <c r="R378" s="298"/>
      <c r="S378" s="298"/>
    </row>
    <row r="379" spans="1:19" s="92" customFormat="1" ht="51">
      <c r="A379" s="394" t="s">
        <v>3259</v>
      </c>
      <c r="B379" s="285" t="s">
        <v>14608</v>
      </c>
      <c r="C379" s="285">
        <v>89366</v>
      </c>
      <c r="D379" s="289" t="s">
        <v>1831</v>
      </c>
      <c r="E379" s="290" t="s">
        <v>109</v>
      </c>
      <c r="F379" s="755">
        <v>25</v>
      </c>
      <c r="G379" s="510" t="s">
        <v>10968</v>
      </c>
      <c r="H379" s="508">
        <v>0.2094</v>
      </c>
      <c r="I379" s="510">
        <v>18.576384000000001</v>
      </c>
      <c r="J379" s="509">
        <v>464.40960000000001</v>
      </c>
      <c r="K379" s="409"/>
      <c r="L379" s="447">
        <f t="shared" si="47"/>
        <v>464.40960000000001</v>
      </c>
      <c r="M379" s="447"/>
      <c r="N379" s="298"/>
      <c r="O379" s="298"/>
      <c r="P379" s="298"/>
      <c r="Q379" s="298"/>
      <c r="R379" s="298"/>
      <c r="S379" s="298"/>
    </row>
    <row r="380" spans="1:19" s="92" customFormat="1" ht="38.25">
      <c r="A380" s="394" t="s">
        <v>3260</v>
      </c>
      <c r="B380" s="285" t="s">
        <v>14609</v>
      </c>
      <c r="C380" s="285" t="s">
        <v>14649</v>
      </c>
      <c r="D380" s="289" t="s">
        <v>17325</v>
      </c>
      <c r="E380" s="290" t="s">
        <v>3240</v>
      </c>
      <c r="F380" s="755">
        <v>1</v>
      </c>
      <c r="G380" s="510">
        <v>60.2</v>
      </c>
      <c r="H380" s="508">
        <v>0.2094</v>
      </c>
      <c r="I380" s="510">
        <v>72.805880000000002</v>
      </c>
      <c r="J380" s="509">
        <v>72.805880000000002</v>
      </c>
      <c r="K380" s="535"/>
      <c r="L380" s="447">
        <f t="shared" si="47"/>
        <v>72.805880000000002</v>
      </c>
      <c r="M380" s="447"/>
      <c r="N380" s="298"/>
      <c r="O380" s="298"/>
      <c r="P380" s="298"/>
      <c r="Q380" s="298"/>
      <c r="R380" s="298"/>
      <c r="S380" s="298"/>
    </row>
    <row r="381" spans="1:19" s="92" customFormat="1" ht="38.25">
      <c r="A381" s="394" t="s">
        <v>3260</v>
      </c>
      <c r="B381" s="285" t="s">
        <v>14610</v>
      </c>
      <c r="C381" s="285" t="s">
        <v>14691</v>
      </c>
      <c r="D381" s="289" t="s">
        <v>18525</v>
      </c>
      <c r="E381" s="290" t="s">
        <v>3240</v>
      </c>
      <c r="F381" s="755">
        <v>1</v>
      </c>
      <c r="G381" s="510">
        <v>53.12</v>
      </c>
      <c r="H381" s="508">
        <v>0.2094</v>
      </c>
      <c r="I381" s="510">
        <v>64.243328000000005</v>
      </c>
      <c r="J381" s="509">
        <v>64.243328000000005</v>
      </c>
      <c r="K381" s="535"/>
      <c r="L381" s="447">
        <f t="shared" si="47"/>
        <v>64.243328000000005</v>
      </c>
      <c r="M381" s="447"/>
      <c r="N381" s="298"/>
      <c r="O381" s="298"/>
      <c r="P381" s="298"/>
      <c r="Q381" s="298"/>
      <c r="R381" s="298"/>
      <c r="S381" s="298"/>
    </row>
    <row r="382" spans="1:19" s="92" customFormat="1" ht="38.25">
      <c r="A382" s="394" t="s">
        <v>3260</v>
      </c>
      <c r="B382" s="285" t="s">
        <v>14611</v>
      </c>
      <c r="C382" s="285" t="s">
        <v>9623</v>
      </c>
      <c r="D382" s="289" t="s">
        <v>14643</v>
      </c>
      <c r="E382" s="290" t="s">
        <v>3240</v>
      </c>
      <c r="F382" s="755">
        <v>2</v>
      </c>
      <c r="G382" s="510">
        <v>29.03</v>
      </c>
      <c r="H382" s="508">
        <v>0.2094</v>
      </c>
      <c r="I382" s="510">
        <v>35.108882000000001</v>
      </c>
      <c r="J382" s="509">
        <v>70.217764000000003</v>
      </c>
      <c r="K382" s="535"/>
      <c r="L382" s="447">
        <f t="shared" si="47"/>
        <v>70.217764000000003</v>
      </c>
      <c r="M382" s="447"/>
      <c r="N382" s="298"/>
      <c r="O382" s="298"/>
      <c r="P382" s="298"/>
      <c r="Q382" s="298"/>
      <c r="R382" s="298"/>
      <c r="S382" s="298"/>
    </row>
    <row r="383" spans="1:19" s="92" customFormat="1" ht="38.25">
      <c r="A383" s="394" t="s">
        <v>3260</v>
      </c>
      <c r="B383" s="285" t="s">
        <v>14612</v>
      </c>
      <c r="C383" s="285" t="s">
        <v>9621</v>
      </c>
      <c r="D383" s="289" t="s">
        <v>14640</v>
      </c>
      <c r="E383" s="290" t="s">
        <v>3240</v>
      </c>
      <c r="F383" s="755">
        <v>9</v>
      </c>
      <c r="G383" s="510">
        <v>41.67</v>
      </c>
      <c r="H383" s="508">
        <v>0.2094</v>
      </c>
      <c r="I383" s="510">
        <v>50.395698000000003</v>
      </c>
      <c r="J383" s="509">
        <v>453.56128200000001</v>
      </c>
      <c r="K383" s="535"/>
      <c r="L383" s="447">
        <f t="shared" si="47"/>
        <v>453.56128200000001</v>
      </c>
      <c r="M383" s="447"/>
      <c r="N383" s="298"/>
      <c r="O383" s="298"/>
      <c r="P383" s="298"/>
      <c r="Q383" s="298"/>
      <c r="R383" s="298"/>
      <c r="S383" s="298"/>
    </row>
    <row r="384" spans="1:19" s="92" customFormat="1" ht="38.25">
      <c r="A384" s="394" t="s">
        <v>3260</v>
      </c>
      <c r="B384" s="285" t="s">
        <v>14613</v>
      </c>
      <c r="C384" s="285" t="s">
        <v>9632</v>
      </c>
      <c r="D384" s="289" t="s">
        <v>14645</v>
      </c>
      <c r="E384" s="290" t="s">
        <v>3240</v>
      </c>
      <c r="F384" s="755">
        <v>7</v>
      </c>
      <c r="G384" s="510">
        <v>13.49</v>
      </c>
      <c r="H384" s="508">
        <v>0.2094</v>
      </c>
      <c r="I384" s="510">
        <v>16.314806000000001</v>
      </c>
      <c r="J384" s="509">
        <v>114.203642</v>
      </c>
      <c r="K384" s="535"/>
      <c r="L384" s="447">
        <f t="shared" si="47"/>
        <v>114.203642</v>
      </c>
      <c r="M384" s="447"/>
      <c r="N384" s="298"/>
      <c r="O384" s="298"/>
      <c r="P384" s="298"/>
      <c r="Q384" s="298"/>
      <c r="R384" s="298"/>
      <c r="S384" s="298"/>
    </row>
    <row r="385" spans="1:19" s="92" customFormat="1" ht="38.25">
      <c r="A385" s="394" t="s">
        <v>3260</v>
      </c>
      <c r="B385" s="285" t="s">
        <v>18100</v>
      </c>
      <c r="C385" s="285" t="s">
        <v>14662</v>
      </c>
      <c r="D385" s="289" t="s">
        <v>17327</v>
      </c>
      <c r="E385" s="290" t="s">
        <v>3240</v>
      </c>
      <c r="F385" s="755">
        <v>3</v>
      </c>
      <c r="G385" s="510">
        <v>19.45</v>
      </c>
      <c r="H385" s="508">
        <v>0.2094</v>
      </c>
      <c r="I385" s="510">
        <v>23.522829999999999</v>
      </c>
      <c r="J385" s="509">
        <v>70.568489999999997</v>
      </c>
      <c r="K385" s="535"/>
      <c r="L385" s="447">
        <f t="shared" si="47"/>
        <v>70.568489999999997</v>
      </c>
      <c r="M385" s="447"/>
      <c r="N385" s="298"/>
      <c r="O385" s="298"/>
      <c r="P385" s="298"/>
      <c r="Q385" s="298"/>
      <c r="R385" s="298"/>
      <c r="S385" s="298"/>
    </row>
    <row r="386" spans="1:19" s="92" customFormat="1" ht="38.25">
      <c r="A386" s="394" t="s">
        <v>3260</v>
      </c>
      <c r="B386" s="285" t="s">
        <v>18101</v>
      </c>
      <c r="C386" s="285" t="s">
        <v>11575</v>
      </c>
      <c r="D386" s="289" t="s">
        <v>14647</v>
      </c>
      <c r="E386" s="290" t="s">
        <v>3240</v>
      </c>
      <c r="F386" s="755">
        <v>2</v>
      </c>
      <c r="G386" s="510">
        <v>17.399999999999999</v>
      </c>
      <c r="H386" s="508">
        <v>0.2094</v>
      </c>
      <c r="I386" s="510">
        <v>21.043559999999999</v>
      </c>
      <c r="J386" s="509">
        <v>42.087119999999999</v>
      </c>
      <c r="K386" s="535"/>
      <c r="L386" s="447">
        <f t="shared" si="47"/>
        <v>42.087119999999999</v>
      </c>
      <c r="M386" s="447"/>
      <c r="N386" s="298"/>
      <c r="O386" s="298"/>
      <c r="P386" s="298"/>
      <c r="Q386" s="298"/>
      <c r="R386" s="298"/>
      <c r="S386" s="298"/>
    </row>
    <row r="387" spans="1:19" s="92" customFormat="1" ht="38.25">
      <c r="A387" s="394" t="s">
        <v>3260</v>
      </c>
      <c r="B387" s="285" t="s">
        <v>18102</v>
      </c>
      <c r="C387" s="285" t="s">
        <v>14692</v>
      </c>
      <c r="D387" s="289" t="s">
        <v>17336</v>
      </c>
      <c r="E387" s="290" t="s">
        <v>3240</v>
      </c>
      <c r="F387" s="755">
        <v>3</v>
      </c>
      <c r="G387" s="510">
        <v>11.77</v>
      </c>
      <c r="H387" s="508">
        <v>0.2094</v>
      </c>
      <c r="I387" s="510">
        <v>14.234638</v>
      </c>
      <c r="J387" s="509">
        <v>42.703913999999997</v>
      </c>
      <c r="K387" s="535"/>
      <c r="L387" s="447">
        <f t="shared" si="47"/>
        <v>42.703913999999997</v>
      </c>
      <c r="M387" s="447"/>
      <c r="N387" s="298"/>
      <c r="O387" s="298"/>
      <c r="P387" s="298"/>
      <c r="Q387" s="298"/>
      <c r="R387" s="298"/>
      <c r="S387" s="298"/>
    </row>
    <row r="388" spans="1:19" s="92" customFormat="1" ht="38.25">
      <c r="A388" s="394" t="s">
        <v>3260</v>
      </c>
      <c r="B388" s="285" t="s">
        <v>18103</v>
      </c>
      <c r="C388" s="285" t="s">
        <v>9622</v>
      </c>
      <c r="D388" s="289" t="s">
        <v>14641</v>
      </c>
      <c r="E388" s="290" t="s">
        <v>3240</v>
      </c>
      <c r="F388" s="755">
        <v>16</v>
      </c>
      <c r="G388" s="510">
        <v>10.55</v>
      </c>
      <c r="H388" s="508">
        <v>0.2094</v>
      </c>
      <c r="I388" s="510">
        <v>12.759170000000001</v>
      </c>
      <c r="J388" s="509">
        <v>204.14672000000002</v>
      </c>
      <c r="K388" s="535"/>
      <c r="L388" s="447">
        <f t="shared" si="47"/>
        <v>204.14672000000002</v>
      </c>
      <c r="M388" s="447"/>
      <c r="N388" s="298"/>
      <c r="O388" s="298"/>
      <c r="P388" s="298"/>
      <c r="Q388" s="298"/>
      <c r="R388" s="298"/>
      <c r="S388" s="298"/>
    </row>
    <row r="389" spans="1:19" s="92" customFormat="1" ht="38.25">
      <c r="A389" s="394" t="s">
        <v>3260</v>
      </c>
      <c r="B389" s="285" t="s">
        <v>18104</v>
      </c>
      <c r="C389" s="285" t="s">
        <v>14663</v>
      </c>
      <c r="D389" s="289" t="s">
        <v>17328</v>
      </c>
      <c r="E389" s="290" t="s">
        <v>3240</v>
      </c>
      <c r="F389" s="755">
        <v>4</v>
      </c>
      <c r="G389" s="510">
        <v>6.35</v>
      </c>
      <c r="H389" s="508">
        <v>0.2094</v>
      </c>
      <c r="I389" s="510">
        <v>7.6796899999999999</v>
      </c>
      <c r="J389" s="509">
        <v>30.71876</v>
      </c>
      <c r="K389" s="535"/>
      <c r="L389" s="447">
        <f t="shared" si="47"/>
        <v>30.71876</v>
      </c>
      <c r="M389" s="447"/>
      <c r="N389" s="298"/>
      <c r="O389" s="298"/>
      <c r="P389" s="298"/>
      <c r="Q389" s="298"/>
      <c r="R389" s="298"/>
      <c r="S389" s="298"/>
    </row>
    <row r="390" spans="1:19" s="92" customFormat="1" ht="38.25">
      <c r="A390" s="394" t="s">
        <v>3260</v>
      </c>
      <c r="B390" s="285" t="s">
        <v>18105</v>
      </c>
      <c r="C390" s="285" t="s">
        <v>14736</v>
      </c>
      <c r="D390" s="289" t="s">
        <v>17361</v>
      </c>
      <c r="E390" s="290" t="s">
        <v>3240</v>
      </c>
      <c r="F390" s="755">
        <v>20</v>
      </c>
      <c r="G390" s="510">
        <v>9.1999999999999993</v>
      </c>
      <c r="H390" s="508">
        <v>0.2094</v>
      </c>
      <c r="I390" s="510">
        <v>11.126479999999999</v>
      </c>
      <c r="J390" s="509">
        <v>222.52959999999999</v>
      </c>
      <c r="K390" s="409"/>
      <c r="L390" s="447">
        <f t="shared" si="47"/>
        <v>222.52959999999999</v>
      </c>
      <c r="M390" s="447"/>
      <c r="N390" s="298"/>
      <c r="O390" s="298"/>
      <c r="P390" s="298"/>
      <c r="Q390" s="298"/>
      <c r="R390" s="298"/>
      <c r="S390" s="298"/>
    </row>
    <row r="391" spans="1:19" s="92" customFormat="1" ht="38.25">
      <c r="A391" s="394" t="s">
        <v>3260</v>
      </c>
      <c r="B391" s="285" t="s">
        <v>18106</v>
      </c>
      <c r="C391" s="285" t="s">
        <v>14693</v>
      </c>
      <c r="D391" s="289" t="s">
        <v>18527</v>
      </c>
      <c r="E391" s="290" t="s">
        <v>3240</v>
      </c>
      <c r="F391" s="755">
        <v>9</v>
      </c>
      <c r="G391" s="510">
        <v>73.2</v>
      </c>
      <c r="H391" s="508">
        <v>0.2094</v>
      </c>
      <c r="I391" s="510">
        <v>88.528080000000003</v>
      </c>
      <c r="J391" s="509">
        <v>796.75272000000007</v>
      </c>
      <c r="K391" s="409"/>
      <c r="L391" s="447">
        <f t="shared" ref="L391:L392" si="48">I391*F391</f>
        <v>796.75272000000007</v>
      </c>
      <c r="M391" s="447"/>
      <c r="N391" s="298"/>
      <c r="O391" s="298"/>
      <c r="P391" s="298"/>
      <c r="Q391" s="298"/>
      <c r="R391" s="298"/>
      <c r="S391" s="298"/>
    </row>
    <row r="392" spans="1:19" s="92" customFormat="1" ht="38.25">
      <c r="A392" s="394" t="s">
        <v>3260</v>
      </c>
      <c r="B392" s="285" t="s">
        <v>18107</v>
      </c>
      <c r="C392" s="285" t="s">
        <v>14695</v>
      </c>
      <c r="D392" s="289" t="s">
        <v>18529</v>
      </c>
      <c r="E392" s="290" t="s">
        <v>3240</v>
      </c>
      <c r="F392" s="755">
        <v>2</v>
      </c>
      <c r="G392" s="510">
        <v>16.87</v>
      </c>
      <c r="H392" s="508">
        <v>0.2094</v>
      </c>
      <c r="I392" s="510">
        <v>20.402578000000002</v>
      </c>
      <c r="J392" s="509">
        <v>40.805156000000004</v>
      </c>
      <c r="K392" s="409"/>
      <c r="L392" s="447">
        <f t="shared" si="48"/>
        <v>40.805156000000004</v>
      </c>
      <c r="M392" s="447"/>
      <c r="N392" s="298"/>
      <c r="O392" s="298"/>
      <c r="P392" s="298"/>
      <c r="Q392" s="298"/>
      <c r="R392" s="298"/>
      <c r="S392" s="298"/>
    </row>
    <row r="393" spans="1:19" s="92" customFormat="1">
      <c r="A393" s="256"/>
      <c r="B393" s="287"/>
      <c r="C393" s="287"/>
      <c r="D393" s="400"/>
      <c r="E393" s="415"/>
      <c r="F393" s="415"/>
      <c r="G393" s="462"/>
      <c r="H393" s="415"/>
      <c r="I393" s="462"/>
      <c r="J393" s="416"/>
      <c r="K393" s="298"/>
      <c r="L393" s="447">
        <f t="shared" si="47"/>
        <v>0</v>
      </c>
      <c r="M393" s="447"/>
      <c r="N393" s="298"/>
      <c r="O393" s="298"/>
      <c r="P393" s="298"/>
      <c r="Q393" s="298"/>
      <c r="R393" s="298"/>
      <c r="S393" s="298"/>
    </row>
    <row r="394" spans="1:19" s="92" customFormat="1">
      <c r="A394" s="256"/>
      <c r="B394" s="287" t="s">
        <v>14653</v>
      </c>
      <c r="C394" s="287"/>
      <c r="D394" s="400" t="s">
        <v>14651</v>
      </c>
      <c r="E394" s="415"/>
      <c r="F394" s="415"/>
      <c r="G394" s="462"/>
      <c r="H394" s="415"/>
      <c r="I394" s="462"/>
      <c r="J394" s="416"/>
      <c r="K394" s="298"/>
      <c r="L394" s="447">
        <f t="shared" si="47"/>
        <v>0</v>
      </c>
      <c r="M394" s="447"/>
      <c r="N394" s="298"/>
      <c r="O394" s="298"/>
      <c r="P394" s="298"/>
      <c r="Q394" s="298"/>
      <c r="R394" s="298"/>
      <c r="S394" s="298"/>
    </row>
    <row r="395" spans="1:19" s="140" customFormat="1" ht="51">
      <c r="A395" s="394" t="s">
        <v>3259</v>
      </c>
      <c r="B395" s="285" t="s">
        <v>14654</v>
      </c>
      <c r="C395" s="285">
        <v>89985</v>
      </c>
      <c r="D395" s="289" t="s">
        <v>2363</v>
      </c>
      <c r="E395" s="290" t="s">
        <v>109</v>
      </c>
      <c r="F395" s="755">
        <v>13</v>
      </c>
      <c r="G395" s="510" t="s">
        <v>23572</v>
      </c>
      <c r="H395" s="508">
        <v>0.2094</v>
      </c>
      <c r="I395" s="510">
        <v>105.02429600000001</v>
      </c>
      <c r="J395" s="509">
        <v>1365.3158480000002</v>
      </c>
      <c r="K395" s="409"/>
      <c r="L395" s="447">
        <f t="shared" si="47"/>
        <v>1365.3158480000002</v>
      </c>
      <c r="M395" s="447"/>
      <c r="N395" s="409"/>
      <c r="O395" s="409"/>
      <c r="P395" s="409"/>
      <c r="Q395" s="409"/>
      <c r="R395" s="409"/>
      <c r="S395" s="409"/>
    </row>
    <row r="396" spans="1:19" s="92" customFormat="1" ht="51">
      <c r="A396" s="394" t="s">
        <v>3259</v>
      </c>
      <c r="B396" s="285" t="s">
        <v>14655</v>
      </c>
      <c r="C396" s="285">
        <v>89987</v>
      </c>
      <c r="D396" s="289" t="s">
        <v>2365</v>
      </c>
      <c r="E396" s="290" t="s">
        <v>109</v>
      </c>
      <c r="F396" s="755">
        <v>15</v>
      </c>
      <c r="G396" s="510" t="s">
        <v>23573</v>
      </c>
      <c r="H396" s="508">
        <v>0.2094</v>
      </c>
      <c r="I396" s="510">
        <v>110.527066</v>
      </c>
      <c r="J396" s="509">
        <v>1657.90599</v>
      </c>
      <c r="K396" s="409"/>
      <c r="L396" s="447">
        <f t="shared" ref="L396" si="49">I396*F396</f>
        <v>1657.90599</v>
      </c>
      <c r="M396" s="447"/>
      <c r="N396" s="298"/>
      <c r="O396" s="298"/>
      <c r="P396" s="298"/>
      <c r="Q396" s="298"/>
      <c r="R396" s="298"/>
      <c r="S396" s="298"/>
    </row>
    <row r="397" spans="1:19" s="92" customFormat="1" ht="76.5">
      <c r="A397" s="394" t="s">
        <v>3259</v>
      </c>
      <c r="B397" s="285" t="s">
        <v>14656</v>
      </c>
      <c r="C397" s="285">
        <v>94792</v>
      </c>
      <c r="D397" s="289" t="s">
        <v>2380</v>
      </c>
      <c r="E397" s="290" t="s">
        <v>109</v>
      </c>
      <c r="F397" s="755">
        <v>4</v>
      </c>
      <c r="G397" s="510" t="s">
        <v>23585</v>
      </c>
      <c r="H397" s="508">
        <v>0.2094</v>
      </c>
      <c r="I397" s="510">
        <v>157.58482000000001</v>
      </c>
      <c r="J397" s="509">
        <v>630.33928000000003</v>
      </c>
      <c r="K397" s="409"/>
      <c r="L397" s="447">
        <f t="shared" si="47"/>
        <v>630.33928000000003</v>
      </c>
      <c r="M397" s="447"/>
      <c r="N397" s="298"/>
      <c r="O397" s="298"/>
      <c r="P397" s="298"/>
      <c r="Q397" s="298"/>
      <c r="R397" s="298"/>
      <c r="S397" s="298"/>
    </row>
    <row r="398" spans="1:19" s="92" customFormat="1" ht="89.25">
      <c r="A398" s="394" t="s">
        <v>3259</v>
      </c>
      <c r="B398" s="285" t="s">
        <v>14657</v>
      </c>
      <c r="C398" s="285">
        <v>94794</v>
      </c>
      <c r="D398" s="289" t="s">
        <v>2382</v>
      </c>
      <c r="E398" s="290" t="s">
        <v>109</v>
      </c>
      <c r="F398" s="755">
        <v>12</v>
      </c>
      <c r="G398" s="510" t="s">
        <v>23587</v>
      </c>
      <c r="H398" s="508">
        <v>0.2094</v>
      </c>
      <c r="I398" s="510">
        <v>212.28598200000002</v>
      </c>
      <c r="J398" s="509">
        <v>2547.4317840000003</v>
      </c>
      <c r="K398" s="409"/>
      <c r="L398" s="447">
        <f t="shared" si="47"/>
        <v>2547.4317840000003</v>
      </c>
      <c r="M398" s="447"/>
      <c r="N398" s="298"/>
      <c r="O398" s="298"/>
      <c r="P398" s="298"/>
      <c r="Q398" s="298"/>
      <c r="R398" s="298"/>
      <c r="S398" s="298"/>
    </row>
    <row r="399" spans="1:19" s="92" customFormat="1" ht="63.75">
      <c r="A399" s="394" t="s">
        <v>3259</v>
      </c>
      <c r="B399" s="285" t="s">
        <v>14658</v>
      </c>
      <c r="C399" s="285">
        <v>94498</v>
      </c>
      <c r="D399" s="289" t="s">
        <v>2376</v>
      </c>
      <c r="E399" s="290" t="s">
        <v>109</v>
      </c>
      <c r="F399" s="755">
        <v>3</v>
      </c>
      <c r="G399" s="510" t="s">
        <v>23581</v>
      </c>
      <c r="H399" s="508">
        <v>0.2094</v>
      </c>
      <c r="I399" s="510">
        <v>191.85921599999998</v>
      </c>
      <c r="J399" s="509">
        <v>575.57764799999995</v>
      </c>
      <c r="K399" s="409"/>
      <c r="L399" s="447">
        <f t="shared" si="47"/>
        <v>575.57764799999995</v>
      </c>
      <c r="M399" s="447"/>
      <c r="N399" s="298"/>
      <c r="O399" s="298"/>
      <c r="P399" s="298"/>
      <c r="Q399" s="298"/>
      <c r="R399" s="298"/>
      <c r="S399" s="298"/>
    </row>
    <row r="400" spans="1:19" s="92" customFormat="1" ht="63.75">
      <c r="A400" s="394" t="s">
        <v>3259</v>
      </c>
      <c r="B400" s="285" t="s">
        <v>18530</v>
      </c>
      <c r="C400" s="285">
        <v>94495</v>
      </c>
      <c r="D400" s="289" t="s">
        <v>2373</v>
      </c>
      <c r="E400" s="290" t="s">
        <v>109</v>
      </c>
      <c r="F400" s="755">
        <v>2</v>
      </c>
      <c r="G400" s="510" t="s">
        <v>15803</v>
      </c>
      <c r="H400" s="508">
        <v>0.2094</v>
      </c>
      <c r="I400" s="510">
        <v>101.74682199999999</v>
      </c>
      <c r="J400" s="509">
        <v>203.49364399999999</v>
      </c>
      <c r="K400" s="409"/>
      <c r="L400" s="447">
        <f t="shared" si="47"/>
        <v>203.49364399999999</v>
      </c>
      <c r="M400" s="447"/>
      <c r="N400" s="298"/>
      <c r="O400" s="298"/>
      <c r="P400" s="298"/>
      <c r="Q400" s="298"/>
      <c r="R400" s="298"/>
      <c r="S400" s="298"/>
    </row>
    <row r="401" spans="1:19" s="92" customFormat="1">
      <c r="A401" s="256"/>
      <c r="B401" s="287"/>
      <c r="C401" s="287"/>
      <c r="D401" s="400"/>
      <c r="E401" s="415"/>
      <c r="F401" s="415"/>
      <c r="G401" s="462"/>
      <c r="H401" s="415"/>
      <c r="I401" s="462"/>
      <c r="J401" s="416"/>
      <c r="K401" s="298"/>
      <c r="L401" s="447">
        <f t="shared" si="47"/>
        <v>0</v>
      </c>
      <c r="M401" s="447"/>
      <c r="N401" s="298"/>
      <c r="O401" s="298"/>
      <c r="P401" s="298"/>
      <c r="Q401" s="298"/>
      <c r="R401" s="298"/>
      <c r="S401" s="298"/>
    </row>
    <row r="402" spans="1:19" s="92" customFormat="1">
      <c r="A402" s="256"/>
      <c r="B402" s="287" t="s">
        <v>14668</v>
      </c>
      <c r="C402" s="287"/>
      <c r="D402" s="400" t="s">
        <v>111</v>
      </c>
      <c r="E402" s="415"/>
      <c r="F402" s="415"/>
      <c r="G402" s="462"/>
      <c r="H402" s="415"/>
      <c r="I402" s="462"/>
      <c r="J402" s="416"/>
      <c r="K402" s="298"/>
      <c r="L402" s="447">
        <f t="shared" si="47"/>
        <v>0</v>
      </c>
      <c r="M402" s="447"/>
      <c r="N402" s="298"/>
      <c r="O402" s="298"/>
      <c r="P402" s="298"/>
      <c r="Q402" s="298"/>
      <c r="R402" s="298"/>
      <c r="S402" s="298"/>
    </row>
    <row r="403" spans="1:19" s="140" customFormat="1" ht="38.25">
      <c r="A403" s="394" t="s">
        <v>3259</v>
      </c>
      <c r="B403" s="285" t="s">
        <v>14669</v>
      </c>
      <c r="C403" s="285">
        <v>93358</v>
      </c>
      <c r="D403" s="289" t="s">
        <v>16227</v>
      </c>
      <c r="E403" s="290" t="s">
        <v>209</v>
      </c>
      <c r="F403" s="755">
        <v>2.85</v>
      </c>
      <c r="G403" s="510" t="s">
        <v>23682</v>
      </c>
      <c r="H403" s="508">
        <v>0.2094</v>
      </c>
      <c r="I403" s="510">
        <v>84.246803999999997</v>
      </c>
      <c r="J403" s="509">
        <v>240.10339139999999</v>
      </c>
      <c r="K403" s="409"/>
      <c r="L403" s="447">
        <f t="shared" si="47"/>
        <v>240.10339139999999</v>
      </c>
      <c r="M403" s="447"/>
      <c r="N403" s="409"/>
      <c r="O403" s="409"/>
      <c r="P403" s="409"/>
      <c r="Q403" s="409"/>
      <c r="R403" s="409"/>
      <c r="S403" s="409"/>
    </row>
    <row r="404" spans="1:19" s="92" customFormat="1" ht="38.25">
      <c r="A404" s="394" t="s">
        <v>3259</v>
      </c>
      <c r="B404" s="285" t="s">
        <v>14670</v>
      </c>
      <c r="C404" s="288">
        <v>101616</v>
      </c>
      <c r="D404" s="289" t="s">
        <v>13664</v>
      </c>
      <c r="E404" s="290" t="s">
        <v>193</v>
      </c>
      <c r="F404" s="755">
        <v>7.13</v>
      </c>
      <c r="G404" s="510" t="s">
        <v>11219</v>
      </c>
      <c r="H404" s="508">
        <v>0.2094</v>
      </c>
      <c r="I404" s="510">
        <v>6.3735379999999999</v>
      </c>
      <c r="J404" s="509">
        <v>45.443325940000001</v>
      </c>
      <c r="K404" s="409"/>
      <c r="L404" s="447">
        <f t="shared" si="47"/>
        <v>45.443325940000001</v>
      </c>
      <c r="M404" s="447"/>
      <c r="N404" s="298"/>
      <c r="O404" s="298"/>
      <c r="P404" s="298"/>
      <c r="Q404" s="298"/>
      <c r="R404" s="298"/>
      <c r="S404" s="298"/>
    </row>
    <row r="405" spans="1:19" s="92" customFormat="1" ht="25.5">
      <c r="A405" s="394" t="s">
        <v>3259</v>
      </c>
      <c r="B405" s="285" t="s">
        <v>14671</v>
      </c>
      <c r="C405" s="288">
        <v>93382</v>
      </c>
      <c r="D405" s="289" t="s">
        <v>2501</v>
      </c>
      <c r="E405" s="290" t="s">
        <v>209</v>
      </c>
      <c r="F405" s="755">
        <v>2.82</v>
      </c>
      <c r="G405" s="510" t="s">
        <v>16369</v>
      </c>
      <c r="H405" s="508">
        <v>0.2094</v>
      </c>
      <c r="I405" s="510">
        <v>30.380128000000003</v>
      </c>
      <c r="J405" s="509">
        <v>85.671960960000007</v>
      </c>
      <c r="K405" s="409"/>
      <c r="L405" s="447">
        <f t="shared" si="47"/>
        <v>85.671960960000007</v>
      </c>
      <c r="M405" s="447"/>
      <c r="N405" s="298"/>
      <c r="O405" s="298"/>
      <c r="P405" s="298"/>
      <c r="Q405" s="298"/>
      <c r="R405" s="298"/>
      <c r="S405" s="298"/>
    </row>
    <row r="406" spans="1:19" s="92" customFormat="1" ht="38.25">
      <c r="A406" s="394" t="s">
        <v>3259</v>
      </c>
      <c r="B406" s="285" t="s">
        <v>14672</v>
      </c>
      <c r="C406" s="285">
        <v>90443</v>
      </c>
      <c r="D406" s="289" t="s">
        <v>130</v>
      </c>
      <c r="E406" s="290" t="s">
        <v>5</v>
      </c>
      <c r="F406" s="755">
        <v>132.69999999999999</v>
      </c>
      <c r="G406" s="510" t="s">
        <v>16337</v>
      </c>
      <c r="H406" s="508">
        <v>0.2094</v>
      </c>
      <c r="I406" s="510">
        <v>14.246732</v>
      </c>
      <c r="J406" s="509">
        <v>1890.5413363999999</v>
      </c>
      <c r="K406" s="409"/>
      <c r="L406" s="447">
        <f t="shared" si="47"/>
        <v>1890.5413363999999</v>
      </c>
      <c r="M406" s="447"/>
      <c r="N406" s="298"/>
      <c r="O406" s="298"/>
      <c r="P406" s="298"/>
      <c r="Q406" s="298"/>
      <c r="R406" s="298"/>
      <c r="S406" s="298"/>
    </row>
    <row r="407" spans="1:19" s="92" customFormat="1" ht="51">
      <c r="A407" s="394" t="s">
        <v>3259</v>
      </c>
      <c r="B407" s="285" t="s">
        <v>14673</v>
      </c>
      <c r="C407" s="285">
        <v>91222</v>
      </c>
      <c r="D407" s="289" t="s">
        <v>135</v>
      </c>
      <c r="E407" s="290" t="s">
        <v>5</v>
      </c>
      <c r="F407" s="755">
        <v>36.659999999999997</v>
      </c>
      <c r="G407" s="510" t="s">
        <v>11527</v>
      </c>
      <c r="H407" s="508">
        <v>0.2094</v>
      </c>
      <c r="I407" s="510">
        <v>15.335191999999999</v>
      </c>
      <c r="J407" s="509">
        <v>562.18813871999987</v>
      </c>
      <c r="K407" s="409"/>
      <c r="L407" s="447">
        <f t="shared" si="47"/>
        <v>562.18813871999987</v>
      </c>
      <c r="M407" s="447"/>
      <c r="N407" s="298"/>
      <c r="O407" s="298"/>
      <c r="P407" s="298"/>
      <c r="Q407" s="298"/>
      <c r="R407" s="298"/>
      <c r="S407" s="298"/>
    </row>
    <row r="408" spans="1:19" s="92" customFormat="1" ht="38.25">
      <c r="A408" s="394" t="s">
        <v>3259</v>
      </c>
      <c r="B408" s="285" t="s">
        <v>14674</v>
      </c>
      <c r="C408" s="285">
        <v>90466</v>
      </c>
      <c r="D408" s="289" t="s">
        <v>132</v>
      </c>
      <c r="E408" s="290" t="s">
        <v>5</v>
      </c>
      <c r="F408" s="755">
        <v>132.69999999999999</v>
      </c>
      <c r="G408" s="510" t="s">
        <v>19074</v>
      </c>
      <c r="H408" s="508">
        <v>0.2094</v>
      </c>
      <c r="I408" s="510">
        <v>14.065322000000002</v>
      </c>
      <c r="J408" s="509">
        <v>1866.4682294000002</v>
      </c>
      <c r="K408" s="409"/>
      <c r="L408" s="447">
        <f t="shared" si="47"/>
        <v>1866.4682294000002</v>
      </c>
      <c r="M408" s="447"/>
      <c r="N408" s="298"/>
      <c r="O408" s="298"/>
      <c r="P408" s="298"/>
      <c r="Q408" s="298"/>
      <c r="R408" s="298"/>
      <c r="S408" s="298"/>
    </row>
    <row r="409" spans="1:19" s="92" customFormat="1" ht="51">
      <c r="A409" s="394" t="s">
        <v>3259</v>
      </c>
      <c r="B409" s="285" t="s">
        <v>14679</v>
      </c>
      <c r="C409" s="288">
        <v>90467</v>
      </c>
      <c r="D409" s="289" t="s">
        <v>133</v>
      </c>
      <c r="E409" s="290" t="s">
        <v>5</v>
      </c>
      <c r="F409" s="755">
        <v>36.659999999999997</v>
      </c>
      <c r="G409" s="510" t="s">
        <v>23632</v>
      </c>
      <c r="H409" s="508">
        <v>0.2094</v>
      </c>
      <c r="I409" s="510">
        <v>22.228771999999999</v>
      </c>
      <c r="J409" s="509">
        <v>814.90678151999987</v>
      </c>
      <c r="K409" s="409"/>
      <c r="L409" s="447">
        <f t="shared" si="47"/>
        <v>814.90678151999987</v>
      </c>
      <c r="M409" s="447"/>
      <c r="N409" s="298"/>
      <c r="O409" s="298"/>
      <c r="P409" s="298"/>
      <c r="Q409" s="298"/>
      <c r="R409" s="298"/>
      <c r="S409" s="298"/>
    </row>
    <row r="410" spans="1:19" s="92" customFormat="1" ht="63.75">
      <c r="A410" s="394" t="s">
        <v>3259</v>
      </c>
      <c r="B410" s="285" t="s">
        <v>14680</v>
      </c>
      <c r="C410" s="285">
        <v>91179</v>
      </c>
      <c r="D410" s="289" t="s">
        <v>2434</v>
      </c>
      <c r="E410" s="290" t="s">
        <v>5</v>
      </c>
      <c r="F410" s="755">
        <v>51.31</v>
      </c>
      <c r="G410" s="510" t="s">
        <v>10229</v>
      </c>
      <c r="H410" s="508">
        <v>0.2094</v>
      </c>
      <c r="I410" s="510">
        <v>7.0266139999999995</v>
      </c>
      <c r="J410" s="509">
        <v>360.53556434000001</v>
      </c>
      <c r="K410" s="409"/>
      <c r="L410" s="447">
        <f t="shared" si="47"/>
        <v>360.53556434000001</v>
      </c>
      <c r="M410" s="447"/>
      <c r="N410" s="298"/>
      <c r="O410" s="298"/>
      <c r="P410" s="298"/>
      <c r="Q410" s="298"/>
      <c r="R410" s="298"/>
      <c r="S410" s="298"/>
    </row>
    <row r="411" spans="1:19" s="92" customFormat="1" ht="63.75">
      <c r="A411" s="394" t="s">
        <v>3259</v>
      </c>
      <c r="B411" s="285" t="s">
        <v>14681</v>
      </c>
      <c r="C411" s="285">
        <v>91180</v>
      </c>
      <c r="D411" s="289" t="s">
        <v>2435</v>
      </c>
      <c r="E411" s="290" t="s">
        <v>5</v>
      </c>
      <c r="F411" s="755">
        <v>92.57</v>
      </c>
      <c r="G411" s="510" t="s">
        <v>11188</v>
      </c>
      <c r="H411" s="508">
        <v>0.2094</v>
      </c>
      <c r="I411" s="510">
        <v>6.3856320000000002</v>
      </c>
      <c r="J411" s="509">
        <v>591.11795424000002</v>
      </c>
      <c r="K411" s="409"/>
      <c r="L411" s="447">
        <f t="shared" si="47"/>
        <v>591.11795424000002</v>
      </c>
      <c r="M411" s="447"/>
      <c r="N411" s="298"/>
      <c r="O411" s="298"/>
      <c r="P411" s="298"/>
      <c r="Q411" s="298"/>
      <c r="R411" s="298"/>
      <c r="S411" s="298"/>
    </row>
    <row r="412" spans="1:19" s="92" customFormat="1" ht="63.75">
      <c r="A412" s="394" t="s">
        <v>3259</v>
      </c>
      <c r="B412" s="285" t="s">
        <v>14682</v>
      </c>
      <c r="C412" s="285">
        <v>91181</v>
      </c>
      <c r="D412" s="289" t="s">
        <v>2436</v>
      </c>
      <c r="E412" s="290" t="s">
        <v>5</v>
      </c>
      <c r="F412" s="755">
        <v>11.85</v>
      </c>
      <c r="G412" s="510" t="s">
        <v>10284</v>
      </c>
      <c r="H412" s="508">
        <v>0.2094</v>
      </c>
      <c r="I412" s="510">
        <v>7.3410580000000003</v>
      </c>
      <c r="J412" s="509">
        <v>86.991537300000005</v>
      </c>
      <c r="K412" s="409"/>
      <c r="L412" s="447">
        <f t="shared" si="47"/>
        <v>86.991537300000005</v>
      </c>
      <c r="M412" s="447"/>
      <c r="N412" s="298"/>
      <c r="O412" s="298"/>
      <c r="P412" s="298"/>
      <c r="Q412" s="298"/>
      <c r="R412" s="298"/>
      <c r="S412" s="298"/>
    </row>
    <row r="413" spans="1:19" s="92" customFormat="1" ht="63.75">
      <c r="A413" s="394" t="s">
        <v>3259</v>
      </c>
      <c r="B413" s="285" t="s">
        <v>14683</v>
      </c>
      <c r="C413" s="285">
        <v>91173</v>
      </c>
      <c r="D413" s="289" t="s">
        <v>2428</v>
      </c>
      <c r="E413" s="290" t="s">
        <v>5</v>
      </c>
      <c r="F413" s="755">
        <v>1.26</v>
      </c>
      <c r="G413" s="510" t="s">
        <v>10430</v>
      </c>
      <c r="H413" s="508">
        <v>0.2094</v>
      </c>
      <c r="I413" s="510">
        <v>1.584314</v>
      </c>
      <c r="J413" s="509">
        <v>1.9962356400000001</v>
      </c>
      <c r="K413" s="409"/>
      <c r="L413" s="447">
        <f t="shared" si="47"/>
        <v>1.9962356400000001</v>
      </c>
      <c r="M413" s="447"/>
      <c r="N413" s="298"/>
      <c r="O413" s="298"/>
      <c r="P413" s="298"/>
      <c r="Q413" s="298"/>
      <c r="R413" s="298"/>
      <c r="S413" s="298"/>
    </row>
    <row r="414" spans="1:19" s="92" customFormat="1" ht="63.75">
      <c r="A414" s="394" t="s">
        <v>3259</v>
      </c>
      <c r="B414" s="285" t="s">
        <v>14684</v>
      </c>
      <c r="C414" s="285">
        <v>91175</v>
      </c>
      <c r="D414" s="289" t="s">
        <v>2430</v>
      </c>
      <c r="E414" s="290" t="s">
        <v>5</v>
      </c>
      <c r="F414" s="755">
        <v>3.36</v>
      </c>
      <c r="G414" s="510" t="s">
        <v>9857</v>
      </c>
      <c r="H414" s="508">
        <v>0.2094</v>
      </c>
      <c r="I414" s="510">
        <v>5.0794800000000002</v>
      </c>
      <c r="J414" s="509">
        <v>17.067052799999999</v>
      </c>
      <c r="K414" s="409"/>
      <c r="L414" s="447">
        <f t="shared" si="47"/>
        <v>17.067052799999999</v>
      </c>
      <c r="M414" s="447"/>
      <c r="N414" s="298"/>
      <c r="O414" s="298"/>
      <c r="P414" s="298"/>
      <c r="Q414" s="298"/>
      <c r="R414" s="298"/>
      <c r="S414" s="298"/>
    </row>
    <row r="415" spans="1:19" s="92" customFormat="1">
      <c r="A415" s="256"/>
      <c r="B415" s="287"/>
      <c r="C415" s="287"/>
      <c r="D415" s="400"/>
      <c r="E415" s="415"/>
      <c r="F415" s="415"/>
      <c r="G415" s="462"/>
      <c r="H415" s="415"/>
      <c r="I415" s="462"/>
      <c r="J415" s="416"/>
      <c r="K415" s="298"/>
      <c r="L415" s="447">
        <f t="shared" si="47"/>
        <v>0</v>
      </c>
      <c r="M415" s="447"/>
      <c r="N415" s="298"/>
      <c r="O415" s="298"/>
      <c r="P415" s="298"/>
      <c r="Q415" s="298"/>
      <c r="R415" s="298"/>
      <c r="S415" s="298"/>
    </row>
    <row r="416" spans="1:19" s="92" customFormat="1">
      <c r="A416" s="256"/>
      <c r="B416" s="390" t="s">
        <v>18013</v>
      </c>
      <c r="C416" s="390"/>
      <c r="D416" s="399" t="s">
        <v>18014</v>
      </c>
      <c r="E416" s="413"/>
      <c r="F416" s="413"/>
      <c r="G416" s="461"/>
      <c r="H416" s="413"/>
      <c r="I416" s="461"/>
      <c r="J416" s="414"/>
      <c r="K416" s="298"/>
      <c r="L416" s="447">
        <f t="shared" si="47"/>
        <v>0</v>
      </c>
      <c r="M416" s="447"/>
      <c r="N416" s="298"/>
      <c r="O416" s="298"/>
      <c r="P416" s="298"/>
      <c r="Q416" s="298"/>
      <c r="R416" s="298"/>
      <c r="S416" s="298"/>
    </row>
    <row r="417" spans="1:19" s="92" customFormat="1">
      <c r="A417" s="256"/>
      <c r="B417" s="287" t="s">
        <v>18015</v>
      </c>
      <c r="C417" s="287"/>
      <c r="D417" s="400" t="s">
        <v>18016</v>
      </c>
      <c r="E417" s="415"/>
      <c r="F417" s="415"/>
      <c r="G417" s="462"/>
      <c r="H417" s="415"/>
      <c r="I417" s="462"/>
      <c r="J417" s="416"/>
      <c r="K417" s="298"/>
      <c r="L417" s="447">
        <f t="shared" si="47"/>
        <v>0</v>
      </c>
      <c r="M417" s="447"/>
      <c r="N417" s="256"/>
      <c r="O417" s="256"/>
      <c r="P417" s="256"/>
      <c r="Q417" s="256"/>
      <c r="R417" s="256"/>
      <c r="S417" s="256"/>
    </row>
    <row r="418" spans="1:19" s="140" customFormat="1" ht="51">
      <c r="A418" s="394" t="s">
        <v>3259</v>
      </c>
      <c r="B418" s="285" t="s">
        <v>18017</v>
      </c>
      <c r="C418" s="285">
        <v>89634</v>
      </c>
      <c r="D418" s="289" t="s">
        <v>1773</v>
      </c>
      <c r="E418" s="290" t="s">
        <v>5</v>
      </c>
      <c r="F418" s="755">
        <v>123.63</v>
      </c>
      <c r="G418" s="510" t="s">
        <v>10580</v>
      </c>
      <c r="H418" s="508">
        <v>0.2094</v>
      </c>
      <c r="I418" s="510">
        <v>34.4679</v>
      </c>
      <c r="J418" s="509">
        <v>4261.2664770000001</v>
      </c>
      <c r="K418" s="409"/>
      <c r="L418" s="447">
        <f t="shared" si="47"/>
        <v>4261.2664770000001</v>
      </c>
      <c r="M418" s="447"/>
      <c r="N418" s="409"/>
      <c r="O418" s="409"/>
      <c r="P418" s="409"/>
      <c r="Q418" s="409"/>
      <c r="R418" s="409"/>
      <c r="S418" s="409"/>
    </row>
    <row r="419" spans="1:19" s="140" customFormat="1" ht="51">
      <c r="A419" s="394" t="s">
        <v>3259</v>
      </c>
      <c r="B419" s="285" t="s">
        <v>18018</v>
      </c>
      <c r="C419" s="285">
        <v>89635</v>
      </c>
      <c r="D419" s="289" t="s">
        <v>1774</v>
      </c>
      <c r="E419" s="290" t="s">
        <v>5</v>
      </c>
      <c r="F419" s="755">
        <v>345.67</v>
      </c>
      <c r="G419" s="510" t="s">
        <v>9835</v>
      </c>
      <c r="H419" s="508">
        <v>0.2094</v>
      </c>
      <c r="I419" s="510">
        <v>48.097838000000003</v>
      </c>
      <c r="J419" s="509">
        <v>16625.979661460002</v>
      </c>
      <c r="K419" s="409"/>
      <c r="L419" s="447">
        <f t="shared" ref="L419:L487" si="50">I419*F419</f>
        <v>16625.979661460002</v>
      </c>
      <c r="M419" s="447"/>
      <c r="N419" s="409"/>
      <c r="O419" s="409"/>
      <c r="P419" s="409"/>
      <c r="Q419" s="409"/>
      <c r="R419" s="409"/>
      <c r="S419" s="409"/>
    </row>
    <row r="420" spans="1:19" s="140" customFormat="1" ht="51">
      <c r="A420" s="394" t="s">
        <v>3259</v>
      </c>
      <c r="B420" s="285" t="s">
        <v>18036</v>
      </c>
      <c r="C420" s="285">
        <v>89636</v>
      </c>
      <c r="D420" s="289" t="s">
        <v>1775</v>
      </c>
      <c r="E420" s="290" t="s">
        <v>5</v>
      </c>
      <c r="F420" s="755">
        <v>103.93</v>
      </c>
      <c r="G420" s="510" t="s">
        <v>16091</v>
      </c>
      <c r="H420" s="508">
        <v>0.2094</v>
      </c>
      <c r="I420" s="510">
        <v>58.329361999999996</v>
      </c>
      <c r="J420" s="509">
        <v>6062.1705926599998</v>
      </c>
      <c r="K420" s="409"/>
      <c r="L420" s="447">
        <f t="shared" si="50"/>
        <v>6062.1705926599998</v>
      </c>
      <c r="M420" s="447"/>
      <c r="N420" s="409"/>
      <c r="O420" s="409"/>
      <c r="P420" s="409"/>
      <c r="Q420" s="409"/>
      <c r="R420" s="409"/>
      <c r="S420" s="409"/>
    </row>
    <row r="421" spans="1:19" s="140" customFormat="1" ht="63.75">
      <c r="A421" s="394" t="s">
        <v>3259</v>
      </c>
      <c r="B421" s="285" t="s">
        <v>18037</v>
      </c>
      <c r="C421" s="285">
        <v>94719</v>
      </c>
      <c r="D421" s="289" t="s">
        <v>1819</v>
      </c>
      <c r="E421" s="290" t="s">
        <v>5</v>
      </c>
      <c r="F421" s="755">
        <v>47.06</v>
      </c>
      <c r="G421" s="510" t="s">
        <v>22969</v>
      </c>
      <c r="H421" s="508">
        <v>0.2094</v>
      </c>
      <c r="I421" s="510">
        <v>53.552232000000004</v>
      </c>
      <c r="J421" s="509">
        <v>2520.1680379200002</v>
      </c>
      <c r="K421" s="409"/>
      <c r="L421" s="447">
        <f t="shared" si="50"/>
        <v>2520.1680379200002</v>
      </c>
      <c r="M421" s="447"/>
      <c r="N421" s="409"/>
      <c r="O421" s="409"/>
      <c r="P421" s="409"/>
      <c r="Q421" s="409"/>
      <c r="R421" s="409"/>
      <c r="S421" s="409"/>
    </row>
    <row r="422" spans="1:19" s="140" customFormat="1" ht="51">
      <c r="A422" s="394" t="s">
        <v>3259</v>
      </c>
      <c r="B422" s="285" t="s">
        <v>18038</v>
      </c>
      <c r="C422" s="285">
        <v>89658</v>
      </c>
      <c r="D422" s="289" t="s">
        <v>2035</v>
      </c>
      <c r="E422" s="290" t="s">
        <v>109</v>
      </c>
      <c r="F422" s="755">
        <v>2</v>
      </c>
      <c r="G422" s="510" t="s">
        <v>10193</v>
      </c>
      <c r="H422" s="508">
        <v>0.2094</v>
      </c>
      <c r="I422" s="510">
        <v>9.5179780000000012</v>
      </c>
      <c r="J422" s="509">
        <v>19.035956000000002</v>
      </c>
      <c r="K422" s="409"/>
      <c r="L422" s="447">
        <f t="shared" si="50"/>
        <v>19.035956000000002</v>
      </c>
      <c r="M422" s="447"/>
      <c r="N422" s="409"/>
      <c r="O422" s="409"/>
      <c r="P422" s="409"/>
      <c r="Q422" s="409"/>
      <c r="R422" s="409"/>
      <c r="S422" s="409"/>
    </row>
    <row r="423" spans="1:19" s="140" customFormat="1" ht="51">
      <c r="A423" s="394" t="s">
        <v>3259</v>
      </c>
      <c r="B423" s="285" t="s">
        <v>18039</v>
      </c>
      <c r="C423" s="285">
        <v>89670</v>
      </c>
      <c r="D423" s="289" t="s">
        <v>2047</v>
      </c>
      <c r="E423" s="290" t="s">
        <v>109</v>
      </c>
      <c r="F423" s="755">
        <v>2</v>
      </c>
      <c r="G423" s="510" t="s">
        <v>22391</v>
      </c>
      <c r="H423" s="508">
        <v>0.2094</v>
      </c>
      <c r="I423" s="510">
        <v>13.859724000000002</v>
      </c>
      <c r="J423" s="509">
        <v>27.719448000000003</v>
      </c>
      <c r="K423" s="409"/>
      <c r="L423" s="447">
        <f t="shared" si="50"/>
        <v>27.719448000000003</v>
      </c>
      <c r="M423" s="447"/>
      <c r="N423" s="409"/>
      <c r="O423" s="409"/>
      <c r="P423" s="409"/>
      <c r="Q423" s="409"/>
      <c r="R423" s="409"/>
      <c r="S423" s="409"/>
    </row>
    <row r="424" spans="1:19" s="140" customFormat="1" ht="51">
      <c r="A424" s="394" t="s">
        <v>3259</v>
      </c>
      <c r="B424" s="285" t="s">
        <v>18040</v>
      </c>
      <c r="C424" s="285">
        <v>89680</v>
      </c>
      <c r="D424" s="289" t="s">
        <v>2057</v>
      </c>
      <c r="E424" s="290" t="s">
        <v>109</v>
      </c>
      <c r="F424" s="755">
        <v>13</v>
      </c>
      <c r="G424" s="510" t="s">
        <v>19699</v>
      </c>
      <c r="H424" s="508">
        <v>0.2094</v>
      </c>
      <c r="I424" s="510">
        <v>21.333816000000002</v>
      </c>
      <c r="J424" s="509">
        <v>277.33960800000006</v>
      </c>
      <c r="K424" s="409"/>
      <c r="L424" s="447">
        <f t="shared" si="50"/>
        <v>277.33960800000006</v>
      </c>
      <c r="M424" s="447"/>
      <c r="N424" s="409"/>
      <c r="O424" s="409"/>
      <c r="P424" s="409"/>
      <c r="Q424" s="409"/>
      <c r="R424" s="409"/>
      <c r="S424" s="409"/>
    </row>
    <row r="425" spans="1:19" s="140" customFormat="1" ht="38.25">
      <c r="A425" s="394" t="s">
        <v>3259</v>
      </c>
      <c r="B425" s="285" t="s">
        <v>18041</v>
      </c>
      <c r="C425" s="285">
        <v>89822</v>
      </c>
      <c r="D425" s="289" t="s">
        <v>2178</v>
      </c>
      <c r="E425" s="290" t="s">
        <v>109</v>
      </c>
      <c r="F425" s="755">
        <v>3</v>
      </c>
      <c r="G425" s="510" t="s">
        <v>22386</v>
      </c>
      <c r="H425" s="508">
        <v>0.2094</v>
      </c>
      <c r="I425" s="510">
        <v>23.051164</v>
      </c>
      <c r="J425" s="509">
        <v>69.153492</v>
      </c>
      <c r="K425" s="409"/>
      <c r="L425" s="447">
        <f t="shared" si="50"/>
        <v>69.153492</v>
      </c>
      <c r="M425" s="447"/>
      <c r="N425" s="409"/>
      <c r="O425" s="409"/>
      <c r="P425" s="409"/>
      <c r="Q425" s="409"/>
      <c r="R425" s="409"/>
      <c r="S425" s="409"/>
    </row>
    <row r="426" spans="1:19" s="140" customFormat="1" ht="51">
      <c r="A426" s="394" t="s">
        <v>3259</v>
      </c>
      <c r="B426" s="285" t="s">
        <v>18042</v>
      </c>
      <c r="C426" s="285">
        <v>89668</v>
      </c>
      <c r="D426" s="289" t="s">
        <v>2045</v>
      </c>
      <c r="E426" s="290" t="s">
        <v>109</v>
      </c>
      <c r="F426" s="755">
        <v>29</v>
      </c>
      <c r="G426" s="510" t="s">
        <v>23089</v>
      </c>
      <c r="H426" s="508">
        <v>0.2094</v>
      </c>
      <c r="I426" s="510">
        <v>30.682478000000003</v>
      </c>
      <c r="J426" s="509">
        <v>889.79186200000004</v>
      </c>
      <c r="K426" s="409"/>
      <c r="L426" s="447">
        <f t="shared" si="50"/>
        <v>889.79186200000004</v>
      </c>
      <c r="M426" s="447"/>
      <c r="N426" s="409"/>
      <c r="O426" s="409"/>
      <c r="P426" s="409"/>
      <c r="Q426" s="409"/>
      <c r="R426" s="409"/>
      <c r="S426" s="409"/>
    </row>
    <row r="427" spans="1:19" s="140" customFormat="1" ht="38.25">
      <c r="A427" s="394" t="s">
        <v>3259</v>
      </c>
      <c r="B427" s="285" t="s">
        <v>18043</v>
      </c>
      <c r="C427" s="285">
        <v>89831</v>
      </c>
      <c r="D427" s="289" t="s">
        <v>2187</v>
      </c>
      <c r="E427" s="290" t="s">
        <v>109</v>
      </c>
      <c r="F427" s="755">
        <v>11</v>
      </c>
      <c r="G427" s="510" t="s">
        <v>12199</v>
      </c>
      <c r="H427" s="508">
        <v>0.2094</v>
      </c>
      <c r="I427" s="510">
        <v>199.58728200000002</v>
      </c>
      <c r="J427" s="509">
        <v>2195.460102</v>
      </c>
      <c r="K427" s="409"/>
      <c r="L427" s="447">
        <f t="shared" si="50"/>
        <v>2195.460102</v>
      </c>
      <c r="M427" s="447"/>
      <c r="N427" s="409"/>
      <c r="O427" s="409"/>
      <c r="P427" s="409"/>
      <c r="Q427" s="409"/>
      <c r="R427" s="409"/>
      <c r="S427" s="409"/>
    </row>
    <row r="428" spans="1:19" s="140" customFormat="1" ht="51">
      <c r="A428" s="394" t="s">
        <v>3259</v>
      </c>
      <c r="B428" s="285" t="s">
        <v>18044</v>
      </c>
      <c r="C428" s="285">
        <v>89686</v>
      </c>
      <c r="D428" s="289" t="s">
        <v>2062</v>
      </c>
      <c r="E428" s="290" t="s">
        <v>109</v>
      </c>
      <c r="F428" s="755">
        <v>8</v>
      </c>
      <c r="G428" s="510" t="s">
        <v>23096</v>
      </c>
      <c r="H428" s="508">
        <v>0.2094</v>
      </c>
      <c r="I428" s="510">
        <v>167.19955000000002</v>
      </c>
      <c r="J428" s="509">
        <v>1337.5964000000001</v>
      </c>
      <c r="K428" s="409"/>
      <c r="L428" s="447">
        <f t="shared" si="50"/>
        <v>1337.5964000000001</v>
      </c>
      <c r="M428" s="447"/>
      <c r="N428" s="409"/>
      <c r="O428" s="409"/>
      <c r="P428" s="409"/>
      <c r="Q428" s="409"/>
      <c r="R428" s="409"/>
      <c r="S428" s="409"/>
    </row>
    <row r="429" spans="1:19" s="140" customFormat="1" ht="51">
      <c r="A429" s="394" t="s">
        <v>3259</v>
      </c>
      <c r="B429" s="285" t="s">
        <v>18045</v>
      </c>
      <c r="C429" s="285">
        <v>89676</v>
      </c>
      <c r="D429" s="289" t="s">
        <v>2053</v>
      </c>
      <c r="E429" s="290" t="s">
        <v>109</v>
      </c>
      <c r="F429" s="755">
        <v>82</v>
      </c>
      <c r="G429" s="510" t="s">
        <v>16506</v>
      </c>
      <c r="H429" s="508">
        <v>0.2094</v>
      </c>
      <c r="I429" s="510">
        <v>47.360104</v>
      </c>
      <c r="J429" s="509">
        <v>3883.5285279999998</v>
      </c>
      <c r="K429" s="409"/>
      <c r="L429" s="447">
        <f t="shared" si="50"/>
        <v>3883.5285279999998</v>
      </c>
      <c r="M429" s="447"/>
      <c r="N429" s="409"/>
      <c r="O429" s="409"/>
      <c r="P429" s="409"/>
      <c r="Q429" s="409"/>
      <c r="R429" s="409"/>
      <c r="S429" s="409"/>
    </row>
    <row r="430" spans="1:19" s="140" customFormat="1" ht="51">
      <c r="A430" s="394" t="s">
        <v>3259</v>
      </c>
      <c r="B430" s="285" t="s">
        <v>18046</v>
      </c>
      <c r="C430" s="285">
        <v>89678</v>
      </c>
      <c r="D430" s="289" t="s">
        <v>2055</v>
      </c>
      <c r="E430" s="290" t="s">
        <v>109</v>
      </c>
      <c r="F430" s="755">
        <v>9</v>
      </c>
      <c r="G430" s="510" t="s">
        <v>10514</v>
      </c>
      <c r="H430" s="508">
        <v>0.2094</v>
      </c>
      <c r="I430" s="510">
        <v>10.437122</v>
      </c>
      <c r="J430" s="509">
        <v>93.934098000000006</v>
      </c>
      <c r="K430" s="409"/>
      <c r="L430" s="447">
        <f t="shared" si="50"/>
        <v>93.934098000000006</v>
      </c>
      <c r="M430" s="447"/>
      <c r="N430" s="409"/>
      <c r="O430" s="409"/>
      <c r="P430" s="409"/>
      <c r="Q430" s="409"/>
      <c r="R430" s="409"/>
      <c r="S430" s="409"/>
    </row>
    <row r="431" spans="1:19" s="140" customFormat="1" ht="51">
      <c r="A431" s="394" t="s">
        <v>3260</v>
      </c>
      <c r="B431" s="285" t="s">
        <v>18048</v>
      </c>
      <c r="C431" s="285" t="s">
        <v>18666</v>
      </c>
      <c r="D431" s="289" t="s">
        <v>18667</v>
      </c>
      <c r="E431" s="290" t="s">
        <v>109</v>
      </c>
      <c r="F431" s="755">
        <v>2</v>
      </c>
      <c r="G431" s="510">
        <v>31.39</v>
      </c>
      <c r="H431" s="508">
        <v>0.2094</v>
      </c>
      <c r="I431" s="510">
        <v>37.963066000000005</v>
      </c>
      <c r="J431" s="509">
        <v>75.92613200000001</v>
      </c>
      <c r="K431" s="409"/>
      <c r="L431" s="447">
        <f t="shared" si="50"/>
        <v>75.92613200000001</v>
      </c>
      <c r="M431" s="447"/>
      <c r="N431" s="409"/>
      <c r="O431" s="409"/>
      <c r="P431" s="409"/>
      <c r="Q431" s="409"/>
      <c r="R431" s="409"/>
      <c r="S431" s="409"/>
    </row>
    <row r="432" spans="1:19" s="140" customFormat="1" ht="51">
      <c r="A432" s="394" t="s">
        <v>3259</v>
      </c>
      <c r="B432" s="285" t="s">
        <v>18049</v>
      </c>
      <c r="C432" s="285">
        <v>89689</v>
      </c>
      <c r="D432" s="289" t="s">
        <v>2064</v>
      </c>
      <c r="E432" s="290" t="s">
        <v>109</v>
      </c>
      <c r="F432" s="755">
        <v>18</v>
      </c>
      <c r="G432" s="510" t="s">
        <v>10181</v>
      </c>
      <c r="H432" s="508">
        <v>0.2094</v>
      </c>
      <c r="I432" s="510">
        <v>35.302386000000006</v>
      </c>
      <c r="J432" s="509">
        <v>635.44294800000011</v>
      </c>
      <c r="K432" s="409"/>
      <c r="L432" s="447">
        <f t="shared" si="50"/>
        <v>635.44294800000011</v>
      </c>
      <c r="M432" s="447"/>
      <c r="N432" s="409"/>
      <c r="O432" s="409"/>
      <c r="P432" s="409"/>
      <c r="Q432" s="409"/>
      <c r="R432" s="409"/>
      <c r="S432" s="409"/>
    </row>
    <row r="433" spans="1:19" s="140" customFormat="1" ht="51">
      <c r="A433" s="394" t="s">
        <v>3260</v>
      </c>
      <c r="B433" s="285" t="s">
        <v>18047</v>
      </c>
      <c r="C433" s="285" t="s">
        <v>18669</v>
      </c>
      <c r="D433" s="289" t="s">
        <v>18670</v>
      </c>
      <c r="E433" s="290" t="s">
        <v>109</v>
      </c>
      <c r="F433" s="755">
        <v>2</v>
      </c>
      <c r="G433" s="510">
        <v>31.38</v>
      </c>
      <c r="H433" s="508">
        <v>0.2094</v>
      </c>
      <c r="I433" s="510">
        <v>37.950972</v>
      </c>
      <c r="J433" s="509">
        <v>75.901944</v>
      </c>
      <c r="K433" s="409"/>
      <c r="L433" s="447">
        <f t="shared" si="50"/>
        <v>75.901944</v>
      </c>
      <c r="M433" s="447"/>
      <c r="N433" s="409"/>
      <c r="O433" s="409"/>
      <c r="P433" s="409"/>
      <c r="Q433" s="409"/>
      <c r="R433" s="409"/>
      <c r="S433" s="409"/>
    </row>
    <row r="434" spans="1:19" s="140" customFormat="1" ht="38.25">
      <c r="A434" s="394" t="s">
        <v>3259</v>
      </c>
      <c r="B434" s="285" t="s">
        <v>24875</v>
      </c>
      <c r="C434" s="285">
        <v>89697</v>
      </c>
      <c r="D434" s="289" t="s">
        <v>2072</v>
      </c>
      <c r="E434" s="290" t="s">
        <v>109</v>
      </c>
      <c r="F434" s="755">
        <v>43</v>
      </c>
      <c r="G434" s="510" t="s">
        <v>10319</v>
      </c>
      <c r="H434" s="508">
        <v>0.2094</v>
      </c>
      <c r="I434" s="510">
        <v>15.250534</v>
      </c>
      <c r="J434" s="509">
        <v>655.77296200000001</v>
      </c>
      <c r="K434" s="409"/>
      <c r="L434" s="447">
        <f t="shared" si="50"/>
        <v>655.77296200000001</v>
      </c>
      <c r="M434" s="447"/>
      <c r="N434" s="409"/>
      <c r="O434" s="409"/>
      <c r="P434" s="409"/>
      <c r="Q434" s="409"/>
      <c r="R434" s="409"/>
      <c r="S434" s="409"/>
    </row>
    <row r="435" spans="1:19" s="140" customFormat="1" ht="38.25">
      <c r="A435" s="394" t="s">
        <v>3259</v>
      </c>
      <c r="B435" s="285" t="s">
        <v>18050</v>
      </c>
      <c r="C435" s="285">
        <v>89705</v>
      </c>
      <c r="D435" s="289" t="s">
        <v>2080</v>
      </c>
      <c r="E435" s="290" t="s">
        <v>109</v>
      </c>
      <c r="F435" s="755">
        <v>98</v>
      </c>
      <c r="G435" s="510" t="s">
        <v>14178</v>
      </c>
      <c r="H435" s="508">
        <v>0.2094</v>
      </c>
      <c r="I435" s="510">
        <v>25.76022</v>
      </c>
      <c r="J435" s="509">
        <v>2524.5015600000002</v>
      </c>
      <c r="K435" s="409"/>
      <c r="L435" s="447">
        <f t="shared" si="50"/>
        <v>2524.5015600000002</v>
      </c>
      <c r="M435" s="447"/>
      <c r="N435" s="409"/>
      <c r="O435" s="409"/>
      <c r="P435" s="409"/>
      <c r="Q435" s="409"/>
      <c r="R435" s="409"/>
      <c r="S435" s="409"/>
    </row>
    <row r="436" spans="1:19" s="140" customFormat="1" ht="38.25">
      <c r="A436" s="394" t="s">
        <v>3259</v>
      </c>
      <c r="B436" s="285" t="s">
        <v>18051</v>
      </c>
      <c r="C436" s="285">
        <v>89706</v>
      </c>
      <c r="D436" s="289" t="s">
        <v>2081</v>
      </c>
      <c r="E436" s="290" t="s">
        <v>109</v>
      </c>
      <c r="F436" s="755">
        <v>16</v>
      </c>
      <c r="G436" s="510" t="s">
        <v>23105</v>
      </c>
      <c r="H436" s="508">
        <v>0.2094</v>
      </c>
      <c r="I436" s="510">
        <v>54.326248000000007</v>
      </c>
      <c r="J436" s="509">
        <v>869.21996800000011</v>
      </c>
      <c r="K436" s="409"/>
      <c r="L436" s="447">
        <f t="shared" si="50"/>
        <v>869.21996800000011</v>
      </c>
      <c r="M436" s="447"/>
      <c r="N436" s="409"/>
      <c r="O436" s="409"/>
      <c r="P436" s="409"/>
      <c r="Q436" s="409"/>
      <c r="R436" s="409"/>
      <c r="S436" s="409"/>
    </row>
    <row r="437" spans="1:19" s="140" customFormat="1" ht="38.25">
      <c r="A437" s="394" t="s">
        <v>3259</v>
      </c>
      <c r="B437" s="285" t="s">
        <v>18052</v>
      </c>
      <c r="C437" s="285">
        <v>89844</v>
      </c>
      <c r="D437" s="289" t="s">
        <v>2199</v>
      </c>
      <c r="E437" s="290" t="s">
        <v>109</v>
      </c>
      <c r="F437" s="755">
        <v>4</v>
      </c>
      <c r="G437" s="510" t="s">
        <v>23126</v>
      </c>
      <c r="H437" s="508">
        <v>0.2094</v>
      </c>
      <c r="I437" s="510">
        <v>59.587138000000003</v>
      </c>
      <c r="J437" s="509">
        <v>238.34855200000001</v>
      </c>
      <c r="K437" s="409"/>
      <c r="L437" s="447">
        <f t="shared" si="50"/>
        <v>238.34855200000001</v>
      </c>
      <c r="M437" s="447"/>
      <c r="N437" s="409"/>
      <c r="O437" s="409"/>
      <c r="P437" s="409"/>
      <c r="Q437" s="409"/>
      <c r="R437" s="409"/>
      <c r="S437" s="409"/>
    </row>
    <row r="438" spans="1:19" s="140" customFormat="1" ht="51">
      <c r="A438" s="394" t="s">
        <v>3259</v>
      </c>
      <c r="B438" s="285" t="s">
        <v>18053</v>
      </c>
      <c r="C438" s="285">
        <v>89985</v>
      </c>
      <c r="D438" s="289" t="s">
        <v>2363</v>
      </c>
      <c r="E438" s="290" t="s">
        <v>109</v>
      </c>
      <c r="F438" s="755">
        <v>8</v>
      </c>
      <c r="G438" s="510" t="s">
        <v>23572</v>
      </c>
      <c r="H438" s="508">
        <v>0.2094</v>
      </c>
      <c r="I438" s="510">
        <v>105.02429600000001</v>
      </c>
      <c r="J438" s="509">
        <v>840.19436800000005</v>
      </c>
      <c r="K438" s="409"/>
      <c r="L438" s="447">
        <f t="shared" si="50"/>
        <v>840.19436800000005</v>
      </c>
      <c r="M438" s="447"/>
      <c r="N438" s="409"/>
      <c r="O438" s="409"/>
      <c r="P438" s="409"/>
      <c r="Q438" s="409"/>
      <c r="R438" s="409"/>
      <c r="S438" s="409"/>
    </row>
    <row r="439" spans="1:19" s="140" customFormat="1" ht="51">
      <c r="A439" s="394" t="s">
        <v>3259</v>
      </c>
      <c r="B439" s="285" t="s">
        <v>18054</v>
      </c>
      <c r="C439" s="285">
        <v>89987</v>
      </c>
      <c r="D439" s="289" t="s">
        <v>2365</v>
      </c>
      <c r="E439" s="290" t="s">
        <v>109</v>
      </c>
      <c r="F439" s="755">
        <v>8</v>
      </c>
      <c r="G439" s="510" t="s">
        <v>23573</v>
      </c>
      <c r="H439" s="508">
        <v>0.2094</v>
      </c>
      <c r="I439" s="510">
        <v>110.527066</v>
      </c>
      <c r="J439" s="509">
        <v>884.21652800000004</v>
      </c>
      <c r="K439" s="409"/>
      <c r="L439" s="447">
        <f t="shared" si="50"/>
        <v>884.21652800000004</v>
      </c>
      <c r="M439" s="447"/>
      <c r="N439" s="409"/>
      <c r="O439" s="409"/>
      <c r="P439" s="409"/>
      <c r="Q439" s="409"/>
      <c r="R439" s="409"/>
      <c r="S439" s="409"/>
    </row>
    <row r="440" spans="1:19" s="140" customFormat="1" ht="76.5">
      <c r="A440" s="394" t="s">
        <v>3259</v>
      </c>
      <c r="B440" s="285" t="s">
        <v>18055</v>
      </c>
      <c r="C440" s="285">
        <v>94792</v>
      </c>
      <c r="D440" s="289" t="s">
        <v>2380</v>
      </c>
      <c r="E440" s="290" t="s">
        <v>109</v>
      </c>
      <c r="F440" s="755">
        <v>2</v>
      </c>
      <c r="G440" s="510" t="s">
        <v>23585</v>
      </c>
      <c r="H440" s="508">
        <v>0.2094</v>
      </c>
      <c r="I440" s="510">
        <v>157.58482000000001</v>
      </c>
      <c r="J440" s="509">
        <v>315.16964000000002</v>
      </c>
      <c r="K440" s="409"/>
      <c r="L440" s="447">
        <f t="shared" ref="L440" si="51">I440*F440</f>
        <v>315.16964000000002</v>
      </c>
      <c r="M440" s="447"/>
      <c r="N440" s="409"/>
      <c r="O440" s="409"/>
      <c r="P440" s="409"/>
      <c r="Q440" s="409"/>
      <c r="R440" s="409"/>
      <c r="S440" s="409"/>
    </row>
    <row r="441" spans="1:19" s="140" customFormat="1" ht="76.5">
      <c r="A441" s="394" t="s">
        <v>3259</v>
      </c>
      <c r="B441" s="285" t="s">
        <v>18056</v>
      </c>
      <c r="C441" s="285">
        <v>94496</v>
      </c>
      <c r="D441" s="289" t="s">
        <v>2374</v>
      </c>
      <c r="E441" s="290" t="s">
        <v>109</v>
      </c>
      <c r="F441" s="755">
        <v>6</v>
      </c>
      <c r="G441" s="510" t="s">
        <v>23579</v>
      </c>
      <c r="H441" s="508">
        <v>0.2094</v>
      </c>
      <c r="I441" s="510">
        <v>125.366404</v>
      </c>
      <c r="J441" s="509">
        <v>752.19842400000005</v>
      </c>
      <c r="K441" s="409"/>
      <c r="L441" s="447">
        <f t="shared" si="50"/>
        <v>752.19842400000005</v>
      </c>
      <c r="M441" s="447"/>
      <c r="N441" s="409"/>
      <c r="O441" s="409"/>
      <c r="P441" s="409"/>
      <c r="Q441" s="409"/>
      <c r="R441" s="409"/>
      <c r="S441" s="409"/>
    </row>
    <row r="442" spans="1:19" s="140" customFormat="1" ht="76.5">
      <c r="A442" s="394" t="s">
        <v>3259</v>
      </c>
      <c r="B442" s="285" t="s">
        <v>18057</v>
      </c>
      <c r="C442" s="285">
        <v>94497</v>
      </c>
      <c r="D442" s="289" t="s">
        <v>2375</v>
      </c>
      <c r="E442" s="290" t="s">
        <v>109</v>
      </c>
      <c r="F442" s="755">
        <v>4</v>
      </c>
      <c r="G442" s="510" t="s">
        <v>23580</v>
      </c>
      <c r="H442" s="508">
        <v>0.2094</v>
      </c>
      <c r="I442" s="510">
        <v>147.76449200000002</v>
      </c>
      <c r="J442" s="509">
        <v>591.05796800000007</v>
      </c>
      <c r="K442" s="409"/>
      <c r="L442" s="447">
        <f t="shared" si="50"/>
        <v>591.05796800000007</v>
      </c>
      <c r="M442" s="447"/>
      <c r="N442" s="409"/>
      <c r="O442" s="409"/>
      <c r="P442" s="409"/>
      <c r="Q442" s="409"/>
      <c r="R442" s="409"/>
      <c r="S442" s="409"/>
    </row>
    <row r="443" spans="1:19" s="140" customFormat="1" ht="68.25" customHeight="1">
      <c r="A443" s="394" t="s">
        <v>3259</v>
      </c>
      <c r="B443" s="285" t="s">
        <v>18058</v>
      </c>
      <c r="C443" s="285">
        <v>94495</v>
      </c>
      <c r="D443" s="289" t="s">
        <v>2373</v>
      </c>
      <c r="E443" s="290" t="s">
        <v>109</v>
      </c>
      <c r="F443" s="755">
        <v>42</v>
      </c>
      <c r="G443" s="510" t="s">
        <v>15803</v>
      </c>
      <c r="H443" s="508">
        <v>0.2094</v>
      </c>
      <c r="I443" s="510">
        <v>101.74682199999999</v>
      </c>
      <c r="J443" s="509">
        <v>4273.366524</v>
      </c>
      <c r="K443" s="409"/>
      <c r="L443" s="447">
        <f t="shared" si="50"/>
        <v>4273.366524</v>
      </c>
      <c r="M443" s="447"/>
      <c r="N443" s="409"/>
      <c r="O443" s="409"/>
      <c r="P443" s="409"/>
      <c r="Q443" s="409"/>
      <c r="R443" s="409"/>
      <c r="S443" s="409"/>
    </row>
    <row r="444" spans="1:19" s="140" customFormat="1" ht="51">
      <c r="A444" s="394" t="s">
        <v>3259</v>
      </c>
      <c r="B444" s="285" t="s">
        <v>18059</v>
      </c>
      <c r="C444" s="285">
        <v>89719</v>
      </c>
      <c r="D444" s="289" t="s">
        <v>2083</v>
      </c>
      <c r="E444" s="290" t="s">
        <v>109</v>
      </c>
      <c r="F444" s="755">
        <v>35</v>
      </c>
      <c r="G444" s="510" t="s">
        <v>16691</v>
      </c>
      <c r="H444" s="508">
        <v>0.2094</v>
      </c>
      <c r="I444" s="510">
        <v>11.174856</v>
      </c>
      <c r="J444" s="509">
        <v>391.11995999999999</v>
      </c>
      <c r="K444" s="409"/>
      <c r="L444" s="447">
        <f t="shared" si="50"/>
        <v>391.11995999999999</v>
      </c>
      <c r="M444" s="447"/>
      <c r="N444" s="409"/>
      <c r="O444" s="409"/>
      <c r="P444" s="409"/>
      <c r="Q444" s="409"/>
      <c r="R444" s="409"/>
      <c r="S444" s="409"/>
    </row>
    <row r="445" spans="1:19" s="140" customFormat="1" ht="51">
      <c r="A445" s="394" t="s">
        <v>3259</v>
      </c>
      <c r="B445" s="285" t="s">
        <v>18060</v>
      </c>
      <c r="C445" s="285">
        <v>89723</v>
      </c>
      <c r="D445" s="289" t="s">
        <v>2086</v>
      </c>
      <c r="E445" s="290" t="s">
        <v>109</v>
      </c>
      <c r="F445" s="755">
        <v>100</v>
      </c>
      <c r="G445" s="510" t="s">
        <v>10311</v>
      </c>
      <c r="H445" s="508">
        <v>0.2094</v>
      </c>
      <c r="I445" s="510">
        <v>18.092624000000001</v>
      </c>
      <c r="J445" s="509">
        <v>1809.2624000000001</v>
      </c>
      <c r="K445" s="409"/>
      <c r="L445" s="447">
        <f t="shared" si="50"/>
        <v>1809.2624000000001</v>
      </c>
      <c r="M445" s="447"/>
      <c r="N445" s="409"/>
      <c r="O445" s="409"/>
      <c r="P445" s="409"/>
      <c r="Q445" s="409"/>
      <c r="R445" s="409"/>
      <c r="S445" s="409"/>
    </row>
    <row r="446" spans="1:19" s="140" customFormat="1" ht="51">
      <c r="A446" s="394" t="s">
        <v>3259</v>
      </c>
      <c r="B446" s="285" t="s">
        <v>18061</v>
      </c>
      <c r="C446" s="285">
        <v>89729</v>
      </c>
      <c r="D446" s="289" t="s">
        <v>2092</v>
      </c>
      <c r="E446" s="290" t="s">
        <v>109</v>
      </c>
      <c r="F446" s="755">
        <v>6</v>
      </c>
      <c r="G446" s="510" t="s">
        <v>14281</v>
      </c>
      <c r="H446" s="508">
        <v>0.2094</v>
      </c>
      <c r="I446" s="510">
        <v>27.199406</v>
      </c>
      <c r="J446" s="509">
        <v>163.19643600000001</v>
      </c>
      <c r="K446" s="409"/>
      <c r="L446" s="447">
        <f t="shared" si="50"/>
        <v>163.19643600000001</v>
      </c>
      <c r="M446" s="447"/>
      <c r="N446" s="409"/>
      <c r="O446" s="409"/>
      <c r="P446" s="409"/>
      <c r="Q446" s="409"/>
      <c r="R446" s="409"/>
      <c r="S446" s="409"/>
    </row>
    <row r="447" spans="1:19" s="140" customFormat="1" ht="63.75">
      <c r="A447" s="394" t="s">
        <v>3259</v>
      </c>
      <c r="B447" s="285" t="s">
        <v>18062</v>
      </c>
      <c r="C447" s="285">
        <v>94746</v>
      </c>
      <c r="D447" s="289" t="s">
        <v>2316</v>
      </c>
      <c r="E447" s="290" t="s">
        <v>109</v>
      </c>
      <c r="F447" s="755">
        <v>9</v>
      </c>
      <c r="G447" s="510" t="s">
        <v>12420</v>
      </c>
      <c r="H447" s="508">
        <v>0.2094</v>
      </c>
      <c r="I447" s="510">
        <v>37.285801999999997</v>
      </c>
      <c r="J447" s="509">
        <v>335.57221799999996</v>
      </c>
      <c r="K447" s="409"/>
      <c r="L447" s="447">
        <f t="shared" si="50"/>
        <v>335.57221799999996</v>
      </c>
      <c r="M447" s="447"/>
      <c r="N447" s="409"/>
      <c r="O447" s="409"/>
      <c r="P447" s="409"/>
      <c r="Q447" s="409"/>
      <c r="R447" s="409"/>
      <c r="S447" s="409"/>
    </row>
    <row r="448" spans="1:19" s="140" customFormat="1" ht="51">
      <c r="A448" s="394" t="s">
        <v>3259</v>
      </c>
      <c r="B448" s="285" t="s">
        <v>18063</v>
      </c>
      <c r="C448" s="285">
        <v>89644</v>
      </c>
      <c r="D448" s="289" t="s">
        <v>4190</v>
      </c>
      <c r="E448" s="290" t="s">
        <v>109</v>
      </c>
      <c r="F448" s="755">
        <v>18</v>
      </c>
      <c r="G448" s="510" t="s">
        <v>14222</v>
      </c>
      <c r="H448" s="508">
        <v>0.2094</v>
      </c>
      <c r="I448" s="510">
        <v>25.615092000000001</v>
      </c>
      <c r="J448" s="509">
        <v>461.07165600000002</v>
      </c>
      <c r="K448" s="409"/>
      <c r="L448" s="447">
        <f t="shared" si="50"/>
        <v>461.07165600000002</v>
      </c>
      <c r="M448" s="447"/>
      <c r="N448" s="409"/>
      <c r="O448" s="409"/>
      <c r="P448" s="409"/>
      <c r="Q448" s="409"/>
      <c r="R448" s="409"/>
      <c r="S448" s="409"/>
    </row>
    <row r="449" spans="1:19" s="140" customFormat="1" ht="51">
      <c r="A449" s="394" t="s">
        <v>3259</v>
      </c>
      <c r="B449" s="285" t="s">
        <v>18064</v>
      </c>
      <c r="C449" s="285">
        <v>89645</v>
      </c>
      <c r="D449" s="289" t="s">
        <v>2022</v>
      </c>
      <c r="E449" s="290" t="s">
        <v>109</v>
      </c>
      <c r="F449" s="755">
        <v>9</v>
      </c>
      <c r="G449" s="510" t="s">
        <v>19960</v>
      </c>
      <c r="H449" s="508">
        <v>0.2094</v>
      </c>
      <c r="I449" s="510">
        <v>27.997609999999998</v>
      </c>
      <c r="J449" s="509">
        <v>251.97848999999999</v>
      </c>
      <c r="K449" s="409"/>
      <c r="L449" s="447">
        <f t="shared" ref="L449" si="52">I449*F449</f>
        <v>251.97848999999999</v>
      </c>
      <c r="M449" s="447"/>
      <c r="N449" s="409"/>
      <c r="O449" s="409"/>
      <c r="P449" s="409"/>
      <c r="Q449" s="409"/>
      <c r="R449" s="409"/>
      <c r="S449" s="409"/>
    </row>
    <row r="450" spans="1:19" s="140" customFormat="1" ht="51">
      <c r="A450" s="394" t="s">
        <v>3259</v>
      </c>
      <c r="B450" s="285" t="s">
        <v>18065</v>
      </c>
      <c r="C450" s="285">
        <v>89702</v>
      </c>
      <c r="D450" s="289" t="s">
        <v>2077</v>
      </c>
      <c r="E450" s="290" t="s">
        <v>109</v>
      </c>
      <c r="F450" s="755">
        <v>8</v>
      </c>
      <c r="G450" s="510" t="s">
        <v>23103</v>
      </c>
      <c r="H450" s="508">
        <v>0.2094</v>
      </c>
      <c r="I450" s="510">
        <v>21.696636000000002</v>
      </c>
      <c r="J450" s="509">
        <v>173.57308800000001</v>
      </c>
      <c r="K450" s="409"/>
      <c r="L450" s="447">
        <f t="shared" ref="L450" si="53">I450*F450</f>
        <v>173.57308800000001</v>
      </c>
      <c r="M450" s="447"/>
      <c r="N450" s="409"/>
      <c r="O450" s="409"/>
      <c r="P450" s="409"/>
      <c r="Q450" s="409"/>
      <c r="R450" s="409"/>
      <c r="S450" s="409"/>
    </row>
    <row r="451" spans="1:19" s="140" customFormat="1" ht="63.75">
      <c r="A451" s="394" t="s">
        <v>3259</v>
      </c>
      <c r="B451" s="285" t="s">
        <v>18066</v>
      </c>
      <c r="C451" s="285">
        <v>92366</v>
      </c>
      <c r="D451" s="289" t="s">
        <v>13232</v>
      </c>
      <c r="E451" s="290" t="s">
        <v>5</v>
      </c>
      <c r="F451" s="755">
        <v>7.5</v>
      </c>
      <c r="G451" s="510" t="s">
        <v>22949</v>
      </c>
      <c r="H451" s="508">
        <v>0.2094</v>
      </c>
      <c r="I451" s="510">
        <v>123.10482600000002</v>
      </c>
      <c r="J451" s="509">
        <v>923.28619500000013</v>
      </c>
      <c r="K451" s="409"/>
      <c r="L451" s="447">
        <f t="shared" si="50"/>
        <v>923.28619500000013</v>
      </c>
      <c r="M451" s="447"/>
      <c r="N451" s="409"/>
      <c r="O451" s="409"/>
      <c r="P451" s="409"/>
      <c r="Q451" s="409"/>
      <c r="R451" s="409"/>
      <c r="S451" s="409"/>
    </row>
    <row r="452" spans="1:19" s="140" customFormat="1" ht="51">
      <c r="A452" s="394" t="s">
        <v>3259</v>
      </c>
      <c r="B452" s="285" t="s">
        <v>18067</v>
      </c>
      <c r="C452" s="285">
        <v>92894</v>
      </c>
      <c r="D452" s="289" t="s">
        <v>13367</v>
      </c>
      <c r="E452" s="290" t="s">
        <v>109</v>
      </c>
      <c r="F452" s="755">
        <v>10</v>
      </c>
      <c r="G452" s="510" t="s">
        <v>23191</v>
      </c>
      <c r="H452" s="508">
        <v>0.2094</v>
      </c>
      <c r="I452" s="510">
        <v>85.468298000000004</v>
      </c>
      <c r="J452" s="509">
        <v>854.68298000000004</v>
      </c>
      <c r="K452" s="409"/>
      <c r="L452" s="447">
        <f t="shared" si="50"/>
        <v>854.68298000000004</v>
      </c>
      <c r="M452" s="447"/>
      <c r="N452" s="409"/>
      <c r="O452" s="409"/>
      <c r="P452" s="409"/>
      <c r="Q452" s="409"/>
      <c r="R452" s="409"/>
      <c r="S452" s="409"/>
    </row>
    <row r="453" spans="1:19" s="140" customFormat="1" ht="76.5">
      <c r="A453" s="394" t="s">
        <v>3259</v>
      </c>
      <c r="B453" s="285" t="s">
        <v>18068</v>
      </c>
      <c r="C453" s="285">
        <v>95252</v>
      </c>
      <c r="D453" s="289" t="s">
        <v>2387</v>
      </c>
      <c r="E453" s="290" t="s">
        <v>109</v>
      </c>
      <c r="F453" s="755">
        <v>4</v>
      </c>
      <c r="G453" s="510" t="s">
        <v>23596</v>
      </c>
      <c r="H453" s="508">
        <v>0.2094</v>
      </c>
      <c r="I453" s="510">
        <v>197.79737000000003</v>
      </c>
      <c r="J453" s="509">
        <v>791.18948000000012</v>
      </c>
      <c r="K453" s="409"/>
      <c r="L453" s="447">
        <f t="shared" si="50"/>
        <v>791.18948000000012</v>
      </c>
      <c r="M453" s="447"/>
      <c r="N453" s="409"/>
      <c r="O453" s="409"/>
      <c r="P453" s="409"/>
      <c r="Q453" s="409"/>
      <c r="R453" s="409"/>
      <c r="S453" s="409"/>
    </row>
    <row r="454" spans="1:19" s="140" customFormat="1" ht="38.25">
      <c r="A454" s="394" t="s">
        <v>3259</v>
      </c>
      <c r="B454" s="285" t="s">
        <v>18069</v>
      </c>
      <c r="C454" s="285">
        <v>99631</v>
      </c>
      <c r="D454" s="289" t="s">
        <v>4344</v>
      </c>
      <c r="E454" s="290" t="s">
        <v>109</v>
      </c>
      <c r="F454" s="755">
        <v>1</v>
      </c>
      <c r="G454" s="510" t="s">
        <v>22851</v>
      </c>
      <c r="H454" s="508">
        <v>0.2094</v>
      </c>
      <c r="I454" s="510">
        <v>159.50776599999998</v>
      </c>
      <c r="J454" s="509">
        <v>159.50776599999998</v>
      </c>
      <c r="K454" s="409"/>
      <c r="L454" s="447">
        <f t="shared" si="50"/>
        <v>159.50776599999998</v>
      </c>
      <c r="M454" s="447"/>
      <c r="N454" s="409"/>
      <c r="O454" s="409"/>
      <c r="P454" s="409"/>
      <c r="Q454" s="409"/>
      <c r="R454" s="409"/>
      <c r="S454" s="409"/>
    </row>
    <row r="455" spans="1:19" s="140" customFormat="1" ht="51">
      <c r="A455" s="394" t="s">
        <v>3259</v>
      </c>
      <c r="B455" s="285" t="s">
        <v>18070</v>
      </c>
      <c r="C455" s="285">
        <v>92907</v>
      </c>
      <c r="D455" s="289" t="s">
        <v>13380</v>
      </c>
      <c r="E455" s="290" t="s">
        <v>109</v>
      </c>
      <c r="F455" s="755">
        <v>2</v>
      </c>
      <c r="G455" s="510" t="s">
        <v>23198</v>
      </c>
      <c r="H455" s="508">
        <v>0.2094</v>
      </c>
      <c r="I455" s="510">
        <v>64.43683200000001</v>
      </c>
      <c r="J455" s="509">
        <v>128.87366400000002</v>
      </c>
      <c r="K455" s="409"/>
      <c r="L455" s="447">
        <f t="shared" si="50"/>
        <v>128.87366400000002</v>
      </c>
      <c r="M455" s="447"/>
      <c r="N455" s="409"/>
      <c r="O455" s="409"/>
      <c r="P455" s="409"/>
      <c r="Q455" s="409"/>
      <c r="R455" s="409"/>
      <c r="S455" s="409"/>
    </row>
    <row r="456" spans="1:19" s="140" customFormat="1" ht="63.75">
      <c r="A456" s="394" t="s">
        <v>3259</v>
      </c>
      <c r="B456" s="285" t="s">
        <v>18071</v>
      </c>
      <c r="C456" s="285">
        <v>92673</v>
      </c>
      <c r="D456" s="289" t="s">
        <v>13333</v>
      </c>
      <c r="E456" s="290" t="s">
        <v>109</v>
      </c>
      <c r="F456" s="755">
        <v>1</v>
      </c>
      <c r="G456" s="510" t="s">
        <v>16652</v>
      </c>
      <c r="H456" s="508">
        <v>0.2094</v>
      </c>
      <c r="I456" s="510">
        <v>54.749538000000008</v>
      </c>
      <c r="J456" s="509">
        <v>54.749538000000008</v>
      </c>
      <c r="K456" s="409"/>
      <c r="L456" s="447">
        <f t="shared" si="50"/>
        <v>54.749538000000008</v>
      </c>
      <c r="M456" s="447"/>
      <c r="N456" s="409"/>
      <c r="O456" s="409"/>
      <c r="P456" s="409"/>
      <c r="Q456" s="409"/>
      <c r="R456" s="409"/>
      <c r="S456" s="409"/>
    </row>
    <row r="457" spans="1:19" s="140" customFormat="1" ht="63.75">
      <c r="A457" s="394" t="s">
        <v>3259</v>
      </c>
      <c r="B457" s="285" t="s">
        <v>18072</v>
      </c>
      <c r="C457" s="285">
        <v>92674</v>
      </c>
      <c r="D457" s="289" t="s">
        <v>13334</v>
      </c>
      <c r="E457" s="290" t="s">
        <v>109</v>
      </c>
      <c r="F457" s="755">
        <v>3</v>
      </c>
      <c r="G457" s="510" t="s">
        <v>23175</v>
      </c>
      <c r="H457" s="508">
        <v>0.2094</v>
      </c>
      <c r="I457" s="510">
        <v>52.040482000000004</v>
      </c>
      <c r="J457" s="509">
        <v>156.12144600000002</v>
      </c>
      <c r="K457" s="409"/>
      <c r="L457" s="447">
        <f t="shared" si="50"/>
        <v>156.12144600000002</v>
      </c>
      <c r="M457" s="447"/>
      <c r="N457" s="409"/>
      <c r="O457" s="409"/>
      <c r="P457" s="409"/>
      <c r="Q457" s="409"/>
      <c r="R457" s="409"/>
      <c r="S457" s="409"/>
    </row>
    <row r="458" spans="1:19" s="140" customFormat="1" ht="63.75">
      <c r="A458" s="394" t="s">
        <v>3260</v>
      </c>
      <c r="B458" s="285" t="s">
        <v>18073</v>
      </c>
      <c r="C458" s="285" t="s">
        <v>18671</v>
      </c>
      <c r="D458" s="289" t="s">
        <v>18673</v>
      </c>
      <c r="E458" s="290" t="s">
        <v>109</v>
      </c>
      <c r="F458" s="755">
        <v>1</v>
      </c>
      <c r="G458" s="510">
        <v>39.53</v>
      </c>
      <c r="H458" s="508">
        <v>0.2094</v>
      </c>
      <c r="I458" s="510">
        <v>47.807582000000004</v>
      </c>
      <c r="J458" s="509">
        <v>47.807582000000004</v>
      </c>
      <c r="K458" s="409"/>
      <c r="L458" s="447">
        <f t="shared" si="50"/>
        <v>47.807582000000004</v>
      </c>
      <c r="M458" s="447"/>
      <c r="N458" s="409"/>
      <c r="O458" s="409"/>
      <c r="P458" s="409"/>
      <c r="Q458" s="409"/>
      <c r="R458" s="409"/>
      <c r="S458" s="409"/>
    </row>
    <row r="459" spans="1:19" s="140" customFormat="1" ht="51">
      <c r="A459" s="394" t="s">
        <v>3259</v>
      </c>
      <c r="B459" s="285" t="s">
        <v>18108</v>
      </c>
      <c r="C459" s="285">
        <v>92661</v>
      </c>
      <c r="D459" s="289" t="s">
        <v>13321</v>
      </c>
      <c r="E459" s="290" t="s">
        <v>109</v>
      </c>
      <c r="F459" s="755">
        <v>10</v>
      </c>
      <c r="G459" s="510" t="s">
        <v>10127</v>
      </c>
      <c r="H459" s="508">
        <v>0.2094</v>
      </c>
      <c r="I459" s="510">
        <v>35.628924000000005</v>
      </c>
      <c r="J459" s="509">
        <v>356.28924000000006</v>
      </c>
      <c r="K459" s="409"/>
      <c r="L459" s="447">
        <f t="shared" si="50"/>
        <v>356.28924000000006</v>
      </c>
      <c r="M459" s="447"/>
      <c r="N459" s="409"/>
      <c r="O459" s="409"/>
      <c r="P459" s="409"/>
      <c r="Q459" s="409"/>
      <c r="R459" s="409"/>
      <c r="S459" s="409"/>
    </row>
    <row r="460" spans="1:19" s="140" customFormat="1" ht="51">
      <c r="A460" s="394" t="s">
        <v>3259</v>
      </c>
      <c r="B460" s="285" t="s">
        <v>18109</v>
      </c>
      <c r="C460" s="285">
        <v>92662</v>
      </c>
      <c r="D460" s="289" t="s">
        <v>13322</v>
      </c>
      <c r="E460" s="290" t="s">
        <v>109</v>
      </c>
      <c r="F460" s="755">
        <v>10</v>
      </c>
      <c r="G460" s="510" t="s">
        <v>10443</v>
      </c>
      <c r="H460" s="508">
        <v>0.2094</v>
      </c>
      <c r="I460" s="510">
        <v>35.894992000000002</v>
      </c>
      <c r="J460" s="509">
        <v>358.94992000000002</v>
      </c>
      <c r="K460" s="409"/>
      <c r="L460" s="447">
        <f t="shared" si="50"/>
        <v>358.94992000000002</v>
      </c>
      <c r="M460" s="447"/>
      <c r="N460" s="409"/>
      <c r="O460" s="409"/>
      <c r="P460" s="409"/>
      <c r="Q460" s="409"/>
      <c r="R460" s="409"/>
      <c r="S460" s="409"/>
    </row>
    <row r="461" spans="1:19" s="140" customFormat="1" ht="25.5">
      <c r="A461" s="394" t="s">
        <v>3260</v>
      </c>
      <c r="B461" s="285" t="s">
        <v>18110</v>
      </c>
      <c r="C461" s="285" t="s">
        <v>17874</v>
      </c>
      <c r="D461" s="289" t="s">
        <v>17875</v>
      </c>
      <c r="E461" s="290" t="s">
        <v>17876</v>
      </c>
      <c r="F461" s="755">
        <v>2</v>
      </c>
      <c r="G461" s="510">
        <v>84.35</v>
      </c>
      <c r="H461" s="508">
        <v>0.2094</v>
      </c>
      <c r="I461" s="510">
        <v>102.01289</v>
      </c>
      <c r="J461" s="509">
        <v>204.02578</v>
      </c>
      <c r="K461" s="409"/>
      <c r="L461" s="447">
        <f t="shared" si="50"/>
        <v>204.02578</v>
      </c>
      <c r="M461" s="447"/>
      <c r="N461" s="409"/>
      <c r="O461" s="409"/>
      <c r="P461" s="409"/>
      <c r="Q461" s="409"/>
      <c r="R461" s="409"/>
      <c r="S461" s="409"/>
    </row>
    <row r="462" spans="1:19" s="140" customFormat="1" ht="38.25">
      <c r="A462" s="394" t="s">
        <v>3259</v>
      </c>
      <c r="B462" s="285" t="s">
        <v>18111</v>
      </c>
      <c r="C462" s="285">
        <v>101917</v>
      </c>
      <c r="D462" s="289" t="s">
        <v>13212</v>
      </c>
      <c r="E462" s="290" t="s">
        <v>109</v>
      </c>
      <c r="F462" s="755">
        <v>1</v>
      </c>
      <c r="G462" s="510" t="s">
        <v>22885</v>
      </c>
      <c r="H462" s="508">
        <v>0.2094</v>
      </c>
      <c r="I462" s="510">
        <v>150.40098399999999</v>
      </c>
      <c r="J462" s="509">
        <v>150.40098399999999</v>
      </c>
      <c r="K462" s="409"/>
      <c r="L462" s="447">
        <f t="shared" si="50"/>
        <v>150.40098399999999</v>
      </c>
      <c r="M462" s="447"/>
      <c r="N462" s="409"/>
      <c r="O462" s="409"/>
      <c r="P462" s="409"/>
      <c r="Q462" s="409"/>
      <c r="R462" s="409"/>
      <c r="S462" s="409"/>
    </row>
    <row r="463" spans="1:19" s="140" customFormat="1" ht="25.5">
      <c r="A463" s="394" t="s">
        <v>3260</v>
      </c>
      <c r="B463" s="285" t="s">
        <v>18112</v>
      </c>
      <c r="C463" s="285" t="s">
        <v>17879</v>
      </c>
      <c r="D463" s="289" t="s">
        <v>17880</v>
      </c>
      <c r="E463" s="290" t="s">
        <v>17876</v>
      </c>
      <c r="F463" s="755">
        <v>1</v>
      </c>
      <c r="G463" s="510">
        <v>106.13</v>
      </c>
      <c r="H463" s="508">
        <v>0.2094</v>
      </c>
      <c r="I463" s="510">
        <v>128.353622</v>
      </c>
      <c r="J463" s="509">
        <v>128.353622</v>
      </c>
      <c r="K463" s="409"/>
      <c r="L463" s="447">
        <f t="shared" si="50"/>
        <v>128.353622</v>
      </c>
      <c r="M463" s="447"/>
      <c r="N463" s="409"/>
      <c r="O463" s="409"/>
      <c r="P463" s="409"/>
      <c r="Q463" s="409"/>
      <c r="R463" s="409"/>
      <c r="S463" s="409"/>
    </row>
    <row r="464" spans="1:19" s="140" customFormat="1" ht="38.25">
      <c r="A464" s="394" t="s">
        <v>3259</v>
      </c>
      <c r="B464" s="285" t="s">
        <v>18113</v>
      </c>
      <c r="C464" s="285">
        <v>99621</v>
      </c>
      <c r="D464" s="289" t="s">
        <v>4334</v>
      </c>
      <c r="E464" s="290" t="s">
        <v>109</v>
      </c>
      <c r="F464" s="755">
        <v>1</v>
      </c>
      <c r="G464" s="510" t="s">
        <v>23599</v>
      </c>
      <c r="H464" s="508">
        <v>0.2094</v>
      </c>
      <c r="I464" s="510">
        <v>240.83991599999999</v>
      </c>
      <c r="J464" s="509">
        <v>240.83991599999999</v>
      </c>
      <c r="K464" s="409"/>
      <c r="L464" s="447">
        <f t="shared" si="50"/>
        <v>240.83991599999999</v>
      </c>
      <c r="M464" s="447"/>
      <c r="N464" s="409"/>
      <c r="O464" s="409"/>
      <c r="P464" s="409"/>
      <c r="Q464" s="409"/>
      <c r="R464" s="409"/>
      <c r="S464" s="409"/>
    </row>
    <row r="465" spans="1:19" s="140" customFormat="1" ht="38.25">
      <c r="A465" s="394" t="s">
        <v>3259</v>
      </c>
      <c r="B465" s="285" t="s">
        <v>18709</v>
      </c>
      <c r="C465" s="285">
        <v>99620</v>
      </c>
      <c r="D465" s="289" t="s">
        <v>4333</v>
      </c>
      <c r="E465" s="290" t="s">
        <v>109</v>
      </c>
      <c r="F465" s="755">
        <v>1</v>
      </c>
      <c r="G465" s="510" t="s">
        <v>21508</v>
      </c>
      <c r="H465" s="508">
        <v>0.2094</v>
      </c>
      <c r="I465" s="510">
        <v>173.27073800000002</v>
      </c>
      <c r="J465" s="509">
        <v>173.27073800000002</v>
      </c>
      <c r="K465" s="409"/>
      <c r="L465" s="447">
        <f t="shared" ref="L465" si="54">I465*F465</f>
        <v>173.27073800000002</v>
      </c>
      <c r="M465" s="447"/>
      <c r="N465" s="409"/>
      <c r="O465" s="409"/>
      <c r="P465" s="409"/>
      <c r="Q465" s="409"/>
      <c r="R465" s="409"/>
      <c r="S465" s="409"/>
    </row>
    <row r="466" spans="1:19" s="140" customFormat="1" ht="15" customHeight="1">
      <c r="A466" s="256"/>
      <c r="B466" s="591"/>
      <c r="C466" s="592"/>
      <c r="D466" s="592"/>
      <c r="E466" s="592"/>
      <c r="F466" s="592"/>
      <c r="G466" s="592"/>
      <c r="H466" s="592"/>
      <c r="I466" s="592"/>
      <c r="J466" s="593"/>
      <c r="K466" s="409"/>
      <c r="L466" s="447">
        <f t="shared" si="50"/>
        <v>0</v>
      </c>
      <c r="M466" s="409"/>
      <c r="N466" s="409"/>
      <c r="O466" s="409"/>
      <c r="P466" s="409"/>
      <c r="Q466" s="409"/>
      <c r="R466" s="409"/>
      <c r="S466" s="409"/>
    </row>
    <row r="467" spans="1:19" s="92" customFormat="1">
      <c r="A467" s="256"/>
      <c r="B467" s="287" t="s">
        <v>18074</v>
      </c>
      <c r="C467" s="287"/>
      <c r="D467" s="400" t="s">
        <v>15055</v>
      </c>
      <c r="E467" s="415"/>
      <c r="F467" s="415"/>
      <c r="G467" s="462"/>
      <c r="H467" s="415"/>
      <c r="I467" s="462"/>
      <c r="J467" s="416"/>
      <c r="K467" s="298"/>
      <c r="L467" s="447">
        <f t="shared" si="50"/>
        <v>0</v>
      </c>
      <c r="M467" s="447"/>
      <c r="N467" s="298"/>
      <c r="O467" s="298"/>
      <c r="P467" s="298"/>
      <c r="Q467" s="298"/>
      <c r="R467" s="298"/>
      <c r="S467" s="298"/>
    </row>
    <row r="468" spans="1:19" s="140" customFormat="1" ht="38.25">
      <c r="A468" s="394" t="s">
        <v>3260</v>
      </c>
      <c r="B468" s="285" t="s">
        <v>18075</v>
      </c>
      <c r="C468" s="285" t="s">
        <v>17883</v>
      </c>
      <c r="D468" s="289" t="s">
        <v>17884</v>
      </c>
      <c r="E468" s="290" t="s">
        <v>109</v>
      </c>
      <c r="F468" s="755">
        <v>2</v>
      </c>
      <c r="G468" s="510">
        <v>1244.6999999999998</v>
      </c>
      <c r="H468" s="508">
        <v>0.2094</v>
      </c>
      <c r="I468" s="510">
        <v>1505.3401799999999</v>
      </c>
      <c r="J468" s="509">
        <v>3010.6803599999998</v>
      </c>
      <c r="K468" s="409"/>
      <c r="L468" s="447">
        <f t="shared" si="50"/>
        <v>3010.6803599999998</v>
      </c>
      <c r="M468" s="447"/>
      <c r="N468" s="409"/>
      <c r="O468" s="409"/>
      <c r="P468" s="409"/>
      <c r="Q468" s="409"/>
      <c r="R468" s="409"/>
      <c r="S468" s="409"/>
    </row>
    <row r="469" spans="1:19" s="140" customFormat="1" ht="15" customHeight="1">
      <c r="A469" s="256"/>
      <c r="B469" s="591"/>
      <c r="C469" s="592"/>
      <c r="D469" s="592"/>
      <c r="E469" s="592"/>
      <c r="F469" s="592"/>
      <c r="G469" s="592"/>
      <c r="H469" s="592"/>
      <c r="I469" s="592"/>
      <c r="J469" s="592"/>
      <c r="K469" s="409"/>
      <c r="L469" s="447">
        <f t="shared" si="50"/>
        <v>0</v>
      </c>
      <c r="M469" s="409"/>
      <c r="N469" s="409"/>
      <c r="O469" s="409"/>
      <c r="P469" s="409"/>
      <c r="Q469" s="409"/>
      <c r="R469" s="409"/>
      <c r="S469" s="409"/>
    </row>
    <row r="470" spans="1:19" s="92" customFormat="1">
      <c r="A470" s="256"/>
      <c r="B470" s="287" t="s">
        <v>18076</v>
      </c>
      <c r="C470" s="287"/>
      <c r="D470" s="400" t="s">
        <v>18077</v>
      </c>
      <c r="E470" s="415"/>
      <c r="F470" s="415"/>
      <c r="G470" s="462"/>
      <c r="H470" s="415"/>
      <c r="I470" s="462"/>
      <c r="J470" s="416"/>
      <c r="K470" s="298"/>
      <c r="L470" s="447">
        <f t="shared" si="50"/>
        <v>0</v>
      </c>
      <c r="M470" s="447"/>
      <c r="N470" s="298"/>
      <c r="O470" s="298"/>
      <c r="P470" s="298"/>
      <c r="Q470" s="298"/>
      <c r="R470" s="298"/>
      <c r="S470" s="298"/>
    </row>
    <row r="471" spans="1:19" s="140" customFormat="1" ht="38.25">
      <c r="A471" s="394" t="s">
        <v>3260</v>
      </c>
      <c r="B471" s="285" t="s">
        <v>18078</v>
      </c>
      <c r="C471" s="285" t="s">
        <v>17887</v>
      </c>
      <c r="D471" s="289" t="s">
        <v>18276</v>
      </c>
      <c r="E471" s="290" t="s">
        <v>109</v>
      </c>
      <c r="F471" s="755">
        <v>2</v>
      </c>
      <c r="G471" s="510">
        <v>59.870000000000005</v>
      </c>
      <c r="H471" s="508">
        <v>0.2094</v>
      </c>
      <c r="I471" s="510">
        <v>72.406778000000003</v>
      </c>
      <c r="J471" s="509">
        <v>144.81355600000001</v>
      </c>
      <c r="K471" s="409"/>
      <c r="L471" s="447">
        <f t="shared" si="50"/>
        <v>144.81355600000001</v>
      </c>
      <c r="M471" s="447"/>
      <c r="N471" s="409"/>
      <c r="O471" s="409"/>
      <c r="P471" s="409"/>
      <c r="Q471" s="409"/>
      <c r="R471" s="409"/>
      <c r="S471" s="409"/>
    </row>
    <row r="472" spans="1:19" s="140" customFormat="1" ht="25.5">
      <c r="A472" s="394" t="s">
        <v>3260</v>
      </c>
      <c r="B472" s="285" t="s">
        <v>18079</v>
      </c>
      <c r="C472" s="285" t="s">
        <v>17890</v>
      </c>
      <c r="D472" s="289" t="s">
        <v>18277</v>
      </c>
      <c r="E472" s="290" t="s">
        <v>109</v>
      </c>
      <c r="F472" s="755">
        <v>84</v>
      </c>
      <c r="G472" s="510">
        <v>54.03</v>
      </c>
      <c r="H472" s="508">
        <v>0.2094</v>
      </c>
      <c r="I472" s="510">
        <v>65.343882000000008</v>
      </c>
      <c r="J472" s="509">
        <v>5488.8860880000011</v>
      </c>
      <c r="K472" s="409"/>
      <c r="L472" s="447">
        <f t="shared" si="50"/>
        <v>5488.8860880000011</v>
      </c>
      <c r="M472" s="447"/>
      <c r="N472" s="409"/>
      <c r="O472" s="409"/>
      <c r="P472" s="409"/>
      <c r="Q472" s="409"/>
      <c r="R472" s="409"/>
      <c r="S472" s="409"/>
    </row>
    <row r="473" spans="1:19" s="140" customFormat="1" ht="38.25">
      <c r="A473" s="394" t="s">
        <v>12</v>
      </c>
      <c r="B473" s="285" t="s">
        <v>18274</v>
      </c>
      <c r="C473" s="285" t="s">
        <v>17888</v>
      </c>
      <c r="D473" s="289" t="s">
        <v>18086</v>
      </c>
      <c r="E473" s="290" t="s">
        <v>109</v>
      </c>
      <c r="F473" s="755">
        <v>2</v>
      </c>
      <c r="G473" s="510">
        <v>19215</v>
      </c>
      <c r="H473" s="508">
        <v>0.1089</v>
      </c>
      <c r="I473" s="510">
        <v>21307.513500000001</v>
      </c>
      <c r="J473" s="509">
        <v>42615.027000000002</v>
      </c>
      <c r="K473" s="409"/>
      <c r="L473" s="447">
        <f t="shared" ref="L473:L474" si="55">I473*F473</f>
        <v>42615.027000000002</v>
      </c>
      <c r="M473" s="447"/>
      <c r="N473" s="409"/>
      <c r="O473" s="409"/>
      <c r="P473" s="409"/>
      <c r="Q473" s="409"/>
      <c r="R473" s="409"/>
      <c r="S473" s="409"/>
    </row>
    <row r="474" spans="1:19" s="140" customFormat="1" ht="38.25">
      <c r="A474" s="394" t="s">
        <v>12</v>
      </c>
      <c r="B474" s="285" t="s">
        <v>18275</v>
      </c>
      <c r="C474" s="285" t="s">
        <v>17891</v>
      </c>
      <c r="D474" s="289" t="s">
        <v>18087</v>
      </c>
      <c r="E474" s="290" t="s">
        <v>109</v>
      </c>
      <c r="F474" s="755">
        <v>84</v>
      </c>
      <c r="G474" s="510">
        <v>859.77</v>
      </c>
      <c r="H474" s="508">
        <v>0.1089</v>
      </c>
      <c r="I474" s="510">
        <v>953.39895300000001</v>
      </c>
      <c r="J474" s="509">
        <v>80085.512052000005</v>
      </c>
      <c r="K474" s="409"/>
      <c r="L474" s="447">
        <f t="shared" si="55"/>
        <v>80085.512052000005</v>
      </c>
      <c r="M474" s="447"/>
      <c r="N474" s="409"/>
      <c r="O474" s="409"/>
      <c r="P474" s="409"/>
      <c r="Q474" s="409"/>
      <c r="R474" s="409"/>
      <c r="S474" s="409"/>
    </row>
    <row r="475" spans="1:19" s="140" customFormat="1" ht="15" customHeight="1">
      <c r="A475" s="394"/>
      <c r="B475" s="586"/>
      <c r="C475" s="587"/>
      <c r="D475" s="587"/>
      <c r="E475" s="587"/>
      <c r="F475" s="587"/>
      <c r="G475" s="587"/>
      <c r="H475" s="587"/>
      <c r="I475" s="587"/>
      <c r="J475" s="587"/>
      <c r="K475" s="409"/>
      <c r="L475" s="447">
        <f t="shared" si="50"/>
        <v>0</v>
      </c>
      <c r="M475" s="447"/>
      <c r="N475" s="409"/>
      <c r="O475" s="409"/>
      <c r="P475" s="409"/>
      <c r="Q475" s="409"/>
      <c r="R475" s="409"/>
      <c r="S475" s="409"/>
    </row>
    <row r="476" spans="1:19" s="92" customFormat="1">
      <c r="A476" s="256"/>
      <c r="B476" s="287" t="s">
        <v>18080</v>
      </c>
      <c r="C476" s="287"/>
      <c r="D476" s="400" t="s">
        <v>111</v>
      </c>
      <c r="E476" s="415"/>
      <c r="F476" s="415"/>
      <c r="G476" s="462"/>
      <c r="H476" s="415"/>
      <c r="I476" s="462"/>
      <c r="J476" s="416"/>
      <c r="K476" s="298"/>
      <c r="L476" s="447">
        <f t="shared" si="50"/>
        <v>0</v>
      </c>
      <c r="M476" s="447"/>
      <c r="N476" s="298"/>
      <c r="O476" s="298"/>
      <c r="P476" s="298"/>
      <c r="Q476" s="298"/>
      <c r="R476" s="298"/>
      <c r="S476" s="298"/>
    </row>
    <row r="477" spans="1:19" s="92" customFormat="1" ht="38.25">
      <c r="A477" s="394" t="s">
        <v>3259</v>
      </c>
      <c r="B477" s="285" t="s">
        <v>18081</v>
      </c>
      <c r="C477" s="285">
        <v>90443</v>
      </c>
      <c r="D477" s="289" t="s">
        <v>130</v>
      </c>
      <c r="E477" s="290" t="s">
        <v>5</v>
      </c>
      <c r="F477" s="755">
        <v>48.63</v>
      </c>
      <c r="G477" s="510" t="s">
        <v>16337</v>
      </c>
      <c r="H477" s="508">
        <v>0.2094</v>
      </c>
      <c r="I477" s="510">
        <v>14.246732</v>
      </c>
      <c r="J477" s="509">
        <v>692.81857716000002</v>
      </c>
      <c r="K477" s="409"/>
      <c r="L477" s="447">
        <f t="shared" si="50"/>
        <v>692.81857716000002</v>
      </c>
      <c r="M477" s="447"/>
      <c r="N477" s="298"/>
      <c r="O477" s="298"/>
      <c r="P477" s="298"/>
      <c r="Q477" s="298"/>
      <c r="R477" s="298"/>
      <c r="S477" s="298"/>
    </row>
    <row r="478" spans="1:19" s="92" customFormat="1" ht="38.25">
      <c r="A478" s="394" t="s">
        <v>3259</v>
      </c>
      <c r="B478" s="285" t="s">
        <v>18082</v>
      </c>
      <c r="C478" s="285">
        <v>90466</v>
      </c>
      <c r="D478" s="289" t="s">
        <v>132</v>
      </c>
      <c r="E478" s="290" t="s">
        <v>5</v>
      </c>
      <c r="F478" s="755">
        <v>48.63</v>
      </c>
      <c r="G478" s="510" t="s">
        <v>19074</v>
      </c>
      <c r="H478" s="508">
        <v>0.2094</v>
      </c>
      <c r="I478" s="510">
        <v>14.065322000000002</v>
      </c>
      <c r="J478" s="509">
        <v>683.99660886000015</v>
      </c>
      <c r="K478" s="409"/>
      <c r="L478" s="447">
        <f t="shared" si="50"/>
        <v>683.99660886000015</v>
      </c>
      <c r="M478" s="447"/>
      <c r="N478" s="298"/>
      <c r="O478" s="298"/>
      <c r="P478" s="298"/>
      <c r="Q478" s="298"/>
      <c r="R478" s="298"/>
      <c r="S478" s="298"/>
    </row>
    <row r="479" spans="1:19" s="92" customFormat="1" ht="63.75">
      <c r="A479" s="394" t="s">
        <v>3259</v>
      </c>
      <c r="B479" s="285" t="s">
        <v>18083</v>
      </c>
      <c r="C479" s="285">
        <v>91173</v>
      </c>
      <c r="D479" s="289" t="s">
        <v>2428</v>
      </c>
      <c r="E479" s="290" t="s">
        <v>5</v>
      </c>
      <c r="F479" s="755">
        <v>16</v>
      </c>
      <c r="G479" s="510" t="s">
        <v>10430</v>
      </c>
      <c r="H479" s="508">
        <v>0.2094</v>
      </c>
      <c r="I479" s="510">
        <v>1.584314</v>
      </c>
      <c r="J479" s="509">
        <v>25.349024</v>
      </c>
      <c r="K479" s="409"/>
      <c r="L479" s="447">
        <f t="shared" si="50"/>
        <v>25.349024</v>
      </c>
      <c r="M479" s="447"/>
      <c r="N479" s="298"/>
      <c r="O479" s="298"/>
      <c r="P479" s="298"/>
      <c r="Q479" s="298"/>
      <c r="R479" s="298"/>
      <c r="S479" s="298"/>
    </row>
    <row r="480" spans="1:19" s="140" customFormat="1" ht="63.75">
      <c r="A480" s="394" t="s">
        <v>3259</v>
      </c>
      <c r="B480" s="285" t="s">
        <v>18084</v>
      </c>
      <c r="C480" s="285">
        <v>91179</v>
      </c>
      <c r="D480" s="289" t="s">
        <v>2434</v>
      </c>
      <c r="E480" s="290" t="s">
        <v>5</v>
      </c>
      <c r="F480" s="755">
        <v>555.66</v>
      </c>
      <c r="G480" s="510" t="s">
        <v>10229</v>
      </c>
      <c r="H480" s="508">
        <v>0.2094</v>
      </c>
      <c r="I480" s="510">
        <v>7.0266139999999995</v>
      </c>
      <c r="J480" s="509">
        <v>3904.4083352399994</v>
      </c>
      <c r="K480" s="409"/>
      <c r="L480" s="447">
        <f t="shared" si="50"/>
        <v>3904.4083352399994</v>
      </c>
      <c r="M480" s="447"/>
      <c r="N480" s="409"/>
      <c r="O480" s="409"/>
      <c r="P480" s="409"/>
      <c r="Q480" s="409"/>
      <c r="R480" s="409"/>
      <c r="S480" s="409"/>
    </row>
    <row r="481" spans="1:19" s="140" customFormat="1" ht="17.25" customHeight="1">
      <c r="A481" s="394" t="s">
        <v>12</v>
      </c>
      <c r="B481" s="285" t="s">
        <v>18674</v>
      </c>
      <c r="C481" s="285" t="s">
        <v>18676</v>
      </c>
      <c r="D481" s="289" t="s">
        <v>18677</v>
      </c>
      <c r="E481" s="290" t="s">
        <v>193</v>
      </c>
      <c r="F481" s="755">
        <v>4</v>
      </c>
      <c r="G481" s="510">
        <v>184.9</v>
      </c>
      <c r="H481" s="508">
        <v>0.2094</v>
      </c>
      <c r="I481" s="510">
        <v>223.61806000000001</v>
      </c>
      <c r="J481" s="509">
        <v>894.47224000000006</v>
      </c>
      <c r="K481" s="409"/>
      <c r="L481" s="447">
        <f t="shared" ref="L481" si="56">I481*F481</f>
        <v>894.47224000000006</v>
      </c>
      <c r="M481" s="447"/>
      <c r="N481" s="409"/>
      <c r="O481" s="409"/>
      <c r="P481" s="409"/>
      <c r="Q481" s="409"/>
      <c r="R481" s="409"/>
      <c r="S481" s="409"/>
    </row>
    <row r="482" spans="1:19" s="140" customFormat="1" ht="25.5">
      <c r="A482" s="394" t="s">
        <v>3260</v>
      </c>
      <c r="B482" s="285" t="s">
        <v>18675</v>
      </c>
      <c r="C482" s="285" t="s">
        <v>18695</v>
      </c>
      <c r="D482" s="289" t="s">
        <v>18700</v>
      </c>
      <c r="E482" s="290" t="s">
        <v>5</v>
      </c>
      <c r="F482" s="755">
        <v>280.24</v>
      </c>
      <c r="G482" s="510">
        <v>8.23</v>
      </c>
      <c r="H482" s="508">
        <v>0.2094</v>
      </c>
      <c r="I482" s="510">
        <v>9.9533620000000003</v>
      </c>
      <c r="J482" s="509">
        <v>2789.33016688</v>
      </c>
      <c r="K482" s="409"/>
      <c r="L482" s="447">
        <f t="shared" ref="L482:L484" si="57">I482*F482</f>
        <v>2789.33016688</v>
      </c>
      <c r="M482" s="447"/>
      <c r="N482" s="409"/>
      <c r="O482" s="409"/>
      <c r="P482" s="409"/>
      <c r="Q482" s="409"/>
      <c r="R482" s="409"/>
      <c r="S482" s="409"/>
    </row>
    <row r="483" spans="1:19" s="140" customFormat="1" ht="25.5">
      <c r="A483" s="394" t="s">
        <v>3260</v>
      </c>
      <c r="B483" s="285" t="s">
        <v>18702</v>
      </c>
      <c r="C483" s="285" t="s">
        <v>18696</v>
      </c>
      <c r="D483" s="289" t="s">
        <v>18699</v>
      </c>
      <c r="E483" s="290" t="s">
        <v>5</v>
      </c>
      <c r="F483" s="755">
        <v>89.59</v>
      </c>
      <c r="G483" s="510">
        <v>9.629999999999999</v>
      </c>
      <c r="H483" s="508">
        <v>0.2094</v>
      </c>
      <c r="I483" s="510">
        <v>11.646521999999999</v>
      </c>
      <c r="J483" s="509">
        <v>1043.41190598</v>
      </c>
      <c r="K483" s="409"/>
      <c r="L483" s="447">
        <f t="shared" si="57"/>
        <v>1043.41190598</v>
      </c>
      <c r="M483" s="447"/>
      <c r="N483" s="409"/>
      <c r="O483" s="409"/>
      <c r="P483" s="409"/>
      <c r="Q483" s="409"/>
      <c r="R483" s="409"/>
      <c r="S483" s="409"/>
    </row>
    <row r="484" spans="1:19" s="140" customFormat="1" ht="25.5">
      <c r="A484" s="394" t="s">
        <v>3260</v>
      </c>
      <c r="B484" s="285" t="s">
        <v>18703</v>
      </c>
      <c r="C484" s="285" t="s">
        <v>18697</v>
      </c>
      <c r="D484" s="289" t="s">
        <v>18698</v>
      </c>
      <c r="E484" s="290" t="s">
        <v>5</v>
      </c>
      <c r="F484" s="755">
        <v>34.770000000000003</v>
      </c>
      <c r="G484" s="510">
        <v>11.14</v>
      </c>
      <c r="H484" s="508">
        <v>0.2094</v>
      </c>
      <c r="I484" s="510">
        <v>13.472716000000002</v>
      </c>
      <c r="J484" s="509">
        <v>468.44633532000012</v>
      </c>
      <c r="K484" s="409"/>
      <c r="L484" s="447">
        <f t="shared" si="57"/>
        <v>468.44633532000012</v>
      </c>
      <c r="M484" s="447"/>
      <c r="N484" s="409"/>
      <c r="O484" s="409"/>
      <c r="P484" s="409"/>
      <c r="Q484" s="409"/>
      <c r="R484" s="409"/>
      <c r="S484" s="409"/>
    </row>
    <row r="485" spans="1:19" s="92" customFormat="1" ht="15" customHeight="1">
      <c r="A485" s="394"/>
      <c r="B485" s="586"/>
      <c r="C485" s="587"/>
      <c r="D485" s="587"/>
      <c r="E485" s="587"/>
      <c r="F485" s="587"/>
      <c r="G485" s="587"/>
      <c r="H485" s="587"/>
      <c r="I485" s="587"/>
      <c r="J485" s="587"/>
      <c r="K485" s="409"/>
      <c r="L485" s="447">
        <f t="shared" si="50"/>
        <v>0</v>
      </c>
      <c r="M485" s="447"/>
      <c r="N485" s="298"/>
      <c r="O485" s="298"/>
      <c r="P485" s="298"/>
      <c r="Q485" s="298"/>
      <c r="R485" s="298"/>
      <c r="S485" s="298"/>
    </row>
    <row r="486" spans="1:19" s="92" customFormat="1">
      <c r="A486" s="256"/>
      <c r="B486" s="287" t="s">
        <v>9612</v>
      </c>
      <c r="C486" s="287"/>
      <c r="D486" s="400" t="s">
        <v>9613</v>
      </c>
      <c r="E486" s="415"/>
      <c r="F486" s="415"/>
      <c r="G486" s="462"/>
      <c r="H486" s="415"/>
      <c r="I486" s="462"/>
      <c r="J486" s="416"/>
      <c r="K486" s="298"/>
      <c r="L486" s="447">
        <f t="shared" si="50"/>
        <v>0</v>
      </c>
      <c r="M486" s="447"/>
      <c r="N486" s="298"/>
      <c r="O486" s="298"/>
      <c r="P486" s="298"/>
      <c r="Q486" s="298"/>
      <c r="R486" s="298"/>
      <c r="S486" s="298"/>
    </row>
    <row r="487" spans="1:19" s="92" customFormat="1">
      <c r="A487" s="256"/>
      <c r="B487" s="287" t="s">
        <v>9616</v>
      </c>
      <c r="C487" s="287"/>
      <c r="D487" s="400" t="s">
        <v>9617</v>
      </c>
      <c r="E487" s="415"/>
      <c r="F487" s="415"/>
      <c r="G487" s="462"/>
      <c r="H487" s="415"/>
      <c r="I487" s="462"/>
      <c r="J487" s="416"/>
      <c r="K487" s="298"/>
      <c r="L487" s="447">
        <f t="shared" si="50"/>
        <v>0</v>
      </c>
      <c r="M487" s="447"/>
      <c r="N487" s="298"/>
      <c r="O487" s="298"/>
      <c r="P487" s="298"/>
      <c r="Q487" s="298"/>
      <c r="R487" s="298"/>
      <c r="S487" s="298"/>
    </row>
    <row r="488" spans="1:19" s="140" customFormat="1" ht="51">
      <c r="A488" s="394" t="s">
        <v>3259</v>
      </c>
      <c r="B488" s="285" t="s">
        <v>9614</v>
      </c>
      <c r="C488" s="285">
        <v>89576</v>
      </c>
      <c r="D488" s="289" t="s">
        <v>1769</v>
      </c>
      <c r="E488" s="290" t="s">
        <v>5</v>
      </c>
      <c r="F488" s="755">
        <v>34.75</v>
      </c>
      <c r="G488" s="510" t="s">
        <v>9893</v>
      </c>
      <c r="H488" s="508">
        <v>0.2094</v>
      </c>
      <c r="I488" s="510">
        <v>29.920555999999998</v>
      </c>
      <c r="J488" s="509">
        <v>1039.739321</v>
      </c>
      <c r="K488" s="409"/>
      <c r="L488" s="447">
        <f t="shared" ref="L488:L551" si="58">I488*F488</f>
        <v>1039.739321</v>
      </c>
      <c r="M488" s="447"/>
      <c r="N488" s="409"/>
      <c r="O488" s="409"/>
      <c r="P488" s="409"/>
      <c r="Q488" s="409"/>
      <c r="R488" s="409"/>
      <c r="S488" s="409"/>
    </row>
    <row r="489" spans="1:19" s="140" customFormat="1" ht="51">
      <c r="A489" s="394" t="s">
        <v>3259</v>
      </c>
      <c r="B489" s="285" t="s">
        <v>9615</v>
      </c>
      <c r="C489" s="285">
        <v>89578</v>
      </c>
      <c r="D489" s="289" t="s">
        <v>1770</v>
      </c>
      <c r="E489" s="290" t="s">
        <v>5</v>
      </c>
      <c r="F489" s="755">
        <v>96.25</v>
      </c>
      <c r="G489" s="510" t="s">
        <v>16586</v>
      </c>
      <c r="H489" s="508">
        <v>0.2094</v>
      </c>
      <c r="I489" s="510">
        <v>51.653474000000003</v>
      </c>
      <c r="J489" s="509">
        <v>4971.6468725000004</v>
      </c>
      <c r="K489" s="409"/>
      <c r="L489" s="447">
        <f t="shared" ref="L489" si="59">I489*F489</f>
        <v>4971.6468725000004</v>
      </c>
      <c r="M489" s="447"/>
      <c r="N489" s="409"/>
      <c r="O489" s="409"/>
      <c r="P489" s="409"/>
      <c r="Q489" s="409"/>
      <c r="R489" s="409"/>
      <c r="S489" s="409"/>
    </row>
    <row r="490" spans="1:19" s="140" customFormat="1" ht="50.25" customHeight="1">
      <c r="A490" s="394" t="s">
        <v>3259</v>
      </c>
      <c r="B490" s="285" t="s">
        <v>14686</v>
      </c>
      <c r="C490" s="285">
        <v>89584</v>
      </c>
      <c r="D490" s="289" t="s">
        <v>1981</v>
      </c>
      <c r="E490" s="290" t="s">
        <v>109</v>
      </c>
      <c r="F490" s="755">
        <v>36</v>
      </c>
      <c r="G490" s="510" t="s">
        <v>14050</v>
      </c>
      <c r="H490" s="508">
        <v>0.2094</v>
      </c>
      <c r="I490" s="510">
        <v>47.396386</v>
      </c>
      <c r="J490" s="509">
        <v>1706.269896</v>
      </c>
      <c r="K490" s="409"/>
      <c r="L490" s="447">
        <f t="shared" si="58"/>
        <v>1706.269896</v>
      </c>
      <c r="M490" s="447"/>
      <c r="N490" s="409"/>
      <c r="O490" s="409"/>
      <c r="P490" s="409"/>
      <c r="Q490" s="409"/>
      <c r="R490" s="409"/>
      <c r="S490" s="409"/>
    </row>
    <row r="491" spans="1:19" s="140" customFormat="1" ht="51">
      <c r="A491" s="394" t="s">
        <v>3259</v>
      </c>
      <c r="B491" s="285" t="s">
        <v>14687</v>
      </c>
      <c r="C491" s="285">
        <v>89581</v>
      </c>
      <c r="D491" s="289" t="s">
        <v>1978</v>
      </c>
      <c r="E491" s="290" t="s">
        <v>109</v>
      </c>
      <c r="F491" s="755">
        <v>16</v>
      </c>
      <c r="G491" s="510" t="s">
        <v>12342</v>
      </c>
      <c r="H491" s="508">
        <v>0.2094</v>
      </c>
      <c r="I491" s="510">
        <v>31.045298000000003</v>
      </c>
      <c r="J491" s="509">
        <v>496.72476800000004</v>
      </c>
      <c r="K491" s="409"/>
      <c r="L491" s="447">
        <f t="shared" si="58"/>
        <v>496.72476800000004</v>
      </c>
      <c r="M491" s="447"/>
      <c r="N491" s="409"/>
      <c r="O491" s="409"/>
      <c r="P491" s="409"/>
      <c r="Q491" s="409"/>
      <c r="R491" s="409"/>
      <c r="S491" s="409"/>
    </row>
    <row r="492" spans="1:19" s="140" customFormat="1" ht="51">
      <c r="A492" s="394" t="s">
        <v>3259</v>
      </c>
      <c r="B492" s="285" t="s">
        <v>14688</v>
      </c>
      <c r="C492" s="285">
        <v>89692</v>
      </c>
      <c r="D492" s="289" t="s">
        <v>2067</v>
      </c>
      <c r="E492" s="290" t="s">
        <v>109</v>
      </c>
      <c r="F492" s="755">
        <v>13</v>
      </c>
      <c r="G492" s="510" t="s">
        <v>23098</v>
      </c>
      <c r="H492" s="508">
        <v>0.2094</v>
      </c>
      <c r="I492" s="510">
        <v>82.021507999999997</v>
      </c>
      <c r="J492" s="509">
        <v>1066.2796040000001</v>
      </c>
      <c r="K492" s="409"/>
      <c r="L492" s="447">
        <f t="shared" si="58"/>
        <v>1066.2796040000001</v>
      </c>
      <c r="M492" s="447"/>
      <c r="N492" s="409"/>
      <c r="O492" s="409"/>
      <c r="P492" s="409"/>
      <c r="Q492" s="409"/>
      <c r="R492" s="409"/>
      <c r="S492" s="409"/>
    </row>
    <row r="493" spans="1:19" s="140" customFormat="1" ht="51">
      <c r="A493" s="394" t="s">
        <v>3259</v>
      </c>
      <c r="B493" s="285" t="s">
        <v>18085</v>
      </c>
      <c r="C493" s="285">
        <v>89673</v>
      </c>
      <c r="D493" s="289" t="s">
        <v>2050</v>
      </c>
      <c r="E493" s="290" t="s">
        <v>109</v>
      </c>
      <c r="F493" s="755">
        <v>13</v>
      </c>
      <c r="G493" s="510" t="s">
        <v>21088</v>
      </c>
      <c r="H493" s="508">
        <v>0.2094</v>
      </c>
      <c r="I493" s="510">
        <v>30.634101999999999</v>
      </c>
      <c r="J493" s="509">
        <v>398.24332599999997</v>
      </c>
      <c r="K493" s="409"/>
      <c r="L493" s="447">
        <f t="shared" si="58"/>
        <v>398.24332599999997</v>
      </c>
      <c r="M493" s="447"/>
      <c r="N493" s="409"/>
      <c r="O493" s="409"/>
      <c r="P493" s="409"/>
      <c r="Q493" s="409"/>
      <c r="R493" s="409"/>
      <c r="S493" s="409"/>
    </row>
    <row r="494" spans="1:19" s="140" customFormat="1" ht="25.5">
      <c r="A494" s="394" t="s">
        <v>3260</v>
      </c>
      <c r="B494" s="285" t="s">
        <v>18718</v>
      </c>
      <c r="C494" s="285" t="s">
        <v>17903</v>
      </c>
      <c r="D494" s="289" t="s">
        <v>18713</v>
      </c>
      <c r="E494" s="290" t="s">
        <v>3240</v>
      </c>
      <c r="F494" s="755">
        <v>18</v>
      </c>
      <c r="G494" s="510">
        <v>46.39</v>
      </c>
      <c r="H494" s="508">
        <v>0.2094</v>
      </c>
      <c r="I494" s="510">
        <v>56.104066000000003</v>
      </c>
      <c r="J494" s="509">
        <v>1009.873188</v>
      </c>
      <c r="K494" s="409"/>
      <c r="L494" s="447">
        <f t="shared" si="58"/>
        <v>1009.873188</v>
      </c>
      <c r="M494" s="447"/>
      <c r="N494" s="409"/>
      <c r="O494" s="409"/>
      <c r="P494" s="409"/>
      <c r="Q494" s="409"/>
      <c r="R494" s="409"/>
      <c r="S494" s="409"/>
    </row>
    <row r="495" spans="1:19" s="140" customFormat="1" ht="25.5">
      <c r="A495" s="394" t="s">
        <v>3260</v>
      </c>
      <c r="B495" s="285" t="s">
        <v>18719</v>
      </c>
      <c r="C495" s="285" t="s">
        <v>18715</v>
      </c>
      <c r="D495" s="289" t="s">
        <v>18716</v>
      </c>
      <c r="E495" s="290" t="s">
        <v>3240</v>
      </c>
      <c r="F495" s="755">
        <v>13</v>
      </c>
      <c r="G495" s="510">
        <v>39.97</v>
      </c>
      <c r="H495" s="508">
        <v>0.2094</v>
      </c>
      <c r="I495" s="510">
        <v>48.339717999999998</v>
      </c>
      <c r="J495" s="509">
        <v>628.41633400000001</v>
      </c>
      <c r="K495" s="409"/>
      <c r="L495" s="447">
        <f t="shared" ref="L495" si="60">I495*F495</f>
        <v>628.41633400000001</v>
      </c>
      <c r="M495" s="447"/>
      <c r="N495" s="409"/>
      <c r="O495" s="409"/>
      <c r="P495" s="409"/>
      <c r="Q495" s="409"/>
      <c r="R495" s="409"/>
      <c r="S495" s="409"/>
    </row>
    <row r="496" spans="1:19" s="140" customFormat="1">
      <c r="A496" s="394"/>
      <c r="B496" s="285"/>
      <c r="C496" s="285"/>
      <c r="D496" s="407"/>
      <c r="E496" s="230"/>
      <c r="F496" s="426"/>
      <c r="G496" s="464"/>
      <c r="H496" s="427"/>
      <c r="I496" s="464"/>
      <c r="J496" s="594"/>
      <c r="K496" s="409"/>
      <c r="L496" s="447">
        <f t="shared" si="58"/>
        <v>0</v>
      </c>
      <c r="M496" s="447"/>
      <c r="N496" s="409"/>
      <c r="O496" s="409"/>
      <c r="P496" s="409"/>
      <c r="Q496" s="409"/>
      <c r="R496" s="409"/>
      <c r="S496" s="409"/>
    </row>
    <row r="497" spans="1:19" s="92" customFormat="1">
      <c r="A497" s="256"/>
      <c r="B497" s="287" t="s">
        <v>9626</v>
      </c>
      <c r="C497" s="287"/>
      <c r="D497" s="400" t="s">
        <v>111</v>
      </c>
      <c r="E497" s="415"/>
      <c r="F497" s="415"/>
      <c r="G497" s="462"/>
      <c r="H497" s="415"/>
      <c r="I497" s="462"/>
      <c r="J497" s="416"/>
      <c r="K497" s="298"/>
      <c r="L497" s="447">
        <f t="shared" si="58"/>
        <v>0</v>
      </c>
      <c r="M497" s="447"/>
      <c r="N497" s="298"/>
      <c r="O497" s="298"/>
      <c r="P497" s="298"/>
      <c r="Q497" s="298"/>
      <c r="R497" s="298"/>
      <c r="S497" s="298"/>
    </row>
    <row r="498" spans="1:19" s="140" customFormat="1" ht="63.75">
      <c r="A498" s="394" t="s">
        <v>3259</v>
      </c>
      <c r="B498" s="285" t="s">
        <v>9627</v>
      </c>
      <c r="C498" s="285">
        <v>91175</v>
      </c>
      <c r="D498" s="289" t="s">
        <v>2430</v>
      </c>
      <c r="E498" s="290" t="s">
        <v>5</v>
      </c>
      <c r="F498" s="755">
        <v>75.599999999999994</v>
      </c>
      <c r="G498" s="510" t="s">
        <v>9857</v>
      </c>
      <c r="H498" s="508">
        <v>0.2094</v>
      </c>
      <c r="I498" s="510">
        <v>5.0794800000000002</v>
      </c>
      <c r="J498" s="509">
        <v>384.00868800000001</v>
      </c>
      <c r="K498" s="409"/>
      <c r="L498" s="447">
        <f t="shared" si="58"/>
        <v>384.00868800000001</v>
      </c>
      <c r="M498" s="447"/>
      <c r="N498" s="409"/>
      <c r="O498" s="409"/>
      <c r="P498" s="409"/>
      <c r="Q498" s="409"/>
      <c r="R498" s="409"/>
      <c r="S498" s="409"/>
    </row>
    <row r="499" spans="1:19" s="140" customFormat="1" ht="63.75">
      <c r="A499" s="394" t="s">
        <v>3259</v>
      </c>
      <c r="B499" s="285" t="s">
        <v>9628</v>
      </c>
      <c r="C499" s="285">
        <v>91181</v>
      </c>
      <c r="D499" s="289" t="s">
        <v>2436</v>
      </c>
      <c r="E499" s="290" t="s">
        <v>5</v>
      </c>
      <c r="F499" s="755">
        <v>47.75</v>
      </c>
      <c r="G499" s="510" t="s">
        <v>10284</v>
      </c>
      <c r="H499" s="508">
        <v>0.2094</v>
      </c>
      <c r="I499" s="510">
        <v>7.3410580000000003</v>
      </c>
      <c r="J499" s="509">
        <v>350.53551950000002</v>
      </c>
      <c r="K499" s="409"/>
      <c r="L499" s="447">
        <f t="shared" si="58"/>
        <v>350.53551950000002</v>
      </c>
      <c r="M499" s="447"/>
      <c r="N499" s="409"/>
      <c r="O499" s="409"/>
      <c r="P499" s="409"/>
      <c r="Q499" s="409"/>
      <c r="R499" s="409"/>
      <c r="S499" s="409"/>
    </row>
    <row r="500" spans="1:19" s="140" customFormat="1" ht="38.25">
      <c r="A500" s="394" t="s">
        <v>3260</v>
      </c>
      <c r="B500" s="285" t="s">
        <v>9629</v>
      </c>
      <c r="C500" s="285" t="s">
        <v>14700</v>
      </c>
      <c r="D500" s="289" t="s">
        <v>14701</v>
      </c>
      <c r="E500" s="290" t="s">
        <v>193</v>
      </c>
      <c r="F500" s="755">
        <v>38.43</v>
      </c>
      <c r="G500" s="510">
        <v>19.88</v>
      </c>
      <c r="H500" s="508">
        <v>0.2094</v>
      </c>
      <c r="I500" s="510">
        <v>24.042871999999999</v>
      </c>
      <c r="J500" s="509">
        <v>923.96757095999999</v>
      </c>
      <c r="K500" s="409"/>
      <c r="L500" s="447">
        <f t="shared" si="58"/>
        <v>923.96757095999999</v>
      </c>
      <c r="M500" s="447"/>
      <c r="N500" s="409"/>
      <c r="O500" s="409"/>
      <c r="P500" s="409"/>
      <c r="Q500" s="409"/>
      <c r="R500" s="409"/>
      <c r="S500" s="409"/>
    </row>
    <row r="501" spans="1:19" s="92" customFormat="1">
      <c r="A501" s="256"/>
      <c r="B501" s="391"/>
      <c r="C501" s="391"/>
      <c r="D501" s="401"/>
      <c r="E501" s="391"/>
      <c r="F501" s="417"/>
      <c r="G501" s="417"/>
      <c r="H501" s="417"/>
      <c r="I501" s="417"/>
      <c r="J501" s="418"/>
      <c r="K501" s="298"/>
      <c r="L501" s="447">
        <f t="shared" si="58"/>
        <v>0</v>
      </c>
      <c r="M501" s="447"/>
      <c r="N501" s="298"/>
      <c r="O501" s="298"/>
      <c r="P501" s="298"/>
      <c r="Q501" s="298"/>
      <c r="R501" s="298"/>
      <c r="S501" s="298"/>
    </row>
    <row r="502" spans="1:19" s="92" customFormat="1">
      <c r="A502" s="256"/>
      <c r="B502" s="287" t="s">
        <v>14702</v>
      </c>
      <c r="C502" s="287"/>
      <c r="D502" s="400" t="s">
        <v>14703</v>
      </c>
      <c r="E502" s="391"/>
      <c r="F502" s="417"/>
      <c r="G502" s="417"/>
      <c r="H502" s="417"/>
      <c r="I502" s="417"/>
      <c r="J502" s="418"/>
      <c r="K502" s="298"/>
      <c r="L502" s="447">
        <f t="shared" si="58"/>
        <v>0</v>
      </c>
      <c r="M502" s="447"/>
      <c r="N502" s="298"/>
      <c r="O502" s="298"/>
      <c r="P502" s="298"/>
      <c r="Q502" s="298"/>
      <c r="R502" s="298"/>
      <c r="S502" s="298"/>
    </row>
    <row r="503" spans="1:19" s="92" customFormat="1">
      <c r="A503" s="256"/>
      <c r="B503" s="287" t="s">
        <v>14704</v>
      </c>
      <c r="C503" s="287"/>
      <c r="D503" s="400" t="s">
        <v>14584</v>
      </c>
      <c r="E503" s="391"/>
      <c r="F503" s="417"/>
      <c r="G503" s="417"/>
      <c r="H503" s="417"/>
      <c r="I503" s="417"/>
      <c r="J503" s="418"/>
      <c r="K503" s="298"/>
      <c r="L503" s="447">
        <f t="shared" si="58"/>
        <v>0</v>
      </c>
      <c r="M503" s="447"/>
      <c r="N503" s="298"/>
      <c r="O503" s="298"/>
      <c r="P503" s="298"/>
      <c r="Q503" s="298"/>
      <c r="R503" s="298"/>
      <c r="S503" s="298"/>
    </row>
    <row r="504" spans="1:19" s="140" customFormat="1" ht="51">
      <c r="A504" s="394" t="s">
        <v>3259</v>
      </c>
      <c r="B504" s="285" t="s">
        <v>14705</v>
      </c>
      <c r="C504" s="285">
        <v>89711</v>
      </c>
      <c r="D504" s="289" t="s">
        <v>1776</v>
      </c>
      <c r="E504" s="290" t="s">
        <v>5</v>
      </c>
      <c r="F504" s="755">
        <v>59.57</v>
      </c>
      <c r="G504" s="510" t="s">
        <v>10351</v>
      </c>
      <c r="H504" s="508">
        <v>0.2094</v>
      </c>
      <c r="I504" s="510">
        <v>21.962704000000002</v>
      </c>
      <c r="J504" s="509">
        <v>1308.3182772800001</v>
      </c>
      <c r="K504" s="409"/>
      <c r="L504" s="447">
        <f t="shared" si="58"/>
        <v>1308.3182772800001</v>
      </c>
      <c r="M504" s="447"/>
      <c r="N504" s="409"/>
      <c r="O504" s="409"/>
      <c r="P504" s="409"/>
      <c r="Q504" s="409"/>
      <c r="R504" s="409"/>
      <c r="S504" s="409"/>
    </row>
    <row r="505" spans="1:19" s="92" customFormat="1" ht="51">
      <c r="A505" s="394" t="s">
        <v>3259</v>
      </c>
      <c r="B505" s="285" t="s">
        <v>14706</v>
      </c>
      <c r="C505" s="285">
        <v>89712</v>
      </c>
      <c r="D505" s="289" t="s">
        <v>1777</v>
      </c>
      <c r="E505" s="290" t="s">
        <v>5</v>
      </c>
      <c r="F505" s="755">
        <v>268.01</v>
      </c>
      <c r="G505" s="510" t="s">
        <v>11417</v>
      </c>
      <c r="H505" s="508">
        <v>0.2094</v>
      </c>
      <c r="I505" s="510">
        <v>33.113371999999998</v>
      </c>
      <c r="J505" s="509">
        <v>8874.7148297200001</v>
      </c>
      <c r="K505" s="409"/>
      <c r="L505" s="447">
        <f t="shared" si="58"/>
        <v>8874.7148297200001</v>
      </c>
      <c r="M505" s="447"/>
      <c r="N505" s="298"/>
      <c r="O505" s="298"/>
      <c r="P505" s="298"/>
      <c r="Q505" s="298"/>
      <c r="R505" s="298"/>
      <c r="S505" s="298"/>
    </row>
    <row r="506" spans="1:19" s="92" customFormat="1" ht="51">
      <c r="A506" s="394" t="s">
        <v>3259</v>
      </c>
      <c r="B506" s="285" t="s">
        <v>14707</v>
      </c>
      <c r="C506" s="285">
        <v>89713</v>
      </c>
      <c r="D506" s="289" t="s">
        <v>1778</v>
      </c>
      <c r="E506" s="290" t="s">
        <v>5</v>
      </c>
      <c r="F506" s="755">
        <v>80.63</v>
      </c>
      <c r="G506" s="510" t="s">
        <v>14151</v>
      </c>
      <c r="H506" s="508">
        <v>0.2094</v>
      </c>
      <c r="I506" s="510">
        <v>50.55292</v>
      </c>
      <c r="J506" s="509">
        <v>4076.0819395999997</v>
      </c>
      <c r="K506" s="409"/>
      <c r="L506" s="447">
        <f t="shared" si="58"/>
        <v>4076.0819395999997</v>
      </c>
      <c r="M506" s="447"/>
      <c r="N506" s="298"/>
      <c r="O506" s="298"/>
      <c r="P506" s="298"/>
      <c r="Q506" s="298"/>
      <c r="R506" s="298"/>
      <c r="S506" s="298"/>
    </row>
    <row r="507" spans="1:19" s="92" customFormat="1" ht="51">
      <c r="A507" s="394" t="s">
        <v>3259</v>
      </c>
      <c r="B507" s="285" t="s">
        <v>14708</v>
      </c>
      <c r="C507" s="285">
        <v>89714</v>
      </c>
      <c r="D507" s="289" t="s">
        <v>1779</v>
      </c>
      <c r="E507" s="290" t="s">
        <v>5</v>
      </c>
      <c r="F507" s="755">
        <v>101.03</v>
      </c>
      <c r="G507" s="510" t="s">
        <v>22908</v>
      </c>
      <c r="H507" s="508">
        <v>0.2094</v>
      </c>
      <c r="I507" s="510">
        <v>64.751276000000004</v>
      </c>
      <c r="J507" s="509">
        <v>6541.8214142800007</v>
      </c>
      <c r="K507" s="409"/>
      <c r="L507" s="447">
        <f t="shared" si="58"/>
        <v>6541.8214142800007</v>
      </c>
      <c r="M507" s="447"/>
      <c r="N507" s="298"/>
      <c r="O507" s="298"/>
      <c r="P507" s="298"/>
      <c r="Q507" s="298"/>
      <c r="R507" s="298"/>
      <c r="S507" s="298"/>
    </row>
    <row r="508" spans="1:19" s="92" customFormat="1" ht="63.75">
      <c r="A508" s="394" t="s">
        <v>3259</v>
      </c>
      <c r="B508" s="285" t="s">
        <v>14709</v>
      </c>
      <c r="C508" s="285">
        <v>89726</v>
      </c>
      <c r="D508" s="289" t="s">
        <v>2089</v>
      </c>
      <c r="E508" s="290" t="s">
        <v>109</v>
      </c>
      <c r="F508" s="755">
        <v>20</v>
      </c>
      <c r="G508" s="510" t="s">
        <v>10291</v>
      </c>
      <c r="H508" s="508">
        <v>0.2094</v>
      </c>
      <c r="I508" s="510">
        <v>8.5504580000000008</v>
      </c>
      <c r="J508" s="509">
        <v>171.00916000000001</v>
      </c>
      <c r="K508" s="409"/>
      <c r="L508" s="447">
        <f t="shared" si="58"/>
        <v>171.00916000000001</v>
      </c>
      <c r="M508" s="447"/>
      <c r="N508" s="298"/>
      <c r="O508" s="298"/>
      <c r="P508" s="298"/>
      <c r="Q508" s="298"/>
      <c r="R508" s="298"/>
      <c r="S508" s="298"/>
    </row>
    <row r="509" spans="1:19" s="92" customFormat="1" ht="63.75">
      <c r="A509" s="394" t="s">
        <v>3259</v>
      </c>
      <c r="B509" s="285" t="s">
        <v>14724</v>
      </c>
      <c r="C509" s="285">
        <v>89732</v>
      </c>
      <c r="D509" s="289" t="s">
        <v>2095</v>
      </c>
      <c r="E509" s="290" t="s">
        <v>109</v>
      </c>
      <c r="F509" s="755">
        <v>15</v>
      </c>
      <c r="G509" s="510" t="s">
        <v>10548</v>
      </c>
      <c r="H509" s="508">
        <v>0.2094</v>
      </c>
      <c r="I509" s="510">
        <v>12.952674000000002</v>
      </c>
      <c r="J509" s="509">
        <v>194.29011000000003</v>
      </c>
      <c r="K509" s="409"/>
      <c r="L509" s="447">
        <f t="shared" si="58"/>
        <v>194.29011000000003</v>
      </c>
      <c r="M509" s="447"/>
      <c r="N509" s="298"/>
      <c r="O509" s="298"/>
      <c r="P509" s="298"/>
      <c r="Q509" s="298"/>
      <c r="R509" s="298"/>
      <c r="S509" s="298"/>
    </row>
    <row r="510" spans="1:19" s="92" customFormat="1" ht="63.75">
      <c r="A510" s="394" t="s">
        <v>3259</v>
      </c>
      <c r="B510" s="285" t="s">
        <v>14725</v>
      </c>
      <c r="C510" s="285">
        <v>89724</v>
      </c>
      <c r="D510" s="289" t="s">
        <v>2087</v>
      </c>
      <c r="E510" s="290" t="s">
        <v>109</v>
      </c>
      <c r="F510" s="755">
        <v>34</v>
      </c>
      <c r="G510" s="510" t="s">
        <v>18771</v>
      </c>
      <c r="H510" s="508">
        <v>0.2094</v>
      </c>
      <c r="I510" s="510">
        <v>11.670710000000001</v>
      </c>
      <c r="J510" s="509">
        <v>396.80414000000007</v>
      </c>
      <c r="K510" s="409"/>
      <c r="L510" s="447">
        <f t="shared" si="58"/>
        <v>396.80414000000007</v>
      </c>
      <c r="M510" s="447"/>
      <c r="N510" s="298"/>
      <c r="O510" s="298"/>
      <c r="P510" s="298"/>
      <c r="Q510" s="298"/>
      <c r="R510" s="298"/>
      <c r="S510" s="298"/>
    </row>
    <row r="511" spans="1:19" s="92" customFormat="1" ht="63.75">
      <c r="A511" s="394" t="s">
        <v>3259</v>
      </c>
      <c r="B511" s="285" t="s">
        <v>14726</v>
      </c>
      <c r="C511" s="285">
        <v>89731</v>
      </c>
      <c r="D511" s="289" t="s">
        <v>2094</v>
      </c>
      <c r="E511" s="290" t="s">
        <v>109</v>
      </c>
      <c r="F511" s="755">
        <v>79</v>
      </c>
      <c r="G511" s="510" t="s">
        <v>10541</v>
      </c>
      <c r="H511" s="508">
        <v>0.2094</v>
      </c>
      <c r="I511" s="510">
        <v>12.21494</v>
      </c>
      <c r="J511" s="509">
        <v>964.98026000000004</v>
      </c>
      <c r="K511" s="409"/>
      <c r="L511" s="447">
        <f t="shared" si="58"/>
        <v>964.98026000000004</v>
      </c>
      <c r="M511" s="447"/>
      <c r="N511" s="298"/>
      <c r="O511" s="298"/>
      <c r="P511" s="298"/>
      <c r="Q511" s="298"/>
      <c r="R511" s="298"/>
      <c r="S511" s="298"/>
    </row>
    <row r="512" spans="1:19" s="92" customFormat="1" ht="63.75">
      <c r="A512" s="394" t="s">
        <v>3259</v>
      </c>
      <c r="B512" s="285" t="s">
        <v>14727</v>
      </c>
      <c r="C512" s="285">
        <v>89737</v>
      </c>
      <c r="D512" s="289" t="s">
        <v>2100</v>
      </c>
      <c r="E512" s="290" t="s">
        <v>109</v>
      </c>
      <c r="F512" s="755">
        <v>1</v>
      </c>
      <c r="G512" s="510" t="s">
        <v>10977</v>
      </c>
      <c r="H512" s="508">
        <v>0.2094</v>
      </c>
      <c r="I512" s="510">
        <v>21.224970000000003</v>
      </c>
      <c r="J512" s="509">
        <v>21.224970000000003</v>
      </c>
      <c r="K512" s="409"/>
      <c r="L512" s="447">
        <f t="shared" si="58"/>
        <v>21.224970000000003</v>
      </c>
      <c r="M512" s="447"/>
      <c r="N512" s="298"/>
      <c r="O512" s="298"/>
      <c r="P512" s="298"/>
      <c r="Q512" s="298"/>
      <c r="R512" s="298"/>
      <c r="S512" s="298"/>
    </row>
    <row r="513" spans="1:19" s="92" customFormat="1" ht="63.75">
      <c r="A513" s="394" t="s">
        <v>3259</v>
      </c>
      <c r="B513" s="285" t="s">
        <v>14728</v>
      </c>
      <c r="C513" s="285">
        <v>89744</v>
      </c>
      <c r="D513" s="289" t="s">
        <v>2107</v>
      </c>
      <c r="E513" s="290" t="s">
        <v>109</v>
      </c>
      <c r="F513" s="755">
        <v>19</v>
      </c>
      <c r="G513" s="510" t="s">
        <v>12451</v>
      </c>
      <c r="H513" s="508">
        <v>0.2094</v>
      </c>
      <c r="I513" s="510">
        <v>27.646884</v>
      </c>
      <c r="J513" s="509">
        <v>525.290796</v>
      </c>
      <c r="K513" s="409"/>
      <c r="L513" s="447">
        <f t="shared" si="58"/>
        <v>525.290796</v>
      </c>
      <c r="M513" s="447"/>
      <c r="N513" s="298"/>
      <c r="O513" s="298"/>
      <c r="P513" s="298"/>
      <c r="Q513" s="298"/>
      <c r="R513" s="298"/>
      <c r="S513" s="298"/>
    </row>
    <row r="514" spans="1:19" s="92" customFormat="1" ht="63.75">
      <c r="A514" s="394" t="s">
        <v>3259</v>
      </c>
      <c r="B514" s="285" t="s">
        <v>14729</v>
      </c>
      <c r="C514" s="285">
        <v>89746</v>
      </c>
      <c r="D514" s="289" t="s">
        <v>2109</v>
      </c>
      <c r="E514" s="290" t="s">
        <v>109</v>
      </c>
      <c r="F514" s="755">
        <v>6</v>
      </c>
      <c r="G514" s="510" t="s">
        <v>21421</v>
      </c>
      <c r="H514" s="508">
        <v>0.2094</v>
      </c>
      <c r="I514" s="510">
        <v>27.586413999999998</v>
      </c>
      <c r="J514" s="509">
        <v>165.518484</v>
      </c>
      <c r="K514" s="409"/>
      <c r="L514" s="447">
        <f t="shared" ref="L514" si="61">I514*F514</f>
        <v>165.518484</v>
      </c>
      <c r="M514" s="447"/>
      <c r="N514" s="298"/>
      <c r="O514" s="298"/>
      <c r="P514" s="298"/>
      <c r="Q514" s="298"/>
      <c r="R514" s="298"/>
      <c r="S514" s="298"/>
    </row>
    <row r="515" spans="1:19" s="92" customFormat="1" ht="51">
      <c r="A515" s="394" t="s">
        <v>3260</v>
      </c>
      <c r="B515" s="285" t="s">
        <v>14730</v>
      </c>
      <c r="C515" s="285" t="s">
        <v>14739</v>
      </c>
      <c r="D515" s="289" t="s">
        <v>17373</v>
      </c>
      <c r="E515" s="290" t="s">
        <v>3240</v>
      </c>
      <c r="F515" s="755">
        <v>34</v>
      </c>
      <c r="G515" s="510">
        <v>9.99</v>
      </c>
      <c r="H515" s="508">
        <v>0.2094</v>
      </c>
      <c r="I515" s="510">
        <v>12.081906</v>
      </c>
      <c r="J515" s="509">
        <v>410.78480400000001</v>
      </c>
      <c r="K515" s="409"/>
      <c r="L515" s="447">
        <f t="shared" si="58"/>
        <v>410.78480400000001</v>
      </c>
      <c r="M515" s="447"/>
      <c r="N515" s="298"/>
      <c r="O515" s="298"/>
      <c r="P515" s="298"/>
      <c r="Q515" s="298"/>
      <c r="R515" s="298"/>
      <c r="S515" s="298"/>
    </row>
    <row r="516" spans="1:19" s="92" customFormat="1" ht="51">
      <c r="A516" s="394" t="s">
        <v>3259</v>
      </c>
      <c r="B516" s="285" t="s">
        <v>14731</v>
      </c>
      <c r="C516" s="285">
        <v>89784</v>
      </c>
      <c r="D516" s="289" t="s">
        <v>2143</v>
      </c>
      <c r="E516" s="290" t="s">
        <v>109</v>
      </c>
      <c r="F516" s="755">
        <v>37</v>
      </c>
      <c r="G516" s="510" t="s">
        <v>10985</v>
      </c>
      <c r="H516" s="508">
        <v>0.2094</v>
      </c>
      <c r="I516" s="510">
        <v>22.385994000000004</v>
      </c>
      <c r="J516" s="509">
        <v>828.28177800000014</v>
      </c>
      <c r="K516" s="409"/>
      <c r="L516" s="447">
        <f t="shared" si="58"/>
        <v>828.28177800000014</v>
      </c>
      <c r="M516" s="447"/>
      <c r="N516" s="298"/>
      <c r="O516" s="298"/>
      <c r="P516" s="298"/>
      <c r="Q516" s="298"/>
      <c r="R516" s="298"/>
      <c r="S516" s="298"/>
    </row>
    <row r="517" spans="1:19" s="92" customFormat="1" ht="51">
      <c r="A517" s="394" t="s">
        <v>3259</v>
      </c>
      <c r="B517" s="285" t="s">
        <v>14732</v>
      </c>
      <c r="C517" s="285">
        <v>89786</v>
      </c>
      <c r="D517" s="289" t="s">
        <v>2145</v>
      </c>
      <c r="E517" s="290" t="s">
        <v>109</v>
      </c>
      <c r="F517" s="755">
        <v>9</v>
      </c>
      <c r="G517" s="510" t="s">
        <v>16455</v>
      </c>
      <c r="H517" s="508">
        <v>0.2094</v>
      </c>
      <c r="I517" s="510">
        <v>37.213237999999997</v>
      </c>
      <c r="J517" s="509">
        <v>334.91914199999997</v>
      </c>
      <c r="K517" s="409"/>
      <c r="L517" s="447">
        <f t="shared" si="58"/>
        <v>334.91914199999997</v>
      </c>
      <c r="M517" s="447"/>
      <c r="N517" s="298"/>
      <c r="O517" s="298"/>
      <c r="P517" s="298"/>
      <c r="Q517" s="298"/>
      <c r="R517" s="298"/>
      <c r="S517" s="298"/>
    </row>
    <row r="518" spans="1:19" s="92" customFormat="1" ht="38.25">
      <c r="A518" s="394" t="s">
        <v>3260</v>
      </c>
      <c r="B518" s="285" t="s">
        <v>14733</v>
      </c>
      <c r="C518" s="285" t="s">
        <v>14740</v>
      </c>
      <c r="D518" s="289" t="s">
        <v>14801</v>
      </c>
      <c r="E518" s="290" t="s">
        <v>3240</v>
      </c>
      <c r="F518" s="755">
        <v>4</v>
      </c>
      <c r="G518" s="510">
        <v>37.99</v>
      </c>
      <c r="H518" s="508">
        <v>0.2094</v>
      </c>
      <c r="I518" s="510">
        <v>45.945106000000003</v>
      </c>
      <c r="J518" s="509">
        <v>183.78042400000001</v>
      </c>
      <c r="K518" s="409"/>
      <c r="L518" s="447">
        <f t="shared" si="58"/>
        <v>183.78042400000001</v>
      </c>
      <c r="M518" s="447"/>
      <c r="N518" s="298"/>
      <c r="O518" s="298"/>
      <c r="P518" s="298"/>
      <c r="Q518" s="298"/>
      <c r="R518" s="298"/>
      <c r="S518" s="298"/>
    </row>
    <row r="519" spans="1:19" s="92" customFormat="1" ht="38.25">
      <c r="A519" s="394" t="s">
        <v>3260</v>
      </c>
      <c r="B519" s="285" t="s">
        <v>14734</v>
      </c>
      <c r="C519" s="285" t="s">
        <v>14742</v>
      </c>
      <c r="D519" s="289" t="s">
        <v>14802</v>
      </c>
      <c r="E519" s="290" t="s">
        <v>3240</v>
      </c>
      <c r="F519" s="755">
        <v>17</v>
      </c>
      <c r="G519" s="510">
        <v>36.04</v>
      </c>
      <c r="H519" s="508">
        <v>0.2094</v>
      </c>
      <c r="I519" s="510">
        <v>43.586776</v>
      </c>
      <c r="J519" s="509">
        <v>740.97519199999999</v>
      </c>
      <c r="K519" s="409"/>
      <c r="L519" s="447">
        <f t="shared" si="58"/>
        <v>740.97519199999999</v>
      </c>
      <c r="M519" s="447"/>
      <c r="N519" s="298"/>
      <c r="O519" s="298"/>
      <c r="P519" s="298"/>
      <c r="Q519" s="298"/>
      <c r="R519" s="298"/>
      <c r="S519" s="298"/>
    </row>
    <row r="520" spans="1:19" s="92" customFormat="1" ht="38.25">
      <c r="A520" s="394" t="s">
        <v>3260</v>
      </c>
      <c r="B520" s="285" t="s">
        <v>14735</v>
      </c>
      <c r="C520" s="285" t="s">
        <v>17374</v>
      </c>
      <c r="D520" s="289" t="s">
        <v>14803</v>
      </c>
      <c r="E520" s="290" t="s">
        <v>3240</v>
      </c>
      <c r="F520" s="755">
        <v>8</v>
      </c>
      <c r="G520" s="510">
        <v>29.85</v>
      </c>
      <c r="H520" s="508">
        <v>0.2094</v>
      </c>
      <c r="I520" s="510">
        <v>36.100590000000004</v>
      </c>
      <c r="J520" s="509">
        <v>288.80472000000003</v>
      </c>
      <c r="K520" s="409"/>
      <c r="L520" s="447">
        <f t="shared" si="58"/>
        <v>288.80472000000003</v>
      </c>
      <c r="M520" s="447"/>
      <c r="N520" s="298"/>
      <c r="O520" s="298"/>
      <c r="P520" s="298"/>
      <c r="Q520" s="298"/>
      <c r="R520" s="298"/>
      <c r="S520" s="298"/>
    </row>
    <row r="521" spans="1:19" s="92" customFormat="1" ht="38.25">
      <c r="A521" s="394" t="s">
        <v>3260</v>
      </c>
      <c r="B521" s="285" t="s">
        <v>18114</v>
      </c>
      <c r="C521" s="285" t="s">
        <v>17375</v>
      </c>
      <c r="D521" s="289" t="s">
        <v>14804</v>
      </c>
      <c r="E521" s="290" t="s">
        <v>3240</v>
      </c>
      <c r="F521" s="755">
        <v>3</v>
      </c>
      <c r="G521" s="510">
        <v>15.95</v>
      </c>
      <c r="H521" s="508">
        <v>0.2094</v>
      </c>
      <c r="I521" s="510">
        <v>19.289929999999998</v>
      </c>
      <c r="J521" s="509">
        <v>57.869789999999995</v>
      </c>
      <c r="K521" s="409"/>
      <c r="L521" s="447">
        <f t="shared" si="58"/>
        <v>57.869789999999995</v>
      </c>
      <c r="M521" s="447"/>
      <c r="N521" s="298"/>
      <c r="O521" s="298"/>
      <c r="P521" s="298"/>
      <c r="Q521" s="298"/>
      <c r="R521" s="298"/>
      <c r="S521" s="298"/>
    </row>
    <row r="522" spans="1:19" s="92" customFormat="1" ht="38.25">
      <c r="A522" s="394" t="s">
        <v>3260</v>
      </c>
      <c r="B522" s="285" t="s">
        <v>18115</v>
      </c>
      <c r="C522" s="285" t="s">
        <v>14696</v>
      </c>
      <c r="D522" s="289" t="s">
        <v>18531</v>
      </c>
      <c r="E522" s="290" t="s">
        <v>3240</v>
      </c>
      <c r="F522" s="755">
        <v>4</v>
      </c>
      <c r="G522" s="510">
        <v>11.45</v>
      </c>
      <c r="H522" s="508">
        <v>0.2094</v>
      </c>
      <c r="I522" s="510">
        <v>13.847629999999999</v>
      </c>
      <c r="J522" s="509">
        <v>55.390519999999995</v>
      </c>
      <c r="K522" s="409"/>
      <c r="L522" s="447">
        <f t="shared" ref="L522" si="62">I522*F522</f>
        <v>55.390519999999995</v>
      </c>
      <c r="M522" s="447"/>
      <c r="N522" s="298"/>
      <c r="O522" s="298"/>
      <c r="P522" s="298"/>
      <c r="Q522" s="298"/>
      <c r="R522" s="298"/>
      <c r="S522" s="298"/>
    </row>
    <row r="523" spans="1:19" s="92" customFormat="1" ht="63.75">
      <c r="A523" s="394" t="s">
        <v>3259</v>
      </c>
      <c r="B523" s="285" t="s">
        <v>18116</v>
      </c>
      <c r="C523" s="285">
        <v>89785</v>
      </c>
      <c r="D523" s="289" t="s">
        <v>2144</v>
      </c>
      <c r="E523" s="290" t="s">
        <v>109</v>
      </c>
      <c r="F523" s="755">
        <v>9</v>
      </c>
      <c r="G523" s="510" t="s">
        <v>12126</v>
      </c>
      <c r="H523" s="508">
        <v>0.2094</v>
      </c>
      <c r="I523" s="510">
        <v>24.490349999999999</v>
      </c>
      <c r="J523" s="509">
        <v>220.41315</v>
      </c>
      <c r="K523" s="409"/>
      <c r="L523" s="447">
        <f t="shared" si="58"/>
        <v>220.41315</v>
      </c>
      <c r="M523" s="447"/>
      <c r="N523" s="298"/>
      <c r="O523" s="298"/>
      <c r="P523" s="298"/>
      <c r="Q523" s="298"/>
      <c r="R523" s="298"/>
      <c r="S523" s="298"/>
    </row>
    <row r="524" spans="1:19" s="92" customFormat="1" ht="63.75">
      <c r="A524" s="394" t="s">
        <v>3259</v>
      </c>
      <c r="B524" s="285" t="s">
        <v>18117</v>
      </c>
      <c r="C524" s="285">
        <v>89797</v>
      </c>
      <c r="D524" s="289" t="s">
        <v>2156</v>
      </c>
      <c r="E524" s="290" t="s">
        <v>109</v>
      </c>
      <c r="F524" s="755">
        <v>1</v>
      </c>
      <c r="G524" s="510" t="s">
        <v>23114</v>
      </c>
      <c r="H524" s="508">
        <v>0.2094</v>
      </c>
      <c r="I524" s="510">
        <v>52.741934000000001</v>
      </c>
      <c r="J524" s="509">
        <v>52.741934000000001</v>
      </c>
      <c r="K524" s="409"/>
      <c r="L524" s="447">
        <f t="shared" si="58"/>
        <v>52.741934000000001</v>
      </c>
      <c r="M524" s="447"/>
      <c r="N524" s="298"/>
      <c r="O524" s="298"/>
      <c r="P524" s="298"/>
      <c r="Q524" s="298"/>
      <c r="R524" s="298"/>
      <c r="S524" s="298"/>
    </row>
    <row r="525" spans="1:19" s="92" customFormat="1" ht="63.75">
      <c r="A525" s="394" t="s">
        <v>3260</v>
      </c>
      <c r="B525" s="285" t="s">
        <v>18118</v>
      </c>
      <c r="C525" s="285" t="s">
        <v>17376</v>
      </c>
      <c r="D525" s="289" t="s">
        <v>17377</v>
      </c>
      <c r="E525" s="290" t="s">
        <v>3240</v>
      </c>
      <c r="F525" s="755">
        <v>1</v>
      </c>
      <c r="G525" s="510">
        <v>32.85</v>
      </c>
      <c r="H525" s="508">
        <v>0.2094</v>
      </c>
      <c r="I525" s="510">
        <v>39.728790000000004</v>
      </c>
      <c r="J525" s="509">
        <v>39.728790000000004</v>
      </c>
      <c r="K525" s="409"/>
      <c r="L525" s="447">
        <f t="shared" si="58"/>
        <v>39.728790000000004</v>
      </c>
      <c r="M525" s="447"/>
      <c r="N525" s="298"/>
      <c r="O525" s="298"/>
      <c r="P525" s="298"/>
      <c r="Q525" s="298"/>
      <c r="R525" s="298"/>
      <c r="S525" s="298"/>
    </row>
    <row r="526" spans="1:19" s="92" customFormat="1" ht="63.75">
      <c r="A526" s="394" t="s">
        <v>3260</v>
      </c>
      <c r="B526" s="285" t="s">
        <v>18119</v>
      </c>
      <c r="C526" s="285" t="s">
        <v>18533</v>
      </c>
      <c r="D526" s="289" t="s">
        <v>18534</v>
      </c>
      <c r="E526" s="290" t="s">
        <v>3240</v>
      </c>
      <c r="F526" s="755">
        <v>1</v>
      </c>
      <c r="G526" s="510">
        <v>39.94</v>
      </c>
      <c r="H526" s="508">
        <v>0.2094</v>
      </c>
      <c r="I526" s="510">
        <v>48.303435999999998</v>
      </c>
      <c r="J526" s="509">
        <v>48.303435999999998</v>
      </c>
      <c r="K526" s="409"/>
      <c r="L526" s="447">
        <f t="shared" ref="L526:L527" si="63">I526*F526</f>
        <v>48.303435999999998</v>
      </c>
      <c r="M526" s="447"/>
      <c r="N526" s="298"/>
      <c r="O526" s="298"/>
      <c r="P526" s="298"/>
      <c r="Q526" s="298"/>
      <c r="R526" s="298"/>
      <c r="S526" s="298"/>
    </row>
    <row r="527" spans="1:19" s="92" customFormat="1" ht="63.75">
      <c r="A527" s="394" t="s">
        <v>3260</v>
      </c>
      <c r="B527" s="285" t="s">
        <v>18532</v>
      </c>
      <c r="C527" s="285" t="s">
        <v>18535</v>
      </c>
      <c r="D527" s="289" t="s">
        <v>18536</v>
      </c>
      <c r="E527" s="290" t="s">
        <v>3240</v>
      </c>
      <c r="F527" s="755">
        <v>10</v>
      </c>
      <c r="G527" s="510">
        <v>29.65</v>
      </c>
      <c r="H527" s="508">
        <v>0.2094</v>
      </c>
      <c r="I527" s="510">
        <v>35.858710000000002</v>
      </c>
      <c r="J527" s="509">
        <v>358.58710000000002</v>
      </c>
      <c r="K527" s="409"/>
      <c r="L527" s="447">
        <f t="shared" si="63"/>
        <v>358.58710000000002</v>
      </c>
      <c r="M527" s="447"/>
      <c r="N527" s="298"/>
      <c r="O527" s="298"/>
      <c r="P527" s="298"/>
      <c r="Q527" s="298"/>
      <c r="R527" s="298"/>
      <c r="S527" s="298"/>
    </row>
    <row r="528" spans="1:19" s="92" customFormat="1">
      <c r="A528" s="394"/>
      <c r="B528" s="285"/>
      <c r="C528" s="285"/>
      <c r="D528" s="407"/>
      <c r="E528" s="468"/>
      <c r="F528" s="469"/>
      <c r="G528" s="470"/>
      <c r="H528" s="471"/>
      <c r="I528" s="470"/>
      <c r="J528" s="418"/>
      <c r="K528" s="409"/>
      <c r="L528" s="447">
        <f t="shared" si="58"/>
        <v>0</v>
      </c>
      <c r="M528" s="447"/>
      <c r="N528" s="298"/>
      <c r="O528" s="298"/>
      <c r="P528" s="298"/>
      <c r="Q528" s="298"/>
      <c r="R528" s="298"/>
      <c r="S528" s="298"/>
    </row>
    <row r="529" spans="1:19" s="92" customFormat="1">
      <c r="A529" s="256"/>
      <c r="B529" s="287" t="s">
        <v>14710</v>
      </c>
      <c r="C529" s="287"/>
      <c r="D529" s="400" t="s">
        <v>11573</v>
      </c>
      <c r="E529" s="391"/>
      <c r="F529" s="417"/>
      <c r="G529" s="417"/>
      <c r="H529" s="417"/>
      <c r="I529" s="417"/>
      <c r="J529" s="418"/>
      <c r="K529" s="298"/>
      <c r="L529" s="447">
        <f t="shared" si="58"/>
        <v>0</v>
      </c>
      <c r="M529" s="447"/>
      <c r="N529" s="298"/>
      <c r="O529" s="298"/>
      <c r="P529" s="298"/>
      <c r="Q529" s="298"/>
      <c r="R529" s="298"/>
      <c r="S529" s="298"/>
    </row>
    <row r="530" spans="1:19" s="92" customFormat="1" ht="51">
      <c r="A530" s="394" t="s">
        <v>3259</v>
      </c>
      <c r="B530" s="285" t="s">
        <v>14712</v>
      </c>
      <c r="C530" s="285">
        <v>89707</v>
      </c>
      <c r="D530" s="289" t="s">
        <v>2346</v>
      </c>
      <c r="E530" s="290" t="s">
        <v>109</v>
      </c>
      <c r="F530" s="755">
        <v>15</v>
      </c>
      <c r="G530" s="510" t="s">
        <v>23443</v>
      </c>
      <c r="H530" s="508">
        <v>0.2094</v>
      </c>
      <c r="I530" s="510">
        <v>42.982075999999999</v>
      </c>
      <c r="J530" s="509">
        <v>644.73113999999998</v>
      </c>
      <c r="K530" s="409"/>
      <c r="L530" s="447">
        <f t="shared" si="58"/>
        <v>644.73113999999998</v>
      </c>
      <c r="M530" s="447"/>
      <c r="N530" s="298"/>
      <c r="O530" s="298"/>
      <c r="P530" s="298"/>
      <c r="Q530" s="298"/>
      <c r="R530" s="298"/>
      <c r="S530" s="298"/>
    </row>
    <row r="531" spans="1:19" s="92" customFormat="1" ht="51">
      <c r="A531" s="394" t="s">
        <v>3259</v>
      </c>
      <c r="B531" s="285" t="s">
        <v>14713</v>
      </c>
      <c r="C531" s="285">
        <v>89708</v>
      </c>
      <c r="D531" s="289" t="s">
        <v>2347</v>
      </c>
      <c r="E531" s="290" t="s">
        <v>109</v>
      </c>
      <c r="F531" s="755">
        <v>10</v>
      </c>
      <c r="G531" s="510" t="s">
        <v>19974</v>
      </c>
      <c r="H531" s="508">
        <v>0.2094</v>
      </c>
      <c r="I531" s="510">
        <v>102.77481200000001</v>
      </c>
      <c r="J531" s="509">
        <v>1027.7481200000002</v>
      </c>
      <c r="K531" s="409"/>
      <c r="L531" s="447">
        <f t="shared" si="58"/>
        <v>1027.7481200000002</v>
      </c>
      <c r="M531" s="447"/>
      <c r="N531" s="298"/>
      <c r="O531" s="298"/>
      <c r="P531" s="298"/>
      <c r="Q531" s="298"/>
      <c r="R531" s="298"/>
      <c r="S531" s="298"/>
    </row>
    <row r="532" spans="1:19" s="92" customFormat="1" ht="25.5">
      <c r="A532" s="394" t="s">
        <v>12</v>
      </c>
      <c r="B532" s="285" t="s">
        <v>14714</v>
      </c>
      <c r="C532" s="285" t="s">
        <v>17382</v>
      </c>
      <c r="D532" s="289" t="s">
        <v>17385</v>
      </c>
      <c r="E532" s="290" t="s">
        <v>109</v>
      </c>
      <c r="F532" s="755">
        <v>15</v>
      </c>
      <c r="G532" s="510">
        <v>5.63</v>
      </c>
      <c r="H532" s="508">
        <v>0.2094</v>
      </c>
      <c r="I532" s="510">
        <v>6.8089219999999999</v>
      </c>
      <c r="J532" s="509">
        <v>102.13383</v>
      </c>
      <c r="K532" s="409"/>
      <c r="L532" s="447">
        <f t="shared" si="58"/>
        <v>102.13383</v>
      </c>
      <c r="M532" s="447"/>
      <c r="N532" s="298"/>
      <c r="O532" s="298"/>
      <c r="P532" s="298"/>
      <c r="Q532" s="298"/>
      <c r="R532" s="298"/>
      <c r="S532" s="298"/>
    </row>
    <row r="533" spans="1:19" s="92" customFormat="1" ht="25.5">
      <c r="A533" s="394" t="s">
        <v>12</v>
      </c>
      <c r="B533" s="285" t="s">
        <v>14715</v>
      </c>
      <c r="C533" s="285" t="s">
        <v>17383</v>
      </c>
      <c r="D533" s="289" t="s">
        <v>17387</v>
      </c>
      <c r="E533" s="290" t="s">
        <v>109</v>
      </c>
      <c r="F533" s="755">
        <v>8</v>
      </c>
      <c r="G533" s="510">
        <v>17.71</v>
      </c>
      <c r="H533" s="508">
        <v>0.2094</v>
      </c>
      <c r="I533" s="510">
        <v>21.418474000000003</v>
      </c>
      <c r="J533" s="509">
        <v>171.34779200000003</v>
      </c>
      <c r="K533" s="409"/>
      <c r="L533" s="447">
        <f t="shared" si="58"/>
        <v>171.34779200000003</v>
      </c>
      <c r="M533" s="447"/>
      <c r="N533" s="298"/>
      <c r="O533" s="298"/>
      <c r="P533" s="298"/>
      <c r="Q533" s="298"/>
      <c r="R533" s="298"/>
      <c r="S533" s="298"/>
    </row>
    <row r="534" spans="1:19" s="92" customFormat="1" ht="24.75" customHeight="1">
      <c r="A534" s="394" t="s">
        <v>12</v>
      </c>
      <c r="B534" s="285" t="s">
        <v>17379</v>
      </c>
      <c r="C534" s="285" t="s">
        <v>17392</v>
      </c>
      <c r="D534" s="289" t="s">
        <v>17394</v>
      </c>
      <c r="E534" s="290" t="s">
        <v>109</v>
      </c>
      <c r="F534" s="755">
        <v>2</v>
      </c>
      <c r="G534" s="510">
        <v>21.06</v>
      </c>
      <c r="H534" s="508">
        <v>0.2094</v>
      </c>
      <c r="I534" s="510">
        <v>25.469963999999997</v>
      </c>
      <c r="J534" s="509">
        <v>50.939927999999995</v>
      </c>
      <c r="K534" s="409"/>
      <c r="L534" s="447">
        <f t="shared" si="58"/>
        <v>50.939927999999995</v>
      </c>
      <c r="M534" s="447"/>
      <c r="N534" s="298"/>
      <c r="O534" s="298"/>
      <c r="P534" s="298"/>
      <c r="Q534" s="298"/>
      <c r="R534" s="298"/>
      <c r="S534" s="298"/>
    </row>
    <row r="535" spans="1:19" s="92" customFormat="1" ht="38.25">
      <c r="A535" s="394" t="s">
        <v>3260</v>
      </c>
      <c r="B535" s="285" t="s">
        <v>17380</v>
      </c>
      <c r="C535" s="757" t="s">
        <v>17400</v>
      </c>
      <c r="D535" s="289" t="s">
        <v>17401</v>
      </c>
      <c r="E535" s="290" t="s">
        <v>3240</v>
      </c>
      <c r="F535" s="755">
        <v>25</v>
      </c>
      <c r="G535" s="510">
        <v>887.81</v>
      </c>
      <c r="H535" s="508">
        <v>0.2094</v>
      </c>
      <c r="I535" s="510">
        <v>1073.717414</v>
      </c>
      <c r="J535" s="509">
        <v>26842.93535</v>
      </c>
      <c r="K535" s="409"/>
      <c r="L535" s="447">
        <f t="shared" si="58"/>
        <v>26842.93535</v>
      </c>
      <c r="M535" s="447"/>
      <c r="N535" s="298"/>
      <c r="O535" s="298"/>
      <c r="P535" s="298"/>
      <c r="Q535" s="298"/>
      <c r="R535" s="298"/>
      <c r="S535" s="298"/>
    </row>
    <row r="536" spans="1:19" s="92" customFormat="1" ht="38.25">
      <c r="A536" s="394" t="s">
        <v>3260</v>
      </c>
      <c r="B536" s="285" t="s">
        <v>17381</v>
      </c>
      <c r="C536" s="757" t="s">
        <v>17402</v>
      </c>
      <c r="D536" s="289" t="s">
        <v>17403</v>
      </c>
      <c r="E536" s="290" t="s">
        <v>3240</v>
      </c>
      <c r="F536" s="755">
        <v>4</v>
      </c>
      <c r="G536" s="510">
        <v>1946.81</v>
      </c>
      <c r="H536" s="508">
        <v>0.2094</v>
      </c>
      <c r="I536" s="510">
        <v>2354.4720139999999</v>
      </c>
      <c r="J536" s="509">
        <v>9417.8880559999998</v>
      </c>
      <c r="K536" s="409"/>
      <c r="L536" s="447">
        <f t="shared" si="58"/>
        <v>9417.8880559999998</v>
      </c>
      <c r="M536" s="447"/>
      <c r="N536" s="298"/>
      <c r="O536" s="298"/>
      <c r="P536" s="298"/>
      <c r="Q536" s="298"/>
      <c r="R536" s="298"/>
      <c r="S536" s="298"/>
    </row>
    <row r="537" spans="1:19" s="92" customFormat="1">
      <c r="A537" s="256"/>
      <c r="B537" s="391"/>
      <c r="C537" s="391"/>
      <c r="D537" s="401"/>
      <c r="E537" s="391"/>
      <c r="F537" s="417"/>
      <c r="G537" s="417"/>
      <c r="H537" s="417"/>
      <c r="I537" s="417"/>
      <c r="J537" s="418"/>
      <c r="K537" s="298"/>
      <c r="L537" s="447">
        <f t="shared" si="58"/>
        <v>0</v>
      </c>
      <c r="M537" s="447"/>
      <c r="N537" s="298"/>
      <c r="O537" s="298"/>
      <c r="P537" s="298"/>
      <c r="Q537" s="298"/>
      <c r="R537" s="298"/>
      <c r="S537" s="298"/>
    </row>
    <row r="538" spans="1:19" s="92" customFormat="1">
      <c r="A538" s="256"/>
      <c r="B538" s="287" t="s">
        <v>14711</v>
      </c>
      <c r="C538" s="287"/>
      <c r="D538" s="400" t="s">
        <v>111</v>
      </c>
      <c r="E538" s="391"/>
      <c r="F538" s="417"/>
      <c r="G538" s="417"/>
      <c r="H538" s="417"/>
      <c r="I538" s="417"/>
      <c r="J538" s="418"/>
      <c r="K538" s="298"/>
      <c r="L538" s="447">
        <f t="shared" si="58"/>
        <v>0</v>
      </c>
      <c r="M538" s="447"/>
      <c r="N538" s="298"/>
      <c r="O538" s="298"/>
      <c r="P538" s="298"/>
      <c r="Q538" s="298"/>
      <c r="R538" s="298"/>
      <c r="S538" s="298"/>
    </row>
    <row r="539" spans="1:19" s="140" customFormat="1" ht="38.25">
      <c r="A539" s="394" t="s">
        <v>3259</v>
      </c>
      <c r="B539" s="285" t="s">
        <v>14716</v>
      </c>
      <c r="C539" s="285">
        <v>90443</v>
      </c>
      <c r="D539" s="289" t="s">
        <v>130</v>
      </c>
      <c r="E539" s="290" t="s">
        <v>5</v>
      </c>
      <c r="F539" s="755">
        <v>17.5</v>
      </c>
      <c r="G539" s="510" t="s">
        <v>16337</v>
      </c>
      <c r="H539" s="508">
        <v>0.2094</v>
      </c>
      <c r="I539" s="510">
        <v>14.246732</v>
      </c>
      <c r="J539" s="509">
        <v>249.31781000000001</v>
      </c>
      <c r="K539" s="409"/>
      <c r="L539" s="447">
        <f t="shared" si="58"/>
        <v>249.31781000000001</v>
      </c>
      <c r="M539" s="447"/>
      <c r="N539" s="409"/>
      <c r="O539" s="409"/>
      <c r="P539" s="409"/>
      <c r="Q539" s="409"/>
      <c r="R539" s="409"/>
      <c r="S539" s="409"/>
    </row>
    <row r="540" spans="1:19" s="92" customFormat="1" ht="51">
      <c r="A540" s="394" t="s">
        <v>3259</v>
      </c>
      <c r="B540" s="285" t="s">
        <v>14717</v>
      </c>
      <c r="C540" s="285">
        <v>91222</v>
      </c>
      <c r="D540" s="289" t="s">
        <v>135</v>
      </c>
      <c r="E540" s="290" t="s">
        <v>5</v>
      </c>
      <c r="F540" s="755">
        <v>29.4</v>
      </c>
      <c r="G540" s="510" t="s">
        <v>11527</v>
      </c>
      <c r="H540" s="508">
        <v>0.2094</v>
      </c>
      <c r="I540" s="510">
        <v>15.335191999999999</v>
      </c>
      <c r="J540" s="509">
        <v>450.85464479999996</v>
      </c>
      <c r="K540" s="409"/>
      <c r="L540" s="447">
        <f t="shared" si="58"/>
        <v>450.85464479999996</v>
      </c>
      <c r="M540" s="447"/>
      <c r="N540" s="298"/>
      <c r="O540" s="298"/>
      <c r="P540" s="298"/>
      <c r="Q540" s="298"/>
      <c r="R540" s="298"/>
      <c r="S540" s="298"/>
    </row>
    <row r="541" spans="1:19" s="92" customFormat="1" ht="38.25">
      <c r="A541" s="394" t="s">
        <v>3259</v>
      </c>
      <c r="B541" s="285" t="s">
        <v>14718</v>
      </c>
      <c r="C541" s="285">
        <v>90466</v>
      </c>
      <c r="D541" s="289" t="s">
        <v>132</v>
      </c>
      <c r="E541" s="290" t="s">
        <v>5</v>
      </c>
      <c r="F541" s="755">
        <v>17.5</v>
      </c>
      <c r="G541" s="510" t="s">
        <v>19074</v>
      </c>
      <c r="H541" s="508">
        <v>0.2094</v>
      </c>
      <c r="I541" s="510">
        <v>14.065322000000002</v>
      </c>
      <c r="J541" s="509">
        <v>246.14313500000003</v>
      </c>
      <c r="K541" s="409"/>
      <c r="L541" s="447">
        <f t="shared" si="58"/>
        <v>246.14313500000003</v>
      </c>
      <c r="M541" s="447"/>
      <c r="N541" s="298"/>
      <c r="O541" s="298"/>
      <c r="P541" s="298"/>
      <c r="Q541" s="298"/>
      <c r="R541" s="298"/>
      <c r="S541" s="298"/>
    </row>
    <row r="542" spans="1:19" s="92" customFormat="1" ht="51">
      <c r="A542" s="394" t="s">
        <v>3259</v>
      </c>
      <c r="B542" s="285" t="s">
        <v>14719</v>
      </c>
      <c r="C542" s="288">
        <v>90467</v>
      </c>
      <c r="D542" s="289" t="s">
        <v>133</v>
      </c>
      <c r="E542" s="290" t="s">
        <v>5</v>
      </c>
      <c r="F542" s="755">
        <v>29.4</v>
      </c>
      <c r="G542" s="510" t="s">
        <v>23632</v>
      </c>
      <c r="H542" s="508">
        <v>0.2094</v>
      </c>
      <c r="I542" s="510">
        <v>22.228771999999999</v>
      </c>
      <c r="J542" s="509">
        <v>653.52589679999994</v>
      </c>
      <c r="K542" s="409"/>
      <c r="L542" s="447">
        <f t="shared" si="58"/>
        <v>653.52589679999994</v>
      </c>
      <c r="M542" s="447"/>
      <c r="N542" s="298"/>
      <c r="O542" s="298"/>
      <c r="P542" s="298"/>
      <c r="Q542" s="298"/>
      <c r="R542" s="298"/>
      <c r="S542" s="298"/>
    </row>
    <row r="543" spans="1:19" s="92" customFormat="1" ht="38.25">
      <c r="A543" s="394" t="s">
        <v>3259</v>
      </c>
      <c r="B543" s="285" t="s">
        <v>14720</v>
      </c>
      <c r="C543" s="285">
        <v>93358</v>
      </c>
      <c r="D543" s="289" t="s">
        <v>16227</v>
      </c>
      <c r="E543" s="290" t="s">
        <v>209</v>
      </c>
      <c r="F543" s="755">
        <v>63.13</v>
      </c>
      <c r="G543" s="510" t="s">
        <v>23682</v>
      </c>
      <c r="H543" s="508">
        <v>0.2094</v>
      </c>
      <c r="I543" s="510">
        <v>84.246803999999997</v>
      </c>
      <c r="J543" s="509">
        <v>5318.5007365199999</v>
      </c>
      <c r="K543" s="409"/>
      <c r="L543" s="447">
        <f t="shared" si="58"/>
        <v>5318.5007365199999</v>
      </c>
      <c r="M543" s="447"/>
      <c r="N543" s="298"/>
      <c r="O543" s="298"/>
      <c r="P543" s="298"/>
      <c r="Q543" s="298"/>
      <c r="R543" s="298"/>
      <c r="S543" s="298"/>
    </row>
    <row r="544" spans="1:19" s="92" customFormat="1" ht="38.25">
      <c r="A544" s="394" t="s">
        <v>3259</v>
      </c>
      <c r="B544" s="285" t="s">
        <v>14721</v>
      </c>
      <c r="C544" s="288">
        <v>101616</v>
      </c>
      <c r="D544" s="289" t="s">
        <v>13664</v>
      </c>
      <c r="E544" s="290" t="s">
        <v>193</v>
      </c>
      <c r="F544" s="755">
        <v>140.29</v>
      </c>
      <c r="G544" s="510" t="s">
        <v>11219</v>
      </c>
      <c r="H544" s="508">
        <v>0.2094</v>
      </c>
      <c r="I544" s="510">
        <v>6.3735379999999999</v>
      </c>
      <c r="J544" s="509">
        <v>894.14364601999989</v>
      </c>
      <c r="K544" s="409"/>
      <c r="L544" s="447">
        <f t="shared" si="58"/>
        <v>894.14364601999989</v>
      </c>
      <c r="M544" s="447"/>
      <c r="N544" s="298"/>
      <c r="O544" s="298"/>
      <c r="P544" s="298"/>
      <c r="Q544" s="298"/>
      <c r="R544" s="298"/>
      <c r="S544" s="298"/>
    </row>
    <row r="545" spans="1:19" s="92" customFormat="1" ht="25.5">
      <c r="A545" s="394" t="s">
        <v>3259</v>
      </c>
      <c r="B545" s="285" t="s">
        <v>14722</v>
      </c>
      <c r="C545" s="288">
        <v>93382</v>
      </c>
      <c r="D545" s="289" t="s">
        <v>2501</v>
      </c>
      <c r="E545" s="290" t="s">
        <v>209</v>
      </c>
      <c r="F545" s="755">
        <v>47.46</v>
      </c>
      <c r="G545" s="510" t="s">
        <v>16369</v>
      </c>
      <c r="H545" s="508">
        <v>0.2094</v>
      </c>
      <c r="I545" s="510">
        <v>30.380128000000003</v>
      </c>
      <c r="J545" s="509">
        <v>1441.8408748800002</v>
      </c>
      <c r="K545" s="409"/>
      <c r="L545" s="447">
        <f t="shared" si="58"/>
        <v>1441.8408748800002</v>
      </c>
      <c r="M545" s="447"/>
      <c r="N545" s="298"/>
      <c r="O545" s="298"/>
      <c r="P545" s="298"/>
      <c r="Q545" s="298"/>
      <c r="R545" s="298"/>
      <c r="S545" s="298"/>
    </row>
    <row r="546" spans="1:19" s="92" customFormat="1" ht="19.5" customHeight="1">
      <c r="A546" s="394" t="s">
        <v>3260</v>
      </c>
      <c r="B546" s="285" t="s">
        <v>14723</v>
      </c>
      <c r="C546" s="285" t="s">
        <v>14697</v>
      </c>
      <c r="D546" s="289" t="s">
        <v>14699</v>
      </c>
      <c r="E546" s="290" t="s">
        <v>3241</v>
      </c>
      <c r="F546" s="755">
        <v>14.03</v>
      </c>
      <c r="G546" s="510">
        <v>165.58999999999997</v>
      </c>
      <c r="H546" s="508">
        <v>0.2094</v>
      </c>
      <c r="I546" s="510">
        <v>200.26454599999997</v>
      </c>
      <c r="J546" s="509">
        <v>2809.7115803799993</v>
      </c>
      <c r="K546" s="409"/>
      <c r="L546" s="447">
        <f t="shared" si="58"/>
        <v>2809.7115803799993</v>
      </c>
      <c r="M546" s="447"/>
      <c r="N546" s="298"/>
      <c r="O546" s="298"/>
      <c r="P546" s="298"/>
      <c r="Q546" s="298"/>
      <c r="R546" s="298"/>
      <c r="S546" s="298"/>
    </row>
    <row r="547" spans="1:19" s="92" customFormat="1">
      <c r="A547" s="256"/>
      <c r="B547" s="391"/>
      <c r="C547" s="395"/>
      <c r="D547" s="401"/>
      <c r="E547" s="391"/>
      <c r="F547" s="417"/>
      <c r="G547" s="417"/>
      <c r="H547" s="417"/>
      <c r="I547" s="417"/>
      <c r="J547" s="418"/>
      <c r="K547" s="298"/>
      <c r="L547" s="447">
        <f t="shared" si="58"/>
        <v>0</v>
      </c>
      <c r="M547" s="447"/>
      <c r="N547" s="298"/>
      <c r="O547" s="298"/>
      <c r="P547" s="298"/>
      <c r="Q547" s="298"/>
      <c r="R547" s="298"/>
      <c r="S547" s="298"/>
    </row>
    <row r="548" spans="1:19" s="140" customFormat="1">
      <c r="A548" s="394"/>
      <c r="B548" s="395"/>
      <c r="C548" s="395"/>
      <c r="D548" s="404"/>
      <c r="E548" s="395"/>
      <c r="F548" s="395"/>
      <c r="G548" s="460" t="s">
        <v>69</v>
      </c>
      <c r="H548" s="419"/>
      <c r="I548" s="460"/>
      <c r="J548" s="421">
        <v>326581.34585519996</v>
      </c>
      <c r="K548" s="448"/>
      <c r="L548" s="447">
        <f t="shared" si="58"/>
        <v>0</v>
      </c>
      <c r="M548" s="447"/>
      <c r="N548" s="409"/>
      <c r="O548" s="409"/>
      <c r="P548" s="409"/>
      <c r="Q548" s="409"/>
      <c r="R548" s="409"/>
      <c r="S548" s="409"/>
    </row>
    <row r="549" spans="1:19" s="92" customFormat="1">
      <c r="A549" s="256"/>
      <c r="B549" s="391"/>
      <c r="C549" s="391"/>
      <c r="D549" s="401"/>
      <c r="E549" s="391"/>
      <c r="F549" s="417"/>
      <c r="G549" s="417"/>
      <c r="H549" s="417"/>
      <c r="I549" s="417"/>
      <c r="J549" s="418"/>
      <c r="K549" s="298"/>
      <c r="L549" s="447">
        <f t="shared" si="58"/>
        <v>0</v>
      </c>
      <c r="M549" s="447"/>
      <c r="N549" s="298"/>
      <c r="O549" s="298"/>
      <c r="P549" s="298"/>
      <c r="Q549" s="298"/>
      <c r="R549" s="298"/>
      <c r="S549" s="298"/>
    </row>
    <row r="550" spans="1:19" s="140" customFormat="1">
      <c r="A550" s="394"/>
      <c r="B550" s="396" t="s">
        <v>113</v>
      </c>
      <c r="C550" s="396"/>
      <c r="D550" s="405" t="s">
        <v>114</v>
      </c>
      <c r="E550" s="422"/>
      <c r="F550" s="422"/>
      <c r="G550" s="429"/>
      <c r="H550" s="422"/>
      <c r="I550" s="429"/>
      <c r="J550" s="423"/>
      <c r="K550" s="409"/>
      <c r="L550" s="447">
        <f t="shared" si="58"/>
        <v>0</v>
      </c>
      <c r="M550" s="447"/>
      <c r="N550" s="409"/>
      <c r="O550" s="409"/>
      <c r="P550" s="409"/>
      <c r="Q550" s="409"/>
      <c r="R550" s="409"/>
      <c r="S550" s="409"/>
    </row>
    <row r="551" spans="1:19" s="140" customFormat="1">
      <c r="A551" s="394"/>
      <c r="B551" s="396" t="s">
        <v>115</v>
      </c>
      <c r="C551" s="396"/>
      <c r="D551" s="406" t="s">
        <v>116</v>
      </c>
      <c r="E551" s="424"/>
      <c r="F551" s="424"/>
      <c r="G551" s="463"/>
      <c r="H551" s="424"/>
      <c r="I551" s="463"/>
      <c r="J551" s="425"/>
      <c r="K551" s="409"/>
      <c r="L551" s="447">
        <f t="shared" si="58"/>
        <v>0</v>
      </c>
      <c r="M551" s="447"/>
      <c r="N551" s="409"/>
      <c r="O551" s="409"/>
      <c r="P551" s="409"/>
      <c r="Q551" s="409"/>
      <c r="R551" s="409"/>
      <c r="S551" s="409"/>
    </row>
    <row r="552" spans="1:19" s="140" customFormat="1">
      <c r="A552" s="394"/>
      <c r="B552" s="396" t="s">
        <v>117</v>
      </c>
      <c r="C552" s="396"/>
      <c r="D552" s="405" t="s">
        <v>118</v>
      </c>
      <c r="E552" s="422"/>
      <c r="F552" s="422"/>
      <c r="G552" s="429"/>
      <c r="H552" s="422"/>
      <c r="I552" s="429"/>
      <c r="J552" s="423"/>
      <c r="K552" s="409"/>
      <c r="L552" s="447">
        <f t="shared" ref="L552:L620" si="64">I552*F552</f>
        <v>0</v>
      </c>
      <c r="M552" s="447"/>
      <c r="N552" s="409"/>
      <c r="O552" s="409"/>
      <c r="P552" s="409"/>
      <c r="Q552" s="409"/>
      <c r="R552" s="409"/>
      <c r="S552" s="409"/>
    </row>
    <row r="553" spans="1:19" s="140" customFormat="1">
      <c r="A553" s="394"/>
      <c r="B553" s="396" t="s">
        <v>3264</v>
      </c>
      <c r="C553" s="396"/>
      <c r="D553" s="405" t="s">
        <v>3272</v>
      </c>
      <c r="E553" s="422"/>
      <c r="F553" s="422"/>
      <c r="G553" s="429"/>
      <c r="H553" s="422"/>
      <c r="I553" s="429"/>
      <c r="J553" s="423"/>
      <c r="K553" s="409"/>
      <c r="L553" s="447">
        <f t="shared" si="64"/>
        <v>0</v>
      </c>
      <c r="M553" s="447"/>
      <c r="N553" s="409"/>
      <c r="O553" s="409"/>
      <c r="P553" s="409"/>
      <c r="Q553" s="409"/>
      <c r="R553" s="409"/>
      <c r="S553" s="409"/>
    </row>
    <row r="554" spans="1:19" s="140" customFormat="1" ht="51">
      <c r="A554" s="394" t="s">
        <v>3260</v>
      </c>
      <c r="B554" s="285" t="s">
        <v>3265</v>
      </c>
      <c r="C554" s="285" t="s">
        <v>9016</v>
      </c>
      <c r="D554" s="289" t="s">
        <v>14534</v>
      </c>
      <c r="E554" s="290" t="s">
        <v>5</v>
      </c>
      <c r="F554" s="755">
        <v>658.7</v>
      </c>
      <c r="G554" s="510">
        <v>18.540000000000003</v>
      </c>
      <c r="H554" s="508">
        <v>0.2094</v>
      </c>
      <c r="I554" s="510">
        <v>22.422276000000004</v>
      </c>
      <c r="J554" s="509">
        <v>14769.553201200004</v>
      </c>
      <c r="K554" s="409"/>
      <c r="L554" s="447">
        <f t="shared" si="64"/>
        <v>14769.553201200004</v>
      </c>
      <c r="M554" s="447"/>
      <c r="N554" s="409"/>
      <c r="O554" s="409"/>
      <c r="P554" s="409"/>
      <c r="Q554" s="409"/>
      <c r="R554" s="409"/>
      <c r="S554" s="409"/>
    </row>
    <row r="555" spans="1:19" s="140" customFormat="1" ht="51">
      <c r="A555" s="394" t="s">
        <v>3259</v>
      </c>
      <c r="B555" s="285" t="s">
        <v>3266</v>
      </c>
      <c r="C555" s="285">
        <v>91854</v>
      </c>
      <c r="D555" s="289" t="s">
        <v>1520</v>
      </c>
      <c r="E555" s="290" t="s">
        <v>5</v>
      </c>
      <c r="F555" s="755">
        <v>39.6</v>
      </c>
      <c r="G555" s="510" t="s">
        <v>14073</v>
      </c>
      <c r="H555" s="508">
        <v>0.2094</v>
      </c>
      <c r="I555" s="510">
        <v>10.110583999999999</v>
      </c>
      <c r="J555" s="509">
        <v>400.37912639999996</v>
      </c>
      <c r="K555" s="409"/>
      <c r="L555" s="447">
        <f t="shared" si="64"/>
        <v>400.37912639999996</v>
      </c>
      <c r="M555" s="447"/>
      <c r="N555" s="409"/>
      <c r="O555" s="409"/>
      <c r="P555" s="409"/>
      <c r="Q555" s="409"/>
      <c r="R555" s="409"/>
      <c r="S555" s="409"/>
    </row>
    <row r="556" spans="1:19" s="140" customFormat="1" ht="51">
      <c r="A556" s="394" t="s">
        <v>3260</v>
      </c>
      <c r="B556" s="285" t="s">
        <v>3267</v>
      </c>
      <c r="C556" s="285" t="s">
        <v>18374</v>
      </c>
      <c r="D556" s="289" t="s">
        <v>18375</v>
      </c>
      <c r="E556" s="290" t="s">
        <v>5</v>
      </c>
      <c r="F556" s="755">
        <v>3.3</v>
      </c>
      <c r="G556" s="510">
        <v>12.43</v>
      </c>
      <c r="H556" s="508">
        <v>0.2094</v>
      </c>
      <c r="I556" s="510">
        <v>15.032842</v>
      </c>
      <c r="J556" s="509">
        <v>49.608378600000002</v>
      </c>
      <c r="K556" s="409"/>
      <c r="L556" s="447">
        <f t="shared" si="64"/>
        <v>49.608378600000002</v>
      </c>
      <c r="M556" s="447"/>
      <c r="N556" s="409"/>
      <c r="O556" s="409"/>
      <c r="P556" s="409"/>
      <c r="Q556" s="409"/>
      <c r="R556" s="409"/>
      <c r="S556" s="409"/>
    </row>
    <row r="557" spans="1:19" s="140" customFormat="1" ht="51">
      <c r="A557" s="394" t="s">
        <v>3260</v>
      </c>
      <c r="B557" s="285" t="s">
        <v>3268</v>
      </c>
      <c r="C557" s="285" t="s">
        <v>9019</v>
      </c>
      <c r="D557" s="289" t="s">
        <v>16969</v>
      </c>
      <c r="E557" s="290" t="s">
        <v>5</v>
      </c>
      <c r="F557" s="755">
        <v>19.02</v>
      </c>
      <c r="G557" s="510">
        <v>42.64</v>
      </c>
      <c r="H557" s="508">
        <v>0.2094</v>
      </c>
      <c r="I557" s="510">
        <v>51.568816000000005</v>
      </c>
      <c r="J557" s="509">
        <v>980.83888032000004</v>
      </c>
      <c r="K557" s="409"/>
      <c r="L557" s="447">
        <f t="shared" si="64"/>
        <v>980.83888032000004</v>
      </c>
      <c r="M557" s="447"/>
      <c r="N557" s="409"/>
      <c r="O557" s="409"/>
      <c r="P557" s="409"/>
      <c r="Q557" s="409"/>
      <c r="R557" s="409"/>
      <c r="S557" s="409"/>
    </row>
    <row r="558" spans="1:19" s="140" customFormat="1" ht="51">
      <c r="A558" s="394" t="s">
        <v>3260</v>
      </c>
      <c r="B558" s="285" t="s">
        <v>3269</v>
      </c>
      <c r="C558" s="285" t="s">
        <v>9020</v>
      </c>
      <c r="D558" s="289" t="s">
        <v>16978</v>
      </c>
      <c r="E558" s="290" t="s">
        <v>5</v>
      </c>
      <c r="F558" s="755">
        <v>173.57</v>
      </c>
      <c r="G558" s="510">
        <v>48.870000000000005</v>
      </c>
      <c r="H558" s="508">
        <v>0.2094</v>
      </c>
      <c r="I558" s="510">
        <v>59.103378000000006</v>
      </c>
      <c r="J558" s="509">
        <v>10258.573319460002</v>
      </c>
      <c r="K558" s="409"/>
      <c r="L558" s="447">
        <f t="shared" si="64"/>
        <v>10258.573319460002</v>
      </c>
      <c r="M558" s="447"/>
      <c r="N558" s="409"/>
      <c r="O558" s="409"/>
      <c r="P558" s="409"/>
      <c r="Q558" s="409"/>
      <c r="R558" s="409"/>
      <c r="S558" s="409"/>
    </row>
    <row r="559" spans="1:19" s="140" customFormat="1" ht="51">
      <c r="A559" s="394" t="s">
        <v>3260</v>
      </c>
      <c r="B559" s="285" t="s">
        <v>3270</v>
      </c>
      <c r="C559" s="285" t="s">
        <v>9021</v>
      </c>
      <c r="D559" s="289" t="s">
        <v>18377</v>
      </c>
      <c r="E559" s="290" t="s">
        <v>109</v>
      </c>
      <c r="F559" s="755">
        <v>1</v>
      </c>
      <c r="G559" s="510">
        <v>53.910000000000004</v>
      </c>
      <c r="H559" s="508">
        <v>0.2094</v>
      </c>
      <c r="I559" s="510">
        <v>65.198754000000008</v>
      </c>
      <c r="J559" s="509">
        <v>65.198754000000008</v>
      </c>
      <c r="K559" s="409"/>
      <c r="L559" s="447">
        <f t="shared" si="64"/>
        <v>65.198754000000008</v>
      </c>
      <c r="M559" s="447"/>
      <c r="N559" s="409"/>
      <c r="O559" s="409"/>
      <c r="P559" s="409"/>
      <c r="Q559" s="409"/>
      <c r="R559" s="409"/>
      <c r="S559" s="409"/>
    </row>
    <row r="560" spans="1:19" s="140" customFormat="1" ht="51">
      <c r="A560" s="394" t="s">
        <v>3260</v>
      </c>
      <c r="B560" s="285" t="s">
        <v>3271</v>
      </c>
      <c r="C560" s="285" t="s">
        <v>9022</v>
      </c>
      <c r="D560" s="289" t="s">
        <v>16984</v>
      </c>
      <c r="E560" s="290" t="s">
        <v>109</v>
      </c>
      <c r="F560" s="755">
        <v>1</v>
      </c>
      <c r="G560" s="510">
        <v>53.910000000000004</v>
      </c>
      <c r="H560" s="508">
        <v>0.2094</v>
      </c>
      <c r="I560" s="510">
        <v>65.198754000000008</v>
      </c>
      <c r="J560" s="509">
        <v>65.198754000000008</v>
      </c>
      <c r="K560" s="409"/>
      <c r="L560" s="447">
        <f t="shared" si="64"/>
        <v>65.198754000000008</v>
      </c>
      <c r="M560" s="447"/>
      <c r="N560" s="409"/>
      <c r="O560" s="409"/>
      <c r="P560" s="409"/>
      <c r="Q560" s="409"/>
      <c r="R560" s="409"/>
      <c r="S560" s="409"/>
    </row>
    <row r="561" spans="1:19" s="140" customFormat="1" ht="63.75">
      <c r="A561" s="394" t="s">
        <v>3260</v>
      </c>
      <c r="B561" s="285" t="s">
        <v>14340</v>
      </c>
      <c r="C561" s="285" t="s">
        <v>9023</v>
      </c>
      <c r="D561" s="289" t="s">
        <v>16986</v>
      </c>
      <c r="E561" s="290" t="s">
        <v>109</v>
      </c>
      <c r="F561" s="755">
        <v>5</v>
      </c>
      <c r="G561" s="510">
        <v>54.18</v>
      </c>
      <c r="H561" s="508">
        <v>0.2094</v>
      </c>
      <c r="I561" s="510">
        <v>65.525292000000007</v>
      </c>
      <c r="J561" s="509">
        <v>327.62646000000007</v>
      </c>
      <c r="K561" s="409"/>
      <c r="L561" s="447">
        <f t="shared" si="64"/>
        <v>327.62646000000007</v>
      </c>
      <c r="M561" s="447"/>
      <c r="N561" s="409"/>
      <c r="O561" s="409"/>
      <c r="P561" s="409"/>
      <c r="Q561" s="409"/>
      <c r="R561" s="409"/>
      <c r="S561" s="409"/>
    </row>
    <row r="562" spans="1:19" s="140" customFormat="1" ht="38.25">
      <c r="A562" s="394" t="s">
        <v>3260</v>
      </c>
      <c r="B562" s="285" t="s">
        <v>14341</v>
      </c>
      <c r="C562" s="285" t="s">
        <v>11600</v>
      </c>
      <c r="D562" s="289" t="s">
        <v>16988</v>
      </c>
      <c r="E562" s="290" t="s">
        <v>109</v>
      </c>
      <c r="F562" s="755">
        <v>84</v>
      </c>
      <c r="G562" s="510">
        <v>10.330000000000002</v>
      </c>
      <c r="H562" s="508">
        <v>0.2094</v>
      </c>
      <c r="I562" s="510">
        <v>12.493102000000002</v>
      </c>
      <c r="J562" s="509">
        <v>1049.4205680000002</v>
      </c>
      <c r="K562" s="409"/>
      <c r="L562" s="447">
        <f t="shared" si="64"/>
        <v>1049.4205680000002</v>
      </c>
      <c r="M562" s="447"/>
      <c r="N562" s="409"/>
      <c r="O562" s="409"/>
      <c r="P562" s="409"/>
      <c r="Q562" s="409"/>
      <c r="R562" s="409"/>
      <c r="S562" s="409"/>
    </row>
    <row r="563" spans="1:19" s="140" customFormat="1" ht="51">
      <c r="A563" s="394" t="s">
        <v>3260</v>
      </c>
      <c r="B563" s="285" t="s">
        <v>14342</v>
      </c>
      <c r="C563" s="285" t="s">
        <v>11602</v>
      </c>
      <c r="D563" s="289" t="s">
        <v>16991</v>
      </c>
      <c r="E563" s="290" t="s">
        <v>109</v>
      </c>
      <c r="F563" s="755">
        <v>7</v>
      </c>
      <c r="G563" s="510">
        <v>77.92</v>
      </c>
      <c r="H563" s="508">
        <v>0.2094</v>
      </c>
      <c r="I563" s="510">
        <v>94.23644800000001</v>
      </c>
      <c r="J563" s="509">
        <v>659.65513600000008</v>
      </c>
      <c r="K563" s="409"/>
      <c r="L563" s="447">
        <f t="shared" si="64"/>
        <v>659.65513600000008</v>
      </c>
      <c r="M563" s="447"/>
      <c r="N563" s="409"/>
      <c r="O563" s="409"/>
      <c r="P563" s="409"/>
      <c r="Q563" s="409"/>
      <c r="R563" s="409"/>
      <c r="S563" s="409"/>
    </row>
    <row r="564" spans="1:19" s="140" customFormat="1" ht="51">
      <c r="A564" s="394" t="s">
        <v>3260</v>
      </c>
      <c r="B564" s="285" t="s">
        <v>14343</v>
      </c>
      <c r="C564" s="285" t="s">
        <v>14398</v>
      </c>
      <c r="D564" s="289" t="s">
        <v>18383</v>
      </c>
      <c r="E564" s="290" t="s">
        <v>109</v>
      </c>
      <c r="F564" s="755">
        <v>4</v>
      </c>
      <c r="G564" s="510">
        <v>84.850000000000009</v>
      </c>
      <c r="H564" s="508">
        <v>0.2094</v>
      </c>
      <c r="I564" s="510">
        <v>102.61759000000001</v>
      </c>
      <c r="J564" s="509">
        <v>410.47036000000003</v>
      </c>
      <c r="K564" s="409"/>
      <c r="L564" s="447">
        <f t="shared" ref="L564:L565" si="65">I564*F564</f>
        <v>410.47036000000003</v>
      </c>
      <c r="M564" s="447"/>
      <c r="N564" s="409"/>
      <c r="O564" s="409"/>
      <c r="P564" s="409"/>
      <c r="Q564" s="409"/>
      <c r="R564" s="409"/>
      <c r="S564" s="409"/>
    </row>
    <row r="565" spans="1:19" s="140" customFormat="1" ht="51">
      <c r="A565" s="394" t="s">
        <v>3260</v>
      </c>
      <c r="B565" s="285" t="s">
        <v>14344</v>
      </c>
      <c r="C565" s="285" t="s">
        <v>14399</v>
      </c>
      <c r="D565" s="289" t="s">
        <v>17131</v>
      </c>
      <c r="E565" s="290" t="s">
        <v>109</v>
      </c>
      <c r="F565" s="755">
        <v>22</v>
      </c>
      <c r="G565" s="510">
        <v>44.04</v>
      </c>
      <c r="H565" s="508">
        <v>0.2094</v>
      </c>
      <c r="I565" s="510">
        <v>53.261975999999997</v>
      </c>
      <c r="J565" s="509">
        <v>1171.7634719999999</v>
      </c>
      <c r="K565" s="409"/>
      <c r="L565" s="447">
        <f t="shared" si="65"/>
        <v>1171.7634719999999</v>
      </c>
      <c r="M565" s="447"/>
      <c r="N565" s="409"/>
      <c r="O565" s="409"/>
      <c r="P565" s="409"/>
      <c r="Q565" s="409"/>
      <c r="R565" s="409"/>
      <c r="S565" s="409"/>
    </row>
    <row r="566" spans="1:19" s="140" customFormat="1" ht="38.25">
      <c r="A566" s="394" t="s">
        <v>3260</v>
      </c>
      <c r="B566" s="285" t="s">
        <v>14345</v>
      </c>
      <c r="C566" s="285" t="s">
        <v>11603</v>
      </c>
      <c r="D566" s="289" t="s">
        <v>16994</v>
      </c>
      <c r="E566" s="290" t="s">
        <v>109</v>
      </c>
      <c r="F566" s="755">
        <v>7</v>
      </c>
      <c r="G566" s="510">
        <v>13.129999999999999</v>
      </c>
      <c r="H566" s="508">
        <v>0.2094</v>
      </c>
      <c r="I566" s="510">
        <v>15.879422</v>
      </c>
      <c r="J566" s="509">
        <v>111.15595399999999</v>
      </c>
      <c r="K566" s="409"/>
      <c r="L566" s="447">
        <f t="shared" si="64"/>
        <v>111.15595399999999</v>
      </c>
      <c r="M566" s="447"/>
      <c r="N566" s="409"/>
      <c r="O566" s="409"/>
      <c r="P566" s="409"/>
      <c r="Q566" s="409"/>
      <c r="R566" s="409"/>
      <c r="S566" s="409"/>
    </row>
    <row r="567" spans="1:19" s="140" customFormat="1" ht="38.25">
      <c r="A567" s="394" t="s">
        <v>3260</v>
      </c>
      <c r="B567" s="285" t="s">
        <v>14346</v>
      </c>
      <c r="C567" s="285" t="s">
        <v>11604</v>
      </c>
      <c r="D567" s="289" t="s">
        <v>18380</v>
      </c>
      <c r="E567" s="290" t="s">
        <v>109</v>
      </c>
      <c r="F567" s="755">
        <v>1</v>
      </c>
      <c r="G567" s="510">
        <v>12.98</v>
      </c>
      <c r="H567" s="508">
        <v>0.2094</v>
      </c>
      <c r="I567" s="510">
        <v>15.698012</v>
      </c>
      <c r="J567" s="509">
        <v>15.698012</v>
      </c>
      <c r="K567" s="409"/>
      <c r="L567" s="447">
        <f t="shared" si="64"/>
        <v>15.698012</v>
      </c>
      <c r="M567" s="447"/>
      <c r="N567" s="409"/>
      <c r="O567" s="409"/>
      <c r="P567" s="409"/>
      <c r="Q567" s="409"/>
      <c r="R567" s="409"/>
      <c r="S567" s="409"/>
    </row>
    <row r="568" spans="1:19" s="140" customFormat="1" ht="38.25">
      <c r="A568" s="394" t="s">
        <v>3260</v>
      </c>
      <c r="B568" s="285" t="s">
        <v>14371</v>
      </c>
      <c r="C568" s="285" t="s">
        <v>11605</v>
      </c>
      <c r="D568" s="289" t="s">
        <v>16996</v>
      </c>
      <c r="E568" s="290" t="s">
        <v>109</v>
      </c>
      <c r="F568" s="755">
        <v>1</v>
      </c>
      <c r="G568" s="510">
        <v>19.41</v>
      </c>
      <c r="H568" s="508">
        <v>0.2094</v>
      </c>
      <c r="I568" s="510">
        <v>23.474454000000001</v>
      </c>
      <c r="J568" s="509">
        <v>23.474454000000001</v>
      </c>
      <c r="K568" s="409"/>
      <c r="L568" s="447">
        <f t="shared" si="64"/>
        <v>23.474454000000001</v>
      </c>
      <c r="M568" s="447"/>
      <c r="N568" s="409"/>
      <c r="O568" s="409"/>
      <c r="P568" s="409"/>
      <c r="Q568" s="409"/>
      <c r="R568" s="409"/>
      <c r="S568" s="409"/>
    </row>
    <row r="569" spans="1:19" s="140" customFormat="1" ht="38.25">
      <c r="A569" s="394" t="s">
        <v>3260</v>
      </c>
      <c r="B569" s="285" t="s">
        <v>14372</v>
      </c>
      <c r="C569" s="285" t="s">
        <v>11606</v>
      </c>
      <c r="D569" s="289" t="s">
        <v>16998</v>
      </c>
      <c r="E569" s="290" t="s">
        <v>109</v>
      </c>
      <c r="F569" s="755">
        <v>5</v>
      </c>
      <c r="G569" s="510">
        <v>11.55</v>
      </c>
      <c r="H569" s="508">
        <v>0.2094</v>
      </c>
      <c r="I569" s="510">
        <v>13.968570000000001</v>
      </c>
      <c r="J569" s="509">
        <v>69.842850000000013</v>
      </c>
      <c r="K569" s="409"/>
      <c r="L569" s="447">
        <f t="shared" si="64"/>
        <v>69.842850000000013</v>
      </c>
      <c r="M569" s="447"/>
      <c r="N569" s="409"/>
      <c r="O569" s="409"/>
      <c r="P569" s="409"/>
      <c r="Q569" s="409"/>
      <c r="R569" s="409"/>
      <c r="S569" s="409"/>
    </row>
    <row r="570" spans="1:19" s="140" customFormat="1" ht="51">
      <c r="A570" s="394" t="s">
        <v>3260</v>
      </c>
      <c r="B570" s="285" t="s">
        <v>14373</v>
      </c>
      <c r="C570" s="285" t="s">
        <v>11607</v>
      </c>
      <c r="D570" s="289" t="s">
        <v>17135</v>
      </c>
      <c r="E570" s="290" t="s">
        <v>5</v>
      </c>
      <c r="F570" s="755">
        <v>19.02</v>
      </c>
      <c r="G570" s="510">
        <v>18.079999999999998</v>
      </c>
      <c r="H570" s="508">
        <v>0.2094</v>
      </c>
      <c r="I570" s="510">
        <v>21.865952</v>
      </c>
      <c r="J570" s="509">
        <v>415.89040704000001</v>
      </c>
      <c r="K570" s="409"/>
      <c r="L570" s="447">
        <f t="shared" si="64"/>
        <v>415.89040704000001</v>
      </c>
      <c r="M570" s="447"/>
      <c r="N570" s="409"/>
      <c r="O570" s="409"/>
      <c r="P570" s="409"/>
      <c r="Q570" s="409"/>
      <c r="R570" s="409"/>
      <c r="S570" s="409"/>
    </row>
    <row r="571" spans="1:19" s="140" customFormat="1" ht="51">
      <c r="A571" s="394" t="s">
        <v>3260</v>
      </c>
      <c r="B571" s="285" t="s">
        <v>14374</v>
      </c>
      <c r="C571" s="285" t="s">
        <v>11608</v>
      </c>
      <c r="D571" s="289" t="s">
        <v>17136</v>
      </c>
      <c r="E571" s="290" t="s">
        <v>5</v>
      </c>
      <c r="F571" s="755">
        <v>173.57</v>
      </c>
      <c r="G571" s="510">
        <v>14.91</v>
      </c>
      <c r="H571" s="508">
        <v>0.2094</v>
      </c>
      <c r="I571" s="510">
        <v>18.032154000000002</v>
      </c>
      <c r="J571" s="509">
        <v>3129.8409697800003</v>
      </c>
      <c r="K571" s="409"/>
      <c r="L571" s="447">
        <f t="shared" si="64"/>
        <v>3129.8409697800003</v>
      </c>
      <c r="M571" s="447"/>
      <c r="N571" s="409"/>
      <c r="O571" s="409"/>
      <c r="P571" s="409"/>
      <c r="Q571" s="409"/>
      <c r="R571" s="409"/>
      <c r="S571" s="409"/>
    </row>
    <row r="572" spans="1:19" s="140" customFormat="1" ht="38.25">
      <c r="A572" s="394" t="s">
        <v>3260</v>
      </c>
      <c r="B572" s="285" t="s">
        <v>14375</v>
      </c>
      <c r="C572" s="288" t="s">
        <v>14400</v>
      </c>
      <c r="D572" s="289" t="s">
        <v>17133</v>
      </c>
      <c r="E572" s="290" t="s">
        <v>109</v>
      </c>
      <c r="F572" s="755">
        <v>22</v>
      </c>
      <c r="G572" s="510">
        <v>15.07</v>
      </c>
      <c r="H572" s="508">
        <v>0.2094</v>
      </c>
      <c r="I572" s="510">
        <v>18.225657999999999</v>
      </c>
      <c r="J572" s="509">
        <v>400.96447599999999</v>
      </c>
      <c r="K572" s="409"/>
      <c r="L572" s="447">
        <f t="shared" ref="L572" si="66">I572*F572</f>
        <v>400.96447599999999</v>
      </c>
      <c r="M572" s="447"/>
      <c r="N572" s="409"/>
      <c r="O572" s="409"/>
      <c r="P572" s="409"/>
      <c r="Q572" s="409"/>
      <c r="R572" s="409"/>
      <c r="S572" s="409"/>
    </row>
    <row r="573" spans="1:19" s="140" customFormat="1" ht="38.25">
      <c r="A573" s="394" t="s">
        <v>3260</v>
      </c>
      <c r="B573" s="285" t="s">
        <v>18379</v>
      </c>
      <c r="C573" s="288" t="s">
        <v>14401</v>
      </c>
      <c r="D573" s="289" t="s">
        <v>17134</v>
      </c>
      <c r="E573" s="290" t="s">
        <v>109</v>
      </c>
      <c r="F573" s="755">
        <v>4</v>
      </c>
      <c r="G573" s="510">
        <v>20.54</v>
      </c>
      <c r="H573" s="508">
        <v>0.2094</v>
      </c>
      <c r="I573" s="510">
        <v>24.841076000000001</v>
      </c>
      <c r="J573" s="509">
        <v>99.364304000000004</v>
      </c>
      <c r="K573" s="409"/>
      <c r="L573" s="447">
        <f t="shared" ref="L573" si="67">I573*F573</f>
        <v>99.364304000000004</v>
      </c>
      <c r="M573" s="447"/>
      <c r="N573" s="409"/>
      <c r="O573" s="409"/>
      <c r="P573" s="409"/>
      <c r="Q573" s="409"/>
      <c r="R573" s="409"/>
      <c r="S573" s="409"/>
    </row>
    <row r="574" spans="1:19" s="140" customFormat="1">
      <c r="A574" s="394"/>
      <c r="B574" s="285"/>
      <c r="C574" s="285"/>
      <c r="D574" s="407"/>
      <c r="E574" s="230"/>
      <c r="F574" s="426"/>
      <c r="G574" s="464"/>
      <c r="H574" s="427"/>
      <c r="I574" s="464"/>
      <c r="J574" s="428"/>
      <c r="K574" s="409"/>
      <c r="L574" s="447">
        <f t="shared" si="64"/>
        <v>0</v>
      </c>
      <c r="M574" s="447"/>
      <c r="N574" s="409"/>
      <c r="O574" s="409"/>
      <c r="P574" s="409"/>
      <c r="Q574" s="409"/>
      <c r="R574" s="409"/>
      <c r="S574" s="409"/>
    </row>
    <row r="575" spans="1:19" s="140" customFormat="1">
      <c r="A575" s="394"/>
      <c r="B575" s="396" t="s">
        <v>3273</v>
      </c>
      <c r="C575" s="396"/>
      <c r="D575" s="405" t="s">
        <v>3275</v>
      </c>
      <c r="E575" s="422"/>
      <c r="F575" s="429"/>
      <c r="G575" s="429"/>
      <c r="H575" s="422"/>
      <c r="I575" s="429"/>
      <c r="J575" s="423"/>
      <c r="K575" s="409"/>
      <c r="L575" s="447">
        <f t="shared" si="64"/>
        <v>0</v>
      </c>
      <c r="M575" s="447"/>
      <c r="N575" s="256"/>
      <c r="O575" s="256"/>
      <c r="P575" s="256"/>
      <c r="Q575" s="256"/>
      <c r="R575" s="256"/>
      <c r="S575" s="256"/>
    </row>
    <row r="576" spans="1:19" s="140" customFormat="1" ht="51">
      <c r="A576" s="394" t="s">
        <v>3259</v>
      </c>
      <c r="B576" s="285" t="s">
        <v>3274</v>
      </c>
      <c r="C576" s="285">
        <v>91926</v>
      </c>
      <c r="D576" s="289" t="s">
        <v>124</v>
      </c>
      <c r="E576" s="290" t="s">
        <v>5</v>
      </c>
      <c r="F576" s="755">
        <v>6322.9000000000005</v>
      </c>
      <c r="G576" s="510" t="s">
        <v>9940</v>
      </c>
      <c r="H576" s="508">
        <v>0.2094</v>
      </c>
      <c r="I576" s="510">
        <v>4.9222580000000002</v>
      </c>
      <c r="J576" s="509">
        <v>31122.945108200005</v>
      </c>
      <c r="K576" s="409"/>
      <c r="L576" s="447">
        <f t="shared" si="64"/>
        <v>31122.945108200005</v>
      </c>
      <c r="M576" s="447"/>
      <c r="N576" s="256"/>
      <c r="O576" s="256"/>
      <c r="P576" s="256"/>
      <c r="Q576" s="256"/>
      <c r="R576" s="256"/>
      <c r="S576" s="256"/>
    </row>
    <row r="577" spans="1:19" s="140" customFormat="1" ht="51">
      <c r="A577" s="394" t="s">
        <v>3259</v>
      </c>
      <c r="B577" s="285" t="s">
        <v>14432</v>
      </c>
      <c r="C577" s="285">
        <v>91928</v>
      </c>
      <c r="D577" s="289" t="s">
        <v>125</v>
      </c>
      <c r="E577" s="290" t="s">
        <v>5</v>
      </c>
      <c r="F577" s="755">
        <v>207.99</v>
      </c>
      <c r="G577" s="510" t="s">
        <v>10232</v>
      </c>
      <c r="H577" s="508">
        <v>0.2094</v>
      </c>
      <c r="I577" s="510">
        <v>8.0546040000000012</v>
      </c>
      <c r="J577" s="509">
        <v>1675.2770859600002</v>
      </c>
      <c r="K577" s="409"/>
      <c r="L577" s="447">
        <f t="shared" si="64"/>
        <v>1675.2770859600002</v>
      </c>
      <c r="M577" s="447"/>
      <c r="N577" s="256"/>
      <c r="O577" s="256"/>
      <c r="P577" s="256"/>
      <c r="Q577" s="256"/>
      <c r="R577" s="256"/>
      <c r="S577" s="256"/>
    </row>
    <row r="578" spans="1:19" s="140" customFormat="1" ht="51">
      <c r="A578" s="394" t="s">
        <v>3259</v>
      </c>
      <c r="B578" s="285" t="s">
        <v>14433</v>
      </c>
      <c r="C578" s="285">
        <v>91930</v>
      </c>
      <c r="D578" s="289" t="s">
        <v>297</v>
      </c>
      <c r="E578" s="290" t="s">
        <v>5</v>
      </c>
      <c r="F578" s="755">
        <v>293.95</v>
      </c>
      <c r="G578" s="510" t="s">
        <v>16478</v>
      </c>
      <c r="H578" s="508">
        <v>0.2094</v>
      </c>
      <c r="I578" s="510">
        <v>11.06601</v>
      </c>
      <c r="J578" s="509">
        <v>3252.8536395000001</v>
      </c>
      <c r="K578" s="409"/>
      <c r="L578" s="447">
        <f t="shared" si="64"/>
        <v>3252.8536395000001</v>
      </c>
      <c r="M578" s="447"/>
      <c r="N578" s="256"/>
      <c r="O578" s="256"/>
      <c r="P578" s="256"/>
      <c r="Q578" s="256"/>
      <c r="R578" s="256"/>
      <c r="S578" s="256"/>
    </row>
    <row r="579" spans="1:19" s="140" customFormat="1">
      <c r="A579" s="394"/>
      <c r="B579" s="285"/>
      <c r="C579" s="285"/>
      <c r="D579" s="407"/>
      <c r="E579" s="230"/>
      <c r="F579" s="426"/>
      <c r="G579" s="464"/>
      <c r="H579" s="427"/>
      <c r="I579" s="464"/>
      <c r="J579" s="428"/>
      <c r="K579" s="409"/>
      <c r="L579" s="447">
        <f t="shared" si="64"/>
        <v>0</v>
      </c>
      <c r="M579" s="447"/>
      <c r="N579" s="409"/>
      <c r="O579" s="409"/>
      <c r="P579" s="409"/>
      <c r="Q579" s="409"/>
      <c r="R579" s="409"/>
      <c r="S579" s="409"/>
    </row>
    <row r="580" spans="1:19" s="140" customFormat="1">
      <c r="A580" s="394"/>
      <c r="B580" s="396" t="s">
        <v>3276</v>
      </c>
      <c r="C580" s="396"/>
      <c r="D580" s="405" t="s">
        <v>119</v>
      </c>
      <c r="E580" s="422"/>
      <c r="F580" s="422"/>
      <c r="G580" s="429"/>
      <c r="H580" s="422"/>
      <c r="I580" s="429"/>
      <c r="J580" s="423"/>
      <c r="K580" s="409"/>
      <c r="L580" s="447">
        <f t="shared" si="64"/>
        <v>0</v>
      </c>
      <c r="M580" s="447"/>
      <c r="N580" s="409"/>
      <c r="O580" s="409"/>
      <c r="P580" s="409"/>
      <c r="Q580" s="409"/>
      <c r="R580" s="409"/>
      <c r="S580" s="409"/>
    </row>
    <row r="581" spans="1:19" s="140" customFormat="1">
      <c r="A581" s="394"/>
      <c r="B581" s="396" t="s">
        <v>3277</v>
      </c>
      <c r="C581" s="396"/>
      <c r="D581" s="405" t="s">
        <v>3278</v>
      </c>
      <c r="E581" s="422"/>
      <c r="F581" s="422"/>
      <c r="G581" s="429"/>
      <c r="H581" s="422"/>
      <c r="I581" s="429"/>
      <c r="J581" s="423"/>
      <c r="K581" s="409"/>
      <c r="L581" s="447">
        <f t="shared" si="64"/>
        <v>0</v>
      </c>
      <c r="M581" s="447"/>
      <c r="N581" s="409"/>
      <c r="O581" s="409"/>
      <c r="P581" s="409"/>
      <c r="Q581" s="409"/>
      <c r="R581" s="409"/>
      <c r="S581" s="409"/>
    </row>
    <row r="582" spans="1:19" s="140" customFormat="1" ht="51">
      <c r="A582" s="394" t="s">
        <v>3260</v>
      </c>
      <c r="B582" s="285" t="s">
        <v>3280</v>
      </c>
      <c r="C582" s="285" t="s">
        <v>11609</v>
      </c>
      <c r="D582" s="289" t="s">
        <v>18391</v>
      </c>
      <c r="E582" s="290" t="s">
        <v>109</v>
      </c>
      <c r="F582" s="758">
        <v>25</v>
      </c>
      <c r="G582" s="510">
        <v>127.60000000000001</v>
      </c>
      <c r="H582" s="508">
        <v>0.2094</v>
      </c>
      <c r="I582" s="510">
        <v>154.31944000000001</v>
      </c>
      <c r="J582" s="509">
        <v>3857.9860000000003</v>
      </c>
      <c r="K582" s="409"/>
      <c r="L582" s="447">
        <f t="shared" si="64"/>
        <v>3857.9860000000003</v>
      </c>
      <c r="M582" s="447"/>
      <c r="N582" s="409"/>
      <c r="O582" s="409"/>
      <c r="P582" s="409"/>
      <c r="Q582" s="409"/>
      <c r="R582" s="409"/>
      <c r="S582" s="409"/>
    </row>
    <row r="583" spans="1:19" s="140" customFormat="1" ht="51">
      <c r="A583" s="394" t="s">
        <v>3260</v>
      </c>
      <c r="B583" s="285" t="s">
        <v>14437</v>
      </c>
      <c r="C583" s="285" t="s">
        <v>11610</v>
      </c>
      <c r="D583" s="289" t="s">
        <v>18392</v>
      </c>
      <c r="E583" s="290" t="s">
        <v>109</v>
      </c>
      <c r="F583" s="758">
        <v>3</v>
      </c>
      <c r="G583" s="510">
        <v>127.39</v>
      </c>
      <c r="H583" s="508">
        <v>0.2094</v>
      </c>
      <c r="I583" s="510">
        <v>154.06546600000001</v>
      </c>
      <c r="J583" s="509">
        <v>462.19639800000004</v>
      </c>
      <c r="K583" s="409"/>
      <c r="L583" s="447">
        <f t="shared" si="64"/>
        <v>462.19639800000004</v>
      </c>
      <c r="M583" s="447"/>
      <c r="N583" s="409"/>
      <c r="O583" s="409"/>
      <c r="P583" s="409"/>
      <c r="Q583" s="409"/>
      <c r="R583" s="409"/>
      <c r="S583" s="409"/>
    </row>
    <row r="584" spans="1:19" s="140" customFormat="1" ht="51">
      <c r="A584" s="394" t="s">
        <v>3260</v>
      </c>
      <c r="B584" s="285" t="s">
        <v>14438</v>
      </c>
      <c r="C584" s="285" t="s">
        <v>11611</v>
      </c>
      <c r="D584" s="289" t="s">
        <v>18393</v>
      </c>
      <c r="E584" s="290" t="s">
        <v>109</v>
      </c>
      <c r="F584" s="758">
        <v>13</v>
      </c>
      <c r="G584" s="510">
        <v>274.45000000000005</v>
      </c>
      <c r="H584" s="508">
        <v>0.2094</v>
      </c>
      <c r="I584" s="510">
        <v>331.91983000000005</v>
      </c>
      <c r="J584" s="509">
        <v>4314.9577900000004</v>
      </c>
      <c r="K584" s="409"/>
      <c r="L584" s="447">
        <f t="shared" si="64"/>
        <v>4314.9577900000004</v>
      </c>
      <c r="M584" s="447"/>
      <c r="N584" s="409"/>
      <c r="O584" s="409"/>
      <c r="P584" s="409"/>
      <c r="Q584" s="409"/>
      <c r="R584" s="409"/>
      <c r="S584" s="409"/>
    </row>
    <row r="585" spans="1:19" s="140" customFormat="1" ht="63.75">
      <c r="A585" s="394" t="s">
        <v>3260</v>
      </c>
      <c r="B585" s="285" t="s">
        <v>14439</v>
      </c>
      <c r="C585" s="285" t="s">
        <v>11612</v>
      </c>
      <c r="D585" s="289" t="s">
        <v>18394</v>
      </c>
      <c r="E585" s="290" t="s">
        <v>109</v>
      </c>
      <c r="F585" s="758">
        <v>57</v>
      </c>
      <c r="G585" s="510">
        <v>255.78</v>
      </c>
      <c r="H585" s="508">
        <v>0.2094</v>
      </c>
      <c r="I585" s="510">
        <v>309.34033199999999</v>
      </c>
      <c r="J585" s="509">
        <v>17632.398924000001</v>
      </c>
      <c r="K585" s="409"/>
      <c r="L585" s="447">
        <f t="shared" si="64"/>
        <v>17632.398924000001</v>
      </c>
      <c r="M585" s="447"/>
      <c r="N585" s="409"/>
      <c r="O585" s="409"/>
      <c r="P585" s="409"/>
      <c r="Q585" s="409"/>
      <c r="R585" s="409"/>
      <c r="S585" s="409"/>
    </row>
    <row r="586" spans="1:19" s="140" customFormat="1" ht="63.75">
      <c r="A586" s="394" t="s">
        <v>3260</v>
      </c>
      <c r="B586" s="285" t="s">
        <v>14440</v>
      </c>
      <c r="C586" s="285" t="s">
        <v>11613</v>
      </c>
      <c r="D586" s="289" t="s">
        <v>17003</v>
      </c>
      <c r="E586" s="290" t="s">
        <v>109</v>
      </c>
      <c r="F586" s="758">
        <v>22</v>
      </c>
      <c r="G586" s="510">
        <v>483.71000000000004</v>
      </c>
      <c r="H586" s="508">
        <v>0.2094</v>
      </c>
      <c r="I586" s="510">
        <v>584.99887400000011</v>
      </c>
      <c r="J586" s="509">
        <v>12869.975228000003</v>
      </c>
      <c r="K586" s="409"/>
      <c r="L586" s="447">
        <f t="shared" si="64"/>
        <v>12869.975228000003</v>
      </c>
      <c r="M586" s="447"/>
      <c r="N586" s="409"/>
      <c r="O586" s="409"/>
      <c r="P586" s="409"/>
      <c r="Q586" s="409"/>
      <c r="R586" s="409"/>
      <c r="S586" s="409"/>
    </row>
    <row r="587" spans="1:19" s="140" customFormat="1" ht="63.75">
      <c r="A587" s="394" t="s">
        <v>3260</v>
      </c>
      <c r="B587" s="285" t="s">
        <v>17006</v>
      </c>
      <c r="C587" s="285" t="s">
        <v>14328</v>
      </c>
      <c r="D587" s="289" t="s">
        <v>17005</v>
      </c>
      <c r="E587" s="290" t="s">
        <v>109</v>
      </c>
      <c r="F587" s="758">
        <v>101</v>
      </c>
      <c r="G587" s="510">
        <v>872.76</v>
      </c>
      <c r="H587" s="508">
        <v>0.2094</v>
      </c>
      <c r="I587" s="510">
        <v>1055.515944</v>
      </c>
      <c r="J587" s="509">
        <v>106607.110344</v>
      </c>
      <c r="K587" s="409"/>
      <c r="L587" s="447">
        <f t="shared" si="64"/>
        <v>106607.110344</v>
      </c>
      <c r="M587" s="447"/>
      <c r="N587" s="409"/>
      <c r="O587" s="409"/>
      <c r="P587" s="409"/>
      <c r="Q587" s="409"/>
      <c r="R587" s="409"/>
      <c r="S587" s="409"/>
    </row>
    <row r="588" spans="1:19" s="140" customFormat="1" ht="63.75">
      <c r="A588" s="394" t="s">
        <v>3260</v>
      </c>
      <c r="B588" s="285" t="s">
        <v>18120</v>
      </c>
      <c r="C588" s="285" t="s">
        <v>18395</v>
      </c>
      <c r="D588" s="289" t="s">
        <v>18396</v>
      </c>
      <c r="E588" s="290" t="s">
        <v>109</v>
      </c>
      <c r="F588" s="758">
        <v>9</v>
      </c>
      <c r="G588" s="510">
        <v>361.15999999999997</v>
      </c>
      <c r="H588" s="508">
        <v>0.2094</v>
      </c>
      <c r="I588" s="510">
        <v>436.78690399999999</v>
      </c>
      <c r="J588" s="509">
        <v>3931.082136</v>
      </c>
      <c r="K588" s="409"/>
      <c r="L588" s="447">
        <f t="shared" ref="L588:L589" si="68">I588*F588</f>
        <v>3931.082136</v>
      </c>
      <c r="M588" s="447"/>
      <c r="N588" s="409"/>
      <c r="O588" s="409"/>
      <c r="P588" s="409"/>
      <c r="Q588" s="409"/>
      <c r="R588" s="409"/>
      <c r="S588" s="409"/>
    </row>
    <row r="589" spans="1:19" s="140" customFormat="1" ht="63.75">
      <c r="A589" s="394" t="s">
        <v>3260</v>
      </c>
      <c r="B589" s="285" t="s">
        <v>18399</v>
      </c>
      <c r="C589" s="285" t="s">
        <v>18397</v>
      </c>
      <c r="D589" s="289" t="s">
        <v>18398</v>
      </c>
      <c r="E589" s="290" t="s">
        <v>109</v>
      </c>
      <c r="F589" s="758">
        <v>9</v>
      </c>
      <c r="G589" s="510">
        <v>337.74</v>
      </c>
      <c r="H589" s="508">
        <v>0.2094</v>
      </c>
      <c r="I589" s="510">
        <v>408.46275600000001</v>
      </c>
      <c r="J589" s="509">
        <v>3676.164804</v>
      </c>
      <c r="K589" s="409"/>
      <c r="L589" s="447">
        <f t="shared" si="68"/>
        <v>3676.164804</v>
      </c>
      <c r="M589" s="447"/>
      <c r="N589" s="409"/>
      <c r="O589" s="409"/>
      <c r="P589" s="409"/>
      <c r="Q589" s="409"/>
      <c r="R589" s="409"/>
      <c r="S589" s="409"/>
    </row>
    <row r="590" spans="1:19" s="140" customFormat="1" ht="38.25">
      <c r="A590" s="394" t="s">
        <v>3259</v>
      </c>
      <c r="B590" s="285" t="s">
        <v>24868</v>
      </c>
      <c r="C590" s="285">
        <v>97599</v>
      </c>
      <c r="D590" s="289" t="s">
        <v>10386</v>
      </c>
      <c r="E590" s="290" t="s">
        <v>109</v>
      </c>
      <c r="F590" s="758">
        <v>25</v>
      </c>
      <c r="G590" s="510" t="s">
        <v>12430</v>
      </c>
      <c r="H590" s="508">
        <v>0.2094</v>
      </c>
      <c r="I590" s="510">
        <v>35.774051999999998</v>
      </c>
      <c r="J590" s="509">
        <v>894.35129999999992</v>
      </c>
      <c r="K590" s="409"/>
      <c r="L590" s="447">
        <f t="shared" si="64"/>
        <v>894.35129999999992</v>
      </c>
      <c r="M590" s="447"/>
      <c r="N590" s="409"/>
      <c r="O590" s="409"/>
      <c r="P590" s="409"/>
      <c r="Q590" s="409"/>
      <c r="R590" s="409"/>
      <c r="S590" s="409"/>
    </row>
    <row r="591" spans="1:19" s="140" customFormat="1">
      <c r="A591" s="394"/>
      <c r="B591" s="285"/>
      <c r="C591" s="285"/>
      <c r="D591" s="407"/>
      <c r="E591" s="230"/>
      <c r="F591" s="426"/>
      <c r="G591" s="464"/>
      <c r="H591" s="427"/>
      <c r="I591" s="464"/>
      <c r="J591" s="428"/>
      <c r="K591" s="409"/>
      <c r="L591" s="447">
        <f t="shared" si="64"/>
        <v>0</v>
      </c>
      <c r="M591" s="447"/>
      <c r="N591" s="409"/>
      <c r="O591" s="409"/>
      <c r="P591" s="409"/>
      <c r="Q591" s="409"/>
      <c r="R591" s="409"/>
      <c r="S591" s="409"/>
    </row>
    <row r="592" spans="1:19" s="140" customFormat="1">
      <c r="A592" s="394"/>
      <c r="B592" s="396" t="s">
        <v>3279</v>
      </c>
      <c r="C592" s="396"/>
      <c r="D592" s="405" t="s">
        <v>14441</v>
      </c>
      <c r="E592" s="422"/>
      <c r="F592" s="422"/>
      <c r="G592" s="429"/>
      <c r="H592" s="422"/>
      <c r="I592" s="429"/>
      <c r="J592" s="423"/>
      <c r="K592" s="409"/>
      <c r="L592" s="447">
        <f t="shared" si="64"/>
        <v>0</v>
      </c>
      <c r="M592" s="447"/>
      <c r="N592" s="409"/>
      <c r="O592" s="409"/>
      <c r="P592" s="409"/>
      <c r="Q592" s="409"/>
      <c r="R592" s="409"/>
      <c r="S592" s="409"/>
    </row>
    <row r="593" spans="1:19" s="140" customFormat="1" ht="38.25">
      <c r="A593" s="394" t="s">
        <v>3259</v>
      </c>
      <c r="B593" s="285" t="s">
        <v>3281</v>
      </c>
      <c r="C593" s="285">
        <v>91955</v>
      </c>
      <c r="D593" s="289" t="s">
        <v>1681</v>
      </c>
      <c r="E593" s="290" t="s">
        <v>109</v>
      </c>
      <c r="F593" s="755">
        <v>4</v>
      </c>
      <c r="G593" s="510" t="s">
        <v>16392</v>
      </c>
      <c r="H593" s="508">
        <v>0.2094</v>
      </c>
      <c r="I593" s="510">
        <v>33.681789999999999</v>
      </c>
      <c r="J593" s="509">
        <v>134.72716</v>
      </c>
      <c r="K593" s="409"/>
      <c r="L593" s="447">
        <f t="shared" si="64"/>
        <v>134.72716</v>
      </c>
      <c r="M593" s="447"/>
      <c r="N593" s="409"/>
      <c r="O593" s="409"/>
      <c r="P593" s="409"/>
      <c r="Q593" s="409"/>
      <c r="R593" s="409"/>
      <c r="S593" s="409"/>
    </row>
    <row r="594" spans="1:19" s="140" customFormat="1" ht="51">
      <c r="A594" s="394" t="s">
        <v>3259</v>
      </c>
      <c r="B594" s="285" t="s">
        <v>3336</v>
      </c>
      <c r="C594" s="285">
        <v>92023</v>
      </c>
      <c r="D594" s="289" t="s">
        <v>1734</v>
      </c>
      <c r="E594" s="290" t="s">
        <v>109</v>
      </c>
      <c r="F594" s="755">
        <v>13</v>
      </c>
      <c r="G594" s="510" t="s">
        <v>22693</v>
      </c>
      <c r="H594" s="508">
        <v>0.2094</v>
      </c>
      <c r="I594" s="510">
        <v>48.230872000000005</v>
      </c>
      <c r="J594" s="509">
        <v>627.00133600000004</v>
      </c>
      <c r="K594" s="409"/>
      <c r="L594" s="447">
        <f t="shared" si="64"/>
        <v>627.00133600000004</v>
      </c>
      <c r="M594" s="447"/>
      <c r="N594" s="409"/>
      <c r="O594" s="409"/>
      <c r="P594" s="409"/>
      <c r="Q594" s="409"/>
      <c r="R594" s="409"/>
      <c r="S594" s="409"/>
    </row>
    <row r="595" spans="1:19" s="140" customFormat="1" ht="38.25">
      <c r="A595" s="394" t="s">
        <v>3259</v>
      </c>
      <c r="B595" s="285" t="s">
        <v>14442</v>
      </c>
      <c r="C595" s="285">
        <v>91953</v>
      </c>
      <c r="D595" s="289" t="s">
        <v>120</v>
      </c>
      <c r="E595" s="290" t="s">
        <v>109</v>
      </c>
      <c r="F595" s="755">
        <v>11</v>
      </c>
      <c r="G595" s="510" t="s">
        <v>19802</v>
      </c>
      <c r="H595" s="508">
        <v>0.2094</v>
      </c>
      <c r="I595" s="510">
        <v>27.175218000000001</v>
      </c>
      <c r="J595" s="509">
        <v>298.92739800000004</v>
      </c>
      <c r="K595" s="409"/>
      <c r="L595" s="447">
        <f t="shared" si="64"/>
        <v>298.92739800000004</v>
      </c>
      <c r="M595" s="447"/>
      <c r="N595" s="409"/>
      <c r="O595" s="409"/>
      <c r="P595" s="409"/>
      <c r="Q595" s="409"/>
      <c r="R595" s="409"/>
      <c r="S595" s="409"/>
    </row>
    <row r="596" spans="1:19" s="140" customFormat="1" ht="51">
      <c r="A596" s="394" t="s">
        <v>3259</v>
      </c>
      <c r="B596" s="285" t="s">
        <v>14443</v>
      </c>
      <c r="C596" s="285">
        <v>92027</v>
      </c>
      <c r="D596" s="289" t="s">
        <v>1738</v>
      </c>
      <c r="E596" s="290" t="s">
        <v>109</v>
      </c>
      <c r="F596" s="755">
        <v>5</v>
      </c>
      <c r="G596" s="510" t="s">
        <v>14190</v>
      </c>
      <c r="H596" s="508">
        <v>0.2094</v>
      </c>
      <c r="I596" s="510">
        <v>64.03773000000001</v>
      </c>
      <c r="J596" s="509">
        <v>320.18865000000005</v>
      </c>
      <c r="K596" s="409"/>
      <c r="L596" s="447">
        <f t="shared" ref="L596" si="69">I596*F596</f>
        <v>320.18865000000005</v>
      </c>
      <c r="M596" s="447"/>
      <c r="N596" s="409"/>
      <c r="O596" s="409"/>
      <c r="P596" s="409"/>
      <c r="Q596" s="409"/>
      <c r="R596" s="409"/>
      <c r="S596" s="409"/>
    </row>
    <row r="597" spans="1:19" s="140" customFormat="1" ht="43.5" customHeight="1">
      <c r="A597" s="394" t="s">
        <v>3259</v>
      </c>
      <c r="B597" s="285" t="s">
        <v>14448</v>
      </c>
      <c r="C597" s="285">
        <v>91959</v>
      </c>
      <c r="D597" s="289" t="s">
        <v>1685</v>
      </c>
      <c r="E597" s="290" t="s">
        <v>109</v>
      </c>
      <c r="F597" s="755">
        <v>1</v>
      </c>
      <c r="G597" s="510" t="s">
        <v>16372</v>
      </c>
      <c r="H597" s="508">
        <v>0.2094</v>
      </c>
      <c r="I597" s="510">
        <v>42.969982000000002</v>
      </c>
      <c r="J597" s="509">
        <v>42.969982000000002</v>
      </c>
      <c r="K597" s="409"/>
      <c r="L597" s="447">
        <f t="shared" si="64"/>
        <v>42.969982000000002</v>
      </c>
      <c r="M597" s="447"/>
      <c r="N597" s="409"/>
      <c r="O597" s="409"/>
      <c r="P597" s="409"/>
      <c r="Q597" s="409"/>
      <c r="R597" s="409"/>
      <c r="S597" s="409"/>
    </row>
    <row r="598" spans="1:19" s="140" customFormat="1" ht="38.25">
      <c r="A598" s="394" t="s">
        <v>3259</v>
      </c>
      <c r="B598" s="285" t="s">
        <v>14449</v>
      </c>
      <c r="C598" s="285">
        <v>91967</v>
      </c>
      <c r="D598" s="289" t="s">
        <v>1693</v>
      </c>
      <c r="E598" s="290" t="s">
        <v>109</v>
      </c>
      <c r="F598" s="755">
        <v>1</v>
      </c>
      <c r="G598" s="510" t="s">
        <v>16565</v>
      </c>
      <c r="H598" s="508">
        <v>0.2094</v>
      </c>
      <c r="I598" s="510">
        <v>58.788933999999998</v>
      </c>
      <c r="J598" s="509">
        <v>58.788933999999998</v>
      </c>
      <c r="K598" s="409"/>
      <c r="L598" s="447">
        <f t="shared" si="64"/>
        <v>58.788933999999998</v>
      </c>
      <c r="M598" s="447"/>
      <c r="N598" s="409"/>
      <c r="O598" s="409"/>
      <c r="P598" s="409"/>
      <c r="Q598" s="409"/>
      <c r="R598" s="409"/>
      <c r="S598" s="409"/>
    </row>
    <row r="599" spans="1:19" s="140" customFormat="1" ht="38.25">
      <c r="A599" s="394" t="s">
        <v>3259</v>
      </c>
      <c r="B599" s="285" t="s">
        <v>14450</v>
      </c>
      <c r="C599" s="285">
        <v>91975</v>
      </c>
      <c r="D599" s="289" t="s">
        <v>1701</v>
      </c>
      <c r="E599" s="290" t="s">
        <v>109</v>
      </c>
      <c r="F599" s="755">
        <v>2</v>
      </c>
      <c r="G599" s="510" t="s">
        <v>14238</v>
      </c>
      <c r="H599" s="508">
        <v>0.2094</v>
      </c>
      <c r="I599" s="510">
        <v>79.735742000000016</v>
      </c>
      <c r="J599" s="509">
        <v>159.47148400000003</v>
      </c>
      <c r="K599" s="409"/>
      <c r="L599" s="447">
        <f t="shared" si="64"/>
        <v>159.47148400000003</v>
      </c>
      <c r="M599" s="447"/>
      <c r="N599" s="409"/>
      <c r="O599" s="409"/>
      <c r="P599" s="409"/>
      <c r="Q599" s="409"/>
      <c r="R599" s="409"/>
      <c r="S599" s="409"/>
    </row>
    <row r="600" spans="1:19" s="140" customFormat="1" ht="38.25">
      <c r="A600" s="394" t="s">
        <v>3259</v>
      </c>
      <c r="B600" s="285" t="s">
        <v>14451</v>
      </c>
      <c r="C600" s="285">
        <v>91992</v>
      </c>
      <c r="D600" s="289" t="s">
        <v>121</v>
      </c>
      <c r="E600" s="290" t="s">
        <v>109</v>
      </c>
      <c r="F600" s="755">
        <v>5</v>
      </c>
      <c r="G600" s="510" t="s">
        <v>22674</v>
      </c>
      <c r="H600" s="508">
        <v>0.2094</v>
      </c>
      <c r="I600" s="510">
        <v>42.220153999999994</v>
      </c>
      <c r="J600" s="509">
        <v>211.10076999999995</v>
      </c>
      <c r="K600" s="409"/>
      <c r="L600" s="447">
        <f t="shared" si="64"/>
        <v>211.10076999999995</v>
      </c>
      <c r="M600" s="447"/>
      <c r="N600" s="409"/>
      <c r="O600" s="409"/>
      <c r="P600" s="409"/>
      <c r="Q600" s="409"/>
      <c r="R600" s="409"/>
      <c r="S600" s="409"/>
    </row>
    <row r="601" spans="1:19" s="140" customFormat="1" ht="38.25">
      <c r="A601" s="394" t="s">
        <v>3259</v>
      </c>
      <c r="B601" s="285" t="s">
        <v>17007</v>
      </c>
      <c r="C601" s="285">
        <v>92000</v>
      </c>
      <c r="D601" s="289" t="s">
        <v>123</v>
      </c>
      <c r="E601" s="290" t="s">
        <v>109</v>
      </c>
      <c r="F601" s="755">
        <v>21</v>
      </c>
      <c r="G601" s="510" t="s">
        <v>22680</v>
      </c>
      <c r="H601" s="508">
        <v>0.2094</v>
      </c>
      <c r="I601" s="510">
        <v>28.699062000000001</v>
      </c>
      <c r="J601" s="509">
        <v>602.68030199999998</v>
      </c>
      <c r="K601" s="409"/>
      <c r="L601" s="447">
        <f t="shared" si="64"/>
        <v>602.68030199999998</v>
      </c>
      <c r="M601" s="447"/>
      <c r="N601" s="409"/>
      <c r="O601" s="409"/>
      <c r="P601" s="409"/>
      <c r="Q601" s="409"/>
      <c r="R601" s="409"/>
      <c r="S601" s="409"/>
    </row>
    <row r="602" spans="1:19" s="140" customFormat="1" ht="38.25">
      <c r="A602" s="394" t="s">
        <v>3259</v>
      </c>
      <c r="B602" s="285" t="s">
        <v>17008</v>
      </c>
      <c r="C602" s="285">
        <v>91996</v>
      </c>
      <c r="D602" s="289" t="s">
        <v>122</v>
      </c>
      <c r="E602" s="290" t="s">
        <v>109</v>
      </c>
      <c r="F602" s="755">
        <v>25</v>
      </c>
      <c r="G602" s="510" t="s">
        <v>22677</v>
      </c>
      <c r="H602" s="508">
        <v>0.2094</v>
      </c>
      <c r="I602" s="510">
        <v>32.484484000000002</v>
      </c>
      <c r="J602" s="509">
        <v>812.11210000000005</v>
      </c>
      <c r="K602" s="409"/>
      <c r="L602" s="447">
        <f t="shared" si="64"/>
        <v>812.11210000000005</v>
      </c>
      <c r="M602" s="447"/>
      <c r="N602" s="409"/>
      <c r="O602" s="409"/>
      <c r="P602" s="409"/>
      <c r="Q602" s="409"/>
      <c r="R602" s="409"/>
      <c r="S602" s="409"/>
    </row>
    <row r="603" spans="1:19" s="140" customFormat="1" ht="38.25">
      <c r="A603" s="394" t="s">
        <v>3259</v>
      </c>
      <c r="B603" s="285" t="s">
        <v>17009</v>
      </c>
      <c r="C603" s="285">
        <v>91997</v>
      </c>
      <c r="D603" s="289" t="s">
        <v>1709</v>
      </c>
      <c r="E603" s="290" t="s">
        <v>109</v>
      </c>
      <c r="F603" s="755">
        <v>1</v>
      </c>
      <c r="G603" s="510" t="s">
        <v>22678</v>
      </c>
      <c r="H603" s="508">
        <v>0.2094</v>
      </c>
      <c r="I603" s="510">
        <v>34.794438</v>
      </c>
      <c r="J603" s="509">
        <v>34.794438</v>
      </c>
      <c r="K603" s="409"/>
      <c r="L603" s="447">
        <f t="shared" ref="L603" si="70">I603*F603</f>
        <v>34.794438</v>
      </c>
      <c r="M603" s="447"/>
      <c r="N603" s="409"/>
      <c r="O603" s="409"/>
      <c r="P603" s="409"/>
      <c r="Q603" s="409"/>
      <c r="R603" s="409"/>
      <c r="S603" s="409"/>
    </row>
    <row r="604" spans="1:19" s="140" customFormat="1" ht="38.25">
      <c r="A604" s="394" t="s">
        <v>3259</v>
      </c>
      <c r="B604" s="285" t="s">
        <v>17010</v>
      </c>
      <c r="C604" s="285">
        <v>92004</v>
      </c>
      <c r="D604" s="289" t="s">
        <v>1715</v>
      </c>
      <c r="E604" s="290" t="s">
        <v>109</v>
      </c>
      <c r="F604" s="755">
        <v>5</v>
      </c>
      <c r="G604" s="510" t="s">
        <v>11560</v>
      </c>
      <c r="H604" s="508">
        <v>0.2094</v>
      </c>
      <c r="I604" s="510">
        <v>53.540138000000006</v>
      </c>
      <c r="J604" s="509">
        <v>267.70069000000001</v>
      </c>
      <c r="K604" s="409"/>
      <c r="L604" s="447">
        <f t="shared" ref="L604" si="71">I604*F604</f>
        <v>267.70069000000001</v>
      </c>
      <c r="M604" s="447"/>
      <c r="N604" s="409"/>
      <c r="O604" s="409"/>
      <c r="P604" s="409"/>
      <c r="Q604" s="409"/>
      <c r="R604" s="409"/>
      <c r="S604" s="409"/>
    </row>
    <row r="605" spans="1:19" s="140" customFormat="1" ht="51">
      <c r="A605" s="394" t="s">
        <v>3260</v>
      </c>
      <c r="B605" s="285" t="s">
        <v>17011</v>
      </c>
      <c r="C605" s="285" t="s">
        <v>14329</v>
      </c>
      <c r="D605" s="289" t="s">
        <v>17023</v>
      </c>
      <c r="E605" s="290" t="s">
        <v>109</v>
      </c>
      <c r="F605" s="755">
        <v>3</v>
      </c>
      <c r="G605" s="510">
        <v>36.300000000000004</v>
      </c>
      <c r="H605" s="508">
        <v>0.2094</v>
      </c>
      <c r="I605" s="510">
        <v>43.901220000000009</v>
      </c>
      <c r="J605" s="509">
        <v>131.70366000000001</v>
      </c>
      <c r="K605" s="409"/>
      <c r="L605" s="447">
        <f t="shared" si="64"/>
        <v>131.70366000000001</v>
      </c>
      <c r="M605" s="447"/>
      <c r="N605" s="409"/>
      <c r="O605" s="409"/>
      <c r="P605" s="409"/>
      <c r="Q605" s="409"/>
      <c r="R605" s="409"/>
      <c r="S605" s="409"/>
    </row>
    <row r="606" spans="1:19" s="140" customFormat="1" ht="38.25">
      <c r="A606" s="394" t="s">
        <v>3260</v>
      </c>
      <c r="B606" s="285" t="s">
        <v>24869</v>
      </c>
      <c r="C606" s="285" t="s">
        <v>14348</v>
      </c>
      <c r="D606" s="289" t="s">
        <v>17042</v>
      </c>
      <c r="E606" s="290" t="s">
        <v>109</v>
      </c>
      <c r="F606" s="755">
        <v>18</v>
      </c>
      <c r="G606" s="510">
        <v>29.979999999999997</v>
      </c>
      <c r="H606" s="508">
        <v>0.2094</v>
      </c>
      <c r="I606" s="510">
        <v>36.257811999999994</v>
      </c>
      <c r="J606" s="509">
        <v>652.64061599999991</v>
      </c>
      <c r="K606" s="409"/>
      <c r="L606" s="447">
        <f t="shared" si="64"/>
        <v>652.64061599999991</v>
      </c>
      <c r="M606" s="447"/>
      <c r="N606" s="409"/>
      <c r="O606" s="409"/>
      <c r="P606" s="409"/>
      <c r="Q606" s="409"/>
      <c r="R606" s="409"/>
      <c r="S606" s="409"/>
    </row>
    <row r="607" spans="1:19" s="140" customFormat="1" ht="25.5">
      <c r="A607" s="394" t="s">
        <v>3260</v>
      </c>
      <c r="B607" s="285" t="s">
        <v>17026</v>
      </c>
      <c r="C607" s="285" t="s">
        <v>14353</v>
      </c>
      <c r="D607" s="289" t="s">
        <v>17044</v>
      </c>
      <c r="E607" s="290" t="s">
        <v>109</v>
      </c>
      <c r="F607" s="755">
        <v>3</v>
      </c>
      <c r="G607" s="510">
        <v>48.26</v>
      </c>
      <c r="H607" s="508">
        <v>0.2094</v>
      </c>
      <c r="I607" s="510">
        <v>58.365643999999996</v>
      </c>
      <c r="J607" s="509">
        <v>175.09693199999998</v>
      </c>
      <c r="K607" s="409"/>
      <c r="L607" s="447">
        <f t="shared" si="64"/>
        <v>175.09693199999998</v>
      </c>
      <c r="M607" s="447"/>
      <c r="N607" s="409"/>
      <c r="O607" s="409"/>
      <c r="P607" s="409"/>
      <c r="Q607" s="409"/>
      <c r="R607" s="409"/>
      <c r="S607" s="409"/>
    </row>
    <row r="608" spans="1:19" s="140" customFormat="1" ht="25.5">
      <c r="A608" s="394" t="s">
        <v>3260</v>
      </c>
      <c r="B608" s="285" t="s">
        <v>24870</v>
      </c>
      <c r="C608" s="285" t="s">
        <v>14358</v>
      </c>
      <c r="D608" s="289" t="s">
        <v>17045</v>
      </c>
      <c r="E608" s="290" t="s">
        <v>109</v>
      </c>
      <c r="F608" s="755">
        <v>1</v>
      </c>
      <c r="G608" s="510">
        <v>46.76</v>
      </c>
      <c r="H608" s="508">
        <v>0.2094</v>
      </c>
      <c r="I608" s="510">
        <v>56.551544</v>
      </c>
      <c r="J608" s="509">
        <v>56.551544</v>
      </c>
      <c r="K608" s="409"/>
      <c r="L608" s="447">
        <f t="shared" si="64"/>
        <v>56.551544</v>
      </c>
      <c r="M608" s="447"/>
      <c r="N608" s="409"/>
      <c r="O608" s="409"/>
      <c r="P608" s="409"/>
      <c r="Q608" s="409"/>
      <c r="R608" s="409"/>
      <c r="S608" s="409"/>
    </row>
    <row r="609" spans="1:19" s="140" customFormat="1" ht="25.5">
      <c r="A609" s="394" t="s">
        <v>3260</v>
      </c>
      <c r="B609" s="285" t="s">
        <v>24871</v>
      </c>
      <c r="C609" s="285" t="s">
        <v>14364</v>
      </c>
      <c r="D609" s="289" t="s">
        <v>17047</v>
      </c>
      <c r="E609" s="290" t="s">
        <v>109</v>
      </c>
      <c r="F609" s="755">
        <v>1</v>
      </c>
      <c r="G609" s="510">
        <v>58.42</v>
      </c>
      <c r="H609" s="508">
        <v>0.2094</v>
      </c>
      <c r="I609" s="510">
        <v>70.653148000000002</v>
      </c>
      <c r="J609" s="509">
        <v>70.653148000000002</v>
      </c>
      <c r="K609" s="409"/>
      <c r="L609" s="447">
        <f t="shared" si="64"/>
        <v>70.653148000000002</v>
      </c>
      <c r="M609" s="447"/>
      <c r="N609" s="409"/>
      <c r="O609" s="409"/>
      <c r="P609" s="409"/>
      <c r="Q609" s="409"/>
      <c r="R609" s="409"/>
      <c r="S609" s="409"/>
    </row>
    <row r="610" spans="1:19" s="140" customFormat="1">
      <c r="A610" s="394"/>
      <c r="B610" s="285"/>
      <c r="C610" s="285"/>
      <c r="D610" s="407"/>
      <c r="E610" s="230"/>
      <c r="F610" s="426"/>
      <c r="G610" s="464"/>
      <c r="H610" s="427"/>
      <c r="I610" s="464"/>
      <c r="J610" s="428"/>
      <c r="K610" s="409"/>
      <c r="L610" s="447">
        <f t="shared" si="64"/>
        <v>0</v>
      </c>
      <c r="M610" s="447"/>
      <c r="N610" s="409"/>
      <c r="O610" s="409"/>
      <c r="P610" s="409"/>
      <c r="Q610" s="409"/>
      <c r="R610" s="409"/>
      <c r="S610" s="409"/>
    </row>
    <row r="611" spans="1:19" s="140" customFormat="1">
      <c r="A611" s="394"/>
      <c r="B611" s="396" t="s">
        <v>9659</v>
      </c>
      <c r="C611" s="396"/>
      <c r="D611" s="405" t="s">
        <v>112</v>
      </c>
      <c r="E611" s="422"/>
      <c r="F611" s="422"/>
      <c r="G611" s="429"/>
      <c r="H611" s="422"/>
      <c r="I611" s="429"/>
      <c r="J611" s="423"/>
      <c r="K611" s="409"/>
      <c r="L611" s="447">
        <f t="shared" si="64"/>
        <v>0</v>
      </c>
      <c r="M611" s="447"/>
      <c r="N611" s="409"/>
      <c r="O611" s="409"/>
      <c r="P611" s="409"/>
      <c r="Q611" s="409"/>
      <c r="R611" s="409"/>
      <c r="S611" s="409"/>
    </row>
    <row r="612" spans="1:19" s="140" customFormat="1" ht="38.25">
      <c r="A612" s="394" t="s">
        <v>3259</v>
      </c>
      <c r="B612" s="285" t="s">
        <v>9660</v>
      </c>
      <c r="C612" s="285">
        <v>91939</v>
      </c>
      <c r="D612" s="289" t="s">
        <v>137</v>
      </c>
      <c r="E612" s="290" t="s">
        <v>109</v>
      </c>
      <c r="F612" s="755">
        <v>16</v>
      </c>
      <c r="G612" s="510" t="s">
        <v>16594</v>
      </c>
      <c r="H612" s="508">
        <v>0.2094</v>
      </c>
      <c r="I612" s="510">
        <v>29.944744000000004</v>
      </c>
      <c r="J612" s="509">
        <v>479.11590400000006</v>
      </c>
      <c r="K612" s="409"/>
      <c r="L612" s="447">
        <f t="shared" si="64"/>
        <v>479.11590400000006</v>
      </c>
      <c r="M612" s="447"/>
      <c r="N612" s="409"/>
      <c r="O612" s="409"/>
      <c r="P612" s="409"/>
      <c r="Q612" s="409"/>
      <c r="R612" s="409"/>
      <c r="S612" s="409"/>
    </row>
    <row r="613" spans="1:19" s="140" customFormat="1" ht="38.25">
      <c r="A613" s="394" t="s">
        <v>3259</v>
      </c>
      <c r="B613" s="285" t="s">
        <v>9661</v>
      </c>
      <c r="C613" s="285">
        <v>91941</v>
      </c>
      <c r="D613" s="289" t="s">
        <v>129</v>
      </c>
      <c r="E613" s="290" t="s">
        <v>109</v>
      </c>
      <c r="F613" s="755">
        <v>23</v>
      </c>
      <c r="G613" s="510" t="s">
        <v>10521</v>
      </c>
      <c r="H613" s="508">
        <v>0.2094</v>
      </c>
      <c r="I613" s="510">
        <v>10.570156000000001</v>
      </c>
      <c r="J613" s="509">
        <v>243.11358800000002</v>
      </c>
      <c r="K613" s="409"/>
      <c r="L613" s="447">
        <f t="shared" si="64"/>
        <v>243.11358800000002</v>
      </c>
      <c r="M613" s="447"/>
      <c r="N613" s="409"/>
      <c r="O613" s="409"/>
      <c r="P613" s="409"/>
      <c r="Q613" s="409"/>
      <c r="R613" s="409"/>
      <c r="S613" s="409"/>
    </row>
    <row r="614" spans="1:19" s="140" customFormat="1" ht="38.25">
      <c r="A614" s="394" t="s">
        <v>3259</v>
      </c>
      <c r="B614" s="285" t="s">
        <v>9662</v>
      </c>
      <c r="C614" s="285">
        <v>91940</v>
      </c>
      <c r="D614" s="289" t="s">
        <v>138</v>
      </c>
      <c r="E614" s="290" t="s">
        <v>109</v>
      </c>
      <c r="F614" s="755">
        <v>52</v>
      </c>
      <c r="G614" s="510" t="s">
        <v>16204</v>
      </c>
      <c r="H614" s="508">
        <v>0.2094</v>
      </c>
      <c r="I614" s="510">
        <v>15.855233999999999</v>
      </c>
      <c r="J614" s="509">
        <v>824.47216800000001</v>
      </c>
      <c r="K614" s="409"/>
      <c r="L614" s="447">
        <f t="shared" si="64"/>
        <v>824.47216800000001</v>
      </c>
      <c r="M614" s="447"/>
      <c r="N614" s="409"/>
      <c r="O614" s="409"/>
      <c r="P614" s="409"/>
      <c r="Q614" s="409"/>
      <c r="R614" s="409"/>
      <c r="S614" s="409"/>
    </row>
    <row r="615" spans="1:19" s="140" customFormat="1" ht="38.25">
      <c r="A615" s="394" t="s">
        <v>3260</v>
      </c>
      <c r="B615" s="285" t="s">
        <v>9663</v>
      </c>
      <c r="C615" s="285" t="s">
        <v>14331</v>
      </c>
      <c r="D615" s="289" t="s">
        <v>17025</v>
      </c>
      <c r="E615" s="290" t="s">
        <v>109</v>
      </c>
      <c r="F615" s="755">
        <v>13</v>
      </c>
      <c r="G615" s="510">
        <v>8.43</v>
      </c>
      <c r="H615" s="508">
        <v>0.2094</v>
      </c>
      <c r="I615" s="510">
        <v>10.195242</v>
      </c>
      <c r="J615" s="509">
        <v>132.53814600000001</v>
      </c>
      <c r="K615" s="409"/>
      <c r="L615" s="447">
        <f t="shared" si="64"/>
        <v>132.53814600000001</v>
      </c>
      <c r="M615" s="447"/>
      <c r="N615" s="409"/>
      <c r="O615" s="409"/>
      <c r="P615" s="409"/>
      <c r="Q615" s="409"/>
      <c r="R615" s="409"/>
      <c r="S615" s="409"/>
    </row>
    <row r="616" spans="1:19" s="140" customFormat="1" ht="38.25">
      <c r="A616" s="394" t="s">
        <v>3260</v>
      </c>
      <c r="B616" s="285" t="s">
        <v>9664</v>
      </c>
      <c r="C616" s="285" t="s">
        <v>18401</v>
      </c>
      <c r="D616" s="289" t="s">
        <v>18402</v>
      </c>
      <c r="E616" s="290" t="s">
        <v>109</v>
      </c>
      <c r="F616" s="755">
        <v>2</v>
      </c>
      <c r="G616" s="510">
        <v>8.43</v>
      </c>
      <c r="H616" s="508">
        <v>0.2094</v>
      </c>
      <c r="I616" s="510">
        <v>10.195242</v>
      </c>
      <c r="J616" s="509">
        <v>20.390484000000001</v>
      </c>
      <c r="K616" s="409"/>
      <c r="L616" s="447">
        <f t="shared" ref="L616" si="72">I616*F616</f>
        <v>20.390484000000001</v>
      </c>
      <c r="M616" s="447"/>
      <c r="N616" s="409"/>
      <c r="O616" s="409"/>
      <c r="P616" s="409"/>
      <c r="Q616" s="409"/>
      <c r="R616" s="409"/>
      <c r="S616" s="409"/>
    </row>
    <row r="617" spans="1:19" s="140" customFormat="1" ht="25.5">
      <c r="A617" s="394" t="s">
        <v>3260</v>
      </c>
      <c r="B617" s="285" t="s">
        <v>9665</v>
      </c>
      <c r="C617" s="285" t="s">
        <v>18403</v>
      </c>
      <c r="D617" s="289" t="s">
        <v>18404</v>
      </c>
      <c r="E617" s="290" t="s">
        <v>109</v>
      </c>
      <c r="F617" s="755">
        <v>1</v>
      </c>
      <c r="G617" s="510">
        <v>16.580000000000002</v>
      </c>
      <c r="H617" s="508">
        <v>0.2094</v>
      </c>
      <c r="I617" s="510">
        <v>20.051852000000004</v>
      </c>
      <c r="J617" s="509">
        <v>20.051852000000004</v>
      </c>
      <c r="K617" s="409"/>
      <c r="L617" s="447">
        <f t="shared" ref="L617" si="73">I617*F617</f>
        <v>20.051852000000004</v>
      </c>
      <c r="M617" s="447"/>
      <c r="N617" s="409"/>
      <c r="O617" s="409"/>
      <c r="P617" s="409"/>
      <c r="Q617" s="409"/>
      <c r="R617" s="409"/>
      <c r="S617" s="409"/>
    </row>
    <row r="618" spans="1:19" s="140" customFormat="1" ht="38.25">
      <c r="A618" s="394" t="s">
        <v>3259</v>
      </c>
      <c r="B618" s="285" t="s">
        <v>9666</v>
      </c>
      <c r="C618" s="285">
        <v>91942</v>
      </c>
      <c r="D618" s="289" t="s">
        <v>1638</v>
      </c>
      <c r="E618" s="290" t="s">
        <v>109</v>
      </c>
      <c r="F618" s="755">
        <v>2</v>
      </c>
      <c r="G618" s="510" t="s">
        <v>22599</v>
      </c>
      <c r="H618" s="508">
        <v>0.2094</v>
      </c>
      <c r="I618" s="510">
        <v>36.620632000000001</v>
      </c>
      <c r="J618" s="509">
        <v>73.241264000000001</v>
      </c>
      <c r="K618" s="409"/>
      <c r="L618" s="447">
        <f t="shared" si="64"/>
        <v>73.241264000000001</v>
      </c>
      <c r="M618" s="447"/>
      <c r="N618" s="409"/>
      <c r="O618" s="409"/>
      <c r="P618" s="409"/>
      <c r="Q618" s="409"/>
      <c r="R618" s="409"/>
      <c r="S618" s="409"/>
    </row>
    <row r="619" spans="1:19" s="140" customFormat="1" ht="38.25">
      <c r="A619" s="394" t="s">
        <v>3259</v>
      </c>
      <c r="B619" s="285" t="s">
        <v>14456</v>
      </c>
      <c r="C619" s="285">
        <v>91943</v>
      </c>
      <c r="D619" s="289" t="s">
        <v>274</v>
      </c>
      <c r="E619" s="290" t="s">
        <v>109</v>
      </c>
      <c r="F619" s="755">
        <v>7</v>
      </c>
      <c r="G619" s="510" t="s">
        <v>9763</v>
      </c>
      <c r="H619" s="508">
        <v>0.2094</v>
      </c>
      <c r="I619" s="510">
        <v>20.414671999999999</v>
      </c>
      <c r="J619" s="509">
        <v>142.902704</v>
      </c>
      <c r="K619" s="409"/>
      <c r="L619" s="447">
        <f t="shared" si="64"/>
        <v>142.902704</v>
      </c>
      <c r="M619" s="447"/>
      <c r="N619" s="409"/>
      <c r="O619" s="409"/>
      <c r="P619" s="409"/>
      <c r="Q619" s="409"/>
      <c r="R619" s="409"/>
      <c r="S619" s="409"/>
    </row>
    <row r="620" spans="1:19" s="140" customFormat="1" ht="38.25">
      <c r="A620" s="394" t="s">
        <v>3260</v>
      </c>
      <c r="B620" s="285" t="s">
        <v>14457</v>
      </c>
      <c r="C620" s="285" t="s">
        <v>14335</v>
      </c>
      <c r="D620" s="289" t="s">
        <v>17035</v>
      </c>
      <c r="E620" s="290" t="s">
        <v>109</v>
      </c>
      <c r="F620" s="755">
        <v>2</v>
      </c>
      <c r="G620" s="510">
        <v>204.32</v>
      </c>
      <c r="H620" s="508">
        <v>0.2094</v>
      </c>
      <c r="I620" s="510">
        <v>247.10460799999998</v>
      </c>
      <c r="J620" s="509">
        <v>494.20921599999997</v>
      </c>
      <c r="K620" s="409"/>
      <c r="L620" s="447">
        <f t="shared" si="64"/>
        <v>494.20921599999997</v>
      </c>
      <c r="M620" s="447"/>
      <c r="N620" s="409"/>
      <c r="O620" s="409"/>
      <c r="P620" s="409"/>
      <c r="Q620" s="409"/>
      <c r="R620" s="409"/>
      <c r="S620" s="409"/>
    </row>
    <row r="621" spans="1:19" s="140" customFormat="1" ht="51">
      <c r="A621" s="394" t="s">
        <v>3260</v>
      </c>
      <c r="B621" s="285" t="s">
        <v>14458</v>
      </c>
      <c r="C621" s="285" t="s">
        <v>18405</v>
      </c>
      <c r="D621" s="289" t="s">
        <v>18407</v>
      </c>
      <c r="E621" s="290" t="s">
        <v>109</v>
      </c>
      <c r="F621" s="755">
        <v>1</v>
      </c>
      <c r="G621" s="510">
        <v>42.07</v>
      </c>
      <c r="H621" s="508">
        <v>0.2094</v>
      </c>
      <c r="I621" s="510">
        <v>50.879458</v>
      </c>
      <c r="J621" s="509">
        <v>50.879458</v>
      </c>
      <c r="K621" s="409"/>
      <c r="L621" s="447">
        <f t="shared" ref="L621" si="74">I621*F621</f>
        <v>50.879458</v>
      </c>
      <c r="M621" s="447"/>
      <c r="N621" s="409"/>
      <c r="O621" s="409"/>
      <c r="P621" s="409"/>
      <c r="Q621" s="409"/>
      <c r="R621" s="409"/>
      <c r="S621" s="409"/>
    </row>
    <row r="622" spans="1:19" s="140" customFormat="1" ht="51">
      <c r="A622" s="394" t="s">
        <v>3259</v>
      </c>
      <c r="B622" s="285" t="s">
        <v>14460</v>
      </c>
      <c r="C622" s="285">
        <v>95779</v>
      </c>
      <c r="D622" s="289" t="s">
        <v>270</v>
      </c>
      <c r="E622" s="290" t="s">
        <v>109</v>
      </c>
      <c r="F622" s="755">
        <v>99</v>
      </c>
      <c r="G622" s="510" t="s">
        <v>21119</v>
      </c>
      <c r="H622" s="508">
        <v>0.2094</v>
      </c>
      <c r="I622" s="510">
        <v>25.627186000000002</v>
      </c>
      <c r="J622" s="509">
        <v>2537.091414</v>
      </c>
      <c r="K622" s="409"/>
      <c r="L622" s="447">
        <f t="shared" ref="L622:L685" si="75">I622*F622</f>
        <v>2537.091414</v>
      </c>
      <c r="M622" s="447"/>
      <c r="N622" s="409"/>
      <c r="O622" s="409"/>
      <c r="P622" s="409"/>
      <c r="Q622" s="409"/>
      <c r="R622" s="409"/>
      <c r="S622" s="409"/>
    </row>
    <row r="623" spans="1:19" s="140" customFormat="1" ht="51">
      <c r="A623" s="394" t="s">
        <v>3259</v>
      </c>
      <c r="B623" s="285" t="s">
        <v>18121</v>
      </c>
      <c r="C623" s="285">
        <v>95787</v>
      </c>
      <c r="D623" s="289" t="s">
        <v>271</v>
      </c>
      <c r="E623" s="290" t="s">
        <v>109</v>
      </c>
      <c r="F623" s="755">
        <v>48</v>
      </c>
      <c r="G623" s="510" t="s">
        <v>10673</v>
      </c>
      <c r="H623" s="508">
        <v>0.2094</v>
      </c>
      <c r="I623" s="510">
        <v>27.598508000000002</v>
      </c>
      <c r="J623" s="509">
        <v>1324.728384</v>
      </c>
      <c r="K623" s="409"/>
      <c r="L623" s="447">
        <f t="shared" si="75"/>
        <v>1324.728384</v>
      </c>
      <c r="M623" s="447"/>
      <c r="N623" s="409"/>
      <c r="O623" s="409"/>
      <c r="P623" s="409"/>
      <c r="Q623" s="409"/>
      <c r="R623" s="409"/>
      <c r="S623" s="409"/>
    </row>
    <row r="624" spans="1:19" s="140" customFormat="1" ht="51">
      <c r="A624" s="394" t="s">
        <v>3259</v>
      </c>
      <c r="B624" s="285" t="s">
        <v>18122</v>
      </c>
      <c r="C624" s="285">
        <v>95795</v>
      </c>
      <c r="D624" s="289" t="s">
        <v>269</v>
      </c>
      <c r="E624" s="290" t="s">
        <v>109</v>
      </c>
      <c r="F624" s="755">
        <v>53</v>
      </c>
      <c r="G624" s="510" t="s">
        <v>22605</v>
      </c>
      <c r="H624" s="508">
        <v>0.2094</v>
      </c>
      <c r="I624" s="510">
        <v>31.831408</v>
      </c>
      <c r="J624" s="509">
        <v>1687.0646240000001</v>
      </c>
      <c r="K624" s="409"/>
      <c r="L624" s="447">
        <f t="shared" si="75"/>
        <v>1687.0646240000001</v>
      </c>
      <c r="M624" s="447"/>
      <c r="N624" s="409"/>
      <c r="O624" s="409"/>
      <c r="P624" s="409"/>
      <c r="Q624" s="409"/>
      <c r="R624" s="409"/>
      <c r="S624" s="409"/>
    </row>
    <row r="625" spans="1:19" s="140" customFormat="1" ht="51">
      <c r="A625" s="394" t="s">
        <v>3259</v>
      </c>
      <c r="B625" s="285" t="s">
        <v>18123</v>
      </c>
      <c r="C625" s="285">
        <v>95801</v>
      </c>
      <c r="D625" s="289" t="s">
        <v>1655</v>
      </c>
      <c r="E625" s="290" t="s">
        <v>109</v>
      </c>
      <c r="F625" s="755">
        <v>4</v>
      </c>
      <c r="G625" s="510" t="s">
        <v>19434</v>
      </c>
      <c r="H625" s="508">
        <v>0.2094</v>
      </c>
      <c r="I625" s="510">
        <v>37.648622000000003</v>
      </c>
      <c r="J625" s="509">
        <v>150.59448800000001</v>
      </c>
      <c r="K625" s="409"/>
      <c r="L625" s="447">
        <f t="shared" si="75"/>
        <v>150.59448800000001</v>
      </c>
      <c r="M625" s="447"/>
      <c r="N625" s="409"/>
      <c r="O625" s="409"/>
      <c r="P625" s="409"/>
      <c r="Q625" s="409"/>
      <c r="R625" s="409"/>
      <c r="S625" s="409"/>
    </row>
    <row r="626" spans="1:19" s="140" customFormat="1" ht="51">
      <c r="A626" s="394" t="s">
        <v>3259</v>
      </c>
      <c r="B626" s="285" t="s">
        <v>18124</v>
      </c>
      <c r="C626" s="285">
        <v>95778</v>
      </c>
      <c r="D626" s="289" t="s">
        <v>268</v>
      </c>
      <c r="E626" s="290" t="s">
        <v>109</v>
      </c>
      <c r="F626" s="755">
        <v>143</v>
      </c>
      <c r="G626" s="510" t="s">
        <v>11121</v>
      </c>
      <c r="H626" s="508">
        <v>0.2094</v>
      </c>
      <c r="I626" s="510">
        <v>27.296158000000002</v>
      </c>
      <c r="J626" s="509">
        <v>3903.3505940000005</v>
      </c>
      <c r="K626" s="409"/>
      <c r="L626" s="447">
        <f t="shared" si="75"/>
        <v>3903.3505940000005</v>
      </c>
      <c r="M626" s="447"/>
      <c r="N626" s="409"/>
      <c r="O626" s="409"/>
      <c r="P626" s="409"/>
      <c r="Q626" s="409"/>
      <c r="R626" s="409"/>
      <c r="S626" s="409"/>
    </row>
    <row r="627" spans="1:19" s="140" customFormat="1">
      <c r="A627" s="394"/>
      <c r="B627" s="285"/>
      <c r="C627" s="285"/>
      <c r="D627" s="407"/>
      <c r="E627" s="230"/>
      <c r="F627" s="426"/>
      <c r="G627" s="464"/>
      <c r="H627" s="427"/>
      <c r="I627" s="464"/>
      <c r="J627" s="428"/>
      <c r="K627" s="409"/>
      <c r="L627" s="447">
        <f t="shared" si="75"/>
        <v>0</v>
      </c>
      <c r="M627" s="447"/>
      <c r="N627" s="409"/>
      <c r="O627" s="409"/>
      <c r="P627" s="409"/>
      <c r="Q627" s="409"/>
      <c r="R627" s="409"/>
      <c r="S627" s="409"/>
    </row>
    <row r="628" spans="1:19" s="140" customFormat="1">
      <c r="A628" s="394"/>
      <c r="B628" s="396" t="s">
        <v>3282</v>
      </c>
      <c r="C628" s="396"/>
      <c r="D628" s="406" t="s">
        <v>111</v>
      </c>
      <c r="E628" s="422"/>
      <c r="F628" s="422"/>
      <c r="G628" s="429"/>
      <c r="H628" s="422"/>
      <c r="I628" s="429"/>
      <c r="J628" s="423"/>
      <c r="K628" s="409"/>
      <c r="L628" s="447">
        <f t="shared" si="75"/>
        <v>0</v>
      </c>
      <c r="M628" s="447"/>
      <c r="N628" s="409"/>
      <c r="O628" s="409"/>
      <c r="P628" s="409"/>
      <c r="Q628" s="409"/>
      <c r="R628" s="409"/>
      <c r="S628" s="409"/>
    </row>
    <row r="629" spans="1:19" s="140" customFormat="1" ht="25.5">
      <c r="A629" s="394" t="s">
        <v>3260</v>
      </c>
      <c r="B629" s="285" t="s">
        <v>3283</v>
      </c>
      <c r="C629" s="285" t="s">
        <v>14459</v>
      </c>
      <c r="D629" s="289" t="s">
        <v>136</v>
      </c>
      <c r="E629" s="290" t="s">
        <v>128</v>
      </c>
      <c r="F629" s="755">
        <v>175.4</v>
      </c>
      <c r="G629" s="510">
        <v>5.25</v>
      </c>
      <c r="H629" s="508">
        <v>0.2094</v>
      </c>
      <c r="I629" s="510">
        <v>6.3493500000000003</v>
      </c>
      <c r="J629" s="509">
        <v>1113.6759900000002</v>
      </c>
      <c r="K629" s="409"/>
      <c r="L629" s="447">
        <f t="shared" si="75"/>
        <v>1113.6759900000002</v>
      </c>
      <c r="M629" s="447"/>
      <c r="N629" s="409"/>
      <c r="O629" s="409"/>
      <c r="P629" s="409"/>
      <c r="Q629" s="409"/>
      <c r="R629" s="409"/>
      <c r="S629" s="409"/>
    </row>
    <row r="630" spans="1:19" s="140" customFormat="1" ht="38.25">
      <c r="A630" s="394" t="s">
        <v>3259</v>
      </c>
      <c r="B630" s="285" t="s">
        <v>14452</v>
      </c>
      <c r="C630" s="285">
        <v>90443</v>
      </c>
      <c r="D630" s="289" t="s">
        <v>130</v>
      </c>
      <c r="E630" s="290" t="s">
        <v>5</v>
      </c>
      <c r="F630" s="755">
        <v>39.6</v>
      </c>
      <c r="G630" s="510" t="s">
        <v>16337</v>
      </c>
      <c r="H630" s="508">
        <v>0.2094</v>
      </c>
      <c r="I630" s="510">
        <v>14.246732</v>
      </c>
      <c r="J630" s="509">
        <v>564.1705872</v>
      </c>
      <c r="K630" s="409"/>
      <c r="L630" s="447">
        <f t="shared" si="75"/>
        <v>564.1705872</v>
      </c>
      <c r="M630" s="447"/>
      <c r="N630" s="409"/>
      <c r="O630" s="409"/>
      <c r="P630" s="409"/>
      <c r="Q630" s="409"/>
      <c r="R630" s="409"/>
      <c r="S630" s="409"/>
    </row>
    <row r="631" spans="1:19" s="140" customFormat="1" ht="38.25">
      <c r="A631" s="394" t="s">
        <v>3259</v>
      </c>
      <c r="B631" s="285" t="s">
        <v>14453</v>
      </c>
      <c r="C631" s="285">
        <v>90466</v>
      </c>
      <c r="D631" s="289" t="s">
        <v>132</v>
      </c>
      <c r="E631" s="290" t="s">
        <v>5</v>
      </c>
      <c r="F631" s="755">
        <v>39.6</v>
      </c>
      <c r="G631" s="510" t="s">
        <v>19074</v>
      </c>
      <c r="H631" s="508">
        <v>0.2094</v>
      </c>
      <c r="I631" s="510">
        <v>14.065322000000002</v>
      </c>
      <c r="J631" s="509">
        <v>556.98675120000007</v>
      </c>
      <c r="K631" s="409"/>
      <c r="L631" s="447">
        <f t="shared" si="75"/>
        <v>556.98675120000007</v>
      </c>
      <c r="M631" s="447"/>
      <c r="N631" s="409"/>
      <c r="O631" s="409"/>
      <c r="P631" s="409"/>
      <c r="Q631" s="409"/>
      <c r="R631" s="409"/>
      <c r="S631" s="409"/>
    </row>
    <row r="632" spans="1:19" s="140" customFormat="1" ht="51">
      <c r="A632" s="394" t="s">
        <v>3259</v>
      </c>
      <c r="B632" s="285" t="s">
        <v>14454</v>
      </c>
      <c r="C632" s="285">
        <v>91222</v>
      </c>
      <c r="D632" s="289" t="s">
        <v>135</v>
      </c>
      <c r="E632" s="290" t="s">
        <v>5</v>
      </c>
      <c r="F632" s="755">
        <v>3.3</v>
      </c>
      <c r="G632" s="510" t="s">
        <v>11527</v>
      </c>
      <c r="H632" s="508">
        <v>0.2094</v>
      </c>
      <c r="I632" s="510">
        <v>15.335191999999999</v>
      </c>
      <c r="J632" s="509">
        <v>50.606133599999993</v>
      </c>
      <c r="K632" s="409"/>
      <c r="L632" s="447">
        <f t="shared" ref="L632:L633" si="76">I632*F632</f>
        <v>50.606133599999993</v>
      </c>
      <c r="M632" s="447"/>
      <c r="N632" s="409"/>
      <c r="O632" s="409"/>
      <c r="P632" s="409"/>
      <c r="Q632" s="409"/>
      <c r="R632" s="409"/>
      <c r="S632" s="409"/>
    </row>
    <row r="633" spans="1:19" s="140" customFormat="1" ht="51">
      <c r="A633" s="394" t="s">
        <v>3259</v>
      </c>
      <c r="B633" s="285" t="s">
        <v>14455</v>
      </c>
      <c r="C633" s="285">
        <v>90467</v>
      </c>
      <c r="D633" s="289" t="s">
        <v>133</v>
      </c>
      <c r="E633" s="290" t="s">
        <v>5</v>
      </c>
      <c r="F633" s="755">
        <v>3.3</v>
      </c>
      <c r="G633" s="510" t="s">
        <v>23632</v>
      </c>
      <c r="H633" s="508">
        <v>0.2094</v>
      </c>
      <c r="I633" s="510">
        <v>22.228771999999999</v>
      </c>
      <c r="J633" s="509">
        <v>73.354947599999988</v>
      </c>
      <c r="K633" s="409"/>
      <c r="L633" s="447">
        <f t="shared" si="76"/>
        <v>73.354947599999988</v>
      </c>
      <c r="M633" s="447"/>
      <c r="N633" s="409"/>
      <c r="O633" s="409"/>
      <c r="P633" s="409"/>
      <c r="Q633" s="409"/>
      <c r="R633" s="409"/>
      <c r="S633" s="409"/>
    </row>
    <row r="634" spans="1:19" s="140" customFormat="1">
      <c r="A634" s="394"/>
      <c r="B634" s="285"/>
      <c r="C634" s="285"/>
      <c r="D634" s="407"/>
      <c r="E634" s="230"/>
      <c r="F634" s="426"/>
      <c r="G634" s="464"/>
      <c r="H634" s="427"/>
      <c r="I634" s="464"/>
      <c r="J634" s="430"/>
      <c r="K634" s="409"/>
      <c r="L634" s="447">
        <f t="shared" si="75"/>
        <v>0</v>
      </c>
      <c r="M634" s="447"/>
      <c r="N634" s="409"/>
      <c r="O634" s="409"/>
      <c r="P634" s="409"/>
      <c r="Q634" s="409"/>
      <c r="R634" s="409"/>
      <c r="S634" s="409"/>
    </row>
    <row r="635" spans="1:19" s="92" customFormat="1">
      <c r="A635" s="256"/>
      <c r="B635" s="396" t="s">
        <v>18408</v>
      </c>
      <c r="C635" s="287"/>
      <c r="D635" s="403" t="s">
        <v>9646</v>
      </c>
      <c r="E635" s="415"/>
      <c r="F635" s="415"/>
      <c r="G635" s="462"/>
      <c r="H635" s="415"/>
      <c r="I635" s="462"/>
      <c r="J635" s="416"/>
      <c r="K635" s="298"/>
      <c r="L635" s="447">
        <f t="shared" si="75"/>
        <v>0</v>
      </c>
      <c r="M635" s="447"/>
      <c r="N635" s="298"/>
      <c r="O635" s="298"/>
      <c r="P635" s="298"/>
      <c r="Q635" s="298"/>
      <c r="R635" s="298"/>
      <c r="S635" s="298"/>
    </row>
    <row r="636" spans="1:19" s="92" customFormat="1" ht="51">
      <c r="A636" s="256" t="s">
        <v>3259</v>
      </c>
      <c r="B636" s="285" t="s">
        <v>18409</v>
      </c>
      <c r="C636" s="288">
        <v>91872</v>
      </c>
      <c r="D636" s="289" t="s">
        <v>266</v>
      </c>
      <c r="E636" s="290" t="s">
        <v>5</v>
      </c>
      <c r="F636" s="292">
        <v>124.4</v>
      </c>
      <c r="G636" s="510" t="s">
        <v>10539</v>
      </c>
      <c r="H636" s="508">
        <v>0.2094</v>
      </c>
      <c r="I636" s="510">
        <v>17.971684</v>
      </c>
      <c r="J636" s="509">
        <v>2235.6774896000002</v>
      </c>
      <c r="K636" s="298"/>
      <c r="L636" s="447">
        <f t="shared" ref="L636" si="77">I636*F636</f>
        <v>2235.6774896000002</v>
      </c>
      <c r="M636" s="447"/>
      <c r="N636" s="298"/>
      <c r="O636" s="298"/>
      <c r="P636" s="298"/>
      <c r="Q636" s="298"/>
      <c r="R636" s="298"/>
      <c r="S636" s="298"/>
    </row>
    <row r="637" spans="1:19" s="92" customFormat="1">
      <c r="A637" s="256"/>
      <c r="B637" s="396"/>
      <c r="C637" s="287"/>
      <c r="D637" s="403"/>
      <c r="E637" s="415"/>
      <c r="F637" s="415"/>
      <c r="G637" s="462"/>
      <c r="H637" s="415"/>
      <c r="I637" s="462"/>
      <c r="J637" s="416"/>
      <c r="K637" s="298"/>
      <c r="L637" s="447"/>
      <c r="M637" s="447"/>
      <c r="N637" s="298"/>
      <c r="O637" s="298"/>
      <c r="P637" s="298"/>
      <c r="Q637" s="298"/>
      <c r="R637" s="298"/>
      <c r="S637" s="298"/>
    </row>
    <row r="638" spans="1:19" s="92" customFormat="1">
      <c r="A638" s="256"/>
      <c r="B638" s="396" t="s">
        <v>14492</v>
      </c>
      <c r="C638" s="287"/>
      <c r="D638" s="403" t="s">
        <v>9024</v>
      </c>
      <c r="E638" s="415"/>
      <c r="F638" s="415"/>
      <c r="G638" s="462"/>
      <c r="H638" s="415"/>
      <c r="I638" s="462"/>
      <c r="J638" s="416"/>
      <c r="K638" s="298"/>
      <c r="L638" s="447">
        <f t="shared" si="75"/>
        <v>0</v>
      </c>
      <c r="M638" s="447"/>
      <c r="N638" s="298"/>
      <c r="O638" s="298"/>
      <c r="P638" s="298"/>
      <c r="Q638" s="298"/>
      <c r="R638" s="298"/>
      <c r="S638" s="298"/>
    </row>
    <row r="639" spans="1:19" s="140" customFormat="1" ht="38.25">
      <c r="A639" s="394" t="s">
        <v>3260</v>
      </c>
      <c r="B639" s="285" t="s">
        <v>14493</v>
      </c>
      <c r="C639" s="288" t="s">
        <v>18412</v>
      </c>
      <c r="D639" s="289" t="s">
        <v>18414</v>
      </c>
      <c r="E639" s="290" t="s">
        <v>5</v>
      </c>
      <c r="F639" s="755">
        <v>210</v>
      </c>
      <c r="G639" s="510">
        <v>20.479999999999997</v>
      </c>
      <c r="H639" s="508">
        <v>0.2094</v>
      </c>
      <c r="I639" s="510">
        <v>24.768511999999998</v>
      </c>
      <c r="J639" s="509">
        <v>5201.3875199999993</v>
      </c>
      <c r="K639" s="409"/>
      <c r="L639" s="447">
        <f t="shared" si="75"/>
        <v>5201.3875199999993</v>
      </c>
      <c r="M639" s="447"/>
      <c r="N639" s="409"/>
      <c r="O639" s="409"/>
      <c r="P639" s="409"/>
      <c r="Q639" s="409"/>
      <c r="R639" s="409"/>
      <c r="S639" s="409"/>
    </row>
    <row r="640" spans="1:19" s="140" customFormat="1" ht="38.25">
      <c r="A640" s="256" t="s">
        <v>3259</v>
      </c>
      <c r="B640" s="285" t="s">
        <v>14494</v>
      </c>
      <c r="C640" s="288">
        <v>96971</v>
      </c>
      <c r="D640" s="289" t="s">
        <v>3460</v>
      </c>
      <c r="E640" s="290" t="s">
        <v>5</v>
      </c>
      <c r="F640" s="755">
        <v>64</v>
      </c>
      <c r="G640" s="510" t="s">
        <v>22863</v>
      </c>
      <c r="H640" s="508">
        <v>0.2094</v>
      </c>
      <c r="I640" s="510">
        <v>34.637216000000002</v>
      </c>
      <c r="J640" s="509">
        <v>2216.7818240000001</v>
      </c>
      <c r="K640" s="409"/>
      <c r="L640" s="447">
        <f t="shared" si="75"/>
        <v>2216.7818240000001</v>
      </c>
      <c r="M640" s="447"/>
      <c r="N640" s="409"/>
      <c r="O640" s="409"/>
      <c r="P640" s="409"/>
      <c r="Q640" s="409"/>
      <c r="R640" s="409"/>
      <c r="S640" s="409"/>
    </row>
    <row r="641" spans="1:19" s="140" customFormat="1" ht="38.25">
      <c r="A641" s="256" t="s">
        <v>3259</v>
      </c>
      <c r="B641" s="285" t="s">
        <v>18410</v>
      </c>
      <c r="C641" s="288">
        <v>96973</v>
      </c>
      <c r="D641" s="289" t="s">
        <v>3462</v>
      </c>
      <c r="E641" s="290" t="s">
        <v>5</v>
      </c>
      <c r="F641" s="755">
        <v>213.5</v>
      </c>
      <c r="G641" s="510" t="s">
        <v>14064</v>
      </c>
      <c r="H641" s="508">
        <v>0.2094</v>
      </c>
      <c r="I641" s="510">
        <v>60.917477999999996</v>
      </c>
      <c r="J641" s="509">
        <v>13005.881552999999</v>
      </c>
      <c r="K641" s="409"/>
      <c r="L641" s="447">
        <f t="shared" ref="L641:L642" si="78">I641*F641</f>
        <v>13005.881552999999</v>
      </c>
      <c r="M641" s="447"/>
      <c r="N641" s="409"/>
      <c r="O641" s="409"/>
      <c r="P641" s="409"/>
      <c r="Q641" s="409"/>
      <c r="R641" s="409"/>
      <c r="S641" s="409"/>
    </row>
    <row r="642" spans="1:19" s="140" customFormat="1" ht="38.25">
      <c r="A642" s="256" t="s">
        <v>3259</v>
      </c>
      <c r="B642" s="285" t="s">
        <v>18411</v>
      </c>
      <c r="C642" s="288">
        <v>96974</v>
      </c>
      <c r="D642" s="289" t="s">
        <v>3463</v>
      </c>
      <c r="E642" s="290" t="s">
        <v>5</v>
      </c>
      <c r="F642" s="755">
        <v>19.399999999999999</v>
      </c>
      <c r="G642" s="510" t="s">
        <v>16321</v>
      </c>
      <c r="H642" s="508">
        <v>0.2094</v>
      </c>
      <c r="I642" s="510">
        <v>78.018394000000015</v>
      </c>
      <c r="J642" s="509">
        <v>1513.5568436000001</v>
      </c>
      <c r="K642" s="409"/>
      <c r="L642" s="447">
        <f t="shared" si="78"/>
        <v>1513.5568436000001</v>
      </c>
      <c r="M642" s="447"/>
      <c r="N642" s="409"/>
      <c r="O642" s="409"/>
      <c r="P642" s="409"/>
      <c r="Q642" s="409"/>
      <c r="R642" s="409"/>
      <c r="S642" s="409"/>
    </row>
    <row r="643" spans="1:19" s="140" customFormat="1">
      <c r="A643" s="394"/>
      <c r="B643" s="285"/>
      <c r="C643" s="288"/>
      <c r="D643" s="407"/>
      <c r="E643" s="230"/>
      <c r="F643" s="426"/>
      <c r="G643" s="464"/>
      <c r="H643" s="427"/>
      <c r="I643" s="464"/>
      <c r="J643" s="430"/>
      <c r="K643" s="409"/>
      <c r="L643" s="447">
        <f t="shared" si="75"/>
        <v>0</v>
      </c>
      <c r="M643" s="447"/>
      <c r="N643" s="409"/>
      <c r="O643" s="409"/>
      <c r="P643" s="409"/>
      <c r="Q643" s="409"/>
      <c r="R643" s="409"/>
      <c r="S643" s="409"/>
    </row>
    <row r="644" spans="1:19" s="92" customFormat="1">
      <c r="A644" s="256"/>
      <c r="B644" s="396" t="s">
        <v>9648</v>
      </c>
      <c r="C644" s="287"/>
      <c r="D644" s="403" t="s">
        <v>9649</v>
      </c>
      <c r="E644" s="415"/>
      <c r="F644" s="415"/>
      <c r="G644" s="462"/>
      <c r="H644" s="415"/>
      <c r="I644" s="462"/>
      <c r="J644" s="416"/>
      <c r="K644" s="298"/>
      <c r="L644" s="447">
        <f t="shared" si="75"/>
        <v>0</v>
      </c>
      <c r="M644" s="447"/>
      <c r="N644" s="298"/>
      <c r="O644" s="298"/>
      <c r="P644" s="298"/>
      <c r="Q644" s="298"/>
      <c r="R644" s="298"/>
      <c r="S644" s="298"/>
    </row>
    <row r="645" spans="1:19" s="140" customFormat="1" ht="38.25">
      <c r="A645" s="394" t="s">
        <v>3260</v>
      </c>
      <c r="B645" s="285" t="s">
        <v>9651</v>
      </c>
      <c r="C645" s="285" t="s">
        <v>18424</v>
      </c>
      <c r="D645" s="289" t="s">
        <v>18600</v>
      </c>
      <c r="E645" s="290" t="s">
        <v>10</v>
      </c>
      <c r="F645" s="755">
        <v>1</v>
      </c>
      <c r="G645" s="510">
        <v>462.71</v>
      </c>
      <c r="H645" s="508">
        <v>0.2094</v>
      </c>
      <c r="I645" s="510">
        <v>559.60147399999994</v>
      </c>
      <c r="J645" s="509">
        <v>559.60147399999994</v>
      </c>
      <c r="K645" s="409"/>
      <c r="L645" s="447">
        <f t="shared" si="75"/>
        <v>559.60147399999994</v>
      </c>
      <c r="M645" s="447"/>
      <c r="N645" s="409"/>
      <c r="O645" s="409"/>
      <c r="P645" s="409"/>
      <c r="Q645" s="409"/>
      <c r="R645" s="409"/>
      <c r="S645" s="409"/>
    </row>
    <row r="646" spans="1:19" s="140" customFormat="1" ht="25.5">
      <c r="A646" s="394" t="s">
        <v>3260</v>
      </c>
      <c r="B646" s="285" t="s">
        <v>9652</v>
      </c>
      <c r="C646" s="288" t="s">
        <v>14379</v>
      </c>
      <c r="D646" s="289" t="s">
        <v>17110</v>
      </c>
      <c r="E646" s="290" t="s">
        <v>10</v>
      </c>
      <c r="F646" s="755">
        <v>43</v>
      </c>
      <c r="G646" s="510">
        <v>37.83</v>
      </c>
      <c r="H646" s="508">
        <v>0.2094</v>
      </c>
      <c r="I646" s="510">
        <v>45.751601999999998</v>
      </c>
      <c r="J646" s="509">
        <v>1967.318886</v>
      </c>
      <c r="K646" s="409"/>
      <c r="L646" s="447">
        <f t="shared" si="75"/>
        <v>1967.318886</v>
      </c>
      <c r="M646" s="447"/>
      <c r="N646" s="409"/>
      <c r="O646" s="409"/>
      <c r="P646" s="409"/>
      <c r="Q646" s="409"/>
      <c r="R646" s="409"/>
      <c r="S646" s="409"/>
    </row>
    <row r="647" spans="1:19" s="140" customFormat="1" ht="51">
      <c r="A647" s="394" t="s">
        <v>3260</v>
      </c>
      <c r="B647" s="285" t="s">
        <v>9653</v>
      </c>
      <c r="C647" s="288" t="s">
        <v>14380</v>
      </c>
      <c r="D647" s="289" t="s">
        <v>18425</v>
      </c>
      <c r="E647" s="290" t="s">
        <v>10</v>
      </c>
      <c r="F647" s="755">
        <v>66</v>
      </c>
      <c r="G647" s="510">
        <v>2.77</v>
      </c>
      <c r="H647" s="508">
        <v>0.2094</v>
      </c>
      <c r="I647" s="510">
        <v>3.3500380000000001</v>
      </c>
      <c r="J647" s="509">
        <v>221.102508</v>
      </c>
      <c r="K647" s="409"/>
      <c r="L647" s="447">
        <f t="shared" si="75"/>
        <v>221.102508</v>
      </c>
      <c r="M647" s="447"/>
      <c r="N647" s="409"/>
      <c r="O647" s="409"/>
      <c r="P647" s="409"/>
      <c r="Q647" s="409"/>
      <c r="R647" s="409"/>
      <c r="S647" s="409"/>
    </row>
    <row r="648" spans="1:19" s="140" customFormat="1" ht="51">
      <c r="A648" s="394" t="s">
        <v>3260</v>
      </c>
      <c r="B648" s="285" t="s">
        <v>9654</v>
      </c>
      <c r="C648" s="288" t="s">
        <v>18426</v>
      </c>
      <c r="D648" s="289" t="s">
        <v>18427</v>
      </c>
      <c r="E648" s="290" t="s">
        <v>10</v>
      </c>
      <c r="F648" s="755">
        <v>43</v>
      </c>
      <c r="G648" s="510">
        <v>4.0999999999999996</v>
      </c>
      <c r="H648" s="508">
        <v>0.2094</v>
      </c>
      <c r="I648" s="510">
        <v>4.9585399999999993</v>
      </c>
      <c r="J648" s="509">
        <v>213.21721999999997</v>
      </c>
      <c r="K648" s="409"/>
      <c r="L648" s="447">
        <f t="shared" si="75"/>
        <v>213.21721999999997</v>
      </c>
      <c r="M648" s="447"/>
      <c r="N648" s="409"/>
      <c r="O648" s="409"/>
      <c r="P648" s="409"/>
      <c r="Q648" s="409"/>
      <c r="R648" s="409"/>
      <c r="S648" s="409"/>
    </row>
    <row r="649" spans="1:19" s="140" customFormat="1" ht="25.5">
      <c r="A649" s="394" t="s">
        <v>3260</v>
      </c>
      <c r="B649" s="285" t="s">
        <v>9655</v>
      </c>
      <c r="C649" s="288" t="s">
        <v>14545</v>
      </c>
      <c r="D649" s="289" t="s">
        <v>17281</v>
      </c>
      <c r="E649" s="290" t="s">
        <v>109</v>
      </c>
      <c r="F649" s="755">
        <v>43</v>
      </c>
      <c r="G649" s="510">
        <v>7.72</v>
      </c>
      <c r="H649" s="508">
        <v>0.2094</v>
      </c>
      <c r="I649" s="510">
        <v>9.3365679999999998</v>
      </c>
      <c r="J649" s="509">
        <v>401.47242399999999</v>
      </c>
      <c r="K649" s="409"/>
      <c r="L649" s="447">
        <f t="shared" si="75"/>
        <v>401.47242399999999</v>
      </c>
      <c r="M649" s="447"/>
      <c r="N649" s="409"/>
      <c r="O649" s="409"/>
      <c r="P649" s="409"/>
      <c r="Q649" s="409"/>
      <c r="R649" s="409"/>
      <c r="S649" s="409"/>
    </row>
    <row r="650" spans="1:19" s="140" customFormat="1" ht="25.5">
      <c r="A650" s="394" t="s">
        <v>3260</v>
      </c>
      <c r="B650" s="285" t="s">
        <v>11576</v>
      </c>
      <c r="C650" s="288" t="s">
        <v>18430</v>
      </c>
      <c r="D650" s="289" t="s">
        <v>18431</v>
      </c>
      <c r="E650" s="290" t="s">
        <v>10</v>
      </c>
      <c r="F650" s="755">
        <v>66</v>
      </c>
      <c r="G650" s="510">
        <v>4.99</v>
      </c>
      <c r="H650" s="508">
        <v>0.2094</v>
      </c>
      <c r="I650" s="510">
        <v>6.0349060000000003</v>
      </c>
      <c r="J650" s="509">
        <v>398.30379600000003</v>
      </c>
      <c r="K650" s="409"/>
      <c r="L650" s="447">
        <f t="shared" si="75"/>
        <v>398.30379600000003</v>
      </c>
      <c r="M650" s="447"/>
      <c r="N650" s="409"/>
      <c r="O650" s="409"/>
      <c r="P650" s="409"/>
      <c r="Q650" s="409"/>
      <c r="R650" s="409"/>
      <c r="S650" s="409"/>
    </row>
    <row r="651" spans="1:19" s="140" customFormat="1">
      <c r="A651" s="394"/>
      <c r="B651" s="285"/>
      <c r="C651" s="288"/>
      <c r="D651" s="407"/>
      <c r="E651" s="230"/>
      <c r="F651" s="426"/>
      <c r="G651" s="464"/>
      <c r="H651" s="427"/>
      <c r="I651" s="464"/>
      <c r="J651" s="428"/>
      <c r="K651" s="409"/>
      <c r="L651" s="447">
        <f t="shared" si="75"/>
        <v>0</v>
      </c>
      <c r="M651" s="447"/>
      <c r="N651" s="409"/>
      <c r="O651" s="409"/>
      <c r="P651" s="409"/>
      <c r="Q651" s="409"/>
      <c r="R651" s="409"/>
      <c r="S651" s="409"/>
    </row>
    <row r="652" spans="1:19" s="140" customFormat="1">
      <c r="A652" s="394"/>
      <c r="B652" s="396" t="s">
        <v>9650</v>
      </c>
      <c r="C652" s="396"/>
      <c r="D652" s="406" t="s">
        <v>111</v>
      </c>
      <c r="E652" s="422"/>
      <c r="F652" s="422"/>
      <c r="G652" s="429"/>
      <c r="H652" s="422"/>
      <c r="I652" s="429"/>
      <c r="J652" s="423"/>
      <c r="K652" s="409"/>
      <c r="L652" s="447">
        <f t="shared" si="75"/>
        <v>0</v>
      </c>
      <c r="M652" s="447"/>
      <c r="N652" s="409"/>
      <c r="O652" s="409"/>
      <c r="P652" s="409"/>
      <c r="Q652" s="409"/>
      <c r="R652" s="409"/>
      <c r="S652" s="409"/>
    </row>
    <row r="653" spans="1:19" s="140" customFormat="1" ht="38.25">
      <c r="A653" s="394" t="s">
        <v>3259</v>
      </c>
      <c r="B653" s="285" t="s">
        <v>9656</v>
      </c>
      <c r="C653" s="285">
        <v>93358</v>
      </c>
      <c r="D653" s="289" t="s">
        <v>16227</v>
      </c>
      <c r="E653" s="290" t="s">
        <v>209</v>
      </c>
      <c r="F653" s="755">
        <v>1.98</v>
      </c>
      <c r="G653" s="510" t="s">
        <v>23682</v>
      </c>
      <c r="H653" s="508">
        <v>0.2094</v>
      </c>
      <c r="I653" s="510">
        <v>84.246803999999997</v>
      </c>
      <c r="J653" s="509">
        <v>166.80867191999999</v>
      </c>
      <c r="K653" s="409"/>
      <c r="L653" s="447">
        <f t="shared" si="75"/>
        <v>166.80867191999999</v>
      </c>
      <c r="M653" s="447"/>
      <c r="N653" s="409"/>
      <c r="O653" s="409"/>
      <c r="P653" s="409"/>
      <c r="Q653" s="409"/>
      <c r="R653" s="409"/>
      <c r="S653" s="409"/>
    </row>
    <row r="654" spans="1:19" s="140" customFormat="1" ht="38.25">
      <c r="A654" s="394" t="s">
        <v>3259</v>
      </c>
      <c r="B654" s="285" t="s">
        <v>9657</v>
      </c>
      <c r="C654" s="288">
        <v>101616</v>
      </c>
      <c r="D654" s="289" t="s">
        <v>13664</v>
      </c>
      <c r="E654" s="290" t="s">
        <v>193</v>
      </c>
      <c r="F654" s="755">
        <v>3.3</v>
      </c>
      <c r="G654" s="510" t="s">
        <v>11219</v>
      </c>
      <c r="H654" s="508">
        <v>0.2094</v>
      </c>
      <c r="I654" s="510">
        <v>6.3735379999999999</v>
      </c>
      <c r="J654" s="509">
        <v>21.032675399999999</v>
      </c>
      <c r="K654" s="409"/>
      <c r="L654" s="447">
        <f t="shared" si="75"/>
        <v>21.032675399999999</v>
      </c>
      <c r="M654" s="447"/>
      <c r="N654" s="409"/>
      <c r="O654" s="409"/>
      <c r="P654" s="409"/>
      <c r="Q654" s="409"/>
      <c r="R654" s="409"/>
      <c r="S654" s="409"/>
    </row>
    <row r="655" spans="1:19" s="140" customFormat="1" ht="25.5">
      <c r="A655" s="394" t="s">
        <v>3259</v>
      </c>
      <c r="B655" s="285" t="s">
        <v>9658</v>
      </c>
      <c r="C655" s="288">
        <v>93382</v>
      </c>
      <c r="D655" s="289" t="s">
        <v>2501</v>
      </c>
      <c r="E655" s="290" t="s">
        <v>209</v>
      </c>
      <c r="F655" s="755">
        <v>1.98</v>
      </c>
      <c r="G655" s="510" t="s">
        <v>16369</v>
      </c>
      <c r="H655" s="508">
        <v>0.2094</v>
      </c>
      <c r="I655" s="510">
        <v>30.380128000000003</v>
      </c>
      <c r="J655" s="509">
        <v>60.152653440000002</v>
      </c>
      <c r="K655" s="409"/>
      <c r="L655" s="447">
        <f t="shared" si="75"/>
        <v>60.152653440000002</v>
      </c>
      <c r="M655" s="447"/>
      <c r="N655" s="409"/>
      <c r="O655" s="409"/>
      <c r="P655" s="409"/>
      <c r="Q655" s="409"/>
      <c r="R655" s="409"/>
      <c r="S655" s="409"/>
    </row>
    <row r="656" spans="1:19" s="140" customFormat="1" ht="25.5">
      <c r="A656" s="394" t="s">
        <v>3260</v>
      </c>
      <c r="B656" s="285" t="s">
        <v>18432</v>
      </c>
      <c r="C656" s="288" t="s">
        <v>14459</v>
      </c>
      <c r="D656" s="289" t="s">
        <v>136</v>
      </c>
      <c r="E656" s="290" t="s">
        <v>128</v>
      </c>
      <c r="F656" s="755">
        <v>31.1</v>
      </c>
      <c r="G656" s="510">
        <v>5.25</v>
      </c>
      <c r="H656" s="508">
        <v>0.2094</v>
      </c>
      <c r="I656" s="510">
        <v>6.3493500000000003</v>
      </c>
      <c r="J656" s="509">
        <v>197.46478500000001</v>
      </c>
      <c r="K656" s="409"/>
      <c r="L656" s="447">
        <f t="shared" ref="L656:L658" si="79">I656*F656</f>
        <v>197.46478500000001</v>
      </c>
      <c r="M656" s="447"/>
      <c r="N656" s="409"/>
      <c r="O656" s="409"/>
      <c r="P656" s="409"/>
      <c r="Q656" s="409"/>
      <c r="R656" s="409"/>
      <c r="S656" s="409"/>
    </row>
    <row r="657" spans="1:19" s="140" customFormat="1" ht="38.25">
      <c r="A657" s="394" t="s">
        <v>3259</v>
      </c>
      <c r="B657" s="285" t="s">
        <v>18433</v>
      </c>
      <c r="C657" s="288">
        <v>90443</v>
      </c>
      <c r="D657" s="289" t="s">
        <v>130</v>
      </c>
      <c r="E657" s="290" t="s">
        <v>5</v>
      </c>
      <c r="F657" s="755">
        <v>124.4</v>
      </c>
      <c r="G657" s="510" t="s">
        <v>16337</v>
      </c>
      <c r="H657" s="508">
        <v>0.2094</v>
      </c>
      <c r="I657" s="510">
        <v>14.246732</v>
      </c>
      <c r="J657" s="509">
        <v>1772.2934608</v>
      </c>
      <c r="K657" s="409"/>
      <c r="L657" s="447">
        <f t="shared" si="79"/>
        <v>1772.2934608</v>
      </c>
      <c r="M657" s="447"/>
      <c r="N657" s="409"/>
      <c r="O657" s="409"/>
      <c r="P657" s="409"/>
      <c r="Q657" s="409"/>
      <c r="R657" s="409"/>
      <c r="S657" s="409"/>
    </row>
    <row r="658" spans="1:19" s="140" customFormat="1" ht="38.25">
      <c r="A658" s="394" t="s">
        <v>3259</v>
      </c>
      <c r="B658" s="285" t="s">
        <v>18434</v>
      </c>
      <c r="C658" s="288">
        <v>90466</v>
      </c>
      <c r="D658" s="289" t="s">
        <v>132</v>
      </c>
      <c r="E658" s="290" t="s">
        <v>5</v>
      </c>
      <c r="F658" s="755">
        <v>124.4</v>
      </c>
      <c r="G658" s="510" t="s">
        <v>19074</v>
      </c>
      <c r="H658" s="508">
        <v>0.2094</v>
      </c>
      <c r="I658" s="510">
        <v>14.065322000000002</v>
      </c>
      <c r="J658" s="509">
        <v>1749.7260568000004</v>
      </c>
      <c r="K658" s="409"/>
      <c r="L658" s="447">
        <f t="shared" si="79"/>
        <v>1749.7260568000004</v>
      </c>
      <c r="M658" s="447"/>
      <c r="N658" s="409"/>
      <c r="O658" s="409"/>
      <c r="P658" s="409"/>
      <c r="Q658" s="409"/>
      <c r="R658" s="409"/>
      <c r="S658" s="409"/>
    </row>
    <row r="659" spans="1:19" s="140" customFormat="1">
      <c r="A659" s="394"/>
      <c r="B659" s="391"/>
      <c r="C659" s="391"/>
      <c r="D659" s="401"/>
      <c r="E659" s="391"/>
      <c r="F659" s="417"/>
      <c r="G659" s="417"/>
      <c r="H659" s="417"/>
      <c r="I659" s="417"/>
      <c r="J659" s="418"/>
      <c r="K659" s="409"/>
      <c r="L659" s="447">
        <f t="shared" si="75"/>
        <v>0</v>
      </c>
      <c r="M659" s="447"/>
      <c r="N659" s="409"/>
      <c r="O659" s="409"/>
      <c r="P659" s="409"/>
      <c r="Q659" s="409"/>
      <c r="R659" s="409"/>
      <c r="S659" s="409"/>
    </row>
    <row r="660" spans="1:19" s="140" customFormat="1">
      <c r="A660" s="394"/>
      <c r="B660" s="396" t="s">
        <v>14480</v>
      </c>
      <c r="C660" s="396"/>
      <c r="D660" s="406" t="s">
        <v>17160</v>
      </c>
      <c r="E660" s="391"/>
      <c r="F660" s="417"/>
      <c r="G660" s="417"/>
      <c r="H660" s="417"/>
      <c r="I660" s="417"/>
      <c r="J660" s="418"/>
      <c r="K660" s="409"/>
      <c r="L660" s="447">
        <f t="shared" si="75"/>
        <v>0</v>
      </c>
      <c r="M660" s="447"/>
      <c r="N660" s="409"/>
      <c r="O660" s="409"/>
      <c r="P660" s="409"/>
      <c r="Q660" s="409"/>
      <c r="R660" s="409"/>
      <c r="S660" s="409"/>
    </row>
    <row r="661" spans="1:19" s="140" customFormat="1">
      <c r="A661" s="394"/>
      <c r="B661" s="396" t="s">
        <v>14481</v>
      </c>
      <c r="C661" s="391"/>
      <c r="D661" s="406" t="s">
        <v>14521</v>
      </c>
      <c r="E661" s="391"/>
      <c r="F661" s="417"/>
      <c r="G661" s="417"/>
      <c r="H661" s="417"/>
      <c r="I661" s="417"/>
      <c r="J661" s="418"/>
      <c r="K661" s="409"/>
      <c r="L661" s="447">
        <f t="shared" si="75"/>
        <v>0</v>
      </c>
      <c r="M661" s="447"/>
      <c r="N661" s="409"/>
      <c r="O661" s="409"/>
      <c r="P661" s="409"/>
      <c r="Q661" s="409"/>
      <c r="R661" s="409"/>
      <c r="S661" s="409"/>
    </row>
    <row r="662" spans="1:19" s="140" customFormat="1" ht="63.75">
      <c r="A662" s="394" t="s">
        <v>3259</v>
      </c>
      <c r="B662" s="285" t="s">
        <v>14486</v>
      </c>
      <c r="C662" s="288">
        <v>100561</v>
      </c>
      <c r="D662" s="289" t="s">
        <v>9264</v>
      </c>
      <c r="E662" s="290" t="s">
        <v>109</v>
      </c>
      <c r="F662" s="755">
        <v>1</v>
      </c>
      <c r="G662" s="510" t="s">
        <v>22890</v>
      </c>
      <c r="H662" s="508">
        <v>0.2094</v>
      </c>
      <c r="I662" s="510">
        <v>257.77151599999996</v>
      </c>
      <c r="J662" s="509">
        <v>257.77151599999996</v>
      </c>
      <c r="K662" s="409"/>
      <c r="L662" s="447">
        <f t="shared" si="75"/>
        <v>257.77151599999996</v>
      </c>
      <c r="M662" s="447"/>
      <c r="N662" s="409"/>
      <c r="O662" s="409"/>
      <c r="P662" s="409"/>
      <c r="Q662" s="409"/>
      <c r="R662" s="409"/>
      <c r="S662" s="409"/>
    </row>
    <row r="663" spans="1:19" s="140" customFormat="1" ht="89.25">
      <c r="A663" s="394" t="s">
        <v>3260</v>
      </c>
      <c r="B663" s="285" t="s">
        <v>14487</v>
      </c>
      <c r="C663" s="288" t="s">
        <v>14428</v>
      </c>
      <c r="D663" s="289" t="s">
        <v>18435</v>
      </c>
      <c r="E663" s="290" t="s">
        <v>109</v>
      </c>
      <c r="F663" s="755">
        <v>1</v>
      </c>
      <c r="G663" s="510">
        <v>1136.5</v>
      </c>
      <c r="H663" s="508">
        <v>0.2094</v>
      </c>
      <c r="I663" s="510">
        <v>1374.4830999999999</v>
      </c>
      <c r="J663" s="509">
        <v>1374.4830999999999</v>
      </c>
      <c r="K663" s="409"/>
      <c r="L663" s="447">
        <f t="shared" si="75"/>
        <v>1374.4830999999999</v>
      </c>
      <c r="M663" s="447"/>
      <c r="N663" s="409"/>
      <c r="O663" s="409"/>
      <c r="P663" s="409"/>
      <c r="Q663" s="409"/>
      <c r="R663" s="409"/>
      <c r="S663" s="409"/>
    </row>
    <row r="664" spans="1:19" s="140" customFormat="1">
      <c r="A664" s="394"/>
      <c r="B664" s="391"/>
      <c r="C664" s="391"/>
      <c r="D664" s="401"/>
      <c r="E664" s="391"/>
      <c r="F664" s="417"/>
      <c r="G664" s="417"/>
      <c r="H664" s="417"/>
      <c r="I664" s="417"/>
      <c r="J664" s="418"/>
      <c r="K664" s="409"/>
      <c r="L664" s="447">
        <f t="shared" si="75"/>
        <v>0</v>
      </c>
      <c r="M664" s="447"/>
      <c r="N664" s="409"/>
      <c r="O664" s="409"/>
      <c r="P664" s="409"/>
      <c r="Q664" s="409"/>
      <c r="R664" s="409"/>
      <c r="S664" s="409"/>
    </row>
    <row r="665" spans="1:19" s="140" customFormat="1">
      <c r="A665" s="394"/>
      <c r="B665" s="396" t="s">
        <v>14482</v>
      </c>
      <c r="C665" s="396"/>
      <c r="D665" s="405" t="s">
        <v>3272</v>
      </c>
      <c r="E665" s="391"/>
      <c r="F665" s="417"/>
      <c r="G665" s="417"/>
      <c r="H665" s="417"/>
      <c r="I665" s="417"/>
      <c r="J665" s="418"/>
      <c r="K665" s="409"/>
      <c r="L665" s="447">
        <f t="shared" si="75"/>
        <v>0</v>
      </c>
      <c r="M665" s="447"/>
      <c r="N665" s="409"/>
      <c r="O665" s="409"/>
      <c r="P665" s="409"/>
      <c r="Q665" s="409"/>
      <c r="R665" s="409"/>
      <c r="S665" s="409"/>
    </row>
    <row r="666" spans="1:19" s="140" customFormat="1" ht="38.25">
      <c r="A666" s="394" t="s">
        <v>3259</v>
      </c>
      <c r="B666" s="285" t="s">
        <v>14488</v>
      </c>
      <c r="C666" s="288">
        <v>97668</v>
      </c>
      <c r="D666" s="289" t="s">
        <v>4119</v>
      </c>
      <c r="E666" s="290" t="s">
        <v>5</v>
      </c>
      <c r="F666" s="755">
        <v>6</v>
      </c>
      <c r="G666" s="510" t="s">
        <v>11537</v>
      </c>
      <c r="H666" s="508">
        <v>0.2094</v>
      </c>
      <c r="I666" s="510">
        <v>14.004852</v>
      </c>
      <c r="J666" s="509">
        <v>84.029111999999998</v>
      </c>
      <c r="K666" s="409"/>
      <c r="L666" s="447">
        <f t="shared" si="75"/>
        <v>84.029111999999998</v>
      </c>
      <c r="M666" s="447"/>
      <c r="N666" s="409"/>
      <c r="O666" s="409"/>
      <c r="P666" s="409"/>
      <c r="Q666" s="409"/>
      <c r="R666" s="409"/>
      <c r="S666" s="409"/>
    </row>
    <row r="667" spans="1:19" s="140" customFormat="1" ht="38.25">
      <c r="A667" s="394" t="s">
        <v>3260</v>
      </c>
      <c r="B667" s="285" t="s">
        <v>14522</v>
      </c>
      <c r="C667" s="288" t="s">
        <v>14397</v>
      </c>
      <c r="D667" s="289" t="s">
        <v>17130</v>
      </c>
      <c r="E667" s="290" t="s">
        <v>3243</v>
      </c>
      <c r="F667" s="755">
        <v>17</v>
      </c>
      <c r="G667" s="510">
        <v>6.37</v>
      </c>
      <c r="H667" s="508">
        <v>0.2094</v>
      </c>
      <c r="I667" s="510">
        <v>7.7038780000000004</v>
      </c>
      <c r="J667" s="509">
        <v>130.965926</v>
      </c>
      <c r="K667" s="409"/>
      <c r="L667" s="447">
        <f t="shared" si="75"/>
        <v>130.965926</v>
      </c>
      <c r="M667" s="447"/>
      <c r="N667" s="409"/>
      <c r="O667" s="409"/>
      <c r="P667" s="409"/>
      <c r="Q667" s="409"/>
      <c r="R667" s="409"/>
      <c r="S667" s="409"/>
    </row>
    <row r="668" spans="1:19" s="140" customFormat="1" ht="51">
      <c r="A668" s="394" t="s">
        <v>3260</v>
      </c>
      <c r="B668" s="285" t="s">
        <v>14523</v>
      </c>
      <c r="C668" s="285" t="s">
        <v>9016</v>
      </c>
      <c r="D668" s="289" t="s">
        <v>14534</v>
      </c>
      <c r="E668" s="290" t="s">
        <v>5</v>
      </c>
      <c r="F668" s="755">
        <v>61.84</v>
      </c>
      <c r="G668" s="510">
        <v>18.540000000000003</v>
      </c>
      <c r="H668" s="508">
        <v>0.2094</v>
      </c>
      <c r="I668" s="510">
        <v>22.422276000000004</v>
      </c>
      <c r="J668" s="509">
        <v>1386.5935478400004</v>
      </c>
      <c r="K668" s="409"/>
      <c r="L668" s="447">
        <f t="shared" si="75"/>
        <v>1386.5935478400004</v>
      </c>
      <c r="M668" s="447"/>
      <c r="N668" s="409"/>
      <c r="O668" s="409"/>
      <c r="P668" s="409"/>
      <c r="Q668" s="409"/>
      <c r="R668" s="409"/>
      <c r="S668" s="409"/>
    </row>
    <row r="669" spans="1:19" s="140" customFormat="1" ht="51">
      <c r="A669" s="394" t="s">
        <v>3260</v>
      </c>
      <c r="B669" s="285" t="s">
        <v>14524</v>
      </c>
      <c r="C669" s="285" t="s">
        <v>9020</v>
      </c>
      <c r="D669" s="289" t="s">
        <v>16978</v>
      </c>
      <c r="E669" s="290" t="s">
        <v>5</v>
      </c>
      <c r="F669" s="755">
        <v>32.4</v>
      </c>
      <c r="G669" s="510">
        <v>48.870000000000005</v>
      </c>
      <c r="H669" s="508">
        <v>0.2094</v>
      </c>
      <c r="I669" s="510">
        <v>59.103378000000006</v>
      </c>
      <c r="J669" s="509">
        <v>1914.9494472000001</v>
      </c>
      <c r="K669" s="409"/>
      <c r="L669" s="447">
        <f t="shared" si="75"/>
        <v>1914.9494472000001</v>
      </c>
      <c r="M669" s="447"/>
      <c r="N669" s="409"/>
      <c r="O669" s="409"/>
      <c r="P669" s="409"/>
      <c r="Q669" s="409"/>
      <c r="R669" s="409"/>
      <c r="S669" s="409"/>
    </row>
    <row r="670" spans="1:19" s="140" customFormat="1" ht="51">
      <c r="A670" s="394" t="s">
        <v>3260</v>
      </c>
      <c r="B670" s="285" t="s">
        <v>14525</v>
      </c>
      <c r="C670" s="285" t="s">
        <v>14403</v>
      </c>
      <c r="D670" s="289" t="s">
        <v>17138</v>
      </c>
      <c r="E670" s="290" t="s">
        <v>5</v>
      </c>
      <c r="F670" s="755">
        <v>112.64</v>
      </c>
      <c r="G670" s="510">
        <v>46.470000000000006</v>
      </c>
      <c r="H670" s="508">
        <v>0.2094</v>
      </c>
      <c r="I670" s="510">
        <v>56.200818000000005</v>
      </c>
      <c r="J670" s="509">
        <v>6330.4601395200007</v>
      </c>
      <c r="K670" s="409"/>
      <c r="L670" s="447">
        <f t="shared" si="75"/>
        <v>6330.4601395200007</v>
      </c>
      <c r="M670" s="447"/>
      <c r="N670" s="409"/>
      <c r="O670" s="409"/>
      <c r="P670" s="409"/>
      <c r="Q670" s="409"/>
      <c r="R670" s="409"/>
      <c r="S670" s="409"/>
    </row>
    <row r="671" spans="1:19" s="140" customFormat="1" ht="51">
      <c r="A671" s="394" t="s">
        <v>3260</v>
      </c>
      <c r="B671" s="285" t="s">
        <v>14526</v>
      </c>
      <c r="C671" s="285" t="s">
        <v>14399</v>
      </c>
      <c r="D671" s="289" t="s">
        <v>17131</v>
      </c>
      <c r="E671" s="290" t="s">
        <v>109</v>
      </c>
      <c r="F671" s="755">
        <v>6</v>
      </c>
      <c r="G671" s="510">
        <v>44.04</v>
      </c>
      <c r="H671" s="508">
        <v>0.2094</v>
      </c>
      <c r="I671" s="510">
        <v>53.261975999999997</v>
      </c>
      <c r="J671" s="509">
        <v>319.57185599999997</v>
      </c>
      <c r="K671" s="409"/>
      <c r="L671" s="447">
        <f t="shared" si="75"/>
        <v>319.57185599999997</v>
      </c>
      <c r="M671" s="447"/>
      <c r="N671" s="409"/>
      <c r="O671" s="409"/>
      <c r="P671" s="409"/>
      <c r="Q671" s="409"/>
      <c r="R671" s="409"/>
      <c r="S671" s="409"/>
    </row>
    <row r="672" spans="1:19" s="140" customFormat="1" ht="51">
      <c r="A672" s="394" t="s">
        <v>3260</v>
      </c>
      <c r="B672" s="285" t="s">
        <v>14527</v>
      </c>
      <c r="C672" s="285" t="s">
        <v>18440</v>
      </c>
      <c r="D672" s="289" t="s">
        <v>18442</v>
      </c>
      <c r="E672" s="290" t="s">
        <v>109</v>
      </c>
      <c r="F672" s="755">
        <v>1</v>
      </c>
      <c r="G672" s="510">
        <v>44.04</v>
      </c>
      <c r="H672" s="508">
        <v>0.2094</v>
      </c>
      <c r="I672" s="510">
        <v>53.261975999999997</v>
      </c>
      <c r="J672" s="509">
        <v>53.261975999999997</v>
      </c>
      <c r="K672" s="409"/>
      <c r="L672" s="447">
        <f t="shared" si="75"/>
        <v>53.261975999999997</v>
      </c>
      <c r="M672" s="447"/>
      <c r="N672" s="409"/>
      <c r="O672" s="409"/>
      <c r="P672" s="409"/>
      <c r="Q672" s="409"/>
      <c r="R672" s="409"/>
      <c r="S672" s="409"/>
    </row>
    <row r="673" spans="1:19" s="140" customFormat="1" ht="38.25">
      <c r="A673" s="394" t="s">
        <v>3260</v>
      </c>
      <c r="B673" s="285" t="s">
        <v>14528</v>
      </c>
      <c r="C673" s="288" t="s">
        <v>11600</v>
      </c>
      <c r="D673" s="289" t="s">
        <v>16988</v>
      </c>
      <c r="E673" s="290" t="s">
        <v>109</v>
      </c>
      <c r="F673" s="755">
        <v>28</v>
      </c>
      <c r="G673" s="510">
        <v>10.330000000000002</v>
      </c>
      <c r="H673" s="508">
        <v>0.2094</v>
      </c>
      <c r="I673" s="510">
        <v>12.493102000000002</v>
      </c>
      <c r="J673" s="509">
        <v>349.80685600000004</v>
      </c>
      <c r="K673" s="409"/>
      <c r="L673" s="447">
        <f t="shared" si="75"/>
        <v>349.80685600000004</v>
      </c>
      <c r="M673" s="447"/>
      <c r="N673" s="409"/>
      <c r="O673" s="409"/>
      <c r="P673" s="409"/>
      <c r="Q673" s="409"/>
      <c r="R673" s="409"/>
      <c r="S673" s="409"/>
    </row>
    <row r="674" spans="1:19" s="140" customFormat="1" ht="51">
      <c r="A674" s="394" t="s">
        <v>3260</v>
      </c>
      <c r="B674" s="285" t="s">
        <v>14529</v>
      </c>
      <c r="C674" s="288" t="s">
        <v>11602</v>
      </c>
      <c r="D674" s="289" t="s">
        <v>16991</v>
      </c>
      <c r="E674" s="290" t="s">
        <v>109</v>
      </c>
      <c r="F674" s="755">
        <v>3</v>
      </c>
      <c r="G674" s="510">
        <v>77.92</v>
      </c>
      <c r="H674" s="508">
        <v>0.2094</v>
      </c>
      <c r="I674" s="510">
        <v>94.23644800000001</v>
      </c>
      <c r="J674" s="509">
        <v>282.70934400000004</v>
      </c>
      <c r="K674" s="409"/>
      <c r="L674" s="447">
        <f t="shared" si="75"/>
        <v>282.70934400000004</v>
      </c>
      <c r="M674" s="447"/>
      <c r="N674" s="409"/>
      <c r="O674" s="409"/>
      <c r="P674" s="409"/>
      <c r="Q674" s="409"/>
      <c r="R674" s="409"/>
      <c r="S674" s="409"/>
    </row>
    <row r="675" spans="1:19" s="140" customFormat="1" ht="38.25">
      <c r="A675" s="394" t="s">
        <v>3260</v>
      </c>
      <c r="B675" s="285" t="s">
        <v>14530</v>
      </c>
      <c r="C675" s="288" t="s">
        <v>11603</v>
      </c>
      <c r="D675" s="289" t="s">
        <v>16994</v>
      </c>
      <c r="E675" s="290" t="s">
        <v>109</v>
      </c>
      <c r="F675" s="755">
        <v>3</v>
      </c>
      <c r="G675" s="510">
        <v>13.129999999999999</v>
      </c>
      <c r="H675" s="508">
        <v>0.2094</v>
      </c>
      <c r="I675" s="510">
        <v>15.879422</v>
      </c>
      <c r="J675" s="509">
        <v>47.638266000000002</v>
      </c>
      <c r="K675" s="409"/>
      <c r="L675" s="447">
        <f t="shared" si="75"/>
        <v>47.638266000000002</v>
      </c>
      <c r="M675" s="447"/>
      <c r="N675" s="409"/>
      <c r="O675" s="409"/>
      <c r="P675" s="409"/>
      <c r="Q675" s="409"/>
      <c r="R675" s="409"/>
      <c r="S675" s="409"/>
    </row>
    <row r="676" spans="1:19" s="140" customFormat="1" ht="38.25">
      <c r="A676" s="394" t="s">
        <v>3260</v>
      </c>
      <c r="B676" s="285" t="s">
        <v>14531</v>
      </c>
      <c r="C676" s="288" t="s">
        <v>14400</v>
      </c>
      <c r="D676" s="289" t="s">
        <v>17133</v>
      </c>
      <c r="E676" s="290" t="s">
        <v>109</v>
      </c>
      <c r="F676" s="755">
        <v>6</v>
      </c>
      <c r="G676" s="510">
        <v>15.07</v>
      </c>
      <c r="H676" s="508">
        <v>0.2094</v>
      </c>
      <c r="I676" s="510">
        <v>18.225657999999999</v>
      </c>
      <c r="J676" s="509">
        <v>109.353948</v>
      </c>
      <c r="K676" s="409"/>
      <c r="L676" s="447">
        <f t="shared" si="75"/>
        <v>109.353948</v>
      </c>
      <c r="M676" s="447"/>
      <c r="N676" s="409"/>
      <c r="O676" s="409"/>
      <c r="P676" s="409"/>
      <c r="Q676" s="409"/>
      <c r="R676" s="409"/>
      <c r="S676" s="409"/>
    </row>
    <row r="677" spans="1:19" s="140" customFormat="1" ht="51">
      <c r="A677" s="394" t="s">
        <v>3260</v>
      </c>
      <c r="B677" s="285" t="s">
        <v>14532</v>
      </c>
      <c r="C677" s="288" t="s">
        <v>11608</v>
      </c>
      <c r="D677" s="289" t="s">
        <v>17136</v>
      </c>
      <c r="E677" s="290" t="s">
        <v>5</v>
      </c>
      <c r="F677" s="755">
        <v>145.04</v>
      </c>
      <c r="G677" s="510">
        <v>14.91</v>
      </c>
      <c r="H677" s="508">
        <v>0.2094</v>
      </c>
      <c r="I677" s="510">
        <v>18.032154000000002</v>
      </c>
      <c r="J677" s="509">
        <v>2615.3836161600002</v>
      </c>
      <c r="K677" s="409"/>
      <c r="L677" s="447">
        <f t="shared" si="75"/>
        <v>2615.3836161600002</v>
      </c>
      <c r="M677" s="447"/>
      <c r="N677" s="409"/>
      <c r="O677" s="409"/>
      <c r="P677" s="409"/>
      <c r="Q677" s="409"/>
      <c r="R677" s="409"/>
      <c r="S677" s="409"/>
    </row>
    <row r="678" spans="1:19" s="140" customFormat="1" ht="38.25">
      <c r="A678" s="394" t="s">
        <v>3260</v>
      </c>
      <c r="B678" s="285" t="s">
        <v>14533</v>
      </c>
      <c r="C678" s="288" t="s">
        <v>18441</v>
      </c>
      <c r="D678" s="289" t="s">
        <v>17133</v>
      </c>
      <c r="E678" s="290" t="s">
        <v>109</v>
      </c>
      <c r="F678" s="755">
        <v>1</v>
      </c>
      <c r="G678" s="510">
        <v>15.07</v>
      </c>
      <c r="H678" s="508">
        <v>0.2094</v>
      </c>
      <c r="I678" s="510">
        <v>18.225657999999999</v>
      </c>
      <c r="J678" s="509">
        <v>18.225657999999999</v>
      </c>
      <c r="K678" s="409"/>
      <c r="L678" s="447">
        <f t="shared" ref="L678" si="80">I678*F678</f>
        <v>18.225657999999999</v>
      </c>
      <c r="M678" s="447"/>
      <c r="N678" s="409"/>
      <c r="O678" s="409"/>
      <c r="P678" s="409"/>
      <c r="Q678" s="409"/>
      <c r="R678" s="409"/>
      <c r="S678" s="409"/>
    </row>
    <row r="679" spans="1:19" s="140" customFormat="1">
      <c r="A679" s="394"/>
      <c r="B679" s="391"/>
      <c r="C679" s="391"/>
      <c r="D679" s="401"/>
      <c r="E679" s="468"/>
      <c r="F679" s="469"/>
      <c r="G679" s="470"/>
      <c r="H679" s="471"/>
      <c r="I679" s="470"/>
      <c r="J679" s="418"/>
      <c r="K679" s="409"/>
      <c r="L679" s="447">
        <f t="shared" si="75"/>
        <v>0</v>
      </c>
      <c r="M679" s="447"/>
      <c r="N679" s="409"/>
      <c r="O679" s="409"/>
      <c r="P679" s="409"/>
      <c r="Q679" s="409"/>
      <c r="R679" s="409"/>
      <c r="S679" s="409"/>
    </row>
    <row r="680" spans="1:19" s="140" customFormat="1">
      <c r="A680" s="394"/>
      <c r="B680" s="396" t="s">
        <v>14483</v>
      </c>
      <c r="C680" s="391"/>
      <c r="D680" s="405" t="s">
        <v>3275</v>
      </c>
      <c r="E680" s="391"/>
      <c r="F680" s="417"/>
      <c r="G680" s="417"/>
      <c r="H680" s="417"/>
      <c r="I680" s="417"/>
      <c r="J680" s="418"/>
      <c r="K680" s="409"/>
      <c r="L680" s="447">
        <f t="shared" si="75"/>
        <v>0</v>
      </c>
      <c r="M680" s="447"/>
      <c r="N680" s="409"/>
      <c r="O680" s="409"/>
      <c r="P680" s="409"/>
      <c r="Q680" s="409"/>
      <c r="R680" s="409"/>
      <c r="S680" s="409"/>
    </row>
    <row r="681" spans="1:19" s="140" customFormat="1" ht="38.25">
      <c r="A681" s="394" t="s">
        <v>3260</v>
      </c>
      <c r="B681" s="285" t="s">
        <v>14489</v>
      </c>
      <c r="C681" s="288" t="s">
        <v>14404</v>
      </c>
      <c r="D681" s="289" t="s">
        <v>14575</v>
      </c>
      <c r="E681" s="290" t="s">
        <v>3243</v>
      </c>
      <c r="F681" s="755">
        <v>905.54</v>
      </c>
      <c r="G681" s="510">
        <v>2.99</v>
      </c>
      <c r="H681" s="508">
        <v>0.2094</v>
      </c>
      <c r="I681" s="510">
        <v>3.6161060000000003</v>
      </c>
      <c r="J681" s="509">
        <v>3274.5286272400003</v>
      </c>
      <c r="K681" s="409"/>
      <c r="L681" s="447">
        <f t="shared" si="75"/>
        <v>3274.5286272400003</v>
      </c>
      <c r="M681" s="447"/>
      <c r="N681" s="409"/>
      <c r="O681" s="409"/>
      <c r="P681" s="409"/>
      <c r="Q681" s="409"/>
      <c r="R681" s="409"/>
      <c r="S681" s="409"/>
    </row>
    <row r="682" spans="1:19" s="140" customFormat="1" ht="25.5">
      <c r="A682" s="394" t="s">
        <v>3260</v>
      </c>
      <c r="B682" s="285" t="s">
        <v>14535</v>
      </c>
      <c r="C682" s="288" t="s">
        <v>14409</v>
      </c>
      <c r="D682" s="289" t="s">
        <v>17139</v>
      </c>
      <c r="E682" s="290" t="s">
        <v>3243</v>
      </c>
      <c r="F682" s="755">
        <v>209.2</v>
      </c>
      <c r="G682" s="510">
        <v>2.54</v>
      </c>
      <c r="H682" s="508">
        <v>0.2094</v>
      </c>
      <c r="I682" s="510">
        <v>3.0718760000000001</v>
      </c>
      <c r="J682" s="509">
        <v>642.63645919999999</v>
      </c>
      <c r="K682" s="409"/>
      <c r="L682" s="447">
        <f t="shared" si="75"/>
        <v>642.63645919999999</v>
      </c>
      <c r="M682" s="447"/>
      <c r="N682" s="409"/>
      <c r="O682" s="409"/>
      <c r="P682" s="409"/>
      <c r="Q682" s="409"/>
      <c r="R682" s="409"/>
      <c r="S682" s="409"/>
    </row>
    <row r="683" spans="1:19" s="140" customFormat="1">
      <c r="A683" s="394"/>
      <c r="B683" s="391"/>
      <c r="C683" s="391"/>
      <c r="D683" s="401"/>
      <c r="E683" s="391"/>
      <c r="F683" s="417"/>
      <c r="G683" s="417"/>
      <c r="H683" s="417"/>
      <c r="I683" s="417"/>
      <c r="J683" s="418"/>
      <c r="K683" s="409"/>
      <c r="L683" s="447">
        <f t="shared" si="75"/>
        <v>0</v>
      </c>
      <c r="M683" s="447"/>
      <c r="N683" s="409"/>
      <c r="O683" s="409"/>
      <c r="P683" s="409"/>
      <c r="Q683" s="409"/>
      <c r="R683" s="409"/>
      <c r="S683" s="409"/>
    </row>
    <row r="684" spans="1:19" s="140" customFormat="1">
      <c r="A684" s="394"/>
      <c r="B684" s="396" t="s">
        <v>14547</v>
      </c>
      <c r="C684" s="391"/>
      <c r="D684" s="405" t="s">
        <v>17190</v>
      </c>
      <c r="E684" s="391"/>
      <c r="F684" s="417"/>
      <c r="G684" s="417"/>
      <c r="H684" s="417"/>
      <c r="I684" s="417"/>
      <c r="J684" s="418"/>
      <c r="K684" s="409"/>
      <c r="L684" s="447">
        <f t="shared" si="75"/>
        <v>0</v>
      </c>
      <c r="M684" s="447"/>
      <c r="N684" s="409"/>
      <c r="O684" s="409"/>
      <c r="P684" s="409"/>
      <c r="Q684" s="409"/>
      <c r="R684" s="409"/>
      <c r="S684" s="409"/>
    </row>
    <row r="685" spans="1:19" s="140" customFormat="1" ht="63.75">
      <c r="A685" s="394" t="s">
        <v>3260</v>
      </c>
      <c r="B685" s="285" t="s">
        <v>14550</v>
      </c>
      <c r="C685" s="288" t="s">
        <v>14412</v>
      </c>
      <c r="D685" s="289" t="s">
        <v>17158</v>
      </c>
      <c r="E685" s="290" t="s">
        <v>109</v>
      </c>
      <c r="F685" s="755">
        <v>6</v>
      </c>
      <c r="G685" s="510">
        <v>886.61</v>
      </c>
      <c r="H685" s="508">
        <v>0.2094</v>
      </c>
      <c r="I685" s="510">
        <v>1072.266134</v>
      </c>
      <c r="J685" s="509">
        <v>6433.5968039999998</v>
      </c>
      <c r="K685" s="409"/>
      <c r="L685" s="447">
        <f t="shared" si="75"/>
        <v>6433.5968039999998</v>
      </c>
      <c r="M685" s="447"/>
      <c r="N685" s="409"/>
      <c r="O685" s="409"/>
      <c r="P685" s="409"/>
      <c r="Q685" s="409"/>
      <c r="R685" s="409"/>
      <c r="S685" s="409"/>
    </row>
    <row r="686" spans="1:19" s="140" customFormat="1" ht="25.5">
      <c r="A686" s="394" t="s">
        <v>3259</v>
      </c>
      <c r="B686" s="285" t="s">
        <v>14551</v>
      </c>
      <c r="C686" s="288">
        <v>98302</v>
      </c>
      <c r="D686" s="289" t="s">
        <v>9272</v>
      </c>
      <c r="E686" s="290" t="s">
        <v>109</v>
      </c>
      <c r="F686" s="755">
        <v>2</v>
      </c>
      <c r="G686" s="510" t="s">
        <v>22899</v>
      </c>
      <c r="H686" s="508">
        <v>0.2094</v>
      </c>
      <c r="I686" s="510">
        <v>721.55222800000001</v>
      </c>
      <c r="J686" s="509">
        <v>1443.104456</v>
      </c>
      <c r="K686" s="409"/>
      <c r="L686" s="447">
        <f t="shared" ref="L686:L743" si="81">I686*F686</f>
        <v>1443.104456</v>
      </c>
      <c r="M686" s="447"/>
      <c r="N686" s="409"/>
      <c r="O686" s="409"/>
      <c r="P686" s="409"/>
      <c r="Q686" s="409"/>
      <c r="R686" s="409"/>
      <c r="S686" s="409"/>
    </row>
    <row r="687" spans="1:19" s="140" customFormat="1" ht="25.5">
      <c r="A687" s="394" t="s">
        <v>3260</v>
      </c>
      <c r="B687" s="285" t="s">
        <v>14552</v>
      </c>
      <c r="C687" s="288" t="s">
        <v>14413</v>
      </c>
      <c r="D687" s="289" t="s">
        <v>18444</v>
      </c>
      <c r="E687" s="290" t="s">
        <v>109</v>
      </c>
      <c r="F687" s="755">
        <v>2</v>
      </c>
      <c r="G687" s="510">
        <v>1942.41</v>
      </c>
      <c r="H687" s="508">
        <v>0.2094</v>
      </c>
      <c r="I687" s="510">
        <v>2349.150654</v>
      </c>
      <c r="J687" s="509">
        <v>4698.3013080000001</v>
      </c>
      <c r="K687" s="409"/>
      <c r="L687" s="447">
        <f t="shared" si="81"/>
        <v>4698.3013080000001</v>
      </c>
      <c r="M687" s="447"/>
      <c r="N687" s="409"/>
      <c r="O687" s="409"/>
      <c r="P687" s="409"/>
      <c r="Q687" s="409"/>
      <c r="R687" s="409"/>
      <c r="S687" s="409"/>
    </row>
    <row r="688" spans="1:19" s="140" customFormat="1" ht="63.75">
      <c r="A688" s="394" t="s">
        <v>3260</v>
      </c>
      <c r="B688" s="285" t="s">
        <v>14553</v>
      </c>
      <c r="C688" s="288" t="s">
        <v>14414</v>
      </c>
      <c r="D688" s="289" t="s">
        <v>14546</v>
      </c>
      <c r="E688" s="290" t="s">
        <v>109</v>
      </c>
      <c r="F688" s="755">
        <v>1</v>
      </c>
      <c r="G688" s="510">
        <v>70.509999999999991</v>
      </c>
      <c r="H688" s="508">
        <v>0.2094</v>
      </c>
      <c r="I688" s="510">
        <v>85.274793999999986</v>
      </c>
      <c r="J688" s="509">
        <v>85.274793999999986</v>
      </c>
      <c r="K688" s="409"/>
      <c r="L688" s="447">
        <f t="shared" si="81"/>
        <v>85.274793999999986</v>
      </c>
      <c r="M688" s="447"/>
      <c r="N688" s="409"/>
      <c r="O688" s="409"/>
      <c r="P688" s="409"/>
      <c r="Q688" s="409"/>
      <c r="R688" s="409"/>
      <c r="S688" s="409"/>
    </row>
    <row r="689" spans="1:19" s="140" customFormat="1" ht="76.5">
      <c r="A689" s="394" t="s">
        <v>3260</v>
      </c>
      <c r="B689" s="285" t="s">
        <v>14554</v>
      </c>
      <c r="C689" s="288" t="s">
        <v>14415</v>
      </c>
      <c r="D689" s="289" t="s">
        <v>17166</v>
      </c>
      <c r="E689" s="290" t="s">
        <v>109</v>
      </c>
      <c r="F689" s="758">
        <v>6</v>
      </c>
      <c r="G689" s="510">
        <v>1171.08</v>
      </c>
      <c r="H689" s="508">
        <v>0.2094</v>
      </c>
      <c r="I689" s="510">
        <v>1416.3041519999999</v>
      </c>
      <c r="J689" s="509">
        <v>8497.824912</v>
      </c>
      <c r="K689" s="409"/>
      <c r="L689" s="447">
        <f t="shared" si="81"/>
        <v>8497.824912</v>
      </c>
      <c r="M689" s="447"/>
      <c r="N689" s="409"/>
      <c r="O689" s="409"/>
      <c r="P689" s="409"/>
      <c r="Q689" s="409"/>
      <c r="R689" s="409"/>
      <c r="S689" s="409"/>
    </row>
    <row r="690" spans="1:19" s="140" customFormat="1" ht="76.5">
      <c r="A690" s="394" t="s">
        <v>3260</v>
      </c>
      <c r="B690" s="285" t="s">
        <v>14555</v>
      </c>
      <c r="C690" s="288" t="s">
        <v>14424</v>
      </c>
      <c r="D690" s="289" t="s">
        <v>18448</v>
      </c>
      <c r="E690" s="290" t="s">
        <v>109</v>
      </c>
      <c r="F690" s="755">
        <v>10</v>
      </c>
      <c r="G690" s="510">
        <v>2710.08</v>
      </c>
      <c r="H690" s="508">
        <v>0.2094</v>
      </c>
      <c r="I690" s="510">
        <v>3277.5707520000001</v>
      </c>
      <c r="J690" s="509">
        <v>32775.707520000004</v>
      </c>
      <c r="K690" s="409"/>
      <c r="L690" s="447">
        <f t="shared" si="81"/>
        <v>32775.707520000004</v>
      </c>
      <c r="M690" s="447"/>
      <c r="N690" s="409"/>
      <c r="O690" s="409"/>
      <c r="P690" s="409"/>
      <c r="Q690" s="409"/>
      <c r="R690" s="409"/>
      <c r="S690" s="409"/>
    </row>
    <row r="691" spans="1:19" s="140" customFormat="1" ht="25.5">
      <c r="A691" s="394" t="s">
        <v>3260</v>
      </c>
      <c r="B691" s="285" t="s">
        <v>14568</v>
      </c>
      <c r="C691" s="288" t="s">
        <v>14425</v>
      </c>
      <c r="D691" s="289" t="s">
        <v>17167</v>
      </c>
      <c r="E691" s="290" t="s">
        <v>109</v>
      </c>
      <c r="F691" s="755">
        <v>1</v>
      </c>
      <c r="G691" s="510">
        <v>3528.61</v>
      </c>
      <c r="H691" s="508">
        <v>0.2094</v>
      </c>
      <c r="I691" s="510">
        <v>4267.5009340000006</v>
      </c>
      <c r="J691" s="509">
        <v>4267.5009340000006</v>
      </c>
      <c r="K691" s="409"/>
      <c r="L691" s="447">
        <f t="shared" si="81"/>
        <v>4267.5009340000006</v>
      </c>
      <c r="M691" s="447"/>
      <c r="N691" s="409"/>
      <c r="O691" s="409"/>
      <c r="P691" s="409"/>
      <c r="Q691" s="409"/>
      <c r="R691" s="409"/>
      <c r="S691" s="409"/>
    </row>
    <row r="692" spans="1:19" s="140" customFormat="1" ht="38.25">
      <c r="A692" s="394" t="s">
        <v>3260</v>
      </c>
      <c r="B692" s="285" t="s">
        <v>17162</v>
      </c>
      <c r="C692" s="288" t="s">
        <v>14429</v>
      </c>
      <c r="D692" s="289" t="s">
        <v>17172</v>
      </c>
      <c r="E692" s="290" t="s">
        <v>109</v>
      </c>
      <c r="F692" s="755">
        <v>1</v>
      </c>
      <c r="G692" s="510">
        <v>401.85</v>
      </c>
      <c r="H692" s="508">
        <v>0.2094</v>
      </c>
      <c r="I692" s="510">
        <v>485.99739000000005</v>
      </c>
      <c r="J692" s="509">
        <v>485.99739000000005</v>
      </c>
      <c r="K692" s="409"/>
      <c r="L692" s="447">
        <f t="shared" si="81"/>
        <v>485.99739000000005</v>
      </c>
      <c r="M692" s="447"/>
      <c r="N692" s="409"/>
      <c r="O692" s="409"/>
      <c r="P692" s="409"/>
      <c r="Q692" s="409"/>
      <c r="R692" s="409"/>
      <c r="S692" s="409"/>
    </row>
    <row r="693" spans="1:19" s="140" customFormat="1" ht="25.5">
      <c r="A693" s="394" t="s">
        <v>3260</v>
      </c>
      <c r="B693" s="285" t="s">
        <v>17163</v>
      </c>
      <c r="C693" s="288" t="s">
        <v>14430</v>
      </c>
      <c r="D693" s="289" t="s">
        <v>17175</v>
      </c>
      <c r="E693" s="290" t="s">
        <v>109</v>
      </c>
      <c r="F693" s="755">
        <v>8</v>
      </c>
      <c r="G693" s="510">
        <v>24.65</v>
      </c>
      <c r="H693" s="508">
        <v>0.2094</v>
      </c>
      <c r="I693" s="510">
        <v>29.811709999999998</v>
      </c>
      <c r="J693" s="509">
        <v>238.49367999999998</v>
      </c>
      <c r="K693" s="409"/>
      <c r="L693" s="447">
        <f t="shared" si="81"/>
        <v>238.49367999999998</v>
      </c>
      <c r="M693" s="447"/>
      <c r="N693" s="409"/>
      <c r="O693" s="409"/>
      <c r="P693" s="409"/>
      <c r="Q693" s="409"/>
      <c r="R693" s="409"/>
      <c r="S693" s="409"/>
    </row>
    <row r="694" spans="1:19" s="140" customFormat="1" ht="25.5">
      <c r="A694" s="394" t="s">
        <v>3260</v>
      </c>
      <c r="B694" s="285" t="s">
        <v>17164</v>
      </c>
      <c r="C694" s="288" t="s">
        <v>14431</v>
      </c>
      <c r="D694" s="289" t="s">
        <v>17183</v>
      </c>
      <c r="E694" s="290" t="s">
        <v>109</v>
      </c>
      <c r="F694" s="755">
        <v>1</v>
      </c>
      <c r="G694" s="510">
        <v>72.659999999999982</v>
      </c>
      <c r="H694" s="508">
        <v>0.2094</v>
      </c>
      <c r="I694" s="510">
        <v>87.875003999999976</v>
      </c>
      <c r="J694" s="509">
        <v>87.875003999999976</v>
      </c>
      <c r="K694" s="409"/>
      <c r="L694" s="447">
        <f t="shared" si="81"/>
        <v>87.875003999999976</v>
      </c>
      <c r="M694" s="447"/>
      <c r="N694" s="409"/>
      <c r="O694" s="409"/>
      <c r="P694" s="409"/>
      <c r="Q694" s="409"/>
      <c r="R694" s="409"/>
      <c r="S694" s="409"/>
    </row>
    <row r="695" spans="1:19" s="140" customFormat="1" ht="25.5">
      <c r="A695" s="394" t="s">
        <v>3260</v>
      </c>
      <c r="B695" s="285" t="s">
        <v>17165</v>
      </c>
      <c r="C695" s="288" t="s">
        <v>14444</v>
      </c>
      <c r="D695" s="289" t="s">
        <v>17184</v>
      </c>
      <c r="E695" s="290" t="s">
        <v>109</v>
      </c>
      <c r="F695" s="755">
        <v>1</v>
      </c>
      <c r="G695" s="510">
        <v>89.74</v>
      </c>
      <c r="H695" s="508">
        <v>0.2094</v>
      </c>
      <c r="I695" s="510">
        <v>108.53155599999999</v>
      </c>
      <c r="J695" s="509">
        <v>108.53155599999999</v>
      </c>
      <c r="K695" s="409"/>
      <c r="L695" s="447">
        <f t="shared" si="81"/>
        <v>108.53155599999999</v>
      </c>
      <c r="M695" s="447"/>
      <c r="N695" s="409"/>
      <c r="O695" s="409"/>
      <c r="P695" s="409"/>
      <c r="Q695" s="409"/>
      <c r="R695" s="409"/>
      <c r="S695" s="409"/>
    </row>
    <row r="696" spans="1:19" s="140" customFormat="1" ht="25.5">
      <c r="A696" s="394" t="s">
        <v>3260</v>
      </c>
      <c r="B696" s="285" t="s">
        <v>17168</v>
      </c>
      <c r="C696" s="288" t="s">
        <v>14445</v>
      </c>
      <c r="D696" s="289" t="s">
        <v>18587</v>
      </c>
      <c r="E696" s="290" t="s">
        <v>109</v>
      </c>
      <c r="F696" s="755">
        <v>1</v>
      </c>
      <c r="G696" s="510">
        <v>1005.3199999999999</v>
      </c>
      <c r="H696" s="508">
        <v>0.2094</v>
      </c>
      <c r="I696" s="510">
        <v>1215.834008</v>
      </c>
      <c r="J696" s="509">
        <v>1215.834008</v>
      </c>
      <c r="K696" s="409"/>
      <c r="L696" s="447">
        <f t="shared" si="81"/>
        <v>1215.834008</v>
      </c>
      <c r="M696" s="447"/>
      <c r="N696" s="409"/>
      <c r="O696" s="409"/>
      <c r="P696" s="409"/>
      <c r="Q696" s="409"/>
      <c r="R696" s="409"/>
      <c r="S696" s="409"/>
    </row>
    <row r="697" spans="1:19" s="140" customFormat="1" ht="25.5">
      <c r="A697" s="394" t="s">
        <v>3260</v>
      </c>
      <c r="B697" s="285" t="s">
        <v>17169</v>
      </c>
      <c r="C697" s="288" t="s">
        <v>14446</v>
      </c>
      <c r="D697" s="289" t="s">
        <v>17186</v>
      </c>
      <c r="E697" s="290" t="s">
        <v>109</v>
      </c>
      <c r="F697" s="755">
        <v>2</v>
      </c>
      <c r="G697" s="510">
        <v>173.57</v>
      </c>
      <c r="H697" s="508">
        <v>0.2094</v>
      </c>
      <c r="I697" s="510">
        <v>209.915558</v>
      </c>
      <c r="J697" s="509">
        <v>419.83111600000001</v>
      </c>
      <c r="K697" s="409"/>
      <c r="L697" s="447">
        <f t="shared" si="81"/>
        <v>419.83111600000001</v>
      </c>
      <c r="M697" s="447"/>
      <c r="N697" s="409"/>
      <c r="O697" s="409"/>
      <c r="P697" s="409"/>
      <c r="Q697" s="409"/>
      <c r="R697" s="409"/>
      <c r="S697" s="409"/>
    </row>
    <row r="698" spans="1:19" s="140" customFormat="1" ht="38.25">
      <c r="A698" s="394" t="s">
        <v>3260</v>
      </c>
      <c r="B698" s="285" t="s">
        <v>17170</v>
      </c>
      <c r="C698" s="288" t="s">
        <v>14447</v>
      </c>
      <c r="D698" s="289" t="s">
        <v>18597</v>
      </c>
      <c r="E698" s="290" t="s">
        <v>109</v>
      </c>
      <c r="F698" s="755">
        <v>48</v>
      </c>
      <c r="G698" s="510">
        <v>44.56</v>
      </c>
      <c r="H698" s="508">
        <v>0.2094</v>
      </c>
      <c r="I698" s="510">
        <v>53.890864000000008</v>
      </c>
      <c r="J698" s="509">
        <v>2586.7614720000001</v>
      </c>
      <c r="K698" s="409"/>
      <c r="L698" s="447">
        <f t="shared" si="81"/>
        <v>2586.7614720000001</v>
      </c>
      <c r="M698" s="447"/>
      <c r="N698" s="409"/>
      <c r="O698" s="409"/>
      <c r="P698" s="409"/>
      <c r="Q698" s="409"/>
      <c r="R698" s="409"/>
      <c r="S698" s="409"/>
    </row>
    <row r="699" spans="1:19" s="140" customFormat="1">
      <c r="A699" s="394"/>
      <c r="B699" s="391"/>
      <c r="C699" s="391"/>
      <c r="D699" s="401"/>
      <c r="E699" s="391"/>
      <c r="F699" s="417"/>
      <c r="G699" s="417"/>
      <c r="H699" s="417"/>
      <c r="I699" s="417"/>
      <c r="J699" s="418"/>
      <c r="K699" s="409"/>
      <c r="L699" s="447">
        <f t="shared" si="81"/>
        <v>0</v>
      </c>
      <c r="M699" s="447"/>
      <c r="N699" s="409"/>
      <c r="O699" s="409"/>
      <c r="P699" s="409"/>
      <c r="Q699" s="409"/>
      <c r="R699" s="409"/>
      <c r="S699" s="409"/>
    </row>
    <row r="700" spans="1:19" s="140" customFormat="1">
      <c r="A700" s="394"/>
      <c r="B700" s="396" t="s">
        <v>14484</v>
      </c>
      <c r="C700" s="391"/>
      <c r="D700" s="405" t="s">
        <v>17159</v>
      </c>
      <c r="E700" s="391"/>
      <c r="F700" s="417"/>
      <c r="G700" s="417"/>
      <c r="H700" s="417"/>
      <c r="I700" s="417"/>
      <c r="J700" s="418"/>
      <c r="K700" s="409"/>
      <c r="L700" s="447">
        <f t="shared" si="81"/>
        <v>0</v>
      </c>
      <c r="M700" s="447"/>
      <c r="N700" s="409"/>
      <c r="O700" s="409"/>
      <c r="P700" s="409"/>
      <c r="Q700" s="409"/>
      <c r="R700" s="409"/>
      <c r="S700" s="409"/>
    </row>
    <row r="701" spans="1:19" s="140" customFormat="1" ht="51">
      <c r="A701" s="394" t="s">
        <v>3260</v>
      </c>
      <c r="B701" s="285" t="s">
        <v>14490</v>
      </c>
      <c r="C701" s="288" t="s">
        <v>14410</v>
      </c>
      <c r="D701" s="289" t="s">
        <v>17140</v>
      </c>
      <c r="E701" s="290" t="s">
        <v>109</v>
      </c>
      <c r="F701" s="755">
        <v>4</v>
      </c>
      <c r="G701" s="510">
        <v>20.82</v>
      </c>
      <c r="H701" s="508">
        <v>0.2094</v>
      </c>
      <c r="I701" s="510">
        <v>25.179708000000002</v>
      </c>
      <c r="J701" s="509">
        <v>100.71883200000001</v>
      </c>
      <c r="K701" s="409"/>
      <c r="L701" s="447">
        <f t="shared" si="81"/>
        <v>100.71883200000001</v>
      </c>
      <c r="M701" s="447"/>
      <c r="N701" s="409"/>
      <c r="O701" s="409"/>
      <c r="P701" s="409"/>
      <c r="Q701" s="409"/>
      <c r="R701" s="409"/>
      <c r="S701" s="409"/>
    </row>
    <row r="702" spans="1:19" s="140" customFormat="1" ht="51">
      <c r="A702" s="394" t="s">
        <v>3260</v>
      </c>
      <c r="B702" s="285" t="s">
        <v>14556</v>
      </c>
      <c r="C702" s="288" t="s">
        <v>14411</v>
      </c>
      <c r="D702" s="289" t="s">
        <v>17156</v>
      </c>
      <c r="E702" s="290" t="s">
        <v>109</v>
      </c>
      <c r="F702" s="755">
        <v>5</v>
      </c>
      <c r="G702" s="510">
        <v>58.25</v>
      </c>
      <c r="H702" s="508">
        <v>0.2094</v>
      </c>
      <c r="I702" s="510">
        <v>70.447550000000007</v>
      </c>
      <c r="J702" s="509">
        <v>352.23775000000001</v>
      </c>
      <c r="K702" s="409"/>
      <c r="L702" s="447">
        <f t="shared" si="81"/>
        <v>352.23775000000001</v>
      </c>
      <c r="M702" s="447"/>
      <c r="N702" s="409"/>
      <c r="O702" s="409"/>
      <c r="P702" s="409"/>
      <c r="Q702" s="409"/>
      <c r="R702" s="409"/>
      <c r="S702" s="409"/>
    </row>
    <row r="703" spans="1:19" s="140" customFormat="1" ht="38.25">
      <c r="A703" s="394" t="s">
        <v>3259</v>
      </c>
      <c r="B703" s="285" t="s">
        <v>17141</v>
      </c>
      <c r="C703" s="285">
        <v>91939</v>
      </c>
      <c r="D703" s="289" t="s">
        <v>137</v>
      </c>
      <c r="E703" s="290" t="s">
        <v>109</v>
      </c>
      <c r="F703" s="755">
        <v>4</v>
      </c>
      <c r="G703" s="510" t="s">
        <v>16594</v>
      </c>
      <c r="H703" s="508">
        <v>0.2094</v>
      </c>
      <c r="I703" s="510">
        <v>29.944744000000004</v>
      </c>
      <c r="J703" s="509">
        <v>119.77897600000001</v>
      </c>
      <c r="K703" s="409"/>
      <c r="L703" s="447">
        <f t="shared" si="81"/>
        <v>119.77897600000001</v>
      </c>
      <c r="M703" s="447"/>
      <c r="N703" s="409"/>
      <c r="O703" s="409"/>
      <c r="P703" s="409"/>
      <c r="Q703" s="409"/>
      <c r="R703" s="409"/>
      <c r="S703" s="409"/>
    </row>
    <row r="704" spans="1:19" s="140" customFormat="1" ht="38.25">
      <c r="A704" s="394" t="s">
        <v>3259</v>
      </c>
      <c r="B704" s="285" t="s">
        <v>17142</v>
      </c>
      <c r="C704" s="285">
        <v>91941</v>
      </c>
      <c r="D704" s="289" t="s">
        <v>129</v>
      </c>
      <c r="E704" s="290" t="s">
        <v>109</v>
      </c>
      <c r="F704" s="755">
        <v>5</v>
      </c>
      <c r="G704" s="510" t="s">
        <v>10521</v>
      </c>
      <c r="H704" s="508">
        <v>0.2094</v>
      </c>
      <c r="I704" s="510">
        <v>10.570156000000001</v>
      </c>
      <c r="J704" s="509">
        <v>52.85078</v>
      </c>
      <c r="K704" s="409"/>
      <c r="L704" s="447">
        <f t="shared" si="81"/>
        <v>52.85078</v>
      </c>
      <c r="M704" s="447"/>
      <c r="N704" s="409"/>
      <c r="O704" s="409"/>
      <c r="P704" s="409"/>
      <c r="Q704" s="409"/>
      <c r="R704" s="409"/>
      <c r="S704" s="409"/>
    </row>
    <row r="705" spans="1:19" s="140" customFormat="1" ht="51">
      <c r="A705" s="394" t="s">
        <v>3259</v>
      </c>
      <c r="B705" s="285" t="s">
        <v>17143</v>
      </c>
      <c r="C705" s="285">
        <v>95779</v>
      </c>
      <c r="D705" s="289" t="s">
        <v>270</v>
      </c>
      <c r="E705" s="290" t="s">
        <v>109</v>
      </c>
      <c r="F705" s="755">
        <v>22</v>
      </c>
      <c r="G705" s="510" t="s">
        <v>21119</v>
      </c>
      <c r="H705" s="508">
        <v>0.2094</v>
      </c>
      <c r="I705" s="510">
        <v>25.627186000000002</v>
      </c>
      <c r="J705" s="509">
        <v>563.798092</v>
      </c>
      <c r="K705" s="409"/>
      <c r="L705" s="447">
        <f t="shared" si="81"/>
        <v>563.798092</v>
      </c>
      <c r="M705" s="447"/>
      <c r="N705" s="409"/>
      <c r="O705" s="409"/>
      <c r="P705" s="409"/>
      <c r="Q705" s="409"/>
      <c r="R705" s="409"/>
      <c r="S705" s="409"/>
    </row>
    <row r="706" spans="1:19" s="140" customFormat="1">
      <c r="A706" s="394"/>
      <c r="B706" s="391"/>
      <c r="C706" s="391"/>
      <c r="D706" s="401"/>
      <c r="E706" s="391"/>
      <c r="F706" s="417"/>
      <c r="G706" s="417"/>
      <c r="H706" s="417"/>
      <c r="I706" s="417"/>
      <c r="J706" s="418"/>
      <c r="K706" s="409"/>
      <c r="L706" s="447">
        <f t="shared" si="81"/>
        <v>0</v>
      </c>
      <c r="M706" s="447"/>
      <c r="N706" s="409"/>
      <c r="O706" s="409"/>
      <c r="P706" s="409"/>
      <c r="Q706" s="409"/>
      <c r="R706" s="409"/>
      <c r="S706" s="409"/>
    </row>
    <row r="707" spans="1:19" s="140" customFormat="1">
      <c r="A707" s="394"/>
      <c r="B707" s="396" t="s">
        <v>14485</v>
      </c>
      <c r="C707" s="396"/>
      <c r="D707" s="406" t="s">
        <v>111</v>
      </c>
      <c r="E707" s="391"/>
      <c r="F707" s="417"/>
      <c r="G707" s="417"/>
      <c r="H707" s="417"/>
      <c r="I707" s="417"/>
      <c r="J707" s="418"/>
      <c r="K707" s="409"/>
      <c r="L707" s="447">
        <f t="shared" si="81"/>
        <v>0</v>
      </c>
      <c r="M707" s="447"/>
      <c r="N707" s="409"/>
      <c r="O707" s="409"/>
      <c r="P707" s="409"/>
      <c r="Q707" s="409"/>
      <c r="R707" s="409"/>
      <c r="S707" s="409"/>
    </row>
    <row r="708" spans="1:19" s="92" customFormat="1" ht="25.5">
      <c r="A708" s="394" t="s">
        <v>3260</v>
      </c>
      <c r="B708" s="285" t="s">
        <v>14491</v>
      </c>
      <c r="C708" s="285" t="s">
        <v>14459</v>
      </c>
      <c r="D708" s="289" t="s">
        <v>136</v>
      </c>
      <c r="E708" s="290" t="s">
        <v>128</v>
      </c>
      <c r="F708" s="755">
        <v>6</v>
      </c>
      <c r="G708" s="510">
        <v>5.25</v>
      </c>
      <c r="H708" s="508">
        <v>0.2094</v>
      </c>
      <c r="I708" s="510">
        <v>6.3493500000000003</v>
      </c>
      <c r="J708" s="509">
        <v>38.0961</v>
      </c>
      <c r="K708" s="409"/>
      <c r="L708" s="447">
        <f t="shared" si="81"/>
        <v>38.0961</v>
      </c>
      <c r="M708" s="447"/>
      <c r="N708" s="298"/>
      <c r="O708" s="298"/>
      <c r="P708" s="298"/>
      <c r="Q708" s="298"/>
      <c r="R708" s="298"/>
      <c r="S708" s="298"/>
    </row>
    <row r="709" spans="1:19" s="92" customFormat="1" ht="38.25">
      <c r="A709" s="394" t="s">
        <v>3259</v>
      </c>
      <c r="B709" s="285" t="s">
        <v>14558</v>
      </c>
      <c r="C709" s="285">
        <v>93358</v>
      </c>
      <c r="D709" s="289" t="s">
        <v>16227</v>
      </c>
      <c r="E709" s="290" t="s">
        <v>209</v>
      </c>
      <c r="F709" s="755">
        <v>0.6</v>
      </c>
      <c r="G709" s="510" t="s">
        <v>23682</v>
      </c>
      <c r="H709" s="508">
        <v>0.2094</v>
      </c>
      <c r="I709" s="510">
        <v>84.246803999999997</v>
      </c>
      <c r="J709" s="509">
        <v>50.548082399999998</v>
      </c>
      <c r="K709" s="409"/>
      <c r="L709" s="447">
        <f t="shared" ref="L709:L712" si="82">I709*F709</f>
        <v>50.548082399999998</v>
      </c>
      <c r="M709" s="447"/>
      <c r="N709" s="298"/>
      <c r="O709" s="298"/>
      <c r="P709" s="298"/>
      <c r="Q709" s="298"/>
      <c r="R709" s="298"/>
      <c r="S709" s="298"/>
    </row>
    <row r="710" spans="1:19" s="92" customFormat="1" ht="38.25">
      <c r="A710" s="394" t="s">
        <v>3259</v>
      </c>
      <c r="B710" s="285" t="s">
        <v>14559</v>
      </c>
      <c r="C710" s="288">
        <v>101616</v>
      </c>
      <c r="D710" s="289" t="s">
        <v>13664</v>
      </c>
      <c r="E710" s="290" t="s">
        <v>193</v>
      </c>
      <c r="F710" s="755">
        <v>1.2</v>
      </c>
      <c r="G710" s="510" t="s">
        <v>11219</v>
      </c>
      <c r="H710" s="508">
        <v>0.2094</v>
      </c>
      <c r="I710" s="510">
        <v>6.3735379999999999</v>
      </c>
      <c r="J710" s="509">
        <v>7.6482455999999992</v>
      </c>
      <c r="K710" s="409"/>
      <c r="L710" s="447">
        <f t="shared" si="82"/>
        <v>7.6482455999999992</v>
      </c>
      <c r="M710" s="447"/>
      <c r="N710" s="298"/>
      <c r="O710" s="298"/>
      <c r="P710" s="298"/>
      <c r="Q710" s="298"/>
      <c r="R710" s="298"/>
      <c r="S710" s="298"/>
    </row>
    <row r="711" spans="1:19" s="92" customFormat="1" ht="25.5">
      <c r="A711" s="394" t="s">
        <v>3259</v>
      </c>
      <c r="B711" s="285" t="s">
        <v>14560</v>
      </c>
      <c r="C711" s="288">
        <v>93382</v>
      </c>
      <c r="D711" s="289" t="s">
        <v>2501</v>
      </c>
      <c r="E711" s="290" t="s">
        <v>209</v>
      </c>
      <c r="F711" s="755">
        <v>0.6</v>
      </c>
      <c r="G711" s="510" t="s">
        <v>16369</v>
      </c>
      <c r="H711" s="508">
        <v>0.2094</v>
      </c>
      <c r="I711" s="510">
        <v>30.380128000000003</v>
      </c>
      <c r="J711" s="509">
        <v>18.2280768</v>
      </c>
      <c r="K711" s="409"/>
      <c r="L711" s="447">
        <f t="shared" si="82"/>
        <v>18.2280768</v>
      </c>
      <c r="M711" s="447"/>
      <c r="N711" s="298"/>
      <c r="O711" s="298"/>
      <c r="P711" s="298"/>
      <c r="Q711" s="298"/>
      <c r="R711" s="298"/>
      <c r="S711" s="298"/>
    </row>
    <row r="712" spans="1:19" s="92" customFormat="1" ht="38.25">
      <c r="A712" s="394" t="s">
        <v>3259</v>
      </c>
      <c r="B712" s="285" t="s">
        <v>18449</v>
      </c>
      <c r="C712" s="288">
        <v>90443</v>
      </c>
      <c r="D712" s="289" t="s">
        <v>130</v>
      </c>
      <c r="E712" s="290" t="s">
        <v>5</v>
      </c>
      <c r="F712" s="755">
        <v>28</v>
      </c>
      <c r="G712" s="510" t="s">
        <v>16337</v>
      </c>
      <c r="H712" s="508">
        <v>0.2094</v>
      </c>
      <c r="I712" s="510">
        <v>14.246732</v>
      </c>
      <c r="J712" s="509">
        <v>398.90849600000001</v>
      </c>
      <c r="K712" s="409"/>
      <c r="L712" s="447">
        <f t="shared" si="82"/>
        <v>398.90849600000001</v>
      </c>
      <c r="M712" s="447"/>
      <c r="N712" s="298"/>
      <c r="O712" s="298"/>
      <c r="P712" s="298"/>
      <c r="Q712" s="298"/>
      <c r="R712" s="298"/>
      <c r="S712" s="298"/>
    </row>
    <row r="713" spans="1:19" s="92" customFormat="1" ht="38.25">
      <c r="A713" s="394" t="s">
        <v>3259</v>
      </c>
      <c r="B713" s="285" t="s">
        <v>18450</v>
      </c>
      <c r="C713" s="288">
        <v>90466</v>
      </c>
      <c r="D713" s="289" t="s">
        <v>132</v>
      </c>
      <c r="E713" s="290" t="s">
        <v>5</v>
      </c>
      <c r="F713" s="755">
        <v>28</v>
      </c>
      <c r="G713" s="510" t="s">
        <v>19074</v>
      </c>
      <c r="H713" s="508">
        <v>0.2094</v>
      </c>
      <c r="I713" s="510">
        <v>14.065322000000002</v>
      </c>
      <c r="J713" s="509">
        <v>393.82901600000002</v>
      </c>
      <c r="K713" s="409"/>
      <c r="L713" s="447">
        <f t="shared" ref="L713:L715" si="83">I713*F713</f>
        <v>393.82901600000002</v>
      </c>
      <c r="M713" s="447"/>
      <c r="N713" s="298"/>
      <c r="O713" s="298"/>
      <c r="P713" s="298"/>
      <c r="Q713" s="298"/>
      <c r="R713" s="298"/>
      <c r="S713" s="298"/>
    </row>
    <row r="714" spans="1:19" s="92" customFormat="1" ht="38.25">
      <c r="A714" s="394" t="s">
        <v>3259</v>
      </c>
      <c r="B714" s="285" t="s">
        <v>18451</v>
      </c>
      <c r="C714" s="285">
        <v>90440</v>
      </c>
      <c r="D714" s="289" t="s">
        <v>2407</v>
      </c>
      <c r="E714" s="290" t="s">
        <v>109</v>
      </c>
      <c r="F714" s="755">
        <v>1</v>
      </c>
      <c r="G714" s="510" t="s">
        <v>23629</v>
      </c>
      <c r="H714" s="508">
        <v>0.2094</v>
      </c>
      <c r="I714" s="510">
        <v>106.77792600000001</v>
      </c>
      <c r="J714" s="509">
        <v>106.77792600000001</v>
      </c>
      <c r="K714" s="409"/>
      <c r="L714" s="447">
        <f t="shared" si="83"/>
        <v>106.77792600000001</v>
      </c>
      <c r="M714" s="447"/>
      <c r="N714" s="298"/>
      <c r="O714" s="298"/>
      <c r="P714" s="298"/>
      <c r="Q714" s="298"/>
      <c r="R714" s="298"/>
      <c r="S714" s="298"/>
    </row>
    <row r="715" spans="1:19" s="92" customFormat="1" ht="38.25">
      <c r="A715" s="394" t="s">
        <v>3259</v>
      </c>
      <c r="B715" s="285" t="s">
        <v>18452</v>
      </c>
      <c r="C715" s="285">
        <v>91191</v>
      </c>
      <c r="D715" s="289" t="s">
        <v>2446</v>
      </c>
      <c r="E715" s="290" t="s">
        <v>109</v>
      </c>
      <c r="F715" s="755">
        <v>1</v>
      </c>
      <c r="G715" s="510" t="s">
        <v>10038</v>
      </c>
      <c r="H715" s="508">
        <v>0.2094</v>
      </c>
      <c r="I715" s="510">
        <v>5.7809320000000008</v>
      </c>
      <c r="J715" s="509">
        <v>5.7809320000000008</v>
      </c>
      <c r="K715" s="409"/>
      <c r="L715" s="447">
        <f t="shared" si="83"/>
        <v>5.7809320000000008</v>
      </c>
      <c r="M715" s="447"/>
      <c r="N715" s="298"/>
      <c r="O715" s="298"/>
      <c r="P715" s="298"/>
      <c r="Q715" s="298"/>
      <c r="R715" s="298"/>
      <c r="S715" s="298"/>
    </row>
    <row r="716" spans="1:19" s="140" customFormat="1">
      <c r="A716" s="394"/>
      <c r="B716" s="391"/>
      <c r="C716" s="391"/>
      <c r="D716" s="401"/>
      <c r="E716" s="391"/>
      <c r="F716" s="417"/>
      <c r="G716" s="417"/>
      <c r="H716" s="417"/>
      <c r="I716" s="417"/>
      <c r="J716" s="418"/>
      <c r="K716" s="409"/>
      <c r="L716" s="447">
        <f t="shared" si="81"/>
        <v>0</v>
      </c>
      <c r="M716" s="447"/>
      <c r="N716" s="409"/>
      <c r="O716" s="409"/>
      <c r="P716" s="409"/>
      <c r="Q716" s="409"/>
      <c r="R716" s="409"/>
      <c r="S716" s="409"/>
    </row>
    <row r="717" spans="1:19" s="140" customFormat="1">
      <c r="A717" s="394"/>
      <c r="B717" s="395"/>
      <c r="C717" s="395"/>
      <c r="D717" s="404"/>
      <c r="E717" s="395"/>
      <c r="F717" s="395"/>
      <c r="G717" s="460" t="s">
        <v>69</v>
      </c>
      <c r="H717" s="419"/>
      <c r="I717" s="460"/>
      <c r="J717" s="421">
        <v>360519.44993157987</v>
      </c>
      <c r="K717" s="448"/>
      <c r="L717" s="447">
        <f t="shared" si="81"/>
        <v>0</v>
      </c>
      <c r="M717" s="447"/>
      <c r="N717" s="409"/>
      <c r="O717" s="409"/>
      <c r="P717" s="409"/>
      <c r="Q717" s="409"/>
      <c r="R717" s="409"/>
      <c r="S717" s="409"/>
    </row>
    <row r="718" spans="1:19" s="92" customFormat="1">
      <c r="A718" s="256"/>
      <c r="B718" s="391"/>
      <c r="C718" s="391"/>
      <c r="D718" s="401"/>
      <c r="E718" s="391"/>
      <c r="F718" s="417"/>
      <c r="G718" s="417"/>
      <c r="H718" s="417"/>
      <c r="I718" s="417"/>
      <c r="J718" s="418"/>
      <c r="K718" s="298"/>
      <c r="L718" s="447">
        <f t="shared" si="81"/>
        <v>0</v>
      </c>
      <c r="M718" s="447"/>
      <c r="N718" s="298"/>
      <c r="O718" s="298"/>
      <c r="P718" s="298"/>
      <c r="Q718" s="298"/>
      <c r="R718" s="298"/>
      <c r="S718" s="298"/>
    </row>
    <row r="719" spans="1:19" s="92" customFormat="1">
      <c r="A719" s="256"/>
      <c r="B719" s="390" t="s">
        <v>139</v>
      </c>
      <c r="C719" s="390"/>
      <c r="D719" s="399" t="s">
        <v>140</v>
      </c>
      <c r="E719" s="397"/>
      <c r="F719" s="431"/>
      <c r="G719" s="431"/>
      <c r="H719" s="431"/>
      <c r="I719" s="431"/>
      <c r="J719" s="428"/>
      <c r="K719" s="298"/>
      <c r="L719" s="447">
        <f t="shared" si="81"/>
        <v>0</v>
      </c>
      <c r="M719" s="447"/>
      <c r="N719" s="298"/>
      <c r="O719" s="298"/>
      <c r="P719" s="298"/>
      <c r="Q719" s="298"/>
      <c r="R719" s="298"/>
      <c r="S719" s="298"/>
    </row>
    <row r="720" spans="1:19" s="92" customFormat="1">
      <c r="A720" s="256"/>
      <c r="B720" s="390" t="s">
        <v>16763</v>
      </c>
      <c r="C720" s="390"/>
      <c r="D720" s="399" t="s">
        <v>16764</v>
      </c>
      <c r="E720" s="391"/>
      <c r="F720" s="417"/>
      <c r="G720" s="417"/>
      <c r="H720" s="417"/>
      <c r="I720" s="417"/>
      <c r="J720" s="418"/>
      <c r="K720" s="298"/>
      <c r="L720" s="447">
        <f t="shared" si="81"/>
        <v>0</v>
      </c>
      <c r="M720" s="447"/>
      <c r="N720" s="298"/>
      <c r="O720" s="298"/>
      <c r="P720" s="298"/>
      <c r="Q720" s="298"/>
      <c r="R720" s="298"/>
      <c r="S720" s="298"/>
    </row>
    <row r="721" spans="1:19" s="92" customFormat="1">
      <c r="A721" s="256"/>
      <c r="B721" s="390" t="s">
        <v>16765</v>
      </c>
      <c r="C721" s="390"/>
      <c r="D721" s="399" t="s">
        <v>16787</v>
      </c>
      <c r="E721" s="391"/>
      <c r="F721" s="417"/>
      <c r="G721" s="417"/>
      <c r="H721" s="417"/>
      <c r="I721" s="417"/>
      <c r="J721" s="418"/>
      <c r="K721" s="298"/>
      <c r="L721" s="447">
        <f t="shared" si="81"/>
        <v>0</v>
      </c>
      <c r="M721" s="447"/>
      <c r="N721" s="298"/>
      <c r="O721" s="298"/>
      <c r="P721" s="298"/>
      <c r="Q721" s="298"/>
      <c r="R721" s="298"/>
      <c r="S721" s="298"/>
    </row>
    <row r="722" spans="1:19" s="92" customFormat="1" ht="25.5">
      <c r="A722" s="394" t="s">
        <v>3260</v>
      </c>
      <c r="B722" s="288" t="s">
        <v>16771</v>
      </c>
      <c r="C722" s="285" t="s">
        <v>14838</v>
      </c>
      <c r="D722" s="289" t="s">
        <v>16784</v>
      </c>
      <c r="E722" s="290" t="s">
        <v>5</v>
      </c>
      <c r="F722" s="292">
        <v>40.520000000000003</v>
      </c>
      <c r="G722" s="510">
        <v>12.32</v>
      </c>
      <c r="H722" s="508">
        <v>0.2094</v>
      </c>
      <c r="I722" s="510">
        <v>14.899808</v>
      </c>
      <c r="J722" s="509">
        <v>603.74022016000004</v>
      </c>
      <c r="K722" s="298"/>
      <c r="L722" s="447">
        <f t="shared" si="81"/>
        <v>603.74022016000004</v>
      </c>
      <c r="M722" s="447"/>
      <c r="N722" s="298"/>
      <c r="O722" s="298"/>
      <c r="P722" s="298"/>
      <c r="Q722" s="298"/>
      <c r="R722" s="298"/>
      <c r="S722" s="298"/>
    </row>
    <row r="723" spans="1:19" s="92" customFormat="1" ht="25.5">
      <c r="A723" s="394" t="s">
        <v>3260</v>
      </c>
      <c r="B723" s="288" t="s">
        <v>16786</v>
      </c>
      <c r="C723" s="285" t="s">
        <v>14839</v>
      </c>
      <c r="D723" s="289" t="s">
        <v>16785</v>
      </c>
      <c r="E723" s="290" t="s">
        <v>5</v>
      </c>
      <c r="F723" s="292">
        <v>40.520000000000003</v>
      </c>
      <c r="G723" s="510">
        <v>14.4</v>
      </c>
      <c r="H723" s="508">
        <v>0.2094</v>
      </c>
      <c r="I723" s="510">
        <v>17.41536</v>
      </c>
      <c r="J723" s="509">
        <v>705.67038720000005</v>
      </c>
      <c r="K723" s="298"/>
      <c r="L723" s="447">
        <f t="shared" si="81"/>
        <v>705.67038720000005</v>
      </c>
      <c r="M723" s="447"/>
      <c r="N723" s="298"/>
      <c r="O723" s="298"/>
      <c r="P723" s="298"/>
      <c r="Q723" s="298"/>
      <c r="R723" s="298"/>
      <c r="S723" s="298"/>
    </row>
    <row r="724" spans="1:19" s="92" customFormat="1" ht="51">
      <c r="A724" s="394" t="s">
        <v>3259</v>
      </c>
      <c r="B724" s="288" t="s">
        <v>16788</v>
      </c>
      <c r="C724" s="285">
        <v>91842</v>
      </c>
      <c r="D724" s="289" t="s">
        <v>1516</v>
      </c>
      <c r="E724" s="290" t="s">
        <v>5</v>
      </c>
      <c r="F724" s="292">
        <v>40.520000000000003</v>
      </c>
      <c r="G724" s="510" t="s">
        <v>9799</v>
      </c>
      <c r="H724" s="508">
        <v>0.2094</v>
      </c>
      <c r="I724" s="510">
        <v>6.4098199999999999</v>
      </c>
      <c r="J724" s="509">
        <v>259.72590640000004</v>
      </c>
      <c r="K724" s="298"/>
      <c r="L724" s="447">
        <f t="shared" si="81"/>
        <v>259.72590640000004</v>
      </c>
      <c r="M724" s="447"/>
      <c r="N724" s="298"/>
      <c r="O724" s="298"/>
      <c r="P724" s="298"/>
      <c r="Q724" s="298"/>
      <c r="R724" s="298"/>
      <c r="S724" s="298"/>
    </row>
    <row r="725" spans="1:19" s="92" customFormat="1">
      <c r="A725" s="256"/>
      <c r="B725" s="397"/>
      <c r="C725" s="397"/>
      <c r="D725" s="408"/>
      <c r="E725" s="397"/>
      <c r="F725" s="431"/>
      <c r="G725" s="431"/>
      <c r="H725" s="431"/>
      <c r="I725" s="431"/>
      <c r="J725" s="428"/>
      <c r="K725" s="298"/>
      <c r="L725" s="447">
        <f t="shared" si="81"/>
        <v>0</v>
      </c>
      <c r="M725" s="447"/>
      <c r="N725" s="298"/>
      <c r="O725" s="298"/>
      <c r="P725" s="298"/>
      <c r="Q725" s="298"/>
      <c r="R725" s="298"/>
      <c r="S725" s="298"/>
    </row>
    <row r="726" spans="1:19" s="92" customFormat="1">
      <c r="A726" s="256"/>
      <c r="B726" s="390" t="s">
        <v>16766</v>
      </c>
      <c r="C726" s="390"/>
      <c r="D726" s="399" t="s">
        <v>16770</v>
      </c>
      <c r="E726" s="391"/>
      <c r="F726" s="417"/>
      <c r="G726" s="417"/>
      <c r="H726" s="417"/>
      <c r="I726" s="417"/>
      <c r="J726" s="418"/>
      <c r="K726" s="298"/>
      <c r="L726" s="447">
        <f t="shared" si="81"/>
        <v>0</v>
      </c>
      <c r="M726" s="447"/>
      <c r="N726" s="298"/>
      <c r="O726" s="298"/>
      <c r="P726" s="298"/>
      <c r="Q726" s="298"/>
      <c r="R726" s="298"/>
      <c r="S726" s="298"/>
    </row>
    <row r="727" spans="1:19" s="92" customFormat="1" ht="38.25">
      <c r="A727" s="394" t="s">
        <v>3260</v>
      </c>
      <c r="B727" s="288" t="s">
        <v>16774</v>
      </c>
      <c r="C727" s="285" t="s">
        <v>14884</v>
      </c>
      <c r="D727" s="289" t="s">
        <v>18325</v>
      </c>
      <c r="E727" s="290" t="s">
        <v>109</v>
      </c>
      <c r="F727" s="292">
        <v>1</v>
      </c>
      <c r="G727" s="510">
        <v>3661.72</v>
      </c>
      <c r="H727" s="508">
        <v>0.2094</v>
      </c>
      <c r="I727" s="510">
        <v>4428.484168</v>
      </c>
      <c r="J727" s="509">
        <v>4428.484168</v>
      </c>
      <c r="K727" s="298"/>
      <c r="L727" s="447">
        <f t="shared" si="81"/>
        <v>4428.484168</v>
      </c>
      <c r="M727" s="447"/>
      <c r="N727" s="298"/>
      <c r="O727" s="298"/>
      <c r="P727" s="298"/>
      <c r="Q727" s="298"/>
      <c r="R727" s="298"/>
      <c r="S727" s="298"/>
    </row>
    <row r="728" spans="1:19" s="92" customFormat="1" ht="38.25">
      <c r="A728" s="394" t="s">
        <v>3260</v>
      </c>
      <c r="B728" s="288" t="s">
        <v>18323</v>
      </c>
      <c r="C728" s="285" t="s">
        <v>14893</v>
      </c>
      <c r="D728" s="289" t="s">
        <v>18326</v>
      </c>
      <c r="E728" s="290" t="s">
        <v>10</v>
      </c>
      <c r="F728" s="292">
        <v>1</v>
      </c>
      <c r="G728" s="510">
        <v>2591.4899999999998</v>
      </c>
      <c r="H728" s="508">
        <v>0.2094</v>
      </c>
      <c r="I728" s="510">
        <v>3134.1480059999999</v>
      </c>
      <c r="J728" s="509">
        <v>3134.1480059999999</v>
      </c>
      <c r="K728" s="298"/>
      <c r="L728" s="447">
        <f t="shared" ref="L728:L730" si="84">I728*F728</f>
        <v>3134.1480059999999</v>
      </c>
      <c r="M728" s="447"/>
      <c r="N728" s="298"/>
      <c r="O728" s="298"/>
      <c r="P728" s="298"/>
      <c r="Q728" s="298"/>
      <c r="R728" s="298"/>
      <c r="S728" s="298"/>
    </row>
    <row r="729" spans="1:19" s="92" customFormat="1" ht="38.25">
      <c r="A729" s="394" t="s">
        <v>3260</v>
      </c>
      <c r="B729" s="288" t="s">
        <v>18324</v>
      </c>
      <c r="C729" s="285" t="s">
        <v>16876</v>
      </c>
      <c r="D729" s="289" t="s">
        <v>18327</v>
      </c>
      <c r="E729" s="290" t="s">
        <v>10</v>
      </c>
      <c r="F729" s="292">
        <v>4</v>
      </c>
      <c r="G729" s="510">
        <v>2355.35</v>
      </c>
      <c r="H729" s="508">
        <v>0.2094</v>
      </c>
      <c r="I729" s="510">
        <v>2848.5602899999999</v>
      </c>
      <c r="J729" s="509">
        <v>11394.24116</v>
      </c>
      <c r="K729" s="298"/>
      <c r="L729" s="447">
        <f t="shared" si="84"/>
        <v>11394.24116</v>
      </c>
      <c r="M729" s="447"/>
      <c r="N729" s="298"/>
      <c r="O729" s="298"/>
      <c r="P729" s="298"/>
      <c r="Q729" s="298"/>
      <c r="R729" s="298"/>
      <c r="S729" s="298"/>
    </row>
    <row r="730" spans="1:19" s="92" customFormat="1">
      <c r="A730" s="256"/>
      <c r="B730" s="397"/>
      <c r="C730" s="397"/>
      <c r="D730" s="408"/>
      <c r="E730" s="397"/>
      <c r="F730" s="431"/>
      <c r="G730" s="431"/>
      <c r="H730" s="431"/>
      <c r="I730" s="431"/>
      <c r="J730" s="428"/>
      <c r="K730" s="298"/>
      <c r="L730" s="447">
        <f t="shared" si="84"/>
        <v>0</v>
      </c>
      <c r="M730" s="447"/>
      <c r="N730" s="298"/>
      <c r="O730" s="298"/>
      <c r="P730" s="298"/>
      <c r="Q730" s="298"/>
      <c r="R730" s="298"/>
      <c r="S730" s="298"/>
    </row>
    <row r="731" spans="1:19" s="92" customFormat="1">
      <c r="A731" s="256"/>
      <c r="B731" s="390" t="s">
        <v>16766</v>
      </c>
      <c r="C731" s="390"/>
      <c r="D731" s="399" t="s">
        <v>16767</v>
      </c>
      <c r="E731" s="397"/>
      <c r="F731" s="431"/>
      <c r="G731" s="431"/>
      <c r="H731" s="431"/>
      <c r="I731" s="431"/>
      <c r="J731" s="428"/>
      <c r="K731" s="298"/>
      <c r="L731" s="447">
        <f t="shared" si="81"/>
        <v>0</v>
      </c>
      <c r="M731" s="447"/>
      <c r="N731" s="298"/>
      <c r="O731" s="298"/>
      <c r="P731" s="298"/>
      <c r="Q731" s="298"/>
      <c r="R731" s="298"/>
      <c r="S731" s="298"/>
    </row>
    <row r="732" spans="1:19" s="92" customFormat="1">
      <c r="A732" s="256"/>
      <c r="B732" s="390" t="s">
        <v>16768</v>
      </c>
      <c r="C732" s="390"/>
      <c r="D732" s="399" t="s">
        <v>14780</v>
      </c>
      <c r="E732" s="391"/>
      <c r="F732" s="417"/>
      <c r="G732" s="417"/>
      <c r="H732" s="417"/>
      <c r="I732" s="417"/>
      <c r="J732" s="418"/>
      <c r="K732" s="298"/>
      <c r="L732" s="447">
        <f t="shared" si="81"/>
        <v>0</v>
      </c>
      <c r="M732" s="447"/>
      <c r="N732" s="298"/>
      <c r="O732" s="298"/>
      <c r="P732" s="298"/>
      <c r="Q732" s="298"/>
      <c r="R732" s="298"/>
      <c r="S732" s="298"/>
    </row>
    <row r="733" spans="1:19" s="92" customFormat="1" ht="63.75">
      <c r="A733" s="394" t="s">
        <v>3260</v>
      </c>
      <c r="B733" s="288" t="s">
        <v>16773</v>
      </c>
      <c r="C733" s="285" t="s">
        <v>14850</v>
      </c>
      <c r="D733" s="289" t="s">
        <v>16817</v>
      </c>
      <c r="E733" s="290" t="s">
        <v>5</v>
      </c>
      <c r="F733" s="292">
        <v>32.56</v>
      </c>
      <c r="G733" s="510">
        <v>24.890000000000004</v>
      </c>
      <c r="H733" s="508">
        <v>0.2094</v>
      </c>
      <c r="I733" s="510">
        <v>30.101966000000004</v>
      </c>
      <c r="J733" s="509">
        <v>980.12001296000017</v>
      </c>
      <c r="K733" s="298"/>
      <c r="L733" s="447">
        <f t="shared" si="81"/>
        <v>980.12001296000017</v>
      </c>
      <c r="M733" s="447"/>
      <c r="N733" s="298"/>
      <c r="O733" s="298"/>
      <c r="P733" s="298"/>
      <c r="Q733" s="298"/>
      <c r="R733" s="298"/>
      <c r="S733" s="298"/>
    </row>
    <row r="734" spans="1:19" s="92" customFormat="1" ht="63.75">
      <c r="A734" s="394" t="s">
        <v>3260</v>
      </c>
      <c r="B734" s="288" t="s">
        <v>16790</v>
      </c>
      <c r="C734" s="285" t="s">
        <v>16789</v>
      </c>
      <c r="D734" s="289" t="s">
        <v>16818</v>
      </c>
      <c r="E734" s="290" t="s">
        <v>5</v>
      </c>
      <c r="F734" s="292">
        <v>32.56</v>
      </c>
      <c r="G734" s="510">
        <v>37.25</v>
      </c>
      <c r="H734" s="508">
        <v>0.2094</v>
      </c>
      <c r="I734" s="510">
        <v>45.050150000000002</v>
      </c>
      <c r="J734" s="509">
        <v>1466.8328840000001</v>
      </c>
      <c r="K734" s="298"/>
      <c r="L734" s="447">
        <f t="shared" si="81"/>
        <v>1466.8328840000001</v>
      </c>
      <c r="M734" s="447"/>
      <c r="N734" s="298"/>
      <c r="O734" s="298"/>
      <c r="P734" s="298"/>
      <c r="Q734" s="298"/>
      <c r="R734" s="298"/>
      <c r="S734" s="298"/>
    </row>
    <row r="735" spans="1:19" s="92" customFormat="1" ht="25.5">
      <c r="A735" s="394" t="s">
        <v>3260</v>
      </c>
      <c r="B735" s="288" t="s">
        <v>16791</v>
      </c>
      <c r="C735" s="285" t="s">
        <v>14852</v>
      </c>
      <c r="D735" s="289" t="s">
        <v>16814</v>
      </c>
      <c r="E735" s="290" t="s">
        <v>5</v>
      </c>
      <c r="F735" s="292">
        <v>225.74</v>
      </c>
      <c r="G735" s="510">
        <v>1.94</v>
      </c>
      <c r="H735" s="508">
        <v>0.2094</v>
      </c>
      <c r="I735" s="510">
        <v>2.3462360000000002</v>
      </c>
      <c r="J735" s="509">
        <v>529.63931464000007</v>
      </c>
      <c r="K735" s="298"/>
      <c r="L735" s="447">
        <f t="shared" si="81"/>
        <v>529.63931464000007</v>
      </c>
      <c r="M735" s="447"/>
      <c r="N735" s="298"/>
      <c r="O735" s="298"/>
      <c r="P735" s="298"/>
      <c r="Q735" s="298"/>
      <c r="R735" s="298"/>
      <c r="S735" s="298"/>
    </row>
    <row r="736" spans="1:19" s="92" customFormat="1">
      <c r="A736" s="256"/>
      <c r="B736" s="397"/>
      <c r="C736" s="397"/>
      <c r="D736" s="408"/>
      <c r="E736" s="397"/>
      <c r="F736" s="431"/>
      <c r="G736" s="431"/>
      <c r="H736" s="431"/>
      <c r="I736" s="431"/>
      <c r="J736" s="428"/>
      <c r="K736" s="298"/>
      <c r="L736" s="447">
        <f t="shared" si="81"/>
        <v>0</v>
      </c>
      <c r="M736" s="447"/>
      <c r="N736" s="298"/>
      <c r="O736" s="298"/>
      <c r="P736" s="298"/>
      <c r="Q736" s="298"/>
      <c r="R736" s="298"/>
      <c r="S736" s="298"/>
    </row>
    <row r="737" spans="1:19" s="92" customFormat="1">
      <c r="A737" s="256"/>
      <c r="B737" s="390" t="s">
        <v>16769</v>
      </c>
      <c r="C737" s="390"/>
      <c r="D737" s="399" t="s">
        <v>111</v>
      </c>
      <c r="E737" s="391"/>
      <c r="F737" s="417"/>
      <c r="G737" s="417"/>
      <c r="H737" s="417"/>
      <c r="I737" s="417"/>
      <c r="J737" s="418"/>
      <c r="K737" s="298"/>
      <c r="L737" s="447">
        <f t="shared" si="81"/>
        <v>0</v>
      </c>
      <c r="M737" s="447"/>
      <c r="N737" s="298"/>
      <c r="O737" s="298"/>
      <c r="P737" s="298"/>
      <c r="Q737" s="298"/>
      <c r="R737" s="298"/>
      <c r="S737" s="298"/>
    </row>
    <row r="738" spans="1:19" s="92" customFormat="1" ht="51">
      <c r="A738" s="394" t="s">
        <v>3259</v>
      </c>
      <c r="B738" s="288" t="s">
        <v>16772</v>
      </c>
      <c r="C738" s="285">
        <v>91222</v>
      </c>
      <c r="D738" s="289" t="s">
        <v>135</v>
      </c>
      <c r="E738" s="290" t="s">
        <v>5</v>
      </c>
      <c r="F738" s="292">
        <v>3</v>
      </c>
      <c r="G738" s="510" t="s">
        <v>11527</v>
      </c>
      <c r="H738" s="508">
        <v>0.2094</v>
      </c>
      <c r="I738" s="510">
        <v>15.335191999999999</v>
      </c>
      <c r="J738" s="509">
        <v>46.005575999999998</v>
      </c>
      <c r="K738" s="298"/>
      <c r="L738" s="447">
        <f t="shared" si="81"/>
        <v>46.005575999999998</v>
      </c>
      <c r="M738" s="447"/>
      <c r="N738" s="298"/>
      <c r="O738" s="298"/>
      <c r="P738" s="298"/>
      <c r="Q738" s="298"/>
      <c r="R738" s="298"/>
      <c r="S738" s="298"/>
    </row>
    <row r="739" spans="1:19" s="92" customFormat="1" ht="51">
      <c r="A739" s="394" t="s">
        <v>3259</v>
      </c>
      <c r="B739" s="288" t="s">
        <v>16820</v>
      </c>
      <c r="C739" s="285">
        <v>90467</v>
      </c>
      <c r="D739" s="289" t="s">
        <v>133</v>
      </c>
      <c r="E739" s="290" t="s">
        <v>5</v>
      </c>
      <c r="F739" s="292">
        <v>3</v>
      </c>
      <c r="G739" s="510" t="s">
        <v>23632</v>
      </c>
      <c r="H739" s="508">
        <v>0.2094</v>
      </c>
      <c r="I739" s="510">
        <v>22.228771999999999</v>
      </c>
      <c r="J739" s="509">
        <v>66.686316000000005</v>
      </c>
      <c r="K739" s="298"/>
      <c r="L739" s="447">
        <f t="shared" si="81"/>
        <v>66.686316000000005</v>
      </c>
      <c r="M739" s="447"/>
      <c r="N739" s="298"/>
      <c r="O739" s="298"/>
      <c r="P739" s="298"/>
      <c r="Q739" s="298"/>
      <c r="R739" s="298"/>
      <c r="S739" s="298"/>
    </row>
    <row r="740" spans="1:19" s="92" customFormat="1" ht="25.5">
      <c r="A740" s="394" t="s">
        <v>3260</v>
      </c>
      <c r="B740" s="288" t="s">
        <v>16821</v>
      </c>
      <c r="C740" s="285" t="s">
        <v>14914</v>
      </c>
      <c r="D740" s="289" t="s">
        <v>16831</v>
      </c>
      <c r="E740" s="290" t="s">
        <v>10</v>
      </c>
      <c r="F740" s="292">
        <v>24</v>
      </c>
      <c r="G740" s="510">
        <v>7.7899999999999991</v>
      </c>
      <c r="H740" s="508">
        <v>0.2094</v>
      </c>
      <c r="I740" s="510">
        <v>9.421225999999999</v>
      </c>
      <c r="J740" s="509">
        <v>226.10942399999999</v>
      </c>
      <c r="K740" s="298"/>
      <c r="L740" s="447">
        <f t="shared" si="81"/>
        <v>226.10942399999999</v>
      </c>
      <c r="M740" s="447"/>
      <c r="N740" s="298"/>
      <c r="O740" s="298"/>
      <c r="P740" s="298"/>
      <c r="Q740" s="298"/>
      <c r="R740" s="298"/>
      <c r="S740" s="298"/>
    </row>
    <row r="741" spans="1:19" s="92" customFormat="1" ht="25.5">
      <c r="A741" s="394" t="s">
        <v>3260</v>
      </c>
      <c r="B741" s="288" t="s">
        <v>16822</v>
      </c>
      <c r="C741" s="285" t="s">
        <v>14918</v>
      </c>
      <c r="D741" s="289" t="s">
        <v>16837</v>
      </c>
      <c r="E741" s="290" t="s">
        <v>109</v>
      </c>
      <c r="F741" s="292">
        <v>1</v>
      </c>
      <c r="G741" s="510">
        <v>510.41</v>
      </c>
      <c r="H741" s="508">
        <v>0.2094</v>
      </c>
      <c r="I741" s="510">
        <v>617.28985399999999</v>
      </c>
      <c r="J741" s="509">
        <v>617.28985399999999</v>
      </c>
      <c r="K741" s="298"/>
      <c r="L741" s="447">
        <f t="shared" si="81"/>
        <v>617.28985399999999</v>
      </c>
      <c r="M741" s="447"/>
      <c r="N741" s="298"/>
      <c r="O741" s="298"/>
      <c r="P741" s="298"/>
      <c r="Q741" s="298"/>
      <c r="R741" s="298"/>
      <c r="S741" s="298"/>
    </row>
    <row r="742" spans="1:19" s="92" customFormat="1" ht="25.5">
      <c r="A742" s="394" t="s">
        <v>3260</v>
      </c>
      <c r="B742" s="288" t="s">
        <v>16823</v>
      </c>
      <c r="C742" s="285" t="s">
        <v>14938</v>
      </c>
      <c r="D742" s="289" t="s">
        <v>16839</v>
      </c>
      <c r="E742" s="290" t="s">
        <v>109</v>
      </c>
      <c r="F742" s="292">
        <v>1</v>
      </c>
      <c r="G742" s="510">
        <v>379.71</v>
      </c>
      <c r="H742" s="508">
        <v>0.2094</v>
      </c>
      <c r="I742" s="510">
        <v>459.22127399999999</v>
      </c>
      <c r="J742" s="509">
        <v>459.22127399999999</v>
      </c>
      <c r="K742" s="298"/>
      <c r="L742" s="447">
        <f t="shared" si="81"/>
        <v>459.22127399999999</v>
      </c>
      <c r="M742" s="447"/>
      <c r="N742" s="298"/>
      <c r="O742" s="298"/>
      <c r="P742" s="298"/>
      <c r="Q742" s="298"/>
      <c r="R742" s="298"/>
      <c r="S742" s="298"/>
    </row>
    <row r="743" spans="1:19" s="92" customFormat="1" ht="25.5">
      <c r="A743" s="394" t="s">
        <v>3260</v>
      </c>
      <c r="B743" s="288" t="s">
        <v>16824</v>
      </c>
      <c r="C743" s="285" t="s">
        <v>14954</v>
      </c>
      <c r="D743" s="289" t="s">
        <v>16840</v>
      </c>
      <c r="E743" s="290" t="s">
        <v>109</v>
      </c>
      <c r="F743" s="292">
        <v>2</v>
      </c>
      <c r="G743" s="510">
        <v>483.05</v>
      </c>
      <c r="H743" s="508">
        <v>0.2094</v>
      </c>
      <c r="I743" s="510">
        <v>584.20067000000006</v>
      </c>
      <c r="J743" s="509">
        <v>1168.4013400000001</v>
      </c>
      <c r="K743" s="298"/>
      <c r="L743" s="447">
        <f t="shared" si="81"/>
        <v>1168.4013400000001</v>
      </c>
      <c r="M743" s="447"/>
      <c r="N743" s="298"/>
      <c r="O743" s="298"/>
      <c r="P743" s="298"/>
      <c r="Q743" s="298"/>
      <c r="R743" s="298"/>
      <c r="S743" s="298"/>
    </row>
    <row r="744" spans="1:19" s="92" customFormat="1" ht="38.25">
      <c r="A744" s="394" t="s">
        <v>3260</v>
      </c>
      <c r="B744" s="288" t="s">
        <v>16825</v>
      </c>
      <c r="C744" s="285" t="s">
        <v>14956</v>
      </c>
      <c r="D744" s="289" t="s">
        <v>18329</v>
      </c>
      <c r="E744" s="290" t="s">
        <v>109</v>
      </c>
      <c r="F744" s="292">
        <v>2</v>
      </c>
      <c r="G744" s="510">
        <v>360.02000000000004</v>
      </c>
      <c r="H744" s="508">
        <v>0.2094</v>
      </c>
      <c r="I744" s="510">
        <v>435.40818800000005</v>
      </c>
      <c r="J744" s="509">
        <v>870.8163760000001</v>
      </c>
      <c r="K744" s="298"/>
      <c r="L744" s="447">
        <f t="shared" ref="L744:L815" si="85">I744*F744</f>
        <v>870.8163760000001</v>
      </c>
      <c r="M744" s="447"/>
      <c r="N744" s="298"/>
      <c r="O744" s="298"/>
      <c r="P744" s="298"/>
      <c r="Q744" s="298"/>
      <c r="R744" s="298"/>
      <c r="S744" s="298"/>
    </row>
    <row r="745" spans="1:19" s="92" customFormat="1">
      <c r="A745" s="256"/>
      <c r="B745" s="397"/>
      <c r="C745" s="397"/>
      <c r="D745" s="408"/>
      <c r="E745" s="397"/>
      <c r="F745" s="431"/>
      <c r="G745" s="431"/>
      <c r="H745" s="431"/>
      <c r="I745" s="431"/>
      <c r="J745" s="428"/>
      <c r="K745" s="298"/>
      <c r="L745" s="447">
        <f t="shared" si="85"/>
        <v>0</v>
      </c>
      <c r="M745" s="447"/>
      <c r="N745" s="298"/>
      <c r="O745" s="298"/>
      <c r="P745" s="298"/>
      <c r="Q745" s="298"/>
      <c r="R745" s="298"/>
      <c r="S745" s="298"/>
    </row>
    <row r="746" spans="1:19" s="92" customFormat="1">
      <c r="A746" s="394"/>
      <c r="B746" s="390" t="s">
        <v>14773</v>
      </c>
      <c r="C746" s="390"/>
      <c r="D746" s="399" t="s">
        <v>14774</v>
      </c>
      <c r="E746" s="397"/>
      <c r="F746" s="431"/>
      <c r="G746" s="431"/>
      <c r="H746" s="431"/>
      <c r="I746" s="431"/>
      <c r="J746" s="428"/>
      <c r="K746" s="298"/>
      <c r="L746" s="447">
        <f t="shared" si="85"/>
        <v>0</v>
      </c>
      <c r="M746" s="447"/>
      <c r="N746" s="298"/>
      <c r="O746" s="298"/>
      <c r="P746" s="298"/>
      <c r="Q746" s="298"/>
      <c r="R746" s="298"/>
      <c r="S746" s="298"/>
    </row>
    <row r="747" spans="1:19" s="92" customFormat="1">
      <c r="A747" s="256"/>
      <c r="B747" s="390" t="s">
        <v>14776</v>
      </c>
      <c r="C747" s="390"/>
      <c r="D747" s="399" t="s">
        <v>14777</v>
      </c>
      <c r="E747" s="391"/>
      <c r="F747" s="417"/>
      <c r="G747" s="417"/>
      <c r="H747" s="417"/>
      <c r="I747" s="417"/>
      <c r="J747" s="418"/>
      <c r="K747" s="298"/>
      <c r="L747" s="447">
        <f t="shared" si="85"/>
        <v>0</v>
      </c>
      <c r="M747" s="447"/>
      <c r="N747" s="298"/>
      <c r="O747" s="298"/>
      <c r="P747" s="298"/>
      <c r="Q747" s="298"/>
      <c r="R747" s="298"/>
      <c r="S747" s="298"/>
    </row>
    <row r="748" spans="1:19" s="92" customFormat="1" ht="25.5">
      <c r="A748" s="394" t="s">
        <v>3260</v>
      </c>
      <c r="B748" s="288" t="s">
        <v>14775</v>
      </c>
      <c r="C748" s="285" t="s">
        <v>14786</v>
      </c>
      <c r="D748" s="289" t="s">
        <v>18333</v>
      </c>
      <c r="E748" s="290" t="s">
        <v>109</v>
      </c>
      <c r="F748" s="292">
        <v>2</v>
      </c>
      <c r="G748" s="510">
        <v>566.88</v>
      </c>
      <c r="H748" s="508">
        <v>0.2094</v>
      </c>
      <c r="I748" s="510">
        <v>685.58467199999996</v>
      </c>
      <c r="J748" s="509">
        <v>1371.1693439999999</v>
      </c>
      <c r="K748" s="298"/>
      <c r="L748" s="447">
        <f t="shared" si="85"/>
        <v>1371.1693439999999</v>
      </c>
      <c r="M748" s="447"/>
      <c r="N748" s="298"/>
      <c r="O748" s="298"/>
      <c r="P748" s="298"/>
      <c r="Q748" s="298"/>
      <c r="R748" s="298"/>
      <c r="S748" s="298"/>
    </row>
    <row r="749" spans="1:19" s="92" customFormat="1" ht="25.5">
      <c r="A749" s="394" t="s">
        <v>3260</v>
      </c>
      <c r="B749" s="288" t="s">
        <v>14782</v>
      </c>
      <c r="C749" s="285" t="s">
        <v>14788</v>
      </c>
      <c r="D749" s="289" t="s">
        <v>14789</v>
      </c>
      <c r="E749" s="290" t="s">
        <v>109</v>
      </c>
      <c r="F749" s="292">
        <v>2</v>
      </c>
      <c r="G749" s="510">
        <v>835.88</v>
      </c>
      <c r="H749" s="508">
        <v>0.2094</v>
      </c>
      <c r="I749" s="510">
        <v>1010.913272</v>
      </c>
      <c r="J749" s="509">
        <v>2021.826544</v>
      </c>
      <c r="K749" s="298"/>
      <c r="L749" s="447">
        <f t="shared" si="85"/>
        <v>2021.826544</v>
      </c>
      <c r="M749" s="447"/>
      <c r="N749" s="298"/>
      <c r="O749" s="298"/>
      <c r="P749" s="298"/>
      <c r="Q749" s="298"/>
      <c r="R749" s="298"/>
      <c r="S749" s="298"/>
    </row>
    <row r="750" spans="1:19" s="92" customFormat="1" ht="25.5">
      <c r="A750" s="394" t="s">
        <v>3260</v>
      </c>
      <c r="B750" s="288" t="s">
        <v>16847</v>
      </c>
      <c r="C750" s="285" t="s">
        <v>14992</v>
      </c>
      <c r="D750" s="289" t="s">
        <v>16866</v>
      </c>
      <c r="E750" s="290" t="s">
        <v>109</v>
      </c>
      <c r="F750" s="292">
        <v>1</v>
      </c>
      <c r="G750" s="510">
        <v>3976.7799999999997</v>
      </c>
      <c r="H750" s="508">
        <v>0.2094</v>
      </c>
      <c r="I750" s="510">
        <v>4809.5177320000003</v>
      </c>
      <c r="J750" s="509">
        <v>4809.5177320000003</v>
      </c>
      <c r="K750" s="298"/>
      <c r="L750" s="447">
        <f t="shared" si="85"/>
        <v>4809.5177320000003</v>
      </c>
      <c r="M750" s="447"/>
      <c r="N750" s="298"/>
      <c r="O750" s="298"/>
      <c r="P750" s="298"/>
      <c r="Q750" s="298"/>
      <c r="R750" s="298"/>
      <c r="S750" s="298"/>
    </row>
    <row r="751" spans="1:19" s="92" customFormat="1" ht="25.5">
      <c r="A751" s="394" t="s">
        <v>3260</v>
      </c>
      <c r="B751" s="288" t="s">
        <v>16848</v>
      </c>
      <c r="C751" s="285" t="s">
        <v>14993</v>
      </c>
      <c r="D751" s="289" t="s">
        <v>18332</v>
      </c>
      <c r="E751" s="290" t="s">
        <v>109</v>
      </c>
      <c r="F751" s="292">
        <v>1</v>
      </c>
      <c r="G751" s="510">
        <v>4208.84</v>
      </c>
      <c r="H751" s="508">
        <v>0.2094</v>
      </c>
      <c r="I751" s="510">
        <v>5090.171096</v>
      </c>
      <c r="J751" s="509">
        <v>5090.171096</v>
      </c>
      <c r="K751" s="298"/>
      <c r="L751" s="447">
        <f t="shared" si="85"/>
        <v>5090.171096</v>
      </c>
      <c r="M751" s="447"/>
      <c r="N751" s="298"/>
      <c r="O751" s="298"/>
      <c r="P751" s="298"/>
      <c r="Q751" s="298"/>
      <c r="R751" s="298"/>
      <c r="S751" s="298"/>
    </row>
    <row r="752" spans="1:19" s="92" customFormat="1" ht="25.5">
      <c r="A752" s="394" t="s">
        <v>3260</v>
      </c>
      <c r="B752" s="288" t="s">
        <v>16849</v>
      </c>
      <c r="C752" s="285" t="s">
        <v>14994</v>
      </c>
      <c r="D752" s="289" t="s">
        <v>18330</v>
      </c>
      <c r="E752" s="290" t="s">
        <v>109</v>
      </c>
      <c r="F752" s="292">
        <v>1</v>
      </c>
      <c r="G752" s="510">
        <v>23714.84</v>
      </c>
      <c r="H752" s="508">
        <v>0.2094</v>
      </c>
      <c r="I752" s="510">
        <v>28680.727496</v>
      </c>
      <c r="J752" s="509">
        <v>28680.727496</v>
      </c>
      <c r="K752" s="298"/>
      <c r="L752" s="447">
        <f t="shared" si="85"/>
        <v>28680.727496</v>
      </c>
      <c r="M752" s="447"/>
      <c r="N752" s="298"/>
      <c r="O752" s="298"/>
      <c r="P752" s="298"/>
      <c r="Q752" s="298"/>
      <c r="R752" s="298"/>
      <c r="S752" s="298"/>
    </row>
    <row r="753" spans="1:19" s="92" customFormat="1" ht="25.5">
      <c r="A753" s="394" t="s">
        <v>3260</v>
      </c>
      <c r="B753" s="288" t="s">
        <v>16850</v>
      </c>
      <c r="C753" s="285" t="s">
        <v>15000</v>
      </c>
      <c r="D753" s="289" t="s">
        <v>18331</v>
      </c>
      <c r="E753" s="290" t="s">
        <v>109</v>
      </c>
      <c r="F753" s="292">
        <v>1</v>
      </c>
      <c r="G753" s="510">
        <v>5039.84</v>
      </c>
      <c r="H753" s="508">
        <v>0.2094</v>
      </c>
      <c r="I753" s="510">
        <v>6095.1824960000004</v>
      </c>
      <c r="J753" s="509">
        <v>6095.1824960000004</v>
      </c>
      <c r="K753" s="298"/>
      <c r="L753" s="447">
        <f t="shared" si="85"/>
        <v>6095.1824960000004</v>
      </c>
      <c r="M753" s="447"/>
      <c r="N753" s="298"/>
      <c r="O753" s="298"/>
      <c r="P753" s="298"/>
      <c r="Q753" s="298"/>
      <c r="R753" s="298"/>
      <c r="S753" s="298"/>
    </row>
    <row r="754" spans="1:19" s="92" customFormat="1" ht="38.25">
      <c r="A754" s="394" t="s">
        <v>3260</v>
      </c>
      <c r="B754" s="288" t="s">
        <v>16851</v>
      </c>
      <c r="C754" s="285" t="s">
        <v>15014</v>
      </c>
      <c r="D754" s="289" t="s">
        <v>16904</v>
      </c>
      <c r="E754" s="290" t="s">
        <v>109</v>
      </c>
      <c r="F754" s="292">
        <v>2</v>
      </c>
      <c r="G754" s="510">
        <v>6421.68</v>
      </c>
      <c r="H754" s="508">
        <v>0.2094</v>
      </c>
      <c r="I754" s="510">
        <v>7766.3797920000006</v>
      </c>
      <c r="J754" s="509">
        <v>15532.759584000001</v>
      </c>
      <c r="K754" s="298"/>
      <c r="L754" s="447">
        <f t="shared" si="85"/>
        <v>15532.759584000001</v>
      </c>
      <c r="M754" s="447"/>
      <c r="N754" s="298"/>
      <c r="O754" s="298"/>
      <c r="P754" s="298"/>
      <c r="Q754" s="298"/>
      <c r="R754" s="298"/>
      <c r="S754" s="298"/>
    </row>
    <row r="755" spans="1:19" s="92" customFormat="1" ht="25.5">
      <c r="A755" s="394" t="s">
        <v>3260</v>
      </c>
      <c r="B755" s="288" t="s">
        <v>18335</v>
      </c>
      <c r="C755" s="285" t="s">
        <v>14842</v>
      </c>
      <c r="D755" s="289" t="s">
        <v>18334</v>
      </c>
      <c r="E755" s="290" t="s">
        <v>109</v>
      </c>
      <c r="F755" s="292">
        <v>8</v>
      </c>
      <c r="G755" s="510">
        <v>201.33</v>
      </c>
      <c r="H755" s="508">
        <v>0.2094</v>
      </c>
      <c r="I755" s="510">
        <v>243.48850200000001</v>
      </c>
      <c r="J755" s="509">
        <v>1947.9080160000001</v>
      </c>
      <c r="K755" s="298"/>
      <c r="L755" s="447">
        <f t="shared" ref="L755:L756" si="86">I755*F755</f>
        <v>1947.9080160000001</v>
      </c>
      <c r="M755" s="447"/>
      <c r="N755" s="298"/>
      <c r="O755" s="298"/>
      <c r="P755" s="298"/>
      <c r="Q755" s="298"/>
      <c r="R755" s="298"/>
      <c r="S755" s="298"/>
    </row>
    <row r="756" spans="1:19" s="92" customFormat="1" ht="25.5">
      <c r="A756" s="394" t="s">
        <v>3260</v>
      </c>
      <c r="B756" s="288" t="s">
        <v>18336</v>
      </c>
      <c r="C756" s="285" t="s">
        <v>14849</v>
      </c>
      <c r="D756" s="289" t="s">
        <v>18337</v>
      </c>
      <c r="E756" s="290" t="s">
        <v>109</v>
      </c>
      <c r="F756" s="292">
        <v>2</v>
      </c>
      <c r="G756" s="510">
        <v>134.85000000000002</v>
      </c>
      <c r="H756" s="508">
        <v>0.2094</v>
      </c>
      <c r="I756" s="510">
        <v>163.08759000000003</v>
      </c>
      <c r="J756" s="509">
        <v>326.17518000000007</v>
      </c>
      <c r="K756" s="298"/>
      <c r="L756" s="447">
        <f t="shared" si="86"/>
        <v>326.17518000000007</v>
      </c>
      <c r="M756" s="447"/>
      <c r="N756" s="298"/>
      <c r="O756" s="298"/>
      <c r="P756" s="298"/>
      <c r="Q756" s="298"/>
      <c r="R756" s="298"/>
      <c r="S756" s="298"/>
    </row>
    <row r="757" spans="1:19" s="92" customFormat="1">
      <c r="A757" s="256"/>
      <c r="B757" s="397"/>
      <c r="C757" s="397"/>
      <c r="D757" s="408"/>
      <c r="E757" s="397"/>
      <c r="F757" s="431"/>
      <c r="G757" s="431"/>
      <c r="H757" s="431"/>
      <c r="I757" s="431"/>
      <c r="J757" s="428"/>
      <c r="K757" s="298"/>
      <c r="L757" s="447">
        <f t="shared" si="85"/>
        <v>0</v>
      </c>
      <c r="M757" s="447"/>
      <c r="N757" s="298"/>
      <c r="O757" s="298"/>
      <c r="P757" s="298"/>
      <c r="Q757" s="298"/>
      <c r="R757" s="298"/>
      <c r="S757" s="298"/>
    </row>
    <row r="758" spans="1:19" s="92" customFormat="1">
      <c r="A758" s="256"/>
      <c r="B758" s="390" t="s">
        <v>14778</v>
      </c>
      <c r="C758" s="390"/>
      <c r="D758" s="399" t="s">
        <v>14780</v>
      </c>
      <c r="E758" s="391"/>
      <c r="F758" s="417"/>
      <c r="G758" s="417"/>
      <c r="H758" s="417"/>
      <c r="I758" s="417"/>
      <c r="J758" s="418"/>
      <c r="K758" s="298"/>
      <c r="L758" s="447">
        <f t="shared" si="85"/>
        <v>0</v>
      </c>
      <c r="M758" s="447"/>
      <c r="N758" s="298"/>
      <c r="O758" s="298"/>
      <c r="P758" s="298"/>
      <c r="Q758" s="298"/>
      <c r="R758" s="298"/>
      <c r="S758" s="298"/>
    </row>
    <row r="759" spans="1:19" s="92" customFormat="1" ht="25.5">
      <c r="A759" s="394" t="s">
        <v>3260</v>
      </c>
      <c r="B759" s="288" t="s">
        <v>14783</v>
      </c>
      <c r="C759" s="285" t="s">
        <v>14791</v>
      </c>
      <c r="D759" s="289" t="s">
        <v>14792</v>
      </c>
      <c r="E759" s="290" t="s">
        <v>3243</v>
      </c>
      <c r="F759" s="292">
        <v>16.2</v>
      </c>
      <c r="G759" s="510">
        <v>57.86</v>
      </c>
      <c r="H759" s="508">
        <v>0.2094</v>
      </c>
      <c r="I759" s="510">
        <v>69.975884000000008</v>
      </c>
      <c r="J759" s="509">
        <v>1133.6093208</v>
      </c>
      <c r="K759" s="298"/>
      <c r="L759" s="447">
        <f t="shared" si="85"/>
        <v>1133.6093208</v>
      </c>
      <c r="M759" s="447"/>
      <c r="N759" s="298"/>
      <c r="O759" s="298"/>
      <c r="P759" s="298"/>
      <c r="Q759" s="298"/>
      <c r="R759" s="298"/>
      <c r="S759" s="298"/>
    </row>
    <row r="760" spans="1:19" s="92" customFormat="1" ht="51">
      <c r="A760" s="394" t="s">
        <v>3260</v>
      </c>
      <c r="B760" s="288" t="s">
        <v>14790</v>
      </c>
      <c r="C760" s="285" t="s">
        <v>14793</v>
      </c>
      <c r="D760" s="289" t="s">
        <v>14794</v>
      </c>
      <c r="E760" s="290" t="s">
        <v>5</v>
      </c>
      <c r="F760" s="292">
        <v>10</v>
      </c>
      <c r="G760" s="510">
        <v>13.04</v>
      </c>
      <c r="H760" s="508">
        <v>0.2094</v>
      </c>
      <c r="I760" s="510">
        <v>15.770576</v>
      </c>
      <c r="J760" s="509">
        <v>157.70576</v>
      </c>
      <c r="K760" s="298"/>
      <c r="L760" s="447">
        <f t="shared" si="85"/>
        <v>157.70576</v>
      </c>
      <c r="M760" s="447"/>
      <c r="N760" s="298"/>
      <c r="O760" s="298"/>
      <c r="P760" s="298"/>
      <c r="Q760" s="298"/>
      <c r="R760" s="298"/>
      <c r="S760" s="298"/>
    </row>
    <row r="761" spans="1:19" s="92" customFormat="1" ht="51">
      <c r="A761" s="394" t="s">
        <v>3260</v>
      </c>
      <c r="B761" s="288" t="s">
        <v>14797</v>
      </c>
      <c r="C761" s="285" t="s">
        <v>14851</v>
      </c>
      <c r="D761" s="289" t="s">
        <v>18338</v>
      </c>
      <c r="E761" s="290" t="s">
        <v>5</v>
      </c>
      <c r="F761" s="292">
        <v>15.2</v>
      </c>
      <c r="G761" s="510">
        <v>11.030000000000001</v>
      </c>
      <c r="H761" s="508">
        <v>0.2094</v>
      </c>
      <c r="I761" s="510">
        <v>13.339682000000002</v>
      </c>
      <c r="J761" s="509">
        <v>202.76316640000002</v>
      </c>
      <c r="K761" s="298"/>
      <c r="L761" s="447">
        <f t="shared" ref="L761" si="87">I761*F761</f>
        <v>202.76316640000002</v>
      </c>
      <c r="M761" s="447"/>
      <c r="N761" s="298"/>
      <c r="O761" s="298"/>
      <c r="P761" s="298"/>
      <c r="Q761" s="298"/>
      <c r="R761" s="298"/>
      <c r="S761" s="298"/>
    </row>
    <row r="762" spans="1:19" s="92" customFormat="1" ht="38.25">
      <c r="A762" s="394" t="s">
        <v>3260</v>
      </c>
      <c r="B762" s="288" t="s">
        <v>16858</v>
      </c>
      <c r="C762" s="285" t="s">
        <v>14798</v>
      </c>
      <c r="D762" s="289" t="s">
        <v>14810</v>
      </c>
      <c r="E762" s="290" t="s">
        <v>3240</v>
      </c>
      <c r="F762" s="292">
        <v>14</v>
      </c>
      <c r="G762" s="510">
        <v>81.48</v>
      </c>
      <c r="H762" s="508">
        <v>0.2094</v>
      </c>
      <c r="I762" s="510">
        <v>98.541912000000011</v>
      </c>
      <c r="J762" s="509">
        <v>1379.5867680000001</v>
      </c>
      <c r="K762" s="298"/>
      <c r="L762" s="447">
        <f t="shared" si="85"/>
        <v>1379.5867680000001</v>
      </c>
      <c r="M762" s="447"/>
      <c r="N762" s="298"/>
      <c r="O762" s="298"/>
      <c r="P762" s="298"/>
      <c r="Q762" s="298"/>
      <c r="R762" s="298"/>
      <c r="S762" s="298"/>
    </row>
    <row r="763" spans="1:19" s="92" customFormat="1" ht="38.25">
      <c r="A763" s="394" t="s">
        <v>3260</v>
      </c>
      <c r="B763" s="288" t="s">
        <v>16859</v>
      </c>
      <c r="C763" s="285" t="s">
        <v>14990</v>
      </c>
      <c r="D763" s="289" t="s">
        <v>16853</v>
      </c>
      <c r="E763" s="290" t="s">
        <v>193</v>
      </c>
      <c r="F763" s="292">
        <v>102.65</v>
      </c>
      <c r="G763" s="510">
        <v>102.83</v>
      </c>
      <c r="H763" s="508">
        <v>0.2094</v>
      </c>
      <c r="I763" s="510">
        <v>124.362602</v>
      </c>
      <c r="J763" s="509">
        <v>12765.8210953</v>
      </c>
      <c r="K763" s="298"/>
      <c r="L763" s="447">
        <f t="shared" si="85"/>
        <v>12765.8210953</v>
      </c>
      <c r="M763" s="447"/>
      <c r="N763" s="298"/>
      <c r="O763" s="298"/>
      <c r="P763" s="298"/>
      <c r="Q763" s="298"/>
      <c r="R763" s="298"/>
      <c r="S763" s="298"/>
    </row>
    <row r="764" spans="1:19" s="92" customFormat="1" ht="63.75">
      <c r="A764" s="394" t="s">
        <v>3259</v>
      </c>
      <c r="B764" s="288" t="s">
        <v>16860</v>
      </c>
      <c r="C764" s="285">
        <v>91853</v>
      </c>
      <c r="D764" s="289" t="s">
        <v>4112</v>
      </c>
      <c r="E764" s="290" t="s">
        <v>5</v>
      </c>
      <c r="F764" s="292">
        <v>9.5299999999999994</v>
      </c>
      <c r="G764" s="510" t="s">
        <v>9818</v>
      </c>
      <c r="H764" s="508">
        <v>0.2094</v>
      </c>
      <c r="I764" s="510">
        <v>9.6752000000000002</v>
      </c>
      <c r="J764" s="509">
        <v>92.204656</v>
      </c>
      <c r="K764" s="298"/>
      <c r="L764" s="447">
        <f t="shared" si="85"/>
        <v>92.204656</v>
      </c>
      <c r="M764" s="447"/>
      <c r="N764" s="298"/>
      <c r="O764" s="298"/>
      <c r="P764" s="298"/>
      <c r="Q764" s="298"/>
      <c r="R764" s="298"/>
      <c r="S764" s="298"/>
    </row>
    <row r="765" spans="1:19" s="92" customFormat="1" ht="25.5">
      <c r="A765" s="394" t="s">
        <v>3260</v>
      </c>
      <c r="B765" s="288" t="s">
        <v>18344</v>
      </c>
      <c r="C765" s="285" t="s">
        <v>16892</v>
      </c>
      <c r="D765" s="289" t="s">
        <v>18343</v>
      </c>
      <c r="E765" s="290" t="s">
        <v>193</v>
      </c>
      <c r="F765" s="292">
        <v>102.65</v>
      </c>
      <c r="G765" s="510">
        <v>32.78</v>
      </c>
      <c r="H765" s="508">
        <v>0.2094</v>
      </c>
      <c r="I765" s="510">
        <v>39.644131999999999</v>
      </c>
      <c r="J765" s="509">
        <v>4069.4701497999999</v>
      </c>
      <c r="K765" s="298"/>
      <c r="L765" s="447">
        <f t="shared" si="85"/>
        <v>4069.4701497999999</v>
      </c>
      <c r="M765" s="447"/>
      <c r="N765" s="298"/>
      <c r="O765" s="298"/>
      <c r="P765" s="298"/>
      <c r="Q765" s="298"/>
      <c r="R765" s="298"/>
      <c r="S765" s="298"/>
    </row>
    <row r="766" spans="1:19" s="92" customFormat="1" ht="25.5">
      <c r="A766" s="394" t="s">
        <v>3260</v>
      </c>
      <c r="B766" s="288" t="s">
        <v>18345</v>
      </c>
      <c r="C766" s="285" t="s">
        <v>18346</v>
      </c>
      <c r="D766" s="289" t="s">
        <v>18347</v>
      </c>
      <c r="E766" s="290" t="s">
        <v>109</v>
      </c>
      <c r="F766" s="292">
        <v>18</v>
      </c>
      <c r="G766" s="510">
        <v>134.1</v>
      </c>
      <c r="H766" s="508">
        <v>0.2094</v>
      </c>
      <c r="I766" s="510">
        <v>162.18054000000001</v>
      </c>
      <c r="J766" s="509">
        <v>2919.2497200000003</v>
      </c>
      <c r="K766" s="298"/>
      <c r="L766" s="447">
        <f t="shared" ref="L766" si="88">I766*F766</f>
        <v>2919.2497200000003</v>
      </c>
      <c r="M766" s="447"/>
      <c r="N766" s="298"/>
      <c r="O766" s="298"/>
      <c r="P766" s="298"/>
      <c r="Q766" s="298"/>
      <c r="R766" s="298"/>
      <c r="S766" s="298"/>
    </row>
    <row r="767" spans="1:19" s="92" customFormat="1">
      <c r="A767" s="256"/>
      <c r="B767" s="397"/>
      <c r="C767" s="397"/>
      <c r="D767" s="408"/>
      <c r="E767" s="397"/>
      <c r="F767" s="431"/>
      <c r="G767" s="431"/>
      <c r="H767" s="431"/>
      <c r="I767" s="431"/>
      <c r="J767" s="428"/>
      <c r="K767" s="298"/>
      <c r="L767" s="447">
        <f t="shared" si="85"/>
        <v>0</v>
      </c>
      <c r="M767" s="447"/>
      <c r="N767" s="298"/>
      <c r="O767" s="298"/>
      <c r="P767" s="298"/>
      <c r="Q767" s="298"/>
      <c r="R767" s="298"/>
      <c r="S767" s="298"/>
    </row>
    <row r="768" spans="1:19" s="92" customFormat="1">
      <c r="A768" s="256"/>
      <c r="B768" s="390" t="s">
        <v>14779</v>
      </c>
      <c r="C768" s="390"/>
      <c r="D768" s="399" t="s">
        <v>16873</v>
      </c>
      <c r="E768" s="391"/>
      <c r="F768" s="417"/>
      <c r="G768" s="417"/>
      <c r="H768" s="417"/>
      <c r="I768" s="417"/>
      <c r="J768" s="418"/>
      <c r="K768" s="298"/>
      <c r="L768" s="447">
        <f t="shared" si="85"/>
        <v>0</v>
      </c>
      <c r="M768" s="447"/>
      <c r="N768" s="298"/>
      <c r="O768" s="298"/>
      <c r="P768" s="298"/>
      <c r="Q768" s="298"/>
      <c r="R768" s="298"/>
      <c r="S768" s="298"/>
    </row>
    <row r="769" spans="1:19" s="92" customFormat="1" ht="25.5">
      <c r="A769" s="394" t="s">
        <v>3260</v>
      </c>
      <c r="B769" s="288" t="s">
        <v>14784</v>
      </c>
      <c r="C769" s="285" t="s">
        <v>14806</v>
      </c>
      <c r="D769" s="289" t="s">
        <v>14809</v>
      </c>
      <c r="E769" s="290" t="s">
        <v>109</v>
      </c>
      <c r="F769" s="292">
        <v>1</v>
      </c>
      <c r="G769" s="510">
        <v>52.76</v>
      </c>
      <c r="H769" s="508">
        <v>0.2094</v>
      </c>
      <c r="I769" s="510">
        <v>63.807943999999999</v>
      </c>
      <c r="J769" s="509">
        <v>63.807943999999999</v>
      </c>
      <c r="K769" s="298"/>
      <c r="L769" s="447">
        <f t="shared" si="85"/>
        <v>63.807943999999999</v>
      </c>
      <c r="M769" s="447"/>
      <c r="N769" s="298"/>
      <c r="O769" s="298"/>
      <c r="P769" s="298"/>
      <c r="Q769" s="298"/>
      <c r="R769" s="298"/>
      <c r="S769" s="298"/>
    </row>
    <row r="770" spans="1:19" s="92" customFormat="1" ht="25.5">
      <c r="A770" s="394" t="s">
        <v>3260</v>
      </c>
      <c r="B770" s="288" t="s">
        <v>14796</v>
      </c>
      <c r="C770" s="285" t="s">
        <v>18341</v>
      </c>
      <c r="D770" s="289" t="s">
        <v>18349</v>
      </c>
      <c r="E770" s="290" t="s">
        <v>109</v>
      </c>
      <c r="F770" s="292">
        <v>1</v>
      </c>
      <c r="G770" s="510">
        <v>29.970000000000002</v>
      </c>
      <c r="H770" s="508">
        <v>0.2094</v>
      </c>
      <c r="I770" s="510">
        <v>36.245718000000004</v>
      </c>
      <c r="J770" s="509">
        <v>36.245718000000004</v>
      </c>
      <c r="K770" s="298"/>
      <c r="L770" s="447">
        <f t="shared" ref="L770" si="89">I770*F770</f>
        <v>36.245718000000004</v>
      </c>
      <c r="M770" s="447"/>
      <c r="N770" s="298"/>
      <c r="O770" s="298"/>
      <c r="P770" s="298"/>
      <c r="Q770" s="298"/>
      <c r="R770" s="298"/>
      <c r="S770" s="298"/>
    </row>
    <row r="771" spans="1:19" s="92" customFormat="1" ht="25.5">
      <c r="A771" s="394" t="s">
        <v>3260</v>
      </c>
      <c r="B771" s="288" t="s">
        <v>16861</v>
      </c>
      <c r="C771" s="285" t="s">
        <v>14808</v>
      </c>
      <c r="D771" s="289" t="s">
        <v>18350</v>
      </c>
      <c r="E771" s="290" t="s">
        <v>109</v>
      </c>
      <c r="F771" s="292">
        <v>4</v>
      </c>
      <c r="G771" s="510">
        <v>49.11</v>
      </c>
      <c r="H771" s="508">
        <v>0.2094</v>
      </c>
      <c r="I771" s="510">
        <v>59.393633999999999</v>
      </c>
      <c r="J771" s="509">
        <v>237.57453599999999</v>
      </c>
      <c r="K771" s="298"/>
      <c r="L771" s="447">
        <f t="shared" si="85"/>
        <v>237.57453599999999</v>
      </c>
      <c r="M771" s="447"/>
      <c r="N771" s="298"/>
      <c r="O771" s="298"/>
      <c r="P771" s="298"/>
      <c r="Q771" s="298"/>
      <c r="R771" s="298"/>
      <c r="S771" s="298"/>
    </row>
    <row r="772" spans="1:19" s="92" customFormat="1" ht="38.25">
      <c r="A772" s="394" t="s">
        <v>3260</v>
      </c>
      <c r="B772" s="288" t="s">
        <v>16862</v>
      </c>
      <c r="C772" s="285" t="s">
        <v>18352</v>
      </c>
      <c r="D772" s="289" t="s">
        <v>18353</v>
      </c>
      <c r="E772" s="290" t="s">
        <v>109</v>
      </c>
      <c r="F772" s="292">
        <v>18</v>
      </c>
      <c r="G772" s="510">
        <v>44.949999999999996</v>
      </c>
      <c r="H772" s="508">
        <v>0.2094</v>
      </c>
      <c r="I772" s="510">
        <v>54.36253</v>
      </c>
      <c r="J772" s="509">
        <v>978.52553999999998</v>
      </c>
      <c r="K772" s="298"/>
      <c r="L772" s="447">
        <f t="shared" ref="L772" si="90">I772*F772</f>
        <v>978.52553999999998</v>
      </c>
      <c r="M772" s="447"/>
      <c r="N772" s="298"/>
      <c r="O772" s="298"/>
      <c r="P772" s="298"/>
      <c r="Q772" s="298"/>
      <c r="R772" s="298"/>
      <c r="S772" s="298"/>
    </row>
    <row r="773" spans="1:19" s="92" customFormat="1" ht="25.5">
      <c r="A773" s="394" t="s">
        <v>3260</v>
      </c>
      <c r="B773" s="288" t="s">
        <v>16863</v>
      </c>
      <c r="C773" s="285" t="s">
        <v>15036</v>
      </c>
      <c r="D773" s="289" t="s">
        <v>18354</v>
      </c>
      <c r="E773" s="290" t="s">
        <v>109</v>
      </c>
      <c r="F773" s="292">
        <v>1</v>
      </c>
      <c r="G773" s="510">
        <v>1734.0000000000002</v>
      </c>
      <c r="H773" s="508">
        <v>0.2094</v>
      </c>
      <c r="I773" s="510">
        <v>2097.0996000000005</v>
      </c>
      <c r="J773" s="509">
        <v>2097.0996000000005</v>
      </c>
      <c r="K773" s="298"/>
      <c r="L773" s="447">
        <f t="shared" si="85"/>
        <v>2097.0996000000005</v>
      </c>
      <c r="M773" s="447"/>
      <c r="N773" s="298"/>
      <c r="O773" s="298"/>
      <c r="P773" s="298"/>
      <c r="Q773" s="298"/>
      <c r="R773" s="298"/>
      <c r="S773" s="298"/>
    </row>
    <row r="774" spans="1:19" s="92" customFormat="1" ht="25.5">
      <c r="A774" s="394" t="s">
        <v>3260</v>
      </c>
      <c r="B774" s="288" t="s">
        <v>16864</v>
      </c>
      <c r="C774" s="285" t="s">
        <v>15048</v>
      </c>
      <c r="D774" s="289" t="s">
        <v>18355</v>
      </c>
      <c r="E774" s="290" t="s">
        <v>109</v>
      </c>
      <c r="F774" s="292">
        <v>1</v>
      </c>
      <c r="G774" s="510">
        <v>1789.9</v>
      </c>
      <c r="H774" s="508">
        <v>0.2094</v>
      </c>
      <c r="I774" s="510">
        <v>2164.7050600000002</v>
      </c>
      <c r="J774" s="509">
        <v>2164.7050600000002</v>
      </c>
      <c r="K774" s="298"/>
      <c r="L774" s="447">
        <f t="shared" si="85"/>
        <v>2164.7050600000002</v>
      </c>
      <c r="M774" s="447"/>
      <c r="N774" s="298"/>
      <c r="O774" s="298"/>
      <c r="P774" s="298"/>
      <c r="Q774" s="298"/>
      <c r="R774" s="298"/>
      <c r="S774" s="298"/>
    </row>
    <row r="775" spans="1:19" s="92" customFormat="1" ht="25.5">
      <c r="A775" s="394" t="s">
        <v>3260</v>
      </c>
      <c r="B775" s="288" t="s">
        <v>16877</v>
      </c>
      <c r="C775" s="285" t="s">
        <v>16875</v>
      </c>
      <c r="D775" s="289" t="s">
        <v>18356</v>
      </c>
      <c r="E775" s="290" t="s">
        <v>109</v>
      </c>
      <c r="F775" s="292">
        <v>1</v>
      </c>
      <c r="G775" s="510">
        <v>1762.1800000000003</v>
      </c>
      <c r="H775" s="508">
        <v>0.2094</v>
      </c>
      <c r="I775" s="510">
        <v>2131.1804920000004</v>
      </c>
      <c r="J775" s="509">
        <v>2131.1804920000004</v>
      </c>
      <c r="K775" s="298"/>
      <c r="L775" s="447">
        <f t="shared" si="85"/>
        <v>2131.1804920000004</v>
      </c>
      <c r="M775" s="447"/>
      <c r="N775" s="298"/>
      <c r="O775" s="298"/>
      <c r="P775" s="298"/>
      <c r="Q775" s="298"/>
      <c r="R775" s="298"/>
      <c r="S775" s="298"/>
    </row>
    <row r="776" spans="1:19" s="92" customFormat="1" ht="25.5">
      <c r="A776" s="394" t="s">
        <v>3260</v>
      </c>
      <c r="B776" s="288" t="s">
        <v>16878</v>
      </c>
      <c r="C776" s="285" t="s">
        <v>16879</v>
      </c>
      <c r="D776" s="289" t="s">
        <v>16881</v>
      </c>
      <c r="E776" s="290" t="s">
        <v>109</v>
      </c>
      <c r="F776" s="292">
        <v>1</v>
      </c>
      <c r="G776" s="510">
        <v>137.91</v>
      </c>
      <c r="H776" s="508">
        <v>0.2094</v>
      </c>
      <c r="I776" s="510">
        <v>166.788354</v>
      </c>
      <c r="J776" s="509">
        <v>166.788354</v>
      </c>
      <c r="K776" s="298"/>
      <c r="L776" s="447">
        <f t="shared" si="85"/>
        <v>166.788354</v>
      </c>
      <c r="M776" s="447"/>
      <c r="N776" s="298"/>
      <c r="O776" s="298"/>
      <c r="P776" s="298"/>
      <c r="Q776" s="298"/>
      <c r="R776" s="298"/>
      <c r="S776" s="298"/>
    </row>
    <row r="777" spans="1:19" s="92" customFormat="1" ht="25.5">
      <c r="A777" s="394" t="s">
        <v>3260</v>
      </c>
      <c r="B777" s="288" t="s">
        <v>16882</v>
      </c>
      <c r="C777" s="285" t="s">
        <v>18358</v>
      </c>
      <c r="D777" s="289" t="s">
        <v>18363</v>
      </c>
      <c r="E777" s="290" t="s">
        <v>109</v>
      </c>
      <c r="F777" s="292">
        <v>1</v>
      </c>
      <c r="G777" s="510">
        <v>157.01</v>
      </c>
      <c r="H777" s="508">
        <v>0.2094</v>
      </c>
      <c r="I777" s="510">
        <v>189.88789399999999</v>
      </c>
      <c r="J777" s="509">
        <v>189.88789399999999</v>
      </c>
      <c r="K777" s="298"/>
      <c r="L777" s="447">
        <f t="shared" si="85"/>
        <v>189.88789399999999</v>
      </c>
      <c r="M777" s="447"/>
      <c r="N777" s="298"/>
      <c r="O777" s="298"/>
      <c r="P777" s="298"/>
      <c r="Q777" s="298"/>
      <c r="R777" s="298"/>
      <c r="S777" s="298"/>
    </row>
    <row r="778" spans="1:19" s="92" customFormat="1" ht="25.5">
      <c r="A778" s="394" t="s">
        <v>3260</v>
      </c>
      <c r="B778" s="288" t="s">
        <v>18364</v>
      </c>
      <c r="C778" s="285" t="s">
        <v>18359</v>
      </c>
      <c r="D778" s="289" t="s">
        <v>18362</v>
      </c>
      <c r="E778" s="290" t="s">
        <v>109</v>
      </c>
      <c r="F778" s="292">
        <v>1</v>
      </c>
      <c r="G778" s="510">
        <v>294.39999999999998</v>
      </c>
      <c r="H778" s="508">
        <v>0.2094</v>
      </c>
      <c r="I778" s="510">
        <v>356.04735999999997</v>
      </c>
      <c r="J778" s="509">
        <v>356.04735999999997</v>
      </c>
      <c r="K778" s="298"/>
      <c r="L778" s="447">
        <f t="shared" ref="L778:L779" si="91">I778*F778</f>
        <v>356.04735999999997</v>
      </c>
      <c r="M778" s="447"/>
      <c r="N778" s="298"/>
      <c r="O778" s="298"/>
      <c r="P778" s="298"/>
      <c r="Q778" s="298"/>
      <c r="R778" s="298"/>
      <c r="S778" s="298"/>
    </row>
    <row r="779" spans="1:19" s="92" customFormat="1" ht="25.5">
      <c r="A779" s="394" t="s">
        <v>3260</v>
      </c>
      <c r="B779" s="288" t="s">
        <v>18365</v>
      </c>
      <c r="C779" s="285" t="s">
        <v>18360</v>
      </c>
      <c r="D779" s="289" t="s">
        <v>18361</v>
      </c>
      <c r="E779" s="290" t="s">
        <v>109</v>
      </c>
      <c r="F779" s="292">
        <v>1</v>
      </c>
      <c r="G779" s="510">
        <v>442.23</v>
      </c>
      <c r="H779" s="508">
        <v>0.2094</v>
      </c>
      <c r="I779" s="510">
        <v>534.83296200000007</v>
      </c>
      <c r="J779" s="509">
        <v>534.83296200000007</v>
      </c>
      <c r="K779" s="298"/>
      <c r="L779" s="447">
        <f t="shared" si="91"/>
        <v>534.83296200000007</v>
      </c>
      <c r="M779" s="447"/>
      <c r="N779" s="298"/>
      <c r="O779" s="298"/>
      <c r="P779" s="298"/>
      <c r="Q779" s="298"/>
      <c r="R779" s="298"/>
      <c r="S779" s="298"/>
    </row>
    <row r="780" spans="1:19" s="92" customFormat="1" ht="25.5">
      <c r="A780" s="394" t="s">
        <v>3260</v>
      </c>
      <c r="B780" s="288" t="s">
        <v>18366</v>
      </c>
      <c r="C780" s="285" t="s">
        <v>16883</v>
      </c>
      <c r="D780" s="289" t="s">
        <v>16884</v>
      </c>
      <c r="E780" s="290" t="s">
        <v>109</v>
      </c>
      <c r="F780" s="292">
        <v>2</v>
      </c>
      <c r="G780" s="510">
        <v>506.52000000000004</v>
      </c>
      <c r="H780" s="508">
        <v>0.2094</v>
      </c>
      <c r="I780" s="510">
        <v>612.58528800000011</v>
      </c>
      <c r="J780" s="509">
        <v>1225.1705760000002</v>
      </c>
      <c r="K780" s="298"/>
      <c r="L780" s="447">
        <f t="shared" si="85"/>
        <v>1225.1705760000002</v>
      </c>
      <c r="M780" s="447"/>
      <c r="N780" s="298"/>
      <c r="O780" s="298"/>
      <c r="P780" s="298"/>
      <c r="Q780" s="298"/>
      <c r="R780" s="298"/>
      <c r="S780" s="298"/>
    </row>
    <row r="781" spans="1:19" s="92" customFormat="1" ht="38.25">
      <c r="A781" s="394" t="s">
        <v>3260</v>
      </c>
      <c r="B781" s="288" t="s">
        <v>18367</v>
      </c>
      <c r="C781" s="285" t="s">
        <v>16886</v>
      </c>
      <c r="D781" s="289" t="s">
        <v>18357</v>
      </c>
      <c r="E781" s="290" t="s">
        <v>109</v>
      </c>
      <c r="F781" s="292">
        <v>4</v>
      </c>
      <c r="G781" s="510">
        <v>105.60000000000001</v>
      </c>
      <c r="H781" s="508">
        <v>0.2094</v>
      </c>
      <c r="I781" s="510">
        <v>127.71264000000001</v>
      </c>
      <c r="J781" s="509">
        <v>510.85056000000003</v>
      </c>
      <c r="K781" s="298"/>
      <c r="L781" s="447">
        <f t="shared" si="85"/>
        <v>510.85056000000003</v>
      </c>
      <c r="M781" s="447"/>
      <c r="N781" s="298"/>
      <c r="O781" s="298"/>
      <c r="P781" s="298"/>
      <c r="Q781" s="298"/>
      <c r="R781" s="298"/>
      <c r="S781" s="298"/>
    </row>
    <row r="782" spans="1:19" s="92" customFormat="1">
      <c r="A782" s="256"/>
      <c r="B782" s="397"/>
      <c r="C782" s="397"/>
      <c r="D782" s="408"/>
      <c r="E782" s="397"/>
      <c r="F782" s="431"/>
      <c r="G782" s="431"/>
      <c r="H782" s="431"/>
      <c r="I782" s="431"/>
      <c r="J782" s="428"/>
      <c r="K782" s="298"/>
      <c r="L782" s="447">
        <f t="shared" si="85"/>
        <v>0</v>
      </c>
      <c r="M782" s="447"/>
      <c r="N782" s="298"/>
      <c r="O782" s="298"/>
      <c r="P782" s="298"/>
      <c r="Q782" s="298"/>
      <c r="R782" s="298"/>
      <c r="S782" s="298"/>
    </row>
    <row r="783" spans="1:19" s="92" customFormat="1">
      <c r="A783" s="256"/>
      <c r="B783" s="390" t="s">
        <v>16867</v>
      </c>
      <c r="C783" s="390"/>
      <c r="D783" s="399" t="s">
        <v>16872</v>
      </c>
      <c r="E783" s="391"/>
      <c r="F783" s="417"/>
      <c r="G783" s="417"/>
      <c r="H783" s="417"/>
      <c r="I783" s="417"/>
      <c r="J783" s="418"/>
      <c r="K783" s="298"/>
      <c r="L783" s="447">
        <f t="shared" si="85"/>
        <v>0</v>
      </c>
      <c r="M783" s="447"/>
      <c r="N783" s="298"/>
      <c r="O783" s="298"/>
      <c r="P783" s="298"/>
      <c r="Q783" s="298"/>
      <c r="R783" s="298"/>
      <c r="S783" s="298"/>
    </row>
    <row r="784" spans="1:19" s="92" customFormat="1" ht="63.75">
      <c r="A784" s="394" t="s">
        <v>3260</v>
      </c>
      <c r="B784" s="288" t="s">
        <v>16868</v>
      </c>
      <c r="C784" s="285" t="s">
        <v>16888</v>
      </c>
      <c r="D784" s="289" t="s">
        <v>18368</v>
      </c>
      <c r="E784" s="290" t="s">
        <v>109</v>
      </c>
      <c r="F784" s="292">
        <v>1</v>
      </c>
      <c r="G784" s="510">
        <v>19286.900000000001</v>
      </c>
      <c r="H784" s="508">
        <v>0.2094</v>
      </c>
      <c r="I784" s="510">
        <v>23325.576860000001</v>
      </c>
      <c r="J784" s="509">
        <v>23325.576860000001</v>
      </c>
      <c r="K784" s="298"/>
      <c r="L784" s="447">
        <f t="shared" si="85"/>
        <v>23325.576860000001</v>
      </c>
      <c r="M784" s="447"/>
      <c r="N784" s="298"/>
      <c r="O784" s="298"/>
      <c r="P784" s="298"/>
      <c r="Q784" s="298"/>
      <c r="R784" s="298"/>
      <c r="S784" s="298"/>
    </row>
    <row r="785" spans="1:19" s="92" customFormat="1" ht="63.75">
      <c r="A785" s="394" t="s">
        <v>3260</v>
      </c>
      <c r="B785" s="288" t="s">
        <v>16869</v>
      </c>
      <c r="C785" s="285" t="s">
        <v>16889</v>
      </c>
      <c r="D785" s="289" t="s">
        <v>18369</v>
      </c>
      <c r="E785" s="290" t="s">
        <v>109</v>
      </c>
      <c r="F785" s="292">
        <v>1</v>
      </c>
      <c r="G785" s="510">
        <v>25296.86</v>
      </c>
      <c r="H785" s="508">
        <v>0.2094</v>
      </c>
      <c r="I785" s="510">
        <v>30594.022484000001</v>
      </c>
      <c r="J785" s="509">
        <v>30594.022484000001</v>
      </c>
      <c r="K785" s="298"/>
      <c r="L785" s="447">
        <f t="shared" si="85"/>
        <v>30594.022484000001</v>
      </c>
      <c r="M785" s="447"/>
      <c r="N785" s="298"/>
      <c r="O785" s="298"/>
      <c r="P785" s="298"/>
      <c r="Q785" s="298"/>
      <c r="R785" s="298"/>
      <c r="S785" s="298"/>
    </row>
    <row r="786" spans="1:19" s="92" customFormat="1" ht="63.75">
      <c r="A786" s="394" t="s">
        <v>3260</v>
      </c>
      <c r="B786" s="288" t="s">
        <v>16870</v>
      </c>
      <c r="C786" s="285" t="s">
        <v>16890</v>
      </c>
      <c r="D786" s="289" t="s">
        <v>18370</v>
      </c>
      <c r="E786" s="290" t="s">
        <v>109</v>
      </c>
      <c r="F786" s="292">
        <v>1</v>
      </c>
      <c r="G786" s="510">
        <v>10594.91</v>
      </c>
      <c r="H786" s="508">
        <v>0.2094</v>
      </c>
      <c r="I786" s="510">
        <v>12813.484154</v>
      </c>
      <c r="J786" s="509">
        <v>12813.484154</v>
      </c>
      <c r="K786" s="298"/>
      <c r="L786" s="447">
        <f t="shared" si="85"/>
        <v>12813.484154</v>
      </c>
      <c r="M786" s="447"/>
      <c r="N786" s="298"/>
      <c r="O786" s="298"/>
      <c r="P786" s="298"/>
      <c r="Q786" s="298"/>
      <c r="R786" s="298"/>
      <c r="S786" s="298"/>
    </row>
    <row r="787" spans="1:19" s="92" customFormat="1" ht="63.75">
      <c r="A787" s="394" t="s">
        <v>3260</v>
      </c>
      <c r="B787" s="288" t="s">
        <v>16871</v>
      </c>
      <c r="C787" s="285" t="s">
        <v>16891</v>
      </c>
      <c r="D787" s="289" t="s">
        <v>18371</v>
      </c>
      <c r="E787" s="290" t="s">
        <v>109</v>
      </c>
      <c r="F787" s="292">
        <v>2</v>
      </c>
      <c r="G787" s="510">
        <v>2204.64</v>
      </c>
      <c r="H787" s="508">
        <v>0.2094</v>
      </c>
      <c r="I787" s="510">
        <v>2666.291616</v>
      </c>
      <c r="J787" s="509">
        <v>5332.583232</v>
      </c>
      <c r="K787" s="298"/>
      <c r="L787" s="447">
        <f t="shared" si="85"/>
        <v>5332.583232</v>
      </c>
      <c r="M787" s="447"/>
      <c r="N787" s="298"/>
      <c r="O787" s="298"/>
      <c r="P787" s="298"/>
      <c r="Q787" s="298"/>
      <c r="R787" s="298"/>
      <c r="S787" s="298"/>
    </row>
    <row r="788" spans="1:19" s="92" customFormat="1">
      <c r="A788" s="256"/>
      <c r="B788" s="397"/>
      <c r="C788" s="397"/>
      <c r="D788" s="408"/>
      <c r="E788" s="397"/>
      <c r="F788" s="431"/>
      <c r="G788" s="431"/>
      <c r="H788" s="431"/>
      <c r="I788" s="431"/>
      <c r="J788" s="428"/>
      <c r="K788" s="298"/>
      <c r="L788" s="447">
        <f t="shared" si="85"/>
        <v>0</v>
      </c>
      <c r="M788" s="447"/>
      <c r="N788" s="298"/>
      <c r="O788" s="298"/>
      <c r="P788" s="298"/>
      <c r="Q788" s="298"/>
      <c r="R788" s="298"/>
      <c r="S788" s="298"/>
    </row>
    <row r="789" spans="1:19" s="92" customFormat="1">
      <c r="A789" s="256"/>
      <c r="B789" s="390" t="s">
        <v>14781</v>
      </c>
      <c r="C789" s="390"/>
      <c r="D789" s="399" t="s">
        <v>111</v>
      </c>
      <c r="E789" s="391"/>
      <c r="F789" s="417"/>
      <c r="G789" s="417"/>
      <c r="H789" s="417"/>
      <c r="I789" s="417"/>
      <c r="J789" s="418"/>
      <c r="K789" s="298"/>
      <c r="L789" s="447">
        <f t="shared" si="85"/>
        <v>0</v>
      </c>
      <c r="M789" s="447"/>
      <c r="N789" s="298"/>
      <c r="O789" s="298"/>
      <c r="P789" s="298"/>
      <c r="Q789" s="298"/>
      <c r="R789" s="298"/>
      <c r="S789" s="298"/>
    </row>
    <row r="790" spans="1:19" s="92" customFormat="1" ht="63.75">
      <c r="A790" s="394" t="s">
        <v>3259</v>
      </c>
      <c r="B790" s="288" t="s">
        <v>14785</v>
      </c>
      <c r="C790" s="285">
        <v>91181</v>
      </c>
      <c r="D790" s="289" t="s">
        <v>2436</v>
      </c>
      <c r="E790" s="290" t="s">
        <v>5</v>
      </c>
      <c r="F790" s="292">
        <v>16.2</v>
      </c>
      <c r="G790" s="510" t="s">
        <v>10284</v>
      </c>
      <c r="H790" s="508">
        <v>0.2094</v>
      </c>
      <c r="I790" s="510">
        <v>7.3410580000000003</v>
      </c>
      <c r="J790" s="509">
        <v>118.92513959999999</v>
      </c>
      <c r="K790" s="298"/>
      <c r="L790" s="447">
        <f t="shared" si="85"/>
        <v>118.92513959999999</v>
      </c>
      <c r="M790" s="447"/>
      <c r="N790" s="298"/>
      <c r="O790" s="298"/>
      <c r="P790" s="298"/>
      <c r="Q790" s="298"/>
      <c r="R790" s="298"/>
      <c r="S790" s="298"/>
    </row>
    <row r="791" spans="1:19" s="92" customFormat="1" ht="51">
      <c r="A791" s="394" t="s">
        <v>3259</v>
      </c>
      <c r="B791" s="288" t="s">
        <v>16854</v>
      </c>
      <c r="C791" s="285">
        <v>96560</v>
      </c>
      <c r="D791" s="289" t="s">
        <v>10796</v>
      </c>
      <c r="E791" s="290" t="s">
        <v>193</v>
      </c>
      <c r="F791" s="292">
        <v>102.65</v>
      </c>
      <c r="G791" s="510" t="s">
        <v>10299</v>
      </c>
      <c r="H791" s="508">
        <v>0.2094</v>
      </c>
      <c r="I791" s="510">
        <v>21.031466000000002</v>
      </c>
      <c r="J791" s="509">
        <v>2158.8799849000002</v>
      </c>
      <c r="K791" s="298"/>
      <c r="L791" s="447">
        <f t="shared" si="85"/>
        <v>2158.8799849000002</v>
      </c>
      <c r="M791" s="447"/>
      <c r="N791" s="298"/>
      <c r="O791" s="298"/>
      <c r="P791" s="298"/>
      <c r="Q791" s="298"/>
      <c r="R791" s="298"/>
      <c r="S791" s="298"/>
    </row>
    <row r="792" spans="1:19" s="92" customFormat="1" ht="38.25">
      <c r="A792" s="394" t="s">
        <v>3259</v>
      </c>
      <c r="B792" s="288" t="s">
        <v>16855</v>
      </c>
      <c r="C792" s="285">
        <v>90443</v>
      </c>
      <c r="D792" s="289" t="s">
        <v>130</v>
      </c>
      <c r="E792" s="290" t="s">
        <v>5</v>
      </c>
      <c r="F792" s="292">
        <v>2.8</v>
      </c>
      <c r="G792" s="510" t="s">
        <v>16337</v>
      </c>
      <c r="H792" s="508">
        <v>0.2094</v>
      </c>
      <c r="I792" s="510">
        <v>14.246732</v>
      </c>
      <c r="J792" s="509">
        <v>39.890849599999996</v>
      </c>
      <c r="K792" s="298"/>
      <c r="L792" s="447">
        <f t="shared" si="85"/>
        <v>39.890849599999996</v>
      </c>
      <c r="M792" s="447"/>
      <c r="N792" s="298"/>
      <c r="O792" s="298"/>
      <c r="P792" s="298"/>
      <c r="Q792" s="298"/>
      <c r="R792" s="298"/>
      <c r="S792" s="298"/>
    </row>
    <row r="793" spans="1:19" s="92" customFormat="1" ht="38.25">
      <c r="A793" s="394" t="s">
        <v>3259</v>
      </c>
      <c r="B793" s="288" t="s">
        <v>16856</v>
      </c>
      <c r="C793" s="285">
        <v>90466</v>
      </c>
      <c r="D793" s="289" t="s">
        <v>132</v>
      </c>
      <c r="E793" s="290" t="s">
        <v>5</v>
      </c>
      <c r="F793" s="292">
        <v>2.8</v>
      </c>
      <c r="G793" s="510" t="s">
        <v>19074</v>
      </c>
      <c r="H793" s="508">
        <v>0.2094</v>
      </c>
      <c r="I793" s="510">
        <v>14.065322000000002</v>
      </c>
      <c r="J793" s="509">
        <v>39.382901600000004</v>
      </c>
      <c r="K793" s="298"/>
      <c r="L793" s="447">
        <f t="shared" si="85"/>
        <v>39.382901600000004</v>
      </c>
      <c r="M793" s="447"/>
      <c r="N793" s="298"/>
      <c r="O793" s="298"/>
      <c r="P793" s="298"/>
      <c r="Q793" s="298"/>
      <c r="R793" s="298"/>
      <c r="S793" s="298"/>
    </row>
    <row r="794" spans="1:19" s="92" customFormat="1" ht="25.5">
      <c r="A794" s="394" t="s">
        <v>3259</v>
      </c>
      <c r="B794" s="288" t="s">
        <v>16857</v>
      </c>
      <c r="C794" s="285">
        <v>90438</v>
      </c>
      <c r="D794" s="289" t="s">
        <v>2405</v>
      </c>
      <c r="E794" s="290" t="s">
        <v>109</v>
      </c>
      <c r="F794" s="292">
        <v>18</v>
      </c>
      <c r="G794" s="510" t="s">
        <v>14276</v>
      </c>
      <c r="H794" s="508">
        <v>0.2094</v>
      </c>
      <c r="I794" s="510">
        <v>54.592316000000004</v>
      </c>
      <c r="J794" s="509">
        <v>982.66168800000003</v>
      </c>
      <c r="K794" s="298"/>
      <c r="L794" s="447">
        <f t="shared" si="85"/>
        <v>982.66168800000003</v>
      </c>
      <c r="M794" s="447"/>
      <c r="N794" s="298"/>
      <c r="O794" s="298"/>
      <c r="P794" s="298"/>
      <c r="Q794" s="298"/>
      <c r="R794" s="298"/>
      <c r="S794" s="298"/>
    </row>
    <row r="795" spans="1:19" s="92" customFormat="1" ht="38.25">
      <c r="A795" s="394" t="s">
        <v>3259</v>
      </c>
      <c r="B795" s="288" t="s">
        <v>18373</v>
      </c>
      <c r="C795" s="285">
        <v>91192</v>
      </c>
      <c r="D795" s="289" t="s">
        <v>2447</v>
      </c>
      <c r="E795" s="290" t="s">
        <v>109</v>
      </c>
      <c r="F795" s="292">
        <v>18</v>
      </c>
      <c r="G795" s="510" t="s">
        <v>18766</v>
      </c>
      <c r="H795" s="508">
        <v>0.2094</v>
      </c>
      <c r="I795" s="510">
        <v>6.4219140000000001</v>
      </c>
      <c r="J795" s="509">
        <v>115.594452</v>
      </c>
      <c r="K795" s="298"/>
      <c r="L795" s="447">
        <f t="shared" ref="L795" si="92">I795*F795</f>
        <v>115.594452</v>
      </c>
      <c r="M795" s="447"/>
      <c r="N795" s="298"/>
      <c r="O795" s="298"/>
      <c r="P795" s="298"/>
      <c r="Q795" s="298"/>
      <c r="R795" s="298"/>
      <c r="S795" s="298"/>
    </row>
    <row r="796" spans="1:19" s="92" customFormat="1">
      <c r="A796" s="256"/>
      <c r="B796" s="391"/>
      <c r="C796" s="391"/>
      <c r="D796" s="401"/>
      <c r="E796" s="391"/>
      <c r="F796" s="417"/>
      <c r="G796" s="417"/>
      <c r="H796" s="417"/>
      <c r="I796" s="417"/>
      <c r="J796" s="418"/>
      <c r="K796" s="298"/>
      <c r="L796" s="447">
        <f t="shared" si="85"/>
        <v>0</v>
      </c>
      <c r="M796" s="447"/>
      <c r="N796" s="298"/>
      <c r="O796" s="298"/>
      <c r="P796" s="298"/>
      <c r="Q796" s="298"/>
      <c r="R796" s="298"/>
      <c r="S796" s="298"/>
    </row>
    <row r="797" spans="1:19" s="92" customFormat="1">
      <c r="A797" s="256"/>
      <c r="B797" s="390" t="s">
        <v>14773</v>
      </c>
      <c r="C797" s="390"/>
      <c r="D797" s="399" t="s">
        <v>14811</v>
      </c>
      <c r="E797" s="391"/>
      <c r="F797" s="417"/>
      <c r="G797" s="417"/>
      <c r="H797" s="417"/>
      <c r="I797" s="417"/>
      <c r="J797" s="418"/>
      <c r="K797" s="298"/>
      <c r="L797" s="447">
        <f t="shared" si="85"/>
        <v>0</v>
      </c>
      <c r="M797" s="447"/>
      <c r="N797" s="298"/>
      <c r="O797" s="298"/>
      <c r="P797" s="298"/>
      <c r="Q797" s="298"/>
      <c r="R797" s="298"/>
      <c r="S797" s="298"/>
    </row>
    <row r="798" spans="1:19" s="92" customFormat="1">
      <c r="A798" s="256"/>
      <c r="B798" s="390" t="s">
        <v>14812</v>
      </c>
      <c r="C798" s="390"/>
      <c r="D798" s="399" t="s">
        <v>14813</v>
      </c>
      <c r="E798" s="391"/>
      <c r="F798" s="417"/>
      <c r="G798" s="417"/>
      <c r="H798" s="417"/>
      <c r="I798" s="417"/>
      <c r="J798" s="418"/>
      <c r="K798" s="298"/>
      <c r="L798" s="447">
        <f t="shared" si="85"/>
        <v>0</v>
      </c>
      <c r="M798" s="447"/>
      <c r="N798" s="298"/>
      <c r="O798" s="298"/>
      <c r="P798" s="298"/>
      <c r="Q798" s="298"/>
      <c r="R798" s="298"/>
      <c r="S798" s="298"/>
    </row>
    <row r="799" spans="1:19" s="92" customFormat="1" ht="63.75">
      <c r="A799" s="394" t="s">
        <v>3259</v>
      </c>
      <c r="B799" s="288" t="s">
        <v>14817</v>
      </c>
      <c r="C799" s="285">
        <v>92690</v>
      </c>
      <c r="D799" s="289" t="s">
        <v>13248</v>
      </c>
      <c r="E799" s="290" t="s">
        <v>5</v>
      </c>
      <c r="F799" s="292">
        <v>31.15</v>
      </c>
      <c r="G799" s="510" t="s">
        <v>11372</v>
      </c>
      <c r="H799" s="508">
        <v>0.2094</v>
      </c>
      <c r="I799" s="510">
        <v>79.747835999999992</v>
      </c>
      <c r="J799" s="509">
        <v>2484.1450913999997</v>
      </c>
      <c r="K799" s="298"/>
      <c r="L799" s="447">
        <f t="shared" si="85"/>
        <v>2484.1450913999997</v>
      </c>
      <c r="M799" s="447"/>
      <c r="N799" s="298"/>
      <c r="O799" s="298"/>
      <c r="P799" s="298"/>
      <c r="Q799" s="298"/>
      <c r="R799" s="298"/>
      <c r="S799" s="298"/>
    </row>
    <row r="800" spans="1:19" s="92" customFormat="1" ht="25.5">
      <c r="A800" s="394" t="s">
        <v>3260</v>
      </c>
      <c r="B800" s="288" t="s">
        <v>14828</v>
      </c>
      <c r="C800" s="285" t="s">
        <v>16898</v>
      </c>
      <c r="D800" s="289" t="s">
        <v>16899</v>
      </c>
      <c r="E800" s="290" t="s">
        <v>109</v>
      </c>
      <c r="F800" s="292">
        <v>16</v>
      </c>
      <c r="G800" s="510">
        <v>36.6</v>
      </c>
      <c r="H800" s="508">
        <v>0.2094</v>
      </c>
      <c r="I800" s="510">
        <v>44.264040000000001</v>
      </c>
      <c r="J800" s="509">
        <v>708.22464000000002</v>
      </c>
      <c r="K800" s="298"/>
      <c r="L800" s="447">
        <f t="shared" si="85"/>
        <v>708.22464000000002</v>
      </c>
      <c r="M800" s="447"/>
      <c r="N800" s="298"/>
      <c r="O800" s="298"/>
      <c r="P800" s="298"/>
      <c r="Q800" s="298"/>
      <c r="R800" s="298"/>
      <c r="S800" s="298"/>
    </row>
    <row r="801" spans="1:19" s="92" customFormat="1" ht="38.25">
      <c r="A801" s="394" t="s">
        <v>3260</v>
      </c>
      <c r="B801" s="288" t="s">
        <v>14829</v>
      </c>
      <c r="C801" s="285" t="s">
        <v>16900</v>
      </c>
      <c r="D801" s="289" t="s">
        <v>15049</v>
      </c>
      <c r="E801" s="290" t="s">
        <v>5</v>
      </c>
      <c r="F801" s="292">
        <v>26.45</v>
      </c>
      <c r="G801" s="510">
        <v>0.86</v>
      </c>
      <c r="H801" s="508">
        <v>0.2094</v>
      </c>
      <c r="I801" s="510">
        <v>1.040084</v>
      </c>
      <c r="J801" s="509">
        <v>27.5102218</v>
      </c>
      <c r="K801" s="298"/>
      <c r="L801" s="447">
        <f t="shared" si="85"/>
        <v>27.5102218</v>
      </c>
      <c r="M801" s="447"/>
      <c r="N801" s="298"/>
      <c r="O801" s="298"/>
      <c r="P801" s="298"/>
      <c r="Q801" s="298"/>
      <c r="R801" s="298"/>
      <c r="S801" s="298"/>
    </row>
    <row r="802" spans="1:19" s="92" customFormat="1" ht="38.25">
      <c r="A802" s="394" t="s">
        <v>3260</v>
      </c>
      <c r="B802" s="288" t="s">
        <v>14830</v>
      </c>
      <c r="C802" s="285" t="s">
        <v>16901</v>
      </c>
      <c r="D802" s="289" t="s">
        <v>15050</v>
      </c>
      <c r="E802" s="290" t="s">
        <v>5</v>
      </c>
      <c r="F802" s="292">
        <v>33.24</v>
      </c>
      <c r="G802" s="510">
        <v>8.0399999999999991</v>
      </c>
      <c r="H802" s="508">
        <v>0.2094</v>
      </c>
      <c r="I802" s="510">
        <v>9.7235759999999996</v>
      </c>
      <c r="J802" s="509">
        <v>323.21166624</v>
      </c>
      <c r="K802" s="298"/>
      <c r="L802" s="447">
        <f t="shared" si="85"/>
        <v>323.21166624</v>
      </c>
      <c r="M802" s="447"/>
      <c r="N802" s="298"/>
      <c r="O802" s="298"/>
      <c r="P802" s="298"/>
      <c r="Q802" s="298"/>
      <c r="R802" s="298"/>
      <c r="S802" s="298"/>
    </row>
    <row r="803" spans="1:19" s="92" customFormat="1" ht="51">
      <c r="A803" s="394" t="s">
        <v>3259</v>
      </c>
      <c r="B803" s="288" t="s">
        <v>14831</v>
      </c>
      <c r="C803" s="285">
        <v>97549</v>
      </c>
      <c r="D803" s="289" t="s">
        <v>13515</v>
      </c>
      <c r="E803" s="290" t="s">
        <v>109</v>
      </c>
      <c r="F803" s="292">
        <v>12</v>
      </c>
      <c r="G803" s="510" t="s">
        <v>23410</v>
      </c>
      <c r="H803" s="508">
        <v>0.2094</v>
      </c>
      <c r="I803" s="510">
        <v>48.073650000000001</v>
      </c>
      <c r="J803" s="509">
        <v>576.88380000000006</v>
      </c>
      <c r="K803" s="298"/>
      <c r="L803" s="447">
        <f t="shared" si="85"/>
        <v>576.88380000000006</v>
      </c>
      <c r="M803" s="447"/>
      <c r="N803" s="298"/>
      <c r="O803" s="298"/>
      <c r="P803" s="298"/>
      <c r="Q803" s="298"/>
      <c r="R803" s="298"/>
      <c r="S803" s="298"/>
    </row>
    <row r="804" spans="1:19" s="92" customFormat="1" ht="51">
      <c r="A804" s="394" t="s">
        <v>3259</v>
      </c>
      <c r="B804" s="288" t="s">
        <v>14832</v>
      </c>
      <c r="C804" s="285">
        <v>97553</v>
      </c>
      <c r="D804" s="289" t="s">
        <v>13519</v>
      </c>
      <c r="E804" s="290" t="s">
        <v>109</v>
      </c>
      <c r="F804" s="292">
        <v>7</v>
      </c>
      <c r="G804" s="510" t="s">
        <v>23413</v>
      </c>
      <c r="H804" s="508">
        <v>0.2094</v>
      </c>
      <c r="I804" s="510">
        <v>67.883622000000003</v>
      </c>
      <c r="J804" s="509">
        <v>475.18535400000002</v>
      </c>
      <c r="K804" s="298"/>
      <c r="L804" s="447">
        <f t="shared" si="85"/>
        <v>475.18535400000002</v>
      </c>
      <c r="M804" s="447"/>
      <c r="N804" s="298"/>
      <c r="O804" s="298"/>
      <c r="P804" s="298"/>
      <c r="Q804" s="298"/>
      <c r="R804" s="298"/>
      <c r="S804" s="298"/>
    </row>
    <row r="805" spans="1:19" s="92" customFormat="1" ht="76.5">
      <c r="A805" s="394" t="s">
        <v>3259</v>
      </c>
      <c r="B805" s="288" t="s">
        <v>14833</v>
      </c>
      <c r="C805" s="285">
        <v>95249</v>
      </c>
      <c r="D805" s="289" t="s">
        <v>2384</v>
      </c>
      <c r="E805" s="290" t="s">
        <v>109</v>
      </c>
      <c r="F805" s="292">
        <v>9</v>
      </c>
      <c r="G805" s="510" t="s">
        <v>16346</v>
      </c>
      <c r="H805" s="508">
        <v>0.2094</v>
      </c>
      <c r="I805" s="510">
        <v>104.201904</v>
      </c>
      <c r="J805" s="509">
        <v>937.817136</v>
      </c>
      <c r="K805" s="298"/>
      <c r="L805" s="447">
        <f t="shared" si="85"/>
        <v>937.817136</v>
      </c>
      <c r="M805" s="447"/>
      <c r="N805" s="298"/>
      <c r="O805" s="298"/>
      <c r="P805" s="298"/>
      <c r="Q805" s="298"/>
      <c r="R805" s="298"/>
      <c r="S805" s="298"/>
    </row>
    <row r="806" spans="1:19" s="92" customFormat="1" ht="51">
      <c r="A806" s="394" t="s">
        <v>3259</v>
      </c>
      <c r="B806" s="288" t="s">
        <v>14834</v>
      </c>
      <c r="C806" s="285">
        <v>92694</v>
      </c>
      <c r="D806" s="289" t="s">
        <v>13349</v>
      </c>
      <c r="E806" s="290" t="s">
        <v>109</v>
      </c>
      <c r="F806" s="292">
        <v>16</v>
      </c>
      <c r="G806" s="510" t="s">
        <v>11042</v>
      </c>
      <c r="H806" s="508">
        <v>0.2094</v>
      </c>
      <c r="I806" s="510">
        <v>21.527320000000003</v>
      </c>
      <c r="J806" s="509">
        <v>344.43712000000005</v>
      </c>
      <c r="K806" s="298"/>
      <c r="L806" s="447">
        <f t="shared" si="85"/>
        <v>344.43712000000005</v>
      </c>
      <c r="M806" s="447"/>
      <c r="N806" s="298"/>
      <c r="O806" s="298"/>
      <c r="P806" s="298"/>
      <c r="Q806" s="298"/>
      <c r="R806" s="298"/>
      <c r="S806" s="298"/>
    </row>
    <row r="807" spans="1:19" s="92" customFormat="1" ht="51">
      <c r="A807" s="394" t="s">
        <v>3259</v>
      </c>
      <c r="B807" s="288" t="s">
        <v>14835</v>
      </c>
      <c r="C807" s="285">
        <v>92905</v>
      </c>
      <c r="D807" s="289" t="s">
        <v>13378</v>
      </c>
      <c r="E807" s="290" t="s">
        <v>109</v>
      </c>
      <c r="F807" s="292">
        <v>8</v>
      </c>
      <c r="G807" s="510" t="s">
        <v>20561</v>
      </c>
      <c r="H807" s="508">
        <v>0.2094</v>
      </c>
      <c r="I807" s="510">
        <v>41.083317999999998</v>
      </c>
      <c r="J807" s="509">
        <v>328.66654399999999</v>
      </c>
      <c r="K807" s="298"/>
      <c r="L807" s="447">
        <f t="shared" si="85"/>
        <v>328.66654399999999</v>
      </c>
      <c r="M807" s="447"/>
      <c r="N807" s="298"/>
      <c r="O807" s="298"/>
      <c r="P807" s="298"/>
      <c r="Q807" s="298"/>
      <c r="R807" s="298"/>
      <c r="S807" s="298"/>
    </row>
    <row r="808" spans="1:19" s="92" customFormat="1" ht="51">
      <c r="A808" s="394" t="s">
        <v>3259</v>
      </c>
      <c r="B808" s="288" t="s">
        <v>14836</v>
      </c>
      <c r="C808" s="285">
        <v>97540</v>
      </c>
      <c r="D808" s="289" t="s">
        <v>13508</v>
      </c>
      <c r="E808" s="290" t="s">
        <v>109</v>
      </c>
      <c r="F808" s="292">
        <v>16</v>
      </c>
      <c r="G808" s="510" t="s">
        <v>12221</v>
      </c>
      <c r="H808" s="508">
        <v>0.2094</v>
      </c>
      <c r="I808" s="510">
        <v>31.178332000000001</v>
      </c>
      <c r="J808" s="509">
        <v>498.85331200000002</v>
      </c>
      <c r="K808" s="298"/>
      <c r="L808" s="447">
        <f t="shared" si="85"/>
        <v>498.85331200000002</v>
      </c>
      <c r="M808" s="447"/>
      <c r="N808" s="298"/>
      <c r="O808" s="298"/>
      <c r="P808" s="298"/>
      <c r="Q808" s="298"/>
      <c r="R808" s="298"/>
      <c r="S808" s="298"/>
    </row>
    <row r="809" spans="1:19" s="92" customFormat="1" ht="51">
      <c r="A809" s="394" t="s">
        <v>3260</v>
      </c>
      <c r="B809" s="288" t="s">
        <v>14843</v>
      </c>
      <c r="C809" s="285" t="s">
        <v>16903</v>
      </c>
      <c r="D809" s="289" t="s">
        <v>14868</v>
      </c>
      <c r="E809" s="290" t="s">
        <v>109</v>
      </c>
      <c r="F809" s="292">
        <v>8</v>
      </c>
      <c r="G809" s="510">
        <v>15.149999999999999</v>
      </c>
      <c r="H809" s="508">
        <v>0.2094</v>
      </c>
      <c r="I809" s="510">
        <v>18.322409999999998</v>
      </c>
      <c r="J809" s="509">
        <v>146.57927999999998</v>
      </c>
      <c r="K809" s="298"/>
      <c r="L809" s="447">
        <f t="shared" si="85"/>
        <v>146.57927999999998</v>
      </c>
      <c r="M809" s="447"/>
      <c r="N809" s="298"/>
      <c r="O809" s="298"/>
      <c r="P809" s="298"/>
      <c r="Q809" s="298"/>
      <c r="R809" s="298"/>
      <c r="S809" s="298"/>
    </row>
    <row r="810" spans="1:19" s="92" customFormat="1">
      <c r="A810" s="256"/>
      <c r="B810" s="391"/>
      <c r="C810" s="391"/>
      <c r="D810" s="401"/>
      <c r="E810" s="391"/>
      <c r="F810" s="417"/>
      <c r="G810" s="417"/>
      <c r="H810" s="417"/>
      <c r="I810" s="417"/>
      <c r="J810" s="418"/>
      <c r="K810" s="298"/>
      <c r="L810" s="447">
        <f t="shared" si="85"/>
        <v>0</v>
      </c>
      <c r="M810" s="447"/>
      <c r="N810" s="298"/>
      <c r="O810" s="298"/>
      <c r="P810" s="298"/>
      <c r="Q810" s="298"/>
      <c r="R810" s="298"/>
      <c r="S810" s="298"/>
    </row>
    <row r="811" spans="1:19" s="92" customFormat="1">
      <c r="A811" s="256"/>
      <c r="B811" s="390" t="s">
        <v>14814</v>
      </c>
      <c r="C811" s="390"/>
      <c r="D811" s="399" t="s">
        <v>11573</v>
      </c>
      <c r="E811" s="391"/>
      <c r="F811" s="417"/>
      <c r="G811" s="417"/>
      <c r="H811" s="417"/>
      <c r="I811" s="417"/>
      <c r="J811" s="418"/>
      <c r="K811" s="298"/>
      <c r="L811" s="447">
        <f t="shared" si="85"/>
        <v>0</v>
      </c>
      <c r="M811" s="447"/>
      <c r="N811" s="298"/>
      <c r="O811" s="298"/>
      <c r="P811" s="298"/>
      <c r="Q811" s="298"/>
      <c r="R811" s="298"/>
      <c r="S811" s="298"/>
    </row>
    <row r="812" spans="1:19" s="92" customFormat="1" ht="25.5">
      <c r="A812" s="394" t="s">
        <v>3260</v>
      </c>
      <c r="B812" s="288" t="s">
        <v>14818</v>
      </c>
      <c r="C812" s="285" t="s">
        <v>16902</v>
      </c>
      <c r="D812" s="289" t="s">
        <v>14988</v>
      </c>
      <c r="E812" s="290" t="s">
        <v>109</v>
      </c>
      <c r="F812" s="292">
        <v>8</v>
      </c>
      <c r="G812" s="510">
        <v>90.81</v>
      </c>
      <c r="H812" s="508">
        <v>0.2094</v>
      </c>
      <c r="I812" s="510">
        <v>109.825614</v>
      </c>
      <c r="J812" s="509">
        <v>878.60491200000001</v>
      </c>
      <c r="K812" s="298"/>
      <c r="L812" s="447">
        <f t="shared" si="85"/>
        <v>878.60491200000001</v>
      </c>
      <c r="M812" s="447"/>
      <c r="N812" s="298"/>
      <c r="O812" s="298"/>
      <c r="P812" s="298"/>
      <c r="Q812" s="298"/>
      <c r="R812" s="298"/>
      <c r="S812" s="298"/>
    </row>
    <row r="813" spans="1:19" s="92" customFormat="1" ht="38.25">
      <c r="A813" s="394" t="s">
        <v>3260</v>
      </c>
      <c r="B813" s="288" t="s">
        <v>14819</v>
      </c>
      <c r="C813" s="285" t="s">
        <v>16905</v>
      </c>
      <c r="D813" s="289" t="s">
        <v>16906</v>
      </c>
      <c r="E813" s="290" t="s">
        <v>109</v>
      </c>
      <c r="F813" s="292">
        <v>1</v>
      </c>
      <c r="G813" s="510">
        <v>57.24</v>
      </c>
      <c r="H813" s="508">
        <v>0.2094</v>
      </c>
      <c r="I813" s="510">
        <v>69.226056</v>
      </c>
      <c r="J813" s="509">
        <v>69.226056</v>
      </c>
      <c r="K813" s="298"/>
      <c r="L813" s="447">
        <f t="shared" si="85"/>
        <v>69.226056</v>
      </c>
      <c r="M813" s="447"/>
      <c r="N813" s="298"/>
      <c r="O813" s="298"/>
      <c r="P813" s="298"/>
      <c r="Q813" s="298"/>
      <c r="R813" s="298"/>
      <c r="S813" s="298"/>
    </row>
    <row r="814" spans="1:19" s="92" customFormat="1">
      <c r="A814" s="256"/>
      <c r="B814" s="391"/>
      <c r="C814" s="391"/>
      <c r="D814" s="401"/>
      <c r="E814" s="391"/>
      <c r="F814" s="417"/>
      <c r="G814" s="417"/>
      <c r="H814" s="417"/>
      <c r="I814" s="417"/>
      <c r="J814" s="418"/>
      <c r="K814" s="298"/>
      <c r="L814" s="447">
        <f t="shared" si="85"/>
        <v>0</v>
      </c>
      <c r="M814" s="447"/>
      <c r="N814" s="298"/>
      <c r="O814" s="298"/>
      <c r="P814" s="298"/>
      <c r="Q814" s="298"/>
      <c r="R814" s="298"/>
      <c r="S814" s="298"/>
    </row>
    <row r="815" spans="1:19" s="92" customFormat="1">
      <c r="A815" s="256"/>
      <c r="B815" s="390" t="s">
        <v>14815</v>
      </c>
      <c r="C815" s="390"/>
      <c r="D815" s="399" t="s">
        <v>14816</v>
      </c>
      <c r="E815" s="391"/>
      <c r="F815" s="417"/>
      <c r="G815" s="417"/>
      <c r="H815" s="417"/>
      <c r="I815" s="417"/>
      <c r="J815" s="418"/>
      <c r="K815" s="298"/>
      <c r="L815" s="447">
        <f t="shared" si="85"/>
        <v>0</v>
      </c>
      <c r="M815" s="447"/>
      <c r="N815" s="298"/>
      <c r="O815" s="298"/>
      <c r="P815" s="298"/>
      <c r="Q815" s="298"/>
      <c r="R815" s="298"/>
      <c r="S815" s="298"/>
    </row>
    <row r="816" spans="1:19" s="92" customFormat="1" ht="38.25">
      <c r="A816" s="394" t="s">
        <v>3259</v>
      </c>
      <c r="B816" s="288" t="s">
        <v>14822</v>
      </c>
      <c r="C816" s="285">
        <v>93358</v>
      </c>
      <c r="D816" s="289" t="s">
        <v>16227</v>
      </c>
      <c r="E816" s="290" t="s">
        <v>209</v>
      </c>
      <c r="F816" s="292">
        <v>2.12</v>
      </c>
      <c r="G816" s="510" t="s">
        <v>23682</v>
      </c>
      <c r="H816" s="508">
        <v>0.2094</v>
      </c>
      <c r="I816" s="510">
        <v>84.246803999999997</v>
      </c>
      <c r="J816" s="509">
        <v>178.60322447999999</v>
      </c>
      <c r="K816" s="298"/>
      <c r="L816" s="447">
        <f t="shared" ref="L816:L863" si="93">I816*F816</f>
        <v>178.60322447999999</v>
      </c>
      <c r="M816" s="447"/>
      <c r="N816" s="298"/>
      <c r="O816" s="298"/>
      <c r="P816" s="298"/>
      <c r="Q816" s="298"/>
      <c r="R816" s="298"/>
      <c r="S816" s="298"/>
    </row>
    <row r="817" spans="1:19" s="92" customFormat="1" ht="38.25">
      <c r="A817" s="394" t="s">
        <v>3259</v>
      </c>
      <c r="B817" s="288" t="s">
        <v>14823</v>
      </c>
      <c r="C817" s="288">
        <v>101616</v>
      </c>
      <c r="D817" s="289" t="s">
        <v>13664</v>
      </c>
      <c r="E817" s="290" t="s">
        <v>193</v>
      </c>
      <c r="F817" s="292">
        <v>5.29</v>
      </c>
      <c r="G817" s="510" t="s">
        <v>11219</v>
      </c>
      <c r="H817" s="508">
        <v>0.2094</v>
      </c>
      <c r="I817" s="510">
        <v>6.3735379999999999</v>
      </c>
      <c r="J817" s="509">
        <v>33.716016019999998</v>
      </c>
      <c r="K817" s="298"/>
      <c r="L817" s="447">
        <f t="shared" si="93"/>
        <v>33.716016019999998</v>
      </c>
      <c r="M817" s="447"/>
      <c r="N817" s="298"/>
      <c r="O817" s="298"/>
      <c r="P817" s="298"/>
      <c r="Q817" s="298"/>
      <c r="R817" s="298"/>
      <c r="S817" s="298"/>
    </row>
    <row r="818" spans="1:19" s="92" customFormat="1" ht="25.5">
      <c r="A818" s="394" t="s">
        <v>3259</v>
      </c>
      <c r="B818" s="288" t="s">
        <v>14824</v>
      </c>
      <c r="C818" s="288">
        <v>93382</v>
      </c>
      <c r="D818" s="289" t="s">
        <v>2501</v>
      </c>
      <c r="E818" s="290" t="s">
        <v>209</v>
      </c>
      <c r="F818" s="292">
        <v>1.59</v>
      </c>
      <c r="G818" s="510" t="s">
        <v>16369</v>
      </c>
      <c r="H818" s="508">
        <v>0.2094</v>
      </c>
      <c r="I818" s="510">
        <v>30.380128000000003</v>
      </c>
      <c r="J818" s="509">
        <v>48.304403520000008</v>
      </c>
      <c r="K818" s="298"/>
      <c r="L818" s="447">
        <f t="shared" si="93"/>
        <v>48.304403520000008</v>
      </c>
      <c r="M818" s="447"/>
      <c r="N818" s="298"/>
      <c r="O818" s="298"/>
      <c r="P818" s="298"/>
      <c r="Q818" s="298"/>
      <c r="R818" s="298"/>
      <c r="S818" s="298"/>
    </row>
    <row r="819" spans="1:19" s="92" customFormat="1" ht="38.25">
      <c r="A819" s="394" t="s">
        <v>3259</v>
      </c>
      <c r="B819" s="288" t="s">
        <v>14825</v>
      </c>
      <c r="C819" s="285">
        <v>96621</v>
      </c>
      <c r="D819" s="289" t="s">
        <v>3418</v>
      </c>
      <c r="E819" s="290" t="s">
        <v>209</v>
      </c>
      <c r="F819" s="292">
        <v>0.27</v>
      </c>
      <c r="G819" s="510" t="s">
        <v>22223</v>
      </c>
      <c r="H819" s="508">
        <v>0.2094</v>
      </c>
      <c r="I819" s="510">
        <v>293.09809000000001</v>
      </c>
      <c r="J819" s="509">
        <v>79.136484300000006</v>
      </c>
      <c r="K819" s="298"/>
      <c r="L819" s="447">
        <f t="shared" si="93"/>
        <v>79.136484300000006</v>
      </c>
      <c r="M819" s="447"/>
      <c r="N819" s="298"/>
      <c r="O819" s="298"/>
      <c r="P819" s="298"/>
      <c r="Q819" s="298"/>
      <c r="R819" s="298"/>
      <c r="S819" s="298"/>
    </row>
    <row r="820" spans="1:19" s="92" customFormat="1">
      <c r="A820" s="394" t="s">
        <v>3260</v>
      </c>
      <c r="B820" s="288" t="s">
        <v>14826</v>
      </c>
      <c r="C820" s="285" t="s">
        <v>14697</v>
      </c>
      <c r="D820" s="289" t="s">
        <v>14699</v>
      </c>
      <c r="E820" s="290" t="s">
        <v>3241</v>
      </c>
      <c r="F820" s="292">
        <v>0.27</v>
      </c>
      <c r="G820" s="510">
        <v>165.58999999999997</v>
      </c>
      <c r="H820" s="508">
        <v>0.2094</v>
      </c>
      <c r="I820" s="510">
        <v>200.26454599999997</v>
      </c>
      <c r="J820" s="509">
        <v>54.071427419999992</v>
      </c>
      <c r="K820" s="298"/>
      <c r="L820" s="447">
        <f t="shared" si="93"/>
        <v>54.071427419999992</v>
      </c>
      <c r="M820" s="447"/>
      <c r="N820" s="298"/>
      <c r="O820" s="298"/>
      <c r="P820" s="298"/>
      <c r="Q820" s="298"/>
      <c r="R820" s="298"/>
      <c r="S820" s="298"/>
    </row>
    <row r="821" spans="1:19" s="92" customFormat="1" ht="63.75">
      <c r="A821" s="394" t="s">
        <v>3259</v>
      </c>
      <c r="B821" s="288" t="s">
        <v>14827</v>
      </c>
      <c r="C821" s="285">
        <v>91173</v>
      </c>
      <c r="D821" s="289" t="s">
        <v>2428</v>
      </c>
      <c r="E821" s="290" t="s">
        <v>5</v>
      </c>
      <c r="F821" s="292">
        <v>2.4</v>
      </c>
      <c r="G821" s="510" t="s">
        <v>10430</v>
      </c>
      <c r="H821" s="508">
        <v>0.2094</v>
      </c>
      <c r="I821" s="510">
        <v>1.584314</v>
      </c>
      <c r="J821" s="509">
        <v>3.8023536</v>
      </c>
      <c r="K821" s="298"/>
      <c r="L821" s="447">
        <f t="shared" si="93"/>
        <v>3.8023536</v>
      </c>
      <c r="M821" s="447"/>
      <c r="N821" s="298"/>
      <c r="O821" s="298"/>
      <c r="P821" s="298"/>
      <c r="Q821" s="298"/>
      <c r="R821" s="298"/>
      <c r="S821" s="298"/>
    </row>
    <row r="822" spans="1:19" s="92" customFormat="1" ht="38.25">
      <c r="A822" s="394" t="s">
        <v>3260</v>
      </c>
      <c r="B822" s="288" t="s">
        <v>15015</v>
      </c>
      <c r="C822" s="285" t="s">
        <v>14700</v>
      </c>
      <c r="D822" s="289" t="s">
        <v>14701</v>
      </c>
      <c r="E822" s="290" t="s">
        <v>193</v>
      </c>
      <c r="F822" s="292">
        <v>1.96</v>
      </c>
      <c r="G822" s="510">
        <v>19.88</v>
      </c>
      <c r="H822" s="508">
        <v>0.2094</v>
      </c>
      <c r="I822" s="510">
        <v>24.042871999999999</v>
      </c>
      <c r="J822" s="509">
        <v>47.124029119999996</v>
      </c>
      <c r="K822" s="298"/>
      <c r="L822" s="447">
        <f t="shared" si="93"/>
        <v>47.124029119999996</v>
      </c>
      <c r="M822" s="447"/>
      <c r="N822" s="298"/>
      <c r="O822" s="298"/>
      <c r="P822" s="298"/>
      <c r="Q822" s="298"/>
      <c r="R822" s="298"/>
      <c r="S822" s="298"/>
    </row>
    <row r="823" spans="1:19" s="92" customFormat="1" ht="38.25">
      <c r="A823" s="394" t="s">
        <v>3259</v>
      </c>
      <c r="B823" s="288" t="s">
        <v>18125</v>
      </c>
      <c r="C823" s="285">
        <v>90443</v>
      </c>
      <c r="D823" s="289" t="s">
        <v>130</v>
      </c>
      <c r="E823" s="290" t="s">
        <v>5</v>
      </c>
      <c r="F823" s="292">
        <v>2.2999999999999998</v>
      </c>
      <c r="G823" s="510" t="s">
        <v>16337</v>
      </c>
      <c r="H823" s="508">
        <v>0.2094</v>
      </c>
      <c r="I823" s="510">
        <v>14.246732</v>
      </c>
      <c r="J823" s="509">
        <v>32.767483599999998</v>
      </c>
      <c r="K823" s="298"/>
      <c r="L823" s="447">
        <f t="shared" si="93"/>
        <v>32.767483599999998</v>
      </c>
      <c r="M823" s="447"/>
      <c r="N823" s="298"/>
      <c r="O823" s="298"/>
      <c r="P823" s="298"/>
      <c r="Q823" s="298"/>
      <c r="R823" s="298"/>
      <c r="S823" s="298"/>
    </row>
    <row r="824" spans="1:19" s="92" customFormat="1" ht="38.25">
      <c r="A824" s="394" t="s">
        <v>3259</v>
      </c>
      <c r="B824" s="288" t="s">
        <v>18126</v>
      </c>
      <c r="C824" s="285">
        <v>90466</v>
      </c>
      <c r="D824" s="289" t="s">
        <v>132</v>
      </c>
      <c r="E824" s="290" t="s">
        <v>5</v>
      </c>
      <c r="F824" s="292">
        <v>2.2999999999999998</v>
      </c>
      <c r="G824" s="510" t="s">
        <v>19074</v>
      </c>
      <c r="H824" s="508">
        <v>0.2094</v>
      </c>
      <c r="I824" s="510">
        <v>14.065322000000002</v>
      </c>
      <c r="J824" s="509">
        <v>32.350240599999999</v>
      </c>
      <c r="K824" s="298"/>
      <c r="L824" s="447">
        <f t="shared" si="93"/>
        <v>32.350240599999999</v>
      </c>
      <c r="M824" s="447"/>
      <c r="N824" s="298"/>
      <c r="O824" s="298"/>
      <c r="P824" s="298"/>
      <c r="Q824" s="298"/>
      <c r="R824" s="298"/>
      <c r="S824" s="298"/>
    </row>
    <row r="825" spans="1:19" s="92" customFormat="1">
      <c r="A825" s="256"/>
      <c r="B825" s="391"/>
      <c r="C825" s="391"/>
      <c r="D825" s="401"/>
      <c r="E825" s="391"/>
      <c r="F825" s="417"/>
      <c r="G825" s="417"/>
      <c r="H825" s="417"/>
      <c r="I825" s="417"/>
      <c r="J825" s="418"/>
      <c r="K825" s="298"/>
      <c r="L825" s="447">
        <f t="shared" si="93"/>
        <v>0</v>
      </c>
      <c r="M825" s="447"/>
      <c r="N825" s="298"/>
      <c r="O825" s="298"/>
      <c r="P825" s="298"/>
      <c r="Q825" s="298"/>
      <c r="R825" s="298"/>
      <c r="S825" s="298"/>
    </row>
    <row r="826" spans="1:19" s="92" customFormat="1">
      <c r="A826" s="256"/>
      <c r="B826" s="392"/>
      <c r="C826" s="393"/>
      <c r="D826" s="402"/>
      <c r="E826" s="393"/>
      <c r="F826" s="393"/>
      <c r="G826" s="460" t="s">
        <v>69</v>
      </c>
      <c r="H826" s="432"/>
      <c r="I826" s="460"/>
      <c r="J826" s="420">
        <v>210075.91948146001</v>
      </c>
      <c r="K826" s="298"/>
      <c r="L826" s="447">
        <f t="shared" si="93"/>
        <v>0</v>
      </c>
      <c r="M826" s="447"/>
      <c r="N826" s="298"/>
      <c r="O826" s="298"/>
      <c r="P826" s="298"/>
      <c r="Q826" s="298"/>
      <c r="R826" s="298"/>
      <c r="S826" s="298"/>
    </row>
    <row r="827" spans="1:19" s="92" customFormat="1">
      <c r="A827" s="256"/>
      <c r="B827" s="397"/>
      <c r="C827" s="397"/>
      <c r="D827" s="408"/>
      <c r="E827" s="397"/>
      <c r="F827" s="431"/>
      <c r="G827" s="431"/>
      <c r="H827" s="431"/>
      <c r="I827" s="431"/>
      <c r="J827" s="428"/>
      <c r="K827" s="298"/>
      <c r="L827" s="447">
        <f t="shared" si="93"/>
        <v>0</v>
      </c>
      <c r="M827" s="447"/>
      <c r="N827" s="298"/>
      <c r="O827" s="298"/>
      <c r="P827" s="298"/>
      <c r="Q827" s="298"/>
      <c r="R827" s="298"/>
      <c r="S827" s="298"/>
    </row>
    <row r="828" spans="1:19" s="92" customFormat="1">
      <c r="A828" s="256"/>
      <c r="B828" s="390" t="s">
        <v>14579</v>
      </c>
      <c r="C828" s="390"/>
      <c r="D828" s="479" t="s">
        <v>14580</v>
      </c>
      <c r="E828" s="397"/>
      <c r="F828" s="431"/>
      <c r="G828" s="431"/>
      <c r="H828" s="431"/>
      <c r="I828" s="431"/>
      <c r="J828" s="428"/>
      <c r="K828" s="298"/>
      <c r="L828" s="447">
        <f t="shared" si="93"/>
        <v>0</v>
      </c>
      <c r="M828" s="447"/>
      <c r="N828" s="298"/>
      <c r="O828" s="298"/>
      <c r="P828" s="298"/>
      <c r="Q828" s="298"/>
      <c r="R828" s="298"/>
      <c r="S828" s="298"/>
    </row>
    <row r="829" spans="1:19" s="92" customFormat="1">
      <c r="A829" s="256"/>
      <c r="B829" s="390" t="s">
        <v>15053</v>
      </c>
      <c r="C829" s="287"/>
      <c r="D829" s="399" t="s">
        <v>14586</v>
      </c>
      <c r="E829" s="415"/>
      <c r="F829" s="415"/>
      <c r="G829" s="462"/>
      <c r="H829" s="415"/>
      <c r="I829" s="462"/>
      <c r="J829" s="416"/>
      <c r="K829" s="298"/>
      <c r="L829" s="447">
        <f t="shared" si="93"/>
        <v>0</v>
      </c>
      <c r="M829" s="447"/>
      <c r="N829" s="298"/>
      <c r="O829" s="298"/>
      <c r="P829" s="298"/>
      <c r="Q829" s="298"/>
      <c r="R829" s="298"/>
      <c r="S829" s="298"/>
    </row>
    <row r="830" spans="1:19" s="92" customFormat="1" ht="63.75">
      <c r="A830" s="394" t="s">
        <v>3259</v>
      </c>
      <c r="B830" s="288" t="s">
        <v>15057</v>
      </c>
      <c r="C830" s="285">
        <v>92367</v>
      </c>
      <c r="D830" s="289" t="s">
        <v>13233</v>
      </c>
      <c r="E830" s="290" t="s">
        <v>5</v>
      </c>
      <c r="F830" s="292">
        <v>39.1</v>
      </c>
      <c r="G830" s="510" t="s">
        <v>22950</v>
      </c>
      <c r="H830" s="508">
        <v>0.2094</v>
      </c>
      <c r="I830" s="510">
        <v>151.68294800000001</v>
      </c>
      <c r="J830" s="509">
        <v>5930.8032668000005</v>
      </c>
      <c r="K830" s="298"/>
      <c r="L830" s="447">
        <f t="shared" si="93"/>
        <v>5930.8032668000005</v>
      </c>
      <c r="M830" s="447"/>
      <c r="N830" s="298"/>
      <c r="O830" s="298"/>
      <c r="P830" s="298"/>
      <c r="Q830" s="298"/>
      <c r="R830" s="298"/>
      <c r="S830" s="298"/>
    </row>
    <row r="831" spans="1:19" s="92" customFormat="1" ht="63.75">
      <c r="A831" s="394" t="s">
        <v>3259</v>
      </c>
      <c r="B831" s="288" t="s">
        <v>15058</v>
      </c>
      <c r="C831" s="285">
        <v>92390</v>
      </c>
      <c r="D831" s="289" t="s">
        <v>13308</v>
      </c>
      <c r="E831" s="290" t="s">
        <v>109</v>
      </c>
      <c r="F831" s="292">
        <v>7</v>
      </c>
      <c r="G831" s="510" t="s">
        <v>15805</v>
      </c>
      <c r="H831" s="508">
        <v>0.2094</v>
      </c>
      <c r="I831" s="510">
        <v>129.34533000000002</v>
      </c>
      <c r="J831" s="509">
        <v>905.41731000000016</v>
      </c>
      <c r="K831" s="298"/>
      <c r="L831" s="447">
        <f t="shared" si="93"/>
        <v>905.41731000000016</v>
      </c>
      <c r="M831" s="447"/>
      <c r="N831" s="298"/>
      <c r="O831" s="298"/>
      <c r="P831" s="298"/>
      <c r="Q831" s="298"/>
      <c r="R831" s="298"/>
      <c r="S831" s="298"/>
    </row>
    <row r="832" spans="1:19" s="92" customFormat="1" ht="51">
      <c r="A832" s="394" t="s">
        <v>3259</v>
      </c>
      <c r="B832" s="288" t="s">
        <v>15059</v>
      </c>
      <c r="C832" s="285">
        <v>92642</v>
      </c>
      <c r="D832" s="289" t="s">
        <v>13315</v>
      </c>
      <c r="E832" s="290" t="s">
        <v>109</v>
      </c>
      <c r="F832" s="292">
        <v>1</v>
      </c>
      <c r="G832" s="510" t="s">
        <v>23167</v>
      </c>
      <c r="H832" s="508">
        <v>0.2094</v>
      </c>
      <c r="I832" s="510">
        <v>176.47564799999998</v>
      </c>
      <c r="J832" s="509">
        <v>176.47564799999998</v>
      </c>
      <c r="K832" s="298"/>
      <c r="L832" s="447">
        <f t="shared" ref="L832" si="94">I832*F832</f>
        <v>176.47564799999998</v>
      </c>
      <c r="M832" s="447"/>
      <c r="N832" s="298"/>
      <c r="O832" s="298"/>
      <c r="P832" s="298"/>
      <c r="Q832" s="298"/>
      <c r="R832" s="298"/>
      <c r="S832" s="298"/>
    </row>
    <row r="833" spans="1:19" s="92" customFormat="1" ht="51">
      <c r="A833" s="394" t="s">
        <v>3259</v>
      </c>
      <c r="B833" s="288" t="s">
        <v>15060</v>
      </c>
      <c r="C833" s="285">
        <v>95745</v>
      </c>
      <c r="D833" s="289" t="s">
        <v>1542</v>
      </c>
      <c r="E833" s="290" t="s">
        <v>5</v>
      </c>
      <c r="F833" s="292">
        <v>42.65</v>
      </c>
      <c r="G833" s="510" t="s">
        <v>22575</v>
      </c>
      <c r="H833" s="508">
        <v>0.2094</v>
      </c>
      <c r="I833" s="510">
        <v>22.422276</v>
      </c>
      <c r="J833" s="509">
        <v>956.31007139999997</v>
      </c>
      <c r="K833" s="298"/>
      <c r="L833" s="447">
        <f t="shared" si="93"/>
        <v>956.31007139999997</v>
      </c>
      <c r="M833" s="447"/>
      <c r="N833" s="298"/>
      <c r="O833" s="298"/>
      <c r="P833" s="298"/>
      <c r="Q833" s="298"/>
      <c r="R833" s="298"/>
      <c r="S833" s="298"/>
    </row>
    <row r="834" spans="1:19" s="92" customFormat="1" ht="51">
      <c r="A834" s="394" t="s">
        <v>3259</v>
      </c>
      <c r="B834" s="288" t="s">
        <v>15061</v>
      </c>
      <c r="C834" s="285">
        <v>95787</v>
      </c>
      <c r="D834" s="289" t="s">
        <v>271</v>
      </c>
      <c r="E834" s="290" t="s">
        <v>109</v>
      </c>
      <c r="F834" s="292">
        <v>6</v>
      </c>
      <c r="G834" s="510" t="s">
        <v>10673</v>
      </c>
      <c r="H834" s="508">
        <v>0.2094</v>
      </c>
      <c r="I834" s="510">
        <v>27.598508000000002</v>
      </c>
      <c r="J834" s="509">
        <v>165.591048</v>
      </c>
      <c r="K834" s="298"/>
      <c r="L834" s="447">
        <f t="shared" si="93"/>
        <v>165.591048</v>
      </c>
      <c r="M834" s="447"/>
      <c r="N834" s="298"/>
      <c r="O834" s="298"/>
      <c r="P834" s="298"/>
      <c r="Q834" s="298"/>
      <c r="R834" s="298"/>
      <c r="S834" s="298"/>
    </row>
    <row r="835" spans="1:19" s="92" customFormat="1" ht="51">
      <c r="A835" s="394" t="s">
        <v>3259</v>
      </c>
      <c r="B835" s="288" t="s">
        <v>15067</v>
      </c>
      <c r="C835" s="285">
        <v>95795</v>
      </c>
      <c r="D835" s="289" t="s">
        <v>269</v>
      </c>
      <c r="E835" s="290" t="s">
        <v>109</v>
      </c>
      <c r="F835" s="292">
        <v>1</v>
      </c>
      <c r="G835" s="510" t="s">
        <v>22605</v>
      </c>
      <c r="H835" s="508">
        <v>0.2094</v>
      </c>
      <c r="I835" s="510">
        <v>31.831408</v>
      </c>
      <c r="J835" s="509">
        <v>31.831408</v>
      </c>
      <c r="K835" s="298"/>
      <c r="L835" s="447">
        <f t="shared" si="93"/>
        <v>31.831408</v>
      </c>
      <c r="M835" s="447"/>
      <c r="N835" s="298"/>
      <c r="O835" s="298"/>
      <c r="P835" s="298"/>
      <c r="Q835" s="298"/>
      <c r="R835" s="298"/>
      <c r="S835" s="298"/>
    </row>
    <row r="836" spans="1:19" s="92" customFormat="1" ht="51">
      <c r="A836" s="394" t="s">
        <v>3259</v>
      </c>
      <c r="B836" s="288" t="s">
        <v>15068</v>
      </c>
      <c r="C836" s="285">
        <v>95778</v>
      </c>
      <c r="D836" s="289" t="s">
        <v>268</v>
      </c>
      <c r="E836" s="290" t="s">
        <v>109</v>
      </c>
      <c r="F836" s="292">
        <v>2</v>
      </c>
      <c r="G836" s="510" t="s">
        <v>11121</v>
      </c>
      <c r="H836" s="508">
        <v>0.2094</v>
      </c>
      <c r="I836" s="510">
        <v>27.296158000000002</v>
      </c>
      <c r="J836" s="509">
        <v>54.592316000000004</v>
      </c>
      <c r="K836" s="298"/>
      <c r="L836" s="447">
        <f t="shared" si="93"/>
        <v>54.592316000000004</v>
      </c>
      <c r="M836" s="447"/>
      <c r="N836" s="298"/>
      <c r="O836" s="298"/>
      <c r="P836" s="298"/>
      <c r="Q836" s="298"/>
      <c r="R836" s="298"/>
      <c r="S836" s="298"/>
    </row>
    <row r="837" spans="1:19" s="92" customFormat="1" ht="51">
      <c r="A837" s="394" t="s">
        <v>3259</v>
      </c>
      <c r="B837" s="288" t="s">
        <v>15069</v>
      </c>
      <c r="C837" s="285">
        <v>95779</v>
      </c>
      <c r="D837" s="289" t="s">
        <v>270</v>
      </c>
      <c r="E837" s="290" t="s">
        <v>109</v>
      </c>
      <c r="F837" s="292">
        <v>2</v>
      </c>
      <c r="G837" s="510" t="s">
        <v>21119</v>
      </c>
      <c r="H837" s="508">
        <v>0.2094</v>
      </c>
      <c r="I837" s="510">
        <v>25.627186000000002</v>
      </c>
      <c r="J837" s="509">
        <v>51.254372000000004</v>
      </c>
      <c r="K837" s="298"/>
      <c r="L837" s="447">
        <f t="shared" si="93"/>
        <v>51.254372000000004</v>
      </c>
      <c r="M837" s="447"/>
      <c r="N837" s="298"/>
      <c r="O837" s="298"/>
      <c r="P837" s="298"/>
      <c r="Q837" s="298"/>
      <c r="R837" s="298"/>
      <c r="S837" s="298"/>
    </row>
    <row r="838" spans="1:19" s="140" customFormat="1">
      <c r="A838" s="256"/>
      <c r="B838" s="595"/>
      <c r="C838" s="595"/>
      <c r="D838" s="759"/>
      <c r="E838" s="595"/>
      <c r="F838" s="595"/>
      <c r="G838" s="597"/>
      <c r="H838" s="595"/>
      <c r="I838" s="596"/>
      <c r="J838" s="597"/>
      <c r="K838" s="409"/>
      <c r="L838" s="447">
        <f t="shared" si="93"/>
        <v>0</v>
      </c>
      <c r="M838" s="409"/>
      <c r="N838" s="409"/>
      <c r="O838" s="409"/>
      <c r="P838" s="409"/>
      <c r="Q838" s="409"/>
      <c r="R838" s="409"/>
      <c r="S838" s="409"/>
    </row>
    <row r="839" spans="1:19" s="92" customFormat="1">
      <c r="A839" s="256"/>
      <c r="B839" s="390" t="s">
        <v>15054</v>
      </c>
      <c r="C839" s="390"/>
      <c r="D839" s="399" t="s">
        <v>15055</v>
      </c>
      <c r="E839" s="415"/>
      <c r="F839" s="415"/>
      <c r="G839" s="462"/>
      <c r="H839" s="415"/>
      <c r="I839" s="462"/>
      <c r="J839" s="416"/>
      <c r="K839" s="298"/>
      <c r="L839" s="447">
        <f t="shared" si="93"/>
        <v>0</v>
      </c>
      <c r="M839" s="447"/>
      <c r="N839" s="298"/>
      <c r="O839" s="298"/>
      <c r="P839" s="298"/>
      <c r="Q839" s="298"/>
      <c r="R839" s="298"/>
      <c r="S839" s="298"/>
    </row>
    <row r="840" spans="1:19" s="92" customFormat="1" ht="89.25">
      <c r="A840" s="394" t="s">
        <v>3260</v>
      </c>
      <c r="B840" s="288" t="s">
        <v>15062</v>
      </c>
      <c r="C840" s="285" t="s">
        <v>15133</v>
      </c>
      <c r="D840" s="289" t="s">
        <v>15094</v>
      </c>
      <c r="E840" s="290" t="s">
        <v>109</v>
      </c>
      <c r="F840" s="292">
        <v>2</v>
      </c>
      <c r="G840" s="510">
        <v>1823.27</v>
      </c>
      <c r="H840" s="508">
        <v>0.2094</v>
      </c>
      <c r="I840" s="510">
        <v>2205.0627380000001</v>
      </c>
      <c r="J840" s="509">
        <v>4410.1254760000002</v>
      </c>
      <c r="K840" s="298"/>
      <c r="L840" s="447">
        <f t="shared" si="93"/>
        <v>4410.1254760000002</v>
      </c>
      <c r="M840" s="447"/>
      <c r="N840" s="298"/>
      <c r="O840" s="298"/>
      <c r="P840" s="298"/>
      <c r="Q840" s="298"/>
      <c r="R840" s="298"/>
      <c r="S840" s="298"/>
    </row>
    <row r="841" spans="1:19" s="92" customFormat="1" ht="51">
      <c r="A841" s="394" t="s">
        <v>3260</v>
      </c>
      <c r="B841" s="288" t="s">
        <v>15070</v>
      </c>
      <c r="C841" s="285" t="s">
        <v>15114</v>
      </c>
      <c r="D841" s="289" t="s">
        <v>17914</v>
      </c>
      <c r="E841" s="290" t="s">
        <v>109</v>
      </c>
      <c r="F841" s="292">
        <v>10</v>
      </c>
      <c r="G841" s="510">
        <v>164.22</v>
      </c>
      <c r="H841" s="508">
        <v>0.2094</v>
      </c>
      <c r="I841" s="510">
        <v>198.60766799999999</v>
      </c>
      <c r="J841" s="509">
        <v>1986.0766799999999</v>
      </c>
      <c r="K841" s="298"/>
      <c r="L841" s="447">
        <f t="shared" si="93"/>
        <v>1986.0766799999999</v>
      </c>
      <c r="M841" s="447"/>
      <c r="N841" s="298"/>
      <c r="O841" s="298"/>
      <c r="P841" s="298"/>
      <c r="Q841" s="298"/>
      <c r="R841" s="298"/>
      <c r="S841" s="298"/>
    </row>
    <row r="842" spans="1:19" s="92" customFormat="1" ht="38.25">
      <c r="A842" s="394" t="s">
        <v>3260</v>
      </c>
      <c r="B842" s="288" t="s">
        <v>15071</v>
      </c>
      <c r="C842" s="285" t="s">
        <v>15123</v>
      </c>
      <c r="D842" s="289" t="s">
        <v>15129</v>
      </c>
      <c r="E842" s="290" t="s">
        <v>3240</v>
      </c>
      <c r="F842" s="292">
        <v>1</v>
      </c>
      <c r="G842" s="510">
        <v>1334.53</v>
      </c>
      <c r="H842" s="508">
        <v>0.2094</v>
      </c>
      <c r="I842" s="510">
        <v>1613.9805819999999</v>
      </c>
      <c r="J842" s="509">
        <v>1613.9805819999999</v>
      </c>
      <c r="K842" s="298"/>
      <c r="L842" s="447">
        <f t="shared" si="93"/>
        <v>1613.9805819999999</v>
      </c>
      <c r="M842" s="447"/>
      <c r="N842" s="298"/>
      <c r="O842" s="298"/>
      <c r="P842" s="298"/>
      <c r="Q842" s="298"/>
      <c r="R842" s="298"/>
      <c r="S842" s="298"/>
    </row>
    <row r="843" spans="1:19" s="92" customFormat="1" ht="38.25">
      <c r="A843" s="394" t="s">
        <v>3260</v>
      </c>
      <c r="B843" s="288" t="s">
        <v>15075</v>
      </c>
      <c r="C843" s="285" t="s">
        <v>15124</v>
      </c>
      <c r="D843" s="289" t="s">
        <v>15131</v>
      </c>
      <c r="E843" s="290" t="s">
        <v>3240</v>
      </c>
      <c r="F843" s="292">
        <v>2</v>
      </c>
      <c r="G843" s="510">
        <v>108.3</v>
      </c>
      <c r="H843" s="508">
        <v>0.2094</v>
      </c>
      <c r="I843" s="510">
        <v>130.97801999999999</v>
      </c>
      <c r="J843" s="509">
        <v>261.95603999999997</v>
      </c>
      <c r="K843" s="298"/>
      <c r="L843" s="447">
        <f t="shared" si="93"/>
        <v>261.95603999999997</v>
      </c>
      <c r="M843" s="447"/>
      <c r="N843" s="298"/>
      <c r="O843" s="298"/>
      <c r="P843" s="298"/>
      <c r="Q843" s="298"/>
      <c r="R843" s="298"/>
      <c r="S843" s="298"/>
    </row>
    <row r="844" spans="1:19" s="92" customFormat="1" ht="38.25">
      <c r="A844" s="394" t="s">
        <v>3260</v>
      </c>
      <c r="B844" s="288" t="s">
        <v>15092</v>
      </c>
      <c r="C844" s="285" t="s">
        <v>15127</v>
      </c>
      <c r="D844" s="289" t="s">
        <v>15134</v>
      </c>
      <c r="E844" s="290" t="s">
        <v>3240</v>
      </c>
      <c r="F844" s="292">
        <v>2</v>
      </c>
      <c r="G844" s="510">
        <v>124.37</v>
      </c>
      <c r="H844" s="508">
        <v>0.2094</v>
      </c>
      <c r="I844" s="510">
        <v>150.41307800000001</v>
      </c>
      <c r="J844" s="509">
        <v>300.82615600000003</v>
      </c>
      <c r="K844" s="298"/>
      <c r="L844" s="447">
        <f t="shared" si="93"/>
        <v>300.82615600000003</v>
      </c>
      <c r="M844" s="447"/>
      <c r="N844" s="298"/>
      <c r="O844" s="298"/>
      <c r="P844" s="298"/>
      <c r="Q844" s="298"/>
      <c r="R844" s="298"/>
      <c r="S844" s="298"/>
    </row>
    <row r="845" spans="1:19" s="92" customFormat="1">
      <c r="A845" s="256"/>
      <c r="B845" s="390"/>
      <c r="C845" s="390"/>
      <c r="D845" s="399"/>
      <c r="E845" s="415"/>
      <c r="F845" s="415"/>
      <c r="G845" s="462"/>
      <c r="H845" s="415"/>
      <c r="I845" s="462"/>
      <c r="J845" s="416"/>
      <c r="K845" s="298"/>
      <c r="L845" s="447">
        <f t="shared" si="93"/>
        <v>0</v>
      </c>
      <c r="M845" s="447"/>
      <c r="N845" s="298"/>
      <c r="O845" s="298"/>
      <c r="P845" s="298"/>
      <c r="Q845" s="298"/>
      <c r="R845" s="298"/>
      <c r="S845" s="298"/>
    </row>
    <row r="846" spans="1:19" s="92" customFormat="1">
      <c r="A846" s="256"/>
      <c r="B846" s="390" t="s">
        <v>15100</v>
      </c>
      <c r="C846" s="390"/>
      <c r="D846" s="399" t="s">
        <v>11591</v>
      </c>
      <c r="E846" s="415"/>
      <c r="F846" s="415"/>
      <c r="G846" s="462"/>
      <c r="H846" s="415"/>
      <c r="I846" s="462"/>
      <c r="J846" s="416"/>
      <c r="K846" s="298"/>
      <c r="L846" s="447">
        <f t="shared" si="93"/>
        <v>0</v>
      </c>
      <c r="M846" s="447"/>
      <c r="N846" s="298"/>
      <c r="O846" s="298"/>
      <c r="P846" s="298"/>
      <c r="Q846" s="298"/>
      <c r="R846" s="298"/>
      <c r="S846" s="298"/>
    </row>
    <row r="847" spans="1:19" s="92" customFormat="1" ht="25.5">
      <c r="A847" s="394" t="s">
        <v>3260</v>
      </c>
      <c r="B847" s="288" t="s">
        <v>15101</v>
      </c>
      <c r="C847" s="285" t="s">
        <v>15130</v>
      </c>
      <c r="D847" s="289" t="s">
        <v>15138</v>
      </c>
      <c r="E847" s="290" t="s">
        <v>5</v>
      </c>
      <c r="F847" s="292">
        <v>42.65</v>
      </c>
      <c r="G847" s="510">
        <v>8.7900000000000009</v>
      </c>
      <c r="H847" s="508">
        <v>0.2094</v>
      </c>
      <c r="I847" s="510">
        <v>10.630626000000001</v>
      </c>
      <c r="J847" s="509">
        <v>453.39619890000006</v>
      </c>
      <c r="K847" s="298"/>
      <c r="L847" s="447">
        <f t="shared" si="93"/>
        <v>453.39619890000006</v>
      </c>
      <c r="M847" s="447"/>
      <c r="N847" s="298"/>
      <c r="O847" s="298"/>
      <c r="P847" s="298"/>
      <c r="Q847" s="298"/>
      <c r="R847" s="298"/>
      <c r="S847" s="298"/>
    </row>
    <row r="848" spans="1:19" s="92" customFormat="1">
      <c r="A848" s="394"/>
      <c r="B848" s="288"/>
      <c r="C848" s="285"/>
      <c r="D848" s="407"/>
      <c r="E848" s="230"/>
      <c r="F848" s="477"/>
      <c r="G848" s="464"/>
      <c r="H848" s="427"/>
      <c r="I848" s="464"/>
      <c r="J848" s="594"/>
      <c r="K848" s="298"/>
      <c r="L848" s="447">
        <f t="shared" si="93"/>
        <v>0</v>
      </c>
      <c r="M848" s="447"/>
      <c r="N848" s="298"/>
      <c r="O848" s="298"/>
      <c r="P848" s="298"/>
      <c r="Q848" s="298"/>
      <c r="R848" s="298"/>
      <c r="S848" s="298"/>
    </row>
    <row r="849" spans="1:19" s="92" customFormat="1">
      <c r="A849" s="256"/>
      <c r="B849" s="390" t="s">
        <v>15072</v>
      </c>
      <c r="C849" s="390"/>
      <c r="D849" s="399" t="s">
        <v>15074</v>
      </c>
      <c r="E849" s="415"/>
      <c r="F849" s="415"/>
      <c r="G849" s="462"/>
      <c r="H849" s="415"/>
      <c r="I849" s="462"/>
      <c r="J849" s="416"/>
      <c r="K849" s="298"/>
      <c r="L849" s="447">
        <f t="shared" si="93"/>
        <v>0</v>
      </c>
      <c r="M849" s="447"/>
      <c r="N849" s="298"/>
      <c r="O849" s="298"/>
      <c r="P849" s="298"/>
      <c r="Q849" s="298"/>
      <c r="R849" s="298"/>
      <c r="S849" s="298"/>
    </row>
    <row r="850" spans="1:19" s="92" customFormat="1" ht="88.5" customHeight="1">
      <c r="A850" s="394" t="s">
        <v>3260</v>
      </c>
      <c r="B850" s="288" t="s">
        <v>15073</v>
      </c>
      <c r="C850" s="285" t="s">
        <v>15137</v>
      </c>
      <c r="D850" s="289" t="s">
        <v>15113</v>
      </c>
      <c r="E850" s="290" t="s">
        <v>109</v>
      </c>
      <c r="F850" s="292">
        <v>14</v>
      </c>
      <c r="G850" s="510">
        <v>34.21</v>
      </c>
      <c r="H850" s="508">
        <v>0.2094</v>
      </c>
      <c r="I850" s="510">
        <v>41.373574000000005</v>
      </c>
      <c r="J850" s="509">
        <v>579.23003600000004</v>
      </c>
      <c r="K850" s="298"/>
      <c r="L850" s="447">
        <f t="shared" si="93"/>
        <v>579.23003600000004</v>
      </c>
      <c r="M850" s="447"/>
      <c r="N850" s="298"/>
      <c r="O850" s="298"/>
      <c r="P850" s="298"/>
      <c r="Q850" s="298"/>
      <c r="R850" s="298"/>
      <c r="S850" s="298"/>
    </row>
    <row r="851" spans="1:19" s="92" customFormat="1" ht="76.5">
      <c r="A851" s="394" t="s">
        <v>3260</v>
      </c>
      <c r="B851" s="288" t="s">
        <v>18127</v>
      </c>
      <c r="C851" s="285" t="s">
        <v>15140</v>
      </c>
      <c r="D851" s="289" t="s">
        <v>15115</v>
      </c>
      <c r="E851" s="290" t="s">
        <v>109</v>
      </c>
      <c r="F851" s="292">
        <v>4</v>
      </c>
      <c r="G851" s="510">
        <v>34.21</v>
      </c>
      <c r="H851" s="508">
        <v>0.2094</v>
      </c>
      <c r="I851" s="510">
        <v>41.373574000000005</v>
      </c>
      <c r="J851" s="509">
        <v>165.49429600000002</v>
      </c>
      <c r="K851" s="298"/>
      <c r="L851" s="447">
        <f t="shared" si="93"/>
        <v>165.49429600000002</v>
      </c>
      <c r="M851" s="447"/>
      <c r="N851" s="298"/>
      <c r="O851" s="298"/>
      <c r="P851" s="298"/>
      <c r="Q851" s="298"/>
      <c r="R851" s="298"/>
      <c r="S851" s="298"/>
    </row>
    <row r="852" spans="1:19" s="92" customFormat="1" ht="76.5">
      <c r="A852" s="394" t="s">
        <v>3260</v>
      </c>
      <c r="B852" s="288" t="s">
        <v>18128</v>
      </c>
      <c r="C852" s="285" t="s">
        <v>15143</v>
      </c>
      <c r="D852" s="289" t="s">
        <v>15117</v>
      </c>
      <c r="E852" s="290" t="s">
        <v>109</v>
      </c>
      <c r="F852" s="292">
        <v>7</v>
      </c>
      <c r="G852" s="510">
        <v>34.21</v>
      </c>
      <c r="H852" s="508">
        <v>0.2094</v>
      </c>
      <c r="I852" s="510">
        <v>41.373574000000005</v>
      </c>
      <c r="J852" s="509">
        <v>289.61501800000002</v>
      </c>
      <c r="K852" s="298"/>
      <c r="L852" s="447">
        <f t="shared" si="93"/>
        <v>289.61501800000002</v>
      </c>
      <c r="M852" s="447"/>
      <c r="N852" s="298"/>
      <c r="O852" s="298"/>
      <c r="P852" s="298"/>
      <c r="Q852" s="298"/>
      <c r="R852" s="298"/>
      <c r="S852" s="298"/>
    </row>
    <row r="853" spans="1:19" s="92" customFormat="1" ht="76.5">
      <c r="A853" s="394" t="s">
        <v>3260</v>
      </c>
      <c r="B853" s="288" t="s">
        <v>18129</v>
      </c>
      <c r="C853" s="285" t="s">
        <v>15146</v>
      </c>
      <c r="D853" s="289" t="s">
        <v>15118</v>
      </c>
      <c r="E853" s="290" t="s">
        <v>109</v>
      </c>
      <c r="F853" s="292">
        <v>2</v>
      </c>
      <c r="G853" s="510">
        <v>34.21</v>
      </c>
      <c r="H853" s="508">
        <v>0.2094</v>
      </c>
      <c r="I853" s="510">
        <v>41.373574000000005</v>
      </c>
      <c r="J853" s="509">
        <v>82.74714800000001</v>
      </c>
      <c r="K853" s="298"/>
      <c r="L853" s="447">
        <f t="shared" si="93"/>
        <v>82.74714800000001</v>
      </c>
      <c r="M853" s="447"/>
      <c r="N853" s="298"/>
      <c r="O853" s="298"/>
      <c r="P853" s="298"/>
      <c r="Q853" s="298"/>
      <c r="R853" s="298"/>
      <c r="S853" s="298"/>
    </row>
    <row r="854" spans="1:19" s="92" customFormat="1" ht="76.5">
      <c r="A854" s="394" t="s">
        <v>3260</v>
      </c>
      <c r="B854" s="288" t="s">
        <v>18130</v>
      </c>
      <c r="C854" s="285" t="s">
        <v>15147</v>
      </c>
      <c r="D854" s="289" t="s">
        <v>15119</v>
      </c>
      <c r="E854" s="290" t="s">
        <v>109</v>
      </c>
      <c r="F854" s="292">
        <v>2</v>
      </c>
      <c r="G854" s="510">
        <v>34.21</v>
      </c>
      <c r="H854" s="508">
        <v>0.2094</v>
      </c>
      <c r="I854" s="510">
        <v>41.373574000000005</v>
      </c>
      <c r="J854" s="509">
        <v>82.74714800000001</v>
      </c>
      <c r="K854" s="298"/>
      <c r="L854" s="447">
        <f t="shared" si="93"/>
        <v>82.74714800000001</v>
      </c>
      <c r="M854" s="447"/>
      <c r="N854" s="298"/>
      <c r="O854" s="298"/>
      <c r="P854" s="298"/>
      <c r="Q854" s="298"/>
      <c r="R854" s="298"/>
      <c r="S854" s="298"/>
    </row>
    <row r="855" spans="1:19" s="92" customFormat="1" ht="76.5">
      <c r="A855" s="394" t="s">
        <v>3260</v>
      </c>
      <c r="B855" s="288" t="s">
        <v>18131</v>
      </c>
      <c r="C855" s="285" t="s">
        <v>15148</v>
      </c>
      <c r="D855" s="289" t="s">
        <v>15125</v>
      </c>
      <c r="E855" s="290" t="s">
        <v>109</v>
      </c>
      <c r="F855" s="292">
        <v>2</v>
      </c>
      <c r="G855" s="510">
        <v>34.21</v>
      </c>
      <c r="H855" s="508">
        <v>0.2094</v>
      </c>
      <c r="I855" s="510">
        <v>41.373574000000005</v>
      </c>
      <c r="J855" s="509">
        <v>82.74714800000001</v>
      </c>
      <c r="K855" s="298"/>
      <c r="L855" s="447">
        <f t="shared" si="93"/>
        <v>82.74714800000001</v>
      </c>
      <c r="M855" s="447"/>
      <c r="N855" s="298"/>
      <c r="O855" s="298"/>
      <c r="P855" s="298"/>
      <c r="Q855" s="298"/>
      <c r="R855" s="298"/>
      <c r="S855" s="298"/>
    </row>
    <row r="856" spans="1:19" s="92" customFormat="1" ht="76.5">
      <c r="A856" s="394" t="s">
        <v>3260</v>
      </c>
      <c r="B856" s="288" t="s">
        <v>18132</v>
      </c>
      <c r="C856" s="285" t="s">
        <v>15116</v>
      </c>
      <c r="D856" s="289" t="s">
        <v>15120</v>
      </c>
      <c r="E856" s="290" t="s">
        <v>109</v>
      </c>
      <c r="F856" s="292">
        <v>6</v>
      </c>
      <c r="G856" s="510">
        <v>34.21</v>
      </c>
      <c r="H856" s="508">
        <v>0.2094</v>
      </c>
      <c r="I856" s="510">
        <v>41.373574000000005</v>
      </c>
      <c r="J856" s="509">
        <v>248.24144400000003</v>
      </c>
      <c r="K856" s="298"/>
      <c r="L856" s="447">
        <f t="shared" si="93"/>
        <v>248.24144400000003</v>
      </c>
      <c r="M856" s="447"/>
      <c r="N856" s="298"/>
      <c r="O856" s="298"/>
      <c r="P856" s="298"/>
      <c r="Q856" s="298"/>
      <c r="R856" s="298"/>
      <c r="S856" s="298"/>
    </row>
    <row r="857" spans="1:19" s="92" customFormat="1">
      <c r="A857" s="256"/>
      <c r="B857" s="397"/>
      <c r="C857" s="397"/>
      <c r="D857" s="408"/>
      <c r="E857" s="397"/>
      <c r="F857" s="431"/>
      <c r="G857" s="431"/>
      <c r="H857" s="417"/>
      <c r="I857" s="431"/>
      <c r="J857" s="418"/>
      <c r="K857" s="298"/>
      <c r="L857" s="447">
        <f t="shared" si="93"/>
        <v>0</v>
      </c>
      <c r="M857" s="447"/>
      <c r="N857" s="298"/>
      <c r="O857" s="298"/>
      <c r="P857" s="298"/>
      <c r="Q857" s="298"/>
      <c r="R857" s="298"/>
      <c r="S857" s="298"/>
    </row>
    <row r="858" spans="1:19" s="92" customFormat="1">
      <c r="A858" s="256"/>
      <c r="B858" s="390" t="s">
        <v>15056</v>
      </c>
      <c r="C858" s="390"/>
      <c r="D858" s="399" t="s">
        <v>14816</v>
      </c>
      <c r="E858" s="415"/>
      <c r="F858" s="415"/>
      <c r="G858" s="462"/>
      <c r="H858" s="415"/>
      <c r="I858" s="462"/>
      <c r="J858" s="416"/>
      <c r="K858" s="298"/>
      <c r="L858" s="447">
        <f t="shared" si="93"/>
        <v>0</v>
      </c>
      <c r="M858" s="447"/>
      <c r="N858" s="298"/>
      <c r="O858" s="298"/>
      <c r="P858" s="298"/>
      <c r="Q858" s="298"/>
      <c r="R858" s="298"/>
      <c r="S858" s="298"/>
    </row>
    <row r="859" spans="1:19" s="92" customFormat="1" ht="63.75">
      <c r="A859" s="394" t="s">
        <v>3259</v>
      </c>
      <c r="B859" s="288" t="s">
        <v>15063</v>
      </c>
      <c r="C859" s="285">
        <v>91171</v>
      </c>
      <c r="D859" s="289" t="s">
        <v>263</v>
      </c>
      <c r="E859" s="290" t="s">
        <v>5</v>
      </c>
      <c r="F859" s="292">
        <v>81.75</v>
      </c>
      <c r="G859" s="510" t="s">
        <v>9985</v>
      </c>
      <c r="H859" s="508">
        <v>0.2094</v>
      </c>
      <c r="I859" s="510">
        <v>3.9184560000000004</v>
      </c>
      <c r="J859" s="509">
        <v>320.33377800000005</v>
      </c>
      <c r="K859" s="298"/>
      <c r="L859" s="447">
        <f t="shared" si="93"/>
        <v>320.33377800000005</v>
      </c>
      <c r="M859" s="447"/>
      <c r="N859" s="298"/>
      <c r="O859" s="298"/>
      <c r="P859" s="298"/>
      <c r="Q859" s="298"/>
      <c r="R859" s="298"/>
      <c r="S859" s="298"/>
    </row>
    <row r="860" spans="1:19" s="92" customFormat="1" ht="76.5">
      <c r="A860" s="394" t="s">
        <v>3259</v>
      </c>
      <c r="B860" s="288" t="s">
        <v>15098</v>
      </c>
      <c r="C860" s="288">
        <v>100746</v>
      </c>
      <c r="D860" s="289" t="s">
        <v>11003</v>
      </c>
      <c r="E860" s="290" t="s">
        <v>193</v>
      </c>
      <c r="F860" s="292">
        <v>9.34</v>
      </c>
      <c r="G860" s="510" t="s">
        <v>11013</v>
      </c>
      <c r="H860" s="508">
        <v>0.2094</v>
      </c>
      <c r="I860" s="510">
        <v>24.937828000000003</v>
      </c>
      <c r="J860" s="509">
        <v>232.91931352000003</v>
      </c>
      <c r="K860" s="298"/>
      <c r="L860" s="447">
        <f t="shared" si="93"/>
        <v>232.91931352000003</v>
      </c>
      <c r="M860" s="447"/>
      <c r="N860" s="298"/>
      <c r="O860" s="298"/>
      <c r="P860" s="298"/>
      <c r="Q860" s="298"/>
      <c r="R860" s="298"/>
      <c r="S860" s="298"/>
    </row>
    <row r="861" spans="1:19" s="92" customFormat="1">
      <c r="A861" s="256"/>
      <c r="B861" s="397"/>
      <c r="C861" s="397"/>
      <c r="D861" s="408"/>
      <c r="E861" s="397"/>
      <c r="F861" s="431"/>
      <c r="G861" s="431"/>
      <c r="H861" s="417"/>
      <c r="I861" s="431"/>
      <c r="J861" s="418"/>
      <c r="K861" s="298"/>
      <c r="L861" s="447">
        <f t="shared" si="93"/>
        <v>0</v>
      </c>
      <c r="M861" s="447"/>
      <c r="N861" s="298"/>
      <c r="O861" s="298"/>
      <c r="P861" s="298"/>
      <c r="Q861" s="298"/>
      <c r="R861" s="298"/>
      <c r="S861" s="298"/>
    </row>
    <row r="862" spans="1:19" s="92" customFormat="1">
      <c r="A862" s="256"/>
      <c r="B862" s="392"/>
      <c r="C862" s="393"/>
      <c r="D862" s="402"/>
      <c r="E862" s="393"/>
      <c r="F862" s="393"/>
      <c r="G862" s="460" t="s">
        <v>69</v>
      </c>
      <c r="H862" s="432"/>
      <c r="I862" s="460"/>
      <c r="J862" s="420">
        <v>19382.711902619998</v>
      </c>
      <c r="K862" s="298"/>
      <c r="L862" s="447">
        <f t="shared" si="93"/>
        <v>0</v>
      </c>
      <c r="M862" s="447"/>
      <c r="N862" s="298"/>
      <c r="O862" s="298"/>
      <c r="P862" s="298"/>
      <c r="Q862" s="298"/>
      <c r="R862" s="298"/>
      <c r="S862" s="298"/>
    </row>
    <row r="863" spans="1:19" s="92" customFormat="1">
      <c r="A863" s="256"/>
      <c r="B863" s="397"/>
      <c r="C863" s="397"/>
      <c r="D863" s="408"/>
      <c r="E863" s="397"/>
      <c r="F863" s="431"/>
      <c r="G863" s="431"/>
      <c r="H863" s="431"/>
      <c r="I863" s="431"/>
      <c r="J863" s="418"/>
      <c r="K863" s="298"/>
      <c r="L863" s="447">
        <f t="shared" si="93"/>
        <v>0</v>
      </c>
      <c r="M863" s="447"/>
      <c r="N863" s="298"/>
      <c r="O863" s="298"/>
      <c r="P863" s="298"/>
      <c r="Q863" s="298"/>
      <c r="R863" s="298"/>
      <c r="S863" s="298"/>
    </row>
    <row r="864" spans="1:19" s="140" customFormat="1">
      <c r="A864" s="394"/>
      <c r="B864" s="395"/>
      <c r="C864" s="395"/>
      <c r="D864" s="404"/>
      <c r="E864" s="395"/>
      <c r="F864" s="395"/>
      <c r="G864" s="434" t="s">
        <v>70</v>
      </c>
      <c r="H864" s="435"/>
      <c r="I864" s="460"/>
      <c r="J864" s="421">
        <v>3345712.3742271946</v>
      </c>
      <c r="K864" s="448"/>
      <c r="L864" s="450">
        <f>SUM(L12:L863)</f>
        <v>3345712.3742271974</v>
      </c>
      <c r="M864" s="449"/>
      <c r="N864" s="409"/>
      <c r="O864" s="409"/>
      <c r="P864" s="409"/>
      <c r="Q864" s="409"/>
      <c r="R864" s="409"/>
      <c r="S864" s="409"/>
    </row>
    <row r="865" spans="1:19" s="140" customFormat="1">
      <c r="A865" s="394"/>
      <c r="B865" s="394"/>
      <c r="C865" s="394"/>
      <c r="D865" s="409"/>
      <c r="E865" s="394"/>
      <c r="F865" s="437"/>
      <c r="G865" s="437"/>
      <c r="H865" s="437"/>
      <c r="I865" s="438"/>
      <c r="J865" s="437"/>
      <c r="K865" s="409"/>
      <c r="L865" s="409"/>
      <c r="M865" s="409"/>
      <c r="N865" s="409"/>
      <c r="O865" s="409"/>
      <c r="P865" s="409"/>
      <c r="Q865" s="409"/>
      <c r="R865" s="409"/>
      <c r="S865" s="409"/>
    </row>
    <row r="866" spans="1:19" s="70" customFormat="1" ht="58.15" customHeight="1">
      <c r="A866" s="128"/>
      <c r="B866" s="808" t="str">
        <f>'018.02-21-IMPLANTAÇÃO'!B440:J440</f>
        <v>ENG. GABRIEL DA CUNHA ARAUJO
CREA 23300/D-DF
ART: 0720210046394
MAT.: 973.175-X</v>
      </c>
      <c r="C866" s="808"/>
      <c r="D866" s="808"/>
      <c r="E866" s="808"/>
      <c r="F866" s="808"/>
      <c r="G866" s="808"/>
      <c r="H866" s="808"/>
      <c r="I866" s="808"/>
      <c r="J866" s="808"/>
      <c r="K866" s="446"/>
      <c r="L866" s="446"/>
      <c r="M866" s="446"/>
      <c r="N866" s="446"/>
      <c r="O866" s="446"/>
      <c r="P866" s="446"/>
      <c r="Q866" s="446"/>
      <c r="R866" s="446"/>
      <c r="S866" s="446"/>
    </row>
    <row r="867" spans="1:19" s="70" customFormat="1" ht="58.15" customHeight="1">
      <c r="A867" s="128"/>
      <c r="B867" s="808" t="str">
        <f>'018.02-21-IMPLANTAÇÃO'!B441:J441</f>
        <v>ENG. GILMAR DA MOTA FERNANDES
CREA 23785/D-DF
ART: 0720210047629
MAT.: 973.113-X</v>
      </c>
      <c r="C867" s="808"/>
      <c r="D867" s="808"/>
      <c r="E867" s="808"/>
      <c r="F867" s="808"/>
      <c r="G867" s="808"/>
      <c r="H867" s="808"/>
      <c r="I867" s="808"/>
      <c r="J867" s="808"/>
      <c r="K867" s="446"/>
      <c r="L867" s="446"/>
      <c r="M867" s="446"/>
      <c r="N867" s="446"/>
      <c r="O867" s="446"/>
      <c r="P867" s="446"/>
      <c r="Q867" s="446"/>
      <c r="R867" s="446"/>
      <c r="S867" s="446"/>
    </row>
    <row r="868" spans="1:19" s="70" customFormat="1" ht="58.15" customHeight="1">
      <c r="A868" s="128"/>
      <c r="B868" s="808" t="str">
        <f>'018.02-21-IMPLANTAÇÃO'!B442:J442</f>
        <v>ENG. TIAGO DE SOUZA OLIVEIRA
CREA 24935/D-DF
ART: 0720210047000
MAT.: 973.315-9</v>
      </c>
      <c r="C868" s="808"/>
      <c r="D868" s="808"/>
      <c r="E868" s="808"/>
      <c r="F868" s="808"/>
      <c r="G868" s="808"/>
      <c r="H868" s="808"/>
      <c r="I868" s="808"/>
      <c r="J868" s="808"/>
      <c r="K868" s="446"/>
      <c r="L868" s="446"/>
      <c r="M868" s="446"/>
      <c r="N868" s="446"/>
      <c r="O868" s="446"/>
      <c r="P868" s="446"/>
      <c r="Q868" s="446"/>
      <c r="R868" s="446"/>
      <c r="S868" s="446"/>
    </row>
    <row r="873" spans="1:19">
      <c r="D873" s="410"/>
      <c r="F873" s="398"/>
      <c r="G873" s="398"/>
      <c r="H873" s="398"/>
      <c r="I873" s="398"/>
      <c r="J873" s="398"/>
    </row>
    <row r="874" spans="1:19">
      <c r="D874" s="410"/>
      <c r="F874" s="398"/>
      <c r="G874" s="398"/>
      <c r="H874" s="398"/>
      <c r="I874" s="398"/>
      <c r="J874" s="398"/>
    </row>
  </sheetData>
  <autoFilter ref="B11:J869"/>
  <mergeCells count="14">
    <mergeCell ref="B867:J867"/>
    <mergeCell ref="B868:J868"/>
    <mergeCell ref="B866:J866"/>
    <mergeCell ref="B1:J1"/>
    <mergeCell ref="B6:C6"/>
    <mergeCell ref="D6:E6"/>
    <mergeCell ref="B7:C7"/>
    <mergeCell ref="B8:C8"/>
    <mergeCell ref="B9:C9"/>
    <mergeCell ref="B2:J2"/>
    <mergeCell ref="B3:J3"/>
    <mergeCell ref="B4:J4"/>
    <mergeCell ref="B5:J5"/>
    <mergeCell ref="D7:F7"/>
  </mergeCells>
  <phoneticPr fontId="78" type="noConversion"/>
  <printOptions horizontalCentered="1"/>
  <pageMargins left="0.59055118110236227" right="0.62992125984251968" top="0.39370078740157483" bottom="0.39370078740157483" header="0.19685039370078741" footer="0.19685039370078741"/>
  <pageSetup paperSize="9" scale="60" orientation="portrait" r:id="rId1"/>
  <headerFooter>
    <oddHeader>&amp;C&amp;F</oddHeader>
    <oddFooter>Página &amp;P de &amp;N</oddFooter>
  </headerFooter>
  <drawing r:id="rId2"/>
  <legacyDrawing r:id="rId3"/>
</worksheet>
</file>

<file path=xl/worksheets/sheet5.xml><?xml version="1.0" encoding="utf-8"?>
<worksheet xmlns="http://schemas.openxmlformats.org/spreadsheetml/2006/main" xmlns:r="http://schemas.openxmlformats.org/officeDocument/2006/relationships">
  <sheetPr>
    <tabColor rgb="FFFF0000"/>
  </sheetPr>
  <dimension ref="A1:S200"/>
  <sheetViews>
    <sheetView showGridLines="0" view="pageBreakPreview" zoomScale="90" zoomScaleNormal="100" zoomScaleSheetLayoutView="90" workbookViewId="0">
      <selection activeCell="B11" sqref="B11:J190"/>
    </sheetView>
  </sheetViews>
  <sheetFormatPr defaultColWidth="9.140625" defaultRowHeight="12.75"/>
  <cols>
    <col min="1" max="1" width="9.140625" style="398" customWidth="1"/>
    <col min="2" max="2" width="12.7109375" style="398" customWidth="1"/>
    <col min="3" max="3" width="13.42578125" style="398" customWidth="1"/>
    <col min="4" max="4" width="44.7109375" style="411" customWidth="1"/>
    <col min="5" max="5" width="7.7109375" style="398" customWidth="1"/>
    <col min="6" max="6" width="9.42578125" style="439" customWidth="1"/>
    <col min="7" max="7" width="12.85546875" style="439" customWidth="1"/>
    <col min="8" max="8" width="11.7109375" style="439" customWidth="1"/>
    <col min="9" max="9" width="12.5703125" style="439" customWidth="1"/>
    <col min="10" max="10" width="17.7109375" style="439" customWidth="1"/>
    <col min="11" max="11" width="17.140625" style="411" customWidth="1"/>
    <col min="12" max="12" width="20.140625" style="411" customWidth="1"/>
    <col min="13" max="13" width="20.7109375" style="411" customWidth="1"/>
    <col min="14" max="14" width="14.28515625" style="411" customWidth="1"/>
    <col min="15" max="15" width="16.7109375" style="411" customWidth="1"/>
    <col min="16" max="16" width="12.85546875" style="411" customWidth="1"/>
    <col min="17" max="17" width="11.85546875" style="411" customWidth="1"/>
    <col min="18" max="18" width="15" style="411" customWidth="1"/>
    <col min="19" max="19" width="9.140625" style="411"/>
    <col min="20" max="16384" width="9.140625" style="71"/>
  </cols>
  <sheetData>
    <row r="1" spans="1:19" s="86" customFormat="1" ht="15.75">
      <c r="A1" s="127"/>
      <c r="B1" s="814"/>
      <c r="C1" s="814"/>
      <c r="D1" s="814"/>
      <c r="E1" s="814"/>
      <c r="F1" s="814"/>
      <c r="G1" s="814"/>
      <c r="H1" s="814"/>
      <c r="I1" s="814"/>
      <c r="J1" s="814"/>
      <c r="K1" s="443"/>
      <c r="L1" s="444"/>
      <c r="M1" s="444"/>
      <c r="N1" s="444"/>
      <c r="O1" s="444"/>
      <c r="P1" s="444"/>
      <c r="Q1" s="444"/>
      <c r="R1" s="444"/>
      <c r="S1" s="444"/>
    </row>
    <row r="2" spans="1:19" s="67" customFormat="1" ht="18.75">
      <c r="A2" s="130"/>
      <c r="B2" s="815" t="s">
        <v>3765</v>
      </c>
      <c r="C2" s="815"/>
      <c r="D2" s="815"/>
      <c r="E2" s="815"/>
      <c r="F2" s="815"/>
      <c r="G2" s="815"/>
      <c r="H2" s="815"/>
      <c r="I2" s="815"/>
      <c r="J2" s="815"/>
      <c r="K2" s="445"/>
      <c r="L2" s="446"/>
      <c r="M2" s="446"/>
      <c r="N2" s="446"/>
      <c r="O2" s="446"/>
      <c r="P2" s="446"/>
      <c r="Q2" s="446"/>
      <c r="R2" s="381"/>
      <c r="S2" s="381"/>
    </row>
    <row r="3" spans="1:19" s="67" customFormat="1" ht="18.75">
      <c r="A3" s="130"/>
      <c r="B3" s="815" t="s">
        <v>3766</v>
      </c>
      <c r="C3" s="815"/>
      <c r="D3" s="815"/>
      <c r="E3" s="815"/>
      <c r="F3" s="815"/>
      <c r="G3" s="815"/>
      <c r="H3" s="815"/>
      <c r="I3" s="815"/>
      <c r="J3" s="815"/>
      <c r="K3" s="445"/>
      <c r="L3" s="446"/>
      <c r="M3" s="446"/>
      <c r="N3" s="446"/>
      <c r="O3" s="446"/>
      <c r="P3" s="446"/>
      <c r="Q3" s="446"/>
      <c r="R3" s="381"/>
      <c r="S3" s="381"/>
    </row>
    <row r="4" spans="1:19" s="67" customFormat="1" ht="18.75">
      <c r="A4" s="130"/>
      <c r="B4" s="815" t="s">
        <v>3768</v>
      </c>
      <c r="C4" s="815"/>
      <c r="D4" s="815"/>
      <c r="E4" s="815"/>
      <c r="F4" s="815"/>
      <c r="G4" s="815"/>
      <c r="H4" s="815"/>
      <c r="I4" s="815"/>
      <c r="J4" s="815"/>
      <c r="K4" s="446"/>
      <c r="L4" s="446"/>
      <c r="M4" s="446"/>
      <c r="N4" s="446"/>
      <c r="O4" s="446"/>
      <c r="P4" s="446"/>
      <c r="Q4" s="446"/>
      <c r="R4" s="381"/>
      <c r="S4" s="381"/>
    </row>
    <row r="5" spans="1:19" s="67" customFormat="1" ht="18.75">
      <c r="A5" s="130"/>
      <c r="B5" s="815" t="s">
        <v>24882</v>
      </c>
      <c r="C5" s="815"/>
      <c r="D5" s="815"/>
      <c r="E5" s="815"/>
      <c r="F5" s="815"/>
      <c r="G5" s="815"/>
      <c r="H5" s="815"/>
      <c r="I5" s="815"/>
      <c r="J5" s="815"/>
      <c r="K5" s="446"/>
      <c r="L5" s="446"/>
      <c r="M5" s="446"/>
      <c r="N5" s="446"/>
      <c r="O5" s="446"/>
      <c r="P5" s="446"/>
      <c r="Q5" s="446"/>
      <c r="R5" s="381"/>
      <c r="S5" s="381"/>
    </row>
    <row r="6" spans="1:19" s="67" customFormat="1">
      <c r="A6" s="130"/>
      <c r="B6" s="809" t="s">
        <v>60</v>
      </c>
      <c r="C6" s="809"/>
      <c r="D6" s="813" t="s">
        <v>24742</v>
      </c>
      <c r="E6" s="813"/>
      <c r="F6" s="130"/>
      <c r="G6" s="347"/>
      <c r="H6" s="347"/>
      <c r="I6" s="347" t="s">
        <v>61</v>
      </c>
      <c r="J6" s="346">
        <f>'018-21-CAPA'!E20</f>
        <v>44389</v>
      </c>
      <c r="K6" s="445"/>
      <c r="L6" s="446"/>
      <c r="M6" s="446"/>
      <c r="N6" s="446"/>
      <c r="O6" s="446"/>
      <c r="P6" s="446"/>
      <c r="Q6" s="446"/>
      <c r="R6" s="446"/>
      <c r="S6" s="381"/>
    </row>
    <row r="7" spans="1:19" s="67" customFormat="1" ht="12.75" customHeight="1">
      <c r="A7" s="130"/>
      <c r="B7" s="809" t="s">
        <v>62</v>
      </c>
      <c r="C7" s="809"/>
      <c r="D7" s="810" t="s">
        <v>24736</v>
      </c>
      <c r="E7" s="811"/>
      <c r="F7" s="811"/>
      <c r="G7" s="512"/>
      <c r="H7" s="512"/>
      <c r="I7" s="512" t="s">
        <v>16</v>
      </c>
      <c r="J7" s="329" t="str">
        <f>'018.01-21-ADM OBRA'!J7</f>
        <v>PROJ-DE-045-20</v>
      </c>
      <c r="K7" s="446"/>
      <c r="L7" s="446"/>
      <c r="M7" s="446"/>
      <c r="N7" s="446"/>
      <c r="O7" s="446"/>
      <c r="P7" s="446"/>
      <c r="Q7" s="446"/>
      <c r="R7" s="381"/>
      <c r="S7" s="381"/>
    </row>
    <row r="8" spans="1:19" s="67" customFormat="1">
      <c r="A8" s="130"/>
      <c r="B8" s="812" t="s">
        <v>18</v>
      </c>
      <c r="C8" s="809" t="s">
        <v>63</v>
      </c>
      <c r="D8" s="294" t="s">
        <v>18322</v>
      </c>
      <c r="E8" s="306"/>
      <c r="F8" s="130"/>
      <c r="G8" s="512"/>
      <c r="H8" s="512"/>
      <c r="I8" s="512" t="s">
        <v>64</v>
      </c>
      <c r="J8" s="329" t="str">
        <f>'018.01-21-ADM OBRA'!J8</f>
        <v>1.497,00 m²</v>
      </c>
      <c r="K8" s="445"/>
      <c r="L8" s="446"/>
      <c r="M8" s="446"/>
      <c r="N8" s="446"/>
      <c r="O8" s="446"/>
      <c r="P8" s="446"/>
      <c r="Q8" s="446"/>
      <c r="R8" s="446"/>
      <c r="S8" s="381"/>
    </row>
    <row r="9" spans="1:19" s="67" customFormat="1">
      <c r="A9" s="130"/>
      <c r="B9" s="809" t="s">
        <v>65</v>
      </c>
      <c r="C9" s="809"/>
      <c r="D9" s="378" t="s">
        <v>15157</v>
      </c>
      <c r="E9" s="347" t="s">
        <v>66</v>
      </c>
      <c r="F9" s="412">
        <v>0.2094</v>
      </c>
      <c r="G9" s="347" t="s">
        <v>66</v>
      </c>
      <c r="H9" s="412">
        <v>0.1089</v>
      </c>
      <c r="I9" s="327" t="s">
        <v>68</v>
      </c>
      <c r="J9" s="329" t="str">
        <f>'018.01-21-ADM OBRA'!J9</f>
        <v>SINAPI MAIO 2021</v>
      </c>
      <c r="K9" s="445"/>
      <c r="L9" s="446"/>
      <c r="M9" s="446"/>
      <c r="N9" s="446"/>
      <c r="O9" s="446"/>
      <c r="P9" s="446"/>
      <c r="Q9" s="446"/>
      <c r="R9" s="446"/>
      <c r="S9" s="381"/>
    </row>
    <row r="10" spans="1:19" s="67" customFormat="1">
      <c r="A10" s="130"/>
      <c r="B10" s="512"/>
      <c r="C10" s="512"/>
      <c r="D10" s="378"/>
      <c r="E10" s="347"/>
      <c r="F10" s="306"/>
      <c r="G10" s="327"/>
      <c r="H10" s="327"/>
      <c r="I10" s="327"/>
      <c r="J10" s="305"/>
      <c r="K10" s="445"/>
      <c r="L10" s="446"/>
      <c r="M10" s="446"/>
      <c r="N10" s="446"/>
      <c r="O10" s="446"/>
      <c r="P10" s="446"/>
      <c r="Q10" s="446"/>
      <c r="R10" s="446"/>
      <c r="S10" s="381"/>
    </row>
    <row r="11" spans="1:19" s="1" customFormat="1" ht="45">
      <c r="A11" s="377"/>
      <c r="B11" s="186" t="s">
        <v>71</v>
      </c>
      <c r="C11" s="186" t="s">
        <v>0</v>
      </c>
      <c r="D11" s="186" t="s">
        <v>1</v>
      </c>
      <c r="E11" s="186" t="s">
        <v>171</v>
      </c>
      <c r="F11" s="186" t="s">
        <v>2</v>
      </c>
      <c r="G11" s="186" t="s">
        <v>9033</v>
      </c>
      <c r="H11" s="186" t="s">
        <v>30</v>
      </c>
      <c r="I11" s="186" t="s">
        <v>9034</v>
      </c>
      <c r="J11" s="186" t="s">
        <v>9035</v>
      </c>
      <c r="K11" s="380"/>
      <c r="L11" s="380"/>
      <c r="M11" s="380"/>
      <c r="N11" s="380"/>
      <c r="O11" s="380"/>
      <c r="P11" s="380"/>
      <c r="Q11" s="380"/>
      <c r="R11" s="380"/>
      <c r="S11" s="380"/>
    </row>
    <row r="12" spans="1:19" s="92" customFormat="1">
      <c r="A12" s="256"/>
      <c r="B12" s="287" t="s">
        <v>78</v>
      </c>
      <c r="C12" s="287"/>
      <c r="D12" s="399" t="s">
        <v>3</v>
      </c>
      <c r="E12" s="413"/>
      <c r="F12" s="413"/>
      <c r="G12" s="461"/>
      <c r="H12" s="413"/>
      <c r="I12" s="461"/>
      <c r="J12" s="414"/>
      <c r="K12" s="298"/>
      <c r="L12" s="447">
        <f t="shared" ref="L12:L75" si="0">I12*F12</f>
        <v>0</v>
      </c>
      <c r="M12" s="447"/>
      <c r="N12" s="298"/>
      <c r="O12" s="298"/>
      <c r="P12" s="298"/>
      <c r="Q12" s="298"/>
      <c r="R12" s="298"/>
      <c r="S12" s="298"/>
    </row>
    <row r="13" spans="1:19" s="92" customFormat="1">
      <c r="A13" s="256"/>
      <c r="B13" s="287" t="s">
        <v>15590</v>
      </c>
      <c r="C13" s="287"/>
      <c r="D13" s="400" t="s">
        <v>15591</v>
      </c>
      <c r="E13" s="415"/>
      <c r="F13" s="415"/>
      <c r="G13" s="462"/>
      <c r="H13" s="415"/>
      <c r="I13" s="462"/>
      <c r="J13" s="416"/>
      <c r="K13" s="298"/>
      <c r="L13" s="447">
        <f t="shared" si="0"/>
        <v>0</v>
      </c>
      <c r="M13" s="447"/>
      <c r="N13" s="298"/>
      <c r="O13" s="298"/>
      <c r="P13" s="298"/>
      <c r="Q13" s="298"/>
      <c r="R13" s="298"/>
      <c r="S13" s="298"/>
    </row>
    <row r="14" spans="1:19" s="92" customFormat="1">
      <c r="A14" s="256"/>
      <c r="B14" s="287" t="s">
        <v>15592</v>
      </c>
      <c r="C14" s="287"/>
      <c r="D14" s="400" t="s">
        <v>15593</v>
      </c>
      <c r="E14" s="415"/>
      <c r="F14" s="415"/>
      <c r="G14" s="462"/>
      <c r="H14" s="415"/>
      <c r="I14" s="462"/>
      <c r="J14" s="416"/>
      <c r="K14" s="298"/>
      <c r="L14" s="447">
        <f t="shared" si="0"/>
        <v>0</v>
      </c>
      <c r="M14" s="447"/>
      <c r="N14" s="298"/>
      <c r="O14" s="298"/>
      <c r="P14" s="298"/>
      <c r="Q14" s="298"/>
      <c r="R14" s="298"/>
      <c r="S14" s="298"/>
    </row>
    <row r="15" spans="1:19" s="92" customFormat="1" ht="51">
      <c r="A15" s="256" t="s">
        <v>3259</v>
      </c>
      <c r="B15" s="288" t="s">
        <v>15594</v>
      </c>
      <c r="C15" s="288">
        <v>99059</v>
      </c>
      <c r="D15" s="289" t="s">
        <v>4496</v>
      </c>
      <c r="E15" s="290" t="s">
        <v>5</v>
      </c>
      <c r="F15" s="292">
        <v>9.1999999999999993</v>
      </c>
      <c r="G15" s="510" t="s">
        <v>12398</v>
      </c>
      <c r="H15" s="508">
        <v>0.2094</v>
      </c>
      <c r="I15" s="510">
        <v>59.381540000000001</v>
      </c>
      <c r="J15" s="509">
        <v>546.31016799999998</v>
      </c>
      <c r="K15" s="298"/>
      <c r="L15" s="447">
        <f t="shared" si="0"/>
        <v>546.31016799999998</v>
      </c>
      <c r="M15" s="447"/>
      <c r="N15" s="298"/>
      <c r="O15" s="298"/>
      <c r="P15" s="298"/>
      <c r="Q15" s="298"/>
      <c r="R15" s="298"/>
      <c r="S15" s="298"/>
    </row>
    <row r="16" spans="1:19" s="92" customFormat="1">
      <c r="A16" s="256"/>
      <c r="B16" s="391"/>
      <c r="C16" s="391"/>
      <c r="D16" s="401"/>
      <c r="E16" s="391"/>
      <c r="F16" s="417"/>
      <c r="G16" s="417"/>
      <c r="H16" s="417"/>
      <c r="I16" s="417"/>
      <c r="J16" s="418"/>
      <c r="K16" s="298"/>
      <c r="L16" s="447">
        <f t="shared" si="0"/>
        <v>0</v>
      </c>
      <c r="M16" s="447"/>
      <c r="N16" s="298"/>
      <c r="O16" s="298"/>
      <c r="P16" s="298"/>
      <c r="Q16" s="298"/>
      <c r="R16" s="298"/>
      <c r="S16" s="298"/>
    </row>
    <row r="17" spans="1:19" s="92" customFormat="1">
      <c r="A17" s="256"/>
      <c r="B17" s="392"/>
      <c r="C17" s="393"/>
      <c r="D17" s="402"/>
      <c r="E17" s="393"/>
      <c r="F17" s="393"/>
      <c r="G17" s="460" t="s">
        <v>69</v>
      </c>
      <c r="H17" s="419"/>
      <c r="I17" s="460"/>
      <c r="J17" s="420">
        <v>546.31016799999998</v>
      </c>
      <c r="K17" s="447"/>
      <c r="L17" s="447">
        <f t="shared" si="0"/>
        <v>0</v>
      </c>
      <c r="M17" s="447"/>
      <c r="N17" s="298"/>
      <c r="O17" s="298"/>
      <c r="P17" s="298"/>
      <c r="Q17" s="298"/>
      <c r="R17" s="298"/>
      <c r="S17" s="298"/>
    </row>
    <row r="18" spans="1:19" s="92" customFormat="1">
      <c r="A18" s="256"/>
      <c r="B18" s="391"/>
      <c r="C18" s="391"/>
      <c r="D18" s="401"/>
      <c r="E18" s="391"/>
      <c r="F18" s="417"/>
      <c r="G18" s="417"/>
      <c r="H18" s="417"/>
      <c r="I18" s="417"/>
      <c r="J18" s="418"/>
      <c r="K18" s="298"/>
      <c r="L18" s="447">
        <f t="shared" si="0"/>
        <v>0</v>
      </c>
      <c r="M18" s="447"/>
      <c r="N18" s="298"/>
      <c r="O18" s="298"/>
      <c r="P18" s="298"/>
      <c r="Q18" s="298"/>
      <c r="R18" s="298"/>
      <c r="S18" s="298"/>
    </row>
    <row r="19" spans="1:19" s="92" customFormat="1">
      <c r="A19" s="256"/>
      <c r="B19" s="287" t="s">
        <v>3285</v>
      </c>
      <c r="C19" s="287"/>
      <c r="D19" s="399" t="s">
        <v>3286</v>
      </c>
      <c r="E19" s="413"/>
      <c r="F19" s="413"/>
      <c r="G19" s="461"/>
      <c r="H19" s="413"/>
      <c r="I19" s="461"/>
      <c r="J19" s="414"/>
      <c r="K19" s="298"/>
      <c r="L19" s="447">
        <f t="shared" si="0"/>
        <v>0</v>
      </c>
      <c r="M19" s="447"/>
      <c r="N19" s="298"/>
      <c r="O19" s="298"/>
      <c r="P19" s="298"/>
      <c r="Q19" s="298"/>
      <c r="R19" s="298"/>
      <c r="S19" s="298"/>
    </row>
    <row r="20" spans="1:19" s="92" customFormat="1">
      <c r="A20" s="256"/>
      <c r="B20" s="287" t="s">
        <v>3287</v>
      </c>
      <c r="C20" s="287"/>
      <c r="D20" s="400" t="s">
        <v>3288</v>
      </c>
      <c r="E20" s="415"/>
      <c r="F20" s="415"/>
      <c r="G20" s="462"/>
      <c r="H20" s="415"/>
      <c r="I20" s="462"/>
      <c r="J20" s="416"/>
      <c r="K20" s="298"/>
      <c r="L20" s="447">
        <f t="shared" si="0"/>
        <v>0</v>
      </c>
      <c r="M20" s="447"/>
      <c r="N20" s="298"/>
      <c r="O20" s="298" t="s">
        <v>24876</v>
      </c>
      <c r="P20" s="298"/>
      <c r="Q20" s="298"/>
      <c r="R20" s="298"/>
      <c r="S20" s="298"/>
    </row>
    <row r="21" spans="1:19" s="92" customFormat="1">
      <c r="A21" s="256"/>
      <c r="B21" s="287" t="s">
        <v>3289</v>
      </c>
      <c r="C21" s="287"/>
      <c r="D21" s="400" t="s">
        <v>3290</v>
      </c>
      <c r="E21" s="415"/>
      <c r="F21" s="415"/>
      <c r="G21" s="462"/>
      <c r="H21" s="415"/>
      <c r="I21" s="462"/>
      <c r="J21" s="416"/>
      <c r="K21" s="298"/>
      <c r="L21" s="447">
        <f t="shared" si="0"/>
        <v>0</v>
      </c>
      <c r="M21" s="447"/>
      <c r="N21" s="298"/>
      <c r="O21" s="638">
        <f>K30+F51+F68+F84+F91</f>
        <v>12.60920337176157</v>
      </c>
      <c r="P21" s="298"/>
      <c r="Q21" s="298"/>
      <c r="R21" s="298"/>
      <c r="S21" s="298"/>
    </row>
    <row r="22" spans="1:19" s="92" customFormat="1" ht="38.25">
      <c r="A22" s="256" t="s">
        <v>3259</v>
      </c>
      <c r="B22" s="288" t="s">
        <v>3291</v>
      </c>
      <c r="C22" s="288">
        <v>96527</v>
      </c>
      <c r="D22" s="289" t="s">
        <v>2468</v>
      </c>
      <c r="E22" s="290" t="s">
        <v>209</v>
      </c>
      <c r="F22" s="292">
        <v>1.19</v>
      </c>
      <c r="G22" s="510" t="s">
        <v>14231</v>
      </c>
      <c r="H22" s="508">
        <v>0.2094</v>
      </c>
      <c r="I22" s="510">
        <v>130.30075600000001</v>
      </c>
      <c r="J22" s="509">
        <v>155.05789963999999</v>
      </c>
      <c r="K22" s="298"/>
      <c r="L22" s="447">
        <f t="shared" si="0"/>
        <v>155.05789963999999</v>
      </c>
      <c r="M22" s="447"/>
      <c r="N22" s="298"/>
      <c r="O22" s="298"/>
      <c r="P22" s="298"/>
      <c r="Q22" s="298"/>
      <c r="R22" s="298"/>
      <c r="S22" s="298"/>
    </row>
    <row r="23" spans="1:19" s="92" customFormat="1" ht="38.25">
      <c r="A23" s="256" t="s">
        <v>3259</v>
      </c>
      <c r="B23" s="288" t="s">
        <v>3292</v>
      </c>
      <c r="C23" s="288">
        <v>96523</v>
      </c>
      <c r="D23" s="289" t="s">
        <v>2464</v>
      </c>
      <c r="E23" s="290" t="s">
        <v>209</v>
      </c>
      <c r="F23" s="292">
        <v>2.11</v>
      </c>
      <c r="G23" s="510" t="s">
        <v>23664</v>
      </c>
      <c r="H23" s="508">
        <v>0.2094</v>
      </c>
      <c r="I23" s="510">
        <v>99.376398000000009</v>
      </c>
      <c r="J23" s="509">
        <v>209.68419978</v>
      </c>
      <c r="K23" s="298"/>
      <c r="L23" s="447">
        <f t="shared" si="0"/>
        <v>209.68419978</v>
      </c>
      <c r="M23" s="447"/>
      <c r="N23" s="298"/>
      <c r="O23" s="298"/>
      <c r="P23" s="298"/>
      <c r="Q23" s="298"/>
      <c r="R23" s="298"/>
      <c r="S23" s="298"/>
    </row>
    <row r="24" spans="1:19" s="92" customFormat="1" ht="38.25">
      <c r="A24" s="256" t="s">
        <v>3259</v>
      </c>
      <c r="B24" s="288" t="s">
        <v>3293</v>
      </c>
      <c r="C24" s="288">
        <v>101616</v>
      </c>
      <c r="D24" s="289" t="s">
        <v>13664</v>
      </c>
      <c r="E24" s="290" t="s">
        <v>193</v>
      </c>
      <c r="F24" s="292">
        <v>5.8900000000000006</v>
      </c>
      <c r="G24" s="510" t="s">
        <v>11219</v>
      </c>
      <c r="H24" s="508">
        <v>0.2094</v>
      </c>
      <c r="I24" s="510">
        <v>6.3735379999999999</v>
      </c>
      <c r="J24" s="509">
        <v>37.540138820000003</v>
      </c>
      <c r="K24" s="298"/>
      <c r="L24" s="447">
        <f t="shared" si="0"/>
        <v>37.540138820000003</v>
      </c>
      <c r="M24" s="447"/>
      <c r="N24" s="298"/>
      <c r="O24" s="298"/>
      <c r="P24" s="298"/>
      <c r="Q24" s="298"/>
      <c r="R24" s="298"/>
      <c r="S24" s="298"/>
    </row>
    <row r="25" spans="1:19" s="92" customFormat="1" ht="25.5">
      <c r="A25" s="256" t="s">
        <v>3259</v>
      </c>
      <c r="B25" s="288" t="s">
        <v>3762</v>
      </c>
      <c r="C25" s="288">
        <v>93382</v>
      </c>
      <c r="D25" s="289" t="s">
        <v>2501</v>
      </c>
      <c r="E25" s="290" t="s">
        <v>209</v>
      </c>
      <c r="F25" s="292">
        <v>1.96</v>
      </c>
      <c r="G25" s="510" t="s">
        <v>16369</v>
      </c>
      <c r="H25" s="508">
        <v>0.2094</v>
      </c>
      <c r="I25" s="510">
        <v>30.380128000000003</v>
      </c>
      <c r="J25" s="509">
        <v>59.545050880000005</v>
      </c>
      <c r="K25" s="298"/>
      <c r="L25" s="447">
        <f t="shared" si="0"/>
        <v>59.545050880000005</v>
      </c>
      <c r="M25" s="447"/>
      <c r="N25" s="298"/>
      <c r="O25" s="298"/>
      <c r="P25" s="298"/>
      <c r="Q25" s="298"/>
      <c r="R25" s="298"/>
      <c r="S25" s="298"/>
    </row>
    <row r="26" spans="1:19" s="92" customFormat="1">
      <c r="A26" s="256"/>
      <c r="B26" s="391"/>
      <c r="C26" s="391"/>
      <c r="D26" s="401"/>
      <c r="E26" s="391"/>
      <c r="F26" s="417"/>
      <c r="G26" s="417"/>
      <c r="H26" s="417"/>
      <c r="I26" s="417"/>
      <c r="J26" s="418"/>
      <c r="K26" s="298"/>
      <c r="L26" s="447">
        <f t="shared" si="0"/>
        <v>0</v>
      </c>
      <c r="M26" s="447"/>
      <c r="N26" s="298"/>
      <c r="O26" s="298"/>
      <c r="P26" s="298"/>
      <c r="Q26" s="298"/>
      <c r="R26" s="298"/>
      <c r="S26" s="298"/>
    </row>
    <row r="27" spans="1:19" s="92" customFormat="1">
      <c r="A27" s="256"/>
      <c r="B27" s="287" t="s">
        <v>3294</v>
      </c>
      <c r="C27" s="287"/>
      <c r="D27" s="399" t="s">
        <v>3295</v>
      </c>
      <c r="E27" s="413"/>
      <c r="F27" s="413"/>
      <c r="G27" s="461"/>
      <c r="H27" s="413"/>
      <c r="I27" s="461"/>
      <c r="J27" s="414"/>
      <c r="K27" s="298"/>
      <c r="L27" s="447">
        <f t="shared" si="0"/>
        <v>0</v>
      </c>
      <c r="M27" s="447"/>
      <c r="N27" s="298"/>
      <c r="O27" s="298"/>
      <c r="P27" s="298"/>
      <c r="Q27" s="298"/>
      <c r="R27" s="298"/>
      <c r="S27" s="298"/>
    </row>
    <row r="28" spans="1:19" s="92" customFormat="1">
      <c r="A28" s="256"/>
      <c r="B28" s="287" t="s">
        <v>3296</v>
      </c>
      <c r="C28" s="287"/>
      <c r="D28" s="400" t="s">
        <v>3297</v>
      </c>
      <c r="E28" s="415"/>
      <c r="F28" s="415"/>
      <c r="G28" s="462"/>
      <c r="H28" s="415"/>
      <c r="I28" s="462"/>
      <c r="J28" s="416"/>
      <c r="K28" s="298"/>
      <c r="L28" s="447">
        <f t="shared" si="0"/>
        <v>0</v>
      </c>
      <c r="M28" s="447"/>
      <c r="N28" s="298"/>
      <c r="O28" s="298"/>
      <c r="P28" s="298"/>
      <c r="Q28" s="298"/>
      <c r="R28" s="298"/>
      <c r="S28" s="298"/>
    </row>
    <row r="29" spans="1:19" s="92" customFormat="1">
      <c r="A29" s="256"/>
      <c r="B29" s="287" t="s">
        <v>9633</v>
      </c>
      <c r="C29" s="287"/>
      <c r="D29" s="400" t="s">
        <v>9637</v>
      </c>
      <c r="E29" s="415"/>
      <c r="F29" s="415"/>
      <c r="G29" s="462"/>
      <c r="H29" s="415"/>
      <c r="I29" s="462"/>
      <c r="J29" s="416"/>
      <c r="K29" s="298"/>
      <c r="L29" s="447">
        <f t="shared" si="0"/>
        <v>0</v>
      </c>
      <c r="M29" s="447"/>
      <c r="N29" s="298"/>
      <c r="O29" s="298"/>
      <c r="P29" s="298"/>
      <c r="Q29" s="298"/>
      <c r="R29" s="298"/>
      <c r="S29" s="298"/>
    </row>
    <row r="30" spans="1:19" s="92" customFormat="1" ht="63.75">
      <c r="A30" s="256" t="s">
        <v>3260</v>
      </c>
      <c r="B30" s="288" t="s">
        <v>9634</v>
      </c>
      <c r="C30" s="288" t="s">
        <v>8985</v>
      </c>
      <c r="D30" s="289" t="s">
        <v>24484</v>
      </c>
      <c r="E30" s="290" t="s">
        <v>5</v>
      </c>
      <c r="F30" s="292">
        <v>28</v>
      </c>
      <c r="G30" s="510">
        <v>45.82</v>
      </c>
      <c r="H30" s="508">
        <v>0.2094</v>
      </c>
      <c r="I30" s="510">
        <v>55.414708000000005</v>
      </c>
      <c r="J30" s="509">
        <v>1551.6118240000001</v>
      </c>
      <c r="K30" s="298">
        <f>PI()*(0.15^2)*F30</f>
        <v>1.9792033717615698</v>
      </c>
      <c r="L30" s="447">
        <f t="shared" si="0"/>
        <v>1551.6118240000001</v>
      </c>
      <c r="M30" s="447"/>
      <c r="N30" s="298"/>
      <c r="O30" s="298"/>
      <c r="P30" s="298"/>
      <c r="Q30" s="298"/>
      <c r="R30" s="298"/>
      <c r="S30" s="298"/>
    </row>
    <row r="31" spans="1:19" s="92" customFormat="1" ht="38.25">
      <c r="A31" s="256" t="s">
        <v>3259</v>
      </c>
      <c r="B31" s="288" t="s">
        <v>9635</v>
      </c>
      <c r="C31" s="288">
        <v>95584</v>
      </c>
      <c r="D31" s="289" t="s">
        <v>1433</v>
      </c>
      <c r="E31" s="290" t="s">
        <v>108</v>
      </c>
      <c r="F31" s="292">
        <v>23.52</v>
      </c>
      <c r="G31" s="510" t="s">
        <v>19965</v>
      </c>
      <c r="H31" s="508">
        <v>0.2094</v>
      </c>
      <c r="I31" s="510">
        <v>18.806170000000002</v>
      </c>
      <c r="J31" s="509">
        <v>442.32111840000005</v>
      </c>
      <c r="K31" s="298"/>
      <c r="L31" s="447">
        <f t="shared" si="0"/>
        <v>442.32111840000005</v>
      </c>
      <c r="M31" s="447"/>
      <c r="N31" s="298"/>
      <c r="O31" s="298"/>
      <c r="P31" s="298"/>
      <c r="Q31" s="298"/>
      <c r="R31" s="298"/>
      <c r="S31" s="298"/>
    </row>
    <row r="32" spans="1:19" s="92" customFormat="1" ht="51">
      <c r="A32" s="256" t="s">
        <v>3259</v>
      </c>
      <c r="B32" s="288" t="s">
        <v>9636</v>
      </c>
      <c r="C32" s="288">
        <v>95578</v>
      </c>
      <c r="D32" s="289" t="s">
        <v>3437</v>
      </c>
      <c r="E32" s="290" t="s">
        <v>108</v>
      </c>
      <c r="F32" s="292">
        <v>104</v>
      </c>
      <c r="G32" s="510" t="s">
        <v>10457</v>
      </c>
      <c r="H32" s="508">
        <v>0.2094</v>
      </c>
      <c r="I32" s="510">
        <v>13.678314</v>
      </c>
      <c r="J32" s="509">
        <v>1422.544656</v>
      </c>
      <c r="K32" s="298"/>
      <c r="L32" s="447">
        <f t="shared" si="0"/>
        <v>1422.544656</v>
      </c>
      <c r="M32" s="447"/>
      <c r="N32" s="298"/>
      <c r="O32" s="298"/>
      <c r="P32" s="298"/>
      <c r="Q32" s="298"/>
      <c r="R32" s="298"/>
      <c r="S32" s="298"/>
    </row>
    <row r="33" spans="1:19" s="92" customFormat="1">
      <c r="A33" s="256"/>
      <c r="B33" s="391"/>
      <c r="C33" s="391"/>
      <c r="D33" s="401"/>
      <c r="E33" s="391"/>
      <c r="F33" s="417"/>
      <c r="G33" s="417"/>
      <c r="H33" s="417"/>
      <c r="I33" s="417"/>
      <c r="J33" s="418"/>
      <c r="K33" s="298"/>
      <c r="L33" s="447">
        <f t="shared" si="0"/>
        <v>0</v>
      </c>
      <c r="M33" s="447"/>
      <c r="N33" s="298"/>
      <c r="O33" s="298"/>
      <c r="P33" s="298"/>
      <c r="Q33" s="298"/>
      <c r="R33" s="298"/>
      <c r="S33" s="298"/>
    </row>
    <row r="34" spans="1:19" s="92" customFormat="1">
      <c r="A34" s="256"/>
      <c r="B34" s="287" t="s">
        <v>3298</v>
      </c>
      <c r="C34" s="287"/>
      <c r="D34" s="399" t="s">
        <v>9638</v>
      </c>
      <c r="E34" s="413"/>
      <c r="F34" s="413"/>
      <c r="G34" s="461"/>
      <c r="H34" s="413"/>
      <c r="I34" s="461"/>
      <c r="J34" s="414"/>
      <c r="K34" s="298"/>
      <c r="L34" s="447">
        <f t="shared" si="0"/>
        <v>0</v>
      </c>
      <c r="M34" s="447"/>
      <c r="N34" s="298"/>
      <c r="O34" s="298"/>
      <c r="P34" s="298"/>
      <c r="Q34" s="298"/>
      <c r="R34" s="298"/>
      <c r="S34" s="298"/>
    </row>
    <row r="35" spans="1:19" s="92" customFormat="1" ht="38.25">
      <c r="A35" s="256" t="s">
        <v>3259</v>
      </c>
      <c r="B35" s="288" t="s">
        <v>3299</v>
      </c>
      <c r="C35" s="288">
        <v>95601</v>
      </c>
      <c r="D35" s="289" t="s">
        <v>22177</v>
      </c>
      <c r="E35" s="290" t="s">
        <v>109</v>
      </c>
      <c r="F35" s="292">
        <v>4</v>
      </c>
      <c r="G35" s="510" t="s">
        <v>22178</v>
      </c>
      <c r="H35" s="508">
        <v>0.2094</v>
      </c>
      <c r="I35" s="510">
        <v>16.665531999999999</v>
      </c>
      <c r="J35" s="509">
        <v>66.662127999999996</v>
      </c>
      <c r="K35" s="298"/>
      <c r="L35" s="447">
        <f t="shared" si="0"/>
        <v>66.662127999999996</v>
      </c>
      <c r="M35" s="447"/>
      <c r="N35" s="298"/>
      <c r="O35" s="298"/>
      <c r="P35" s="298"/>
      <c r="Q35" s="298"/>
      <c r="R35" s="298"/>
      <c r="S35" s="298"/>
    </row>
    <row r="36" spans="1:19" s="92" customFormat="1">
      <c r="A36" s="256"/>
      <c r="B36" s="391"/>
      <c r="C36" s="391"/>
      <c r="D36" s="401"/>
      <c r="E36" s="391"/>
      <c r="F36" s="417"/>
      <c r="G36" s="417"/>
      <c r="H36" s="417"/>
      <c r="I36" s="417"/>
      <c r="J36" s="418"/>
      <c r="K36" s="298"/>
      <c r="L36" s="447">
        <f t="shared" si="0"/>
        <v>0</v>
      </c>
      <c r="M36" s="447"/>
      <c r="N36" s="298"/>
      <c r="O36" s="298"/>
      <c r="P36" s="298"/>
      <c r="Q36" s="298"/>
      <c r="R36" s="298"/>
      <c r="S36" s="298"/>
    </row>
    <row r="37" spans="1:19" s="92" customFormat="1">
      <c r="A37" s="256"/>
      <c r="B37" s="287" t="s">
        <v>3300</v>
      </c>
      <c r="C37" s="287"/>
      <c r="D37" s="399" t="s">
        <v>9643</v>
      </c>
      <c r="E37" s="413"/>
      <c r="F37" s="413"/>
      <c r="G37" s="461"/>
      <c r="H37" s="413"/>
      <c r="I37" s="461"/>
      <c r="J37" s="414"/>
      <c r="K37" s="298"/>
      <c r="L37" s="447">
        <f t="shared" si="0"/>
        <v>0</v>
      </c>
      <c r="M37" s="447"/>
      <c r="N37" s="298"/>
      <c r="O37" s="298"/>
      <c r="P37" s="298"/>
      <c r="Q37" s="298"/>
      <c r="R37" s="298"/>
      <c r="S37" s="298"/>
    </row>
    <row r="38" spans="1:19" s="92" customFormat="1">
      <c r="A38" s="256"/>
      <c r="B38" s="287" t="s">
        <v>3301</v>
      </c>
      <c r="C38" s="287"/>
      <c r="D38" s="400" t="s">
        <v>3302</v>
      </c>
      <c r="E38" s="415"/>
      <c r="F38" s="415"/>
      <c r="G38" s="462"/>
      <c r="H38" s="415"/>
      <c r="I38" s="462"/>
      <c r="J38" s="416"/>
      <c r="K38" s="298"/>
      <c r="L38" s="447">
        <f t="shared" si="0"/>
        <v>0</v>
      </c>
      <c r="M38" s="447"/>
      <c r="N38" s="298"/>
      <c r="O38" s="298"/>
      <c r="P38" s="298"/>
      <c r="Q38" s="298"/>
      <c r="R38" s="298"/>
      <c r="S38" s="298"/>
    </row>
    <row r="39" spans="1:19" s="92" customFormat="1" ht="38.25">
      <c r="A39" s="256" t="s">
        <v>3259</v>
      </c>
      <c r="B39" s="288" t="s">
        <v>3303</v>
      </c>
      <c r="C39" s="288">
        <v>96619</v>
      </c>
      <c r="D39" s="289" t="s">
        <v>3417</v>
      </c>
      <c r="E39" s="290" t="s">
        <v>193</v>
      </c>
      <c r="F39" s="292">
        <v>2.3199999999999998</v>
      </c>
      <c r="G39" s="510" t="s">
        <v>14140</v>
      </c>
      <c r="H39" s="508">
        <v>0.2094</v>
      </c>
      <c r="I39" s="510">
        <v>32.774740000000001</v>
      </c>
      <c r="J39" s="509">
        <v>76.037396799999996</v>
      </c>
      <c r="K39" s="298"/>
      <c r="L39" s="447">
        <f t="shared" si="0"/>
        <v>76.037396799999996</v>
      </c>
      <c r="M39" s="447"/>
      <c r="N39" s="298"/>
      <c r="O39" s="298"/>
      <c r="P39" s="298"/>
      <c r="Q39" s="298"/>
      <c r="R39" s="298"/>
      <c r="S39" s="298"/>
    </row>
    <row r="40" spans="1:19" s="92" customFormat="1">
      <c r="A40" s="256"/>
      <c r="B40" s="391"/>
      <c r="C40" s="391"/>
      <c r="D40" s="401"/>
      <c r="E40" s="391"/>
      <c r="F40" s="417"/>
      <c r="G40" s="417"/>
      <c r="H40" s="417"/>
      <c r="I40" s="417"/>
      <c r="J40" s="418"/>
      <c r="K40" s="298"/>
      <c r="L40" s="447">
        <f t="shared" si="0"/>
        <v>0</v>
      </c>
      <c r="M40" s="447"/>
      <c r="N40" s="298"/>
      <c r="O40" s="298"/>
      <c r="P40" s="298"/>
      <c r="Q40" s="298"/>
      <c r="R40" s="298"/>
      <c r="S40" s="298"/>
    </row>
    <row r="41" spans="1:19" s="92" customFormat="1">
      <c r="A41" s="256"/>
      <c r="B41" s="287" t="s">
        <v>3304</v>
      </c>
      <c r="C41" s="287"/>
      <c r="D41" s="399" t="s">
        <v>3305</v>
      </c>
      <c r="E41" s="413"/>
      <c r="F41" s="413"/>
      <c r="G41" s="461"/>
      <c r="H41" s="413"/>
      <c r="I41" s="461"/>
      <c r="J41" s="414"/>
      <c r="K41" s="298"/>
      <c r="L41" s="447">
        <f t="shared" si="0"/>
        <v>0</v>
      </c>
      <c r="M41" s="447"/>
      <c r="N41" s="298"/>
      <c r="O41" s="298"/>
      <c r="P41" s="298"/>
      <c r="Q41" s="298"/>
      <c r="R41" s="298"/>
      <c r="S41" s="298"/>
    </row>
    <row r="42" spans="1:19" s="92" customFormat="1" ht="63.75">
      <c r="A42" s="256" t="s">
        <v>3259</v>
      </c>
      <c r="B42" s="288" t="s">
        <v>3306</v>
      </c>
      <c r="C42" s="288">
        <v>96540</v>
      </c>
      <c r="D42" s="289" t="s">
        <v>1355</v>
      </c>
      <c r="E42" s="290" t="s">
        <v>193</v>
      </c>
      <c r="F42" s="292">
        <v>5.76</v>
      </c>
      <c r="G42" s="510" t="s">
        <v>22306</v>
      </c>
      <c r="H42" s="508">
        <v>0.2094</v>
      </c>
      <c r="I42" s="510">
        <v>137.653908</v>
      </c>
      <c r="J42" s="509">
        <v>792.88651007999999</v>
      </c>
      <c r="K42" s="298"/>
      <c r="L42" s="447">
        <f t="shared" si="0"/>
        <v>792.88651007999999</v>
      </c>
      <c r="M42" s="447"/>
      <c r="N42" s="298"/>
      <c r="O42" s="298"/>
      <c r="P42" s="298"/>
      <c r="Q42" s="298"/>
      <c r="R42" s="298"/>
      <c r="S42" s="298"/>
    </row>
    <row r="43" spans="1:19" s="92" customFormat="1" ht="51">
      <c r="A43" s="256" t="s">
        <v>3259</v>
      </c>
      <c r="B43" s="288" t="s">
        <v>3763</v>
      </c>
      <c r="C43" s="288">
        <v>96542</v>
      </c>
      <c r="D43" s="289" t="s">
        <v>1357</v>
      </c>
      <c r="E43" s="290" t="s">
        <v>193</v>
      </c>
      <c r="F43" s="292">
        <v>4.7</v>
      </c>
      <c r="G43" s="510" t="s">
        <v>22308</v>
      </c>
      <c r="H43" s="508">
        <v>0.2094</v>
      </c>
      <c r="I43" s="510">
        <v>96.413368000000006</v>
      </c>
      <c r="J43" s="509">
        <v>453.14282960000003</v>
      </c>
      <c r="K43" s="298"/>
      <c r="L43" s="447">
        <f t="shared" si="0"/>
        <v>453.14282960000003</v>
      </c>
      <c r="M43" s="447"/>
      <c r="N43" s="298"/>
      <c r="O43" s="298"/>
      <c r="P43" s="298"/>
      <c r="Q43" s="298"/>
      <c r="R43" s="298"/>
      <c r="S43" s="298"/>
    </row>
    <row r="44" spans="1:19" s="92" customFormat="1">
      <c r="A44" s="256"/>
      <c r="B44" s="391"/>
      <c r="C44" s="391"/>
      <c r="D44" s="401"/>
      <c r="E44" s="391"/>
      <c r="F44" s="417"/>
      <c r="G44" s="417"/>
      <c r="H44" s="417"/>
      <c r="I44" s="417"/>
      <c r="J44" s="418"/>
      <c r="K44" s="298"/>
      <c r="L44" s="447">
        <f t="shared" si="0"/>
        <v>0</v>
      </c>
      <c r="M44" s="447"/>
      <c r="N44" s="298"/>
      <c r="O44" s="298"/>
      <c r="P44" s="298"/>
      <c r="Q44" s="298"/>
      <c r="R44" s="298"/>
      <c r="S44" s="298"/>
    </row>
    <row r="45" spans="1:19" s="92" customFormat="1">
      <c r="A45" s="256"/>
      <c r="B45" s="287" t="s">
        <v>3307</v>
      </c>
      <c r="C45" s="287"/>
      <c r="D45" s="399" t="s">
        <v>3308</v>
      </c>
      <c r="E45" s="413"/>
      <c r="F45" s="413"/>
      <c r="G45" s="461"/>
      <c r="H45" s="413"/>
      <c r="I45" s="461"/>
      <c r="J45" s="414"/>
      <c r="K45" s="298"/>
      <c r="L45" s="447">
        <f t="shared" si="0"/>
        <v>0</v>
      </c>
      <c r="M45" s="447"/>
      <c r="N45" s="298"/>
      <c r="O45" s="298"/>
      <c r="P45" s="298"/>
      <c r="Q45" s="298"/>
      <c r="R45" s="298"/>
      <c r="S45" s="298"/>
    </row>
    <row r="46" spans="1:19" s="92" customFormat="1" ht="38.25">
      <c r="A46" s="256" t="s">
        <v>3259</v>
      </c>
      <c r="B46" s="288" t="s">
        <v>3309</v>
      </c>
      <c r="C46" s="288">
        <v>96543</v>
      </c>
      <c r="D46" s="289" t="s">
        <v>1358</v>
      </c>
      <c r="E46" s="290" t="s">
        <v>108</v>
      </c>
      <c r="F46" s="292">
        <v>10.17</v>
      </c>
      <c r="G46" s="510" t="s">
        <v>12153</v>
      </c>
      <c r="H46" s="508">
        <v>0.2094</v>
      </c>
      <c r="I46" s="510">
        <v>22.337617999999999</v>
      </c>
      <c r="J46" s="509">
        <v>227.17357505999999</v>
      </c>
      <c r="K46" s="298"/>
      <c r="L46" s="447">
        <f t="shared" si="0"/>
        <v>227.17357505999999</v>
      </c>
      <c r="M46" s="447"/>
      <c r="N46" s="298"/>
      <c r="O46" s="298"/>
      <c r="P46" s="298"/>
      <c r="Q46" s="298"/>
      <c r="R46" s="298"/>
      <c r="S46" s="298"/>
    </row>
    <row r="47" spans="1:19" s="92" customFormat="1" ht="38.25">
      <c r="A47" s="256" t="s">
        <v>3259</v>
      </c>
      <c r="B47" s="288" t="s">
        <v>3310</v>
      </c>
      <c r="C47" s="288">
        <v>96544</v>
      </c>
      <c r="D47" s="289" t="s">
        <v>1440</v>
      </c>
      <c r="E47" s="290" t="s">
        <v>108</v>
      </c>
      <c r="F47" s="292">
        <v>0.71</v>
      </c>
      <c r="G47" s="510" t="s">
        <v>10577</v>
      </c>
      <c r="H47" s="508">
        <v>0.2094</v>
      </c>
      <c r="I47" s="510">
        <v>20.813774000000002</v>
      </c>
      <c r="J47" s="509">
        <v>14.777779540000001</v>
      </c>
      <c r="K47" s="298"/>
      <c r="L47" s="447">
        <f t="shared" si="0"/>
        <v>14.777779540000001</v>
      </c>
      <c r="M47" s="447"/>
      <c r="N47" s="298"/>
      <c r="O47" s="298"/>
      <c r="P47" s="298"/>
      <c r="Q47" s="298"/>
      <c r="R47" s="298"/>
      <c r="S47" s="298"/>
    </row>
    <row r="48" spans="1:19" s="92" customFormat="1" ht="38.25">
      <c r="A48" s="256" t="s">
        <v>3259</v>
      </c>
      <c r="B48" s="288" t="s">
        <v>3311</v>
      </c>
      <c r="C48" s="288">
        <v>96545</v>
      </c>
      <c r="D48" s="289" t="s">
        <v>1441</v>
      </c>
      <c r="E48" s="290" t="s">
        <v>108</v>
      </c>
      <c r="F48" s="292">
        <v>25.52</v>
      </c>
      <c r="G48" s="510" t="s">
        <v>11215</v>
      </c>
      <c r="H48" s="508">
        <v>0.2094</v>
      </c>
      <c r="I48" s="510">
        <v>19.374587999999999</v>
      </c>
      <c r="J48" s="509">
        <v>494.43948575999997</v>
      </c>
      <c r="K48" s="298"/>
      <c r="L48" s="447">
        <f t="shared" si="0"/>
        <v>494.43948575999997</v>
      </c>
      <c r="M48" s="447"/>
      <c r="N48" s="298"/>
      <c r="O48" s="298"/>
      <c r="P48" s="298"/>
      <c r="Q48" s="298"/>
      <c r="R48" s="298"/>
      <c r="S48" s="298"/>
    </row>
    <row r="49" spans="1:19" s="92" customFormat="1">
      <c r="A49" s="256"/>
      <c r="B49" s="391"/>
      <c r="C49" s="391"/>
      <c r="D49" s="401"/>
      <c r="E49" s="391"/>
      <c r="F49" s="417"/>
      <c r="G49" s="417"/>
      <c r="H49" s="417"/>
      <c r="I49" s="417"/>
      <c r="J49" s="418"/>
      <c r="K49" s="298"/>
      <c r="L49" s="447">
        <f t="shared" si="0"/>
        <v>0</v>
      </c>
      <c r="M49" s="447"/>
      <c r="N49" s="298"/>
      <c r="O49" s="298"/>
      <c r="P49" s="298"/>
      <c r="Q49" s="298"/>
      <c r="R49" s="298"/>
      <c r="S49" s="298"/>
    </row>
    <row r="50" spans="1:19" s="92" customFormat="1">
      <c r="A50" s="256"/>
      <c r="B50" s="287" t="s">
        <v>3314</v>
      </c>
      <c r="C50" s="287"/>
      <c r="D50" s="399" t="s">
        <v>3315</v>
      </c>
      <c r="E50" s="413"/>
      <c r="F50" s="413"/>
      <c r="G50" s="461"/>
      <c r="H50" s="413"/>
      <c r="I50" s="461"/>
      <c r="J50" s="414"/>
      <c r="K50" s="298"/>
      <c r="L50" s="447">
        <f t="shared" si="0"/>
        <v>0</v>
      </c>
      <c r="M50" s="447"/>
      <c r="N50" s="298"/>
      <c r="O50" s="298"/>
      <c r="P50" s="298"/>
      <c r="Q50" s="298"/>
      <c r="R50" s="298"/>
      <c r="S50" s="298"/>
    </row>
    <row r="51" spans="1:19" s="92" customFormat="1" ht="51">
      <c r="A51" s="256" t="s">
        <v>3259</v>
      </c>
      <c r="B51" s="288" t="s">
        <v>3316</v>
      </c>
      <c r="C51" s="288">
        <v>96557</v>
      </c>
      <c r="D51" s="289" t="s">
        <v>1482</v>
      </c>
      <c r="E51" s="290" t="s">
        <v>209</v>
      </c>
      <c r="F51" s="292">
        <v>1.21</v>
      </c>
      <c r="G51" s="510" t="s">
        <v>22467</v>
      </c>
      <c r="H51" s="508">
        <v>0.2094</v>
      </c>
      <c r="I51" s="510">
        <v>498.91378199999997</v>
      </c>
      <c r="J51" s="509">
        <v>603.68567621999989</v>
      </c>
      <c r="K51" s="298"/>
      <c r="L51" s="447">
        <f t="shared" si="0"/>
        <v>603.68567621999989</v>
      </c>
      <c r="M51" s="447"/>
      <c r="N51" s="298"/>
      <c r="O51" s="298"/>
      <c r="P51" s="298"/>
      <c r="Q51" s="298"/>
      <c r="R51" s="298"/>
      <c r="S51" s="298"/>
    </row>
    <row r="52" spans="1:19" s="92" customFormat="1">
      <c r="A52" s="256"/>
      <c r="B52" s="391"/>
      <c r="C52" s="391"/>
      <c r="D52" s="401"/>
      <c r="E52" s="391"/>
      <c r="F52" s="417"/>
      <c r="G52" s="417"/>
      <c r="H52" s="417"/>
      <c r="I52" s="417"/>
      <c r="J52" s="418"/>
      <c r="K52" s="298"/>
      <c r="L52" s="447">
        <f t="shared" si="0"/>
        <v>0</v>
      </c>
      <c r="M52" s="447"/>
      <c r="N52" s="298"/>
      <c r="O52" s="298"/>
      <c r="P52" s="298"/>
      <c r="Q52" s="298"/>
      <c r="R52" s="298"/>
      <c r="S52" s="298"/>
    </row>
    <row r="53" spans="1:19" s="92" customFormat="1">
      <c r="A53" s="256"/>
      <c r="B53" s="287" t="s">
        <v>3317</v>
      </c>
      <c r="C53" s="287"/>
      <c r="D53" s="399" t="s">
        <v>3318</v>
      </c>
      <c r="E53" s="413"/>
      <c r="F53" s="413"/>
      <c r="G53" s="461"/>
      <c r="H53" s="413"/>
      <c r="I53" s="461"/>
      <c r="J53" s="414"/>
      <c r="K53" s="298"/>
      <c r="L53" s="447">
        <f t="shared" si="0"/>
        <v>0</v>
      </c>
      <c r="M53" s="447"/>
      <c r="N53" s="298"/>
      <c r="O53" s="298"/>
      <c r="P53" s="298"/>
      <c r="Q53" s="298"/>
      <c r="R53" s="298"/>
      <c r="S53" s="298"/>
    </row>
    <row r="54" spans="1:19" s="92" customFormat="1">
      <c r="A54" s="256"/>
      <c r="B54" s="287" t="s">
        <v>3319</v>
      </c>
      <c r="C54" s="287"/>
      <c r="D54" s="400" t="s">
        <v>3288</v>
      </c>
      <c r="E54" s="415"/>
      <c r="F54" s="415"/>
      <c r="G54" s="462"/>
      <c r="H54" s="415"/>
      <c r="I54" s="462"/>
      <c r="J54" s="416"/>
      <c r="K54" s="298"/>
      <c r="L54" s="447">
        <f t="shared" si="0"/>
        <v>0</v>
      </c>
      <c r="M54" s="447"/>
      <c r="N54" s="298"/>
      <c r="O54" s="298"/>
      <c r="P54" s="298"/>
      <c r="Q54" s="298"/>
      <c r="R54" s="298"/>
      <c r="S54" s="298"/>
    </row>
    <row r="55" spans="1:19" s="92" customFormat="1" ht="25.5">
      <c r="A55" s="256" t="s">
        <v>3259</v>
      </c>
      <c r="B55" s="288" t="s">
        <v>3320</v>
      </c>
      <c r="C55" s="288">
        <v>98557</v>
      </c>
      <c r="D55" s="289" t="s">
        <v>4088</v>
      </c>
      <c r="E55" s="290" t="s">
        <v>193</v>
      </c>
      <c r="F55" s="292">
        <v>12.79</v>
      </c>
      <c r="G55" s="510" t="s">
        <v>22567</v>
      </c>
      <c r="H55" s="508">
        <v>0.2094</v>
      </c>
      <c r="I55" s="510">
        <v>44.288227999999997</v>
      </c>
      <c r="J55" s="509">
        <v>566.44643611999993</v>
      </c>
      <c r="K55" s="298"/>
      <c r="L55" s="447">
        <f t="shared" si="0"/>
        <v>566.44643611999993</v>
      </c>
      <c r="M55" s="447"/>
      <c r="N55" s="298"/>
      <c r="O55" s="298"/>
      <c r="P55" s="298"/>
      <c r="Q55" s="298"/>
      <c r="R55" s="298"/>
      <c r="S55" s="298"/>
    </row>
    <row r="56" spans="1:19" s="92" customFormat="1">
      <c r="A56" s="256"/>
      <c r="B56" s="391"/>
      <c r="C56" s="391"/>
      <c r="D56" s="401"/>
      <c r="E56" s="391"/>
      <c r="F56" s="417"/>
      <c r="G56" s="417"/>
      <c r="H56" s="417"/>
      <c r="I56" s="417"/>
      <c r="J56" s="418"/>
      <c r="K56" s="298"/>
      <c r="L56" s="447">
        <f t="shared" si="0"/>
        <v>0</v>
      </c>
      <c r="M56" s="447"/>
      <c r="N56" s="298"/>
      <c r="O56" s="298"/>
      <c r="P56" s="298"/>
      <c r="Q56" s="298"/>
      <c r="R56" s="298"/>
      <c r="S56" s="298"/>
    </row>
    <row r="57" spans="1:19" s="92" customFormat="1">
      <c r="A57" s="256"/>
      <c r="B57" s="287" t="s">
        <v>3321</v>
      </c>
      <c r="C57" s="287"/>
      <c r="D57" s="399" t="s">
        <v>3322</v>
      </c>
      <c r="E57" s="413"/>
      <c r="F57" s="413"/>
      <c r="G57" s="461"/>
      <c r="H57" s="413"/>
      <c r="I57" s="461"/>
      <c r="J57" s="414"/>
      <c r="K57" s="298"/>
      <c r="L57" s="447">
        <f t="shared" si="0"/>
        <v>0</v>
      </c>
      <c r="M57" s="447"/>
      <c r="N57" s="298"/>
      <c r="O57" s="298"/>
      <c r="P57" s="298"/>
      <c r="Q57" s="298"/>
      <c r="R57" s="298"/>
      <c r="S57" s="298"/>
    </row>
    <row r="58" spans="1:19" s="92" customFormat="1">
      <c r="A58" s="256"/>
      <c r="B58" s="287" t="s">
        <v>3323</v>
      </c>
      <c r="C58" s="287"/>
      <c r="D58" s="400" t="s">
        <v>3324</v>
      </c>
      <c r="E58" s="415"/>
      <c r="F58" s="415"/>
      <c r="G58" s="462"/>
      <c r="H58" s="415"/>
      <c r="I58" s="462"/>
      <c r="J58" s="416"/>
      <c r="K58" s="298"/>
      <c r="L58" s="447">
        <f t="shared" si="0"/>
        <v>0</v>
      </c>
      <c r="M58" s="447"/>
      <c r="N58" s="298"/>
      <c r="O58" s="298"/>
      <c r="P58" s="298"/>
      <c r="Q58" s="298"/>
      <c r="R58" s="298"/>
      <c r="S58" s="298"/>
    </row>
    <row r="59" spans="1:19" s="92" customFormat="1">
      <c r="A59" s="256"/>
      <c r="B59" s="287" t="s">
        <v>3325</v>
      </c>
      <c r="C59" s="287"/>
      <c r="D59" s="400" t="s">
        <v>15222</v>
      </c>
      <c r="E59" s="415"/>
      <c r="F59" s="415"/>
      <c r="G59" s="462"/>
      <c r="H59" s="415"/>
      <c r="I59" s="462"/>
      <c r="J59" s="416"/>
      <c r="K59" s="298"/>
      <c r="L59" s="447">
        <f t="shared" si="0"/>
        <v>0</v>
      </c>
      <c r="M59" s="447"/>
      <c r="N59" s="298"/>
      <c r="O59" s="298"/>
      <c r="P59" s="298"/>
      <c r="Q59" s="298"/>
      <c r="R59" s="298"/>
      <c r="S59" s="298"/>
    </row>
    <row r="60" spans="1:19" s="92" customFormat="1">
      <c r="A60" s="256"/>
      <c r="B60" s="287" t="s">
        <v>3326</v>
      </c>
      <c r="C60" s="287"/>
      <c r="D60" s="400" t="s">
        <v>3327</v>
      </c>
      <c r="E60" s="415"/>
      <c r="F60" s="415"/>
      <c r="G60" s="462"/>
      <c r="H60" s="415"/>
      <c r="I60" s="462"/>
      <c r="J60" s="416"/>
      <c r="K60" s="298"/>
      <c r="L60" s="447">
        <f t="shared" si="0"/>
        <v>0</v>
      </c>
      <c r="M60" s="447"/>
      <c r="N60" s="298"/>
      <c r="O60" s="298"/>
      <c r="P60" s="298"/>
      <c r="Q60" s="298"/>
      <c r="R60" s="298"/>
      <c r="S60" s="298"/>
    </row>
    <row r="61" spans="1:19" s="92" customFormat="1" ht="63.75">
      <c r="A61" s="256" t="s">
        <v>3259</v>
      </c>
      <c r="B61" s="288" t="s">
        <v>3328</v>
      </c>
      <c r="C61" s="288">
        <v>92423</v>
      </c>
      <c r="D61" s="289" t="s">
        <v>12834</v>
      </c>
      <c r="E61" s="290" t="s">
        <v>193</v>
      </c>
      <c r="F61" s="292">
        <v>9.15</v>
      </c>
      <c r="G61" s="510" t="s">
        <v>22249</v>
      </c>
      <c r="H61" s="508">
        <v>0.2094</v>
      </c>
      <c r="I61" s="510">
        <v>67.544989999999999</v>
      </c>
      <c r="J61" s="509">
        <v>618.03665850000004</v>
      </c>
      <c r="K61" s="298"/>
      <c r="L61" s="447">
        <f t="shared" si="0"/>
        <v>618.03665850000004</v>
      </c>
      <c r="M61" s="447"/>
      <c r="N61" s="298"/>
      <c r="O61" s="298"/>
      <c r="P61" s="298"/>
      <c r="Q61" s="298"/>
      <c r="R61" s="298"/>
      <c r="S61" s="298"/>
    </row>
    <row r="62" spans="1:19" s="92" customFormat="1">
      <c r="A62" s="256"/>
      <c r="B62" s="391"/>
      <c r="C62" s="391"/>
      <c r="D62" s="401"/>
      <c r="E62" s="391"/>
      <c r="F62" s="417"/>
      <c r="G62" s="417"/>
      <c r="H62" s="417"/>
      <c r="I62" s="417"/>
      <c r="J62" s="418"/>
      <c r="K62" s="298"/>
      <c r="L62" s="447">
        <f t="shared" si="0"/>
        <v>0</v>
      </c>
      <c r="M62" s="447"/>
      <c r="N62" s="298"/>
      <c r="O62" s="298"/>
      <c r="P62" s="298"/>
      <c r="Q62" s="298"/>
      <c r="R62" s="298"/>
      <c r="S62" s="298"/>
    </row>
    <row r="63" spans="1:19" s="92" customFormat="1">
      <c r="A63" s="256"/>
      <c r="B63" s="287" t="s">
        <v>3329</v>
      </c>
      <c r="C63" s="287"/>
      <c r="D63" s="399" t="s">
        <v>3308</v>
      </c>
      <c r="E63" s="413"/>
      <c r="F63" s="413"/>
      <c r="G63" s="461"/>
      <c r="H63" s="413"/>
      <c r="I63" s="461"/>
      <c r="J63" s="414"/>
      <c r="K63" s="298"/>
      <c r="L63" s="447">
        <f t="shared" si="0"/>
        <v>0</v>
      </c>
      <c r="M63" s="447"/>
      <c r="N63" s="298"/>
      <c r="O63" s="298"/>
      <c r="P63" s="298"/>
      <c r="Q63" s="298"/>
      <c r="R63" s="298"/>
      <c r="S63" s="298"/>
    </row>
    <row r="64" spans="1:19" s="92" customFormat="1" ht="63.75">
      <c r="A64" s="256" t="s">
        <v>3259</v>
      </c>
      <c r="B64" s="288" t="s">
        <v>3764</v>
      </c>
      <c r="C64" s="288">
        <v>92776</v>
      </c>
      <c r="D64" s="289" t="s">
        <v>1381</v>
      </c>
      <c r="E64" s="290" t="s">
        <v>108</v>
      </c>
      <c r="F64" s="292">
        <v>17.68</v>
      </c>
      <c r="G64" s="510" t="s">
        <v>12372</v>
      </c>
      <c r="H64" s="508">
        <v>0.2094</v>
      </c>
      <c r="I64" s="510">
        <v>20.874244000000001</v>
      </c>
      <c r="J64" s="509">
        <v>369.05663392000002</v>
      </c>
      <c r="K64" s="298"/>
      <c r="L64" s="447">
        <f t="shared" si="0"/>
        <v>369.05663392000002</v>
      </c>
      <c r="M64" s="447"/>
      <c r="N64" s="298"/>
      <c r="O64" s="298"/>
      <c r="P64" s="298"/>
      <c r="Q64" s="298"/>
      <c r="R64" s="298"/>
      <c r="S64" s="298"/>
    </row>
    <row r="65" spans="1:19" s="92" customFormat="1" ht="63.75">
      <c r="A65" s="256" t="s">
        <v>3259</v>
      </c>
      <c r="B65" s="288" t="s">
        <v>3330</v>
      </c>
      <c r="C65" s="288">
        <v>92779</v>
      </c>
      <c r="D65" s="289" t="s">
        <v>1384</v>
      </c>
      <c r="E65" s="290" t="s">
        <v>108</v>
      </c>
      <c r="F65" s="292">
        <v>58.55</v>
      </c>
      <c r="G65" s="510" t="s">
        <v>10056</v>
      </c>
      <c r="H65" s="508">
        <v>0.2094</v>
      </c>
      <c r="I65" s="510">
        <v>14.367672000000001</v>
      </c>
      <c r="J65" s="509">
        <v>841.22719559999996</v>
      </c>
      <c r="K65" s="298"/>
      <c r="L65" s="447">
        <f t="shared" si="0"/>
        <v>841.22719559999996</v>
      </c>
      <c r="M65" s="447"/>
      <c r="N65" s="298"/>
      <c r="O65" s="298"/>
      <c r="P65" s="298"/>
      <c r="Q65" s="298"/>
      <c r="R65" s="298"/>
      <c r="S65" s="298"/>
    </row>
    <row r="66" spans="1:19" s="92" customFormat="1">
      <c r="A66" s="256"/>
      <c r="B66" s="391"/>
      <c r="C66" s="391"/>
      <c r="D66" s="401"/>
      <c r="E66" s="391"/>
      <c r="F66" s="417"/>
      <c r="G66" s="417"/>
      <c r="H66" s="417"/>
      <c r="I66" s="417"/>
      <c r="J66" s="418"/>
      <c r="K66" s="298"/>
      <c r="L66" s="447">
        <f t="shared" si="0"/>
        <v>0</v>
      </c>
      <c r="M66" s="447"/>
      <c r="N66" s="298"/>
      <c r="O66" s="298"/>
      <c r="P66" s="298"/>
      <c r="Q66" s="298"/>
      <c r="R66" s="298"/>
      <c r="S66" s="298"/>
    </row>
    <row r="67" spans="1:19" s="92" customFormat="1">
      <c r="A67" s="256"/>
      <c r="B67" s="287" t="s">
        <v>3331</v>
      </c>
      <c r="C67" s="287"/>
      <c r="D67" s="399" t="s">
        <v>3315</v>
      </c>
      <c r="E67" s="413"/>
      <c r="F67" s="413"/>
      <c r="G67" s="461"/>
      <c r="H67" s="413"/>
      <c r="I67" s="461"/>
      <c r="J67" s="414"/>
      <c r="K67" s="298"/>
      <c r="L67" s="447">
        <f t="shared" si="0"/>
        <v>0</v>
      </c>
      <c r="M67" s="447"/>
      <c r="N67" s="298"/>
      <c r="O67" s="298"/>
      <c r="P67" s="298"/>
      <c r="Q67" s="298"/>
      <c r="R67" s="298"/>
      <c r="S67" s="298"/>
    </row>
    <row r="68" spans="1:19" s="92" customFormat="1" ht="63.75">
      <c r="A68" s="256" t="s">
        <v>3260</v>
      </c>
      <c r="B68" s="288" t="s">
        <v>3332</v>
      </c>
      <c r="C68" s="288" t="s">
        <v>8986</v>
      </c>
      <c r="D68" s="289" t="s">
        <v>18723</v>
      </c>
      <c r="E68" s="290" t="s">
        <v>3241</v>
      </c>
      <c r="F68" s="292">
        <v>0.44</v>
      </c>
      <c r="G68" s="510">
        <v>408.62</v>
      </c>
      <c r="H68" s="508">
        <v>0.2094</v>
      </c>
      <c r="I68" s="510">
        <v>494.18502800000005</v>
      </c>
      <c r="J68" s="509">
        <v>217.44141232000001</v>
      </c>
      <c r="K68" s="298"/>
      <c r="L68" s="447">
        <f t="shared" si="0"/>
        <v>217.44141232000001</v>
      </c>
      <c r="M68" s="447"/>
      <c r="N68" s="298"/>
      <c r="O68" s="298"/>
      <c r="P68" s="298"/>
      <c r="Q68" s="298"/>
      <c r="R68" s="298"/>
      <c r="S68" s="298"/>
    </row>
    <row r="69" spans="1:19" s="92" customFormat="1">
      <c r="A69" s="256"/>
      <c r="B69" s="391"/>
      <c r="C69" s="391"/>
      <c r="D69" s="401"/>
      <c r="E69" s="391"/>
      <c r="F69" s="417"/>
      <c r="G69" s="417"/>
      <c r="H69" s="417"/>
      <c r="I69" s="417"/>
      <c r="J69" s="418"/>
      <c r="K69" s="298"/>
      <c r="L69" s="447">
        <f t="shared" si="0"/>
        <v>0</v>
      </c>
      <c r="M69" s="447"/>
      <c r="N69" s="298"/>
      <c r="O69" s="298"/>
      <c r="P69" s="298"/>
      <c r="Q69" s="298"/>
      <c r="R69" s="298"/>
      <c r="S69" s="298"/>
    </row>
    <row r="70" spans="1:19" s="92" customFormat="1">
      <c r="A70" s="256"/>
      <c r="B70" s="287" t="s">
        <v>15223</v>
      </c>
      <c r="C70" s="287"/>
      <c r="D70" s="400" t="s">
        <v>15224</v>
      </c>
      <c r="E70" s="415"/>
      <c r="F70" s="415"/>
      <c r="G70" s="462"/>
      <c r="H70" s="415"/>
      <c r="I70" s="462"/>
      <c r="J70" s="416"/>
      <c r="K70" s="298"/>
      <c r="L70" s="447">
        <f t="shared" si="0"/>
        <v>0</v>
      </c>
      <c r="M70" s="447"/>
      <c r="N70" s="298"/>
      <c r="O70" s="298"/>
      <c r="P70" s="298"/>
      <c r="Q70" s="298"/>
      <c r="R70" s="298"/>
      <c r="S70" s="298"/>
    </row>
    <row r="71" spans="1:19" s="92" customFormat="1">
      <c r="A71" s="256"/>
      <c r="B71" s="287" t="s">
        <v>15225</v>
      </c>
      <c r="C71" s="287"/>
      <c r="D71" s="400" t="s">
        <v>3327</v>
      </c>
      <c r="E71" s="415"/>
      <c r="F71" s="415"/>
      <c r="G71" s="462"/>
      <c r="H71" s="415"/>
      <c r="I71" s="462"/>
      <c r="J71" s="416"/>
      <c r="K71" s="298"/>
      <c r="L71" s="447">
        <f t="shared" si="0"/>
        <v>0</v>
      </c>
      <c r="M71" s="447"/>
      <c r="N71" s="298"/>
      <c r="O71" s="298"/>
      <c r="P71" s="298"/>
      <c r="Q71" s="298"/>
      <c r="R71" s="298"/>
      <c r="S71" s="298"/>
    </row>
    <row r="72" spans="1:19" s="92" customFormat="1" ht="51">
      <c r="A72" s="256" t="s">
        <v>3259</v>
      </c>
      <c r="B72" s="288" t="s">
        <v>15226</v>
      </c>
      <c r="C72" s="288">
        <v>92460</v>
      </c>
      <c r="D72" s="289" t="s">
        <v>12859</v>
      </c>
      <c r="E72" s="290" t="s">
        <v>193</v>
      </c>
      <c r="F72" s="292">
        <v>6.96</v>
      </c>
      <c r="G72" s="510" t="s">
        <v>22268</v>
      </c>
      <c r="H72" s="508">
        <v>0.2094</v>
      </c>
      <c r="I72" s="510">
        <v>106.48766999999999</v>
      </c>
      <c r="J72" s="509">
        <v>741.15418319999992</v>
      </c>
      <c r="K72" s="298"/>
      <c r="L72" s="447">
        <f t="shared" si="0"/>
        <v>741.15418319999992</v>
      </c>
      <c r="M72" s="447"/>
      <c r="N72" s="298"/>
      <c r="O72" s="298"/>
      <c r="P72" s="298"/>
      <c r="Q72" s="298"/>
      <c r="R72" s="298"/>
      <c r="S72" s="298"/>
    </row>
    <row r="73" spans="1:19" s="92" customFormat="1">
      <c r="A73" s="256"/>
      <c r="B73" s="391"/>
      <c r="C73" s="391"/>
      <c r="D73" s="401"/>
      <c r="E73" s="391"/>
      <c r="F73" s="417"/>
      <c r="G73" s="417"/>
      <c r="H73" s="417"/>
      <c r="I73" s="417"/>
      <c r="J73" s="418"/>
      <c r="K73" s="298"/>
      <c r="L73" s="447">
        <f t="shared" si="0"/>
        <v>0</v>
      </c>
      <c r="M73" s="447"/>
      <c r="N73" s="298"/>
      <c r="O73" s="298"/>
      <c r="P73" s="298"/>
      <c r="Q73" s="298"/>
      <c r="R73" s="298"/>
      <c r="S73" s="298"/>
    </row>
    <row r="74" spans="1:19" s="92" customFormat="1">
      <c r="A74" s="256"/>
      <c r="B74" s="287" t="s">
        <v>15227</v>
      </c>
      <c r="C74" s="287"/>
      <c r="D74" s="399" t="s">
        <v>3308</v>
      </c>
      <c r="E74" s="413"/>
      <c r="F74" s="413"/>
      <c r="G74" s="461"/>
      <c r="H74" s="413"/>
      <c r="I74" s="461"/>
      <c r="J74" s="414"/>
      <c r="K74" s="298"/>
      <c r="L74" s="447">
        <f t="shared" si="0"/>
        <v>0</v>
      </c>
      <c r="M74" s="447"/>
      <c r="N74" s="298"/>
      <c r="O74" s="298"/>
      <c r="P74" s="298"/>
      <c r="Q74" s="298"/>
      <c r="R74" s="298"/>
      <c r="S74" s="298"/>
    </row>
    <row r="75" spans="1:19" s="92" customFormat="1" ht="63.75">
      <c r="A75" s="256" t="s">
        <v>3259</v>
      </c>
      <c r="B75" s="288" t="s">
        <v>15228</v>
      </c>
      <c r="C75" s="288">
        <v>92775</v>
      </c>
      <c r="D75" s="289" t="s">
        <v>1380</v>
      </c>
      <c r="E75" s="290" t="s">
        <v>108</v>
      </c>
      <c r="F75" s="292">
        <v>5.91</v>
      </c>
      <c r="G75" s="510" t="s">
        <v>10985</v>
      </c>
      <c r="H75" s="508">
        <v>0.2094</v>
      </c>
      <c r="I75" s="510">
        <v>22.385994000000004</v>
      </c>
      <c r="J75" s="509">
        <v>132.30122454000002</v>
      </c>
      <c r="K75" s="298"/>
      <c r="L75" s="447">
        <f t="shared" si="0"/>
        <v>132.30122454000002</v>
      </c>
      <c r="M75" s="447"/>
      <c r="N75" s="298"/>
      <c r="O75" s="298"/>
      <c r="P75" s="298"/>
      <c r="Q75" s="298"/>
      <c r="R75" s="298"/>
      <c r="S75" s="298"/>
    </row>
    <row r="76" spans="1:19" s="92" customFormat="1" ht="63.75">
      <c r="A76" s="256" t="s">
        <v>3259</v>
      </c>
      <c r="B76" s="288" t="s">
        <v>15229</v>
      </c>
      <c r="C76" s="288">
        <v>92777</v>
      </c>
      <c r="D76" s="289" t="s">
        <v>1382</v>
      </c>
      <c r="E76" s="290" t="s">
        <v>108</v>
      </c>
      <c r="F76" s="292">
        <v>7.43</v>
      </c>
      <c r="G76" s="510" t="s">
        <v>12380</v>
      </c>
      <c r="H76" s="508">
        <v>0.2094</v>
      </c>
      <c r="I76" s="510">
        <v>19.3504</v>
      </c>
      <c r="J76" s="509">
        <v>143.773472</v>
      </c>
      <c r="K76" s="298"/>
      <c r="L76" s="447">
        <f t="shared" ref="L76:L139" si="1">I76*F76</f>
        <v>143.773472</v>
      </c>
      <c r="M76" s="447"/>
      <c r="N76" s="298"/>
      <c r="O76" s="298"/>
      <c r="P76" s="298"/>
      <c r="Q76" s="298"/>
      <c r="R76" s="298"/>
      <c r="S76" s="298"/>
    </row>
    <row r="77" spans="1:19" s="92" customFormat="1" ht="63.75">
      <c r="A77" s="256" t="s">
        <v>3259</v>
      </c>
      <c r="B77" s="288" t="s">
        <v>15230</v>
      </c>
      <c r="C77" s="288">
        <v>92778</v>
      </c>
      <c r="D77" s="289" t="s">
        <v>1383</v>
      </c>
      <c r="E77" s="290" t="s">
        <v>108</v>
      </c>
      <c r="F77" s="292">
        <v>16.46</v>
      </c>
      <c r="G77" s="510" t="s">
        <v>16434</v>
      </c>
      <c r="H77" s="508">
        <v>0.2094</v>
      </c>
      <c r="I77" s="510">
        <v>17.161386</v>
      </c>
      <c r="J77" s="509">
        <v>282.47641356000003</v>
      </c>
      <c r="K77" s="298"/>
      <c r="L77" s="447">
        <f t="shared" si="1"/>
        <v>282.47641356000003</v>
      </c>
      <c r="M77" s="447"/>
      <c r="N77" s="298"/>
      <c r="O77" s="298"/>
      <c r="P77" s="298"/>
      <c r="Q77" s="298"/>
      <c r="R77" s="298"/>
      <c r="S77" s="298"/>
    </row>
    <row r="78" spans="1:19" s="92" customFormat="1">
      <c r="A78" s="256"/>
      <c r="B78" s="391"/>
      <c r="C78" s="391"/>
      <c r="D78" s="401"/>
      <c r="E78" s="391"/>
      <c r="F78" s="417"/>
      <c r="G78" s="417"/>
      <c r="H78" s="417"/>
      <c r="I78" s="417"/>
      <c r="J78" s="418"/>
      <c r="K78" s="298"/>
      <c r="L78" s="447">
        <f t="shared" si="1"/>
        <v>0</v>
      </c>
      <c r="M78" s="447"/>
      <c r="N78" s="298"/>
      <c r="O78" s="298"/>
      <c r="P78" s="298"/>
      <c r="Q78" s="298"/>
      <c r="R78" s="298"/>
      <c r="S78" s="298"/>
    </row>
    <row r="79" spans="1:19" s="92" customFormat="1">
      <c r="A79" s="256"/>
      <c r="B79" s="287" t="s">
        <v>15232</v>
      </c>
      <c r="C79" s="287"/>
      <c r="D79" s="399" t="s">
        <v>3315</v>
      </c>
      <c r="E79" s="413"/>
      <c r="F79" s="413"/>
      <c r="G79" s="461"/>
      <c r="H79" s="413"/>
      <c r="I79" s="461"/>
      <c r="J79" s="414"/>
      <c r="K79" s="298"/>
      <c r="L79" s="447">
        <f t="shared" si="1"/>
        <v>0</v>
      </c>
      <c r="M79" s="447"/>
      <c r="N79" s="298"/>
      <c r="O79" s="298"/>
      <c r="P79" s="298"/>
      <c r="Q79" s="298"/>
      <c r="R79" s="298"/>
      <c r="S79" s="298"/>
    </row>
    <row r="80" spans="1:19" s="92" customFormat="1" ht="51">
      <c r="A80" s="256" t="s">
        <v>3260</v>
      </c>
      <c r="B80" s="288" t="s">
        <v>15233</v>
      </c>
      <c r="C80" s="288" t="s">
        <v>9641</v>
      </c>
      <c r="D80" s="289" t="s">
        <v>17848</v>
      </c>
      <c r="E80" s="290" t="s">
        <v>3241</v>
      </c>
      <c r="F80" s="292">
        <v>0.41</v>
      </c>
      <c r="G80" s="510">
        <v>402.68</v>
      </c>
      <c r="H80" s="508">
        <v>0.2094</v>
      </c>
      <c r="I80" s="510">
        <v>487.001192</v>
      </c>
      <c r="J80" s="509">
        <v>199.67048871999998</v>
      </c>
      <c r="K80" s="298"/>
      <c r="L80" s="447">
        <f t="shared" si="1"/>
        <v>199.67048871999998</v>
      </c>
      <c r="M80" s="447"/>
      <c r="N80" s="298"/>
      <c r="O80" s="298"/>
      <c r="P80" s="298"/>
      <c r="Q80" s="298"/>
      <c r="R80" s="298"/>
      <c r="S80" s="298"/>
    </row>
    <row r="81" spans="1:19" s="92" customFormat="1">
      <c r="A81" s="256"/>
      <c r="B81" s="391"/>
      <c r="C81" s="391"/>
      <c r="D81" s="401"/>
      <c r="E81" s="391"/>
      <c r="F81" s="417"/>
      <c r="G81" s="417"/>
      <c r="H81" s="417"/>
      <c r="I81" s="417"/>
      <c r="J81" s="418"/>
      <c r="K81" s="298"/>
      <c r="L81" s="447">
        <f t="shared" si="1"/>
        <v>0</v>
      </c>
      <c r="M81" s="447"/>
      <c r="N81" s="298"/>
      <c r="O81" s="298"/>
      <c r="P81" s="298"/>
      <c r="Q81" s="298"/>
      <c r="R81" s="298"/>
      <c r="S81" s="298"/>
    </row>
    <row r="82" spans="1:19" s="92" customFormat="1">
      <c r="A82" s="256"/>
      <c r="B82" s="287" t="s">
        <v>15234</v>
      </c>
      <c r="C82" s="287"/>
      <c r="D82" s="400" t="s">
        <v>15235</v>
      </c>
      <c r="E82" s="415"/>
      <c r="F82" s="415"/>
      <c r="G82" s="462"/>
      <c r="H82" s="415"/>
      <c r="I82" s="462"/>
      <c r="J82" s="416"/>
      <c r="K82" s="298"/>
      <c r="L82" s="447">
        <f t="shared" si="1"/>
        <v>0</v>
      </c>
      <c r="M82" s="447"/>
      <c r="N82" s="298"/>
      <c r="O82" s="298"/>
      <c r="P82" s="298"/>
      <c r="Q82" s="298"/>
      <c r="R82" s="298"/>
      <c r="S82" s="298"/>
    </row>
    <row r="83" spans="1:19" s="92" customFormat="1">
      <c r="A83" s="256"/>
      <c r="B83" s="287" t="s">
        <v>15236</v>
      </c>
      <c r="C83" s="287"/>
      <c r="D83" s="400" t="s">
        <v>3327</v>
      </c>
      <c r="E83" s="415"/>
      <c r="F83" s="415"/>
      <c r="G83" s="462"/>
      <c r="H83" s="415"/>
      <c r="I83" s="462"/>
      <c r="J83" s="416"/>
      <c r="K83" s="298"/>
      <c r="L83" s="447">
        <f t="shared" si="1"/>
        <v>0</v>
      </c>
      <c r="M83" s="447"/>
      <c r="N83" s="298"/>
      <c r="O83" s="298"/>
      <c r="P83" s="298"/>
      <c r="Q83" s="298"/>
      <c r="R83" s="298"/>
      <c r="S83" s="298"/>
    </row>
    <row r="84" spans="1:19" s="92" customFormat="1" ht="51">
      <c r="A84" s="256" t="s">
        <v>3259</v>
      </c>
      <c r="B84" s="288" t="s">
        <v>15237</v>
      </c>
      <c r="C84" s="288">
        <v>92518</v>
      </c>
      <c r="D84" s="289" t="s">
        <v>12898</v>
      </c>
      <c r="E84" s="290" t="s">
        <v>193</v>
      </c>
      <c r="F84" s="292">
        <v>8.16</v>
      </c>
      <c r="G84" s="510" t="s">
        <v>10452</v>
      </c>
      <c r="H84" s="508">
        <v>0.2094</v>
      </c>
      <c r="I84" s="510">
        <v>34.262301999999998</v>
      </c>
      <c r="J84" s="509">
        <v>279.58038432000001</v>
      </c>
      <c r="K84" s="298"/>
      <c r="L84" s="447">
        <f t="shared" si="1"/>
        <v>279.58038432000001</v>
      </c>
      <c r="M84" s="447"/>
      <c r="N84" s="298"/>
      <c r="O84" s="298"/>
      <c r="P84" s="298"/>
      <c r="Q84" s="298"/>
      <c r="R84" s="298"/>
      <c r="S84" s="298"/>
    </row>
    <row r="85" spans="1:19" s="92" customFormat="1">
      <c r="A85" s="256"/>
      <c r="B85" s="391"/>
      <c r="C85" s="391"/>
      <c r="D85" s="401"/>
      <c r="E85" s="391"/>
      <c r="F85" s="417"/>
      <c r="G85" s="417"/>
      <c r="H85" s="417"/>
      <c r="I85" s="417"/>
      <c r="J85" s="418"/>
      <c r="K85" s="298"/>
      <c r="L85" s="447">
        <f t="shared" si="1"/>
        <v>0</v>
      </c>
      <c r="M85" s="447"/>
      <c r="N85" s="298"/>
      <c r="O85" s="298"/>
      <c r="P85" s="298"/>
      <c r="Q85" s="298"/>
      <c r="R85" s="298"/>
      <c r="S85" s="298"/>
    </row>
    <row r="86" spans="1:19" s="92" customFormat="1">
      <c r="A86" s="256"/>
      <c r="B86" s="287" t="s">
        <v>15238</v>
      </c>
      <c r="C86" s="287"/>
      <c r="D86" s="399" t="s">
        <v>3308</v>
      </c>
      <c r="E86" s="413"/>
      <c r="F86" s="413"/>
      <c r="G86" s="461"/>
      <c r="H86" s="413"/>
      <c r="I86" s="461"/>
      <c r="J86" s="414"/>
      <c r="K86" s="298"/>
      <c r="L86" s="447">
        <f t="shared" si="1"/>
        <v>0</v>
      </c>
      <c r="M86" s="447"/>
      <c r="N86" s="298"/>
      <c r="O86" s="298"/>
      <c r="P86" s="298"/>
      <c r="Q86" s="298"/>
      <c r="R86" s="298"/>
      <c r="S86" s="298"/>
    </row>
    <row r="87" spans="1:19" s="92" customFormat="1" ht="63.75">
      <c r="A87" s="256" t="s">
        <v>3259</v>
      </c>
      <c r="B87" s="288" t="s">
        <v>15239</v>
      </c>
      <c r="C87" s="288">
        <v>92784</v>
      </c>
      <c r="D87" s="289" t="s">
        <v>1389</v>
      </c>
      <c r="E87" s="290" t="s">
        <v>108</v>
      </c>
      <c r="F87" s="292">
        <v>13.34</v>
      </c>
      <c r="G87" s="510" t="s">
        <v>10248</v>
      </c>
      <c r="H87" s="508">
        <v>0.2094</v>
      </c>
      <c r="I87" s="510">
        <v>19.785784</v>
      </c>
      <c r="J87" s="509">
        <v>263.94235856</v>
      </c>
      <c r="K87" s="298"/>
      <c r="L87" s="447">
        <f t="shared" si="1"/>
        <v>263.94235856</v>
      </c>
      <c r="M87" s="447"/>
      <c r="N87" s="298"/>
      <c r="O87" s="298"/>
      <c r="P87" s="298"/>
      <c r="Q87" s="298"/>
      <c r="R87" s="298"/>
      <c r="S87" s="298"/>
    </row>
    <row r="88" spans="1:19" s="92" customFormat="1" ht="63.75">
      <c r="A88" s="256" t="s">
        <v>3259</v>
      </c>
      <c r="B88" s="288" t="s">
        <v>18027</v>
      </c>
      <c r="C88" s="288">
        <v>92786</v>
      </c>
      <c r="D88" s="289" t="s">
        <v>1391</v>
      </c>
      <c r="E88" s="290" t="s">
        <v>108</v>
      </c>
      <c r="F88" s="292">
        <v>57.16</v>
      </c>
      <c r="G88" s="510" t="s">
        <v>15857</v>
      </c>
      <c r="H88" s="508">
        <v>0.2094</v>
      </c>
      <c r="I88" s="510">
        <v>17.802368000000001</v>
      </c>
      <c r="J88" s="509">
        <v>1017.58335488</v>
      </c>
      <c r="K88" s="298"/>
      <c r="L88" s="447">
        <f t="shared" si="1"/>
        <v>1017.58335488</v>
      </c>
      <c r="M88" s="447"/>
      <c r="N88" s="298"/>
      <c r="O88" s="298"/>
      <c r="P88" s="298"/>
      <c r="Q88" s="298"/>
      <c r="R88" s="298"/>
      <c r="S88" s="298"/>
    </row>
    <row r="89" spans="1:19" s="92" customFormat="1">
      <c r="A89" s="256"/>
      <c r="B89" s="391"/>
      <c r="C89" s="391"/>
      <c r="D89" s="401"/>
      <c r="E89" s="391"/>
      <c r="F89" s="417"/>
      <c r="G89" s="417"/>
      <c r="H89" s="417"/>
      <c r="I89" s="417"/>
      <c r="J89" s="418"/>
      <c r="K89" s="298"/>
      <c r="L89" s="447">
        <f t="shared" si="1"/>
        <v>0</v>
      </c>
      <c r="M89" s="447"/>
      <c r="N89" s="298"/>
      <c r="O89" s="298"/>
      <c r="P89" s="298"/>
      <c r="Q89" s="298"/>
      <c r="R89" s="298"/>
      <c r="S89" s="298"/>
    </row>
    <row r="90" spans="1:19" s="92" customFormat="1">
      <c r="A90" s="256"/>
      <c r="B90" s="287" t="s">
        <v>15240</v>
      </c>
      <c r="C90" s="287"/>
      <c r="D90" s="399" t="s">
        <v>3315</v>
      </c>
      <c r="E90" s="413"/>
      <c r="F90" s="413"/>
      <c r="G90" s="461"/>
      <c r="H90" s="413"/>
      <c r="I90" s="461"/>
      <c r="J90" s="414"/>
      <c r="K90" s="298"/>
      <c r="L90" s="447">
        <f t="shared" si="1"/>
        <v>0</v>
      </c>
      <c r="M90" s="447"/>
      <c r="N90" s="298"/>
      <c r="O90" s="298"/>
      <c r="P90" s="298"/>
      <c r="Q90" s="298"/>
      <c r="R90" s="298"/>
      <c r="S90" s="298"/>
    </row>
    <row r="91" spans="1:19" s="92" customFormat="1" ht="51">
      <c r="A91" s="256" t="s">
        <v>3260</v>
      </c>
      <c r="B91" s="288" t="s">
        <v>15241</v>
      </c>
      <c r="C91" s="288" t="s">
        <v>9641</v>
      </c>
      <c r="D91" s="289" t="s">
        <v>17848</v>
      </c>
      <c r="E91" s="290" t="s">
        <v>3241</v>
      </c>
      <c r="F91" s="292">
        <v>0.82</v>
      </c>
      <c r="G91" s="510">
        <v>402.68</v>
      </c>
      <c r="H91" s="508">
        <v>0.2094</v>
      </c>
      <c r="I91" s="510">
        <v>487.001192</v>
      </c>
      <c r="J91" s="509">
        <v>399.34097743999996</v>
      </c>
      <c r="K91" s="298"/>
      <c r="L91" s="447">
        <f t="shared" si="1"/>
        <v>399.34097743999996</v>
      </c>
      <c r="M91" s="447"/>
      <c r="N91" s="298"/>
      <c r="O91" s="298"/>
      <c r="P91" s="298"/>
      <c r="Q91" s="298"/>
      <c r="R91" s="298"/>
      <c r="S91" s="298"/>
    </row>
    <row r="92" spans="1:19" s="92" customFormat="1">
      <c r="A92" s="256"/>
      <c r="B92" s="391"/>
      <c r="C92" s="391"/>
      <c r="D92" s="401"/>
      <c r="E92" s="391"/>
      <c r="F92" s="417"/>
      <c r="G92" s="417"/>
      <c r="H92" s="417"/>
      <c r="I92" s="417"/>
      <c r="J92" s="418"/>
      <c r="K92" s="298"/>
      <c r="L92" s="447">
        <f t="shared" si="1"/>
        <v>0</v>
      </c>
      <c r="M92" s="447"/>
      <c r="N92" s="298"/>
      <c r="O92" s="298"/>
      <c r="P92" s="298"/>
      <c r="Q92" s="298"/>
      <c r="R92" s="298"/>
      <c r="S92" s="298"/>
    </row>
    <row r="93" spans="1:19" s="92" customFormat="1">
      <c r="A93" s="256"/>
      <c r="B93" s="392"/>
      <c r="C93" s="393"/>
      <c r="D93" s="402"/>
      <c r="E93" s="393"/>
      <c r="F93" s="393"/>
      <c r="G93" s="460" t="s">
        <v>69</v>
      </c>
      <c r="H93" s="419"/>
      <c r="I93" s="460"/>
      <c r="J93" s="420">
        <v>12679.14146226</v>
      </c>
      <c r="K93" s="447"/>
      <c r="L93" s="447">
        <f t="shared" si="1"/>
        <v>0</v>
      </c>
      <c r="M93" s="447"/>
      <c r="N93" s="298"/>
      <c r="O93" s="298"/>
      <c r="P93" s="298"/>
      <c r="Q93" s="298"/>
      <c r="R93" s="298"/>
      <c r="S93" s="298"/>
    </row>
    <row r="94" spans="1:19" s="92" customFormat="1">
      <c r="A94" s="256"/>
      <c r="B94" s="391"/>
      <c r="C94" s="391"/>
      <c r="D94" s="401"/>
      <c r="E94" s="391"/>
      <c r="F94" s="417"/>
      <c r="G94" s="417"/>
      <c r="H94" s="417"/>
      <c r="I94" s="417"/>
      <c r="J94" s="418"/>
      <c r="K94" s="298"/>
      <c r="L94" s="447">
        <f t="shared" si="1"/>
        <v>0</v>
      </c>
      <c r="M94" s="447"/>
      <c r="N94" s="298"/>
      <c r="O94" s="298"/>
      <c r="P94" s="298"/>
      <c r="Q94" s="298"/>
      <c r="R94" s="298"/>
      <c r="S94" s="298"/>
    </row>
    <row r="95" spans="1:19" s="92" customFormat="1">
      <c r="A95" s="256"/>
      <c r="B95" s="287" t="s">
        <v>181</v>
      </c>
      <c r="C95" s="287"/>
      <c r="D95" s="399" t="s">
        <v>182</v>
      </c>
      <c r="E95" s="413"/>
      <c r="F95" s="413"/>
      <c r="G95" s="461"/>
      <c r="H95" s="413"/>
      <c r="I95" s="461"/>
      <c r="J95" s="414"/>
      <c r="K95" s="298"/>
      <c r="L95" s="447">
        <f t="shared" si="1"/>
        <v>0</v>
      </c>
      <c r="M95" s="447"/>
      <c r="N95" s="298"/>
      <c r="O95" s="298"/>
      <c r="P95" s="298"/>
      <c r="Q95" s="298"/>
      <c r="R95" s="298"/>
      <c r="S95" s="298"/>
    </row>
    <row r="96" spans="1:19" s="92" customFormat="1">
      <c r="A96" s="256"/>
      <c r="B96" s="287" t="s">
        <v>194</v>
      </c>
      <c r="C96" s="287"/>
      <c r="D96" s="400" t="s">
        <v>195</v>
      </c>
      <c r="E96" s="415"/>
      <c r="F96" s="415"/>
      <c r="G96" s="462"/>
      <c r="H96" s="415"/>
      <c r="I96" s="462"/>
      <c r="J96" s="416"/>
      <c r="K96" s="298"/>
      <c r="L96" s="447">
        <f t="shared" si="1"/>
        <v>0</v>
      </c>
      <c r="M96" s="447"/>
      <c r="N96" s="298"/>
      <c r="O96" s="298"/>
      <c r="P96" s="298"/>
      <c r="Q96" s="298"/>
      <c r="R96" s="298"/>
      <c r="S96" s="298"/>
    </row>
    <row r="97" spans="1:19" s="92" customFormat="1">
      <c r="A97" s="256"/>
      <c r="B97" s="287" t="s">
        <v>15595</v>
      </c>
      <c r="C97" s="287"/>
      <c r="D97" s="400" t="s">
        <v>15596</v>
      </c>
      <c r="E97" s="415"/>
      <c r="F97" s="415"/>
      <c r="G97" s="462"/>
      <c r="H97" s="415"/>
      <c r="I97" s="462"/>
      <c r="J97" s="416"/>
      <c r="K97" s="298"/>
      <c r="L97" s="447">
        <f t="shared" si="1"/>
        <v>0</v>
      </c>
      <c r="M97" s="447"/>
      <c r="N97" s="298"/>
      <c r="O97" s="298"/>
      <c r="P97" s="298"/>
      <c r="Q97" s="298"/>
      <c r="R97" s="298"/>
      <c r="S97" s="298"/>
    </row>
    <row r="98" spans="1:19" s="140" customFormat="1" ht="89.25">
      <c r="A98" s="394" t="s">
        <v>3259</v>
      </c>
      <c r="B98" s="285" t="s">
        <v>15597</v>
      </c>
      <c r="C98" s="285">
        <v>87519</v>
      </c>
      <c r="D98" s="289" t="s">
        <v>2552</v>
      </c>
      <c r="E98" s="290" t="s">
        <v>193</v>
      </c>
      <c r="F98" s="755">
        <v>14.67</v>
      </c>
      <c r="G98" s="510" t="s">
        <v>23742</v>
      </c>
      <c r="H98" s="508">
        <v>0.2094</v>
      </c>
      <c r="I98" s="510">
        <v>96.594778000000005</v>
      </c>
      <c r="J98" s="509">
        <v>1417.0453932600001</v>
      </c>
      <c r="K98" s="409"/>
      <c r="L98" s="447">
        <f t="shared" si="1"/>
        <v>1417.0453932600001</v>
      </c>
      <c r="M98" s="447"/>
      <c r="N98" s="409"/>
      <c r="O98" s="409"/>
      <c r="P98" s="409"/>
      <c r="Q98" s="409"/>
      <c r="R98" s="409"/>
      <c r="S98" s="409"/>
    </row>
    <row r="99" spans="1:19" s="140" customFormat="1" ht="25.5">
      <c r="A99" s="394" t="s">
        <v>3259</v>
      </c>
      <c r="B99" s="285" t="s">
        <v>15598</v>
      </c>
      <c r="C99" s="285">
        <v>93202</v>
      </c>
      <c r="D99" s="289" t="s">
        <v>204</v>
      </c>
      <c r="E99" s="290" t="s">
        <v>5</v>
      </c>
      <c r="F99" s="755">
        <v>8.3000000000000007</v>
      </c>
      <c r="G99" s="510" t="s">
        <v>16388</v>
      </c>
      <c r="H99" s="508">
        <v>0.2094</v>
      </c>
      <c r="I99" s="510">
        <v>29.606112</v>
      </c>
      <c r="J99" s="509">
        <v>245.73072960000002</v>
      </c>
      <c r="K99" s="409"/>
      <c r="L99" s="447">
        <f t="shared" si="1"/>
        <v>245.73072960000002</v>
      </c>
      <c r="M99" s="447"/>
      <c r="N99" s="409"/>
      <c r="O99" s="409"/>
      <c r="P99" s="409"/>
      <c r="Q99" s="409"/>
      <c r="R99" s="409"/>
      <c r="S99" s="409"/>
    </row>
    <row r="100" spans="1:19" s="140" customFormat="1" ht="25.5">
      <c r="A100" s="394" t="s">
        <v>3259</v>
      </c>
      <c r="B100" s="285" t="s">
        <v>15599</v>
      </c>
      <c r="C100" s="285">
        <v>93185</v>
      </c>
      <c r="D100" s="289" t="s">
        <v>1487</v>
      </c>
      <c r="E100" s="290" t="s">
        <v>5</v>
      </c>
      <c r="F100" s="755">
        <v>3</v>
      </c>
      <c r="G100" s="510" t="s">
        <v>10176</v>
      </c>
      <c r="H100" s="508">
        <v>0.2094</v>
      </c>
      <c r="I100" s="510">
        <v>64.412644</v>
      </c>
      <c r="J100" s="509">
        <v>193.237932</v>
      </c>
      <c r="K100" s="409"/>
      <c r="L100" s="447">
        <f t="shared" si="1"/>
        <v>193.237932</v>
      </c>
      <c r="M100" s="447"/>
      <c r="N100" s="409"/>
      <c r="O100" s="409"/>
      <c r="P100" s="409"/>
      <c r="Q100" s="409"/>
      <c r="R100" s="409"/>
      <c r="S100" s="409"/>
    </row>
    <row r="101" spans="1:19" s="92" customFormat="1">
      <c r="A101" s="256"/>
      <c r="B101" s="391"/>
      <c r="C101" s="391"/>
      <c r="D101" s="401"/>
      <c r="E101" s="391"/>
      <c r="F101" s="417"/>
      <c r="G101" s="417"/>
      <c r="H101" s="417"/>
      <c r="I101" s="417"/>
      <c r="J101" s="418"/>
      <c r="K101" s="298"/>
      <c r="L101" s="447">
        <f t="shared" si="1"/>
        <v>0</v>
      </c>
      <c r="M101" s="447"/>
      <c r="N101" s="298"/>
      <c r="O101" s="298"/>
      <c r="P101" s="298"/>
      <c r="Q101" s="298"/>
      <c r="R101" s="298"/>
      <c r="S101" s="298"/>
    </row>
    <row r="102" spans="1:19" s="92" customFormat="1">
      <c r="A102" s="256"/>
      <c r="B102" s="287" t="s">
        <v>15605</v>
      </c>
      <c r="C102" s="287"/>
      <c r="D102" s="400" t="s">
        <v>15606</v>
      </c>
      <c r="E102" s="415"/>
      <c r="F102" s="415"/>
      <c r="G102" s="462"/>
      <c r="H102" s="415"/>
      <c r="I102" s="462"/>
      <c r="J102" s="416"/>
      <c r="K102" s="298"/>
      <c r="L102" s="447">
        <f t="shared" si="1"/>
        <v>0</v>
      </c>
      <c r="M102" s="447"/>
      <c r="N102" s="298"/>
      <c r="O102" s="298"/>
      <c r="P102" s="298"/>
      <c r="Q102" s="298"/>
      <c r="R102" s="298"/>
      <c r="S102" s="298"/>
    </row>
    <row r="103" spans="1:19" s="140" customFormat="1" ht="38.25">
      <c r="A103" s="256" t="s">
        <v>3260</v>
      </c>
      <c r="B103" s="285" t="s">
        <v>15607</v>
      </c>
      <c r="C103" s="285" t="s">
        <v>17781</v>
      </c>
      <c r="D103" s="289" t="s">
        <v>17782</v>
      </c>
      <c r="E103" s="290" t="s">
        <v>3240</v>
      </c>
      <c r="F103" s="755">
        <v>1</v>
      </c>
      <c r="G103" s="510">
        <v>1912.39</v>
      </c>
      <c r="H103" s="508">
        <v>0.2094</v>
      </c>
      <c r="I103" s="510">
        <v>2312.844466</v>
      </c>
      <c r="J103" s="509">
        <v>2312.844466</v>
      </c>
      <c r="K103" s="409"/>
      <c r="L103" s="447">
        <f t="shared" si="1"/>
        <v>2312.844466</v>
      </c>
      <c r="M103" s="447"/>
      <c r="N103" s="409"/>
      <c r="O103" s="409"/>
      <c r="P103" s="409"/>
      <c r="Q103" s="409"/>
      <c r="R103" s="409"/>
      <c r="S103" s="409"/>
    </row>
    <row r="104" spans="1:19" s="92" customFormat="1">
      <c r="A104" s="256"/>
      <c r="B104" s="391"/>
      <c r="C104" s="391"/>
      <c r="D104" s="401"/>
      <c r="E104" s="391"/>
      <c r="F104" s="417"/>
      <c r="G104" s="417"/>
      <c r="H104" s="417"/>
      <c r="I104" s="417"/>
      <c r="J104" s="418"/>
      <c r="K104" s="298"/>
      <c r="L104" s="447">
        <f t="shared" si="1"/>
        <v>0</v>
      </c>
      <c r="M104" s="447"/>
      <c r="N104" s="298"/>
      <c r="O104" s="298"/>
      <c r="P104" s="298"/>
      <c r="Q104" s="298"/>
      <c r="R104" s="298"/>
      <c r="S104" s="298"/>
    </row>
    <row r="105" spans="1:19" s="92" customFormat="1">
      <c r="A105" s="256"/>
      <c r="B105" s="287" t="s">
        <v>3333</v>
      </c>
      <c r="C105" s="287"/>
      <c r="D105" s="400" t="s">
        <v>11572</v>
      </c>
      <c r="E105" s="415"/>
      <c r="F105" s="415"/>
      <c r="G105" s="462"/>
      <c r="H105" s="415"/>
      <c r="I105" s="462"/>
      <c r="J105" s="416"/>
      <c r="K105" s="298"/>
      <c r="L105" s="447">
        <f t="shared" si="1"/>
        <v>0</v>
      </c>
      <c r="M105" s="447"/>
      <c r="N105" s="409"/>
      <c r="O105" s="409"/>
      <c r="P105" s="409"/>
      <c r="Q105" s="409"/>
      <c r="R105" s="409"/>
      <c r="S105" s="409"/>
    </row>
    <row r="106" spans="1:19" s="140" customFormat="1" ht="63.75">
      <c r="A106" s="394" t="s">
        <v>3259</v>
      </c>
      <c r="B106" s="285" t="s">
        <v>3334</v>
      </c>
      <c r="C106" s="285">
        <v>87620</v>
      </c>
      <c r="D106" s="289" t="s">
        <v>218</v>
      </c>
      <c r="E106" s="290" t="s">
        <v>193</v>
      </c>
      <c r="F106" s="755">
        <v>8.33</v>
      </c>
      <c r="G106" s="510" t="s">
        <v>24074</v>
      </c>
      <c r="H106" s="508">
        <v>0.2094</v>
      </c>
      <c r="I106" s="510">
        <v>35.580548</v>
      </c>
      <c r="J106" s="509">
        <v>296.38596483999999</v>
      </c>
      <c r="K106" s="409"/>
      <c r="L106" s="447">
        <f t="shared" si="1"/>
        <v>296.38596483999999</v>
      </c>
      <c r="M106" s="447"/>
      <c r="N106" s="409"/>
      <c r="O106" s="409"/>
      <c r="P106" s="409"/>
      <c r="Q106" s="409"/>
      <c r="R106" s="409"/>
      <c r="S106" s="409"/>
    </row>
    <row r="107" spans="1:19" s="140" customFormat="1" ht="51">
      <c r="A107" s="394" t="s">
        <v>3259</v>
      </c>
      <c r="B107" s="285" t="s">
        <v>3335</v>
      </c>
      <c r="C107" s="285">
        <v>98546</v>
      </c>
      <c r="D107" s="289" t="s">
        <v>4086</v>
      </c>
      <c r="E107" s="290" t="s">
        <v>193</v>
      </c>
      <c r="F107" s="755">
        <v>8.33</v>
      </c>
      <c r="G107" s="510" t="s">
        <v>16098</v>
      </c>
      <c r="H107" s="508">
        <v>0.2094</v>
      </c>
      <c r="I107" s="510">
        <v>94.175978000000015</v>
      </c>
      <c r="J107" s="509">
        <v>784.48589674000016</v>
      </c>
      <c r="K107" s="409"/>
      <c r="L107" s="447">
        <f t="shared" si="1"/>
        <v>784.48589674000016</v>
      </c>
      <c r="M107" s="447"/>
      <c r="N107" s="409"/>
      <c r="O107" s="409"/>
      <c r="P107" s="409"/>
      <c r="Q107" s="409"/>
      <c r="R107" s="409"/>
      <c r="S107" s="409"/>
    </row>
    <row r="108" spans="1:19" s="140" customFormat="1" ht="38.25">
      <c r="A108" s="394" t="s">
        <v>3259</v>
      </c>
      <c r="B108" s="285" t="s">
        <v>3769</v>
      </c>
      <c r="C108" s="285">
        <v>98565</v>
      </c>
      <c r="D108" s="289" t="s">
        <v>4091</v>
      </c>
      <c r="E108" s="290" t="s">
        <v>193</v>
      </c>
      <c r="F108" s="755">
        <v>8.33</v>
      </c>
      <c r="G108" s="510" t="s">
        <v>22568</v>
      </c>
      <c r="H108" s="508">
        <v>0.2094</v>
      </c>
      <c r="I108" s="510">
        <v>49.222580000000008</v>
      </c>
      <c r="J108" s="509">
        <v>410.02409140000009</v>
      </c>
      <c r="K108" s="409"/>
      <c r="L108" s="447">
        <f t="shared" si="1"/>
        <v>410.02409140000009</v>
      </c>
      <c r="M108" s="447"/>
      <c r="N108" s="409"/>
      <c r="O108" s="409"/>
      <c r="P108" s="409"/>
      <c r="Q108" s="409"/>
      <c r="R108" s="409"/>
      <c r="S108" s="409"/>
    </row>
    <row r="109" spans="1:19" s="92" customFormat="1">
      <c r="A109" s="256"/>
      <c r="B109" s="391"/>
      <c r="C109" s="391"/>
      <c r="D109" s="401"/>
      <c r="E109" s="391"/>
      <c r="F109" s="417"/>
      <c r="G109" s="417"/>
      <c r="H109" s="417"/>
      <c r="I109" s="417"/>
      <c r="J109" s="418"/>
      <c r="K109" s="298"/>
      <c r="L109" s="447">
        <f t="shared" si="1"/>
        <v>0</v>
      </c>
      <c r="M109" s="447"/>
      <c r="N109" s="298"/>
      <c r="O109" s="298"/>
      <c r="P109" s="298"/>
      <c r="Q109" s="298"/>
      <c r="R109" s="298"/>
      <c r="S109" s="298"/>
    </row>
    <row r="110" spans="1:19" s="92" customFormat="1">
      <c r="A110" s="256"/>
      <c r="B110" s="287" t="s">
        <v>15639</v>
      </c>
      <c r="C110" s="287"/>
      <c r="D110" s="400" t="s">
        <v>15640</v>
      </c>
      <c r="E110" s="415"/>
      <c r="F110" s="415"/>
      <c r="G110" s="462"/>
      <c r="H110" s="415"/>
      <c r="I110" s="462"/>
      <c r="J110" s="416"/>
      <c r="K110" s="298"/>
      <c r="L110" s="447">
        <f t="shared" si="1"/>
        <v>0</v>
      </c>
      <c r="M110" s="447">
        <f t="shared" ref="M110" si="2">L110-J110</f>
        <v>0</v>
      </c>
      <c r="N110" s="298"/>
      <c r="O110" s="298"/>
      <c r="P110" s="298"/>
      <c r="Q110" s="298"/>
      <c r="R110" s="298"/>
      <c r="S110" s="298"/>
    </row>
    <row r="111" spans="1:19" s="92" customFormat="1">
      <c r="A111" s="256"/>
      <c r="B111" s="287" t="s">
        <v>15647</v>
      </c>
      <c r="C111" s="287"/>
      <c r="D111" s="400" t="s">
        <v>15648</v>
      </c>
      <c r="E111" s="415"/>
      <c r="F111" s="415"/>
      <c r="G111" s="462"/>
      <c r="H111" s="415"/>
      <c r="I111" s="462"/>
      <c r="J111" s="416"/>
      <c r="K111" s="298"/>
      <c r="L111" s="447">
        <f t="shared" si="1"/>
        <v>0</v>
      </c>
      <c r="M111" s="447">
        <f t="shared" ref="M111" si="3">L111-J111</f>
        <v>0</v>
      </c>
      <c r="N111" s="298"/>
      <c r="O111" s="298"/>
      <c r="P111" s="298"/>
      <c r="Q111" s="298"/>
      <c r="R111" s="298"/>
      <c r="S111" s="298"/>
    </row>
    <row r="112" spans="1:19" s="140" customFormat="1" ht="51">
      <c r="A112" s="394" t="s">
        <v>3259</v>
      </c>
      <c r="B112" s="285" t="s">
        <v>15649</v>
      </c>
      <c r="C112" s="285">
        <v>97084</v>
      </c>
      <c r="D112" s="289" t="s">
        <v>3422</v>
      </c>
      <c r="E112" s="290" t="s">
        <v>193</v>
      </c>
      <c r="F112" s="755">
        <v>4.5</v>
      </c>
      <c r="G112" s="510" t="s">
        <v>12166</v>
      </c>
      <c r="H112" s="508">
        <v>0.2094</v>
      </c>
      <c r="I112" s="510">
        <v>0.70145199999999996</v>
      </c>
      <c r="J112" s="509">
        <v>3.1565339999999997</v>
      </c>
      <c r="K112" s="409"/>
      <c r="L112" s="447">
        <f t="shared" si="1"/>
        <v>3.1565339999999997</v>
      </c>
      <c r="M112" s="447"/>
      <c r="N112" s="409"/>
      <c r="O112" s="409"/>
      <c r="P112" s="409"/>
      <c r="Q112" s="409"/>
      <c r="R112" s="409"/>
      <c r="S112" s="409"/>
    </row>
    <row r="113" spans="1:19" s="140" customFormat="1" ht="25.5">
      <c r="A113" s="394" t="s">
        <v>3259</v>
      </c>
      <c r="B113" s="285" t="s">
        <v>15650</v>
      </c>
      <c r="C113" s="285">
        <v>97087</v>
      </c>
      <c r="D113" s="289" t="s">
        <v>12806</v>
      </c>
      <c r="E113" s="290" t="s">
        <v>193</v>
      </c>
      <c r="F113" s="755">
        <v>4.5</v>
      </c>
      <c r="G113" s="510" t="s">
        <v>11077</v>
      </c>
      <c r="H113" s="508">
        <v>0.2094</v>
      </c>
      <c r="I113" s="510">
        <v>1.9350400000000001</v>
      </c>
      <c r="J113" s="509">
        <v>8.7076799999999999</v>
      </c>
      <c r="K113" s="409"/>
      <c r="L113" s="447">
        <f t="shared" si="1"/>
        <v>8.7076799999999999</v>
      </c>
      <c r="M113" s="447"/>
      <c r="N113" s="409"/>
      <c r="O113" s="409"/>
      <c r="P113" s="409"/>
      <c r="Q113" s="409"/>
      <c r="R113" s="409"/>
      <c r="S113" s="409"/>
    </row>
    <row r="114" spans="1:19" s="140" customFormat="1" ht="38.25">
      <c r="A114" s="394" t="s">
        <v>3259</v>
      </c>
      <c r="B114" s="285" t="s">
        <v>15651</v>
      </c>
      <c r="C114" s="285">
        <v>95241</v>
      </c>
      <c r="D114" s="289" t="s">
        <v>15893</v>
      </c>
      <c r="E114" s="290" t="s">
        <v>193</v>
      </c>
      <c r="F114" s="755">
        <v>4.5</v>
      </c>
      <c r="G114" s="510" t="s">
        <v>14160</v>
      </c>
      <c r="H114" s="508">
        <v>0.2094</v>
      </c>
      <c r="I114" s="510">
        <v>31.420212000000003</v>
      </c>
      <c r="J114" s="509">
        <v>141.39095400000002</v>
      </c>
      <c r="K114" s="409"/>
      <c r="L114" s="447">
        <f t="shared" si="1"/>
        <v>141.39095400000002</v>
      </c>
      <c r="M114" s="447"/>
      <c r="N114" s="409"/>
      <c r="O114" s="409"/>
      <c r="P114" s="409"/>
      <c r="Q114" s="409"/>
      <c r="R114" s="409"/>
      <c r="S114" s="409"/>
    </row>
    <row r="115" spans="1:19" s="140" customFormat="1" ht="63.75">
      <c r="A115" s="394" t="s">
        <v>3259</v>
      </c>
      <c r="B115" s="285" t="s">
        <v>15652</v>
      </c>
      <c r="C115" s="285">
        <v>87630</v>
      </c>
      <c r="D115" s="289" t="s">
        <v>2766</v>
      </c>
      <c r="E115" s="290" t="s">
        <v>193</v>
      </c>
      <c r="F115" s="755">
        <v>4.5</v>
      </c>
      <c r="G115" s="510" t="s">
        <v>15967</v>
      </c>
      <c r="H115" s="508">
        <v>0.2094</v>
      </c>
      <c r="I115" s="510">
        <v>43.719810000000003</v>
      </c>
      <c r="J115" s="509">
        <v>196.73914500000001</v>
      </c>
      <c r="K115" s="409"/>
      <c r="L115" s="447">
        <f t="shared" si="1"/>
        <v>196.73914500000001</v>
      </c>
      <c r="M115" s="447"/>
      <c r="N115" s="409"/>
      <c r="O115" s="409"/>
      <c r="P115" s="409"/>
      <c r="Q115" s="409"/>
      <c r="R115" s="409"/>
      <c r="S115" s="409"/>
    </row>
    <row r="116" spans="1:19" s="92" customFormat="1">
      <c r="A116" s="256"/>
      <c r="B116" s="391"/>
      <c r="C116" s="391"/>
      <c r="D116" s="401"/>
      <c r="E116" s="391"/>
      <c r="F116" s="417"/>
      <c r="G116" s="417"/>
      <c r="H116" s="417"/>
      <c r="I116" s="417"/>
      <c r="J116" s="418"/>
      <c r="K116" s="298"/>
      <c r="L116" s="447">
        <f t="shared" si="1"/>
        <v>0</v>
      </c>
      <c r="M116" s="447"/>
      <c r="N116" s="298"/>
      <c r="O116" s="298"/>
      <c r="P116" s="298"/>
      <c r="Q116" s="298"/>
      <c r="R116" s="298"/>
      <c r="S116" s="298"/>
    </row>
    <row r="117" spans="1:19" s="92" customFormat="1">
      <c r="A117" s="256"/>
      <c r="B117" s="287" t="s">
        <v>15656</v>
      </c>
      <c r="C117" s="287"/>
      <c r="D117" s="400" t="s">
        <v>15657</v>
      </c>
      <c r="E117" s="415"/>
      <c r="F117" s="415"/>
      <c r="G117" s="462"/>
      <c r="H117" s="415"/>
      <c r="I117" s="462"/>
      <c r="J117" s="416"/>
      <c r="K117" s="298"/>
      <c r="L117" s="447">
        <f t="shared" si="1"/>
        <v>0</v>
      </c>
      <c r="M117" s="447">
        <f t="shared" ref="M117" si="4">L117-J117</f>
        <v>0</v>
      </c>
      <c r="N117" s="298"/>
      <c r="O117" s="298"/>
      <c r="P117" s="298"/>
      <c r="Q117" s="298"/>
      <c r="R117" s="298"/>
      <c r="S117" s="298"/>
    </row>
    <row r="118" spans="1:19" s="140" customFormat="1" ht="63.75">
      <c r="A118" s="394" t="s">
        <v>3259</v>
      </c>
      <c r="B118" s="285" t="s">
        <v>15658</v>
      </c>
      <c r="C118" s="285">
        <v>87879</v>
      </c>
      <c r="D118" s="289" t="s">
        <v>2843</v>
      </c>
      <c r="E118" s="290" t="s">
        <v>193</v>
      </c>
      <c r="F118" s="755">
        <v>15.5</v>
      </c>
      <c r="G118" s="510" t="s">
        <v>9809</v>
      </c>
      <c r="H118" s="508">
        <v>0.2094</v>
      </c>
      <c r="I118" s="510">
        <v>4.2449940000000002</v>
      </c>
      <c r="J118" s="509">
        <v>65.797407000000007</v>
      </c>
      <c r="K118" s="409"/>
      <c r="L118" s="447">
        <f t="shared" si="1"/>
        <v>65.797407000000007</v>
      </c>
      <c r="M118" s="447"/>
      <c r="N118" s="409"/>
      <c r="O118" s="409"/>
      <c r="P118" s="409"/>
      <c r="Q118" s="409"/>
      <c r="R118" s="409"/>
      <c r="S118" s="409"/>
    </row>
    <row r="119" spans="1:19" s="140" customFormat="1" ht="89.25">
      <c r="A119" s="394" t="s">
        <v>3259</v>
      </c>
      <c r="B119" s="285" t="s">
        <v>15659</v>
      </c>
      <c r="C119" s="285">
        <v>87529</v>
      </c>
      <c r="D119" s="289" t="s">
        <v>223</v>
      </c>
      <c r="E119" s="290" t="s">
        <v>193</v>
      </c>
      <c r="F119" s="755">
        <v>15.5</v>
      </c>
      <c r="G119" s="510" t="s">
        <v>22574</v>
      </c>
      <c r="H119" s="508">
        <v>0.2094</v>
      </c>
      <c r="I119" s="510">
        <v>37.950972</v>
      </c>
      <c r="J119" s="509">
        <v>588.24006599999996</v>
      </c>
      <c r="K119" s="409"/>
      <c r="L119" s="447">
        <f t="shared" si="1"/>
        <v>588.24006599999996</v>
      </c>
      <c r="M119" s="447"/>
      <c r="N119" s="409"/>
      <c r="O119" s="409"/>
      <c r="P119" s="409"/>
      <c r="Q119" s="409"/>
      <c r="R119" s="409"/>
      <c r="S119" s="409"/>
    </row>
    <row r="120" spans="1:19" s="140" customFormat="1" ht="63.75">
      <c r="A120" s="394" t="s">
        <v>3259</v>
      </c>
      <c r="B120" s="285" t="s">
        <v>15660</v>
      </c>
      <c r="C120" s="285">
        <v>87905</v>
      </c>
      <c r="D120" s="289" t="s">
        <v>2863</v>
      </c>
      <c r="E120" s="290" t="s">
        <v>193</v>
      </c>
      <c r="F120" s="755">
        <v>17.66</v>
      </c>
      <c r="G120" s="510" t="s">
        <v>10030</v>
      </c>
      <c r="H120" s="508">
        <v>0.2094</v>
      </c>
      <c r="I120" s="510">
        <v>9.3002859999999998</v>
      </c>
      <c r="J120" s="509">
        <v>164.24305075999999</v>
      </c>
      <c r="K120" s="409"/>
      <c r="L120" s="447">
        <f t="shared" si="1"/>
        <v>164.24305075999999</v>
      </c>
      <c r="M120" s="447"/>
      <c r="N120" s="409"/>
      <c r="O120" s="409"/>
      <c r="P120" s="409"/>
      <c r="Q120" s="409"/>
      <c r="R120" s="409"/>
      <c r="S120" s="409"/>
    </row>
    <row r="121" spans="1:19" s="140" customFormat="1" ht="63.75">
      <c r="A121" s="394" t="s">
        <v>3259</v>
      </c>
      <c r="B121" s="285" t="s">
        <v>15661</v>
      </c>
      <c r="C121" s="285">
        <v>87775</v>
      </c>
      <c r="D121" s="289" t="s">
        <v>228</v>
      </c>
      <c r="E121" s="290" t="s">
        <v>193</v>
      </c>
      <c r="F121" s="755">
        <v>17.66</v>
      </c>
      <c r="G121" s="510" t="s">
        <v>16019</v>
      </c>
      <c r="H121" s="508">
        <v>0.2094</v>
      </c>
      <c r="I121" s="510">
        <v>62.030126000000003</v>
      </c>
      <c r="J121" s="509">
        <v>1095.4520251599999</v>
      </c>
      <c r="K121" s="409"/>
      <c r="L121" s="447">
        <f t="shared" si="1"/>
        <v>1095.4520251599999</v>
      </c>
      <c r="M121" s="447"/>
      <c r="N121" s="256"/>
      <c r="O121" s="256"/>
      <c r="P121" s="256"/>
      <c r="Q121" s="256"/>
      <c r="R121" s="256"/>
      <c r="S121" s="256"/>
    </row>
    <row r="122" spans="1:19" s="92" customFormat="1">
      <c r="A122" s="256"/>
      <c r="B122" s="391"/>
      <c r="C122" s="391"/>
      <c r="D122" s="401"/>
      <c r="E122" s="391"/>
      <c r="F122" s="417"/>
      <c r="G122" s="417"/>
      <c r="H122" s="417"/>
      <c r="I122" s="417"/>
      <c r="J122" s="418"/>
      <c r="K122" s="298"/>
      <c r="L122" s="447">
        <f t="shared" si="1"/>
        <v>0</v>
      </c>
      <c r="M122" s="447"/>
      <c r="N122" s="298"/>
      <c r="O122" s="298"/>
      <c r="P122" s="298"/>
      <c r="Q122" s="298"/>
      <c r="R122" s="298"/>
      <c r="S122" s="298"/>
    </row>
    <row r="123" spans="1:19" s="92" customFormat="1">
      <c r="A123" s="256"/>
      <c r="B123" s="287" t="s">
        <v>15665</v>
      </c>
      <c r="C123" s="287"/>
      <c r="D123" s="400" t="s">
        <v>15666</v>
      </c>
      <c r="E123" s="415"/>
      <c r="F123" s="415"/>
      <c r="G123" s="462"/>
      <c r="H123" s="415"/>
      <c r="I123" s="462"/>
      <c r="J123" s="416"/>
      <c r="K123" s="298"/>
      <c r="L123" s="447">
        <f t="shared" si="1"/>
        <v>0</v>
      </c>
      <c r="M123" s="447"/>
      <c r="N123" s="298"/>
      <c r="O123" s="298"/>
      <c r="P123" s="298"/>
      <c r="Q123" s="298"/>
      <c r="R123" s="298"/>
      <c r="S123" s="298"/>
    </row>
    <row r="124" spans="1:19" s="140" customFormat="1" ht="63.75">
      <c r="A124" s="394" t="s">
        <v>3259</v>
      </c>
      <c r="B124" s="285" t="s">
        <v>15667</v>
      </c>
      <c r="C124" s="285">
        <v>87882</v>
      </c>
      <c r="D124" s="289" t="s">
        <v>2845</v>
      </c>
      <c r="E124" s="290" t="s">
        <v>193</v>
      </c>
      <c r="F124" s="755">
        <v>7.25</v>
      </c>
      <c r="G124" s="510" t="s">
        <v>20346</v>
      </c>
      <c r="H124" s="508">
        <v>0.2094</v>
      </c>
      <c r="I124" s="510">
        <v>6.3251620000000006</v>
      </c>
      <c r="J124" s="509">
        <v>45.857424500000008</v>
      </c>
      <c r="K124" s="409"/>
      <c r="L124" s="447">
        <f t="shared" si="1"/>
        <v>45.857424500000008</v>
      </c>
      <c r="M124" s="447"/>
      <c r="N124" s="409"/>
      <c r="O124" s="409"/>
      <c r="P124" s="409"/>
      <c r="Q124" s="409"/>
      <c r="R124" s="409"/>
      <c r="S124" s="409"/>
    </row>
    <row r="125" spans="1:19" s="140" customFormat="1" ht="76.5">
      <c r="A125" s="394" t="s">
        <v>3259</v>
      </c>
      <c r="B125" s="285" t="s">
        <v>15668</v>
      </c>
      <c r="C125" s="285">
        <v>90406</v>
      </c>
      <c r="D125" s="289" t="s">
        <v>2991</v>
      </c>
      <c r="E125" s="290" t="s">
        <v>193</v>
      </c>
      <c r="F125" s="755">
        <v>7.25</v>
      </c>
      <c r="G125" s="510" t="s">
        <v>15999</v>
      </c>
      <c r="H125" s="508">
        <v>0.2094</v>
      </c>
      <c r="I125" s="510">
        <v>49.706340000000004</v>
      </c>
      <c r="J125" s="509">
        <v>360.37096500000001</v>
      </c>
      <c r="K125" s="409"/>
      <c r="L125" s="447">
        <f t="shared" si="1"/>
        <v>360.37096500000001</v>
      </c>
      <c r="M125" s="447"/>
      <c r="N125" s="409"/>
      <c r="O125" s="409"/>
      <c r="P125" s="409"/>
      <c r="Q125" s="409"/>
      <c r="R125" s="409"/>
      <c r="S125" s="409"/>
    </row>
    <row r="126" spans="1:19" s="92" customFormat="1">
      <c r="A126" s="256"/>
      <c r="B126" s="391"/>
      <c r="C126" s="391"/>
      <c r="D126" s="401"/>
      <c r="E126" s="391"/>
      <c r="F126" s="417"/>
      <c r="G126" s="417"/>
      <c r="H126" s="417"/>
      <c r="I126" s="417"/>
      <c r="J126" s="418"/>
      <c r="K126" s="298"/>
      <c r="L126" s="447">
        <f t="shared" si="1"/>
        <v>0</v>
      </c>
      <c r="M126" s="447"/>
      <c r="N126" s="298"/>
      <c r="O126" s="298"/>
      <c r="P126" s="298"/>
      <c r="Q126" s="298"/>
      <c r="R126" s="298"/>
      <c r="S126" s="298"/>
    </row>
    <row r="127" spans="1:19" s="92" customFormat="1">
      <c r="A127" s="256"/>
      <c r="B127" s="287" t="s">
        <v>15669</v>
      </c>
      <c r="C127" s="287"/>
      <c r="D127" s="400" t="s">
        <v>15670</v>
      </c>
      <c r="E127" s="415"/>
      <c r="F127" s="415"/>
      <c r="G127" s="462"/>
      <c r="H127" s="415"/>
      <c r="I127" s="462"/>
      <c r="J127" s="416"/>
      <c r="K127" s="298"/>
      <c r="L127" s="447">
        <f t="shared" si="1"/>
        <v>0</v>
      </c>
      <c r="M127" s="447"/>
      <c r="N127" s="298"/>
      <c r="O127" s="298"/>
      <c r="P127" s="298"/>
      <c r="Q127" s="298"/>
      <c r="R127" s="298"/>
      <c r="S127" s="298"/>
    </row>
    <row r="128" spans="1:19" s="92" customFormat="1">
      <c r="A128" s="256"/>
      <c r="B128" s="287" t="s">
        <v>17571</v>
      </c>
      <c r="C128" s="287"/>
      <c r="D128" s="400" t="s">
        <v>17572</v>
      </c>
      <c r="E128" s="415"/>
      <c r="F128" s="415"/>
      <c r="G128" s="462"/>
      <c r="H128" s="415"/>
      <c r="I128" s="462"/>
      <c r="J128" s="416"/>
      <c r="K128" s="298"/>
      <c r="L128" s="447">
        <f t="shared" si="1"/>
        <v>0</v>
      </c>
      <c r="M128" s="447"/>
      <c r="N128" s="298"/>
      <c r="O128" s="298"/>
      <c r="P128" s="298"/>
      <c r="Q128" s="298"/>
      <c r="R128" s="298"/>
      <c r="S128" s="298"/>
    </row>
    <row r="129" spans="1:19" s="140" customFormat="1" ht="38.25">
      <c r="A129" s="394" t="s">
        <v>3259</v>
      </c>
      <c r="B129" s="285" t="s">
        <v>17573</v>
      </c>
      <c r="C129" s="285">
        <v>88488</v>
      </c>
      <c r="D129" s="289" t="s">
        <v>221</v>
      </c>
      <c r="E129" s="290" t="s">
        <v>193</v>
      </c>
      <c r="F129" s="755">
        <v>3.12</v>
      </c>
      <c r="G129" s="510" t="s">
        <v>11043</v>
      </c>
      <c r="H129" s="508">
        <v>0.2094</v>
      </c>
      <c r="I129" s="510">
        <v>17.427454000000001</v>
      </c>
      <c r="J129" s="509">
        <v>54.373656480000008</v>
      </c>
      <c r="K129" s="409"/>
      <c r="L129" s="447">
        <f t="shared" si="1"/>
        <v>54.373656480000008</v>
      </c>
      <c r="M129" s="447"/>
      <c r="N129" s="409"/>
      <c r="O129" s="409"/>
      <c r="P129" s="409"/>
      <c r="Q129" s="409"/>
      <c r="R129" s="409"/>
      <c r="S129" s="409"/>
    </row>
    <row r="130" spans="1:19" s="140" customFormat="1" ht="51">
      <c r="A130" s="394" t="s">
        <v>3260</v>
      </c>
      <c r="B130" s="285" t="s">
        <v>17574</v>
      </c>
      <c r="C130" s="285" t="s">
        <v>15507</v>
      </c>
      <c r="D130" s="289" t="s">
        <v>17576</v>
      </c>
      <c r="E130" s="290" t="s">
        <v>193</v>
      </c>
      <c r="F130" s="755">
        <v>4.13</v>
      </c>
      <c r="G130" s="510">
        <v>109.12</v>
      </c>
      <c r="H130" s="508">
        <v>0.2094</v>
      </c>
      <c r="I130" s="510">
        <v>131.969728</v>
      </c>
      <c r="J130" s="509">
        <v>545.03497663999997</v>
      </c>
      <c r="K130" s="409"/>
      <c r="L130" s="447">
        <f t="shared" si="1"/>
        <v>545.03497663999997</v>
      </c>
      <c r="M130" s="447"/>
      <c r="N130" s="409"/>
      <c r="O130" s="409"/>
      <c r="P130" s="409"/>
      <c r="Q130" s="409"/>
      <c r="R130" s="409"/>
      <c r="S130" s="409"/>
    </row>
    <row r="131" spans="1:19" s="92" customFormat="1">
      <c r="A131" s="256"/>
      <c r="B131" s="287" t="s">
        <v>17575</v>
      </c>
      <c r="C131" s="287"/>
      <c r="D131" s="400" t="s">
        <v>15596</v>
      </c>
      <c r="E131" s="415"/>
      <c r="F131" s="415"/>
      <c r="G131" s="462"/>
      <c r="H131" s="415"/>
      <c r="I131" s="462"/>
      <c r="J131" s="416"/>
      <c r="K131" s="298"/>
      <c r="L131" s="447">
        <f t="shared" si="1"/>
        <v>0</v>
      </c>
      <c r="M131" s="447"/>
      <c r="N131" s="298"/>
      <c r="O131" s="298"/>
      <c r="P131" s="298"/>
      <c r="Q131" s="298"/>
      <c r="R131" s="298"/>
      <c r="S131" s="298"/>
    </row>
    <row r="132" spans="1:19" s="140" customFormat="1" ht="38.25">
      <c r="A132" s="394" t="s">
        <v>3259</v>
      </c>
      <c r="B132" s="285" t="s">
        <v>17578</v>
      </c>
      <c r="C132" s="285">
        <v>88489</v>
      </c>
      <c r="D132" s="289" t="s">
        <v>227</v>
      </c>
      <c r="E132" s="290" t="s">
        <v>193</v>
      </c>
      <c r="F132" s="292">
        <v>33.159999999999997</v>
      </c>
      <c r="G132" s="510" t="s">
        <v>11393</v>
      </c>
      <c r="H132" s="508">
        <v>0.2094</v>
      </c>
      <c r="I132" s="510">
        <v>15.286816000000002</v>
      </c>
      <c r="J132" s="509">
        <v>506.91081856</v>
      </c>
      <c r="K132" s="409"/>
      <c r="L132" s="447">
        <f t="shared" si="1"/>
        <v>506.91081856</v>
      </c>
      <c r="M132" s="447"/>
      <c r="N132" s="409"/>
      <c r="O132" s="409"/>
      <c r="P132" s="409"/>
      <c r="Q132" s="409"/>
      <c r="R132" s="409"/>
      <c r="S132" s="409"/>
    </row>
    <row r="133" spans="1:19" s="140" customFormat="1">
      <c r="A133" s="394"/>
      <c r="B133" s="285"/>
      <c r="C133" s="285"/>
      <c r="D133" s="407"/>
      <c r="E133" s="230"/>
      <c r="F133" s="426"/>
      <c r="G133" s="464"/>
      <c r="H133" s="427"/>
      <c r="I133" s="464"/>
      <c r="J133" s="430"/>
      <c r="K133" s="409"/>
      <c r="L133" s="447">
        <f t="shared" si="1"/>
        <v>0</v>
      </c>
      <c r="M133" s="447"/>
      <c r="N133" s="409"/>
      <c r="O133" s="409"/>
      <c r="P133" s="409"/>
      <c r="Q133" s="409"/>
      <c r="R133" s="409"/>
      <c r="S133" s="409"/>
    </row>
    <row r="134" spans="1:19" s="92" customFormat="1">
      <c r="A134" s="256"/>
      <c r="B134" s="287" t="s">
        <v>15698</v>
      </c>
      <c r="C134" s="287"/>
      <c r="D134" s="400" t="s">
        <v>15699</v>
      </c>
      <c r="E134" s="415"/>
      <c r="F134" s="415"/>
      <c r="G134" s="462"/>
      <c r="H134" s="415"/>
      <c r="I134" s="462"/>
      <c r="J134" s="416"/>
      <c r="K134" s="298"/>
      <c r="L134" s="447">
        <f t="shared" si="1"/>
        <v>0</v>
      </c>
      <c r="M134" s="447"/>
      <c r="N134" s="298"/>
      <c r="O134" s="298"/>
      <c r="P134" s="298"/>
      <c r="Q134" s="298"/>
      <c r="R134" s="298"/>
      <c r="S134" s="298"/>
    </row>
    <row r="135" spans="1:19" s="92" customFormat="1">
      <c r="A135" s="256"/>
      <c r="B135" s="287" t="s">
        <v>17776</v>
      </c>
      <c r="C135" s="287"/>
      <c r="D135" s="400" t="s">
        <v>17447</v>
      </c>
      <c r="E135" s="415"/>
      <c r="F135" s="415"/>
      <c r="G135" s="462"/>
      <c r="H135" s="415"/>
      <c r="I135" s="462"/>
      <c r="J135" s="416"/>
      <c r="K135" s="298"/>
      <c r="L135" s="447">
        <f t="shared" si="1"/>
        <v>0</v>
      </c>
      <c r="M135" s="447"/>
      <c r="N135" s="298"/>
      <c r="O135" s="298"/>
      <c r="P135" s="298"/>
      <c r="Q135" s="298"/>
      <c r="R135" s="298"/>
      <c r="S135" s="298"/>
    </row>
    <row r="136" spans="1:19" s="140" customFormat="1" ht="63.75">
      <c r="A136" s="394" t="s">
        <v>3260</v>
      </c>
      <c r="B136" s="285" t="s">
        <v>15700</v>
      </c>
      <c r="C136" s="285" t="s">
        <v>17762</v>
      </c>
      <c r="D136" s="289" t="s">
        <v>17766</v>
      </c>
      <c r="E136" s="290" t="s">
        <v>3240</v>
      </c>
      <c r="F136" s="755">
        <v>1</v>
      </c>
      <c r="G136" s="510">
        <v>33.43</v>
      </c>
      <c r="H136" s="508">
        <v>0.2094</v>
      </c>
      <c r="I136" s="510">
        <v>40.430242</v>
      </c>
      <c r="J136" s="509">
        <v>40.430242</v>
      </c>
      <c r="K136" s="409"/>
      <c r="L136" s="447">
        <f t="shared" si="1"/>
        <v>40.430242</v>
      </c>
      <c r="M136" s="447"/>
      <c r="N136" s="409"/>
      <c r="O136" s="409"/>
      <c r="P136" s="409"/>
      <c r="Q136" s="409"/>
      <c r="R136" s="409"/>
      <c r="S136" s="409"/>
    </row>
    <row r="137" spans="1:19" s="92" customFormat="1">
      <c r="A137" s="256"/>
      <c r="B137" s="391"/>
      <c r="C137" s="391"/>
      <c r="D137" s="401"/>
      <c r="E137" s="391"/>
      <c r="F137" s="417"/>
      <c r="G137" s="417"/>
      <c r="H137" s="417"/>
      <c r="I137" s="417"/>
      <c r="J137" s="418"/>
      <c r="K137" s="298"/>
      <c r="L137" s="447">
        <f t="shared" si="1"/>
        <v>0</v>
      </c>
      <c r="M137" s="447"/>
      <c r="N137" s="298"/>
      <c r="O137" s="298"/>
      <c r="P137" s="298"/>
      <c r="Q137" s="298"/>
      <c r="R137" s="298"/>
      <c r="S137" s="298"/>
    </row>
    <row r="138" spans="1:19" s="140" customFormat="1">
      <c r="A138" s="394"/>
      <c r="B138" s="395"/>
      <c r="C138" s="395"/>
      <c r="D138" s="404"/>
      <c r="E138" s="395"/>
      <c r="F138" s="395"/>
      <c r="G138" s="460" t="s">
        <v>69</v>
      </c>
      <c r="H138" s="419"/>
      <c r="I138" s="460"/>
      <c r="J138" s="421">
        <v>9476.4594189400013</v>
      </c>
      <c r="K138" s="448"/>
      <c r="L138" s="447">
        <f t="shared" si="1"/>
        <v>0</v>
      </c>
      <c r="M138" s="447"/>
      <c r="N138" s="409"/>
      <c r="O138" s="409"/>
      <c r="P138" s="409"/>
      <c r="Q138" s="409"/>
      <c r="R138" s="409"/>
      <c r="S138" s="409"/>
    </row>
    <row r="139" spans="1:19" s="92" customFormat="1">
      <c r="A139" s="256"/>
      <c r="B139" s="391"/>
      <c r="C139" s="391"/>
      <c r="D139" s="401"/>
      <c r="E139" s="391"/>
      <c r="F139" s="417"/>
      <c r="G139" s="417"/>
      <c r="H139" s="417"/>
      <c r="I139" s="417"/>
      <c r="J139" s="418"/>
      <c r="K139" s="298"/>
      <c r="L139" s="447">
        <f t="shared" si="1"/>
        <v>0</v>
      </c>
      <c r="M139" s="447"/>
      <c r="N139" s="298"/>
      <c r="O139" s="298"/>
      <c r="P139" s="298"/>
      <c r="Q139" s="298"/>
      <c r="R139" s="298"/>
      <c r="S139" s="298"/>
    </row>
    <row r="140" spans="1:19" s="92" customFormat="1">
      <c r="A140" s="256"/>
      <c r="B140" s="287" t="s">
        <v>184</v>
      </c>
      <c r="C140" s="287"/>
      <c r="D140" s="400" t="s">
        <v>185</v>
      </c>
      <c r="E140" s="415"/>
      <c r="F140" s="415"/>
      <c r="G140" s="462"/>
      <c r="H140" s="415"/>
      <c r="I140" s="462"/>
      <c r="J140" s="416"/>
      <c r="K140" s="298"/>
      <c r="L140" s="447">
        <f t="shared" ref="L140:L189" si="5">I140*F140</f>
        <v>0</v>
      </c>
      <c r="M140" s="447"/>
      <c r="N140" s="298"/>
      <c r="O140" s="298"/>
      <c r="P140" s="298"/>
      <c r="Q140" s="298"/>
      <c r="R140" s="298"/>
      <c r="S140" s="298"/>
    </row>
    <row r="141" spans="1:19" s="92" customFormat="1">
      <c r="A141" s="256"/>
      <c r="B141" s="287" t="s">
        <v>14702</v>
      </c>
      <c r="C141" s="287"/>
      <c r="D141" s="400" t="s">
        <v>14703</v>
      </c>
      <c r="E141" s="391"/>
      <c r="F141" s="417"/>
      <c r="G141" s="417"/>
      <c r="H141" s="417"/>
      <c r="I141" s="417"/>
      <c r="J141" s="418"/>
      <c r="K141" s="298"/>
      <c r="L141" s="447">
        <f t="shared" si="5"/>
        <v>0</v>
      </c>
      <c r="M141" s="447"/>
      <c r="N141" s="298"/>
      <c r="O141" s="298"/>
      <c r="P141" s="298"/>
      <c r="Q141" s="298"/>
      <c r="R141" s="298"/>
      <c r="S141" s="298"/>
    </row>
    <row r="142" spans="1:19" s="92" customFormat="1">
      <c r="A142" s="256"/>
      <c r="B142" s="287" t="s">
        <v>14704</v>
      </c>
      <c r="C142" s="287"/>
      <c r="D142" s="400" t="s">
        <v>14584</v>
      </c>
      <c r="E142" s="391"/>
      <c r="F142" s="417"/>
      <c r="G142" s="417"/>
      <c r="H142" s="417"/>
      <c r="I142" s="417"/>
      <c r="J142" s="418"/>
      <c r="K142" s="298"/>
      <c r="L142" s="447">
        <f t="shared" si="5"/>
        <v>0</v>
      </c>
      <c r="M142" s="447"/>
      <c r="N142" s="298"/>
      <c r="O142" s="298"/>
      <c r="P142" s="298"/>
      <c r="Q142" s="298"/>
      <c r="R142" s="298"/>
      <c r="S142" s="298"/>
    </row>
    <row r="143" spans="1:19" s="92" customFormat="1" ht="51">
      <c r="A143" s="394" t="s">
        <v>3259</v>
      </c>
      <c r="B143" s="285" t="s">
        <v>14705</v>
      </c>
      <c r="C143" s="285">
        <v>89712</v>
      </c>
      <c r="D143" s="289" t="s">
        <v>1777</v>
      </c>
      <c r="E143" s="290" t="s">
        <v>5</v>
      </c>
      <c r="F143" s="755">
        <v>4.4000000000000004</v>
      </c>
      <c r="G143" s="510" t="s">
        <v>11417</v>
      </c>
      <c r="H143" s="508">
        <v>0.2094</v>
      </c>
      <c r="I143" s="510">
        <v>33.113371999999998</v>
      </c>
      <c r="J143" s="509">
        <v>145.69883680000001</v>
      </c>
      <c r="K143" s="409"/>
      <c r="L143" s="447">
        <f t="shared" si="5"/>
        <v>145.69883680000001</v>
      </c>
      <c r="M143" s="447"/>
      <c r="N143" s="298"/>
      <c r="O143" s="298"/>
      <c r="P143" s="298"/>
      <c r="Q143" s="298"/>
      <c r="R143" s="298"/>
      <c r="S143" s="298"/>
    </row>
    <row r="144" spans="1:19" s="92" customFormat="1" ht="63.75">
      <c r="A144" s="394" t="s">
        <v>3259</v>
      </c>
      <c r="B144" s="285" t="s">
        <v>14706</v>
      </c>
      <c r="C144" s="285">
        <v>89731</v>
      </c>
      <c r="D144" s="289" t="s">
        <v>2094</v>
      </c>
      <c r="E144" s="290" t="s">
        <v>109</v>
      </c>
      <c r="F144" s="755">
        <v>2</v>
      </c>
      <c r="G144" s="510" t="s">
        <v>10541</v>
      </c>
      <c r="H144" s="508">
        <v>0.2094</v>
      </c>
      <c r="I144" s="510">
        <v>12.21494</v>
      </c>
      <c r="J144" s="509">
        <v>24.429880000000001</v>
      </c>
      <c r="K144" s="409"/>
      <c r="L144" s="447">
        <f t="shared" si="5"/>
        <v>24.429880000000001</v>
      </c>
      <c r="M144" s="447"/>
      <c r="N144" s="298"/>
      <c r="O144" s="298"/>
      <c r="P144" s="298"/>
      <c r="Q144" s="298"/>
      <c r="R144" s="298"/>
      <c r="S144" s="298"/>
    </row>
    <row r="145" spans="1:19" s="92" customFormat="1" ht="38.25">
      <c r="A145" s="394" t="s">
        <v>3260</v>
      </c>
      <c r="B145" s="285" t="s">
        <v>14707</v>
      </c>
      <c r="C145" s="285" t="s">
        <v>17374</v>
      </c>
      <c r="D145" s="289" t="s">
        <v>14803</v>
      </c>
      <c r="E145" s="290" t="s">
        <v>3240</v>
      </c>
      <c r="F145" s="755">
        <v>1</v>
      </c>
      <c r="G145" s="510">
        <v>29.85</v>
      </c>
      <c r="H145" s="508">
        <v>0.2094</v>
      </c>
      <c r="I145" s="510">
        <v>36.100590000000004</v>
      </c>
      <c r="J145" s="509">
        <v>36.100590000000004</v>
      </c>
      <c r="K145" s="409"/>
      <c r="L145" s="447">
        <f t="shared" si="5"/>
        <v>36.100590000000004</v>
      </c>
      <c r="M145" s="447"/>
      <c r="N145" s="298"/>
      <c r="O145" s="298"/>
      <c r="P145" s="298"/>
      <c r="Q145" s="298"/>
      <c r="R145" s="298"/>
      <c r="S145" s="298"/>
    </row>
    <row r="146" spans="1:19" s="92" customFormat="1" ht="38.25">
      <c r="A146" s="394" t="s">
        <v>3260</v>
      </c>
      <c r="B146" s="285" t="s">
        <v>14708</v>
      </c>
      <c r="C146" s="285" t="s">
        <v>14696</v>
      </c>
      <c r="D146" s="289" t="s">
        <v>18531</v>
      </c>
      <c r="E146" s="290" t="s">
        <v>3240</v>
      </c>
      <c r="F146" s="755">
        <v>1</v>
      </c>
      <c r="G146" s="510">
        <v>11.45</v>
      </c>
      <c r="H146" s="508">
        <v>0.2094</v>
      </c>
      <c r="I146" s="510">
        <v>13.847629999999999</v>
      </c>
      <c r="J146" s="509">
        <v>13.847629999999999</v>
      </c>
      <c r="K146" s="409"/>
      <c r="L146" s="447">
        <f t="shared" si="5"/>
        <v>13.847629999999999</v>
      </c>
      <c r="M146" s="447"/>
      <c r="N146" s="298"/>
      <c r="O146" s="298"/>
      <c r="P146" s="298"/>
      <c r="Q146" s="298"/>
      <c r="R146" s="298"/>
      <c r="S146" s="298"/>
    </row>
    <row r="147" spans="1:19" s="92" customFormat="1">
      <c r="A147" s="394"/>
      <c r="B147" s="285"/>
      <c r="C147" s="285"/>
      <c r="D147" s="407"/>
      <c r="E147" s="468"/>
      <c r="F147" s="469"/>
      <c r="G147" s="470"/>
      <c r="H147" s="471"/>
      <c r="I147" s="470"/>
      <c r="J147" s="418"/>
      <c r="K147" s="409"/>
      <c r="L147" s="447">
        <f t="shared" si="5"/>
        <v>0</v>
      </c>
      <c r="M147" s="447"/>
      <c r="N147" s="298"/>
      <c r="O147" s="298"/>
      <c r="P147" s="298"/>
      <c r="Q147" s="298"/>
      <c r="R147" s="298"/>
      <c r="S147" s="298"/>
    </row>
    <row r="148" spans="1:19" s="92" customFormat="1">
      <c r="A148" s="256"/>
      <c r="B148" s="287" t="s">
        <v>14710</v>
      </c>
      <c r="C148" s="287"/>
      <c r="D148" s="400" t="s">
        <v>11573</v>
      </c>
      <c r="E148" s="391"/>
      <c r="F148" s="417"/>
      <c r="G148" s="417"/>
      <c r="H148" s="417"/>
      <c r="I148" s="417"/>
      <c r="J148" s="418"/>
      <c r="K148" s="298"/>
      <c r="L148" s="447">
        <f t="shared" si="5"/>
        <v>0</v>
      </c>
      <c r="M148" s="447"/>
      <c r="N148" s="298"/>
      <c r="O148" s="298"/>
      <c r="P148" s="298"/>
      <c r="Q148" s="298"/>
      <c r="R148" s="298"/>
      <c r="S148" s="298"/>
    </row>
    <row r="149" spans="1:19" s="92" customFormat="1" ht="51">
      <c r="A149" s="394" t="s">
        <v>3259</v>
      </c>
      <c r="B149" s="285" t="s">
        <v>14712</v>
      </c>
      <c r="C149" s="285">
        <v>89708</v>
      </c>
      <c r="D149" s="289" t="s">
        <v>2347</v>
      </c>
      <c r="E149" s="290" t="s">
        <v>109</v>
      </c>
      <c r="F149" s="755">
        <v>1</v>
      </c>
      <c r="G149" s="510" t="s">
        <v>19974</v>
      </c>
      <c r="H149" s="508">
        <v>0.2094</v>
      </c>
      <c r="I149" s="510">
        <v>102.77481200000001</v>
      </c>
      <c r="J149" s="509">
        <v>102.77481200000001</v>
      </c>
      <c r="K149" s="409"/>
      <c r="L149" s="447">
        <f t="shared" si="5"/>
        <v>102.77481200000001</v>
      </c>
      <c r="M149" s="447"/>
      <c r="N149" s="298"/>
      <c r="O149" s="298"/>
      <c r="P149" s="298"/>
      <c r="Q149" s="298"/>
      <c r="R149" s="298"/>
      <c r="S149" s="298"/>
    </row>
    <row r="150" spans="1:19" s="92" customFormat="1" ht="25.5">
      <c r="A150" s="394" t="s">
        <v>12</v>
      </c>
      <c r="B150" s="285" t="s">
        <v>14713</v>
      </c>
      <c r="C150" s="285" t="s">
        <v>17383</v>
      </c>
      <c r="D150" s="289" t="s">
        <v>17387</v>
      </c>
      <c r="E150" s="290" t="s">
        <v>109</v>
      </c>
      <c r="F150" s="755">
        <v>1</v>
      </c>
      <c r="G150" s="510">
        <v>17.71</v>
      </c>
      <c r="H150" s="508">
        <v>0.2094</v>
      </c>
      <c r="I150" s="510">
        <v>21.418474000000003</v>
      </c>
      <c r="J150" s="509">
        <v>21.418474000000003</v>
      </c>
      <c r="K150" s="409"/>
      <c r="L150" s="447">
        <f t="shared" si="5"/>
        <v>21.418474000000003</v>
      </c>
      <c r="M150" s="447"/>
      <c r="N150" s="298"/>
      <c r="O150" s="298"/>
      <c r="P150" s="298"/>
      <c r="Q150" s="298"/>
      <c r="R150" s="298"/>
      <c r="S150" s="298"/>
    </row>
    <row r="151" spans="1:19" s="92" customFormat="1">
      <c r="A151" s="256"/>
      <c r="B151" s="391"/>
      <c r="C151" s="391"/>
      <c r="D151" s="401"/>
      <c r="E151" s="391"/>
      <c r="F151" s="417"/>
      <c r="G151" s="417"/>
      <c r="H151" s="417"/>
      <c r="I151" s="417"/>
      <c r="J151" s="418"/>
      <c r="K151" s="298"/>
      <c r="L151" s="447">
        <f t="shared" si="5"/>
        <v>0</v>
      </c>
      <c r="M151" s="447"/>
      <c r="N151" s="298"/>
      <c r="O151" s="298"/>
      <c r="P151" s="298"/>
      <c r="Q151" s="298"/>
      <c r="R151" s="298"/>
      <c r="S151" s="298"/>
    </row>
    <row r="152" spans="1:19" s="92" customFormat="1">
      <c r="A152" s="256"/>
      <c r="B152" s="287" t="s">
        <v>14711</v>
      </c>
      <c r="C152" s="287"/>
      <c r="D152" s="400" t="s">
        <v>111</v>
      </c>
      <c r="E152" s="391"/>
      <c r="F152" s="417"/>
      <c r="G152" s="417"/>
      <c r="H152" s="417"/>
      <c r="I152" s="417"/>
      <c r="J152" s="418"/>
      <c r="K152" s="298"/>
      <c r="L152" s="447">
        <f t="shared" si="5"/>
        <v>0</v>
      </c>
      <c r="M152" s="447"/>
      <c r="N152" s="298"/>
      <c r="O152" s="298"/>
      <c r="P152" s="298"/>
      <c r="Q152" s="298"/>
      <c r="R152" s="298"/>
      <c r="S152" s="298"/>
    </row>
    <row r="153" spans="1:19" s="92" customFormat="1" ht="38.25">
      <c r="A153" s="394" t="s">
        <v>3259</v>
      </c>
      <c r="B153" s="285" t="s">
        <v>14716</v>
      </c>
      <c r="C153" s="285">
        <v>93358</v>
      </c>
      <c r="D153" s="289" t="s">
        <v>16227</v>
      </c>
      <c r="E153" s="290" t="s">
        <v>209</v>
      </c>
      <c r="F153" s="755">
        <v>0.13</v>
      </c>
      <c r="G153" s="510" t="s">
        <v>23682</v>
      </c>
      <c r="H153" s="508">
        <v>0.2094</v>
      </c>
      <c r="I153" s="510">
        <v>84.246803999999997</v>
      </c>
      <c r="J153" s="509">
        <v>10.95208452</v>
      </c>
      <c r="K153" s="409"/>
      <c r="L153" s="447">
        <f t="shared" si="5"/>
        <v>10.95208452</v>
      </c>
      <c r="M153" s="447"/>
      <c r="N153" s="298"/>
      <c r="O153" s="298"/>
      <c r="P153" s="298"/>
      <c r="Q153" s="298"/>
      <c r="R153" s="298"/>
      <c r="S153" s="298"/>
    </row>
    <row r="154" spans="1:19" s="92" customFormat="1" ht="38.25">
      <c r="A154" s="394" t="s">
        <v>3259</v>
      </c>
      <c r="B154" s="285" t="s">
        <v>14717</v>
      </c>
      <c r="C154" s="288">
        <v>101616</v>
      </c>
      <c r="D154" s="289" t="s">
        <v>13664</v>
      </c>
      <c r="E154" s="290" t="s">
        <v>193</v>
      </c>
      <c r="F154" s="755">
        <v>0.3</v>
      </c>
      <c r="G154" s="510" t="s">
        <v>11219</v>
      </c>
      <c r="H154" s="508">
        <v>0.2094</v>
      </c>
      <c r="I154" s="510">
        <v>6.3735379999999999</v>
      </c>
      <c r="J154" s="509">
        <v>1.9120613999999998</v>
      </c>
      <c r="K154" s="409"/>
      <c r="L154" s="447">
        <f t="shared" si="5"/>
        <v>1.9120613999999998</v>
      </c>
      <c r="M154" s="447"/>
      <c r="N154" s="298"/>
      <c r="O154" s="298"/>
      <c r="P154" s="298"/>
      <c r="Q154" s="298"/>
      <c r="R154" s="298"/>
      <c r="S154" s="298"/>
    </row>
    <row r="155" spans="1:19" s="92" customFormat="1" ht="25.5">
      <c r="A155" s="394" t="s">
        <v>3259</v>
      </c>
      <c r="B155" s="285" t="s">
        <v>14718</v>
      </c>
      <c r="C155" s="288">
        <v>93382</v>
      </c>
      <c r="D155" s="289" t="s">
        <v>2501</v>
      </c>
      <c r="E155" s="290" t="s">
        <v>209</v>
      </c>
      <c r="F155" s="755">
        <v>0.1</v>
      </c>
      <c r="G155" s="510" t="s">
        <v>16369</v>
      </c>
      <c r="H155" s="508">
        <v>0.2094</v>
      </c>
      <c r="I155" s="510">
        <v>30.380128000000003</v>
      </c>
      <c r="J155" s="509">
        <v>3.0380128000000006</v>
      </c>
      <c r="K155" s="409"/>
      <c r="L155" s="447">
        <f t="shared" si="5"/>
        <v>3.0380128000000006</v>
      </c>
      <c r="M155" s="447"/>
      <c r="N155" s="298"/>
      <c r="O155" s="298"/>
      <c r="P155" s="298"/>
      <c r="Q155" s="298"/>
      <c r="R155" s="298"/>
      <c r="S155" s="298"/>
    </row>
    <row r="156" spans="1:19" s="92" customFormat="1">
      <c r="A156" s="394" t="s">
        <v>3260</v>
      </c>
      <c r="B156" s="285" t="s">
        <v>14719</v>
      </c>
      <c r="C156" s="285" t="s">
        <v>14697</v>
      </c>
      <c r="D156" s="289" t="s">
        <v>14699</v>
      </c>
      <c r="E156" s="290" t="s">
        <v>3241</v>
      </c>
      <c r="F156" s="755">
        <v>0.03</v>
      </c>
      <c r="G156" s="510">
        <v>165.58999999999997</v>
      </c>
      <c r="H156" s="508">
        <v>0.2094</v>
      </c>
      <c r="I156" s="510">
        <v>200.26454599999997</v>
      </c>
      <c r="J156" s="509">
        <v>6.0079363799999985</v>
      </c>
      <c r="K156" s="409"/>
      <c r="L156" s="447">
        <f t="shared" si="5"/>
        <v>6.0079363799999985</v>
      </c>
      <c r="M156" s="447"/>
      <c r="N156" s="298"/>
      <c r="O156" s="298"/>
      <c r="P156" s="298"/>
      <c r="Q156" s="298"/>
      <c r="R156" s="298"/>
      <c r="S156" s="298"/>
    </row>
    <row r="157" spans="1:19" s="92" customFormat="1" ht="76.5">
      <c r="A157" s="394" t="s">
        <v>3259</v>
      </c>
      <c r="B157" s="285" t="s">
        <v>14720</v>
      </c>
      <c r="C157" s="285">
        <v>91174</v>
      </c>
      <c r="D157" s="289" t="s">
        <v>2429</v>
      </c>
      <c r="E157" s="290" t="s">
        <v>5</v>
      </c>
      <c r="F157" s="755">
        <v>3.4</v>
      </c>
      <c r="G157" s="510" t="s">
        <v>20318</v>
      </c>
      <c r="H157" s="508">
        <v>0.2094</v>
      </c>
      <c r="I157" s="510">
        <v>3.108158</v>
      </c>
      <c r="J157" s="509">
        <v>10.5677372</v>
      </c>
      <c r="K157" s="409"/>
      <c r="L157" s="447">
        <f t="shared" si="5"/>
        <v>10.5677372</v>
      </c>
      <c r="M157" s="447"/>
      <c r="N157" s="298"/>
      <c r="O157" s="298"/>
      <c r="P157" s="298"/>
      <c r="Q157" s="298"/>
      <c r="R157" s="298"/>
      <c r="S157" s="298"/>
    </row>
    <row r="158" spans="1:19" s="92" customFormat="1">
      <c r="A158" s="256"/>
      <c r="B158" s="391"/>
      <c r="C158" s="395"/>
      <c r="D158" s="401"/>
      <c r="E158" s="391"/>
      <c r="F158" s="417"/>
      <c r="G158" s="417"/>
      <c r="H158" s="417"/>
      <c r="I158" s="417"/>
      <c r="J158" s="418"/>
      <c r="K158" s="298"/>
      <c r="L158" s="447">
        <f t="shared" si="5"/>
        <v>0</v>
      </c>
      <c r="M158" s="447"/>
      <c r="N158" s="298"/>
      <c r="O158" s="298"/>
      <c r="P158" s="298"/>
      <c r="Q158" s="298"/>
      <c r="R158" s="298"/>
      <c r="S158" s="298"/>
    </row>
    <row r="159" spans="1:19" s="140" customFormat="1">
      <c r="A159" s="394"/>
      <c r="B159" s="395"/>
      <c r="C159" s="395"/>
      <c r="D159" s="404"/>
      <c r="E159" s="395"/>
      <c r="F159" s="395"/>
      <c r="G159" s="460" t="s">
        <v>69</v>
      </c>
      <c r="H159" s="419"/>
      <c r="I159" s="460"/>
      <c r="J159" s="421">
        <v>376.74805510000004</v>
      </c>
      <c r="K159" s="448"/>
      <c r="L159" s="447">
        <f t="shared" si="5"/>
        <v>0</v>
      </c>
      <c r="M159" s="447"/>
      <c r="N159" s="409"/>
      <c r="O159" s="409"/>
      <c r="P159" s="409"/>
      <c r="Q159" s="409"/>
      <c r="R159" s="409"/>
      <c r="S159" s="409"/>
    </row>
    <row r="160" spans="1:19" s="92" customFormat="1">
      <c r="A160" s="256"/>
      <c r="B160" s="391"/>
      <c r="C160" s="391"/>
      <c r="D160" s="401"/>
      <c r="E160" s="391"/>
      <c r="F160" s="417"/>
      <c r="G160" s="417"/>
      <c r="H160" s="417"/>
      <c r="I160" s="417"/>
      <c r="J160" s="418"/>
      <c r="K160" s="298"/>
      <c r="L160" s="447">
        <f t="shared" si="5"/>
        <v>0</v>
      </c>
      <c r="M160" s="447"/>
      <c r="N160" s="298"/>
      <c r="O160" s="298"/>
      <c r="P160" s="298"/>
      <c r="Q160" s="298"/>
      <c r="R160" s="298"/>
      <c r="S160" s="298"/>
    </row>
    <row r="161" spans="1:19" s="140" customFormat="1">
      <c r="A161" s="394"/>
      <c r="B161" s="396" t="s">
        <v>113</v>
      </c>
      <c r="C161" s="396"/>
      <c r="D161" s="405" t="s">
        <v>114</v>
      </c>
      <c r="E161" s="422"/>
      <c r="F161" s="422"/>
      <c r="G161" s="429"/>
      <c r="H161" s="422"/>
      <c r="I161" s="429"/>
      <c r="J161" s="423"/>
      <c r="K161" s="409"/>
      <c r="L161" s="447">
        <f t="shared" si="5"/>
        <v>0</v>
      </c>
      <c r="M161" s="447"/>
      <c r="N161" s="409"/>
      <c r="O161" s="409"/>
      <c r="P161" s="409"/>
      <c r="Q161" s="409"/>
      <c r="R161" s="409"/>
      <c r="S161" s="409"/>
    </row>
    <row r="162" spans="1:19" s="140" customFormat="1">
      <c r="A162" s="394"/>
      <c r="B162" s="396" t="s">
        <v>115</v>
      </c>
      <c r="C162" s="396"/>
      <c r="D162" s="406" t="s">
        <v>116</v>
      </c>
      <c r="E162" s="424"/>
      <c r="F162" s="424"/>
      <c r="G162" s="463"/>
      <c r="H162" s="424"/>
      <c r="I162" s="463"/>
      <c r="J162" s="425"/>
      <c r="K162" s="409"/>
      <c r="L162" s="447">
        <f t="shared" si="5"/>
        <v>0</v>
      </c>
      <c r="M162" s="447"/>
      <c r="N162" s="409"/>
      <c r="O162" s="409"/>
      <c r="P162" s="409"/>
      <c r="Q162" s="409"/>
      <c r="R162" s="409"/>
      <c r="S162" s="409"/>
    </row>
    <row r="163" spans="1:19" s="140" customFormat="1">
      <c r="A163" s="394"/>
      <c r="B163" s="396" t="s">
        <v>117</v>
      </c>
      <c r="C163" s="396"/>
      <c r="D163" s="405" t="s">
        <v>118</v>
      </c>
      <c r="E163" s="422"/>
      <c r="F163" s="422"/>
      <c r="G163" s="429"/>
      <c r="H163" s="422"/>
      <c r="I163" s="429"/>
      <c r="J163" s="423"/>
      <c r="K163" s="409"/>
      <c r="L163" s="447">
        <f t="shared" si="5"/>
        <v>0</v>
      </c>
      <c r="M163" s="447"/>
      <c r="N163" s="409"/>
      <c r="O163" s="409"/>
      <c r="P163" s="409"/>
      <c r="Q163" s="409"/>
      <c r="R163" s="409"/>
      <c r="S163" s="409"/>
    </row>
    <row r="164" spans="1:19" s="140" customFormat="1">
      <c r="A164" s="394"/>
      <c r="B164" s="396" t="s">
        <v>3264</v>
      </c>
      <c r="C164" s="396"/>
      <c r="D164" s="405" t="s">
        <v>3272</v>
      </c>
      <c r="E164" s="422"/>
      <c r="F164" s="422"/>
      <c r="G164" s="429"/>
      <c r="H164" s="422"/>
      <c r="I164" s="429"/>
      <c r="J164" s="423"/>
      <c r="K164" s="409"/>
      <c r="L164" s="447">
        <f t="shared" si="5"/>
        <v>0</v>
      </c>
      <c r="M164" s="447"/>
      <c r="N164" s="409"/>
      <c r="O164" s="409"/>
      <c r="P164" s="409"/>
      <c r="Q164" s="409"/>
      <c r="R164" s="409"/>
      <c r="S164" s="409"/>
    </row>
    <row r="165" spans="1:19" s="140" customFormat="1" ht="51">
      <c r="A165" s="394" t="s">
        <v>3259</v>
      </c>
      <c r="B165" s="285" t="s">
        <v>3265</v>
      </c>
      <c r="C165" s="285">
        <v>91854</v>
      </c>
      <c r="D165" s="289" t="s">
        <v>1520</v>
      </c>
      <c r="E165" s="290" t="s">
        <v>5</v>
      </c>
      <c r="F165" s="755">
        <v>4.5999999999999996</v>
      </c>
      <c r="G165" s="510" t="s">
        <v>14073</v>
      </c>
      <c r="H165" s="508">
        <v>0.2094</v>
      </c>
      <c r="I165" s="510">
        <v>10.110583999999999</v>
      </c>
      <c r="J165" s="509">
        <v>46.508686399999995</v>
      </c>
      <c r="K165" s="409"/>
      <c r="L165" s="447">
        <f t="shared" si="5"/>
        <v>46.508686399999995</v>
      </c>
      <c r="M165" s="447"/>
      <c r="N165" s="409"/>
      <c r="O165" s="409"/>
      <c r="P165" s="409"/>
      <c r="Q165" s="409"/>
      <c r="R165" s="409"/>
      <c r="S165" s="409"/>
    </row>
    <row r="166" spans="1:19" s="140" customFormat="1" ht="51">
      <c r="A166" s="394" t="s">
        <v>3259</v>
      </c>
      <c r="B166" s="285" t="s">
        <v>3266</v>
      </c>
      <c r="C166" s="285">
        <v>91844</v>
      </c>
      <c r="D166" s="289" t="s">
        <v>1517</v>
      </c>
      <c r="E166" s="290" t="s">
        <v>5</v>
      </c>
      <c r="F166" s="755">
        <v>2.5</v>
      </c>
      <c r="G166" s="510" t="s">
        <v>9800</v>
      </c>
      <c r="H166" s="508">
        <v>0.2094</v>
      </c>
      <c r="I166" s="510">
        <v>7.4136220000000002</v>
      </c>
      <c r="J166" s="509">
        <v>18.534055000000002</v>
      </c>
      <c r="K166" s="409"/>
      <c r="L166" s="447">
        <f t="shared" si="5"/>
        <v>18.534055000000002</v>
      </c>
      <c r="M166" s="447"/>
      <c r="N166" s="409"/>
      <c r="O166" s="409"/>
      <c r="P166" s="409"/>
      <c r="Q166" s="409"/>
      <c r="R166" s="409"/>
      <c r="S166" s="409"/>
    </row>
    <row r="167" spans="1:19" s="140" customFormat="1">
      <c r="A167" s="394"/>
      <c r="B167" s="285"/>
      <c r="C167" s="285"/>
      <c r="D167" s="407"/>
      <c r="E167" s="230"/>
      <c r="F167" s="426"/>
      <c r="G167" s="464"/>
      <c r="H167" s="427"/>
      <c r="I167" s="464"/>
      <c r="J167" s="428"/>
      <c r="K167" s="409"/>
      <c r="L167" s="447">
        <f t="shared" si="5"/>
        <v>0</v>
      </c>
      <c r="M167" s="447"/>
      <c r="N167" s="409"/>
      <c r="O167" s="409"/>
      <c r="P167" s="409"/>
      <c r="Q167" s="409"/>
      <c r="R167" s="409"/>
      <c r="S167" s="409"/>
    </row>
    <row r="168" spans="1:19" s="140" customFormat="1">
      <c r="A168" s="394"/>
      <c r="B168" s="396" t="s">
        <v>3273</v>
      </c>
      <c r="C168" s="396"/>
      <c r="D168" s="405" t="s">
        <v>3275</v>
      </c>
      <c r="E168" s="422"/>
      <c r="F168" s="429"/>
      <c r="G168" s="429"/>
      <c r="H168" s="422"/>
      <c r="I168" s="429"/>
      <c r="J168" s="423"/>
      <c r="K168" s="409"/>
      <c r="L168" s="447">
        <f t="shared" si="5"/>
        <v>0</v>
      </c>
      <c r="M168" s="447"/>
      <c r="N168" s="256"/>
      <c r="O168" s="256"/>
      <c r="P168" s="256"/>
      <c r="Q168" s="256"/>
      <c r="R168" s="256"/>
      <c r="S168" s="256"/>
    </row>
    <row r="169" spans="1:19" s="140" customFormat="1" ht="51">
      <c r="A169" s="394" t="s">
        <v>3259</v>
      </c>
      <c r="B169" s="285" t="s">
        <v>3274</v>
      </c>
      <c r="C169" s="285">
        <v>91926</v>
      </c>
      <c r="D169" s="289" t="s">
        <v>124</v>
      </c>
      <c r="E169" s="290" t="s">
        <v>5</v>
      </c>
      <c r="F169" s="755">
        <v>18.5</v>
      </c>
      <c r="G169" s="510" t="s">
        <v>9940</v>
      </c>
      <c r="H169" s="508">
        <v>0.2094</v>
      </c>
      <c r="I169" s="510">
        <v>4.9222580000000002</v>
      </c>
      <c r="J169" s="509">
        <v>91.061773000000002</v>
      </c>
      <c r="K169" s="409"/>
      <c r="L169" s="447">
        <f t="shared" si="5"/>
        <v>91.061773000000002</v>
      </c>
      <c r="M169" s="447"/>
      <c r="N169" s="256"/>
      <c r="O169" s="256"/>
      <c r="P169" s="256"/>
      <c r="Q169" s="256"/>
      <c r="R169" s="256"/>
      <c r="S169" s="256"/>
    </row>
    <row r="170" spans="1:19" s="140" customFormat="1">
      <c r="A170" s="394"/>
      <c r="B170" s="285"/>
      <c r="C170" s="285"/>
      <c r="D170" s="407"/>
      <c r="E170" s="230"/>
      <c r="F170" s="426"/>
      <c r="G170" s="464"/>
      <c r="H170" s="427"/>
      <c r="I170" s="464"/>
      <c r="J170" s="428"/>
      <c r="K170" s="409"/>
      <c r="L170" s="447">
        <f t="shared" si="5"/>
        <v>0</v>
      </c>
      <c r="M170" s="447"/>
      <c r="N170" s="409"/>
      <c r="O170" s="409"/>
      <c r="P170" s="409"/>
      <c r="Q170" s="409"/>
      <c r="R170" s="409"/>
      <c r="S170" s="409"/>
    </row>
    <row r="171" spans="1:19" s="140" customFormat="1">
      <c r="A171" s="394"/>
      <c r="B171" s="396" t="s">
        <v>3276</v>
      </c>
      <c r="C171" s="396"/>
      <c r="D171" s="405" t="s">
        <v>119</v>
      </c>
      <c r="E171" s="422"/>
      <c r="F171" s="422"/>
      <c r="G171" s="429"/>
      <c r="H171" s="422"/>
      <c r="I171" s="429"/>
      <c r="J171" s="423"/>
      <c r="K171" s="409"/>
      <c r="L171" s="447">
        <f t="shared" si="5"/>
        <v>0</v>
      </c>
      <c r="M171" s="447"/>
      <c r="N171" s="409"/>
      <c r="O171" s="409"/>
      <c r="P171" s="409"/>
      <c r="Q171" s="409"/>
      <c r="R171" s="409"/>
      <c r="S171" s="409"/>
    </row>
    <row r="172" spans="1:19" s="140" customFormat="1">
      <c r="A172" s="394"/>
      <c r="B172" s="396" t="s">
        <v>3277</v>
      </c>
      <c r="C172" s="396"/>
      <c r="D172" s="405" t="s">
        <v>3278</v>
      </c>
      <c r="E172" s="422"/>
      <c r="F172" s="422"/>
      <c r="G172" s="429"/>
      <c r="H172" s="422"/>
      <c r="I172" s="429"/>
      <c r="J172" s="423"/>
      <c r="K172" s="409"/>
      <c r="L172" s="447">
        <f t="shared" si="5"/>
        <v>0</v>
      </c>
      <c r="M172" s="447"/>
      <c r="N172" s="409"/>
      <c r="O172" s="409"/>
      <c r="P172" s="409"/>
      <c r="Q172" s="409"/>
      <c r="R172" s="409"/>
      <c r="S172" s="409"/>
    </row>
    <row r="173" spans="1:19" s="140" customFormat="1" ht="63.75">
      <c r="A173" s="394" t="s">
        <v>3260</v>
      </c>
      <c r="B173" s="285" t="s">
        <v>3280</v>
      </c>
      <c r="C173" s="285" t="s">
        <v>18397</v>
      </c>
      <c r="D173" s="289" t="s">
        <v>18398</v>
      </c>
      <c r="E173" s="290" t="s">
        <v>109</v>
      </c>
      <c r="F173" s="755">
        <v>1</v>
      </c>
      <c r="G173" s="510">
        <v>337.74</v>
      </c>
      <c r="H173" s="508">
        <v>0.2094</v>
      </c>
      <c r="I173" s="510">
        <v>408.46275600000001</v>
      </c>
      <c r="J173" s="509">
        <v>408.46275600000001</v>
      </c>
      <c r="K173" s="409"/>
      <c r="L173" s="447">
        <f t="shared" si="5"/>
        <v>408.46275600000001</v>
      </c>
      <c r="M173" s="447"/>
      <c r="N173" s="409"/>
      <c r="O173" s="409"/>
      <c r="P173" s="409"/>
      <c r="Q173" s="409"/>
      <c r="R173" s="409"/>
      <c r="S173" s="409"/>
    </row>
    <row r="174" spans="1:19" s="140" customFormat="1">
      <c r="A174" s="394"/>
      <c r="B174" s="285"/>
      <c r="C174" s="285"/>
      <c r="D174" s="407"/>
      <c r="E174" s="230"/>
      <c r="F174" s="426"/>
      <c r="G174" s="464"/>
      <c r="H174" s="427"/>
      <c r="I174" s="464"/>
      <c r="J174" s="428"/>
      <c r="K174" s="409"/>
      <c r="L174" s="447">
        <f t="shared" si="5"/>
        <v>0</v>
      </c>
      <c r="M174" s="447"/>
      <c r="N174" s="409"/>
      <c r="O174" s="409"/>
      <c r="P174" s="409"/>
      <c r="Q174" s="409"/>
      <c r="R174" s="409"/>
      <c r="S174" s="409"/>
    </row>
    <row r="175" spans="1:19" s="140" customFormat="1">
      <c r="A175" s="394"/>
      <c r="B175" s="396" t="s">
        <v>3279</v>
      </c>
      <c r="C175" s="396"/>
      <c r="D175" s="405" t="s">
        <v>14441</v>
      </c>
      <c r="E175" s="422"/>
      <c r="F175" s="422"/>
      <c r="G175" s="429"/>
      <c r="H175" s="422"/>
      <c r="I175" s="429"/>
      <c r="J175" s="423"/>
      <c r="K175" s="409"/>
      <c r="L175" s="447">
        <f t="shared" si="5"/>
        <v>0</v>
      </c>
      <c r="M175" s="447"/>
      <c r="N175" s="409"/>
      <c r="O175" s="409"/>
      <c r="P175" s="409"/>
      <c r="Q175" s="409"/>
      <c r="R175" s="409"/>
      <c r="S175" s="409"/>
    </row>
    <row r="176" spans="1:19" s="140" customFormat="1" ht="38.25">
      <c r="A176" s="394" t="s">
        <v>3259</v>
      </c>
      <c r="B176" s="285" t="s">
        <v>3281</v>
      </c>
      <c r="C176" s="285">
        <v>91953</v>
      </c>
      <c r="D176" s="289" t="s">
        <v>120</v>
      </c>
      <c r="E176" s="290" t="s">
        <v>109</v>
      </c>
      <c r="F176" s="755">
        <v>1</v>
      </c>
      <c r="G176" s="510" t="s">
        <v>19802</v>
      </c>
      <c r="H176" s="508">
        <v>0.2094</v>
      </c>
      <c r="I176" s="510">
        <v>27.175218000000001</v>
      </c>
      <c r="J176" s="509">
        <v>27.175218000000001</v>
      </c>
      <c r="K176" s="409"/>
      <c r="L176" s="447">
        <f t="shared" si="5"/>
        <v>27.175218000000001</v>
      </c>
      <c r="M176" s="447"/>
      <c r="N176" s="409"/>
      <c r="O176" s="409"/>
      <c r="P176" s="409"/>
      <c r="Q176" s="409"/>
      <c r="R176" s="409"/>
      <c r="S176" s="409"/>
    </row>
    <row r="177" spans="1:19" s="140" customFormat="1">
      <c r="A177" s="394"/>
      <c r="B177" s="285"/>
      <c r="C177" s="285"/>
      <c r="D177" s="407"/>
      <c r="E177" s="230"/>
      <c r="F177" s="426"/>
      <c r="G177" s="464"/>
      <c r="H177" s="427"/>
      <c r="I177" s="464"/>
      <c r="J177" s="428"/>
      <c r="K177" s="409"/>
      <c r="L177" s="447">
        <f t="shared" si="5"/>
        <v>0</v>
      </c>
      <c r="M177" s="447"/>
      <c r="N177" s="409"/>
      <c r="O177" s="409"/>
      <c r="P177" s="409"/>
      <c r="Q177" s="409"/>
      <c r="R177" s="409"/>
      <c r="S177" s="409"/>
    </row>
    <row r="178" spans="1:19" s="140" customFormat="1">
      <c r="A178" s="394"/>
      <c r="B178" s="396" t="s">
        <v>9659</v>
      </c>
      <c r="C178" s="396"/>
      <c r="D178" s="405" t="s">
        <v>112</v>
      </c>
      <c r="E178" s="422"/>
      <c r="F178" s="422"/>
      <c r="G178" s="429"/>
      <c r="H178" s="422"/>
      <c r="I178" s="429"/>
      <c r="J178" s="423"/>
      <c r="K178" s="409"/>
      <c r="L178" s="447">
        <f t="shared" si="5"/>
        <v>0</v>
      </c>
      <c r="M178" s="447"/>
      <c r="N178" s="409"/>
      <c r="O178" s="409"/>
      <c r="P178" s="409"/>
      <c r="Q178" s="409"/>
      <c r="R178" s="409"/>
      <c r="S178" s="409"/>
    </row>
    <row r="179" spans="1:19" s="140" customFormat="1" ht="38.25">
      <c r="A179" s="394" t="s">
        <v>3259</v>
      </c>
      <c r="B179" s="285" t="s">
        <v>9660</v>
      </c>
      <c r="C179" s="285">
        <v>91940</v>
      </c>
      <c r="D179" s="289" t="s">
        <v>138</v>
      </c>
      <c r="E179" s="290" t="s">
        <v>109</v>
      </c>
      <c r="F179" s="755">
        <v>1</v>
      </c>
      <c r="G179" s="510" t="s">
        <v>16204</v>
      </c>
      <c r="H179" s="508">
        <v>0.2094</v>
      </c>
      <c r="I179" s="510">
        <v>15.855233999999999</v>
      </c>
      <c r="J179" s="509">
        <v>15.855233999999999</v>
      </c>
      <c r="K179" s="409"/>
      <c r="L179" s="447">
        <f t="shared" si="5"/>
        <v>15.855233999999999</v>
      </c>
      <c r="M179" s="447"/>
      <c r="N179" s="409"/>
      <c r="O179" s="409"/>
      <c r="P179" s="409"/>
      <c r="Q179" s="409"/>
      <c r="R179" s="409"/>
      <c r="S179" s="409"/>
    </row>
    <row r="180" spans="1:19" s="140" customFormat="1" ht="38.25">
      <c r="A180" s="394" t="s">
        <v>3259</v>
      </c>
      <c r="B180" s="285" t="s">
        <v>9661</v>
      </c>
      <c r="C180" s="285">
        <v>91944</v>
      </c>
      <c r="D180" s="289" t="s">
        <v>1639</v>
      </c>
      <c r="E180" s="290" t="s">
        <v>109</v>
      </c>
      <c r="F180" s="755">
        <v>1</v>
      </c>
      <c r="G180" s="510" t="s">
        <v>12433</v>
      </c>
      <c r="H180" s="508">
        <v>0.2094</v>
      </c>
      <c r="I180" s="510">
        <v>14.355578</v>
      </c>
      <c r="J180" s="509">
        <v>14.355578</v>
      </c>
      <c r="K180" s="409"/>
      <c r="L180" s="447">
        <f t="shared" si="5"/>
        <v>14.355578</v>
      </c>
      <c r="M180" s="447"/>
      <c r="N180" s="409"/>
      <c r="O180" s="409"/>
      <c r="P180" s="409"/>
      <c r="Q180" s="409"/>
      <c r="R180" s="409"/>
      <c r="S180" s="409"/>
    </row>
    <row r="181" spans="1:19" s="140" customFormat="1" ht="25.5">
      <c r="A181" s="394" t="s">
        <v>3260</v>
      </c>
      <c r="B181" s="285" t="s">
        <v>9662</v>
      </c>
      <c r="C181" s="285" t="s">
        <v>14347</v>
      </c>
      <c r="D181" s="289" t="s">
        <v>17038</v>
      </c>
      <c r="E181" s="290" t="s">
        <v>109</v>
      </c>
      <c r="F181" s="755">
        <v>1</v>
      </c>
      <c r="G181" s="510">
        <v>10.370000000000001</v>
      </c>
      <c r="H181" s="508">
        <v>0.2094</v>
      </c>
      <c r="I181" s="510">
        <v>12.541478000000001</v>
      </c>
      <c r="J181" s="509">
        <v>12.541478000000001</v>
      </c>
      <c r="K181" s="409"/>
      <c r="L181" s="447">
        <f t="shared" si="5"/>
        <v>12.541478000000001</v>
      </c>
      <c r="M181" s="447"/>
      <c r="N181" s="409"/>
      <c r="O181" s="409"/>
      <c r="P181" s="409"/>
      <c r="Q181" s="409"/>
      <c r="R181" s="409"/>
      <c r="S181" s="409"/>
    </row>
    <row r="182" spans="1:19" s="140" customFormat="1">
      <c r="A182" s="394"/>
      <c r="B182" s="285"/>
      <c r="C182" s="285"/>
      <c r="D182" s="407"/>
      <c r="E182" s="230"/>
      <c r="F182" s="426"/>
      <c r="G182" s="464"/>
      <c r="H182" s="427"/>
      <c r="I182" s="464"/>
      <c r="J182" s="428"/>
      <c r="K182" s="409"/>
      <c r="L182" s="447">
        <f t="shared" si="5"/>
        <v>0</v>
      </c>
      <c r="M182" s="447"/>
      <c r="N182" s="409"/>
      <c r="O182" s="409"/>
      <c r="P182" s="409"/>
      <c r="Q182" s="409"/>
      <c r="R182" s="409"/>
      <c r="S182" s="409"/>
    </row>
    <row r="183" spans="1:19" s="140" customFormat="1">
      <c r="A183" s="394"/>
      <c r="B183" s="396" t="s">
        <v>3282</v>
      </c>
      <c r="C183" s="396"/>
      <c r="D183" s="406" t="s">
        <v>111</v>
      </c>
      <c r="E183" s="422"/>
      <c r="F183" s="422"/>
      <c r="G183" s="429"/>
      <c r="H183" s="422"/>
      <c r="I183" s="429"/>
      <c r="J183" s="423"/>
      <c r="K183" s="409"/>
      <c r="L183" s="447">
        <f t="shared" si="5"/>
        <v>0</v>
      </c>
      <c r="M183" s="447"/>
      <c r="N183" s="409"/>
      <c r="O183" s="409"/>
      <c r="P183" s="409"/>
      <c r="Q183" s="409"/>
      <c r="R183" s="409"/>
      <c r="S183" s="409"/>
    </row>
    <row r="184" spans="1:19" s="140" customFormat="1" ht="25.5">
      <c r="A184" s="394" t="s">
        <v>3260</v>
      </c>
      <c r="B184" s="285" t="s">
        <v>3283</v>
      </c>
      <c r="C184" s="285" t="s">
        <v>14459</v>
      </c>
      <c r="D184" s="289" t="s">
        <v>136</v>
      </c>
      <c r="E184" s="290" t="s">
        <v>128</v>
      </c>
      <c r="F184" s="755">
        <v>1.78</v>
      </c>
      <c r="G184" s="510">
        <v>5.25</v>
      </c>
      <c r="H184" s="508">
        <v>0.2094</v>
      </c>
      <c r="I184" s="510">
        <v>6.3493500000000003</v>
      </c>
      <c r="J184" s="509">
        <v>11.301843</v>
      </c>
      <c r="K184" s="409"/>
      <c r="L184" s="447">
        <f t="shared" si="5"/>
        <v>11.301843</v>
      </c>
      <c r="M184" s="447"/>
      <c r="N184" s="409"/>
      <c r="O184" s="409"/>
      <c r="P184" s="409"/>
      <c r="Q184" s="409"/>
      <c r="R184" s="409"/>
      <c r="S184" s="409"/>
    </row>
    <row r="185" spans="1:19" s="140" customFormat="1" ht="38.25">
      <c r="A185" s="394" t="s">
        <v>3259</v>
      </c>
      <c r="B185" s="285" t="s">
        <v>14452</v>
      </c>
      <c r="C185" s="285">
        <v>90443</v>
      </c>
      <c r="D185" s="289" t="s">
        <v>130</v>
      </c>
      <c r="E185" s="290" t="s">
        <v>5</v>
      </c>
      <c r="F185" s="755">
        <v>4.5999999999999996</v>
      </c>
      <c r="G185" s="510" t="s">
        <v>16337</v>
      </c>
      <c r="H185" s="508">
        <v>0.2094</v>
      </c>
      <c r="I185" s="510">
        <v>14.246732</v>
      </c>
      <c r="J185" s="509">
        <v>65.534967199999997</v>
      </c>
      <c r="K185" s="409"/>
      <c r="L185" s="447">
        <f t="shared" si="5"/>
        <v>65.534967199999997</v>
      </c>
      <c r="M185" s="447"/>
      <c r="N185" s="409"/>
      <c r="O185" s="409"/>
      <c r="P185" s="409"/>
      <c r="Q185" s="409"/>
      <c r="R185" s="409"/>
      <c r="S185" s="409"/>
    </row>
    <row r="186" spans="1:19" s="140" customFormat="1" ht="38.25">
      <c r="A186" s="394" t="s">
        <v>3259</v>
      </c>
      <c r="B186" s="285" t="s">
        <v>14453</v>
      </c>
      <c r="C186" s="285">
        <v>90466</v>
      </c>
      <c r="D186" s="289" t="s">
        <v>132</v>
      </c>
      <c r="E186" s="290" t="s">
        <v>5</v>
      </c>
      <c r="F186" s="755">
        <v>4.5999999999999996</v>
      </c>
      <c r="G186" s="510" t="s">
        <v>19074</v>
      </c>
      <c r="H186" s="508">
        <v>0.2094</v>
      </c>
      <c r="I186" s="510">
        <v>14.065322000000002</v>
      </c>
      <c r="J186" s="509">
        <v>64.700481199999999</v>
      </c>
      <c r="K186" s="409"/>
      <c r="L186" s="447">
        <f t="shared" si="5"/>
        <v>64.700481199999999</v>
      </c>
      <c r="M186" s="447"/>
      <c r="N186" s="409"/>
      <c r="O186" s="409"/>
      <c r="P186" s="409"/>
      <c r="Q186" s="409"/>
      <c r="R186" s="409"/>
      <c r="S186" s="409"/>
    </row>
    <row r="187" spans="1:19" s="140" customFormat="1">
      <c r="A187" s="394"/>
      <c r="B187" s="396"/>
      <c r="C187" s="396"/>
      <c r="D187" s="406"/>
      <c r="E187" s="424"/>
      <c r="F187" s="424"/>
      <c r="G187" s="463"/>
      <c r="H187" s="424"/>
      <c r="I187" s="463"/>
      <c r="J187" s="425"/>
      <c r="K187" s="409"/>
      <c r="L187" s="447">
        <f t="shared" si="5"/>
        <v>0</v>
      </c>
      <c r="M187" s="447"/>
      <c r="N187" s="409"/>
      <c r="O187" s="409"/>
      <c r="P187" s="409"/>
      <c r="Q187" s="409"/>
      <c r="R187" s="409"/>
      <c r="S187" s="409"/>
    </row>
    <row r="188" spans="1:19" s="140" customFormat="1">
      <c r="A188" s="394"/>
      <c r="B188" s="395"/>
      <c r="C188" s="395"/>
      <c r="D188" s="404"/>
      <c r="E188" s="395"/>
      <c r="F188" s="395"/>
      <c r="G188" s="460" t="s">
        <v>69</v>
      </c>
      <c r="H188" s="419"/>
      <c r="I188" s="460"/>
      <c r="J188" s="421">
        <v>776.03206979999993</v>
      </c>
      <c r="K188" s="448"/>
      <c r="L188" s="447">
        <f t="shared" si="5"/>
        <v>0</v>
      </c>
      <c r="M188" s="447"/>
      <c r="N188" s="409"/>
      <c r="O188" s="409"/>
      <c r="P188" s="409"/>
      <c r="Q188" s="409"/>
      <c r="R188" s="409"/>
      <c r="S188" s="409"/>
    </row>
    <row r="189" spans="1:19" s="92" customFormat="1">
      <c r="A189" s="256"/>
      <c r="B189" s="397"/>
      <c r="C189" s="397"/>
      <c r="D189" s="408"/>
      <c r="E189" s="397"/>
      <c r="F189" s="431"/>
      <c r="G189" s="431"/>
      <c r="H189" s="431"/>
      <c r="I189" s="431"/>
      <c r="J189" s="425"/>
      <c r="K189" s="298"/>
      <c r="L189" s="447">
        <f t="shared" si="5"/>
        <v>0</v>
      </c>
      <c r="M189" s="447"/>
      <c r="N189" s="298"/>
      <c r="O189" s="298"/>
      <c r="P189" s="298"/>
      <c r="Q189" s="298"/>
      <c r="R189" s="298"/>
      <c r="S189" s="298"/>
    </row>
    <row r="190" spans="1:19" s="140" customFormat="1">
      <c r="A190" s="394"/>
      <c r="B190" s="395"/>
      <c r="C190" s="395"/>
      <c r="D190" s="404"/>
      <c r="E190" s="395"/>
      <c r="F190" s="395"/>
      <c r="G190" s="434" t="s">
        <v>70</v>
      </c>
      <c r="H190" s="435"/>
      <c r="I190" s="460"/>
      <c r="J190" s="420">
        <v>23854.691174100004</v>
      </c>
      <c r="K190" s="448"/>
      <c r="L190" s="450">
        <f>SUM(L12:L189)</f>
        <v>23854.691174099986</v>
      </c>
      <c r="M190" s="447"/>
      <c r="N190" s="450">
        <v>23854.691174100004</v>
      </c>
      <c r="O190" s="409"/>
      <c r="P190" s="409"/>
      <c r="Q190" s="409"/>
      <c r="R190" s="409"/>
      <c r="S190" s="409"/>
    </row>
    <row r="191" spans="1:19" s="140" customFormat="1">
      <c r="A191" s="394"/>
      <c r="B191" s="394"/>
      <c r="C191" s="394"/>
      <c r="D191" s="409"/>
      <c r="E191" s="394"/>
      <c r="F191" s="437"/>
      <c r="G191" s="437"/>
      <c r="H191" s="437"/>
      <c r="I191" s="438"/>
      <c r="J191" s="437"/>
      <c r="K191" s="409"/>
      <c r="L191" s="409"/>
      <c r="M191" s="409"/>
      <c r="N191" s="409"/>
      <c r="O191" s="409"/>
      <c r="P191" s="409"/>
      <c r="Q191" s="409"/>
      <c r="R191" s="409"/>
      <c r="S191" s="409"/>
    </row>
    <row r="192" spans="1:19" s="70" customFormat="1" ht="58.15" customHeight="1">
      <c r="A192" s="128"/>
      <c r="B192" s="808" t="str">
        <f>'018.02-21-IMPLANTAÇÃO'!B440:J440</f>
        <v>ENG. GABRIEL DA CUNHA ARAUJO
CREA 23300/D-DF
ART: 0720210046394
MAT.: 973.175-X</v>
      </c>
      <c r="C192" s="808"/>
      <c r="D192" s="808"/>
      <c r="E192" s="808"/>
      <c r="F192" s="808"/>
      <c r="G192" s="808"/>
      <c r="H192" s="808"/>
      <c r="I192" s="808"/>
      <c r="J192" s="808"/>
      <c r="K192" s="446"/>
      <c r="L192" s="446"/>
      <c r="M192" s="446"/>
      <c r="N192" s="446"/>
      <c r="O192" s="446"/>
      <c r="P192" s="446"/>
      <c r="Q192" s="446"/>
      <c r="R192" s="446"/>
      <c r="S192" s="446"/>
    </row>
    <row r="193" spans="1:19" s="70" customFormat="1" ht="58.15" customHeight="1">
      <c r="A193" s="128"/>
      <c r="B193" s="808" t="str">
        <f>'018.02-21-IMPLANTAÇÃO'!B441:J441</f>
        <v>ENG. GILMAR DA MOTA FERNANDES
CREA 23785/D-DF
ART: 0720210047629
MAT.: 973.113-X</v>
      </c>
      <c r="C193" s="808"/>
      <c r="D193" s="808"/>
      <c r="E193" s="808"/>
      <c r="F193" s="808"/>
      <c r="G193" s="808"/>
      <c r="H193" s="808"/>
      <c r="I193" s="808"/>
      <c r="J193" s="808"/>
      <c r="K193" s="446"/>
      <c r="L193" s="446"/>
      <c r="M193" s="446"/>
      <c r="N193" s="446"/>
      <c r="O193" s="446"/>
      <c r="P193" s="446"/>
      <c r="Q193" s="446"/>
      <c r="R193" s="446"/>
      <c r="S193" s="446"/>
    </row>
    <row r="194" spans="1:19" s="70" customFormat="1" ht="58.15" customHeight="1">
      <c r="A194" s="128"/>
      <c r="B194" s="808" t="str">
        <f>'018.02-21-IMPLANTAÇÃO'!B442:J442</f>
        <v>ENG. TIAGO DE SOUZA OLIVEIRA
CREA 24935/D-DF
ART: 0720210047000
MAT.: 973.315-9</v>
      </c>
      <c r="C194" s="808"/>
      <c r="D194" s="808"/>
      <c r="E194" s="808"/>
      <c r="F194" s="808"/>
      <c r="G194" s="808"/>
      <c r="H194" s="808"/>
      <c r="I194" s="808"/>
      <c r="J194" s="808"/>
      <c r="K194" s="446"/>
      <c r="L194" s="446"/>
      <c r="M194" s="446"/>
      <c r="N194" s="446"/>
      <c r="O194" s="446"/>
      <c r="P194" s="446"/>
      <c r="Q194" s="446"/>
      <c r="R194" s="446"/>
      <c r="S194" s="446"/>
    </row>
    <row r="199" spans="1:19">
      <c r="D199" s="410"/>
      <c r="F199" s="398"/>
      <c r="G199" s="398"/>
      <c r="H199" s="398"/>
      <c r="I199" s="398"/>
      <c r="J199" s="398"/>
    </row>
    <row r="200" spans="1:19">
      <c r="D200" s="410"/>
      <c r="F200" s="398"/>
      <c r="G200" s="398"/>
      <c r="H200" s="398"/>
      <c r="I200" s="398"/>
      <c r="J200" s="398"/>
    </row>
  </sheetData>
  <autoFilter ref="B11:J195"/>
  <mergeCells count="14">
    <mergeCell ref="B6:C6"/>
    <mergeCell ref="D6:E6"/>
    <mergeCell ref="B1:J1"/>
    <mergeCell ref="B2:J2"/>
    <mergeCell ref="B3:J3"/>
    <mergeCell ref="B4:J4"/>
    <mergeCell ref="B5:J5"/>
    <mergeCell ref="B194:J194"/>
    <mergeCell ref="B7:C7"/>
    <mergeCell ref="D7:F7"/>
    <mergeCell ref="B8:C8"/>
    <mergeCell ref="B9:C9"/>
    <mergeCell ref="B192:J192"/>
    <mergeCell ref="B193:J193"/>
  </mergeCells>
  <printOptions horizontalCentered="1"/>
  <pageMargins left="0.59055118110236227" right="0.62992125984251968" top="0.39370078740157483" bottom="0.39370078740157483" header="0.19685039370078741" footer="0.19685039370078741"/>
  <pageSetup paperSize="9" scale="60" orientation="portrait" r:id="rId1"/>
  <headerFooter>
    <oddHeader>&amp;C&amp;F</oddHeader>
    <oddFooter>Página &amp;P de &amp;N</oddFooter>
  </headerFooter>
  <drawing r:id="rId2"/>
  <legacyDrawing r:id="rId3"/>
</worksheet>
</file>

<file path=xl/worksheets/sheet6.xml><?xml version="1.0" encoding="utf-8"?>
<worksheet xmlns="http://schemas.openxmlformats.org/spreadsheetml/2006/main" xmlns:r="http://schemas.openxmlformats.org/officeDocument/2006/relationships">
  <sheetPr>
    <tabColor rgb="FFFF0000"/>
  </sheetPr>
  <dimension ref="A1:S195"/>
  <sheetViews>
    <sheetView showGridLines="0" view="pageBreakPreview" topLeftCell="A10" zoomScale="90" zoomScaleNormal="100" zoomScaleSheetLayoutView="90" workbookViewId="0">
      <selection activeCell="M22" sqref="M22"/>
    </sheetView>
  </sheetViews>
  <sheetFormatPr defaultColWidth="9.140625" defaultRowHeight="12.75"/>
  <cols>
    <col min="1" max="1" width="9.140625" style="398" customWidth="1"/>
    <col min="2" max="2" width="12.7109375" style="398" customWidth="1"/>
    <col min="3" max="3" width="13.42578125" style="398" customWidth="1"/>
    <col min="4" max="4" width="51" style="411" customWidth="1"/>
    <col min="5" max="5" width="7.7109375" style="398" customWidth="1"/>
    <col min="6" max="6" width="9.42578125" style="439" customWidth="1"/>
    <col min="7" max="7" width="12.85546875" style="439" customWidth="1"/>
    <col min="8" max="8" width="11.7109375" style="439" customWidth="1"/>
    <col min="9" max="9" width="12.5703125" style="439" customWidth="1"/>
    <col min="10" max="10" width="17.7109375" style="439" customWidth="1"/>
    <col min="11" max="11" width="17.140625" style="411" customWidth="1"/>
    <col min="12" max="12" width="20.140625" style="411" customWidth="1"/>
    <col min="13" max="13" width="20.7109375" style="411" customWidth="1"/>
    <col min="14" max="14" width="14.28515625" style="411" customWidth="1"/>
    <col min="15" max="15" width="16.7109375" style="411" customWidth="1"/>
    <col min="16" max="16" width="12.85546875" style="411" customWidth="1"/>
    <col min="17" max="17" width="11.85546875" style="411" customWidth="1"/>
    <col min="18" max="18" width="15" style="411" customWidth="1"/>
    <col min="19" max="19" width="9.140625" style="411"/>
    <col min="20" max="16384" width="9.140625" style="71"/>
  </cols>
  <sheetData>
    <row r="1" spans="1:19" s="86" customFormat="1" ht="15.75">
      <c r="A1" s="127"/>
      <c r="B1" s="814"/>
      <c r="C1" s="814"/>
      <c r="D1" s="814"/>
      <c r="E1" s="814"/>
      <c r="F1" s="814"/>
      <c r="G1" s="814"/>
      <c r="H1" s="814"/>
      <c r="I1" s="814"/>
      <c r="J1" s="814"/>
      <c r="K1" s="443"/>
      <c r="L1" s="444"/>
      <c r="M1" s="444"/>
      <c r="N1" s="444"/>
      <c r="O1" s="444"/>
      <c r="P1" s="444"/>
      <c r="Q1" s="444"/>
      <c r="R1" s="444"/>
      <c r="S1" s="444"/>
    </row>
    <row r="2" spans="1:19" s="67" customFormat="1" ht="18.75">
      <c r="A2" s="130"/>
      <c r="B2" s="815" t="s">
        <v>3765</v>
      </c>
      <c r="C2" s="815"/>
      <c r="D2" s="815"/>
      <c r="E2" s="815"/>
      <c r="F2" s="815"/>
      <c r="G2" s="815"/>
      <c r="H2" s="815"/>
      <c r="I2" s="815"/>
      <c r="J2" s="815"/>
      <c r="K2" s="445"/>
      <c r="L2" s="446"/>
      <c r="M2" s="446"/>
      <c r="N2" s="446"/>
      <c r="O2" s="446"/>
      <c r="P2" s="446"/>
      <c r="Q2" s="446"/>
      <c r="R2" s="381"/>
      <c r="S2" s="381"/>
    </row>
    <row r="3" spans="1:19" s="67" customFormat="1" ht="18.75">
      <c r="A3" s="130"/>
      <c r="B3" s="815" t="s">
        <v>3766</v>
      </c>
      <c r="C3" s="815"/>
      <c r="D3" s="815"/>
      <c r="E3" s="815"/>
      <c r="F3" s="815"/>
      <c r="G3" s="815"/>
      <c r="H3" s="815"/>
      <c r="I3" s="815"/>
      <c r="J3" s="815"/>
      <c r="K3" s="445"/>
      <c r="L3" s="446"/>
      <c r="M3" s="446"/>
      <c r="N3" s="446"/>
      <c r="O3" s="446"/>
      <c r="P3" s="446"/>
      <c r="Q3" s="446"/>
      <c r="R3" s="381"/>
      <c r="S3" s="381"/>
    </row>
    <row r="4" spans="1:19" s="67" customFormat="1" ht="18.75">
      <c r="A4" s="130"/>
      <c r="B4" s="815" t="s">
        <v>3768</v>
      </c>
      <c r="C4" s="815"/>
      <c r="D4" s="815"/>
      <c r="E4" s="815"/>
      <c r="F4" s="815"/>
      <c r="G4" s="815"/>
      <c r="H4" s="815"/>
      <c r="I4" s="815"/>
      <c r="J4" s="815"/>
      <c r="K4" s="446"/>
      <c r="L4" s="446"/>
      <c r="M4" s="446"/>
      <c r="N4" s="446"/>
      <c r="O4" s="446"/>
      <c r="P4" s="446"/>
      <c r="Q4" s="446"/>
      <c r="R4" s="381"/>
      <c r="S4" s="381"/>
    </row>
    <row r="5" spans="1:19" s="67" customFormat="1" ht="18.75">
      <c r="A5" s="130"/>
      <c r="B5" s="815" t="s">
        <v>17416</v>
      </c>
      <c r="C5" s="815"/>
      <c r="D5" s="815"/>
      <c r="E5" s="815"/>
      <c r="F5" s="815"/>
      <c r="G5" s="815"/>
      <c r="H5" s="815"/>
      <c r="I5" s="815"/>
      <c r="J5" s="815"/>
      <c r="K5" s="446"/>
      <c r="L5" s="446"/>
      <c r="M5" s="446"/>
      <c r="N5" s="446"/>
      <c r="O5" s="446"/>
      <c r="P5" s="446"/>
      <c r="Q5" s="446"/>
      <c r="R5" s="381"/>
      <c r="S5" s="381"/>
    </row>
    <row r="6" spans="1:19" s="67" customFormat="1">
      <c r="A6" s="130"/>
      <c r="B6" s="809" t="s">
        <v>60</v>
      </c>
      <c r="C6" s="809"/>
      <c r="D6" s="813" t="s">
        <v>24741</v>
      </c>
      <c r="E6" s="813"/>
      <c r="F6" s="130"/>
      <c r="G6" s="347"/>
      <c r="H6" s="347"/>
      <c r="I6" s="347" t="s">
        <v>61</v>
      </c>
      <c r="J6" s="346">
        <f>'018-21-CAPA'!E20</f>
        <v>44389</v>
      </c>
      <c r="K6" s="445"/>
      <c r="L6" s="446"/>
      <c r="M6" s="446"/>
      <c r="N6" s="446"/>
      <c r="O6" s="446"/>
      <c r="P6" s="446"/>
      <c r="Q6" s="446"/>
      <c r="R6" s="446"/>
      <c r="S6" s="381"/>
    </row>
    <row r="7" spans="1:19" s="67" customFormat="1" ht="12.75" customHeight="1">
      <c r="A7" s="130"/>
      <c r="B7" s="809" t="s">
        <v>62</v>
      </c>
      <c r="C7" s="809"/>
      <c r="D7" s="810" t="s">
        <v>24736</v>
      </c>
      <c r="E7" s="811"/>
      <c r="F7" s="811"/>
      <c r="G7" s="512"/>
      <c r="H7" s="512"/>
      <c r="I7" s="512" t="s">
        <v>16</v>
      </c>
      <c r="J7" s="329" t="str">
        <f>'018.01-21-ADM OBRA'!J7</f>
        <v>PROJ-DE-045-20</v>
      </c>
      <c r="K7" s="446"/>
      <c r="L7" s="446"/>
      <c r="M7" s="446"/>
      <c r="N7" s="446"/>
      <c r="O7" s="446"/>
      <c r="P7" s="446"/>
      <c r="Q7" s="446"/>
      <c r="R7" s="381"/>
      <c r="S7" s="381"/>
    </row>
    <row r="8" spans="1:19" s="67" customFormat="1">
      <c r="A8" s="130"/>
      <c r="B8" s="812" t="s">
        <v>18</v>
      </c>
      <c r="C8" s="809" t="s">
        <v>63</v>
      </c>
      <c r="D8" s="294" t="s">
        <v>18322</v>
      </c>
      <c r="E8" s="306"/>
      <c r="F8" s="130"/>
      <c r="G8" s="512"/>
      <c r="H8" s="512"/>
      <c r="I8" s="512" t="s">
        <v>64</v>
      </c>
      <c r="J8" s="329" t="str">
        <f>'018.01-21-ADM OBRA'!J8</f>
        <v>1.497,00 m²</v>
      </c>
      <c r="K8" s="445"/>
      <c r="L8" s="446"/>
      <c r="M8" s="446"/>
      <c r="N8" s="446"/>
      <c r="O8" s="446"/>
      <c r="P8" s="446"/>
      <c r="Q8" s="446"/>
      <c r="R8" s="446"/>
      <c r="S8" s="381"/>
    </row>
    <row r="9" spans="1:19" s="67" customFormat="1">
      <c r="A9" s="130"/>
      <c r="B9" s="809" t="s">
        <v>65</v>
      </c>
      <c r="C9" s="809"/>
      <c r="D9" s="378" t="s">
        <v>15157</v>
      </c>
      <c r="E9" s="347" t="s">
        <v>66</v>
      </c>
      <c r="F9" s="412">
        <v>0.2094</v>
      </c>
      <c r="G9" s="347" t="s">
        <v>66</v>
      </c>
      <c r="H9" s="412">
        <v>0.1089</v>
      </c>
      <c r="I9" s="327" t="s">
        <v>68</v>
      </c>
      <c r="J9" s="329" t="str">
        <f>'018.01-21-ADM OBRA'!J9</f>
        <v>SINAPI MAIO 2021</v>
      </c>
      <c r="K9" s="445"/>
      <c r="L9" s="446"/>
      <c r="M9" s="446"/>
      <c r="N9" s="446"/>
      <c r="O9" s="446"/>
      <c r="P9" s="446"/>
      <c r="Q9" s="446"/>
      <c r="R9" s="446"/>
      <c r="S9" s="381"/>
    </row>
    <row r="10" spans="1:19" s="67" customFormat="1">
      <c r="A10" s="130"/>
      <c r="B10" s="512"/>
      <c r="C10" s="512"/>
      <c r="D10" s="378"/>
      <c r="E10" s="347"/>
      <c r="F10" s="306"/>
      <c r="G10" s="327"/>
      <c r="H10" s="327"/>
      <c r="I10" s="327"/>
      <c r="J10" s="305"/>
      <c r="K10" s="445"/>
      <c r="L10" s="446"/>
      <c r="M10" s="446"/>
      <c r="N10" s="446"/>
      <c r="O10" s="446"/>
      <c r="P10" s="446"/>
      <c r="Q10" s="446"/>
      <c r="R10" s="446"/>
      <c r="S10" s="381"/>
    </row>
    <row r="11" spans="1:19" s="1" customFormat="1" ht="45">
      <c r="A11" s="377"/>
      <c r="B11" s="186" t="s">
        <v>71</v>
      </c>
      <c r="C11" s="186" t="s">
        <v>0</v>
      </c>
      <c r="D11" s="186" t="s">
        <v>1</v>
      </c>
      <c r="E11" s="186" t="s">
        <v>171</v>
      </c>
      <c r="F11" s="186" t="s">
        <v>2</v>
      </c>
      <c r="G11" s="186" t="s">
        <v>9033</v>
      </c>
      <c r="H11" s="186" t="s">
        <v>30</v>
      </c>
      <c r="I11" s="186" t="s">
        <v>9034</v>
      </c>
      <c r="J11" s="186" t="s">
        <v>9035</v>
      </c>
      <c r="K11" s="380"/>
      <c r="L11" s="380"/>
      <c r="M11" s="380"/>
      <c r="N11" s="380"/>
      <c r="O11" s="380"/>
      <c r="P11" s="380"/>
      <c r="Q11" s="380"/>
      <c r="R11" s="380"/>
      <c r="S11" s="380"/>
    </row>
    <row r="12" spans="1:19" s="92" customFormat="1">
      <c r="A12" s="256"/>
      <c r="B12" s="287" t="s">
        <v>78</v>
      </c>
      <c r="C12" s="287"/>
      <c r="D12" s="399" t="s">
        <v>3</v>
      </c>
      <c r="E12" s="413"/>
      <c r="F12" s="413"/>
      <c r="G12" s="461"/>
      <c r="H12" s="413"/>
      <c r="I12" s="461"/>
      <c r="J12" s="414"/>
      <c r="K12" s="298"/>
      <c r="L12" s="447">
        <f t="shared" ref="L12:L91" si="0">I12*F12</f>
        <v>0</v>
      </c>
      <c r="M12" s="447"/>
      <c r="N12" s="298"/>
      <c r="O12" s="298"/>
      <c r="P12" s="298"/>
      <c r="Q12" s="298"/>
      <c r="R12" s="298"/>
      <c r="S12" s="298"/>
    </row>
    <row r="13" spans="1:19" s="92" customFormat="1">
      <c r="A13" s="256"/>
      <c r="B13" s="287" t="s">
        <v>15590</v>
      </c>
      <c r="C13" s="287"/>
      <c r="D13" s="400" t="s">
        <v>15591</v>
      </c>
      <c r="E13" s="415"/>
      <c r="F13" s="415"/>
      <c r="G13" s="462"/>
      <c r="H13" s="415"/>
      <c r="I13" s="462"/>
      <c r="J13" s="416"/>
      <c r="K13" s="298"/>
      <c r="L13" s="447">
        <f t="shared" si="0"/>
        <v>0</v>
      </c>
      <c r="M13" s="447"/>
      <c r="N13" s="298"/>
      <c r="O13" s="298"/>
      <c r="P13" s="298"/>
      <c r="Q13" s="298"/>
      <c r="R13" s="298"/>
      <c r="S13" s="298"/>
    </row>
    <row r="14" spans="1:19" s="92" customFormat="1">
      <c r="A14" s="256"/>
      <c r="B14" s="287" t="s">
        <v>15592</v>
      </c>
      <c r="C14" s="287"/>
      <c r="D14" s="400" t="s">
        <v>15593</v>
      </c>
      <c r="E14" s="415"/>
      <c r="F14" s="415"/>
      <c r="G14" s="462"/>
      <c r="H14" s="415"/>
      <c r="I14" s="462"/>
      <c r="J14" s="416"/>
      <c r="K14" s="298"/>
      <c r="L14" s="447">
        <f t="shared" si="0"/>
        <v>0</v>
      </c>
      <c r="M14" s="447"/>
      <c r="N14" s="298"/>
      <c r="O14" s="298"/>
      <c r="P14" s="298"/>
      <c r="Q14" s="298"/>
      <c r="R14" s="298"/>
      <c r="S14" s="298"/>
    </row>
    <row r="15" spans="1:19" s="92" customFormat="1" ht="38.25">
      <c r="A15" s="256" t="s">
        <v>3259</v>
      </c>
      <c r="B15" s="288" t="s">
        <v>15594</v>
      </c>
      <c r="C15" s="288">
        <v>99059</v>
      </c>
      <c r="D15" s="289" t="s">
        <v>4496</v>
      </c>
      <c r="E15" s="290" t="s">
        <v>5</v>
      </c>
      <c r="F15" s="292">
        <v>18.8</v>
      </c>
      <c r="G15" s="510" t="s">
        <v>12398</v>
      </c>
      <c r="H15" s="508">
        <v>0.2094</v>
      </c>
      <c r="I15" s="510">
        <v>59.381540000000001</v>
      </c>
      <c r="J15" s="509">
        <v>1116.3729520000002</v>
      </c>
      <c r="K15" s="298"/>
      <c r="L15" s="447">
        <f t="shared" si="0"/>
        <v>1116.3729520000002</v>
      </c>
      <c r="M15" s="447"/>
      <c r="N15" s="298"/>
      <c r="O15" s="298"/>
      <c r="P15" s="298"/>
      <c r="Q15" s="298"/>
      <c r="R15" s="298"/>
      <c r="S15" s="298"/>
    </row>
    <row r="16" spans="1:19" s="92" customFormat="1">
      <c r="A16" s="256"/>
      <c r="B16" s="391"/>
      <c r="C16" s="391"/>
      <c r="D16" s="401"/>
      <c r="E16" s="391"/>
      <c r="F16" s="417"/>
      <c r="G16" s="417"/>
      <c r="H16" s="417"/>
      <c r="I16" s="417"/>
      <c r="J16" s="418"/>
      <c r="K16" s="298"/>
      <c r="L16" s="447">
        <f t="shared" si="0"/>
        <v>0</v>
      </c>
      <c r="M16" s="447"/>
      <c r="N16" s="298"/>
      <c r="O16" s="298"/>
      <c r="P16" s="298"/>
      <c r="Q16" s="298"/>
      <c r="R16" s="298"/>
      <c r="S16" s="298"/>
    </row>
    <row r="17" spans="1:19" s="92" customFormat="1">
      <c r="A17" s="256"/>
      <c r="B17" s="392"/>
      <c r="C17" s="393"/>
      <c r="D17" s="402"/>
      <c r="E17" s="393"/>
      <c r="F17" s="393"/>
      <c r="G17" s="460" t="s">
        <v>69</v>
      </c>
      <c r="H17" s="419"/>
      <c r="I17" s="460"/>
      <c r="J17" s="420">
        <v>1116.3729520000002</v>
      </c>
      <c r="K17" s="447"/>
      <c r="L17" s="447">
        <f t="shared" si="0"/>
        <v>0</v>
      </c>
      <c r="M17" s="447"/>
      <c r="N17" s="298"/>
      <c r="O17" s="298"/>
      <c r="P17" s="298"/>
      <c r="Q17" s="298"/>
      <c r="R17" s="298"/>
      <c r="S17" s="298"/>
    </row>
    <row r="18" spans="1:19" s="92" customFormat="1">
      <c r="A18" s="256"/>
      <c r="B18" s="391"/>
      <c r="C18" s="391"/>
      <c r="D18" s="401"/>
      <c r="E18" s="391"/>
      <c r="F18" s="417"/>
      <c r="G18" s="417"/>
      <c r="H18" s="417"/>
      <c r="I18" s="417"/>
      <c r="J18" s="418"/>
      <c r="K18" s="298"/>
      <c r="L18" s="447">
        <f t="shared" si="0"/>
        <v>0</v>
      </c>
      <c r="M18" s="447"/>
      <c r="N18" s="298"/>
      <c r="O18" s="298"/>
      <c r="P18" s="298"/>
      <c r="Q18" s="298"/>
      <c r="R18" s="298"/>
      <c r="S18" s="298"/>
    </row>
    <row r="19" spans="1:19" s="92" customFormat="1">
      <c r="A19" s="256"/>
      <c r="B19" s="287" t="s">
        <v>3285</v>
      </c>
      <c r="C19" s="287"/>
      <c r="D19" s="399" t="s">
        <v>3286</v>
      </c>
      <c r="E19" s="413"/>
      <c r="F19" s="413"/>
      <c r="G19" s="461"/>
      <c r="H19" s="413"/>
      <c r="I19" s="461"/>
      <c r="J19" s="414"/>
      <c r="K19" s="298"/>
      <c r="L19" s="447">
        <f t="shared" si="0"/>
        <v>0</v>
      </c>
      <c r="M19" s="447"/>
      <c r="N19" s="298"/>
      <c r="O19" s="298"/>
      <c r="P19" s="298"/>
      <c r="Q19" s="298"/>
      <c r="R19" s="298"/>
      <c r="S19" s="298"/>
    </row>
    <row r="20" spans="1:19" s="92" customFormat="1">
      <c r="A20" s="256"/>
      <c r="B20" s="287" t="s">
        <v>3287</v>
      </c>
      <c r="C20" s="287"/>
      <c r="D20" s="400" t="s">
        <v>3288</v>
      </c>
      <c r="E20" s="415"/>
      <c r="F20" s="415"/>
      <c r="G20" s="462"/>
      <c r="H20" s="415"/>
      <c r="I20" s="462"/>
      <c r="J20" s="416"/>
      <c r="K20" s="298"/>
      <c r="L20" s="447">
        <f t="shared" si="0"/>
        <v>0</v>
      </c>
      <c r="M20" s="447"/>
      <c r="N20" s="298"/>
      <c r="O20" s="298"/>
      <c r="P20" s="298"/>
      <c r="Q20" s="298"/>
      <c r="R20" s="298"/>
      <c r="S20" s="298"/>
    </row>
    <row r="21" spans="1:19" s="92" customFormat="1">
      <c r="A21" s="256"/>
      <c r="B21" s="287" t="s">
        <v>3289</v>
      </c>
      <c r="C21" s="287"/>
      <c r="D21" s="400" t="s">
        <v>3290</v>
      </c>
      <c r="E21" s="415"/>
      <c r="F21" s="415"/>
      <c r="G21" s="462"/>
      <c r="H21" s="415"/>
      <c r="I21" s="462"/>
      <c r="J21" s="416"/>
      <c r="K21" s="298"/>
      <c r="L21" s="447">
        <f t="shared" si="0"/>
        <v>0</v>
      </c>
      <c r="M21" s="447"/>
      <c r="N21" s="298"/>
      <c r="O21" s="298" t="s">
        <v>24876</v>
      </c>
      <c r="P21" s="298"/>
      <c r="Q21" s="298"/>
      <c r="R21" s="298"/>
      <c r="S21" s="298"/>
    </row>
    <row r="22" spans="1:19" s="92" customFormat="1" ht="25.5">
      <c r="A22" s="256" t="s">
        <v>3259</v>
      </c>
      <c r="B22" s="288" t="s">
        <v>3291</v>
      </c>
      <c r="C22" s="288">
        <v>96527</v>
      </c>
      <c r="D22" s="289" t="s">
        <v>2468</v>
      </c>
      <c r="E22" s="290" t="s">
        <v>209</v>
      </c>
      <c r="F22" s="292">
        <v>3.48</v>
      </c>
      <c r="G22" s="510" t="s">
        <v>14231</v>
      </c>
      <c r="H22" s="508">
        <v>0.2094</v>
      </c>
      <c r="I22" s="510">
        <v>130.30075600000001</v>
      </c>
      <c r="J22" s="509">
        <v>453.44663088000004</v>
      </c>
      <c r="K22" s="298"/>
      <c r="L22" s="447">
        <f t="shared" si="0"/>
        <v>453.44663088000004</v>
      </c>
      <c r="M22" s="447"/>
      <c r="N22" s="298"/>
      <c r="O22" s="638">
        <f>K30+F51+F68+F84+F91</f>
        <v>29.028406743523139</v>
      </c>
      <c r="P22" s="298"/>
      <c r="Q22" s="298"/>
      <c r="R22" s="298"/>
      <c r="S22" s="298"/>
    </row>
    <row r="23" spans="1:19" s="92" customFormat="1" ht="38.25">
      <c r="A23" s="256" t="s">
        <v>3259</v>
      </c>
      <c r="B23" s="288" t="s">
        <v>3292</v>
      </c>
      <c r="C23" s="288">
        <v>96523</v>
      </c>
      <c r="D23" s="289" t="s">
        <v>2464</v>
      </c>
      <c r="E23" s="290" t="s">
        <v>209</v>
      </c>
      <c r="F23" s="292">
        <v>4.21</v>
      </c>
      <c r="G23" s="510" t="s">
        <v>23664</v>
      </c>
      <c r="H23" s="508">
        <v>0.2094</v>
      </c>
      <c r="I23" s="510">
        <v>99.376398000000009</v>
      </c>
      <c r="J23" s="509">
        <v>418.37463558000002</v>
      </c>
      <c r="K23" s="298"/>
      <c r="L23" s="447">
        <f t="shared" si="0"/>
        <v>418.37463558000002</v>
      </c>
      <c r="M23" s="447"/>
      <c r="N23" s="298"/>
      <c r="O23" s="298"/>
      <c r="P23" s="298"/>
      <c r="Q23" s="298"/>
      <c r="R23" s="298"/>
      <c r="S23" s="298"/>
    </row>
    <row r="24" spans="1:19" s="92" customFormat="1" ht="38.25">
      <c r="A24" s="256" t="s">
        <v>3259</v>
      </c>
      <c r="B24" s="288" t="s">
        <v>3293</v>
      </c>
      <c r="C24" s="288">
        <v>101616</v>
      </c>
      <c r="D24" s="289" t="s">
        <v>13664</v>
      </c>
      <c r="E24" s="290" t="s">
        <v>193</v>
      </c>
      <c r="F24" s="292">
        <v>14.22</v>
      </c>
      <c r="G24" s="510" t="s">
        <v>11219</v>
      </c>
      <c r="H24" s="508">
        <v>0.2094</v>
      </c>
      <c r="I24" s="510">
        <v>6.3735379999999999</v>
      </c>
      <c r="J24" s="509">
        <v>90.63171036</v>
      </c>
      <c r="K24" s="298"/>
      <c r="L24" s="447">
        <f t="shared" si="0"/>
        <v>90.63171036</v>
      </c>
      <c r="M24" s="447"/>
      <c r="N24" s="298"/>
      <c r="O24" s="298"/>
      <c r="P24" s="298"/>
      <c r="Q24" s="298"/>
      <c r="R24" s="298"/>
      <c r="S24" s="298"/>
    </row>
    <row r="25" spans="1:19" s="92" customFormat="1" ht="25.5">
      <c r="A25" s="256" t="s">
        <v>3259</v>
      </c>
      <c r="B25" s="288" t="s">
        <v>3762</v>
      </c>
      <c r="C25" s="288">
        <v>93382</v>
      </c>
      <c r="D25" s="289" t="s">
        <v>2501</v>
      </c>
      <c r="E25" s="290" t="s">
        <v>209</v>
      </c>
      <c r="F25" s="292">
        <v>4.55</v>
      </c>
      <c r="G25" s="510" t="s">
        <v>16369</v>
      </c>
      <c r="H25" s="508">
        <v>0.2094</v>
      </c>
      <c r="I25" s="510">
        <v>30.380128000000003</v>
      </c>
      <c r="J25" s="509">
        <v>138.2295824</v>
      </c>
      <c r="K25" s="298"/>
      <c r="L25" s="447">
        <f t="shared" si="0"/>
        <v>138.2295824</v>
      </c>
      <c r="M25" s="447"/>
      <c r="N25" s="298"/>
      <c r="O25" s="298"/>
      <c r="P25" s="298"/>
      <c r="Q25" s="298"/>
      <c r="R25" s="298"/>
      <c r="S25" s="298"/>
    </row>
    <row r="26" spans="1:19" s="92" customFormat="1">
      <c r="A26" s="256"/>
      <c r="B26" s="391"/>
      <c r="C26" s="391"/>
      <c r="D26" s="401"/>
      <c r="E26" s="391"/>
      <c r="F26" s="417"/>
      <c r="G26" s="417"/>
      <c r="H26" s="417"/>
      <c r="I26" s="417"/>
      <c r="J26" s="418"/>
      <c r="K26" s="298"/>
      <c r="L26" s="447">
        <f t="shared" si="0"/>
        <v>0</v>
      </c>
      <c r="M26" s="447"/>
      <c r="N26" s="298"/>
      <c r="O26" s="298"/>
      <c r="P26" s="298"/>
      <c r="Q26" s="298"/>
      <c r="R26" s="298"/>
      <c r="S26" s="298"/>
    </row>
    <row r="27" spans="1:19" s="92" customFormat="1">
      <c r="A27" s="256"/>
      <c r="B27" s="287" t="s">
        <v>3294</v>
      </c>
      <c r="C27" s="287"/>
      <c r="D27" s="399" t="s">
        <v>3295</v>
      </c>
      <c r="E27" s="413"/>
      <c r="F27" s="413"/>
      <c r="G27" s="461"/>
      <c r="H27" s="413"/>
      <c r="I27" s="461"/>
      <c r="J27" s="414"/>
      <c r="K27" s="298"/>
      <c r="L27" s="447">
        <f t="shared" si="0"/>
        <v>0</v>
      </c>
      <c r="M27" s="447"/>
      <c r="N27" s="298"/>
      <c r="O27" s="298"/>
      <c r="P27" s="298"/>
      <c r="Q27" s="298"/>
      <c r="R27" s="298"/>
      <c r="S27" s="298"/>
    </row>
    <row r="28" spans="1:19" s="92" customFormat="1">
      <c r="A28" s="256"/>
      <c r="B28" s="287" t="s">
        <v>3296</v>
      </c>
      <c r="C28" s="287"/>
      <c r="D28" s="400" t="s">
        <v>3297</v>
      </c>
      <c r="E28" s="415"/>
      <c r="F28" s="415"/>
      <c r="G28" s="462"/>
      <c r="H28" s="415"/>
      <c r="I28" s="462"/>
      <c r="J28" s="416"/>
      <c r="K28" s="298"/>
      <c r="L28" s="447">
        <f t="shared" si="0"/>
        <v>0</v>
      </c>
      <c r="M28" s="447"/>
      <c r="N28" s="298"/>
      <c r="O28" s="298"/>
      <c r="P28" s="298"/>
      <c r="Q28" s="298"/>
      <c r="R28" s="298"/>
      <c r="S28" s="298"/>
    </row>
    <row r="29" spans="1:19" s="92" customFormat="1">
      <c r="A29" s="256"/>
      <c r="B29" s="287" t="s">
        <v>9633</v>
      </c>
      <c r="C29" s="287"/>
      <c r="D29" s="400" t="s">
        <v>9637</v>
      </c>
      <c r="E29" s="415"/>
      <c r="F29" s="415"/>
      <c r="G29" s="462"/>
      <c r="H29" s="415"/>
      <c r="I29" s="462"/>
      <c r="J29" s="416"/>
      <c r="K29" s="298"/>
      <c r="L29" s="447">
        <f t="shared" si="0"/>
        <v>0</v>
      </c>
      <c r="M29" s="447"/>
      <c r="N29" s="298"/>
      <c r="O29" s="298"/>
      <c r="P29" s="298"/>
      <c r="Q29" s="298"/>
      <c r="R29" s="298"/>
      <c r="S29" s="298"/>
    </row>
    <row r="30" spans="1:19" s="92" customFormat="1" ht="51">
      <c r="A30" s="256" t="s">
        <v>3260</v>
      </c>
      <c r="B30" s="288" t="s">
        <v>9634</v>
      </c>
      <c r="C30" s="288" t="s">
        <v>8985</v>
      </c>
      <c r="D30" s="289" t="s">
        <v>24484</v>
      </c>
      <c r="E30" s="290" t="s">
        <v>5</v>
      </c>
      <c r="F30" s="292">
        <v>56</v>
      </c>
      <c r="G30" s="510">
        <v>45.82</v>
      </c>
      <c r="H30" s="508">
        <v>0.2094</v>
      </c>
      <c r="I30" s="510">
        <v>55.414708000000005</v>
      </c>
      <c r="J30" s="509">
        <v>3103.2236480000001</v>
      </c>
      <c r="K30" s="298">
        <f>PI()*(0.15^2)*F30</f>
        <v>3.9584067435231396</v>
      </c>
      <c r="L30" s="447">
        <f t="shared" si="0"/>
        <v>3103.2236480000001</v>
      </c>
      <c r="M30" s="447"/>
      <c r="N30" s="298"/>
      <c r="O30" s="298"/>
      <c r="P30" s="298"/>
      <c r="Q30" s="298"/>
      <c r="R30" s="298"/>
      <c r="S30" s="298"/>
    </row>
    <row r="31" spans="1:19" s="92" customFormat="1" ht="38.25">
      <c r="A31" s="256" t="s">
        <v>3259</v>
      </c>
      <c r="B31" s="288" t="s">
        <v>9635</v>
      </c>
      <c r="C31" s="288">
        <v>95584</v>
      </c>
      <c r="D31" s="289" t="s">
        <v>1433</v>
      </c>
      <c r="E31" s="290" t="s">
        <v>108</v>
      </c>
      <c r="F31" s="292">
        <v>47.04</v>
      </c>
      <c r="G31" s="510" t="s">
        <v>19965</v>
      </c>
      <c r="H31" s="508">
        <v>0.2094</v>
      </c>
      <c r="I31" s="510">
        <v>18.806170000000002</v>
      </c>
      <c r="J31" s="509">
        <v>884.64223680000009</v>
      </c>
      <c r="K31" s="298"/>
      <c r="L31" s="447">
        <f t="shared" si="0"/>
        <v>884.64223680000009</v>
      </c>
      <c r="M31" s="447"/>
      <c r="N31" s="298"/>
      <c r="O31" s="298"/>
      <c r="P31" s="298"/>
      <c r="Q31" s="298"/>
      <c r="R31" s="298"/>
      <c r="S31" s="298"/>
    </row>
    <row r="32" spans="1:19" s="92" customFormat="1" ht="38.25">
      <c r="A32" s="256" t="s">
        <v>3259</v>
      </c>
      <c r="B32" s="288" t="s">
        <v>9636</v>
      </c>
      <c r="C32" s="288">
        <v>95578</v>
      </c>
      <c r="D32" s="289" t="s">
        <v>3437</v>
      </c>
      <c r="E32" s="290" t="s">
        <v>108</v>
      </c>
      <c r="F32" s="292">
        <v>208.01</v>
      </c>
      <c r="G32" s="510" t="s">
        <v>10457</v>
      </c>
      <c r="H32" s="508">
        <v>0.2094</v>
      </c>
      <c r="I32" s="510">
        <v>13.678314</v>
      </c>
      <c r="J32" s="509">
        <v>2845.2260951399999</v>
      </c>
      <c r="K32" s="298"/>
      <c r="L32" s="447">
        <f t="shared" si="0"/>
        <v>2845.2260951399999</v>
      </c>
      <c r="M32" s="447"/>
      <c r="N32" s="298"/>
      <c r="O32" s="298"/>
      <c r="P32" s="298"/>
      <c r="Q32" s="298"/>
      <c r="R32" s="298"/>
      <c r="S32" s="298"/>
    </row>
    <row r="33" spans="1:19" s="92" customFormat="1">
      <c r="A33" s="256"/>
      <c r="B33" s="391"/>
      <c r="C33" s="391"/>
      <c r="D33" s="401"/>
      <c r="E33" s="391"/>
      <c r="F33" s="417"/>
      <c r="G33" s="417"/>
      <c r="H33" s="417"/>
      <c r="I33" s="417"/>
      <c r="J33" s="418"/>
      <c r="K33" s="298"/>
      <c r="L33" s="447">
        <f t="shared" si="0"/>
        <v>0</v>
      </c>
      <c r="M33" s="447"/>
      <c r="N33" s="298"/>
      <c r="O33" s="298"/>
      <c r="P33" s="298"/>
      <c r="Q33" s="298"/>
      <c r="R33" s="298"/>
      <c r="S33" s="298"/>
    </row>
    <row r="34" spans="1:19" s="92" customFormat="1">
      <c r="A34" s="256"/>
      <c r="B34" s="287" t="s">
        <v>3298</v>
      </c>
      <c r="C34" s="287"/>
      <c r="D34" s="399" t="s">
        <v>9638</v>
      </c>
      <c r="E34" s="413"/>
      <c r="F34" s="413"/>
      <c r="G34" s="461"/>
      <c r="H34" s="413"/>
      <c r="I34" s="461"/>
      <c r="J34" s="414"/>
      <c r="K34" s="298"/>
      <c r="L34" s="447">
        <f t="shared" si="0"/>
        <v>0</v>
      </c>
      <c r="M34" s="447"/>
      <c r="N34" s="298"/>
      <c r="O34" s="298"/>
      <c r="P34" s="298"/>
      <c r="Q34" s="298"/>
      <c r="R34" s="298"/>
      <c r="S34" s="298"/>
    </row>
    <row r="35" spans="1:19" s="92" customFormat="1" ht="38.25">
      <c r="A35" s="256" t="s">
        <v>3259</v>
      </c>
      <c r="B35" s="288" t="s">
        <v>3299</v>
      </c>
      <c r="C35" s="288">
        <v>95601</v>
      </c>
      <c r="D35" s="289" t="s">
        <v>22177</v>
      </c>
      <c r="E35" s="290" t="s">
        <v>109</v>
      </c>
      <c r="F35" s="292">
        <v>8</v>
      </c>
      <c r="G35" s="510" t="s">
        <v>22178</v>
      </c>
      <c r="H35" s="508">
        <v>0.2094</v>
      </c>
      <c r="I35" s="510">
        <v>16.665531999999999</v>
      </c>
      <c r="J35" s="509">
        <v>133.32425599999999</v>
      </c>
      <c r="K35" s="298"/>
      <c r="L35" s="447">
        <f t="shared" si="0"/>
        <v>133.32425599999999</v>
      </c>
      <c r="M35" s="447"/>
      <c r="N35" s="298"/>
      <c r="O35" s="298"/>
      <c r="P35" s="298"/>
      <c r="Q35" s="298"/>
      <c r="R35" s="298"/>
      <c r="S35" s="298"/>
    </row>
    <row r="36" spans="1:19" s="92" customFormat="1">
      <c r="A36" s="256"/>
      <c r="B36" s="391"/>
      <c r="C36" s="391"/>
      <c r="D36" s="401"/>
      <c r="E36" s="391"/>
      <c r="F36" s="417"/>
      <c r="G36" s="417"/>
      <c r="H36" s="417"/>
      <c r="I36" s="417"/>
      <c r="J36" s="418"/>
      <c r="K36" s="298"/>
      <c r="L36" s="447">
        <f t="shared" si="0"/>
        <v>0</v>
      </c>
      <c r="M36" s="447"/>
      <c r="N36" s="298"/>
      <c r="O36" s="298"/>
      <c r="P36" s="298"/>
      <c r="Q36" s="298"/>
      <c r="R36" s="298"/>
      <c r="S36" s="298"/>
    </row>
    <row r="37" spans="1:19" s="92" customFormat="1">
      <c r="A37" s="256"/>
      <c r="B37" s="287" t="s">
        <v>3300</v>
      </c>
      <c r="C37" s="287"/>
      <c r="D37" s="399" t="s">
        <v>9643</v>
      </c>
      <c r="E37" s="413"/>
      <c r="F37" s="413"/>
      <c r="G37" s="461"/>
      <c r="H37" s="413"/>
      <c r="I37" s="461"/>
      <c r="J37" s="414"/>
      <c r="K37" s="298"/>
      <c r="L37" s="447">
        <f t="shared" si="0"/>
        <v>0</v>
      </c>
      <c r="M37" s="447"/>
      <c r="N37" s="298"/>
      <c r="O37" s="298"/>
      <c r="P37" s="298"/>
      <c r="Q37" s="298"/>
      <c r="R37" s="298"/>
      <c r="S37" s="298"/>
    </row>
    <row r="38" spans="1:19" s="92" customFormat="1">
      <c r="A38" s="256"/>
      <c r="B38" s="287" t="s">
        <v>3301</v>
      </c>
      <c r="C38" s="287"/>
      <c r="D38" s="400" t="s">
        <v>3302</v>
      </c>
      <c r="E38" s="415"/>
      <c r="F38" s="415"/>
      <c r="G38" s="462"/>
      <c r="H38" s="415"/>
      <c r="I38" s="462"/>
      <c r="J38" s="416"/>
      <c r="K38" s="298"/>
      <c r="L38" s="447">
        <f t="shared" si="0"/>
        <v>0</v>
      </c>
      <c r="M38" s="447"/>
      <c r="N38" s="298"/>
      <c r="O38" s="298"/>
      <c r="P38" s="298"/>
      <c r="Q38" s="298"/>
      <c r="R38" s="298"/>
      <c r="S38" s="298"/>
    </row>
    <row r="39" spans="1:19" s="92" customFormat="1" ht="38.25">
      <c r="A39" s="256" t="s">
        <v>3259</v>
      </c>
      <c r="B39" s="288" t="s">
        <v>3303</v>
      </c>
      <c r="C39" s="288">
        <v>96619</v>
      </c>
      <c r="D39" s="289" t="s">
        <v>3417</v>
      </c>
      <c r="E39" s="290" t="s">
        <v>193</v>
      </c>
      <c r="F39" s="292">
        <v>5.46</v>
      </c>
      <c r="G39" s="510" t="s">
        <v>14140</v>
      </c>
      <c r="H39" s="508">
        <v>0.2094</v>
      </c>
      <c r="I39" s="510">
        <v>32.774740000000001</v>
      </c>
      <c r="J39" s="509">
        <v>178.95008040000002</v>
      </c>
      <c r="K39" s="298"/>
      <c r="L39" s="447">
        <f t="shared" si="0"/>
        <v>178.95008040000002</v>
      </c>
      <c r="M39" s="447"/>
      <c r="N39" s="298"/>
      <c r="O39" s="298"/>
      <c r="P39" s="298"/>
      <c r="Q39" s="298"/>
      <c r="R39" s="298"/>
      <c r="S39" s="298"/>
    </row>
    <row r="40" spans="1:19" s="92" customFormat="1">
      <c r="A40" s="256"/>
      <c r="B40" s="391"/>
      <c r="C40" s="391"/>
      <c r="D40" s="401"/>
      <c r="E40" s="391"/>
      <c r="F40" s="417"/>
      <c r="G40" s="417"/>
      <c r="H40" s="417"/>
      <c r="I40" s="417"/>
      <c r="J40" s="418"/>
      <c r="K40" s="298"/>
      <c r="L40" s="447">
        <f t="shared" si="0"/>
        <v>0</v>
      </c>
      <c r="M40" s="447"/>
      <c r="N40" s="298"/>
      <c r="O40" s="298"/>
      <c r="P40" s="298"/>
      <c r="Q40" s="298"/>
      <c r="R40" s="298"/>
      <c r="S40" s="298"/>
    </row>
    <row r="41" spans="1:19" s="92" customFormat="1">
      <c r="A41" s="256"/>
      <c r="B41" s="287" t="s">
        <v>3304</v>
      </c>
      <c r="C41" s="287"/>
      <c r="D41" s="399" t="s">
        <v>3305</v>
      </c>
      <c r="E41" s="413"/>
      <c r="F41" s="413"/>
      <c r="G41" s="461"/>
      <c r="H41" s="413"/>
      <c r="I41" s="461"/>
      <c r="J41" s="414"/>
      <c r="K41" s="298"/>
      <c r="L41" s="447">
        <f t="shared" si="0"/>
        <v>0</v>
      </c>
      <c r="M41" s="447"/>
      <c r="N41" s="298"/>
      <c r="O41" s="298"/>
      <c r="P41" s="298"/>
      <c r="Q41" s="298"/>
      <c r="R41" s="298"/>
      <c r="S41" s="298"/>
    </row>
    <row r="42" spans="1:19" s="92" customFormat="1" ht="51">
      <c r="A42" s="256" t="s">
        <v>3259</v>
      </c>
      <c r="B42" s="288" t="s">
        <v>3306</v>
      </c>
      <c r="C42" s="288">
        <v>96540</v>
      </c>
      <c r="D42" s="289" t="s">
        <v>1355</v>
      </c>
      <c r="E42" s="290" t="s">
        <v>193</v>
      </c>
      <c r="F42" s="292">
        <v>11.52</v>
      </c>
      <c r="G42" s="510" t="s">
        <v>22306</v>
      </c>
      <c r="H42" s="508">
        <v>0.2094</v>
      </c>
      <c r="I42" s="510">
        <v>137.653908</v>
      </c>
      <c r="J42" s="509">
        <v>1585.77302016</v>
      </c>
      <c r="K42" s="298"/>
      <c r="L42" s="447">
        <f t="shared" si="0"/>
        <v>1585.77302016</v>
      </c>
      <c r="M42" s="447"/>
      <c r="N42" s="298"/>
      <c r="O42" s="298"/>
      <c r="P42" s="298"/>
      <c r="Q42" s="298"/>
      <c r="R42" s="298"/>
      <c r="S42" s="298"/>
    </row>
    <row r="43" spans="1:19" s="92" customFormat="1" ht="51">
      <c r="A43" s="256" t="s">
        <v>3259</v>
      </c>
      <c r="B43" s="288" t="s">
        <v>3763</v>
      </c>
      <c r="C43" s="288">
        <v>96542</v>
      </c>
      <c r="D43" s="289" t="s">
        <v>1357</v>
      </c>
      <c r="E43" s="290" t="s">
        <v>193</v>
      </c>
      <c r="F43" s="292">
        <v>17.690000000000001</v>
      </c>
      <c r="G43" s="510" t="s">
        <v>22308</v>
      </c>
      <c r="H43" s="508">
        <v>0.2094</v>
      </c>
      <c r="I43" s="510">
        <v>96.413368000000006</v>
      </c>
      <c r="J43" s="509">
        <v>1705.5524799200002</v>
      </c>
      <c r="K43" s="298"/>
      <c r="L43" s="447">
        <f t="shared" si="0"/>
        <v>1705.5524799200002</v>
      </c>
      <c r="M43" s="447"/>
      <c r="N43" s="298"/>
      <c r="O43" s="298"/>
      <c r="P43" s="298"/>
      <c r="Q43" s="298"/>
      <c r="R43" s="298"/>
      <c r="S43" s="298"/>
    </row>
    <row r="44" spans="1:19" s="92" customFormat="1">
      <c r="A44" s="256"/>
      <c r="B44" s="391"/>
      <c r="C44" s="391"/>
      <c r="D44" s="401"/>
      <c r="E44" s="391"/>
      <c r="F44" s="417"/>
      <c r="G44" s="417"/>
      <c r="H44" s="417"/>
      <c r="I44" s="417"/>
      <c r="J44" s="418"/>
      <c r="K44" s="298"/>
      <c r="L44" s="447">
        <f t="shared" si="0"/>
        <v>0</v>
      </c>
      <c r="M44" s="447"/>
      <c r="N44" s="298"/>
      <c r="O44" s="298"/>
      <c r="P44" s="298"/>
      <c r="Q44" s="298"/>
      <c r="R44" s="298"/>
      <c r="S44" s="298"/>
    </row>
    <row r="45" spans="1:19" s="92" customFormat="1">
      <c r="A45" s="256"/>
      <c r="B45" s="287" t="s">
        <v>3307</v>
      </c>
      <c r="C45" s="287"/>
      <c r="D45" s="399" t="s">
        <v>3308</v>
      </c>
      <c r="E45" s="413"/>
      <c r="F45" s="413"/>
      <c r="G45" s="461"/>
      <c r="H45" s="413"/>
      <c r="I45" s="461"/>
      <c r="J45" s="414"/>
      <c r="K45" s="298"/>
      <c r="L45" s="447">
        <f t="shared" si="0"/>
        <v>0</v>
      </c>
      <c r="M45" s="447"/>
      <c r="N45" s="298"/>
      <c r="O45" s="298"/>
      <c r="P45" s="298"/>
      <c r="Q45" s="298"/>
      <c r="R45" s="298"/>
      <c r="S45" s="298"/>
    </row>
    <row r="46" spans="1:19" s="92" customFormat="1" ht="38.25">
      <c r="A46" s="256" t="s">
        <v>3259</v>
      </c>
      <c r="B46" s="288" t="s">
        <v>3309</v>
      </c>
      <c r="C46" s="288">
        <v>96543</v>
      </c>
      <c r="D46" s="289" t="s">
        <v>1358</v>
      </c>
      <c r="E46" s="290" t="s">
        <v>108</v>
      </c>
      <c r="F46" s="292">
        <v>31.08</v>
      </c>
      <c r="G46" s="510" t="s">
        <v>12153</v>
      </c>
      <c r="H46" s="508">
        <v>0.2094</v>
      </c>
      <c r="I46" s="510">
        <v>22.337617999999999</v>
      </c>
      <c r="J46" s="509">
        <v>694.25316743999997</v>
      </c>
      <c r="K46" s="298"/>
      <c r="L46" s="447">
        <f t="shared" si="0"/>
        <v>694.25316743999997</v>
      </c>
      <c r="M46" s="447"/>
      <c r="N46" s="298"/>
      <c r="O46" s="298"/>
      <c r="P46" s="298"/>
      <c r="Q46" s="298"/>
      <c r="R46" s="298"/>
      <c r="S46" s="298"/>
    </row>
    <row r="47" spans="1:19" s="92" customFormat="1" ht="38.25">
      <c r="A47" s="256" t="s">
        <v>3259</v>
      </c>
      <c r="B47" s="288" t="s">
        <v>3310</v>
      </c>
      <c r="C47" s="288">
        <v>96544</v>
      </c>
      <c r="D47" s="289" t="s">
        <v>1440</v>
      </c>
      <c r="E47" s="290" t="s">
        <v>108</v>
      </c>
      <c r="F47" s="292">
        <v>5.78</v>
      </c>
      <c r="G47" s="510" t="s">
        <v>10577</v>
      </c>
      <c r="H47" s="508">
        <v>0.2094</v>
      </c>
      <c r="I47" s="510">
        <v>20.813774000000002</v>
      </c>
      <c r="J47" s="509">
        <v>120.30361372000002</v>
      </c>
      <c r="K47" s="298"/>
      <c r="L47" s="447">
        <f t="shared" si="0"/>
        <v>120.30361372000002</v>
      </c>
      <c r="M47" s="447"/>
      <c r="N47" s="298"/>
      <c r="O47" s="298"/>
      <c r="P47" s="298"/>
      <c r="Q47" s="298"/>
      <c r="R47" s="298"/>
      <c r="S47" s="298"/>
    </row>
    <row r="48" spans="1:19" s="92" customFormat="1" ht="38.25">
      <c r="A48" s="256" t="s">
        <v>3259</v>
      </c>
      <c r="B48" s="288" t="s">
        <v>3311</v>
      </c>
      <c r="C48" s="288">
        <v>96545</v>
      </c>
      <c r="D48" s="289" t="s">
        <v>1441</v>
      </c>
      <c r="E48" s="290" t="s">
        <v>108</v>
      </c>
      <c r="F48" s="292">
        <v>74.91</v>
      </c>
      <c r="G48" s="510" t="s">
        <v>11215</v>
      </c>
      <c r="H48" s="508">
        <v>0.2094</v>
      </c>
      <c r="I48" s="510">
        <v>19.374587999999999</v>
      </c>
      <c r="J48" s="509">
        <v>1451.3503870799998</v>
      </c>
      <c r="K48" s="298"/>
      <c r="L48" s="447">
        <f t="shared" si="0"/>
        <v>1451.3503870799998</v>
      </c>
      <c r="M48" s="447"/>
      <c r="N48" s="298"/>
      <c r="O48" s="298"/>
      <c r="P48" s="298"/>
      <c r="Q48" s="298"/>
      <c r="R48" s="298"/>
      <c r="S48" s="298"/>
    </row>
    <row r="49" spans="1:19" s="92" customFormat="1">
      <c r="A49" s="256"/>
      <c r="B49" s="391"/>
      <c r="C49" s="391"/>
      <c r="D49" s="401"/>
      <c r="E49" s="391"/>
      <c r="F49" s="417"/>
      <c r="G49" s="417"/>
      <c r="H49" s="417"/>
      <c r="I49" s="417"/>
      <c r="J49" s="418"/>
      <c r="K49" s="298"/>
      <c r="L49" s="447">
        <f t="shared" si="0"/>
        <v>0</v>
      </c>
      <c r="M49" s="447"/>
      <c r="N49" s="298"/>
      <c r="O49" s="298"/>
      <c r="P49" s="298"/>
      <c r="Q49" s="298"/>
      <c r="R49" s="298"/>
      <c r="S49" s="298"/>
    </row>
    <row r="50" spans="1:19" s="92" customFormat="1">
      <c r="A50" s="256"/>
      <c r="B50" s="287" t="s">
        <v>3314</v>
      </c>
      <c r="C50" s="287"/>
      <c r="D50" s="399" t="s">
        <v>3315</v>
      </c>
      <c r="E50" s="413"/>
      <c r="F50" s="413"/>
      <c r="G50" s="461"/>
      <c r="H50" s="413"/>
      <c r="I50" s="461"/>
      <c r="J50" s="414"/>
      <c r="K50" s="298"/>
      <c r="L50" s="447">
        <f t="shared" si="0"/>
        <v>0</v>
      </c>
      <c r="M50" s="447"/>
      <c r="N50" s="298"/>
      <c r="O50" s="298"/>
      <c r="P50" s="298"/>
      <c r="Q50" s="298"/>
      <c r="R50" s="298"/>
      <c r="S50" s="298"/>
    </row>
    <row r="51" spans="1:19" s="92" customFormat="1" ht="51">
      <c r="A51" s="256" t="s">
        <v>3259</v>
      </c>
      <c r="B51" s="288" t="s">
        <v>3316</v>
      </c>
      <c r="C51" s="288">
        <v>96557</v>
      </c>
      <c r="D51" s="289" t="s">
        <v>1482</v>
      </c>
      <c r="E51" s="290" t="s">
        <v>209</v>
      </c>
      <c r="F51" s="292">
        <v>3.04</v>
      </c>
      <c r="G51" s="510" t="s">
        <v>22467</v>
      </c>
      <c r="H51" s="508">
        <v>0.2094</v>
      </c>
      <c r="I51" s="510">
        <v>498.91378199999997</v>
      </c>
      <c r="J51" s="509">
        <v>1516.69789728</v>
      </c>
      <c r="K51" s="298"/>
      <c r="L51" s="447">
        <f t="shared" si="0"/>
        <v>1516.69789728</v>
      </c>
      <c r="M51" s="447"/>
      <c r="N51" s="298"/>
      <c r="O51" s="298"/>
      <c r="P51" s="298"/>
      <c r="Q51" s="298"/>
      <c r="R51" s="298"/>
      <c r="S51" s="298"/>
    </row>
    <row r="52" spans="1:19" s="92" customFormat="1">
      <c r="A52" s="256"/>
      <c r="B52" s="391"/>
      <c r="C52" s="391"/>
      <c r="D52" s="401"/>
      <c r="E52" s="391"/>
      <c r="F52" s="417"/>
      <c r="G52" s="417"/>
      <c r="H52" s="417"/>
      <c r="I52" s="417"/>
      <c r="J52" s="418"/>
      <c r="K52" s="298"/>
      <c r="L52" s="447">
        <f t="shared" si="0"/>
        <v>0</v>
      </c>
      <c r="M52" s="447"/>
      <c r="N52" s="298"/>
      <c r="O52" s="298"/>
      <c r="P52" s="298"/>
      <c r="Q52" s="298"/>
      <c r="R52" s="298"/>
      <c r="S52" s="298"/>
    </row>
    <row r="53" spans="1:19" s="92" customFormat="1">
      <c r="A53" s="256"/>
      <c r="B53" s="287" t="s">
        <v>3317</v>
      </c>
      <c r="C53" s="287"/>
      <c r="D53" s="399" t="s">
        <v>3318</v>
      </c>
      <c r="E53" s="413"/>
      <c r="F53" s="413"/>
      <c r="G53" s="461"/>
      <c r="H53" s="413"/>
      <c r="I53" s="461"/>
      <c r="J53" s="414"/>
      <c r="K53" s="298"/>
      <c r="L53" s="447">
        <f t="shared" si="0"/>
        <v>0</v>
      </c>
      <c r="M53" s="447"/>
      <c r="N53" s="298"/>
      <c r="O53" s="298"/>
      <c r="P53" s="298"/>
      <c r="Q53" s="298"/>
      <c r="R53" s="298"/>
      <c r="S53" s="298"/>
    </row>
    <row r="54" spans="1:19" s="92" customFormat="1">
      <c r="A54" s="256"/>
      <c r="B54" s="287" t="s">
        <v>3319</v>
      </c>
      <c r="C54" s="287"/>
      <c r="D54" s="400" t="s">
        <v>3288</v>
      </c>
      <c r="E54" s="415"/>
      <c r="F54" s="415"/>
      <c r="G54" s="462"/>
      <c r="H54" s="415"/>
      <c r="I54" s="462"/>
      <c r="J54" s="416"/>
      <c r="K54" s="298"/>
      <c r="L54" s="447">
        <f t="shared" si="0"/>
        <v>0</v>
      </c>
      <c r="M54" s="447"/>
      <c r="N54" s="298"/>
      <c r="O54" s="298"/>
      <c r="P54" s="298"/>
      <c r="Q54" s="298"/>
      <c r="R54" s="298"/>
      <c r="S54" s="298"/>
    </row>
    <row r="55" spans="1:19" s="92" customFormat="1" ht="25.5">
      <c r="A55" s="256" t="s">
        <v>3259</v>
      </c>
      <c r="B55" s="288" t="s">
        <v>3320</v>
      </c>
      <c r="C55" s="288">
        <v>98557</v>
      </c>
      <c r="D55" s="289" t="s">
        <v>4088</v>
      </c>
      <c r="E55" s="290" t="s">
        <v>193</v>
      </c>
      <c r="F55" s="292">
        <v>35.590000000000003</v>
      </c>
      <c r="G55" s="510" t="s">
        <v>22567</v>
      </c>
      <c r="H55" s="508">
        <v>0.2094</v>
      </c>
      <c r="I55" s="510">
        <v>44.288227999999997</v>
      </c>
      <c r="J55" s="509">
        <v>1576.2180345199999</v>
      </c>
      <c r="K55" s="298"/>
      <c r="L55" s="447">
        <f t="shared" si="0"/>
        <v>1576.2180345199999</v>
      </c>
      <c r="M55" s="447"/>
      <c r="N55" s="298"/>
      <c r="O55" s="298"/>
      <c r="P55" s="298"/>
      <c r="Q55" s="298"/>
      <c r="R55" s="298"/>
      <c r="S55" s="298"/>
    </row>
    <row r="56" spans="1:19" s="92" customFormat="1">
      <c r="A56" s="256"/>
      <c r="B56" s="391"/>
      <c r="C56" s="391"/>
      <c r="D56" s="401"/>
      <c r="E56" s="391"/>
      <c r="F56" s="417"/>
      <c r="G56" s="417"/>
      <c r="H56" s="417"/>
      <c r="I56" s="417"/>
      <c r="J56" s="418"/>
      <c r="K56" s="298"/>
      <c r="L56" s="447">
        <f t="shared" si="0"/>
        <v>0</v>
      </c>
      <c r="M56" s="447"/>
      <c r="N56" s="298"/>
      <c r="O56" s="298"/>
      <c r="P56" s="298"/>
      <c r="Q56" s="298"/>
      <c r="R56" s="298"/>
      <c r="S56" s="298"/>
    </row>
    <row r="57" spans="1:19" s="92" customFormat="1">
      <c r="A57" s="256"/>
      <c r="B57" s="287" t="s">
        <v>3321</v>
      </c>
      <c r="C57" s="287"/>
      <c r="D57" s="399" t="s">
        <v>3322</v>
      </c>
      <c r="E57" s="413"/>
      <c r="F57" s="413"/>
      <c r="G57" s="461"/>
      <c r="H57" s="413"/>
      <c r="I57" s="461"/>
      <c r="J57" s="414"/>
      <c r="K57" s="298"/>
      <c r="L57" s="447">
        <f t="shared" si="0"/>
        <v>0</v>
      </c>
      <c r="M57" s="447"/>
      <c r="N57" s="298"/>
      <c r="O57" s="298"/>
      <c r="P57" s="298"/>
      <c r="Q57" s="298"/>
      <c r="R57" s="298"/>
      <c r="S57" s="298"/>
    </row>
    <row r="58" spans="1:19" s="92" customFormat="1">
      <c r="A58" s="256"/>
      <c r="B58" s="287" t="s">
        <v>3323</v>
      </c>
      <c r="C58" s="287"/>
      <c r="D58" s="400" t="s">
        <v>3324</v>
      </c>
      <c r="E58" s="415"/>
      <c r="F58" s="415"/>
      <c r="G58" s="462"/>
      <c r="H58" s="415"/>
      <c r="I58" s="462"/>
      <c r="J58" s="416"/>
      <c r="K58" s="298"/>
      <c r="L58" s="447">
        <f t="shared" si="0"/>
        <v>0</v>
      </c>
      <c r="M58" s="447"/>
      <c r="N58" s="298"/>
      <c r="O58" s="298"/>
      <c r="P58" s="298"/>
      <c r="Q58" s="298"/>
      <c r="R58" s="298"/>
      <c r="S58" s="298"/>
    </row>
    <row r="59" spans="1:19" s="92" customFormat="1">
      <c r="A59" s="256"/>
      <c r="B59" s="287" t="s">
        <v>3325</v>
      </c>
      <c r="C59" s="287"/>
      <c r="D59" s="400" t="s">
        <v>15222</v>
      </c>
      <c r="E59" s="415"/>
      <c r="F59" s="415"/>
      <c r="G59" s="462"/>
      <c r="H59" s="415"/>
      <c r="I59" s="462"/>
      <c r="J59" s="416"/>
      <c r="K59" s="298"/>
      <c r="L59" s="447">
        <f t="shared" si="0"/>
        <v>0</v>
      </c>
      <c r="M59" s="447"/>
      <c r="N59" s="298"/>
      <c r="O59" s="298"/>
      <c r="P59" s="298"/>
      <c r="Q59" s="298"/>
      <c r="R59" s="298"/>
      <c r="S59" s="298"/>
    </row>
    <row r="60" spans="1:19" s="92" customFormat="1">
      <c r="A60" s="256"/>
      <c r="B60" s="287" t="s">
        <v>3326</v>
      </c>
      <c r="C60" s="287"/>
      <c r="D60" s="400" t="s">
        <v>3327</v>
      </c>
      <c r="E60" s="415"/>
      <c r="F60" s="415"/>
      <c r="G60" s="462"/>
      <c r="H60" s="415"/>
      <c r="I60" s="462"/>
      <c r="J60" s="416"/>
      <c r="K60" s="298"/>
      <c r="L60" s="447">
        <f t="shared" si="0"/>
        <v>0</v>
      </c>
      <c r="M60" s="447"/>
      <c r="N60" s="298"/>
      <c r="O60" s="298"/>
      <c r="P60" s="298"/>
      <c r="Q60" s="298"/>
      <c r="R60" s="298"/>
      <c r="S60" s="298"/>
    </row>
    <row r="61" spans="1:19" s="92" customFormat="1" ht="63.75">
      <c r="A61" s="256" t="s">
        <v>3259</v>
      </c>
      <c r="B61" s="288" t="s">
        <v>3328</v>
      </c>
      <c r="C61" s="288">
        <v>92423</v>
      </c>
      <c r="D61" s="289" t="s">
        <v>12834</v>
      </c>
      <c r="E61" s="290" t="s">
        <v>193</v>
      </c>
      <c r="F61" s="292">
        <v>20.55</v>
      </c>
      <c r="G61" s="510" t="s">
        <v>22249</v>
      </c>
      <c r="H61" s="508">
        <v>0.2094</v>
      </c>
      <c r="I61" s="510">
        <v>67.544989999999999</v>
      </c>
      <c r="J61" s="509">
        <v>1388.0495444999999</v>
      </c>
      <c r="K61" s="298"/>
      <c r="L61" s="447">
        <f t="shared" si="0"/>
        <v>1388.0495444999999</v>
      </c>
      <c r="M61" s="447"/>
      <c r="N61" s="298"/>
      <c r="O61" s="298"/>
      <c r="P61" s="298"/>
      <c r="Q61" s="298"/>
      <c r="R61" s="298"/>
      <c r="S61" s="298"/>
    </row>
    <row r="62" spans="1:19" s="92" customFormat="1">
      <c r="A62" s="256"/>
      <c r="B62" s="391"/>
      <c r="C62" s="391"/>
      <c r="D62" s="401"/>
      <c r="E62" s="391"/>
      <c r="F62" s="417"/>
      <c r="G62" s="417"/>
      <c r="H62" s="417"/>
      <c r="I62" s="417"/>
      <c r="J62" s="418"/>
      <c r="K62" s="298"/>
      <c r="L62" s="447">
        <f t="shared" si="0"/>
        <v>0</v>
      </c>
      <c r="M62" s="447"/>
      <c r="N62" s="298"/>
      <c r="O62" s="298"/>
      <c r="P62" s="298"/>
      <c r="Q62" s="298"/>
      <c r="R62" s="298"/>
      <c r="S62" s="298"/>
    </row>
    <row r="63" spans="1:19" s="92" customFormat="1">
      <c r="A63" s="256"/>
      <c r="B63" s="287" t="s">
        <v>3329</v>
      </c>
      <c r="C63" s="287"/>
      <c r="D63" s="399" t="s">
        <v>3308</v>
      </c>
      <c r="E63" s="413"/>
      <c r="F63" s="413"/>
      <c r="G63" s="461"/>
      <c r="H63" s="413"/>
      <c r="I63" s="461"/>
      <c r="J63" s="414"/>
      <c r="K63" s="298"/>
      <c r="L63" s="447">
        <f t="shared" si="0"/>
        <v>0</v>
      </c>
      <c r="M63" s="447"/>
      <c r="N63" s="298"/>
      <c r="O63" s="298"/>
      <c r="P63" s="298"/>
      <c r="Q63" s="298"/>
      <c r="R63" s="298"/>
      <c r="S63" s="298"/>
    </row>
    <row r="64" spans="1:19" s="92" customFormat="1" ht="51">
      <c r="A64" s="256" t="s">
        <v>3259</v>
      </c>
      <c r="B64" s="288" t="s">
        <v>3764</v>
      </c>
      <c r="C64" s="288">
        <v>92776</v>
      </c>
      <c r="D64" s="289" t="s">
        <v>1381</v>
      </c>
      <c r="E64" s="290" t="s">
        <v>108</v>
      </c>
      <c r="F64" s="292">
        <v>41.79</v>
      </c>
      <c r="G64" s="510" t="s">
        <v>12372</v>
      </c>
      <c r="H64" s="508">
        <v>0.2094</v>
      </c>
      <c r="I64" s="510">
        <v>20.874244000000001</v>
      </c>
      <c r="J64" s="509">
        <v>872.33465676000003</v>
      </c>
      <c r="K64" s="298"/>
      <c r="L64" s="447">
        <f t="shared" si="0"/>
        <v>872.33465676000003</v>
      </c>
      <c r="M64" s="447"/>
      <c r="N64" s="298"/>
      <c r="O64" s="298"/>
      <c r="P64" s="298"/>
      <c r="Q64" s="298"/>
      <c r="R64" s="298"/>
      <c r="S64" s="298"/>
    </row>
    <row r="65" spans="1:19" s="92" customFormat="1" ht="51">
      <c r="A65" s="256" t="s">
        <v>3259</v>
      </c>
      <c r="B65" s="288" t="s">
        <v>3330</v>
      </c>
      <c r="C65" s="288">
        <v>92779</v>
      </c>
      <c r="D65" s="289" t="s">
        <v>1384</v>
      </c>
      <c r="E65" s="290" t="s">
        <v>108</v>
      </c>
      <c r="F65" s="292">
        <v>150.22999999999999</v>
      </c>
      <c r="G65" s="510" t="s">
        <v>10056</v>
      </c>
      <c r="H65" s="508">
        <v>0.2094</v>
      </c>
      <c r="I65" s="510">
        <v>14.367672000000001</v>
      </c>
      <c r="J65" s="509">
        <v>2158.4553645599999</v>
      </c>
      <c r="K65" s="298"/>
      <c r="L65" s="447">
        <f t="shared" si="0"/>
        <v>2158.4553645599999</v>
      </c>
      <c r="M65" s="447"/>
      <c r="N65" s="298"/>
      <c r="O65" s="298"/>
      <c r="P65" s="298"/>
      <c r="Q65" s="298"/>
      <c r="R65" s="298"/>
      <c r="S65" s="298"/>
    </row>
    <row r="66" spans="1:19" s="92" customFormat="1">
      <c r="A66" s="256"/>
      <c r="B66" s="391"/>
      <c r="C66" s="391"/>
      <c r="D66" s="401"/>
      <c r="E66" s="391"/>
      <c r="F66" s="417"/>
      <c r="G66" s="417"/>
      <c r="H66" s="417"/>
      <c r="I66" s="417"/>
      <c r="J66" s="418"/>
      <c r="K66" s="298"/>
      <c r="L66" s="447">
        <f t="shared" si="0"/>
        <v>0</v>
      </c>
      <c r="M66" s="447"/>
      <c r="N66" s="298"/>
      <c r="O66" s="298"/>
      <c r="P66" s="298"/>
      <c r="Q66" s="298"/>
      <c r="R66" s="298"/>
      <c r="S66" s="298"/>
    </row>
    <row r="67" spans="1:19" s="92" customFormat="1">
      <c r="A67" s="256"/>
      <c r="B67" s="287" t="s">
        <v>3331</v>
      </c>
      <c r="C67" s="287"/>
      <c r="D67" s="399" t="s">
        <v>3315</v>
      </c>
      <c r="E67" s="413"/>
      <c r="F67" s="413"/>
      <c r="G67" s="461"/>
      <c r="H67" s="413"/>
      <c r="I67" s="461"/>
      <c r="J67" s="414"/>
      <c r="K67" s="298"/>
      <c r="L67" s="447">
        <f t="shared" si="0"/>
        <v>0</v>
      </c>
      <c r="M67" s="447"/>
      <c r="N67" s="298"/>
      <c r="O67" s="298"/>
      <c r="P67" s="298"/>
      <c r="Q67" s="298"/>
      <c r="R67" s="298"/>
      <c r="S67" s="298"/>
    </row>
    <row r="68" spans="1:19" s="92" customFormat="1" ht="51">
      <c r="A68" s="256" t="s">
        <v>3260</v>
      </c>
      <c r="B68" s="288" t="s">
        <v>3332</v>
      </c>
      <c r="C68" s="288" t="s">
        <v>8986</v>
      </c>
      <c r="D68" s="289" t="s">
        <v>18723</v>
      </c>
      <c r="E68" s="290" t="s">
        <v>3241</v>
      </c>
      <c r="F68" s="292">
        <v>0.98</v>
      </c>
      <c r="G68" s="510">
        <v>408.62</v>
      </c>
      <c r="H68" s="508">
        <v>0.2094</v>
      </c>
      <c r="I68" s="510">
        <v>494.18502800000005</v>
      </c>
      <c r="J68" s="509">
        <v>484.30132744000002</v>
      </c>
      <c r="K68" s="298"/>
      <c r="L68" s="447">
        <f t="shared" si="0"/>
        <v>484.30132744000002</v>
      </c>
      <c r="M68" s="447"/>
      <c r="N68" s="298"/>
      <c r="O68" s="298"/>
      <c r="P68" s="298"/>
      <c r="Q68" s="298"/>
      <c r="R68" s="298"/>
      <c r="S68" s="298"/>
    </row>
    <row r="69" spans="1:19" s="92" customFormat="1">
      <c r="A69" s="256"/>
      <c r="B69" s="391"/>
      <c r="C69" s="391"/>
      <c r="D69" s="401"/>
      <c r="E69" s="391"/>
      <c r="F69" s="417"/>
      <c r="G69" s="417"/>
      <c r="H69" s="417"/>
      <c r="I69" s="417"/>
      <c r="J69" s="418"/>
      <c r="K69" s="298"/>
      <c r="L69" s="447">
        <f t="shared" si="0"/>
        <v>0</v>
      </c>
      <c r="M69" s="447"/>
      <c r="N69" s="298"/>
      <c r="O69" s="298"/>
      <c r="P69" s="298"/>
      <c r="Q69" s="298"/>
      <c r="R69" s="298"/>
      <c r="S69" s="298"/>
    </row>
    <row r="70" spans="1:19" s="92" customFormat="1">
      <c r="A70" s="256"/>
      <c r="B70" s="287" t="s">
        <v>15223</v>
      </c>
      <c r="C70" s="287"/>
      <c r="D70" s="400" t="s">
        <v>15224</v>
      </c>
      <c r="E70" s="415"/>
      <c r="F70" s="415"/>
      <c r="G70" s="462"/>
      <c r="H70" s="415"/>
      <c r="I70" s="462"/>
      <c r="J70" s="416"/>
      <c r="K70" s="298"/>
      <c r="L70" s="447">
        <f t="shared" si="0"/>
        <v>0</v>
      </c>
      <c r="M70" s="447"/>
      <c r="N70" s="298"/>
      <c r="O70" s="298"/>
      <c r="P70" s="298"/>
      <c r="Q70" s="298"/>
      <c r="R70" s="298"/>
      <c r="S70" s="298"/>
    </row>
    <row r="71" spans="1:19" s="92" customFormat="1">
      <c r="A71" s="256"/>
      <c r="B71" s="287" t="s">
        <v>15225</v>
      </c>
      <c r="C71" s="287"/>
      <c r="D71" s="400" t="s">
        <v>3327</v>
      </c>
      <c r="E71" s="415"/>
      <c r="F71" s="415"/>
      <c r="G71" s="462"/>
      <c r="H71" s="415"/>
      <c r="I71" s="462"/>
      <c r="J71" s="416"/>
      <c r="K71" s="298"/>
      <c r="L71" s="447">
        <f t="shared" si="0"/>
        <v>0</v>
      </c>
      <c r="M71" s="447"/>
      <c r="N71" s="298"/>
      <c r="O71" s="298"/>
      <c r="P71" s="298"/>
      <c r="Q71" s="298"/>
      <c r="R71" s="298"/>
      <c r="S71" s="298"/>
    </row>
    <row r="72" spans="1:19" s="92" customFormat="1" ht="51">
      <c r="A72" s="256" t="s">
        <v>3259</v>
      </c>
      <c r="B72" s="288" t="s">
        <v>15226</v>
      </c>
      <c r="C72" s="288">
        <v>92460</v>
      </c>
      <c r="D72" s="289" t="s">
        <v>12859</v>
      </c>
      <c r="E72" s="290" t="s">
        <v>193</v>
      </c>
      <c r="F72" s="292">
        <v>11.95</v>
      </c>
      <c r="G72" s="510" t="s">
        <v>22268</v>
      </c>
      <c r="H72" s="508">
        <v>0.2094</v>
      </c>
      <c r="I72" s="510">
        <v>106.48766999999999</v>
      </c>
      <c r="J72" s="509">
        <v>1272.5276564999999</v>
      </c>
      <c r="K72" s="298"/>
      <c r="L72" s="447">
        <f t="shared" si="0"/>
        <v>1272.5276564999999</v>
      </c>
      <c r="M72" s="447"/>
      <c r="N72" s="298"/>
      <c r="O72" s="298"/>
      <c r="P72" s="298"/>
      <c r="Q72" s="298"/>
      <c r="R72" s="298"/>
      <c r="S72" s="298"/>
    </row>
    <row r="73" spans="1:19" s="92" customFormat="1">
      <c r="A73" s="256"/>
      <c r="B73" s="391"/>
      <c r="C73" s="391"/>
      <c r="D73" s="401"/>
      <c r="E73" s="391"/>
      <c r="F73" s="417"/>
      <c r="G73" s="417"/>
      <c r="H73" s="417"/>
      <c r="I73" s="417"/>
      <c r="J73" s="418"/>
      <c r="K73" s="298"/>
      <c r="L73" s="447">
        <f t="shared" si="0"/>
        <v>0</v>
      </c>
      <c r="M73" s="447"/>
      <c r="N73" s="298"/>
      <c r="O73" s="298"/>
      <c r="P73" s="298"/>
      <c r="Q73" s="298"/>
      <c r="R73" s="298"/>
      <c r="S73" s="298"/>
    </row>
    <row r="74" spans="1:19" s="92" customFormat="1">
      <c r="A74" s="256"/>
      <c r="B74" s="287" t="s">
        <v>15227</v>
      </c>
      <c r="C74" s="287"/>
      <c r="D74" s="399" t="s">
        <v>3308</v>
      </c>
      <c r="E74" s="413"/>
      <c r="F74" s="413"/>
      <c r="G74" s="461"/>
      <c r="H74" s="413"/>
      <c r="I74" s="461"/>
      <c r="J74" s="414"/>
      <c r="K74" s="298"/>
      <c r="L74" s="447">
        <f t="shared" si="0"/>
        <v>0</v>
      </c>
      <c r="M74" s="447"/>
      <c r="N74" s="298"/>
      <c r="O74" s="298"/>
      <c r="P74" s="298"/>
      <c r="Q74" s="298"/>
      <c r="R74" s="298"/>
      <c r="S74" s="298"/>
    </row>
    <row r="75" spans="1:19" s="92" customFormat="1" ht="51">
      <c r="A75" s="256" t="s">
        <v>3259</v>
      </c>
      <c r="B75" s="288" t="s">
        <v>15228</v>
      </c>
      <c r="C75" s="288">
        <v>92775</v>
      </c>
      <c r="D75" s="289" t="s">
        <v>1380</v>
      </c>
      <c r="E75" s="290" t="s">
        <v>108</v>
      </c>
      <c r="F75" s="292">
        <v>29.52</v>
      </c>
      <c r="G75" s="510" t="s">
        <v>10985</v>
      </c>
      <c r="H75" s="508">
        <v>0.2094</v>
      </c>
      <c r="I75" s="510">
        <v>22.385994000000004</v>
      </c>
      <c r="J75" s="509">
        <v>660.83454288000007</v>
      </c>
      <c r="K75" s="298"/>
      <c r="L75" s="447">
        <f t="shared" si="0"/>
        <v>660.83454288000007</v>
      </c>
      <c r="M75" s="447"/>
      <c r="N75" s="298"/>
      <c r="O75" s="298"/>
      <c r="P75" s="298"/>
      <c r="Q75" s="298"/>
      <c r="R75" s="298"/>
      <c r="S75" s="298"/>
    </row>
    <row r="76" spans="1:19" s="92" customFormat="1" ht="51">
      <c r="A76" s="256" t="s">
        <v>3259</v>
      </c>
      <c r="B76" s="288" t="s">
        <v>15229</v>
      </c>
      <c r="C76" s="288">
        <v>92776</v>
      </c>
      <c r="D76" s="289" t="s">
        <v>1381</v>
      </c>
      <c r="E76" s="290" t="s">
        <v>108</v>
      </c>
      <c r="F76" s="292">
        <v>1.51</v>
      </c>
      <c r="G76" s="510" t="s">
        <v>12372</v>
      </c>
      <c r="H76" s="508">
        <v>0.2094</v>
      </c>
      <c r="I76" s="510">
        <v>20.874244000000001</v>
      </c>
      <c r="J76" s="509">
        <v>31.520108440000001</v>
      </c>
      <c r="K76" s="298"/>
      <c r="L76" s="447">
        <f t="shared" si="0"/>
        <v>31.520108440000001</v>
      </c>
      <c r="M76" s="447"/>
      <c r="N76" s="298"/>
      <c r="O76" s="298"/>
      <c r="P76" s="298"/>
      <c r="Q76" s="298"/>
      <c r="R76" s="298"/>
      <c r="S76" s="298"/>
    </row>
    <row r="77" spans="1:19" s="92" customFormat="1" ht="51">
      <c r="A77" s="256" t="s">
        <v>3259</v>
      </c>
      <c r="B77" s="288" t="s">
        <v>15230</v>
      </c>
      <c r="C77" s="288">
        <v>92777</v>
      </c>
      <c r="D77" s="289" t="s">
        <v>1382</v>
      </c>
      <c r="E77" s="290" t="s">
        <v>108</v>
      </c>
      <c r="F77" s="292">
        <v>39.67</v>
      </c>
      <c r="G77" s="510" t="s">
        <v>12380</v>
      </c>
      <c r="H77" s="508">
        <v>0.2094</v>
      </c>
      <c r="I77" s="510">
        <v>19.3504</v>
      </c>
      <c r="J77" s="509">
        <v>767.63036800000009</v>
      </c>
      <c r="K77" s="298"/>
      <c r="L77" s="447">
        <f t="shared" ref="L77" si="1">I77*F77</f>
        <v>767.63036800000009</v>
      </c>
      <c r="M77" s="447"/>
      <c r="N77" s="298"/>
      <c r="O77" s="298"/>
      <c r="P77" s="298"/>
      <c r="Q77" s="298"/>
      <c r="R77" s="298"/>
      <c r="S77" s="298"/>
    </row>
    <row r="78" spans="1:19" s="92" customFormat="1">
      <c r="A78" s="256"/>
      <c r="B78" s="391"/>
      <c r="C78" s="391"/>
      <c r="D78" s="401"/>
      <c r="E78" s="391"/>
      <c r="F78" s="417"/>
      <c r="G78" s="417"/>
      <c r="H78" s="417"/>
      <c r="I78" s="417"/>
      <c r="J78" s="418"/>
      <c r="K78" s="298"/>
      <c r="L78" s="447">
        <f t="shared" si="0"/>
        <v>0</v>
      </c>
      <c r="M78" s="447"/>
      <c r="N78" s="298"/>
      <c r="O78" s="298"/>
      <c r="P78" s="298"/>
      <c r="Q78" s="298"/>
      <c r="R78" s="298"/>
      <c r="S78" s="298"/>
    </row>
    <row r="79" spans="1:19" s="92" customFormat="1">
      <c r="A79" s="256"/>
      <c r="B79" s="287" t="s">
        <v>15232</v>
      </c>
      <c r="C79" s="287"/>
      <c r="D79" s="399" t="s">
        <v>3315</v>
      </c>
      <c r="E79" s="413"/>
      <c r="F79" s="413"/>
      <c r="G79" s="461"/>
      <c r="H79" s="413"/>
      <c r="I79" s="461"/>
      <c r="J79" s="414"/>
      <c r="K79" s="298"/>
      <c r="L79" s="447">
        <f t="shared" si="0"/>
        <v>0</v>
      </c>
      <c r="M79" s="447"/>
      <c r="N79" s="298"/>
      <c r="O79" s="298"/>
      <c r="P79" s="298"/>
      <c r="Q79" s="298"/>
      <c r="R79" s="298"/>
      <c r="S79" s="298"/>
    </row>
    <row r="80" spans="1:19" s="92" customFormat="1" ht="51">
      <c r="A80" s="256" t="s">
        <v>3260</v>
      </c>
      <c r="B80" s="288" t="s">
        <v>15233</v>
      </c>
      <c r="C80" s="288" t="s">
        <v>9641</v>
      </c>
      <c r="D80" s="289" t="s">
        <v>17848</v>
      </c>
      <c r="E80" s="290" t="s">
        <v>3241</v>
      </c>
      <c r="F80" s="292">
        <v>0.65</v>
      </c>
      <c r="G80" s="510">
        <v>402.68</v>
      </c>
      <c r="H80" s="508">
        <v>0.2094</v>
      </c>
      <c r="I80" s="510">
        <v>487.001192</v>
      </c>
      <c r="J80" s="509">
        <v>316.5507748</v>
      </c>
      <c r="K80" s="298"/>
      <c r="L80" s="447">
        <f t="shared" si="0"/>
        <v>316.5507748</v>
      </c>
      <c r="M80" s="447"/>
      <c r="N80" s="298"/>
      <c r="O80" s="298"/>
      <c r="P80" s="298"/>
      <c r="Q80" s="298"/>
      <c r="R80" s="298"/>
      <c r="S80" s="298"/>
    </row>
    <row r="81" spans="1:19" s="92" customFormat="1">
      <c r="A81" s="256"/>
      <c r="B81" s="391"/>
      <c r="C81" s="391"/>
      <c r="D81" s="401"/>
      <c r="E81" s="391"/>
      <c r="F81" s="417"/>
      <c r="G81" s="417"/>
      <c r="H81" s="417"/>
      <c r="I81" s="417"/>
      <c r="J81" s="418"/>
      <c r="K81" s="298"/>
      <c r="L81" s="447">
        <f t="shared" si="0"/>
        <v>0</v>
      </c>
      <c r="M81" s="447"/>
      <c r="N81" s="298"/>
      <c r="O81" s="298"/>
      <c r="P81" s="298"/>
      <c r="Q81" s="298"/>
      <c r="R81" s="298"/>
      <c r="S81" s="298"/>
    </row>
    <row r="82" spans="1:19" s="92" customFormat="1">
      <c r="A82" s="256"/>
      <c r="B82" s="287" t="s">
        <v>15234</v>
      </c>
      <c r="C82" s="287"/>
      <c r="D82" s="400" t="s">
        <v>15235</v>
      </c>
      <c r="E82" s="415"/>
      <c r="F82" s="415"/>
      <c r="G82" s="462"/>
      <c r="H82" s="415"/>
      <c r="I82" s="462"/>
      <c r="J82" s="416"/>
      <c r="K82" s="298"/>
      <c r="L82" s="447">
        <f t="shared" si="0"/>
        <v>0</v>
      </c>
      <c r="M82" s="447"/>
      <c r="N82" s="298"/>
      <c r="O82" s="298"/>
      <c r="P82" s="298"/>
      <c r="Q82" s="298"/>
      <c r="R82" s="298"/>
      <c r="S82" s="298"/>
    </row>
    <row r="83" spans="1:19" s="92" customFormat="1">
      <c r="A83" s="256"/>
      <c r="B83" s="287" t="s">
        <v>15236</v>
      </c>
      <c r="C83" s="287"/>
      <c r="D83" s="400" t="s">
        <v>3327</v>
      </c>
      <c r="E83" s="415"/>
      <c r="F83" s="415"/>
      <c r="G83" s="462"/>
      <c r="H83" s="415"/>
      <c r="I83" s="462"/>
      <c r="J83" s="416"/>
      <c r="K83" s="298"/>
      <c r="L83" s="447">
        <f t="shared" si="0"/>
        <v>0</v>
      </c>
      <c r="M83" s="447"/>
      <c r="N83" s="298"/>
      <c r="O83" s="298"/>
      <c r="P83" s="298"/>
      <c r="Q83" s="298"/>
      <c r="R83" s="298"/>
      <c r="S83" s="298"/>
    </row>
    <row r="84" spans="1:19" s="92" customFormat="1" ht="51">
      <c r="A84" s="256" t="s">
        <v>3259</v>
      </c>
      <c r="B84" s="288" t="s">
        <v>15237</v>
      </c>
      <c r="C84" s="288">
        <v>92518</v>
      </c>
      <c r="D84" s="289" t="s">
        <v>12898</v>
      </c>
      <c r="E84" s="290" t="s">
        <v>193</v>
      </c>
      <c r="F84" s="292">
        <v>19.14</v>
      </c>
      <c r="G84" s="510" t="s">
        <v>10452</v>
      </c>
      <c r="H84" s="508">
        <v>0.2094</v>
      </c>
      <c r="I84" s="510">
        <v>34.262301999999998</v>
      </c>
      <c r="J84" s="509">
        <v>655.78046027999994</v>
      </c>
      <c r="K84" s="298"/>
      <c r="L84" s="447">
        <f t="shared" si="0"/>
        <v>655.78046027999994</v>
      </c>
      <c r="M84" s="447"/>
      <c r="N84" s="298"/>
      <c r="O84" s="298"/>
      <c r="P84" s="298"/>
      <c r="Q84" s="298"/>
      <c r="R84" s="298"/>
      <c r="S84" s="298"/>
    </row>
    <row r="85" spans="1:19" s="92" customFormat="1">
      <c r="A85" s="256"/>
      <c r="B85" s="391"/>
      <c r="C85" s="391"/>
      <c r="D85" s="401"/>
      <c r="E85" s="391"/>
      <c r="F85" s="417"/>
      <c r="G85" s="417"/>
      <c r="H85" s="417"/>
      <c r="I85" s="417"/>
      <c r="J85" s="418"/>
      <c r="K85" s="298"/>
      <c r="L85" s="447">
        <f t="shared" si="0"/>
        <v>0</v>
      </c>
      <c r="M85" s="447"/>
      <c r="N85" s="298"/>
      <c r="O85" s="298"/>
      <c r="P85" s="298"/>
      <c r="Q85" s="298"/>
      <c r="R85" s="298"/>
      <c r="S85" s="298"/>
    </row>
    <row r="86" spans="1:19" s="92" customFormat="1">
      <c r="A86" s="256"/>
      <c r="B86" s="287" t="s">
        <v>15238</v>
      </c>
      <c r="C86" s="287"/>
      <c r="D86" s="399" t="s">
        <v>3308</v>
      </c>
      <c r="E86" s="413"/>
      <c r="F86" s="413"/>
      <c r="G86" s="461"/>
      <c r="H86" s="413"/>
      <c r="I86" s="461"/>
      <c r="J86" s="414"/>
      <c r="K86" s="298"/>
      <c r="L86" s="447">
        <f t="shared" si="0"/>
        <v>0</v>
      </c>
      <c r="M86" s="447"/>
      <c r="N86" s="298"/>
      <c r="O86" s="298"/>
      <c r="P86" s="298"/>
      <c r="Q86" s="298"/>
      <c r="R86" s="298"/>
      <c r="S86" s="298"/>
    </row>
    <row r="87" spans="1:19" s="92" customFormat="1" ht="51">
      <c r="A87" s="256" t="s">
        <v>3259</v>
      </c>
      <c r="B87" s="288" t="s">
        <v>15239</v>
      </c>
      <c r="C87" s="288">
        <v>92784</v>
      </c>
      <c r="D87" s="289" t="s">
        <v>1389</v>
      </c>
      <c r="E87" s="290" t="s">
        <v>108</v>
      </c>
      <c r="F87" s="292">
        <v>31.3</v>
      </c>
      <c r="G87" s="510" t="s">
        <v>10248</v>
      </c>
      <c r="H87" s="508">
        <v>0.2094</v>
      </c>
      <c r="I87" s="510">
        <v>19.785784</v>
      </c>
      <c r="J87" s="509">
        <v>619.29503920000002</v>
      </c>
      <c r="K87" s="298"/>
      <c r="L87" s="447">
        <f t="shared" si="0"/>
        <v>619.29503920000002</v>
      </c>
      <c r="M87" s="447"/>
      <c r="N87" s="298"/>
      <c r="O87" s="298"/>
      <c r="P87" s="298"/>
      <c r="Q87" s="298"/>
      <c r="R87" s="298"/>
      <c r="S87" s="298"/>
    </row>
    <row r="88" spans="1:19" s="92" customFormat="1" ht="51">
      <c r="A88" s="256" t="s">
        <v>3259</v>
      </c>
      <c r="B88" s="288" t="s">
        <v>18027</v>
      </c>
      <c r="C88" s="288">
        <v>92786</v>
      </c>
      <c r="D88" s="289" t="s">
        <v>1391</v>
      </c>
      <c r="E88" s="290" t="s">
        <v>108</v>
      </c>
      <c r="F88" s="292">
        <v>134.07</v>
      </c>
      <c r="G88" s="510" t="s">
        <v>15857</v>
      </c>
      <c r="H88" s="508">
        <v>0.2094</v>
      </c>
      <c r="I88" s="510">
        <v>17.802368000000001</v>
      </c>
      <c r="J88" s="509">
        <v>2386.7634777600001</v>
      </c>
      <c r="K88" s="298"/>
      <c r="L88" s="447">
        <f t="shared" si="0"/>
        <v>2386.7634777600001</v>
      </c>
      <c r="M88" s="447"/>
      <c r="N88" s="298"/>
      <c r="O88" s="298"/>
      <c r="P88" s="298"/>
      <c r="Q88" s="298"/>
      <c r="R88" s="298"/>
      <c r="S88" s="298"/>
    </row>
    <row r="89" spans="1:19" s="92" customFormat="1">
      <c r="A89" s="256"/>
      <c r="B89" s="391"/>
      <c r="C89" s="391"/>
      <c r="D89" s="401"/>
      <c r="E89" s="391"/>
      <c r="F89" s="417"/>
      <c r="G89" s="417"/>
      <c r="H89" s="417"/>
      <c r="I89" s="417"/>
      <c r="J89" s="418"/>
      <c r="K89" s="298"/>
      <c r="L89" s="447">
        <f t="shared" si="0"/>
        <v>0</v>
      </c>
      <c r="M89" s="447"/>
      <c r="N89" s="298"/>
      <c r="O89" s="298"/>
      <c r="P89" s="298"/>
      <c r="Q89" s="298"/>
      <c r="R89" s="298"/>
      <c r="S89" s="298"/>
    </row>
    <row r="90" spans="1:19" s="92" customFormat="1">
      <c r="A90" s="256"/>
      <c r="B90" s="287" t="s">
        <v>15240</v>
      </c>
      <c r="C90" s="287"/>
      <c r="D90" s="399" t="s">
        <v>3315</v>
      </c>
      <c r="E90" s="413"/>
      <c r="F90" s="413"/>
      <c r="G90" s="461"/>
      <c r="H90" s="413"/>
      <c r="I90" s="461"/>
      <c r="J90" s="414"/>
      <c r="K90" s="298"/>
      <c r="L90" s="447">
        <f t="shared" si="0"/>
        <v>0</v>
      </c>
      <c r="M90" s="447"/>
      <c r="N90" s="298"/>
      <c r="O90" s="298"/>
      <c r="P90" s="298"/>
      <c r="Q90" s="298"/>
      <c r="R90" s="298"/>
      <c r="S90" s="298"/>
    </row>
    <row r="91" spans="1:19" s="92" customFormat="1" ht="51">
      <c r="A91" s="256" t="s">
        <v>3260</v>
      </c>
      <c r="B91" s="288" t="s">
        <v>15241</v>
      </c>
      <c r="C91" s="288" t="s">
        <v>9641</v>
      </c>
      <c r="D91" s="289" t="s">
        <v>17848</v>
      </c>
      <c r="E91" s="290" t="s">
        <v>3241</v>
      </c>
      <c r="F91" s="292">
        <v>1.91</v>
      </c>
      <c r="G91" s="510">
        <v>402.68</v>
      </c>
      <c r="H91" s="508">
        <v>0.2094</v>
      </c>
      <c r="I91" s="510">
        <v>487.001192</v>
      </c>
      <c r="J91" s="509">
        <v>930.17227672000001</v>
      </c>
      <c r="K91" s="298"/>
      <c r="L91" s="447">
        <f t="shared" si="0"/>
        <v>930.17227672000001</v>
      </c>
      <c r="M91" s="447"/>
      <c r="N91" s="298"/>
      <c r="O91" s="298"/>
      <c r="P91" s="298"/>
      <c r="Q91" s="298"/>
      <c r="R91" s="298"/>
      <c r="S91" s="298"/>
    </row>
    <row r="92" spans="1:19" s="92" customFormat="1">
      <c r="A92" s="256"/>
      <c r="B92" s="391"/>
      <c r="C92" s="391"/>
      <c r="D92" s="401"/>
      <c r="E92" s="391"/>
      <c r="F92" s="417"/>
      <c r="G92" s="417"/>
      <c r="H92" s="417"/>
      <c r="I92" s="417"/>
      <c r="J92" s="418"/>
      <c r="K92" s="298"/>
      <c r="L92" s="447">
        <f t="shared" ref="L92:L155" si="2">I92*F92</f>
        <v>0</v>
      </c>
      <c r="M92" s="447"/>
      <c r="N92" s="298"/>
      <c r="O92" s="298"/>
      <c r="P92" s="298"/>
      <c r="Q92" s="298"/>
      <c r="R92" s="298"/>
      <c r="S92" s="298"/>
    </row>
    <row r="93" spans="1:19" s="92" customFormat="1">
      <c r="A93" s="256"/>
      <c r="B93" s="392"/>
      <c r="C93" s="393"/>
      <c r="D93" s="402"/>
      <c r="E93" s="393"/>
      <c r="F93" s="393"/>
      <c r="G93" s="460" t="s">
        <v>69</v>
      </c>
      <c r="H93" s="419"/>
      <c r="I93" s="460"/>
      <c r="J93" s="420">
        <v>29440.413073519998</v>
      </c>
      <c r="K93" s="447"/>
      <c r="L93" s="447">
        <f t="shared" si="2"/>
        <v>0</v>
      </c>
      <c r="M93" s="447"/>
      <c r="N93" s="298"/>
      <c r="O93" s="298"/>
      <c r="P93" s="298"/>
      <c r="Q93" s="298"/>
      <c r="R93" s="298"/>
      <c r="S93" s="298"/>
    </row>
    <row r="94" spans="1:19" s="92" customFormat="1">
      <c r="A94" s="256"/>
      <c r="B94" s="391"/>
      <c r="C94" s="391"/>
      <c r="D94" s="401"/>
      <c r="E94" s="391"/>
      <c r="F94" s="417"/>
      <c r="G94" s="417"/>
      <c r="H94" s="417"/>
      <c r="I94" s="417"/>
      <c r="J94" s="418"/>
      <c r="K94" s="298"/>
      <c r="L94" s="447">
        <f t="shared" si="2"/>
        <v>0</v>
      </c>
      <c r="M94" s="447"/>
      <c r="N94" s="298"/>
      <c r="O94" s="298"/>
      <c r="P94" s="298"/>
      <c r="Q94" s="298"/>
      <c r="R94" s="298"/>
      <c r="S94" s="298"/>
    </row>
    <row r="95" spans="1:19" s="92" customFormat="1">
      <c r="A95" s="256"/>
      <c r="B95" s="287" t="s">
        <v>181</v>
      </c>
      <c r="C95" s="287"/>
      <c r="D95" s="399" t="s">
        <v>182</v>
      </c>
      <c r="E95" s="413"/>
      <c r="F95" s="413"/>
      <c r="G95" s="461"/>
      <c r="H95" s="413"/>
      <c r="I95" s="461"/>
      <c r="J95" s="414"/>
      <c r="K95" s="298"/>
      <c r="L95" s="447">
        <f t="shared" si="2"/>
        <v>0</v>
      </c>
      <c r="M95" s="447"/>
      <c r="N95" s="298"/>
      <c r="O95" s="298"/>
      <c r="P95" s="298"/>
      <c r="Q95" s="298"/>
      <c r="R95" s="298"/>
      <c r="S95" s="298"/>
    </row>
    <row r="96" spans="1:19" s="92" customFormat="1">
      <c r="A96" s="256"/>
      <c r="B96" s="287" t="s">
        <v>194</v>
      </c>
      <c r="C96" s="287"/>
      <c r="D96" s="400" t="s">
        <v>195</v>
      </c>
      <c r="E96" s="415"/>
      <c r="F96" s="415"/>
      <c r="G96" s="462"/>
      <c r="H96" s="415"/>
      <c r="I96" s="462"/>
      <c r="J96" s="416"/>
      <c r="K96" s="298"/>
      <c r="L96" s="447">
        <f t="shared" si="2"/>
        <v>0</v>
      </c>
      <c r="M96" s="447"/>
      <c r="N96" s="298"/>
      <c r="O96" s="298"/>
      <c r="P96" s="298"/>
      <c r="Q96" s="298"/>
      <c r="R96" s="298"/>
      <c r="S96" s="298"/>
    </row>
    <row r="97" spans="1:19" s="92" customFormat="1">
      <c r="A97" s="256"/>
      <c r="B97" s="287" t="s">
        <v>15595</v>
      </c>
      <c r="C97" s="287"/>
      <c r="D97" s="400" t="s">
        <v>15596</v>
      </c>
      <c r="E97" s="415"/>
      <c r="F97" s="415"/>
      <c r="G97" s="462"/>
      <c r="H97" s="415"/>
      <c r="I97" s="462"/>
      <c r="J97" s="416"/>
      <c r="K97" s="298"/>
      <c r="L97" s="447">
        <f t="shared" si="2"/>
        <v>0</v>
      </c>
      <c r="M97" s="447"/>
      <c r="N97" s="298"/>
      <c r="O97" s="298"/>
      <c r="P97" s="298"/>
      <c r="Q97" s="298"/>
      <c r="R97" s="298"/>
      <c r="S97" s="298"/>
    </row>
    <row r="98" spans="1:19" s="140" customFormat="1" ht="76.5">
      <c r="A98" s="394" t="s">
        <v>3259</v>
      </c>
      <c r="B98" s="285" t="s">
        <v>15597</v>
      </c>
      <c r="C98" s="285">
        <v>87519</v>
      </c>
      <c r="D98" s="289" t="s">
        <v>2552</v>
      </c>
      <c r="E98" s="290" t="s">
        <v>193</v>
      </c>
      <c r="F98" s="755">
        <v>40.76</v>
      </c>
      <c r="G98" s="510" t="s">
        <v>23742</v>
      </c>
      <c r="H98" s="508">
        <v>0.2094</v>
      </c>
      <c r="I98" s="510">
        <v>96.594778000000005</v>
      </c>
      <c r="J98" s="509">
        <v>3937.2031512799999</v>
      </c>
      <c r="K98" s="409"/>
      <c r="L98" s="447">
        <f t="shared" si="2"/>
        <v>3937.2031512799999</v>
      </c>
      <c r="M98" s="447"/>
      <c r="N98" s="409"/>
      <c r="O98" s="409"/>
      <c r="P98" s="409"/>
      <c r="Q98" s="409"/>
      <c r="R98" s="409"/>
      <c r="S98" s="409"/>
    </row>
    <row r="99" spans="1:19" s="140" customFormat="1" ht="51">
      <c r="A99" s="394" t="s">
        <v>3259</v>
      </c>
      <c r="B99" s="285" t="s">
        <v>15598</v>
      </c>
      <c r="C99" s="285">
        <v>101161</v>
      </c>
      <c r="D99" s="289" t="s">
        <v>10924</v>
      </c>
      <c r="E99" s="290" t="s">
        <v>193</v>
      </c>
      <c r="F99" s="755">
        <v>2.56</v>
      </c>
      <c r="G99" s="510" t="s">
        <v>23813</v>
      </c>
      <c r="H99" s="508">
        <v>0.2094</v>
      </c>
      <c r="I99" s="510">
        <v>214.52337199999999</v>
      </c>
      <c r="J99" s="509">
        <v>549.17983231999995</v>
      </c>
      <c r="K99" s="409"/>
      <c r="L99" s="447">
        <f t="shared" si="2"/>
        <v>549.17983231999995</v>
      </c>
      <c r="M99" s="447"/>
      <c r="N99" s="409"/>
      <c r="O99" s="409"/>
      <c r="P99" s="409"/>
      <c r="Q99" s="409"/>
      <c r="R99" s="409"/>
      <c r="S99" s="409"/>
    </row>
    <row r="100" spans="1:19" s="140" customFormat="1" ht="25.5">
      <c r="A100" s="394" t="s">
        <v>3259</v>
      </c>
      <c r="B100" s="285" t="s">
        <v>15599</v>
      </c>
      <c r="C100" s="285">
        <v>93202</v>
      </c>
      <c r="D100" s="289" t="s">
        <v>204</v>
      </c>
      <c r="E100" s="290" t="s">
        <v>5</v>
      </c>
      <c r="F100" s="755">
        <v>17.600000000000001</v>
      </c>
      <c r="G100" s="510" t="s">
        <v>16388</v>
      </c>
      <c r="H100" s="508">
        <v>0.2094</v>
      </c>
      <c r="I100" s="510">
        <v>29.606112</v>
      </c>
      <c r="J100" s="509">
        <v>521.06757120000009</v>
      </c>
      <c r="K100" s="409"/>
      <c r="L100" s="447">
        <f t="shared" si="2"/>
        <v>521.06757120000009</v>
      </c>
      <c r="M100" s="447"/>
      <c r="N100" s="409"/>
      <c r="O100" s="409"/>
      <c r="P100" s="409"/>
      <c r="Q100" s="409"/>
      <c r="R100" s="409"/>
      <c r="S100" s="409"/>
    </row>
    <row r="101" spans="1:19" s="140" customFormat="1" ht="25.5">
      <c r="A101" s="394" t="s">
        <v>3259</v>
      </c>
      <c r="B101" s="285" t="s">
        <v>15600</v>
      </c>
      <c r="C101" s="285">
        <v>93184</v>
      </c>
      <c r="D101" s="289" t="s">
        <v>1486</v>
      </c>
      <c r="E101" s="290" t="s">
        <v>5</v>
      </c>
      <c r="F101" s="755">
        <v>14.5</v>
      </c>
      <c r="G101" s="510" t="s">
        <v>22513</v>
      </c>
      <c r="H101" s="508">
        <v>0.2094</v>
      </c>
      <c r="I101" s="510">
        <v>37.91469</v>
      </c>
      <c r="J101" s="509">
        <v>549.76300500000002</v>
      </c>
      <c r="K101" s="409"/>
      <c r="L101" s="447">
        <f t="shared" si="2"/>
        <v>549.76300500000002</v>
      </c>
      <c r="M101" s="447"/>
      <c r="N101" s="409"/>
      <c r="O101" s="409"/>
      <c r="P101" s="409"/>
      <c r="Q101" s="409"/>
      <c r="R101" s="409"/>
      <c r="S101" s="409"/>
    </row>
    <row r="102" spans="1:19" s="140" customFormat="1" ht="25.5">
      <c r="A102" s="394" t="s">
        <v>3259</v>
      </c>
      <c r="B102" s="285" t="s">
        <v>15601</v>
      </c>
      <c r="C102" s="285">
        <v>93194</v>
      </c>
      <c r="D102" s="289" t="s">
        <v>1496</v>
      </c>
      <c r="E102" s="290" t="s">
        <v>5</v>
      </c>
      <c r="F102" s="755">
        <v>6</v>
      </c>
      <c r="G102" s="510" t="s">
        <v>22520</v>
      </c>
      <c r="H102" s="508">
        <v>0.2094</v>
      </c>
      <c r="I102" s="510">
        <v>50.020783999999999</v>
      </c>
      <c r="J102" s="509">
        <v>300.12470400000001</v>
      </c>
      <c r="K102" s="409"/>
      <c r="L102" s="447">
        <f t="shared" si="2"/>
        <v>300.12470400000001</v>
      </c>
      <c r="M102" s="447"/>
      <c r="N102" s="409"/>
      <c r="O102" s="409"/>
      <c r="P102" s="409"/>
      <c r="Q102" s="409"/>
      <c r="R102" s="409"/>
      <c r="S102" s="409"/>
    </row>
    <row r="103" spans="1:19" s="92" customFormat="1">
      <c r="A103" s="256"/>
      <c r="B103" s="391"/>
      <c r="C103" s="391"/>
      <c r="D103" s="401"/>
      <c r="E103" s="391"/>
      <c r="F103" s="417"/>
      <c r="G103" s="417"/>
      <c r="H103" s="417"/>
      <c r="I103" s="417"/>
      <c r="J103" s="418"/>
      <c r="K103" s="298"/>
      <c r="L103" s="447">
        <f t="shared" si="2"/>
        <v>0</v>
      </c>
      <c r="M103" s="447"/>
      <c r="N103" s="298"/>
      <c r="O103" s="298"/>
      <c r="P103" s="298"/>
      <c r="Q103" s="298"/>
      <c r="R103" s="298"/>
      <c r="S103" s="298"/>
    </row>
    <row r="104" spans="1:19" s="92" customFormat="1">
      <c r="A104" s="256"/>
      <c r="B104" s="287" t="s">
        <v>15605</v>
      </c>
      <c r="C104" s="287"/>
      <c r="D104" s="400" t="s">
        <v>15606</v>
      </c>
      <c r="E104" s="415"/>
      <c r="F104" s="415"/>
      <c r="G104" s="462"/>
      <c r="H104" s="415"/>
      <c r="I104" s="462"/>
      <c r="J104" s="416"/>
      <c r="K104" s="298"/>
      <c r="L104" s="447">
        <f t="shared" si="2"/>
        <v>0</v>
      </c>
      <c r="M104" s="447"/>
      <c r="N104" s="298"/>
      <c r="O104" s="298"/>
      <c r="P104" s="298"/>
      <c r="Q104" s="298"/>
      <c r="R104" s="298"/>
      <c r="S104" s="298"/>
    </row>
    <row r="105" spans="1:19" s="140" customFormat="1" ht="38.25">
      <c r="A105" s="256" t="s">
        <v>3260</v>
      </c>
      <c r="B105" s="285" t="s">
        <v>15616</v>
      </c>
      <c r="C105" s="285" t="s">
        <v>15462</v>
      </c>
      <c r="D105" s="289" t="s">
        <v>24603</v>
      </c>
      <c r="E105" s="290" t="s">
        <v>3240</v>
      </c>
      <c r="F105" s="755">
        <v>5</v>
      </c>
      <c r="G105" s="510">
        <v>1073.98</v>
      </c>
      <c r="H105" s="508">
        <v>0.2094</v>
      </c>
      <c r="I105" s="510">
        <v>1298.871412</v>
      </c>
      <c r="J105" s="509">
        <v>6494.3570600000003</v>
      </c>
      <c r="K105" s="409"/>
      <c r="L105" s="447">
        <f t="shared" si="2"/>
        <v>6494.3570600000003</v>
      </c>
      <c r="M105" s="447"/>
      <c r="N105" s="409"/>
      <c r="O105" s="409"/>
      <c r="P105" s="409"/>
      <c r="Q105" s="409"/>
      <c r="R105" s="409"/>
      <c r="S105" s="409"/>
    </row>
    <row r="106" spans="1:19" s="140" customFormat="1" ht="38.25">
      <c r="A106" s="256" t="s">
        <v>3260</v>
      </c>
      <c r="B106" s="285" t="s">
        <v>15608</v>
      </c>
      <c r="C106" s="285" t="s">
        <v>24691</v>
      </c>
      <c r="D106" s="289" t="s">
        <v>17783</v>
      </c>
      <c r="E106" s="290" t="s">
        <v>3240</v>
      </c>
      <c r="F106" s="755">
        <v>4</v>
      </c>
      <c r="G106" s="510">
        <v>196.21</v>
      </c>
      <c r="H106" s="508">
        <v>0.2094</v>
      </c>
      <c r="I106" s="510">
        <v>237.29637400000001</v>
      </c>
      <c r="J106" s="509">
        <v>949.18549600000006</v>
      </c>
      <c r="K106" s="409"/>
      <c r="L106" s="447">
        <f t="shared" si="2"/>
        <v>949.18549600000006</v>
      </c>
      <c r="M106" s="447"/>
      <c r="N106" s="409"/>
      <c r="O106" s="409"/>
      <c r="P106" s="409"/>
      <c r="Q106" s="409"/>
      <c r="R106" s="409"/>
      <c r="S106" s="409"/>
    </row>
    <row r="107" spans="1:19" s="92" customFormat="1">
      <c r="A107" s="256"/>
      <c r="B107" s="391"/>
      <c r="C107" s="391"/>
      <c r="D107" s="401"/>
      <c r="E107" s="391"/>
      <c r="F107" s="417"/>
      <c r="G107" s="417"/>
      <c r="H107" s="417"/>
      <c r="I107" s="417"/>
      <c r="J107" s="418"/>
      <c r="K107" s="298"/>
      <c r="L107" s="447">
        <f t="shared" si="2"/>
        <v>0</v>
      </c>
      <c r="M107" s="447"/>
      <c r="N107" s="298"/>
      <c r="O107" s="298"/>
      <c r="P107" s="298"/>
      <c r="Q107" s="298"/>
      <c r="R107" s="298"/>
      <c r="S107" s="298"/>
    </row>
    <row r="108" spans="1:19" s="92" customFormat="1">
      <c r="A108" s="256"/>
      <c r="B108" s="287" t="s">
        <v>3333</v>
      </c>
      <c r="C108" s="287"/>
      <c r="D108" s="400" t="s">
        <v>11572</v>
      </c>
      <c r="E108" s="415"/>
      <c r="F108" s="415"/>
      <c r="G108" s="462"/>
      <c r="H108" s="415"/>
      <c r="I108" s="462"/>
      <c r="J108" s="416"/>
      <c r="K108" s="298"/>
      <c r="L108" s="447">
        <f t="shared" si="2"/>
        <v>0</v>
      </c>
      <c r="M108" s="447"/>
      <c r="N108" s="409"/>
      <c r="O108" s="409"/>
      <c r="P108" s="409"/>
      <c r="Q108" s="409"/>
      <c r="R108" s="409"/>
      <c r="S108" s="409"/>
    </row>
    <row r="109" spans="1:19" s="140" customFormat="1" ht="51">
      <c r="A109" s="394" t="s">
        <v>3259</v>
      </c>
      <c r="B109" s="285" t="s">
        <v>3334</v>
      </c>
      <c r="C109" s="285">
        <v>87620</v>
      </c>
      <c r="D109" s="289" t="s">
        <v>218</v>
      </c>
      <c r="E109" s="290" t="s">
        <v>193</v>
      </c>
      <c r="F109" s="755">
        <v>20.83</v>
      </c>
      <c r="G109" s="510" t="s">
        <v>24074</v>
      </c>
      <c r="H109" s="508">
        <v>0.2094</v>
      </c>
      <c r="I109" s="510">
        <v>35.580548</v>
      </c>
      <c r="J109" s="509">
        <v>741.14281483999991</v>
      </c>
      <c r="K109" s="409"/>
      <c r="L109" s="447">
        <f t="shared" si="2"/>
        <v>741.14281483999991</v>
      </c>
      <c r="M109" s="447"/>
      <c r="N109" s="409"/>
      <c r="O109" s="409"/>
      <c r="P109" s="409"/>
      <c r="Q109" s="409"/>
      <c r="R109" s="409"/>
      <c r="S109" s="409"/>
    </row>
    <row r="110" spans="1:19" s="140" customFormat="1" ht="38.25">
      <c r="A110" s="394" t="s">
        <v>3259</v>
      </c>
      <c r="B110" s="285" t="s">
        <v>3335</v>
      </c>
      <c r="C110" s="285">
        <v>98546</v>
      </c>
      <c r="D110" s="289" t="s">
        <v>4086</v>
      </c>
      <c r="E110" s="290" t="s">
        <v>193</v>
      </c>
      <c r="F110" s="755">
        <v>20.83</v>
      </c>
      <c r="G110" s="510" t="s">
        <v>16098</v>
      </c>
      <c r="H110" s="508">
        <v>0.2094</v>
      </c>
      <c r="I110" s="510">
        <v>94.175978000000015</v>
      </c>
      <c r="J110" s="509">
        <v>1961.6856217400002</v>
      </c>
      <c r="K110" s="409"/>
      <c r="L110" s="447">
        <f t="shared" si="2"/>
        <v>1961.6856217400002</v>
      </c>
      <c r="M110" s="447"/>
      <c r="N110" s="409"/>
      <c r="O110" s="409"/>
      <c r="P110" s="409"/>
      <c r="Q110" s="409"/>
      <c r="R110" s="409"/>
      <c r="S110" s="409"/>
    </row>
    <row r="111" spans="1:19" s="140" customFormat="1" ht="38.25">
      <c r="A111" s="394" t="s">
        <v>3259</v>
      </c>
      <c r="B111" s="285" t="s">
        <v>3769</v>
      </c>
      <c r="C111" s="285">
        <v>98565</v>
      </c>
      <c r="D111" s="289" t="s">
        <v>4091</v>
      </c>
      <c r="E111" s="290" t="s">
        <v>193</v>
      </c>
      <c r="F111" s="755">
        <v>20.83</v>
      </c>
      <c r="G111" s="510" t="s">
        <v>22568</v>
      </c>
      <c r="H111" s="508">
        <v>0.2094</v>
      </c>
      <c r="I111" s="510">
        <v>49.222580000000008</v>
      </c>
      <c r="J111" s="509">
        <v>1025.3063414000001</v>
      </c>
      <c r="K111" s="409"/>
      <c r="L111" s="447">
        <f t="shared" si="2"/>
        <v>1025.3063414000001</v>
      </c>
      <c r="M111" s="447"/>
      <c r="N111" s="409"/>
      <c r="O111" s="409"/>
      <c r="P111" s="409"/>
      <c r="Q111" s="409"/>
      <c r="R111" s="409"/>
      <c r="S111" s="409"/>
    </row>
    <row r="112" spans="1:19" s="92" customFormat="1">
      <c r="A112" s="256"/>
      <c r="B112" s="391"/>
      <c r="C112" s="391"/>
      <c r="D112" s="401"/>
      <c r="E112" s="391"/>
      <c r="F112" s="417"/>
      <c r="G112" s="417"/>
      <c r="H112" s="417"/>
      <c r="I112" s="417"/>
      <c r="J112" s="418"/>
      <c r="K112" s="298"/>
      <c r="L112" s="447">
        <f t="shared" si="2"/>
        <v>0</v>
      </c>
      <c r="M112" s="447"/>
      <c r="N112" s="298"/>
      <c r="O112" s="298"/>
      <c r="P112" s="298"/>
      <c r="Q112" s="298"/>
      <c r="R112" s="298"/>
      <c r="S112" s="298"/>
    </row>
    <row r="113" spans="1:19" s="92" customFormat="1">
      <c r="A113" s="256"/>
      <c r="B113" s="287" t="s">
        <v>15639</v>
      </c>
      <c r="C113" s="287"/>
      <c r="D113" s="400" t="s">
        <v>15640</v>
      </c>
      <c r="E113" s="415"/>
      <c r="F113" s="415"/>
      <c r="G113" s="462"/>
      <c r="H113" s="415"/>
      <c r="I113" s="462"/>
      <c r="J113" s="416"/>
      <c r="K113" s="298"/>
      <c r="L113" s="447">
        <f t="shared" si="2"/>
        <v>0</v>
      </c>
      <c r="M113" s="447">
        <f t="shared" ref="M113" si="3">L113-J113</f>
        <v>0</v>
      </c>
      <c r="N113" s="298"/>
      <c r="O113" s="298"/>
      <c r="P113" s="298"/>
      <c r="Q113" s="298"/>
      <c r="R113" s="298"/>
      <c r="S113" s="298"/>
    </row>
    <row r="114" spans="1:19" s="92" customFormat="1">
      <c r="A114" s="256"/>
      <c r="B114" s="287" t="s">
        <v>15647</v>
      </c>
      <c r="C114" s="287"/>
      <c r="D114" s="400" t="s">
        <v>15648</v>
      </c>
      <c r="E114" s="415"/>
      <c r="F114" s="415"/>
      <c r="G114" s="462"/>
      <c r="H114" s="415"/>
      <c r="I114" s="462"/>
      <c r="J114" s="416"/>
      <c r="K114" s="298"/>
      <c r="L114" s="447">
        <f t="shared" si="2"/>
        <v>0</v>
      </c>
      <c r="M114" s="447">
        <f t="shared" ref="M114" si="4">L114-J114</f>
        <v>0</v>
      </c>
      <c r="N114" s="298"/>
      <c r="O114" s="298"/>
      <c r="P114" s="298"/>
      <c r="Q114" s="298"/>
      <c r="R114" s="298"/>
      <c r="S114" s="298"/>
    </row>
    <row r="115" spans="1:19" s="140" customFormat="1" ht="38.25">
      <c r="A115" s="394" t="s">
        <v>3259</v>
      </c>
      <c r="B115" s="285" t="s">
        <v>15649</v>
      </c>
      <c r="C115" s="285">
        <v>97084</v>
      </c>
      <c r="D115" s="289" t="s">
        <v>3422</v>
      </c>
      <c r="E115" s="290" t="s">
        <v>193</v>
      </c>
      <c r="F115" s="755">
        <v>11.26</v>
      </c>
      <c r="G115" s="510" t="s">
        <v>12166</v>
      </c>
      <c r="H115" s="508">
        <v>0.2094</v>
      </c>
      <c r="I115" s="510">
        <v>0.70145199999999996</v>
      </c>
      <c r="J115" s="509">
        <v>7.8983495199999991</v>
      </c>
      <c r="K115" s="409"/>
      <c r="L115" s="447">
        <f t="shared" si="2"/>
        <v>7.8983495199999991</v>
      </c>
      <c r="M115" s="447"/>
      <c r="N115" s="409"/>
      <c r="O115" s="409"/>
      <c r="P115" s="409"/>
      <c r="Q115" s="409"/>
      <c r="R115" s="409"/>
      <c r="S115" s="409"/>
    </row>
    <row r="116" spans="1:19" s="140" customFormat="1" ht="25.5">
      <c r="A116" s="394" t="s">
        <v>3259</v>
      </c>
      <c r="B116" s="285" t="s">
        <v>15650</v>
      </c>
      <c r="C116" s="285">
        <v>97087</v>
      </c>
      <c r="D116" s="289" t="s">
        <v>12806</v>
      </c>
      <c r="E116" s="290" t="s">
        <v>193</v>
      </c>
      <c r="F116" s="755">
        <v>11.26</v>
      </c>
      <c r="G116" s="510" t="s">
        <v>11077</v>
      </c>
      <c r="H116" s="508">
        <v>0.2094</v>
      </c>
      <c r="I116" s="510">
        <v>1.9350400000000001</v>
      </c>
      <c r="J116" s="509">
        <v>21.788550400000002</v>
      </c>
      <c r="K116" s="409"/>
      <c r="L116" s="447">
        <f t="shared" si="2"/>
        <v>21.788550400000002</v>
      </c>
      <c r="M116" s="447"/>
      <c r="N116" s="409"/>
      <c r="O116" s="409"/>
      <c r="P116" s="409"/>
      <c r="Q116" s="409"/>
      <c r="R116" s="409"/>
      <c r="S116" s="409"/>
    </row>
    <row r="117" spans="1:19" s="140" customFormat="1" ht="38.25">
      <c r="A117" s="394" t="s">
        <v>3259</v>
      </c>
      <c r="B117" s="285" t="s">
        <v>15651</v>
      </c>
      <c r="C117" s="285">
        <v>95241</v>
      </c>
      <c r="D117" s="289" t="s">
        <v>15893</v>
      </c>
      <c r="E117" s="290" t="s">
        <v>193</v>
      </c>
      <c r="F117" s="755">
        <v>11.26</v>
      </c>
      <c r="G117" s="510" t="s">
        <v>14160</v>
      </c>
      <c r="H117" s="508">
        <v>0.2094</v>
      </c>
      <c r="I117" s="510">
        <v>31.420212000000003</v>
      </c>
      <c r="J117" s="509">
        <v>353.79158712000003</v>
      </c>
      <c r="K117" s="409"/>
      <c r="L117" s="447">
        <f t="shared" si="2"/>
        <v>353.79158712000003</v>
      </c>
      <c r="M117" s="447"/>
      <c r="N117" s="409"/>
      <c r="O117" s="409"/>
      <c r="P117" s="409"/>
      <c r="Q117" s="409"/>
      <c r="R117" s="409"/>
      <c r="S117" s="409"/>
    </row>
    <row r="118" spans="1:19" s="140" customFormat="1" ht="51">
      <c r="A118" s="394" t="s">
        <v>3259</v>
      </c>
      <c r="B118" s="285" t="s">
        <v>15652</v>
      </c>
      <c r="C118" s="285">
        <v>87630</v>
      </c>
      <c r="D118" s="289" t="s">
        <v>2766</v>
      </c>
      <c r="E118" s="290" t="s">
        <v>193</v>
      </c>
      <c r="F118" s="755">
        <v>11.26</v>
      </c>
      <c r="G118" s="510" t="s">
        <v>15967</v>
      </c>
      <c r="H118" s="508">
        <v>0.2094</v>
      </c>
      <c r="I118" s="510">
        <v>43.719810000000003</v>
      </c>
      <c r="J118" s="509">
        <v>492.28506060000001</v>
      </c>
      <c r="K118" s="409"/>
      <c r="L118" s="447">
        <f t="shared" si="2"/>
        <v>492.28506060000001</v>
      </c>
      <c r="M118" s="447"/>
      <c r="N118" s="409"/>
      <c r="O118" s="409"/>
      <c r="P118" s="409"/>
      <c r="Q118" s="409"/>
      <c r="R118" s="409"/>
      <c r="S118" s="409"/>
    </row>
    <row r="119" spans="1:19" s="92" customFormat="1">
      <c r="A119" s="256"/>
      <c r="B119" s="391"/>
      <c r="C119" s="391"/>
      <c r="D119" s="401"/>
      <c r="E119" s="391"/>
      <c r="F119" s="417"/>
      <c r="G119" s="417"/>
      <c r="H119" s="417"/>
      <c r="I119" s="417"/>
      <c r="J119" s="418"/>
      <c r="K119" s="298"/>
      <c r="L119" s="447">
        <f t="shared" si="2"/>
        <v>0</v>
      </c>
      <c r="M119" s="447"/>
      <c r="N119" s="298"/>
      <c r="O119" s="298"/>
      <c r="P119" s="298"/>
      <c r="Q119" s="298"/>
      <c r="R119" s="298"/>
      <c r="S119" s="298"/>
    </row>
    <row r="120" spans="1:19" s="92" customFormat="1">
      <c r="A120" s="256"/>
      <c r="B120" s="287" t="s">
        <v>15656</v>
      </c>
      <c r="C120" s="287"/>
      <c r="D120" s="400" t="s">
        <v>15657</v>
      </c>
      <c r="E120" s="415"/>
      <c r="F120" s="415"/>
      <c r="G120" s="462"/>
      <c r="H120" s="415"/>
      <c r="I120" s="462"/>
      <c r="J120" s="416"/>
      <c r="K120" s="298"/>
      <c r="L120" s="447">
        <f t="shared" si="2"/>
        <v>0</v>
      </c>
      <c r="M120" s="447">
        <f t="shared" ref="M120" si="5">L120-J120</f>
        <v>0</v>
      </c>
      <c r="N120" s="298"/>
      <c r="O120" s="298"/>
      <c r="P120" s="298"/>
      <c r="Q120" s="298"/>
      <c r="R120" s="298"/>
      <c r="S120" s="298"/>
    </row>
    <row r="121" spans="1:19" s="140" customFormat="1" ht="51">
      <c r="A121" s="394" t="s">
        <v>3259</v>
      </c>
      <c r="B121" s="285" t="s">
        <v>15658</v>
      </c>
      <c r="C121" s="285">
        <v>87879</v>
      </c>
      <c r="D121" s="289" t="s">
        <v>2843</v>
      </c>
      <c r="E121" s="290" t="s">
        <v>193</v>
      </c>
      <c r="F121" s="755">
        <v>48.6</v>
      </c>
      <c r="G121" s="510" t="s">
        <v>9809</v>
      </c>
      <c r="H121" s="508">
        <v>0.2094</v>
      </c>
      <c r="I121" s="510">
        <v>4.2449940000000002</v>
      </c>
      <c r="J121" s="509">
        <v>206.30670840000002</v>
      </c>
      <c r="K121" s="409"/>
      <c r="L121" s="447">
        <f t="shared" si="2"/>
        <v>206.30670840000002</v>
      </c>
      <c r="M121" s="447"/>
      <c r="N121" s="409"/>
      <c r="O121" s="409"/>
      <c r="P121" s="409"/>
      <c r="Q121" s="409"/>
      <c r="R121" s="409"/>
      <c r="S121" s="409"/>
    </row>
    <row r="122" spans="1:19" s="140" customFormat="1" ht="63.75">
      <c r="A122" s="394" t="s">
        <v>3259</v>
      </c>
      <c r="B122" s="285" t="s">
        <v>15659</v>
      </c>
      <c r="C122" s="285">
        <v>87529</v>
      </c>
      <c r="D122" s="289" t="s">
        <v>223</v>
      </c>
      <c r="E122" s="290" t="s">
        <v>193</v>
      </c>
      <c r="F122" s="755">
        <v>48.6</v>
      </c>
      <c r="G122" s="510" t="s">
        <v>22574</v>
      </c>
      <c r="H122" s="508">
        <v>0.2094</v>
      </c>
      <c r="I122" s="510">
        <v>37.950972</v>
      </c>
      <c r="J122" s="509">
        <v>1844.4172392</v>
      </c>
      <c r="K122" s="409"/>
      <c r="L122" s="447">
        <f t="shared" si="2"/>
        <v>1844.4172392</v>
      </c>
      <c r="M122" s="447"/>
      <c r="N122" s="409"/>
      <c r="O122" s="409"/>
      <c r="P122" s="409"/>
      <c r="Q122" s="409"/>
      <c r="R122" s="409"/>
      <c r="S122" s="409"/>
    </row>
    <row r="123" spans="1:19" s="140" customFormat="1" ht="63.75">
      <c r="A123" s="394" t="s">
        <v>3259</v>
      </c>
      <c r="B123" s="285" t="s">
        <v>15660</v>
      </c>
      <c r="C123" s="285">
        <v>87905</v>
      </c>
      <c r="D123" s="289" t="s">
        <v>2863</v>
      </c>
      <c r="E123" s="290" t="s">
        <v>193</v>
      </c>
      <c r="F123" s="755">
        <v>36.44</v>
      </c>
      <c r="G123" s="510" t="s">
        <v>10030</v>
      </c>
      <c r="H123" s="508">
        <v>0.2094</v>
      </c>
      <c r="I123" s="510">
        <v>9.3002859999999998</v>
      </c>
      <c r="J123" s="509">
        <v>338.90242183999999</v>
      </c>
      <c r="K123" s="409"/>
      <c r="L123" s="447">
        <f t="shared" si="2"/>
        <v>338.90242183999999</v>
      </c>
      <c r="M123" s="447"/>
      <c r="N123" s="409"/>
      <c r="O123" s="409"/>
      <c r="P123" s="409"/>
      <c r="Q123" s="409"/>
      <c r="R123" s="409"/>
      <c r="S123" s="409"/>
    </row>
    <row r="124" spans="1:19" s="140" customFormat="1" ht="63.75">
      <c r="A124" s="394" t="s">
        <v>3259</v>
      </c>
      <c r="B124" s="285" t="s">
        <v>15661</v>
      </c>
      <c r="C124" s="285">
        <v>87775</v>
      </c>
      <c r="D124" s="289" t="s">
        <v>228</v>
      </c>
      <c r="E124" s="290" t="s">
        <v>193</v>
      </c>
      <c r="F124" s="755">
        <v>34.44</v>
      </c>
      <c r="G124" s="510" t="s">
        <v>16019</v>
      </c>
      <c r="H124" s="508">
        <v>0.2094</v>
      </c>
      <c r="I124" s="510">
        <v>62.030126000000003</v>
      </c>
      <c r="J124" s="509">
        <v>2136.31753944</v>
      </c>
      <c r="K124" s="409"/>
      <c r="L124" s="447">
        <f t="shared" si="2"/>
        <v>2136.31753944</v>
      </c>
      <c r="M124" s="447"/>
      <c r="N124" s="409"/>
      <c r="O124" s="409"/>
      <c r="P124" s="409"/>
      <c r="Q124" s="409"/>
      <c r="R124" s="409"/>
      <c r="S124" s="409"/>
    </row>
    <row r="125" spans="1:19" s="92" customFormat="1">
      <c r="A125" s="256"/>
      <c r="B125" s="391"/>
      <c r="C125" s="391"/>
      <c r="D125" s="401"/>
      <c r="E125" s="391"/>
      <c r="F125" s="417"/>
      <c r="G125" s="417"/>
      <c r="H125" s="417"/>
      <c r="I125" s="417"/>
      <c r="J125" s="418"/>
      <c r="K125" s="298"/>
      <c r="L125" s="447">
        <f t="shared" si="2"/>
        <v>0</v>
      </c>
      <c r="M125" s="447"/>
      <c r="N125" s="298"/>
      <c r="O125" s="298"/>
      <c r="P125" s="298"/>
      <c r="Q125" s="298"/>
      <c r="R125" s="298"/>
      <c r="S125" s="298"/>
    </row>
    <row r="126" spans="1:19" s="92" customFormat="1">
      <c r="A126" s="256"/>
      <c r="B126" s="287" t="s">
        <v>15665</v>
      </c>
      <c r="C126" s="287"/>
      <c r="D126" s="400" t="s">
        <v>15666</v>
      </c>
      <c r="E126" s="415"/>
      <c r="F126" s="415"/>
      <c r="G126" s="462"/>
      <c r="H126" s="415"/>
      <c r="I126" s="462"/>
      <c r="J126" s="416"/>
      <c r="K126" s="298"/>
      <c r="L126" s="447">
        <f t="shared" si="2"/>
        <v>0</v>
      </c>
      <c r="M126" s="447"/>
      <c r="N126" s="298"/>
      <c r="O126" s="298"/>
      <c r="P126" s="298"/>
      <c r="Q126" s="298"/>
      <c r="R126" s="298"/>
      <c r="S126" s="298"/>
    </row>
    <row r="127" spans="1:19" s="140" customFormat="1" ht="51">
      <c r="A127" s="394" t="s">
        <v>3259</v>
      </c>
      <c r="B127" s="285" t="s">
        <v>15667</v>
      </c>
      <c r="C127" s="285">
        <v>87882</v>
      </c>
      <c r="D127" s="289" t="s">
        <v>2845</v>
      </c>
      <c r="E127" s="290" t="s">
        <v>193</v>
      </c>
      <c r="F127" s="755">
        <v>16.36</v>
      </c>
      <c r="G127" s="510" t="s">
        <v>20346</v>
      </c>
      <c r="H127" s="508">
        <v>0.2094</v>
      </c>
      <c r="I127" s="510">
        <v>6.3251620000000006</v>
      </c>
      <c r="J127" s="509">
        <v>103.47965032</v>
      </c>
      <c r="K127" s="409"/>
      <c r="L127" s="447">
        <f t="shared" si="2"/>
        <v>103.47965032</v>
      </c>
      <c r="M127" s="447"/>
      <c r="N127" s="409"/>
      <c r="O127" s="409"/>
      <c r="P127" s="409"/>
      <c r="Q127" s="409"/>
      <c r="R127" s="409"/>
      <c r="S127" s="409"/>
    </row>
    <row r="128" spans="1:19" s="140" customFormat="1" ht="63.75">
      <c r="A128" s="394" t="s">
        <v>3259</v>
      </c>
      <c r="B128" s="285" t="s">
        <v>15668</v>
      </c>
      <c r="C128" s="285">
        <v>90406</v>
      </c>
      <c r="D128" s="289" t="s">
        <v>2991</v>
      </c>
      <c r="E128" s="290" t="s">
        <v>193</v>
      </c>
      <c r="F128" s="755">
        <v>16.36</v>
      </c>
      <c r="G128" s="510" t="s">
        <v>15999</v>
      </c>
      <c r="H128" s="508">
        <v>0.2094</v>
      </c>
      <c r="I128" s="510">
        <v>49.706340000000004</v>
      </c>
      <c r="J128" s="509">
        <v>813.19572240000002</v>
      </c>
      <c r="K128" s="409"/>
      <c r="L128" s="447">
        <f t="shared" si="2"/>
        <v>813.19572240000002</v>
      </c>
      <c r="M128" s="447"/>
      <c r="N128" s="409"/>
      <c r="O128" s="409"/>
      <c r="P128" s="409"/>
      <c r="Q128" s="409"/>
      <c r="R128" s="409"/>
      <c r="S128" s="409"/>
    </row>
    <row r="129" spans="1:19" s="92" customFormat="1">
      <c r="A129" s="256"/>
      <c r="B129" s="391"/>
      <c r="C129" s="391"/>
      <c r="D129" s="401"/>
      <c r="E129" s="391"/>
      <c r="F129" s="417"/>
      <c r="G129" s="417"/>
      <c r="H129" s="417"/>
      <c r="I129" s="417"/>
      <c r="J129" s="418"/>
      <c r="K129" s="298"/>
      <c r="L129" s="447">
        <f t="shared" si="2"/>
        <v>0</v>
      </c>
      <c r="M129" s="447"/>
      <c r="N129" s="298"/>
      <c r="O129" s="298"/>
      <c r="P129" s="298"/>
      <c r="Q129" s="298"/>
      <c r="R129" s="298"/>
      <c r="S129" s="298"/>
    </row>
    <row r="130" spans="1:19" s="92" customFormat="1">
      <c r="A130" s="256"/>
      <c r="B130" s="287" t="s">
        <v>15669</v>
      </c>
      <c r="C130" s="287"/>
      <c r="D130" s="400" t="s">
        <v>15670</v>
      </c>
      <c r="E130" s="415"/>
      <c r="F130" s="415"/>
      <c r="G130" s="462"/>
      <c r="H130" s="415"/>
      <c r="I130" s="462"/>
      <c r="J130" s="416"/>
      <c r="K130" s="298"/>
      <c r="L130" s="447">
        <f t="shared" si="2"/>
        <v>0</v>
      </c>
      <c r="M130" s="447"/>
      <c r="N130" s="298"/>
      <c r="O130" s="298"/>
      <c r="P130" s="298"/>
      <c r="Q130" s="298"/>
      <c r="R130" s="298"/>
      <c r="S130" s="298"/>
    </row>
    <row r="131" spans="1:19" s="92" customFormat="1">
      <c r="A131" s="256"/>
      <c r="B131" s="287" t="s">
        <v>17571</v>
      </c>
      <c r="C131" s="287"/>
      <c r="D131" s="400" t="s">
        <v>17572</v>
      </c>
      <c r="E131" s="415"/>
      <c r="F131" s="415"/>
      <c r="G131" s="462"/>
      <c r="H131" s="415"/>
      <c r="I131" s="462"/>
      <c r="J131" s="416"/>
      <c r="K131" s="298"/>
      <c r="L131" s="447">
        <f t="shared" si="2"/>
        <v>0</v>
      </c>
      <c r="M131" s="447"/>
      <c r="N131" s="298"/>
      <c r="O131" s="298"/>
      <c r="P131" s="298"/>
      <c r="Q131" s="298"/>
      <c r="R131" s="298"/>
      <c r="S131" s="298"/>
    </row>
    <row r="132" spans="1:19" s="140" customFormat="1" ht="25.5">
      <c r="A132" s="394" t="s">
        <v>3259</v>
      </c>
      <c r="B132" s="285" t="s">
        <v>17573</v>
      </c>
      <c r="C132" s="285">
        <v>88488</v>
      </c>
      <c r="D132" s="289" t="s">
        <v>221</v>
      </c>
      <c r="E132" s="290" t="s">
        <v>193</v>
      </c>
      <c r="F132" s="755">
        <v>6</v>
      </c>
      <c r="G132" s="510" t="s">
        <v>11043</v>
      </c>
      <c r="H132" s="508">
        <v>0.2094</v>
      </c>
      <c r="I132" s="510">
        <v>17.427454000000001</v>
      </c>
      <c r="J132" s="509">
        <v>104.56472400000001</v>
      </c>
      <c r="K132" s="409"/>
      <c r="L132" s="447">
        <f t="shared" si="2"/>
        <v>104.56472400000001</v>
      </c>
      <c r="M132" s="447"/>
      <c r="N132" s="409"/>
      <c r="O132" s="409"/>
      <c r="P132" s="409"/>
      <c r="Q132" s="409"/>
      <c r="R132" s="409"/>
      <c r="S132" s="409"/>
    </row>
    <row r="133" spans="1:19" s="140" customFormat="1" ht="51">
      <c r="A133" s="394" t="s">
        <v>3260</v>
      </c>
      <c r="B133" s="285" t="s">
        <v>17574</v>
      </c>
      <c r="C133" s="285" t="s">
        <v>15507</v>
      </c>
      <c r="D133" s="289" t="s">
        <v>17576</v>
      </c>
      <c r="E133" s="290" t="s">
        <v>193</v>
      </c>
      <c r="F133" s="755">
        <v>10.36</v>
      </c>
      <c r="G133" s="510">
        <v>109.12</v>
      </c>
      <c r="H133" s="508">
        <v>0.2094</v>
      </c>
      <c r="I133" s="510">
        <v>131.969728</v>
      </c>
      <c r="J133" s="509">
        <v>1367.2063820799999</v>
      </c>
      <c r="K133" s="409"/>
      <c r="L133" s="447">
        <f t="shared" si="2"/>
        <v>1367.2063820799999</v>
      </c>
      <c r="M133" s="447"/>
      <c r="N133" s="409"/>
      <c r="O133" s="409"/>
      <c r="P133" s="409"/>
      <c r="Q133" s="409"/>
      <c r="R133" s="409"/>
      <c r="S133" s="409"/>
    </row>
    <row r="134" spans="1:19" s="92" customFormat="1">
      <c r="A134" s="256"/>
      <c r="B134" s="287" t="s">
        <v>17575</v>
      </c>
      <c r="C134" s="287"/>
      <c r="D134" s="400" t="s">
        <v>15596</v>
      </c>
      <c r="E134" s="415"/>
      <c r="F134" s="415"/>
      <c r="G134" s="462"/>
      <c r="H134" s="415"/>
      <c r="I134" s="462"/>
      <c r="J134" s="416"/>
      <c r="K134" s="298"/>
      <c r="L134" s="447">
        <f t="shared" si="2"/>
        <v>0</v>
      </c>
      <c r="M134" s="447"/>
      <c r="N134" s="298"/>
      <c r="O134" s="298"/>
      <c r="P134" s="298"/>
      <c r="Q134" s="298"/>
      <c r="R134" s="298"/>
      <c r="S134" s="298"/>
    </row>
    <row r="135" spans="1:19" s="140" customFormat="1" ht="25.5">
      <c r="A135" s="394" t="s">
        <v>3259</v>
      </c>
      <c r="B135" s="285" t="s">
        <v>17578</v>
      </c>
      <c r="C135" s="285">
        <v>88489</v>
      </c>
      <c r="D135" s="289" t="s">
        <v>227</v>
      </c>
      <c r="E135" s="290" t="s">
        <v>193</v>
      </c>
      <c r="F135" s="755">
        <v>85.04</v>
      </c>
      <c r="G135" s="510" t="s">
        <v>11393</v>
      </c>
      <c r="H135" s="508">
        <v>0.2094</v>
      </c>
      <c r="I135" s="510">
        <v>15.286816000000002</v>
      </c>
      <c r="J135" s="509">
        <v>1299.9908326400002</v>
      </c>
      <c r="K135" s="409"/>
      <c r="L135" s="447">
        <f t="shared" si="2"/>
        <v>1299.9908326400002</v>
      </c>
      <c r="M135" s="447"/>
      <c r="N135" s="409"/>
      <c r="O135" s="409"/>
      <c r="P135" s="409"/>
      <c r="Q135" s="409"/>
      <c r="R135" s="409"/>
      <c r="S135" s="409"/>
    </row>
    <row r="136" spans="1:19" s="140" customFormat="1">
      <c r="A136" s="394"/>
      <c r="B136" s="285"/>
      <c r="C136" s="285"/>
      <c r="D136" s="407"/>
      <c r="E136" s="230"/>
      <c r="F136" s="426"/>
      <c r="G136" s="464"/>
      <c r="H136" s="427"/>
      <c r="I136" s="464"/>
      <c r="J136" s="430"/>
      <c r="K136" s="409"/>
      <c r="L136" s="447">
        <f t="shared" si="2"/>
        <v>0</v>
      </c>
      <c r="M136" s="447"/>
      <c r="N136" s="409"/>
      <c r="O136" s="409"/>
      <c r="P136" s="409"/>
      <c r="Q136" s="409"/>
      <c r="R136" s="409"/>
      <c r="S136" s="409"/>
    </row>
    <row r="137" spans="1:19" s="92" customFormat="1">
      <c r="A137" s="256"/>
      <c r="B137" s="287" t="s">
        <v>15698</v>
      </c>
      <c r="C137" s="287"/>
      <c r="D137" s="400" t="s">
        <v>15699</v>
      </c>
      <c r="E137" s="415"/>
      <c r="F137" s="415"/>
      <c r="G137" s="462"/>
      <c r="H137" s="415"/>
      <c r="I137" s="462"/>
      <c r="J137" s="416"/>
      <c r="K137" s="298"/>
      <c r="L137" s="447">
        <f t="shared" si="2"/>
        <v>0</v>
      </c>
      <c r="M137" s="447"/>
      <c r="N137" s="298"/>
      <c r="O137" s="298"/>
      <c r="P137" s="298"/>
      <c r="Q137" s="298"/>
      <c r="R137" s="298"/>
      <c r="S137" s="298"/>
    </row>
    <row r="138" spans="1:19" s="92" customFormat="1">
      <c r="A138" s="256"/>
      <c r="B138" s="287" t="s">
        <v>17776</v>
      </c>
      <c r="C138" s="287"/>
      <c r="D138" s="400" t="s">
        <v>17447</v>
      </c>
      <c r="E138" s="415"/>
      <c r="F138" s="415"/>
      <c r="G138" s="462"/>
      <c r="H138" s="415"/>
      <c r="I138" s="462"/>
      <c r="J138" s="416"/>
      <c r="K138" s="298"/>
      <c r="L138" s="447">
        <f t="shared" si="2"/>
        <v>0</v>
      </c>
      <c r="M138" s="447"/>
      <c r="N138" s="298"/>
      <c r="O138" s="298"/>
      <c r="P138" s="298"/>
      <c r="Q138" s="298"/>
      <c r="R138" s="298"/>
      <c r="S138" s="298"/>
    </row>
    <row r="139" spans="1:19" s="140" customFormat="1" ht="51">
      <c r="A139" s="394" t="s">
        <v>3260</v>
      </c>
      <c r="B139" s="285" t="s">
        <v>15700</v>
      </c>
      <c r="C139" s="285" t="s">
        <v>17762</v>
      </c>
      <c r="D139" s="289" t="s">
        <v>17766</v>
      </c>
      <c r="E139" s="290" t="s">
        <v>3240</v>
      </c>
      <c r="F139" s="755">
        <v>1</v>
      </c>
      <c r="G139" s="510">
        <v>33.43</v>
      </c>
      <c r="H139" s="508">
        <v>0.2094</v>
      </c>
      <c r="I139" s="510">
        <v>40.430242</v>
      </c>
      <c r="J139" s="509">
        <v>40.430242</v>
      </c>
      <c r="K139" s="409"/>
      <c r="L139" s="447">
        <f t="shared" si="2"/>
        <v>40.430242</v>
      </c>
      <c r="M139" s="447"/>
      <c r="N139" s="409"/>
      <c r="O139" s="409"/>
      <c r="P139" s="409"/>
      <c r="Q139" s="409"/>
      <c r="R139" s="409"/>
      <c r="S139" s="409"/>
    </row>
    <row r="140" spans="1:19" s="92" customFormat="1">
      <c r="A140" s="256"/>
      <c r="B140" s="391"/>
      <c r="C140" s="391"/>
      <c r="D140" s="401"/>
      <c r="E140" s="391"/>
      <c r="F140" s="417"/>
      <c r="G140" s="417"/>
      <c r="H140" s="417"/>
      <c r="I140" s="417"/>
      <c r="J140" s="418"/>
      <c r="K140" s="298"/>
      <c r="L140" s="447">
        <f t="shared" si="2"/>
        <v>0</v>
      </c>
      <c r="M140" s="447"/>
      <c r="N140" s="298"/>
      <c r="O140" s="298"/>
      <c r="P140" s="298"/>
      <c r="Q140" s="298"/>
      <c r="R140" s="298"/>
      <c r="S140" s="298"/>
    </row>
    <row r="141" spans="1:19" s="140" customFormat="1">
      <c r="A141" s="394"/>
      <c r="B141" s="395"/>
      <c r="C141" s="395"/>
      <c r="D141" s="404"/>
      <c r="E141" s="395"/>
      <c r="F141" s="395"/>
      <c r="G141" s="460" t="s">
        <v>69</v>
      </c>
      <c r="H141" s="419"/>
      <c r="I141" s="460"/>
      <c r="J141" s="421">
        <v>26159.590607739996</v>
      </c>
      <c r="K141" s="448"/>
      <c r="L141" s="447">
        <f t="shared" si="2"/>
        <v>0</v>
      </c>
      <c r="M141" s="447"/>
      <c r="N141" s="409"/>
      <c r="O141" s="409"/>
      <c r="P141" s="409"/>
      <c r="Q141" s="409"/>
      <c r="R141" s="409"/>
      <c r="S141" s="409"/>
    </row>
    <row r="142" spans="1:19" s="92" customFormat="1">
      <c r="A142" s="256"/>
      <c r="B142" s="391"/>
      <c r="C142" s="391"/>
      <c r="D142" s="401"/>
      <c r="E142" s="391"/>
      <c r="F142" s="417"/>
      <c r="G142" s="417"/>
      <c r="H142" s="417"/>
      <c r="I142" s="417"/>
      <c r="J142" s="418"/>
      <c r="K142" s="298"/>
      <c r="L142" s="447">
        <f t="shared" si="2"/>
        <v>0</v>
      </c>
      <c r="M142" s="447"/>
      <c r="N142" s="298"/>
      <c r="O142" s="298"/>
      <c r="P142" s="298"/>
      <c r="Q142" s="298"/>
      <c r="R142" s="298"/>
      <c r="S142" s="298"/>
    </row>
    <row r="143" spans="1:19" s="92" customFormat="1">
      <c r="A143" s="256"/>
      <c r="B143" s="390" t="s">
        <v>14773</v>
      </c>
      <c r="C143" s="390"/>
      <c r="D143" s="399" t="s">
        <v>14811</v>
      </c>
      <c r="E143" s="391"/>
      <c r="F143" s="417"/>
      <c r="G143" s="417"/>
      <c r="H143" s="417"/>
      <c r="I143" s="417"/>
      <c r="J143" s="418"/>
      <c r="K143" s="298"/>
      <c r="L143" s="447">
        <f t="shared" si="2"/>
        <v>0</v>
      </c>
      <c r="M143" s="447"/>
      <c r="N143" s="298"/>
      <c r="O143" s="298"/>
      <c r="P143" s="298"/>
      <c r="Q143" s="298"/>
      <c r="R143" s="298"/>
      <c r="S143" s="298"/>
    </row>
    <row r="144" spans="1:19" s="92" customFormat="1">
      <c r="A144" s="256"/>
      <c r="B144" s="390" t="s">
        <v>14812</v>
      </c>
      <c r="C144" s="390"/>
      <c r="D144" s="399" t="s">
        <v>14813</v>
      </c>
      <c r="E144" s="391"/>
      <c r="F144" s="417"/>
      <c r="G144" s="417"/>
      <c r="H144" s="417"/>
      <c r="I144" s="417"/>
      <c r="J144" s="418"/>
      <c r="K144" s="298"/>
      <c r="L144" s="447">
        <f t="shared" si="2"/>
        <v>0</v>
      </c>
      <c r="M144" s="447"/>
      <c r="N144" s="298"/>
      <c r="O144" s="298"/>
      <c r="P144" s="298"/>
      <c r="Q144" s="298"/>
      <c r="R144" s="298"/>
      <c r="S144" s="298"/>
    </row>
    <row r="145" spans="1:19" s="92" customFormat="1" ht="51">
      <c r="A145" s="394" t="s">
        <v>3259</v>
      </c>
      <c r="B145" s="288" t="s">
        <v>14817</v>
      </c>
      <c r="C145" s="285">
        <v>92690</v>
      </c>
      <c r="D145" s="289" t="s">
        <v>13248</v>
      </c>
      <c r="E145" s="290" t="s">
        <v>5</v>
      </c>
      <c r="F145" s="292">
        <v>7.58</v>
      </c>
      <c r="G145" s="510" t="s">
        <v>11372</v>
      </c>
      <c r="H145" s="508">
        <v>0.2094</v>
      </c>
      <c r="I145" s="510">
        <v>79.747835999999992</v>
      </c>
      <c r="J145" s="509">
        <v>604.48859687999993</v>
      </c>
      <c r="K145" s="298"/>
      <c r="L145" s="447">
        <f t="shared" si="2"/>
        <v>604.48859687999993</v>
      </c>
      <c r="M145" s="447"/>
      <c r="N145" s="298"/>
      <c r="O145" s="298"/>
      <c r="P145" s="298"/>
      <c r="Q145" s="298"/>
      <c r="R145" s="298"/>
      <c r="S145" s="298"/>
    </row>
    <row r="146" spans="1:19" s="92" customFormat="1" ht="51">
      <c r="A146" s="394" t="s">
        <v>3259</v>
      </c>
      <c r="B146" s="288" t="s">
        <v>14828</v>
      </c>
      <c r="C146" s="285">
        <v>92691</v>
      </c>
      <c r="D146" s="289" t="s">
        <v>13249</v>
      </c>
      <c r="E146" s="290" t="s">
        <v>5</v>
      </c>
      <c r="F146" s="292">
        <v>1.4</v>
      </c>
      <c r="G146" s="510" t="s">
        <v>22960</v>
      </c>
      <c r="H146" s="508">
        <v>0.2094</v>
      </c>
      <c r="I146" s="510">
        <v>102.65387199999999</v>
      </c>
      <c r="J146" s="509">
        <v>143.71542079999998</v>
      </c>
      <c r="K146" s="298"/>
      <c r="L146" s="447">
        <f t="shared" si="2"/>
        <v>143.71542079999998</v>
      </c>
      <c r="M146" s="447"/>
      <c r="N146" s="298"/>
      <c r="O146" s="298"/>
      <c r="P146" s="298"/>
      <c r="Q146" s="298"/>
      <c r="R146" s="298"/>
      <c r="S146" s="298"/>
    </row>
    <row r="147" spans="1:19" s="92" customFormat="1" ht="38.25">
      <c r="A147" s="394" t="s">
        <v>3259</v>
      </c>
      <c r="B147" s="288" t="s">
        <v>14829</v>
      </c>
      <c r="C147" s="285">
        <v>97551</v>
      </c>
      <c r="D147" s="289" t="s">
        <v>13517</v>
      </c>
      <c r="E147" s="290" t="s">
        <v>109</v>
      </c>
      <c r="F147" s="292">
        <v>1</v>
      </c>
      <c r="G147" s="510" t="s">
        <v>23411</v>
      </c>
      <c r="H147" s="508">
        <v>0.2094</v>
      </c>
      <c r="I147" s="510">
        <v>80.642792000000014</v>
      </c>
      <c r="J147" s="509">
        <v>80.642792000000014</v>
      </c>
      <c r="K147" s="298"/>
      <c r="L147" s="447">
        <f t="shared" si="2"/>
        <v>80.642792000000014</v>
      </c>
      <c r="M147" s="447"/>
      <c r="N147" s="298"/>
      <c r="O147" s="298"/>
      <c r="P147" s="298"/>
      <c r="Q147" s="298"/>
      <c r="R147" s="298"/>
      <c r="S147" s="298"/>
    </row>
    <row r="148" spans="1:19" s="92" customFormat="1" ht="38.25">
      <c r="A148" s="394" t="s">
        <v>3259</v>
      </c>
      <c r="B148" s="288" t="s">
        <v>14830</v>
      </c>
      <c r="C148" s="285">
        <v>97549</v>
      </c>
      <c r="D148" s="289" t="s">
        <v>13515</v>
      </c>
      <c r="E148" s="290" t="s">
        <v>109</v>
      </c>
      <c r="F148" s="292">
        <v>1</v>
      </c>
      <c r="G148" s="510" t="s">
        <v>23410</v>
      </c>
      <c r="H148" s="508">
        <v>0.2094</v>
      </c>
      <c r="I148" s="510">
        <v>48.073650000000001</v>
      </c>
      <c r="J148" s="509">
        <v>48.073650000000001</v>
      </c>
      <c r="K148" s="298"/>
      <c r="L148" s="447">
        <f t="shared" si="2"/>
        <v>48.073650000000001</v>
      </c>
      <c r="M148" s="447"/>
      <c r="N148" s="298"/>
      <c r="O148" s="298"/>
      <c r="P148" s="298"/>
      <c r="Q148" s="298"/>
      <c r="R148" s="298"/>
      <c r="S148" s="298"/>
    </row>
    <row r="149" spans="1:19" s="92" customFormat="1" ht="38.25">
      <c r="A149" s="394" t="s">
        <v>3259</v>
      </c>
      <c r="B149" s="288" t="s">
        <v>14831</v>
      </c>
      <c r="C149" s="285">
        <v>97553</v>
      </c>
      <c r="D149" s="289" t="s">
        <v>13519</v>
      </c>
      <c r="E149" s="290" t="s">
        <v>109</v>
      </c>
      <c r="F149" s="292">
        <v>5</v>
      </c>
      <c r="G149" s="510" t="s">
        <v>23413</v>
      </c>
      <c r="H149" s="508">
        <v>0.2094</v>
      </c>
      <c r="I149" s="510">
        <v>67.883622000000003</v>
      </c>
      <c r="J149" s="509">
        <v>339.41811000000001</v>
      </c>
      <c r="K149" s="298"/>
      <c r="L149" s="447">
        <f t="shared" si="2"/>
        <v>339.41811000000001</v>
      </c>
      <c r="M149" s="447"/>
      <c r="N149" s="298"/>
      <c r="O149" s="298"/>
      <c r="P149" s="298"/>
      <c r="Q149" s="298"/>
      <c r="R149" s="298"/>
      <c r="S149" s="298"/>
    </row>
    <row r="150" spans="1:19" s="92" customFormat="1" ht="63.75">
      <c r="A150" s="394" t="s">
        <v>3259</v>
      </c>
      <c r="B150" s="288" t="s">
        <v>14832</v>
      </c>
      <c r="C150" s="285">
        <v>95249</v>
      </c>
      <c r="D150" s="289" t="s">
        <v>2384</v>
      </c>
      <c r="E150" s="290" t="s">
        <v>109</v>
      </c>
      <c r="F150" s="292">
        <v>5</v>
      </c>
      <c r="G150" s="510" t="s">
        <v>16346</v>
      </c>
      <c r="H150" s="508">
        <v>0.2094</v>
      </c>
      <c r="I150" s="510">
        <v>104.201904</v>
      </c>
      <c r="J150" s="509">
        <v>521.00951999999995</v>
      </c>
      <c r="K150" s="298"/>
      <c r="L150" s="447">
        <f t="shared" si="2"/>
        <v>521.00951999999995</v>
      </c>
      <c r="M150" s="447"/>
      <c r="N150" s="298"/>
      <c r="O150" s="298"/>
      <c r="P150" s="298"/>
      <c r="Q150" s="298"/>
      <c r="R150" s="298"/>
      <c r="S150" s="298"/>
    </row>
    <row r="151" spans="1:19" s="92" customFormat="1" ht="63.75">
      <c r="A151" s="394" t="s">
        <v>3259</v>
      </c>
      <c r="B151" s="288" t="s">
        <v>14833</v>
      </c>
      <c r="C151" s="285">
        <v>95250</v>
      </c>
      <c r="D151" s="289" t="s">
        <v>2385</v>
      </c>
      <c r="E151" s="290" t="s">
        <v>109</v>
      </c>
      <c r="F151" s="292">
        <v>2</v>
      </c>
      <c r="G151" s="510" t="s">
        <v>23594</v>
      </c>
      <c r="H151" s="508">
        <v>0.2094</v>
      </c>
      <c r="I151" s="510">
        <v>126.97490599999999</v>
      </c>
      <c r="J151" s="509">
        <v>253.94981199999998</v>
      </c>
      <c r="K151" s="298"/>
      <c r="L151" s="447">
        <f t="shared" si="2"/>
        <v>253.94981199999998</v>
      </c>
      <c r="M151" s="447"/>
      <c r="N151" s="298"/>
      <c r="O151" s="298"/>
      <c r="P151" s="298"/>
      <c r="Q151" s="298"/>
      <c r="R151" s="298"/>
      <c r="S151" s="298"/>
    </row>
    <row r="152" spans="1:19" s="92" customFormat="1" ht="51">
      <c r="A152" s="394" t="s">
        <v>3259</v>
      </c>
      <c r="B152" s="288" t="s">
        <v>14834</v>
      </c>
      <c r="C152" s="285">
        <v>92694</v>
      </c>
      <c r="D152" s="289" t="s">
        <v>13349</v>
      </c>
      <c r="E152" s="290" t="s">
        <v>109</v>
      </c>
      <c r="F152" s="292">
        <v>5</v>
      </c>
      <c r="G152" s="510" t="s">
        <v>11042</v>
      </c>
      <c r="H152" s="508">
        <v>0.2094</v>
      </c>
      <c r="I152" s="510">
        <v>21.527320000000003</v>
      </c>
      <c r="J152" s="509">
        <v>107.63660000000002</v>
      </c>
      <c r="K152" s="298"/>
      <c r="L152" s="447">
        <f t="shared" si="2"/>
        <v>107.63660000000002</v>
      </c>
      <c r="M152" s="447"/>
      <c r="N152" s="298"/>
      <c r="O152" s="298"/>
      <c r="P152" s="298"/>
      <c r="Q152" s="298"/>
      <c r="R152" s="298"/>
      <c r="S152" s="298"/>
    </row>
    <row r="153" spans="1:19" s="92" customFormat="1" ht="51">
      <c r="A153" s="394" t="s">
        <v>3259</v>
      </c>
      <c r="B153" s="288" t="s">
        <v>14835</v>
      </c>
      <c r="C153" s="285">
        <v>92905</v>
      </c>
      <c r="D153" s="289" t="s">
        <v>13378</v>
      </c>
      <c r="E153" s="290" t="s">
        <v>109</v>
      </c>
      <c r="F153" s="292">
        <v>1</v>
      </c>
      <c r="G153" s="510" t="s">
        <v>20561</v>
      </c>
      <c r="H153" s="508">
        <v>0.2094</v>
      </c>
      <c r="I153" s="510">
        <v>41.083317999999998</v>
      </c>
      <c r="J153" s="509">
        <v>41.083317999999998</v>
      </c>
      <c r="K153" s="298"/>
      <c r="L153" s="447">
        <f t="shared" si="2"/>
        <v>41.083317999999998</v>
      </c>
      <c r="M153" s="447"/>
      <c r="N153" s="298"/>
      <c r="O153" s="298"/>
      <c r="P153" s="298"/>
      <c r="Q153" s="298"/>
      <c r="R153" s="298"/>
      <c r="S153" s="298"/>
    </row>
    <row r="154" spans="1:19" s="92" customFormat="1" ht="51">
      <c r="A154" s="394" t="s">
        <v>3259</v>
      </c>
      <c r="B154" s="288" t="s">
        <v>14836</v>
      </c>
      <c r="C154" s="285">
        <v>97462</v>
      </c>
      <c r="D154" s="289" t="s">
        <v>13448</v>
      </c>
      <c r="E154" s="290" t="s">
        <v>109</v>
      </c>
      <c r="F154" s="292">
        <v>1</v>
      </c>
      <c r="G154" s="510" t="s">
        <v>12451</v>
      </c>
      <c r="H154" s="508">
        <v>0.2094</v>
      </c>
      <c r="I154" s="510">
        <v>27.646884</v>
      </c>
      <c r="J154" s="509">
        <v>27.646884</v>
      </c>
      <c r="K154" s="298"/>
      <c r="L154" s="447">
        <f t="shared" si="2"/>
        <v>27.646884</v>
      </c>
      <c r="M154" s="447"/>
      <c r="N154" s="298"/>
      <c r="O154" s="298"/>
      <c r="P154" s="298"/>
      <c r="Q154" s="298"/>
      <c r="R154" s="298"/>
      <c r="S154" s="298"/>
    </row>
    <row r="155" spans="1:19" s="92" customFormat="1" ht="51">
      <c r="A155" s="394" t="s">
        <v>3259</v>
      </c>
      <c r="B155" s="288" t="s">
        <v>14843</v>
      </c>
      <c r="C155" s="285">
        <v>92696</v>
      </c>
      <c r="D155" s="289" t="s">
        <v>13351</v>
      </c>
      <c r="E155" s="290" t="s">
        <v>109</v>
      </c>
      <c r="F155" s="292">
        <v>5</v>
      </c>
      <c r="G155" s="510" t="s">
        <v>15992</v>
      </c>
      <c r="H155" s="508">
        <v>0.2094</v>
      </c>
      <c r="I155" s="510">
        <v>33.875294000000004</v>
      </c>
      <c r="J155" s="509">
        <v>169.37647000000001</v>
      </c>
      <c r="K155" s="298"/>
      <c r="L155" s="447">
        <f t="shared" si="2"/>
        <v>169.37647000000001</v>
      </c>
      <c r="M155" s="447"/>
      <c r="N155" s="298"/>
      <c r="O155" s="298"/>
      <c r="P155" s="298"/>
      <c r="Q155" s="298"/>
      <c r="R155" s="298"/>
      <c r="S155" s="298"/>
    </row>
    <row r="156" spans="1:19" s="92" customFormat="1" ht="51">
      <c r="A156" s="394" t="s">
        <v>3259</v>
      </c>
      <c r="B156" s="288" t="s">
        <v>14844</v>
      </c>
      <c r="C156" s="285">
        <v>92906</v>
      </c>
      <c r="D156" s="289" t="s">
        <v>13379</v>
      </c>
      <c r="E156" s="290" t="s">
        <v>109</v>
      </c>
      <c r="F156" s="292">
        <v>3</v>
      </c>
      <c r="G156" s="510" t="s">
        <v>23197</v>
      </c>
      <c r="H156" s="508">
        <v>0.2094</v>
      </c>
      <c r="I156" s="510">
        <v>51.314841999999999</v>
      </c>
      <c r="J156" s="509">
        <v>153.944526</v>
      </c>
      <c r="K156" s="298"/>
      <c r="L156" s="447">
        <f t="shared" ref="L156:L183" si="6">I156*F156</f>
        <v>153.944526</v>
      </c>
      <c r="M156" s="447"/>
      <c r="N156" s="298"/>
      <c r="O156" s="298"/>
      <c r="P156" s="298"/>
      <c r="Q156" s="298"/>
      <c r="R156" s="298"/>
      <c r="S156" s="298"/>
    </row>
    <row r="157" spans="1:19" s="92" customFormat="1" ht="25.5">
      <c r="A157" s="394" t="s">
        <v>3260</v>
      </c>
      <c r="B157" s="288" t="s">
        <v>14845</v>
      </c>
      <c r="C157" s="285" t="s">
        <v>16954</v>
      </c>
      <c r="D157" s="289" t="s">
        <v>14891</v>
      </c>
      <c r="E157" s="290" t="s">
        <v>109</v>
      </c>
      <c r="F157" s="292">
        <v>1</v>
      </c>
      <c r="G157" s="510">
        <v>17.239999999999998</v>
      </c>
      <c r="H157" s="508">
        <v>0.2094</v>
      </c>
      <c r="I157" s="510">
        <v>20.850055999999999</v>
      </c>
      <c r="J157" s="509">
        <v>20.850055999999999</v>
      </c>
      <c r="K157" s="298"/>
      <c r="L157" s="447">
        <f t="shared" si="6"/>
        <v>20.850055999999999</v>
      </c>
      <c r="M157" s="447"/>
      <c r="N157" s="298"/>
      <c r="O157" s="298"/>
      <c r="P157" s="298"/>
      <c r="Q157" s="298"/>
      <c r="R157" s="298"/>
      <c r="S157" s="298"/>
    </row>
    <row r="158" spans="1:19" s="92" customFormat="1" ht="51">
      <c r="A158" s="394" t="s">
        <v>3259</v>
      </c>
      <c r="B158" s="288" t="s">
        <v>14846</v>
      </c>
      <c r="C158" s="285">
        <v>92918</v>
      </c>
      <c r="D158" s="289" t="s">
        <v>13388</v>
      </c>
      <c r="E158" s="290" t="s">
        <v>109</v>
      </c>
      <c r="F158" s="292">
        <v>2</v>
      </c>
      <c r="G158" s="510" t="s">
        <v>10118</v>
      </c>
      <c r="H158" s="508">
        <v>0.2094</v>
      </c>
      <c r="I158" s="510">
        <v>35.641018000000003</v>
      </c>
      <c r="J158" s="509">
        <v>71.282036000000005</v>
      </c>
      <c r="K158" s="298"/>
      <c r="L158" s="447">
        <f t="shared" si="6"/>
        <v>71.282036000000005</v>
      </c>
      <c r="M158" s="447"/>
      <c r="N158" s="298"/>
      <c r="O158" s="298"/>
      <c r="P158" s="298"/>
      <c r="Q158" s="298"/>
      <c r="R158" s="298"/>
      <c r="S158" s="298"/>
    </row>
    <row r="159" spans="1:19" s="92" customFormat="1" ht="51">
      <c r="A159" s="394" t="s">
        <v>3259</v>
      </c>
      <c r="B159" s="288" t="s">
        <v>14847</v>
      </c>
      <c r="C159" s="285">
        <v>92692</v>
      </c>
      <c r="D159" s="289" t="s">
        <v>13347</v>
      </c>
      <c r="E159" s="290" t="s">
        <v>109</v>
      </c>
      <c r="F159" s="292">
        <v>2</v>
      </c>
      <c r="G159" s="510" t="s">
        <v>23182</v>
      </c>
      <c r="H159" s="508">
        <v>0.2094</v>
      </c>
      <c r="I159" s="510">
        <v>13.436434</v>
      </c>
      <c r="J159" s="509">
        <v>26.872868</v>
      </c>
      <c r="K159" s="298"/>
      <c r="L159" s="447">
        <f t="shared" si="6"/>
        <v>26.872868</v>
      </c>
      <c r="M159" s="447"/>
      <c r="N159" s="298"/>
      <c r="O159" s="298"/>
      <c r="P159" s="298"/>
      <c r="Q159" s="298"/>
      <c r="R159" s="298"/>
      <c r="S159" s="298"/>
    </row>
    <row r="160" spans="1:19" s="92" customFormat="1" ht="25.5">
      <c r="A160" s="394" t="s">
        <v>3260</v>
      </c>
      <c r="B160" s="288" t="s">
        <v>14848</v>
      </c>
      <c r="C160" s="285" t="s">
        <v>16959</v>
      </c>
      <c r="D160" s="289" t="s">
        <v>14888</v>
      </c>
      <c r="E160" s="290" t="s">
        <v>109</v>
      </c>
      <c r="F160" s="292">
        <v>1</v>
      </c>
      <c r="G160" s="510">
        <v>27.85</v>
      </c>
      <c r="H160" s="508">
        <v>0.2094</v>
      </c>
      <c r="I160" s="510">
        <v>33.681789999999999</v>
      </c>
      <c r="J160" s="509">
        <v>33.681789999999999</v>
      </c>
      <c r="K160" s="298"/>
      <c r="L160" s="447">
        <f t="shared" si="6"/>
        <v>33.681789999999999</v>
      </c>
      <c r="M160" s="447"/>
      <c r="N160" s="298"/>
      <c r="O160" s="298"/>
      <c r="P160" s="298"/>
      <c r="Q160" s="298"/>
      <c r="R160" s="298"/>
      <c r="S160" s="298"/>
    </row>
    <row r="161" spans="1:19" s="92" customFormat="1" ht="25.5">
      <c r="A161" s="394" t="s">
        <v>3260</v>
      </c>
      <c r="B161" s="288" t="s">
        <v>14853</v>
      </c>
      <c r="C161" s="285" t="s">
        <v>16960</v>
      </c>
      <c r="D161" s="289" t="s">
        <v>16961</v>
      </c>
      <c r="E161" s="290" t="s">
        <v>109</v>
      </c>
      <c r="F161" s="292">
        <v>1</v>
      </c>
      <c r="G161" s="510">
        <v>57.45</v>
      </c>
      <c r="H161" s="508">
        <v>0.2094</v>
      </c>
      <c r="I161" s="510">
        <v>69.480029999999999</v>
      </c>
      <c r="J161" s="509">
        <v>69.480029999999999</v>
      </c>
      <c r="K161" s="298"/>
      <c r="L161" s="447">
        <f t="shared" si="6"/>
        <v>69.480029999999999</v>
      </c>
      <c r="M161" s="447"/>
      <c r="N161" s="298"/>
      <c r="O161" s="298"/>
      <c r="P161" s="298"/>
      <c r="Q161" s="298"/>
      <c r="R161" s="298"/>
      <c r="S161" s="298"/>
    </row>
    <row r="162" spans="1:19" s="92" customFormat="1">
      <c r="A162" s="256"/>
      <c r="B162" s="391"/>
      <c r="C162" s="391"/>
      <c r="D162" s="401"/>
      <c r="E162" s="391"/>
      <c r="F162" s="417"/>
      <c r="G162" s="417"/>
      <c r="H162" s="417"/>
      <c r="I162" s="417"/>
      <c r="J162" s="418"/>
      <c r="K162" s="298"/>
      <c r="L162" s="447">
        <f t="shared" si="6"/>
        <v>0</v>
      </c>
      <c r="M162" s="447"/>
      <c r="N162" s="298"/>
      <c r="O162" s="298"/>
      <c r="P162" s="298"/>
      <c r="Q162" s="298"/>
      <c r="R162" s="298"/>
      <c r="S162" s="298"/>
    </row>
    <row r="163" spans="1:19" s="92" customFormat="1">
      <c r="A163" s="256"/>
      <c r="B163" s="390" t="s">
        <v>14814</v>
      </c>
      <c r="C163" s="390"/>
      <c r="D163" s="399" t="s">
        <v>11573</v>
      </c>
      <c r="E163" s="391"/>
      <c r="F163" s="417"/>
      <c r="G163" s="417"/>
      <c r="H163" s="417"/>
      <c r="I163" s="417"/>
      <c r="J163" s="418"/>
      <c r="K163" s="298"/>
      <c r="L163" s="447">
        <f t="shared" si="6"/>
        <v>0</v>
      </c>
      <c r="M163" s="447"/>
      <c r="N163" s="298"/>
      <c r="O163" s="298"/>
      <c r="P163" s="298"/>
      <c r="Q163" s="298"/>
      <c r="R163" s="298"/>
      <c r="S163" s="298"/>
    </row>
    <row r="164" spans="1:19" s="92" customFormat="1" ht="25.5">
      <c r="A164" s="394" t="s">
        <v>3260</v>
      </c>
      <c r="B164" s="288" t="s">
        <v>14818</v>
      </c>
      <c r="C164" s="285" t="s">
        <v>16955</v>
      </c>
      <c r="D164" s="289" t="s">
        <v>14940</v>
      </c>
      <c r="E164" s="290" t="s">
        <v>109</v>
      </c>
      <c r="F164" s="292">
        <v>1</v>
      </c>
      <c r="G164" s="510">
        <v>129.54</v>
      </c>
      <c r="H164" s="508">
        <v>0.2094</v>
      </c>
      <c r="I164" s="510">
        <v>156.66567599999999</v>
      </c>
      <c r="J164" s="509">
        <v>156.66567599999999</v>
      </c>
      <c r="K164" s="298"/>
      <c r="L164" s="447">
        <f t="shared" si="6"/>
        <v>156.66567599999999</v>
      </c>
      <c r="M164" s="447"/>
      <c r="N164" s="298"/>
      <c r="O164" s="298"/>
      <c r="P164" s="298"/>
      <c r="Q164" s="298"/>
      <c r="R164" s="298"/>
      <c r="S164" s="298"/>
    </row>
    <row r="165" spans="1:19" s="92" customFormat="1" ht="38.25">
      <c r="A165" s="394" t="s">
        <v>3260</v>
      </c>
      <c r="B165" s="288" t="s">
        <v>14819</v>
      </c>
      <c r="C165" s="285" t="s">
        <v>16956</v>
      </c>
      <c r="D165" s="289" t="s">
        <v>14987</v>
      </c>
      <c r="E165" s="290" t="s">
        <v>109</v>
      </c>
      <c r="F165" s="292">
        <v>1</v>
      </c>
      <c r="G165" s="510">
        <v>1302.23</v>
      </c>
      <c r="H165" s="508">
        <v>0.2094</v>
      </c>
      <c r="I165" s="510">
        <v>1574.916962</v>
      </c>
      <c r="J165" s="509">
        <v>1574.916962</v>
      </c>
      <c r="K165" s="298"/>
      <c r="L165" s="447">
        <f t="shared" si="6"/>
        <v>1574.916962</v>
      </c>
      <c r="M165" s="447"/>
      <c r="N165" s="298"/>
      <c r="O165" s="298"/>
      <c r="P165" s="298"/>
      <c r="Q165" s="298"/>
      <c r="R165" s="298"/>
      <c r="S165" s="298"/>
    </row>
    <row r="166" spans="1:19" s="92" customFormat="1" ht="25.5">
      <c r="A166" s="394" t="s">
        <v>3260</v>
      </c>
      <c r="B166" s="288" t="s">
        <v>14820</v>
      </c>
      <c r="C166" s="285" t="s">
        <v>16957</v>
      </c>
      <c r="D166" s="289" t="s">
        <v>14989</v>
      </c>
      <c r="E166" s="290" t="s">
        <v>109</v>
      </c>
      <c r="F166" s="292">
        <v>1</v>
      </c>
      <c r="G166" s="510">
        <v>44.959999999999994</v>
      </c>
      <c r="H166" s="508">
        <v>0.2094</v>
      </c>
      <c r="I166" s="510">
        <v>54.374623999999997</v>
      </c>
      <c r="J166" s="509">
        <v>54.374623999999997</v>
      </c>
      <c r="K166" s="298"/>
      <c r="L166" s="447">
        <f t="shared" si="6"/>
        <v>54.374623999999997</v>
      </c>
      <c r="M166" s="447"/>
      <c r="N166" s="298"/>
      <c r="O166" s="298"/>
      <c r="P166" s="298"/>
      <c r="Q166" s="298"/>
      <c r="R166" s="298"/>
      <c r="S166" s="298"/>
    </row>
    <row r="167" spans="1:19" s="92" customFormat="1" ht="25.5">
      <c r="A167" s="394" t="s">
        <v>3260</v>
      </c>
      <c r="B167" s="288" t="s">
        <v>14821</v>
      </c>
      <c r="C167" s="285" t="s">
        <v>16958</v>
      </c>
      <c r="D167" s="289" t="s">
        <v>14991</v>
      </c>
      <c r="E167" s="290" t="s">
        <v>109</v>
      </c>
      <c r="F167" s="292">
        <v>5</v>
      </c>
      <c r="G167" s="510">
        <v>161.65</v>
      </c>
      <c r="H167" s="508">
        <v>0.2094</v>
      </c>
      <c r="I167" s="510">
        <v>195.49951000000001</v>
      </c>
      <c r="J167" s="509">
        <v>977.49755000000005</v>
      </c>
      <c r="K167" s="298"/>
      <c r="L167" s="447">
        <f t="shared" si="6"/>
        <v>977.49755000000005</v>
      </c>
      <c r="M167" s="447"/>
      <c r="N167" s="298"/>
      <c r="O167" s="298"/>
      <c r="P167" s="298"/>
      <c r="Q167" s="298"/>
      <c r="R167" s="298"/>
      <c r="S167" s="298"/>
    </row>
    <row r="168" spans="1:19" s="92" customFormat="1">
      <c r="A168" s="256"/>
      <c r="B168" s="391"/>
      <c r="C168" s="391"/>
      <c r="D168" s="401"/>
      <c r="E168" s="391"/>
      <c r="F168" s="417"/>
      <c r="G168" s="417"/>
      <c r="H168" s="417"/>
      <c r="I168" s="417"/>
      <c r="J168" s="418"/>
      <c r="K168" s="298"/>
      <c r="L168" s="447">
        <f t="shared" si="6"/>
        <v>0</v>
      </c>
      <c r="M168" s="447"/>
      <c r="N168" s="298"/>
      <c r="O168" s="298"/>
      <c r="P168" s="298"/>
      <c r="Q168" s="298"/>
      <c r="R168" s="298"/>
      <c r="S168" s="298"/>
    </row>
    <row r="169" spans="1:19" s="92" customFormat="1">
      <c r="A169" s="256"/>
      <c r="B169" s="390" t="s">
        <v>14815</v>
      </c>
      <c r="C169" s="390"/>
      <c r="D169" s="399" t="s">
        <v>14816</v>
      </c>
      <c r="E169" s="391"/>
      <c r="F169" s="417"/>
      <c r="G169" s="417"/>
      <c r="H169" s="417"/>
      <c r="I169" s="417"/>
      <c r="J169" s="418"/>
      <c r="K169" s="298"/>
      <c r="L169" s="447">
        <f t="shared" si="6"/>
        <v>0</v>
      </c>
      <c r="M169" s="447"/>
      <c r="N169" s="298"/>
      <c r="O169" s="298"/>
      <c r="P169" s="298"/>
      <c r="Q169" s="298"/>
      <c r="R169" s="298"/>
      <c r="S169" s="298"/>
    </row>
    <row r="170" spans="1:19" s="92" customFormat="1" ht="51">
      <c r="A170" s="394" t="s">
        <v>3259</v>
      </c>
      <c r="B170" s="288" t="s">
        <v>14822</v>
      </c>
      <c r="C170" s="285">
        <v>91185</v>
      </c>
      <c r="D170" s="289" t="s">
        <v>2440</v>
      </c>
      <c r="E170" s="290" t="s">
        <v>5</v>
      </c>
      <c r="F170" s="292">
        <v>6.85</v>
      </c>
      <c r="G170" s="510" t="s">
        <v>11037</v>
      </c>
      <c r="H170" s="508">
        <v>0.2094</v>
      </c>
      <c r="I170" s="510">
        <v>7.4499040000000001</v>
      </c>
      <c r="J170" s="509">
        <v>51.031842399999995</v>
      </c>
      <c r="K170" s="298"/>
      <c r="L170" s="447">
        <f t="shared" si="6"/>
        <v>51.031842399999995</v>
      </c>
      <c r="M170" s="447"/>
      <c r="N170" s="298"/>
      <c r="O170" s="298"/>
      <c r="P170" s="298"/>
      <c r="Q170" s="298"/>
      <c r="R170" s="298"/>
      <c r="S170" s="298"/>
    </row>
    <row r="171" spans="1:19" s="92" customFormat="1" ht="51">
      <c r="A171" s="394" t="s">
        <v>3259</v>
      </c>
      <c r="B171" s="288" t="s">
        <v>14823</v>
      </c>
      <c r="C171" s="285">
        <v>91173</v>
      </c>
      <c r="D171" s="289" t="s">
        <v>2428</v>
      </c>
      <c r="E171" s="290" t="s">
        <v>5</v>
      </c>
      <c r="F171" s="292">
        <v>2.13</v>
      </c>
      <c r="G171" s="510" t="s">
        <v>10430</v>
      </c>
      <c r="H171" s="508">
        <v>0.2094</v>
      </c>
      <c r="I171" s="510">
        <v>1.584314</v>
      </c>
      <c r="J171" s="509">
        <v>3.37458882</v>
      </c>
      <c r="K171" s="298"/>
      <c r="L171" s="447">
        <f t="shared" si="6"/>
        <v>3.37458882</v>
      </c>
      <c r="M171" s="447"/>
      <c r="N171" s="298"/>
      <c r="O171" s="298"/>
      <c r="P171" s="298"/>
      <c r="Q171" s="298"/>
      <c r="R171" s="298"/>
      <c r="S171" s="298"/>
    </row>
    <row r="172" spans="1:19" s="92" customFormat="1" ht="25.5">
      <c r="A172" s="394" t="s">
        <v>3260</v>
      </c>
      <c r="B172" s="288" t="s">
        <v>14824</v>
      </c>
      <c r="C172" s="285" t="s">
        <v>14700</v>
      </c>
      <c r="D172" s="289" t="s">
        <v>14701</v>
      </c>
      <c r="E172" s="290" t="s">
        <v>193</v>
      </c>
      <c r="F172" s="292">
        <v>0.59</v>
      </c>
      <c r="G172" s="510">
        <v>19.88</v>
      </c>
      <c r="H172" s="508">
        <v>0.2094</v>
      </c>
      <c r="I172" s="510">
        <v>24.042871999999999</v>
      </c>
      <c r="J172" s="509">
        <v>14.18529448</v>
      </c>
      <c r="K172" s="298"/>
      <c r="L172" s="447">
        <f t="shared" si="6"/>
        <v>14.18529448</v>
      </c>
      <c r="M172" s="447"/>
      <c r="N172" s="298"/>
      <c r="O172" s="298"/>
      <c r="P172" s="298"/>
      <c r="Q172" s="298"/>
      <c r="R172" s="298"/>
      <c r="S172" s="298"/>
    </row>
    <row r="173" spans="1:19" s="92" customFormat="1" ht="38.25">
      <c r="A173" s="394" t="s">
        <v>3260</v>
      </c>
      <c r="B173" s="288" t="s">
        <v>14825</v>
      </c>
      <c r="C173" s="285" t="s">
        <v>18204</v>
      </c>
      <c r="D173" s="289" t="s">
        <v>18202</v>
      </c>
      <c r="E173" s="290" t="s">
        <v>109</v>
      </c>
      <c r="F173" s="292">
        <v>5</v>
      </c>
      <c r="G173" s="510">
        <v>48.649999999999991</v>
      </c>
      <c r="H173" s="508">
        <v>0.2094</v>
      </c>
      <c r="I173" s="510">
        <v>58.837309999999988</v>
      </c>
      <c r="J173" s="509">
        <v>294.18654999999995</v>
      </c>
      <c r="K173" s="298"/>
      <c r="L173" s="447">
        <f t="shared" ref="L173" si="7">I173*F173</f>
        <v>294.18654999999995</v>
      </c>
      <c r="M173" s="447"/>
      <c r="N173" s="298"/>
      <c r="O173" s="298"/>
      <c r="P173" s="298"/>
      <c r="Q173" s="298"/>
      <c r="R173" s="298"/>
      <c r="S173" s="298"/>
    </row>
    <row r="174" spans="1:19" s="92" customFormat="1">
      <c r="A174" s="256"/>
      <c r="B174" s="391"/>
      <c r="C174" s="391"/>
      <c r="D174" s="401"/>
      <c r="E174" s="391"/>
      <c r="F174" s="417"/>
      <c r="G174" s="417"/>
      <c r="H174" s="417"/>
      <c r="I174" s="417"/>
      <c r="J174" s="418"/>
      <c r="K174" s="298"/>
      <c r="L174" s="447">
        <f t="shared" si="6"/>
        <v>0</v>
      </c>
      <c r="M174" s="447"/>
      <c r="N174" s="298"/>
      <c r="O174" s="298"/>
      <c r="P174" s="298"/>
      <c r="Q174" s="298"/>
      <c r="R174" s="298"/>
      <c r="S174" s="298"/>
    </row>
    <row r="175" spans="1:19" s="92" customFormat="1">
      <c r="A175" s="256"/>
      <c r="B175" s="392"/>
      <c r="C175" s="393"/>
      <c r="D175" s="402"/>
      <c r="E175" s="393"/>
      <c r="F175" s="393"/>
      <c r="G175" s="460" t="s">
        <v>69</v>
      </c>
      <c r="H175" s="432"/>
      <c r="I175" s="460"/>
      <c r="J175" s="420">
        <v>5839.3855673800008</v>
      </c>
      <c r="K175" s="298"/>
      <c r="L175" s="447">
        <f t="shared" si="6"/>
        <v>0</v>
      </c>
      <c r="M175" s="447"/>
      <c r="N175" s="298"/>
      <c r="O175" s="298"/>
      <c r="P175" s="298"/>
      <c r="Q175" s="298"/>
      <c r="R175" s="298"/>
      <c r="S175" s="298"/>
    </row>
    <row r="176" spans="1:19" s="92" customFormat="1">
      <c r="A176" s="256"/>
      <c r="B176" s="397"/>
      <c r="C176" s="397"/>
      <c r="D176" s="408"/>
      <c r="E176" s="397"/>
      <c r="F176" s="431"/>
      <c r="G176" s="431"/>
      <c r="H176" s="431"/>
      <c r="I176" s="431"/>
      <c r="J176" s="428"/>
      <c r="K176" s="298"/>
      <c r="L176" s="447">
        <f t="shared" si="6"/>
        <v>0</v>
      </c>
      <c r="M176" s="447"/>
      <c r="N176" s="298"/>
      <c r="O176" s="298"/>
      <c r="P176" s="298"/>
      <c r="Q176" s="298"/>
      <c r="R176" s="298"/>
      <c r="S176" s="298"/>
    </row>
    <row r="177" spans="1:19" s="92" customFormat="1">
      <c r="A177" s="256"/>
      <c r="B177" s="390" t="s">
        <v>14579</v>
      </c>
      <c r="C177" s="390"/>
      <c r="D177" s="479" t="s">
        <v>14580</v>
      </c>
      <c r="E177" s="397"/>
      <c r="F177" s="431"/>
      <c r="G177" s="431"/>
      <c r="H177" s="431"/>
      <c r="I177" s="431"/>
      <c r="J177" s="428"/>
      <c r="K177" s="447"/>
      <c r="L177" s="447">
        <f t="shared" si="6"/>
        <v>0</v>
      </c>
      <c r="M177" s="447"/>
      <c r="N177" s="298"/>
      <c r="O177" s="298"/>
      <c r="P177" s="298"/>
      <c r="Q177" s="298"/>
      <c r="R177" s="298"/>
      <c r="S177" s="298"/>
    </row>
    <row r="178" spans="1:19" s="92" customFormat="1">
      <c r="A178" s="256"/>
      <c r="B178" s="390" t="s">
        <v>15054</v>
      </c>
      <c r="C178" s="390"/>
      <c r="D178" s="399" t="s">
        <v>15055</v>
      </c>
      <c r="E178" s="415"/>
      <c r="F178" s="415"/>
      <c r="G178" s="462"/>
      <c r="H178" s="415"/>
      <c r="I178" s="462"/>
      <c r="J178" s="416"/>
      <c r="K178" s="447"/>
      <c r="L178" s="447">
        <f t="shared" si="6"/>
        <v>0</v>
      </c>
      <c r="M178" s="447"/>
      <c r="N178" s="298"/>
      <c r="O178" s="298"/>
      <c r="P178" s="298"/>
      <c r="Q178" s="298"/>
      <c r="R178" s="298"/>
      <c r="S178" s="298"/>
    </row>
    <row r="179" spans="1:19" s="92" customFormat="1" ht="51">
      <c r="A179" s="256" t="s">
        <v>3260</v>
      </c>
      <c r="B179" s="288" t="s">
        <v>15062</v>
      </c>
      <c r="C179" s="288" t="s">
        <v>15114</v>
      </c>
      <c r="D179" s="289" t="s">
        <v>17914</v>
      </c>
      <c r="E179" s="290" t="s">
        <v>109</v>
      </c>
      <c r="F179" s="292">
        <v>2</v>
      </c>
      <c r="G179" s="510">
        <v>164.22</v>
      </c>
      <c r="H179" s="508">
        <v>0.2094</v>
      </c>
      <c r="I179" s="510">
        <v>198.60766799999999</v>
      </c>
      <c r="J179" s="509">
        <v>397.21533599999998</v>
      </c>
      <c r="K179" s="298"/>
      <c r="L179" s="447">
        <f t="shared" si="6"/>
        <v>397.21533599999998</v>
      </c>
      <c r="M179" s="447"/>
      <c r="N179" s="298"/>
      <c r="O179" s="298"/>
      <c r="P179" s="298"/>
      <c r="Q179" s="298"/>
      <c r="R179" s="298"/>
      <c r="S179" s="298"/>
    </row>
    <row r="180" spans="1:19" s="92" customFormat="1" ht="78" customHeight="1">
      <c r="A180" s="256" t="s">
        <v>3260</v>
      </c>
      <c r="B180" s="288" t="s">
        <v>15070</v>
      </c>
      <c r="C180" s="288" t="s">
        <v>15116</v>
      </c>
      <c r="D180" s="289" t="s">
        <v>15120</v>
      </c>
      <c r="E180" s="290" t="s">
        <v>109</v>
      </c>
      <c r="F180" s="292">
        <v>2</v>
      </c>
      <c r="G180" s="510">
        <v>34.21</v>
      </c>
      <c r="H180" s="508">
        <v>0.2094</v>
      </c>
      <c r="I180" s="510">
        <v>41.373574000000005</v>
      </c>
      <c r="J180" s="509">
        <v>82.74714800000001</v>
      </c>
      <c r="K180" s="447"/>
      <c r="L180" s="447">
        <f t="shared" si="6"/>
        <v>82.74714800000001</v>
      </c>
      <c r="M180" s="447"/>
      <c r="N180" s="298"/>
      <c r="O180" s="298"/>
      <c r="P180" s="298"/>
      <c r="Q180" s="298"/>
      <c r="R180" s="298"/>
      <c r="S180" s="298"/>
    </row>
    <row r="181" spans="1:19" s="92" customFormat="1" ht="25.5">
      <c r="A181" s="256" t="s">
        <v>3260</v>
      </c>
      <c r="B181" s="288" t="s">
        <v>15071</v>
      </c>
      <c r="C181" s="288" t="s">
        <v>15122</v>
      </c>
      <c r="D181" s="289" t="s">
        <v>17916</v>
      </c>
      <c r="E181" s="290" t="s">
        <v>109</v>
      </c>
      <c r="F181" s="292">
        <v>2</v>
      </c>
      <c r="G181" s="510">
        <v>17.3</v>
      </c>
      <c r="H181" s="508">
        <v>0.2094</v>
      </c>
      <c r="I181" s="510">
        <v>20.922620000000002</v>
      </c>
      <c r="J181" s="509">
        <v>41.845240000000004</v>
      </c>
      <c r="K181" s="447"/>
      <c r="L181" s="447">
        <f t="shared" si="6"/>
        <v>41.845240000000004</v>
      </c>
      <c r="M181" s="447"/>
      <c r="N181" s="298"/>
      <c r="O181" s="298"/>
      <c r="P181" s="298"/>
      <c r="Q181" s="298"/>
      <c r="R181" s="298"/>
      <c r="S181" s="298"/>
    </row>
    <row r="182" spans="1:19" s="92" customFormat="1">
      <c r="A182" s="256"/>
      <c r="B182" s="397"/>
      <c r="C182" s="397"/>
      <c r="D182" s="408"/>
      <c r="E182" s="397"/>
      <c r="F182" s="431"/>
      <c r="G182" s="431"/>
      <c r="H182" s="417"/>
      <c r="I182" s="431"/>
      <c r="J182" s="418"/>
      <c r="K182" s="298"/>
      <c r="L182" s="447">
        <f t="shared" si="6"/>
        <v>0</v>
      </c>
      <c r="M182" s="447"/>
      <c r="N182" s="298"/>
      <c r="O182" s="298"/>
      <c r="P182" s="298"/>
      <c r="Q182" s="298"/>
      <c r="R182" s="298"/>
      <c r="S182" s="298"/>
    </row>
    <row r="183" spans="1:19" s="92" customFormat="1">
      <c r="A183" s="256"/>
      <c r="B183" s="392"/>
      <c r="C183" s="393"/>
      <c r="D183" s="402"/>
      <c r="E183" s="393"/>
      <c r="F183" s="393"/>
      <c r="G183" s="460" t="s">
        <v>69</v>
      </c>
      <c r="H183" s="432"/>
      <c r="I183" s="460"/>
      <c r="J183" s="420">
        <v>521.80772400000001</v>
      </c>
      <c r="K183" s="298"/>
      <c r="L183" s="447">
        <f t="shared" si="6"/>
        <v>0</v>
      </c>
      <c r="M183" s="447"/>
      <c r="N183" s="298"/>
      <c r="O183" s="298"/>
      <c r="P183" s="298"/>
      <c r="Q183" s="298"/>
      <c r="R183" s="298"/>
      <c r="S183" s="298"/>
    </row>
    <row r="184" spans="1:19" s="92" customFormat="1">
      <c r="A184" s="256"/>
      <c r="B184" s="397"/>
      <c r="C184" s="397"/>
      <c r="D184" s="408"/>
      <c r="E184" s="397"/>
      <c r="F184" s="431"/>
      <c r="G184" s="431"/>
      <c r="H184" s="431"/>
      <c r="I184" s="431"/>
      <c r="J184" s="418"/>
      <c r="K184" s="298"/>
      <c r="L184" s="447">
        <f t="shared" ref="L184" si="8">I184*F184</f>
        <v>0</v>
      </c>
      <c r="M184" s="447"/>
      <c r="N184" s="298"/>
      <c r="O184" s="298"/>
      <c r="P184" s="298"/>
      <c r="Q184" s="298"/>
      <c r="R184" s="298"/>
      <c r="S184" s="298"/>
    </row>
    <row r="185" spans="1:19" s="140" customFormat="1">
      <c r="A185" s="394"/>
      <c r="B185" s="395"/>
      <c r="C185" s="395"/>
      <c r="D185" s="404"/>
      <c r="E185" s="395"/>
      <c r="F185" s="395"/>
      <c r="G185" s="434" t="s">
        <v>70</v>
      </c>
      <c r="H185" s="435"/>
      <c r="I185" s="460"/>
      <c r="J185" s="420">
        <v>63077.569924639989</v>
      </c>
      <c r="K185" s="448"/>
      <c r="L185" s="450">
        <f>SUM(L12:L184)</f>
        <v>63077.569924639996</v>
      </c>
      <c r="M185" s="449"/>
      <c r="N185" s="409"/>
      <c r="O185" s="409"/>
      <c r="P185" s="409"/>
      <c r="Q185" s="409"/>
      <c r="R185" s="409"/>
      <c r="S185" s="409"/>
    </row>
    <row r="186" spans="1:19" s="140" customFormat="1">
      <c r="A186" s="394"/>
      <c r="B186" s="394"/>
      <c r="C186" s="394"/>
      <c r="D186" s="409"/>
      <c r="E186" s="394"/>
      <c r="F186" s="437"/>
      <c r="G186" s="437"/>
      <c r="H186" s="437"/>
      <c r="I186" s="438"/>
      <c r="J186" s="437"/>
      <c r="K186" s="409"/>
      <c r="L186" s="409"/>
      <c r="M186" s="409"/>
      <c r="N186" s="409"/>
      <c r="O186" s="409"/>
      <c r="P186" s="409"/>
      <c r="Q186" s="409"/>
      <c r="R186" s="409"/>
      <c r="S186" s="409"/>
    </row>
    <row r="187" spans="1:19" s="70" customFormat="1" ht="58.15" customHeight="1">
      <c r="A187" s="128"/>
      <c r="B187" s="808" t="str">
        <f>'018.02-21-IMPLANTAÇÃO'!B440:J440</f>
        <v>ENG. GABRIEL DA CUNHA ARAUJO
CREA 23300/D-DF
ART: 0720210046394
MAT.: 973.175-X</v>
      </c>
      <c r="C187" s="808"/>
      <c r="D187" s="808"/>
      <c r="E187" s="808"/>
      <c r="F187" s="808"/>
      <c r="G187" s="808"/>
      <c r="H187" s="808"/>
      <c r="I187" s="808"/>
      <c r="J187" s="808"/>
      <c r="K187" s="446"/>
      <c r="L187" s="446"/>
      <c r="M187" s="446"/>
      <c r="N187" s="446"/>
      <c r="O187" s="446"/>
      <c r="P187" s="446"/>
      <c r="Q187" s="446"/>
      <c r="R187" s="446"/>
      <c r="S187" s="446"/>
    </row>
    <row r="188" spans="1:19" s="70" customFormat="1" ht="58.15" customHeight="1">
      <c r="A188" s="128"/>
      <c r="B188" s="808" t="str">
        <f>'018.02-21-IMPLANTAÇÃO'!B441:J441</f>
        <v>ENG. GILMAR DA MOTA FERNANDES
CREA 23785/D-DF
ART: 0720210047629
MAT.: 973.113-X</v>
      </c>
      <c r="C188" s="808"/>
      <c r="D188" s="808"/>
      <c r="E188" s="808"/>
      <c r="F188" s="808"/>
      <c r="G188" s="808"/>
      <c r="H188" s="808"/>
      <c r="I188" s="808"/>
      <c r="J188" s="808"/>
      <c r="K188" s="446"/>
      <c r="L188" s="446"/>
      <c r="M188" s="446"/>
      <c r="N188" s="446"/>
      <c r="O188" s="446"/>
      <c r="P188" s="446"/>
      <c r="Q188" s="446"/>
      <c r="R188" s="446"/>
      <c r="S188" s="446"/>
    </row>
    <row r="189" spans="1:19" s="70" customFormat="1" ht="58.15" customHeight="1">
      <c r="A189" s="128"/>
      <c r="B189" s="808" t="str">
        <f>'018.02-21-IMPLANTAÇÃO'!B442:J442</f>
        <v>ENG. TIAGO DE SOUZA OLIVEIRA
CREA 24935/D-DF
ART: 0720210047000
MAT.: 973.315-9</v>
      </c>
      <c r="C189" s="808"/>
      <c r="D189" s="808"/>
      <c r="E189" s="808"/>
      <c r="F189" s="808"/>
      <c r="G189" s="808"/>
      <c r="H189" s="808"/>
      <c r="I189" s="808"/>
      <c r="J189" s="808"/>
      <c r="K189" s="446"/>
      <c r="L189" s="446"/>
      <c r="M189" s="446"/>
      <c r="N189" s="446"/>
      <c r="O189" s="446"/>
      <c r="P189" s="446"/>
      <c r="Q189" s="446"/>
      <c r="R189" s="446"/>
      <c r="S189" s="446"/>
    </row>
    <row r="194" spans="4:10">
      <c r="D194" s="410"/>
      <c r="F194" s="398"/>
      <c r="G194" s="398"/>
      <c r="H194" s="398"/>
      <c r="I194" s="398"/>
      <c r="J194" s="398"/>
    </row>
    <row r="195" spans="4:10">
      <c r="D195" s="410"/>
      <c r="F195" s="398"/>
      <c r="G195" s="398"/>
      <c r="H195" s="398"/>
      <c r="I195" s="398"/>
      <c r="J195" s="398"/>
    </row>
  </sheetData>
  <autoFilter ref="B11:J190"/>
  <mergeCells count="14">
    <mergeCell ref="B6:C6"/>
    <mergeCell ref="D6:E6"/>
    <mergeCell ref="B1:J1"/>
    <mergeCell ref="B2:J2"/>
    <mergeCell ref="B3:J3"/>
    <mergeCell ref="B4:J4"/>
    <mergeCell ref="B5:J5"/>
    <mergeCell ref="B189:J189"/>
    <mergeCell ref="B7:C7"/>
    <mergeCell ref="D7:F7"/>
    <mergeCell ref="B8:C8"/>
    <mergeCell ref="B9:C9"/>
    <mergeCell ref="B187:J187"/>
    <mergeCell ref="B188:J188"/>
  </mergeCells>
  <printOptions horizontalCentered="1"/>
  <pageMargins left="0.59055118110236227" right="0.62992125984251968" top="0.39370078740157483" bottom="0.39370078740157483" header="0.19685039370078741" footer="0.19685039370078741"/>
  <pageSetup paperSize="9" scale="60" orientation="portrait" r:id="rId1"/>
  <headerFooter>
    <oddHeader>&amp;C&amp;F</oddHeader>
    <oddFooter>Página &amp;P de &amp;N</oddFooter>
  </headerFooter>
  <drawing r:id="rId2"/>
  <legacyDrawing r:id="rId3"/>
</worksheet>
</file>

<file path=xl/worksheets/sheet7.xml><?xml version="1.0" encoding="utf-8"?>
<worksheet xmlns="http://schemas.openxmlformats.org/spreadsheetml/2006/main" xmlns:r="http://schemas.openxmlformats.org/officeDocument/2006/relationships">
  <sheetPr>
    <tabColor rgb="FFFF0000"/>
  </sheetPr>
  <dimension ref="A1:S223"/>
  <sheetViews>
    <sheetView showGridLines="0" view="pageBreakPreview" zoomScale="90" zoomScaleNormal="100" zoomScaleSheetLayoutView="90" workbookViewId="0">
      <selection activeCell="M16" sqref="M16"/>
    </sheetView>
  </sheetViews>
  <sheetFormatPr defaultColWidth="9.140625" defaultRowHeight="12.75"/>
  <cols>
    <col min="1" max="1" width="9.140625" style="398" customWidth="1"/>
    <col min="2" max="2" width="12.7109375" style="398" customWidth="1"/>
    <col min="3" max="3" width="13.42578125" style="398" customWidth="1"/>
    <col min="4" max="4" width="44.7109375" style="411" customWidth="1"/>
    <col min="5" max="5" width="7.7109375" style="398" customWidth="1"/>
    <col min="6" max="6" width="9.42578125" style="439" customWidth="1"/>
    <col min="7" max="7" width="12.85546875" style="439" customWidth="1"/>
    <col min="8" max="8" width="11.7109375" style="439" customWidth="1"/>
    <col min="9" max="9" width="12.5703125" style="439" customWidth="1"/>
    <col min="10" max="10" width="17.7109375" style="439" customWidth="1"/>
    <col min="11" max="11" width="17.140625" style="411" customWidth="1"/>
    <col min="12" max="12" width="20.140625" style="411" customWidth="1"/>
    <col min="13" max="13" width="20.7109375" style="411" customWidth="1"/>
    <col min="14" max="14" width="14.28515625" style="411" customWidth="1"/>
    <col min="15" max="15" width="16.7109375" style="411" customWidth="1"/>
    <col min="16" max="16" width="12.85546875" style="411" customWidth="1"/>
    <col min="17" max="17" width="11.85546875" style="411" customWidth="1"/>
    <col min="18" max="18" width="15" style="411" customWidth="1"/>
    <col min="19" max="19" width="9.140625" style="411"/>
    <col min="20" max="16384" width="9.140625" style="71"/>
  </cols>
  <sheetData>
    <row r="1" spans="1:19" s="86" customFormat="1" ht="15.75">
      <c r="A1" s="127"/>
      <c r="B1" s="814"/>
      <c r="C1" s="814"/>
      <c r="D1" s="814"/>
      <c r="E1" s="814"/>
      <c r="F1" s="814"/>
      <c r="G1" s="814"/>
      <c r="H1" s="814"/>
      <c r="I1" s="814"/>
      <c r="J1" s="814"/>
      <c r="K1" s="443"/>
      <c r="L1" s="444"/>
      <c r="M1" s="444"/>
      <c r="N1" s="444"/>
      <c r="O1" s="444"/>
      <c r="P1" s="444"/>
      <c r="Q1" s="444"/>
      <c r="R1" s="444"/>
      <c r="S1" s="444"/>
    </row>
    <row r="2" spans="1:19" s="67" customFormat="1" ht="18.75">
      <c r="A2" s="130"/>
      <c r="B2" s="815" t="s">
        <v>3765</v>
      </c>
      <c r="C2" s="815"/>
      <c r="D2" s="815"/>
      <c r="E2" s="815"/>
      <c r="F2" s="815"/>
      <c r="G2" s="815"/>
      <c r="H2" s="815"/>
      <c r="I2" s="815"/>
      <c r="J2" s="815"/>
      <c r="K2" s="445"/>
      <c r="L2" s="446"/>
      <c r="M2" s="446"/>
      <c r="N2" s="446"/>
      <c r="O2" s="446"/>
      <c r="P2" s="446"/>
      <c r="Q2" s="446"/>
      <c r="R2" s="381"/>
      <c r="S2" s="381"/>
    </row>
    <row r="3" spans="1:19" s="67" customFormat="1" ht="18.75">
      <c r="A3" s="130"/>
      <c r="B3" s="815" t="s">
        <v>3766</v>
      </c>
      <c r="C3" s="815"/>
      <c r="D3" s="815"/>
      <c r="E3" s="815"/>
      <c r="F3" s="815"/>
      <c r="G3" s="815"/>
      <c r="H3" s="815"/>
      <c r="I3" s="815"/>
      <c r="J3" s="815"/>
      <c r="K3" s="445"/>
      <c r="L3" s="446"/>
      <c r="M3" s="446"/>
      <c r="N3" s="446"/>
      <c r="O3" s="446"/>
      <c r="P3" s="446"/>
      <c r="Q3" s="446"/>
      <c r="R3" s="381"/>
      <c r="S3" s="381"/>
    </row>
    <row r="4" spans="1:19" s="67" customFormat="1" ht="18.75">
      <c r="A4" s="130"/>
      <c r="B4" s="815" t="s">
        <v>3768</v>
      </c>
      <c r="C4" s="815"/>
      <c r="D4" s="815"/>
      <c r="E4" s="815"/>
      <c r="F4" s="815"/>
      <c r="G4" s="815"/>
      <c r="H4" s="815"/>
      <c r="I4" s="815"/>
      <c r="J4" s="815"/>
      <c r="K4" s="446"/>
      <c r="L4" s="446"/>
      <c r="M4" s="446"/>
      <c r="N4" s="446"/>
      <c r="O4" s="446"/>
      <c r="P4" s="446"/>
      <c r="Q4" s="446"/>
      <c r="R4" s="381"/>
      <c r="S4" s="381"/>
    </row>
    <row r="5" spans="1:19" s="67" customFormat="1" ht="18.75">
      <c r="A5" s="130"/>
      <c r="B5" s="815" t="s">
        <v>18549</v>
      </c>
      <c r="C5" s="815"/>
      <c r="D5" s="815"/>
      <c r="E5" s="815"/>
      <c r="F5" s="815"/>
      <c r="G5" s="815"/>
      <c r="H5" s="815"/>
      <c r="I5" s="815"/>
      <c r="J5" s="815"/>
      <c r="K5" s="446"/>
      <c r="L5" s="446"/>
      <c r="M5" s="446"/>
      <c r="N5" s="446"/>
      <c r="O5" s="446"/>
      <c r="P5" s="446"/>
      <c r="Q5" s="446"/>
      <c r="R5" s="381"/>
      <c r="S5" s="381"/>
    </row>
    <row r="6" spans="1:19" s="67" customFormat="1">
      <c r="A6" s="130"/>
      <c r="B6" s="809" t="s">
        <v>60</v>
      </c>
      <c r="C6" s="809"/>
      <c r="D6" s="813" t="s">
        <v>24740</v>
      </c>
      <c r="E6" s="813"/>
      <c r="F6" s="130"/>
      <c r="G6" s="347"/>
      <c r="H6" s="347"/>
      <c r="I6" s="347" t="s">
        <v>61</v>
      </c>
      <c r="J6" s="346">
        <f>'018-21-CAPA'!E20</f>
        <v>44389</v>
      </c>
      <c r="K6" s="445"/>
      <c r="L6" s="446"/>
      <c r="M6" s="446"/>
      <c r="N6" s="446"/>
      <c r="O6" s="446"/>
      <c r="P6" s="446"/>
      <c r="Q6" s="446"/>
      <c r="R6" s="446"/>
      <c r="S6" s="381"/>
    </row>
    <row r="7" spans="1:19" s="67" customFormat="1" ht="12.75" customHeight="1">
      <c r="A7" s="130"/>
      <c r="B7" s="809" t="s">
        <v>62</v>
      </c>
      <c r="C7" s="809"/>
      <c r="D7" s="810" t="s">
        <v>24736</v>
      </c>
      <c r="E7" s="811"/>
      <c r="F7" s="811"/>
      <c r="G7" s="697"/>
      <c r="H7" s="697"/>
      <c r="I7" s="697" t="s">
        <v>16</v>
      </c>
      <c r="J7" s="329" t="str">
        <f>'018.01-21-ADM OBRA'!J7</f>
        <v>PROJ-DE-045-20</v>
      </c>
      <c r="K7" s="446"/>
      <c r="L7" s="446"/>
      <c r="M7" s="446"/>
      <c r="N7" s="446"/>
      <c r="O7" s="446"/>
      <c r="P7" s="446"/>
      <c r="Q7" s="446"/>
      <c r="R7" s="381"/>
      <c r="S7" s="381"/>
    </row>
    <row r="8" spans="1:19" s="67" customFormat="1">
      <c r="A8" s="130"/>
      <c r="B8" s="812" t="s">
        <v>18</v>
      </c>
      <c r="C8" s="809" t="s">
        <v>63</v>
      </c>
      <c r="D8" s="294" t="s">
        <v>18322</v>
      </c>
      <c r="E8" s="306"/>
      <c r="F8" s="130"/>
      <c r="G8" s="697"/>
      <c r="H8" s="697"/>
      <c r="I8" s="697" t="s">
        <v>64</v>
      </c>
      <c r="J8" s="329" t="str">
        <f>'018.01-21-ADM OBRA'!J8</f>
        <v>1.497,00 m²</v>
      </c>
      <c r="K8" s="445"/>
      <c r="L8" s="446"/>
      <c r="M8" s="446"/>
      <c r="N8" s="446"/>
      <c r="O8" s="446"/>
      <c r="P8" s="446"/>
      <c r="Q8" s="446"/>
      <c r="R8" s="446"/>
      <c r="S8" s="381"/>
    </row>
    <row r="9" spans="1:19" s="67" customFormat="1">
      <c r="A9" s="130"/>
      <c r="B9" s="809" t="s">
        <v>65</v>
      </c>
      <c r="C9" s="809"/>
      <c r="D9" s="378" t="s">
        <v>15157</v>
      </c>
      <c r="E9" s="347" t="s">
        <v>66</v>
      </c>
      <c r="F9" s="412">
        <v>0.2094</v>
      </c>
      <c r="G9" s="347" t="s">
        <v>66</v>
      </c>
      <c r="H9" s="412">
        <v>0.1089</v>
      </c>
      <c r="I9" s="327" t="s">
        <v>68</v>
      </c>
      <c r="J9" s="329" t="str">
        <f>'018.01-21-ADM OBRA'!J9</f>
        <v>SINAPI MAIO 2021</v>
      </c>
      <c r="K9" s="445"/>
      <c r="L9" s="446"/>
      <c r="M9" s="446"/>
      <c r="N9" s="446"/>
      <c r="O9" s="446"/>
      <c r="P9" s="446"/>
      <c r="Q9" s="446"/>
      <c r="R9" s="446"/>
      <c r="S9" s="381"/>
    </row>
    <row r="10" spans="1:19" s="67" customFormat="1">
      <c r="A10" s="130"/>
      <c r="B10" s="697"/>
      <c r="C10" s="697"/>
      <c r="D10" s="378"/>
      <c r="E10" s="347"/>
      <c r="F10" s="306"/>
      <c r="G10" s="327"/>
      <c r="H10" s="327"/>
      <c r="I10" s="327"/>
      <c r="J10" s="698"/>
      <c r="K10" s="445"/>
      <c r="L10" s="446"/>
      <c r="M10" s="446"/>
      <c r="N10" s="446"/>
      <c r="O10" s="446"/>
      <c r="P10" s="446"/>
      <c r="Q10" s="446"/>
      <c r="R10" s="446"/>
      <c r="S10" s="381"/>
    </row>
    <row r="11" spans="1:19" s="1" customFormat="1" ht="45">
      <c r="A11" s="377"/>
      <c r="B11" s="186" t="s">
        <v>71</v>
      </c>
      <c r="C11" s="186" t="s">
        <v>0</v>
      </c>
      <c r="D11" s="186" t="s">
        <v>1</v>
      </c>
      <c r="E11" s="186" t="s">
        <v>171</v>
      </c>
      <c r="F11" s="186" t="s">
        <v>2</v>
      </c>
      <c r="G11" s="186" t="s">
        <v>9033</v>
      </c>
      <c r="H11" s="186" t="s">
        <v>30</v>
      </c>
      <c r="I11" s="186" t="s">
        <v>9034</v>
      </c>
      <c r="J11" s="186" t="s">
        <v>9035</v>
      </c>
      <c r="K11" s="380"/>
      <c r="L11" s="380"/>
      <c r="M11" s="380"/>
      <c r="N11" s="380"/>
      <c r="O11" s="380"/>
      <c r="P11" s="380"/>
      <c r="Q11" s="380"/>
      <c r="R11" s="380"/>
      <c r="S11" s="380"/>
    </row>
    <row r="12" spans="1:19" s="92" customFormat="1">
      <c r="A12" s="256"/>
      <c r="B12" s="287" t="s">
        <v>78</v>
      </c>
      <c r="C12" s="287"/>
      <c r="D12" s="399" t="s">
        <v>3</v>
      </c>
      <c r="E12" s="413"/>
      <c r="F12" s="413"/>
      <c r="G12" s="461"/>
      <c r="H12" s="413"/>
      <c r="I12" s="461"/>
      <c r="J12" s="414"/>
      <c r="K12" s="298"/>
      <c r="L12" s="447">
        <f t="shared" ref="L12:L75" si="0">I12*F12</f>
        <v>0</v>
      </c>
      <c r="M12" s="447"/>
      <c r="N12" s="298"/>
      <c r="O12" s="298"/>
      <c r="P12" s="298"/>
      <c r="Q12" s="298"/>
      <c r="R12" s="298"/>
      <c r="S12" s="298"/>
    </row>
    <row r="13" spans="1:19" s="92" customFormat="1">
      <c r="A13" s="256"/>
      <c r="B13" s="287" t="s">
        <v>15590</v>
      </c>
      <c r="C13" s="287"/>
      <c r="D13" s="400" t="s">
        <v>15591</v>
      </c>
      <c r="E13" s="415"/>
      <c r="F13" s="415"/>
      <c r="G13" s="462"/>
      <c r="H13" s="415"/>
      <c r="I13" s="462"/>
      <c r="J13" s="416"/>
      <c r="K13" s="298"/>
      <c r="L13" s="447">
        <f t="shared" si="0"/>
        <v>0</v>
      </c>
      <c r="M13" s="447"/>
      <c r="N13" s="298"/>
      <c r="O13" s="298"/>
      <c r="P13" s="298"/>
      <c r="Q13" s="298"/>
      <c r="R13" s="298"/>
      <c r="S13" s="298"/>
    </row>
    <row r="14" spans="1:19" s="92" customFormat="1">
      <c r="A14" s="256"/>
      <c r="B14" s="287" t="s">
        <v>15592</v>
      </c>
      <c r="C14" s="287"/>
      <c r="D14" s="400" t="s">
        <v>15593</v>
      </c>
      <c r="E14" s="415"/>
      <c r="F14" s="415"/>
      <c r="G14" s="462"/>
      <c r="H14" s="415"/>
      <c r="I14" s="462"/>
      <c r="J14" s="416"/>
      <c r="K14" s="298"/>
      <c r="L14" s="447">
        <f t="shared" si="0"/>
        <v>0</v>
      </c>
      <c r="M14" s="447"/>
      <c r="N14" s="298"/>
      <c r="O14" s="298"/>
      <c r="P14" s="298"/>
      <c r="Q14" s="298"/>
      <c r="R14" s="298"/>
      <c r="S14" s="298"/>
    </row>
    <row r="15" spans="1:19" s="92" customFormat="1" ht="51">
      <c r="A15" s="256" t="s">
        <v>3259</v>
      </c>
      <c r="B15" s="288" t="s">
        <v>15594</v>
      </c>
      <c r="C15" s="288">
        <v>99059</v>
      </c>
      <c r="D15" s="289" t="s">
        <v>4496</v>
      </c>
      <c r="E15" s="290" t="s">
        <v>5</v>
      </c>
      <c r="F15" s="292">
        <v>10.199999999999999</v>
      </c>
      <c r="G15" s="510" t="s">
        <v>12398</v>
      </c>
      <c r="H15" s="508">
        <v>0.2094</v>
      </c>
      <c r="I15" s="510">
        <v>59.381540000000001</v>
      </c>
      <c r="J15" s="509">
        <v>605.69170799999995</v>
      </c>
      <c r="K15" s="298"/>
      <c r="L15" s="447">
        <f t="shared" si="0"/>
        <v>605.69170799999995</v>
      </c>
      <c r="M15" s="447"/>
      <c r="N15" s="298"/>
      <c r="O15" s="298"/>
      <c r="P15" s="298"/>
      <c r="Q15" s="298"/>
      <c r="R15" s="298"/>
      <c r="S15" s="298"/>
    </row>
    <row r="16" spans="1:19" s="92" customFormat="1">
      <c r="A16" s="256"/>
      <c r="B16" s="391"/>
      <c r="C16" s="391"/>
      <c r="D16" s="401"/>
      <c r="E16" s="391"/>
      <c r="F16" s="417"/>
      <c r="G16" s="417"/>
      <c r="H16" s="417"/>
      <c r="I16" s="417"/>
      <c r="J16" s="418"/>
      <c r="K16" s="298"/>
      <c r="L16" s="447">
        <f t="shared" si="0"/>
        <v>0</v>
      </c>
      <c r="M16" s="447"/>
      <c r="N16" s="298"/>
      <c r="O16" s="298"/>
      <c r="P16" s="298"/>
      <c r="Q16" s="298"/>
      <c r="R16" s="298"/>
      <c r="S16" s="298"/>
    </row>
    <row r="17" spans="1:19" s="92" customFormat="1">
      <c r="A17" s="256"/>
      <c r="B17" s="392"/>
      <c r="C17" s="393"/>
      <c r="D17" s="402"/>
      <c r="E17" s="393"/>
      <c r="F17" s="393"/>
      <c r="G17" s="460" t="s">
        <v>69</v>
      </c>
      <c r="H17" s="419"/>
      <c r="I17" s="460"/>
      <c r="J17" s="420">
        <v>605.69170799999995</v>
      </c>
      <c r="K17" s="447"/>
      <c r="L17" s="447">
        <f t="shared" si="0"/>
        <v>0</v>
      </c>
      <c r="M17" s="447"/>
      <c r="N17" s="298"/>
      <c r="O17" s="298"/>
      <c r="P17" s="298"/>
      <c r="Q17" s="298"/>
      <c r="R17" s="298"/>
      <c r="S17" s="298"/>
    </row>
    <row r="18" spans="1:19" s="92" customFormat="1">
      <c r="A18" s="256"/>
      <c r="B18" s="391"/>
      <c r="C18" s="391"/>
      <c r="D18" s="401"/>
      <c r="E18" s="391"/>
      <c r="F18" s="417"/>
      <c r="G18" s="417"/>
      <c r="H18" s="417"/>
      <c r="I18" s="417"/>
      <c r="J18" s="418"/>
      <c r="K18" s="298"/>
      <c r="L18" s="447">
        <f t="shared" si="0"/>
        <v>0</v>
      </c>
      <c r="M18" s="447"/>
      <c r="N18" s="298"/>
      <c r="O18" s="298"/>
      <c r="P18" s="298"/>
      <c r="Q18" s="298"/>
      <c r="R18" s="298"/>
      <c r="S18" s="298"/>
    </row>
    <row r="19" spans="1:19" s="92" customFormat="1">
      <c r="A19" s="256"/>
      <c r="B19" s="287" t="s">
        <v>3285</v>
      </c>
      <c r="C19" s="287"/>
      <c r="D19" s="399" t="s">
        <v>3286</v>
      </c>
      <c r="E19" s="413"/>
      <c r="F19" s="413"/>
      <c r="G19" s="461"/>
      <c r="H19" s="413"/>
      <c r="I19" s="461"/>
      <c r="J19" s="414"/>
      <c r="K19" s="298"/>
      <c r="L19" s="447">
        <f t="shared" si="0"/>
        <v>0</v>
      </c>
      <c r="M19" s="447"/>
      <c r="N19" s="298"/>
      <c r="O19" s="298"/>
      <c r="P19" s="298"/>
      <c r="Q19" s="298"/>
      <c r="R19" s="298"/>
      <c r="S19" s="298"/>
    </row>
    <row r="20" spans="1:19" s="92" customFormat="1">
      <c r="A20" s="256"/>
      <c r="B20" s="287" t="s">
        <v>3287</v>
      </c>
      <c r="C20" s="287"/>
      <c r="D20" s="400" t="s">
        <v>3288</v>
      </c>
      <c r="E20" s="415"/>
      <c r="F20" s="415"/>
      <c r="G20" s="462"/>
      <c r="H20" s="415"/>
      <c r="I20" s="462"/>
      <c r="J20" s="416"/>
      <c r="K20" s="298"/>
      <c r="L20" s="447">
        <f t="shared" si="0"/>
        <v>0</v>
      </c>
      <c r="M20" s="447"/>
      <c r="N20" s="298"/>
      <c r="O20" s="298" t="s">
        <v>24876</v>
      </c>
      <c r="P20" s="298"/>
      <c r="Q20" s="298"/>
      <c r="R20" s="298"/>
      <c r="S20" s="298"/>
    </row>
    <row r="21" spans="1:19" s="92" customFormat="1">
      <c r="A21" s="256"/>
      <c r="B21" s="287" t="s">
        <v>3289</v>
      </c>
      <c r="C21" s="287"/>
      <c r="D21" s="400" t="s">
        <v>3290</v>
      </c>
      <c r="E21" s="415"/>
      <c r="F21" s="415"/>
      <c r="G21" s="462"/>
      <c r="H21" s="415"/>
      <c r="I21" s="462"/>
      <c r="J21" s="416"/>
      <c r="K21" s="298"/>
      <c r="L21" s="447">
        <f t="shared" si="0"/>
        <v>0</v>
      </c>
      <c r="M21" s="447"/>
      <c r="N21" s="298"/>
      <c r="O21" s="638">
        <f>K30+F51+F68+F80+F91</f>
        <v>5.069203371761569</v>
      </c>
      <c r="P21" s="298"/>
      <c r="Q21" s="298"/>
      <c r="R21" s="298"/>
      <c r="S21" s="298"/>
    </row>
    <row r="22" spans="1:19" s="92" customFormat="1" ht="38.25">
      <c r="A22" s="256" t="s">
        <v>3259</v>
      </c>
      <c r="B22" s="288" t="s">
        <v>3291</v>
      </c>
      <c r="C22" s="288">
        <v>96527</v>
      </c>
      <c r="D22" s="289" t="s">
        <v>2468</v>
      </c>
      <c r="E22" s="290" t="s">
        <v>209</v>
      </c>
      <c r="F22" s="292">
        <v>1.39</v>
      </c>
      <c r="G22" s="510" t="s">
        <v>14231</v>
      </c>
      <c r="H22" s="508">
        <v>0.2094</v>
      </c>
      <c r="I22" s="510">
        <v>130.30075600000001</v>
      </c>
      <c r="J22" s="509">
        <v>181.11805084</v>
      </c>
      <c r="K22" s="298"/>
      <c r="L22" s="447">
        <f t="shared" si="0"/>
        <v>181.11805084</v>
      </c>
      <c r="M22" s="447"/>
      <c r="N22" s="298"/>
      <c r="O22" s="298"/>
      <c r="P22" s="298"/>
      <c r="Q22" s="298"/>
      <c r="R22" s="298"/>
      <c r="S22" s="298"/>
    </row>
    <row r="23" spans="1:19" s="92" customFormat="1" ht="38.25">
      <c r="A23" s="256" t="s">
        <v>3259</v>
      </c>
      <c r="B23" s="288" t="s">
        <v>3292</v>
      </c>
      <c r="C23" s="288">
        <v>96523</v>
      </c>
      <c r="D23" s="289" t="s">
        <v>2464</v>
      </c>
      <c r="E23" s="290" t="s">
        <v>209</v>
      </c>
      <c r="F23" s="292">
        <v>2.11</v>
      </c>
      <c r="G23" s="510" t="s">
        <v>23664</v>
      </c>
      <c r="H23" s="508">
        <v>0.2094</v>
      </c>
      <c r="I23" s="510">
        <v>99.376398000000009</v>
      </c>
      <c r="J23" s="509">
        <v>209.68419978</v>
      </c>
      <c r="K23" s="298"/>
      <c r="L23" s="447">
        <f t="shared" si="0"/>
        <v>209.68419978</v>
      </c>
      <c r="M23" s="447"/>
      <c r="N23" s="298"/>
      <c r="O23" s="298"/>
      <c r="P23" s="298"/>
      <c r="Q23" s="298"/>
      <c r="R23" s="298"/>
      <c r="S23" s="298"/>
    </row>
    <row r="24" spans="1:19" s="92" customFormat="1" ht="38.25">
      <c r="A24" s="256" t="s">
        <v>3259</v>
      </c>
      <c r="B24" s="288" t="s">
        <v>3293</v>
      </c>
      <c r="C24" s="288">
        <v>101616</v>
      </c>
      <c r="D24" s="289" t="s">
        <v>13664</v>
      </c>
      <c r="E24" s="290" t="s">
        <v>193</v>
      </c>
      <c r="F24" s="292">
        <v>6.34</v>
      </c>
      <c r="G24" s="510" t="s">
        <v>11219</v>
      </c>
      <c r="H24" s="508">
        <v>0.2094</v>
      </c>
      <c r="I24" s="510">
        <v>6.3735379999999999</v>
      </c>
      <c r="J24" s="509">
        <v>40.408230920000001</v>
      </c>
      <c r="K24" s="298"/>
      <c r="L24" s="447">
        <f t="shared" si="0"/>
        <v>40.408230920000001</v>
      </c>
      <c r="M24" s="447"/>
      <c r="N24" s="298"/>
      <c r="O24" s="298"/>
      <c r="P24" s="298"/>
      <c r="Q24" s="298"/>
      <c r="R24" s="298"/>
      <c r="S24" s="298"/>
    </row>
    <row r="25" spans="1:19" s="92" customFormat="1" ht="25.5">
      <c r="A25" s="256" t="s">
        <v>3259</v>
      </c>
      <c r="B25" s="288" t="s">
        <v>3762</v>
      </c>
      <c r="C25" s="288">
        <v>93382</v>
      </c>
      <c r="D25" s="289" t="s">
        <v>2501</v>
      </c>
      <c r="E25" s="290" t="s">
        <v>209</v>
      </c>
      <c r="F25" s="292">
        <v>2.1</v>
      </c>
      <c r="G25" s="510" t="s">
        <v>16369</v>
      </c>
      <c r="H25" s="508">
        <v>0.2094</v>
      </c>
      <c r="I25" s="510">
        <v>30.380128000000003</v>
      </c>
      <c r="J25" s="509">
        <v>63.79826880000001</v>
      </c>
      <c r="K25" s="298"/>
      <c r="L25" s="447">
        <f t="shared" si="0"/>
        <v>63.79826880000001</v>
      </c>
      <c r="M25" s="447"/>
      <c r="N25" s="298"/>
      <c r="O25" s="298"/>
      <c r="P25" s="298"/>
      <c r="Q25" s="298"/>
      <c r="R25" s="298"/>
      <c r="S25" s="298"/>
    </row>
    <row r="26" spans="1:19" s="92" customFormat="1">
      <c r="A26" s="256"/>
      <c r="B26" s="391"/>
      <c r="C26" s="391"/>
      <c r="D26" s="401"/>
      <c r="E26" s="391"/>
      <c r="F26" s="417"/>
      <c r="G26" s="417"/>
      <c r="H26" s="417"/>
      <c r="I26" s="417"/>
      <c r="J26" s="418"/>
      <c r="K26" s="298"/>
      <c r="L26" s="447">
        <f t="shared" si="0"/>
        <v>0</v>
      </c>
      <c r="M26" s="447"/>
      <c r="N26" s="298"/>
      <c r="O26" s="298"/>
      <c r="P26" s="298"/>
      <c r="Q26" s="298"/>
      <c r="R26" s="298"/>
      <c r="S26" s="298"/>
    </row>
    <row r="27" spans="1:19" s="92" customFormat="1">
      <c r="A27" s="256"/>
      <c r="B27" s="287" t="s">
        <v>3294</v>
      </c>
      <c r="C27" s="287"/>
      <c r="D27" s="399" t="s">
        <v>3295</v>
      </c>
      <c r="E27" s="413"/>
      <c r="F27" s="413"/>
      <c r="G27" s="461"/>
      <c r="H27" s="413"/>
      <c r="I27" s="461"/>
      <c r="J27" s="414"/>
      <c r="K27" s="298"/>
      <c r="L27" s="447">
        <f t="shared" si="0"/>
        <v>0</v>
      </c>
      <c r="M27" s="447"/>
      <c r="N27" s="298"/>
      <c r="O27" s="298"/>
      <c r="P27" s="298"/>
      <c r="Q27" s="298"/>
      <c r="R27" s="298"/>
      <c r="S27" s="298"/>
    </row>
    <row r="28" spans="1:19" s="92" customFormat="1">
      <c r="A28" s="256"/>
      <c r="B28" s="287" t="s">
        <v>3296</v>
      </c>
      <c r="C28" s="287"/>
      <c r="D28" s="400" t="s">
        <v>3297</v>
      </c>
      <c r="E28" s="415"/>
      <c r="F28" s="415"/>
      <c r="G28" s="462"/>
      <c r="H28" s="415"/>
      <c r="I28" s="462"/>
      <c r="J28" s="416"/>
      <c r="K28" s="298"/>
      <c r="L28" s="447">
        <f t="shared" si="0"/>
        <v>0</v>
      </c>
      <c r="M28" s="447"/>
      <c r="N28" s="298"/>
      <c r="O28" s="298"/>
      <c r="P28" s="298"/>
      <c r="Q28" s="298"/>
      <c r="R28" s="298"/>
      <c r="S28" s="298"/>
    </row>
    <row r="29" spans="1:19" s="92" customFormat="1">
      <c r="A29" s="256"/>
      <c r="B29" s="287" t="s">
        <v>9633</v>
      </c>
      <c r="C29" s="287"/>
      <c r="D29" s="400" t="s">
        <v>9637</v>
      </c>
      <c r="E29" s="415"/>
      <c r="F29" s="415"/>
      <c r="G29" s="462"/>
      <c r="H29" s="415"/>
      <c r="I29" s="462"/>
      <c r="J29" s="416"/>
      <c r="K29" s="298"/>
      <c r="L29" s="447">
        <f t="shared" si="0"/>
        <v>0</v>
      </c>
      <c r="M29" s="447"/>
      <c r="N29" s="298"/>
      <c r="O29" s="298"/>
      <c r="P29" s="298"/>
      <c r="Q29" s="298"/>
      <c r="R29" s="298"/>
      <c r="S29" s="298"/>
    </row>
    <row r="30" spans="1:19" s="92" customFormat="1" ht="63.75">
      <c r="A30" s="256" t="s">
        <v>3260</v>
      </c>
      <c r="B30" s="288" t="s">
        <v>9634</v>
      </c>
      <c r="C30" s="288" t="s">
        <v>8985</v>
      </c>
      <c r="D30" s="289" t="s">
        <v>24484</v>
      </c>
      <c r="E30" s="290" t="s">
        <v>5</v>
      </c>
      <c r="F30" s="292">
        <v>28</v>
      </c>
      <c r="G30" s="510">
        <v>45.82</v>
      </c>
      <c r="H30" s="508">
        <v>0.2094</v>
      </c>
      <c r="I30" s="510">
        <v>55.414708000000005</v>
      </c>
      <c r="J30" s="509">
        <v>1551.6118240000001</v>
      </c>
      <c r="K30" s="298">
        <f>PI()*(0.15^2)*F30</f>
        <v>1.9792033717615698</v>
      </c>
      <c r="L30" s="447">
        <f t="shared" si="0"/>
        <v>1551.6118240000001</v>
      </c>
      <c r="M30" s="447"/>
      <c r="N30" s="298"/>
      <c r="O30" s="298"/>
      <c r="P30" s="298"/>
      <c r="Q30" s="298"/>
      <c r="R30" s="298"/>
      <c r="S30" s="298"/>
    </row>
    <row r="31" spans="1:19" s="92" customFormat="1" ht="38.25">
      <c r="A31" s="256" t="s">
        <v>3259</v>
      </c>
      <c r="B31" s="288" t="s">
        <v>9635</v>
      </c>
      <c r="C31" s="288">
        <v>95584</v>
      </c>
      <c r="D31" s="289" t="s">
        <v>1433</v>
      </c>
      <c r="E31" s="290" t="s">
        <v>108</v>
      </c>
      <c r="F31" s="292">
        <v>23.52</v>
      </c>
      <c r="G31" s="510" t="s">
        <v>19965</v>
      </c>
      <c r="H31" s="508">
        <v>0.2094</v>
      </c>
      <c r="I31" s="510">
        <v>18.806170000000002</v>
      </c>
      <c r="J31" s="509">
        <v>442.32111840000005</v>
      </c>
      <c r="K31" s="298"/>
      <c r="L31" s="447">
        <f t="shared" si="0"/>
        <v>442.32111840000005</v>
      </c>
      <c r="M31" s="447"/>
      <c r="N31" s="298"/>
      <c r="O31" s="298"/>
      <c r="P31" s="298"/>
      <c r="Q31" s="298"/>
      <c r="R31" s="298"/>
      <c r="S31" s="298"/>
    </row>
    <row r="32" spans="1:19" s="92" customFormat="1" ht="51">
      <c r="A32" s="256" t="s">
        <v>3259</v>
      </c>
      <c r="B32" s="288" t="s">
        <v>9636</v>
      </c>
      <c r="C32" s="288">
        <v>95578</v>
      </c>
      <c r="D32" s="289" t="s">
        <v>3437</v>
      </c>
      <c r="E32" s="290" t="s">
        <v>108</v>
      </c>
      <c r="F32" s="292">
        <v>104</v>
      </c>
      <c r="G32" s="510" t="s">
        <v>10457</v>
      </c>
      <c r="H32" s="508">
        <v>0.2094</v>
      </c>
      <c r="I32" s="510">
        <v>13.678314</v>
      </c>
      <c r="J32" s="509">
        <v>1422.544656</v>
      </c>
      <c r="K32" s="298"/>
      <c r="L32" s="447">
        <f t="shared" si="0"/>
        <v>1422.544656</v>
      </c>
      <c r="M32" s="447"/>
      <c r="N32" s="298"/>
      <c r="O32" s="298"/>
      <c r="P32" s="298"/>
      <c r="Q32" s="298"/>
      <c r="R32" s="298"/>
      <c r="S32" s="298"/>
    </row>
    <row r="33" spans="1:19" s="92" customFormat="1">
      <c r="A33" s="256"/>
      <c r="B33" s="391"/>
      <c r="C33" s="391"/>
      <c r="D33" s="401"/>
      <c r="E33" s="391"/>
      <c r="F33" s="417"/>
      <c r="G33" s="417"/>
      <c r="H33" s="417"/>
      <c r="I33" s="417"/>
      <c r="J33" s="418"/>
      <c r="K33" s="298"/>
      <c r="L33" s="447">
        <f t="shared" si="0"/>
        <v>0</v>
      </c>
      <c r="M33" s="447"/>
      <c r="N33" s="298"/>
      <c r="O33" s="298"/>
      <c r="P33" s="298"/>
      <c r="Q33" s="298"/>
      <c r="R33" s="298"/>
      <c r="S33" s="298"/>
    </row>
    <row r="34" spans="1:19" s="92" customFormat="1">
      <c r="A34" s="256"/>
      <c r="B34" s="287" t="s">
        <v>3298</v>
      </c>
      <c r="C34" s="287"/>
      <c r="D34" s="399" t="s">
        <v>9638</v>
      </c>
      <c r="E34" s="413"/>
      <c r="F34" s="413"/>
      <c r="G34" s="461"/>
      <c r="H34" s="413"/>
      <c r="I34" s="461"/>
      <c r="J34" s="414"/>
      <c r="K34" s="298"/>
      <c r="L34" s="447">
        <f t="shared" si="0"/>
        <v>0</v>
      </c>
      <c r="M34" s="447"/>
      <c r="N34" s="298"/>
      <c r="O34" s="298"/>
      <c r="P34" s="298"/>
      <c r="Q34" s="298"/>
      <c r="R34" s="298"/>
      <c r="S34" s="298"/>
    </row>
    <row r="35" spans="1:19" s="92" customFormat="1" ht="38.25">
      <c r="A35" s="256" t="s">
        <v>3259</v>
      </c>
      <c r="B35" s="288" t="s">
        <v>3299</v>
      </c>
      <c r="C35" s="288">
        <v>95601</v>
      </c>
      <c r="D35" s="289" t="s">
        <v>22177</v>
      </c>
      <c r="E35" s="290" t="s">
        <v>109</v>
      </c>
      <c r="F35" s="292">
        <v>4</v>
      </c>
      <c r="G35" s="510" t="s">
        <v>22178</v>
      </c>
      <c r="H35" s="508">
        <v>0.2094</v>
      </c>
      <c r="I35" s="510">
        <v>16.665531999999999</v>
      </c>
      <c r="J35" s="509">
        <v>66.662127999999996</v>
      </c>
      <c r="K35" s="298"/>
      <c r="L35" s="447">
        <f t="shared" si="0"/>
        <v>66.662127999999996</v>
      </c>
      <c r="M35" s="447"/>
      <c r="N35" s="298"/>
      <c r="O35" s="298"/>
      <c r="P35" s="298"/>
      <c r="Q35" s="298"/>
      <c r="R35" s="298"/>
      <c r="S35" s="298"/>
    </row>
    <row r="36" spans="1:19" s="92" customFormat="1">
      <c r="A36" s="256"/>
      <c r="B36" s="391"/>
      <c r="C36" s="391"/>
      <c r="D36" s="401"/>
      <c r="E36" s="391"/>
      <c r="F36" s="417"/>
      <c r="G36" s="417"/>
      <c r="H36" s="417"/>
      <c r="I36" s="417"/>
      <c r="J36" s="418"/>
      <c r="K36" s="298"/>
      <c r="L36" s="447">
        <f t="shared" si="0"/>
        <v>0</v>
      </c>
      <c r="M36" s="447"/>
      <c r="N36" s="298"/>
      <c r="O36" s="298"/>
      <c r="P36" s="298"/>
      <c r="Q36" s="298"/>
      <c r="R36" s="298"/>
      <c r="S36" s="298"/>
    </row>
    <row r="37" spans="1:19" s="92" customFormat="1">
      <c r="A37" s="256"/>
      <c r="B37" s="287" t="s">
        <v>3300</v>
      </c>
      <c r="C37" s="287"/>
      <c r="D37" s="399" t="s">
        <v>9643</v>
      </c>
      <c r="E37" s="413"/>
      <c r="F37" s="413"/>
      <c r="G37" s="461"/>
      <c r="H37" s="413"/>
      <c r="I37" s="461"/>
      <c r="J37" s="414"/>
      <c r="K37" s="298"/>
      <c r="L37" s="447">
        <f t="shared" si="0"/>
        <v>0</v>
      </c>
      <c r="M37" s="447"/>
      <c r="N37" s="298"/>
      <c r="O37" s="298"/>
      <c r="P37" s="298"/>
      <c r="Q37" s="298"/>
      <c r="R37" s="298"/>
      <c r="S37" s="298"/>
    </row>
    <row r="38" spans="1:19" s="92" customFormat="1">
      <c r="A38" s="256"/>
      <c r="B38" s="287" t="s">
        <v>3301</v>
      </c>
      <c r="C38" s="287"/>
      <c r="D38" s="400" t="s">
        <v>3302</v>
      </c>
      <c r="E38" s="415"/>
      <c r="F38" s="415"/>
      <c r="G38" s="462"/>
      <c r="H38" s="415"/>
      <c r="I38" s="462"/>
      <c r="J38" s="416"/>
      <c r="K38" s="298"/>
      <c r="L38" s="447">
        <f t="shared" si="0"/>
        <v>0</v>
      </c>
      <c r="M38" s="447"/>
      <c r="N38" s="298"/>
      <c r="O38" s="298"/>
      <c r="P38" s="298"/>
      <c r="Q38" s="298"/>
      <c r="R38" s="298"/>
      <c r="S38" s="298"/>
    </row>
    <row r="39" spans="1:19" s="92" customFormat="1" ht="38.25">
      <c r="A39" s="256" t="s">
        <v>3259</v>
      </c>
      <c r="B39" s="288" t="s">
        <v>3303</v>
      </c>
      <c r="C39" s="288">
        <v>96619</v>
      </c>
      <c r="D39" s="289" t="s">
        <v>3417</v>
      </c>
      <c r="E39" s="290" t="s">
        <v>193</v>
      </c>
      <c r="F39" s="292">
        <v>2.4699999999999998</v>
      </c>
      <c r="G39" s="510" t="s">
        <v>14140</v>
      </c>
      <c r="H39" s="508">
        <v>0.2094</v>
      </c>
      <c r="I39" s="510">
        <v>32.774740000000001</v>
      </c>
      <c r="J39" s="509">
        <v>80.9536078</v>
      </c>
      <c r="K39" s="298"/>
      <c r="L39" s="447">
        <f t="shared" si="0"/>
        <v>80.9536078</v>
      </c>
      <c r="M39" s="447"/>
      <c r="N39" s="298"/>
      <c r="O39" s="298"/>
      <c r="P39" s="298"/>
      <c r="Q39" s="298"/>
      <c r="R39" s="298"/>
      <c r="S39" s="298"/>
    </row>
    <row r="40" spans="1:19" s="92" customFormat="1">
      <c r="A40" s="256"/>
      <c r="B40" s="391"/>
      <c r="C40" s="391"/>
      <c r="D40" s="401"/>
      <c r="E40" s="391"/>
      <c r="F40" s="417"/>
      <c r="G40" s="417"/>
      <c r="H40" s="417"/>
      <c r="I40" s="417"/>
      <c r="J40" s="418"/>
      <c r="K40" s="298"/>
      <c r="L40" s="447">
        <f t="shared" si="0"/>
        <v>0</v>
      </c>
      <c r="M40" s="447"/>
      <c r="N40" s="298"/>
      <c r="O40" s="298"/>
      <c r="P40" s="298"/>
      <c r="Q40" s="298"/>
      <c r="R40" s="298"/>
      <c r="S40" s="298"/>
    </row>
    <row r="41" spans="1:19" s="92" customFormat="1">
      <c r="A41" s="256"/>
      <c r="B41" s="287" t="s">
        <v>3304</v>
      </c>
      <c r="C41" s="287"/>
      <c r="D41" s="399" t="s">
        <v>3305</v>
      </c>
      <c r="E41" s="413"/>
      <c r="F41" s="413"/>
      <c r="G41" s="461"/>
      <c r="H41" s="413"/>
      <c r="I41" s="461"/>
      <c r="J41" s="414"/>
      <c r="K41" s="298"/>
      <c r="L41" s="447">
        <f t="shared" si="0"/>
        <v>0</v>
      </c>
      <c r="M41" s="447"/>
      <c r="N41" s="298"/>
      <c r="O41" s="298"/>
      <c r="P41" s="298"/>
      <c r="Q41" s="298"/>
      <c r="R41" s="298"/>
      <c r="S41" s="298"/>
    </row>
    <row r="42" spans="1:19" s="92" customFormat="1" ht="63.75">
      <c r="A42" s="256" t="s">
        <v>3259</v>
      </c>
      <c r="B42" s="288" t="s">
        <v>3306</v>
      </c>
      <c r="C42" s="288">
        <v>96540</v>
      </c>
      <c r="D42" s="289" t="s">
        <v>1355</v>
      </c>
      <c r="E42" s="290" t="s">
        <v>193</v>
      </c>
      <c r="F42" s="292">
        <v>5.76</v>
      </c>
      <c r="G42" s="510" t="s">
        <v>22306</v>
      </c>
      <c r="H42" s="508">
        <v>0.2094</v>
      </c>
      <c r="I42" s="510">
        <v>137.653908</v>
      </c>
      <c r="J42" s="509">
        <v>792.88651007999999</v>
      </c>
      <c r="K42" s="298"/>
      <c r="L42" s="447">
        <f t="shared" si="0"/>
        <v>792.88651007999999</v>
      </c>
      <c r="M42" s="447"/>
      <c r="N42" s="298"/>
      <c r="O42" s="298"/>
      <c r="P42" s="298"/>
      <c r="Q42" s="298"/>
      <c r="R42" s="298"/>
      <c r="S42" s="298"/>
    </row>
    <row r="43" spans="1:19" s="92" customFormat="1" ht="51">
      <c r="A43" s="256" t="s">
        <v>3259</v>
      </c>
      <c r="B43" s="288" t="s">
        <v>3763</v>
      </c>
      <c r="C43" s="288">
        <v>96542</v>
      </c>
      <c r="D43" s="289" t="s">
        <v>1357</v>
      </c>
      <c r="E43" s="290" t="s">
        <v>193</v>
      </c>
      <c r="F43" s="292">
        <v>5.5</v>
      </c>
      <c r="G43" s="510" t="s">
        <v>22308</v>
      </c>
      <c r="H43" s="508">
        <v>0.2094</v>
      </c>
      <c r="I43" s="510">
        <v>96.413368000000006</v>
      </c>
      <c r="J43" s="509">
        <v>530.27352400000007</v>
      </c>
      <c r="K43" s="298"/>
      <c r="L43" s="447">
        <f t="shared" si="0"/>
        <v>530.27352400000007</v>
      </c>
      <c r="M43" s="447"/>
      <c r="N43" s="298"/>
      <c r="O43" s="298"/>
      <c r="P43" s="298"/>
      <c r="Q43" s="298"/>
      <c r="R43" s="298"/>
      <c r="S43" s="298"/>
    </row>
    <row r="44" spans="1:19" s="92" customFormat="1">
      <c r="A44" s="256"/>
      <c r="B44" s="391"/>
      <c r="C44" s="391"/>
      <c r="D44" s="401"/>
      <c r="E44" s="391"/>
      <c r="F44" s="417"/>
      <c r="G44" s="417"/>
      <c r="H44" s="417"/>
      <c r="I44" s="417"/>
      <c r="J44" s="418"/>
      <c r="K44" s="298"/>
      <c r="L44" s="447">
        <f t="shared" si="0"/>
        <v>0</v>
      </c>
      <c r="M44" s="447"/>
      <c r="N44" s="298"/>
      <c r="O44" s="298"/>
      <c r="P44" s="298"/>
      <c r="Q44" s="298"/>
      <c r="R44" s="298"/>
      <c r="S44" s="298"/>
    </row>
    <row r="45" spans="1:19" s="92" customFormat="1">
      <c r="A45" s="256"/>
      <c r="B45" s="287" t="s">
        <v>3307</v>
      </c>
      <c r="C45" s="287"/>
      <c r="D45" s="399" t="s">
        <v>3308</v>
      </c>
      <c r="E45" s="413"/>
      <c r="F45" s="413"/>
      <c r="G45" s="461"/>
      <c r="H45" s="413"/>
      <c r="I45" s="461"/>
      <c r="J45" s="414"/>
      <c r="K45" s="298"/>
      <c r="L45" s="447">
        <f t="shared" si="0"/>
        <v>0</v>
      </c>
      <c r="M45" s="447"/>
      <c r="N45" s="298"/>
      <c r="O45" s="298"/>
      <c r="P45" s="298"/>
      <c r="Q45" s="298"/>
      <c r="R45" s="298"/>
      <c r="S45" s="298"/>
    </row>
    <row r="46" spans="1:19" s="92" customFormat="1" ht="38.25">
      <c r="A46" s="256" t="s">
        <v>3259</v>
      </c>
      <c r="B46" s="288" t="s">
        <v>3309</v>
      </c>
      <c r="C46" s="288">
        <v>96543</v>
      </c>
      <c r="D46" s="289" t="s">
        <v>1358</v>
      </c>
      <c r="E46" s="290" t="s">
        <v>108</v>
      </c>
      <c r="F46" s="292">
        <v>10.96</v>
      </c>
      <c r="G46" s="510" t="s">
        <v>12153</v>
      </c>
      <c r="H46" s="508">
        <v>0.2094</v>
      </c>
      <c r="I46" s="510">
        <v>22.337617999999999</v>
      </c>
      <c r="J46" s="509">
        <v>244.82029328000002</v>
      </c>
      <c r="K46" s="298"/>
      <c r="L46" s="447">
        <f t="shared" si="0"/>
        <v>244.82029328000002</v>
      </c>
      <c r="M46" s="447"/>
      <c r="N46" s="298"/>
      <c r="O46" s="298"/>
      <c r="P46" s="298"/>
      <c r="Q46" s="298"/>
      <c r="R46" s="298"/>
      <c r="S46" s="298"/>
    </row>
    <row r="47" spans="1:19" s="92" customFormat="1" ht="38.25">
      <c r="A47" s="256" t="s">
        <v>3259</v>
      </c>
      <c r="B47" s="288" t="s">
        <v>3310</v>
      </c>
      <c r="C47" s="288">
        <v>96544</v>
      </c>
      <c r="D47" s="289" t="s">
        <v>1440</v>
      </c>
      <c r="E47" s="290" t="s">
        <v>108</v>
      </c>
      <c r="F47" s="292">
        <v>0.56999999999999995</v>
      </c>
      <c r="G47" s="510" t="s">
        <v>10577</v>
      </c>
      <c r="H47" s="508">
        <v>0.2094</v>
      </c>
      <c r="I47" s="510">
        <v>20.813774000000002</v>
      </c>
      <c r="J47" s="509">
        <v>11.863851180000001</v>
      </c>
      <c r="K47" s="298"/>
      <c r="L47" s="447">
        <f t="shared" si="0"/>
        <v>11.863851180000001</v>
      </c>
      <c r="M47" s="447"/>
      <c r="N47" s="298"/>
      <c r="O47" s="298"/>
      <c r="P47" s="298"/>
      <c r="Q47" s="298"/>
      <c r="R47" s="298"/>
      <c r="S47" s="298"/>
    </row>
    <row r="48" spans="1:19" s="92" customFormat="1" ht="38.25">
      <c r="A48" s="256" t="s">
        <v>3259</v>
      </c>
      <c r="B48" s="288" t="s">
        <v>3311</v>
      </c>
      <c r="C48" s="288">
        <v>96545</v>
      </c>
      <c r="D48" s="289" t="s">
        <v>1441</v>
      </c>
      <c r="E48" s="290" t="s">
        <v>108</v>
      </c>
      <c r="F48" s="292">
        <v>27.33</v>
      </c>
      <c r="G48" s="510" t="s">
        <v>11215</v>
      </c>
      <c r="H48" s="508">
        <v>0.2094</v>
      </c>
      <c r="I48" s="510">
        <v>19.374587999999999</v>
      </c>
      <c r="J48" s="509">
        <v>529.50749003999999</v>
      </c>
      <c r="K48" s="298"/>
      <c r="L48" s="447">
        <f t="shared" si="0"/>
        <v>529.50749003999999</v>
      </c>
      <c r="M48" s="447"/>
      <c r="N48" s="298"/>
      <c r="O48" s="298"/>
      <c r="P48" s="298"/>
      <c r="Q48" s="298"/>
      <c r="R48" s="298"/>
      <c r="S48" s="298"/>
    </row>
    <row r="49" spans="1:19" s="92" customFormat="1">
      <c r="A49" s="256"/>
      <c r="B49" s="391"/>
      <c r="C49" s="391"/>
      <c r="D49" s="401"/>
      <c r="E49" s="391"/>
      <c r="F49" s="417"/>
      <c r="G49" s="417"/>
      <c r="H49" s="417"/>
      <c r="I49" s="417"/>
      <c r="J49" s="418"/>
      <c r="K49" s="298"/>
      <c r="L49" s="447">
        <f t="shared" si="0"/>
        <v>0</v>
      </c>
      <c r="M49" s="447"/>
      <c r="N49" s="298"/>
      <c r="O49" s="298"/>
      <c r="P49" s="298"/>
      <c r="Q49" s="298"/>
      <c r="R49" s="298"/>
      <c r="S49" s="298"/>
    </row>
    <row r="50" spans="1:19" s="92" customFormat="1">
      <c r="A50" s="256"/>
      <c r="B50" s="287" t="s">
        <v>3314</v>
      </c>
      <c r="C50" s="287"/>
      <c r="D50" s="399" t="s">
        <v>3315</v>
      </c>
      <c r="E50" s="413"/>
      <c r="F50" s="413"/>
      <c r="G50" s="461"/>
      <c r="H50" s="413"/>
      <c r="I50" s="461"/>
      <c r="J50" s="414"/>
      <c r="K50" s="298"/>
      <c r="L50" s="447">
        <f t="shared" si="0"/>
        <v>0</v>
      </c>
      <c r="M50" s="447"/>
      <c r="N50" s="298"/>
      <c r="O50" s="298"/>
      <c r="P50" s="298"/>
      <c r="Q50" s="298"/>
      <c r="R50" s="298"/>
      <c r="S50" s="298"/>
    </row>
    <row r="51" spans="1:19" s="92" customFormat="1" ht="51">
      <c r="A51" s="256" t="s">
        <v>3259</v>
      </c>
      <c r="B51" s="288" t="s">
        <v>3316</v>
      </c>
      <c r="C51" s="288">
        <v>96557</v>
      </c>
      <c r="D51" s="289" t="s">
        <v>1482</v>
      </c>
      <c r="E51" s="290" t="s">
        <v>209</v>
      </c>
      <c r="F51" s="292">
        <v>1.27</v>
      </c>
      <c r="G51" s="510" t="s">
        <v>22467</v>
      </c>
      <c r="H51" s="508">
        <v>0.2094</v>
      </c>
      <c r="I51" s="510">
        <v>498.91378199999997</v>
      </c>
      <c r="J51" s="509">
        <v>633.62050313999998</v>
      </c>
      <c r="K51" s="298"/>
      <c r="L51" s="447">
        <f t="shared" si="0"/>
        <v>633.62050313999998</v>
      </c>
      <c r="M51" s="447"/>
      <c r="N51" s="298"/>
      <c r="O51" s="298"/>
      <c r="P51" s="298"/>
      <c r="Q51" s="298"/>
      <c r="R51" s="298"/>
      <c r="S51" s="298"/>
    </row>
    <row r="52" spans="1:19" s="92" customFormat="1">
      <c r="A52" s="256"/>
      <c r="B52" s="391"/>
      <c r="C52" s="391"/>
      <c r="D52" s="401"/>
      <c r="E52" s="391"/>
      <c r="F52" s="417"/>
      <c r="G52" s="417"/>
      <c r="H52" s="417"/>
      <c r="I52" s="417"/>
      <c r="J52" s="418"/>
      <c r="K52" s="298"/>
      <c r="L52" s="447">
        <f t="shared" si="0"/>
        <v>0</v>
      </c>
      <c r="M52" s="447"/>
      <c r="N52" s="298"/>
      <c r="O52" s="298"/>
      <c r="P52" s="298"/>
      <c r="Q52" s="298"/>
      <c r="R52" s="298"/>
      <c r="S52" s="298"/>
    </row>
    <row r="53" spans="1:19" s="92" customFormat="1">
      <c r="A53" s="256"/>
      <c r="B53" s="287" t="s">
        <v>3317</v>
      </c>
      <c r="C53" s="287"/>
      <c r="D53" s="399" t="s">
        <v>3318</v>
      </c>
      <c r="E53" s="413"/>
      <c r="F53" s="413"/>
      <c r="G53" s="461"/>
      <c r="H53" s="413"/>
      <c r="I53" s="461"/>
      <c r="J53" s="414"/>
      <c r="K53" s="298"/>
      <c r="L53" s="447">
        <f t="shared" si="0"/>
        <v>0</v>
      </c>
      <c r="M53" s="447"/>
      <c r="N53" s="298"/>
      <c r="O53" s="298"/>
      <c r="P53" s="298"/>
      <c r="Q53" s="298"/>
      <c r="R53" s="298"/>
      <c r="S53" s="298"/>
    </row>
    <row r="54" spans="1:19" s="92" customFormat="1">
      <c r="A54" s="256"/>
      <c r="B54" s="287" t="s">
        <v>3319</v>
      </c>
      <c r="C54" s="287"/>
      <c r="D54" s="400" t="s">
        <v>3288</v>
      </c>
      <c r="E54" s="415"/>
      <c r="F54" s="415"/>
      <c r="G54" s="462"/>
      <c r="H54" s="415"/>
      <c r="I54" s="462"/>
      <c r="J54" s="416"/>
      <c r="K54" s="298"/>
      <c r="L54" s="447">
        <f t="shared" si="0"/>
        <v>0</v>
      </c>
      <c r="M54" s="447"/>
      <c r="N54" s="298"/>
      <c r="O54" s="298"/>
      <c r="P54" s="298"/>
      <c r="Q54" s="298"/>
      <c r="R54" s="298"/>
      <c r="S54" s="298"/>
    </row>
    <row r="55" spans="1:19" s="92" customFormat="1" ht="25.5">
      <c r="A55" s="256" t="s">
        <v>3259</v>
      </c>
      <c r="B55" s="288" t="s">
        <v>3320</v>
      </c>
      <c r="C55" s="288">
        <v>98557</v>
      </c>
      <c r="D55" s="289" t="s">
        <v>4088</v>
      </c>
      <c r="E55" s="290" t="s">
        <v>193</v>
      </c>
      <c r="F55" s="292">
        <v>13.74</v>
      </c>
      <c r="G55" s="510" t="s">
        <v>22567</v>
      </c>
      <c r="H55" s="508">
        <v>0.2094</v>
      </c>
      <c r="I55" s="510">
        <v>44.288227999999997</v>
      </c>
      <c r="J55" s="509">
        <v>608.52025271999992</v>
      </c>
      <c r="K55" s="298"/>
      <c r="L55" s="447">
        <f t="shared" si="0"/>
        <v>608.52025271999992</v>
      </c>
      <c r="M55" s="447"/>
      <c r="N55" s="298"/>
      <c r="O55" s="298"/>
      <c r="P55" s="298"/>
      <c r="Q55" s="298"/>
      <c r="R55" s="298"/>
      <c r="S55" s="298"/>
    </row>
    <row r="56" spans="1:19" s="92" customFormat="1">
      <c r="A56" s="256"/>
      <c r="B56" s="391"/>
      <c r="C56" s="391"/>
      <c r="D56" s="401"/>
      <c r="E56" s="391"/>
      <c r="F56" s="417"/>
      <c r="G56" s="417"/>
      <c r="H56" s="417"/>
      <c r="I56" s="417"/>
      <c r="J56" s="418"/>
      <c r="K56" s="298"/>
      <c r="L56" s="447">
        <f t="shared" si="0"/>
        <v>0</v>
      </c>
      <c r="M56" s="447"/>
      <c r="N56" s="298"/>
      <c r="O56" s="298"/>
      <c r="P56" s="298"/>
      <c r="Q56" s="298"/>
      <c r="R56" s="298"/>
      <c r="S56" s="298"/>
    </row>
    <row r="57" spans="1:19" s="92" customFormat="1">
      <c r="A57" s="256"/>
      <c r="B57" s="287" t="s">
        <v>3321</v>
      </c>
      <c r="C57" s="287"/>
      <c r="D57" s="399" t="s">
        <v>3322</v>
      </c>
      <c r="E57" s="413"/>
      <c r="F57" s="413"/>
      <c r="G57" s="461"/>
      <c r="H57" s="413"/>
      <c r="I57" s="461"/>
      <c r="J57" s="414"/>
      <c r="K57" s="298"/>
      <c r="L57" s="447">
        <f t="shared" si="0"/>
        <v>0</v>
      </c>
      <c r="M57" s="447"/>
      <c r="N57" s="298"/>
      <c r="O57" s="298"/>
      <c r="P57" s="298"/>
      <c r="Q57" s="298"/>
      <c r="R57" s="298"/>
      <c r="S57" s="298"/>
    </row>
    <row r="58" spans="1:19" s="92" customFormat="1">
      <c r="A58" s="256"/>
      <c r="B58" s="287" t="s">
        <v>3323</v>
      </c>
      <c r="C58" s="287"/>
      <c r="D58" s="400" t="s">
        <v>3324</v>
      </c>
      <c r="E58" s="415"/>
      <c r="F58" s="415"/>
      <c r="G58" s="462"/>
      <c r="H58" s="415"/>
      <c r="I58" s="462"/>
      <c r="J58" s="416"/>
      <c r="K58" s="298"/>
      <c r="L58" s="447">
        <f t="shared" si="0"/>
        <v>0</v>
      </c>
      <c r="M58" s="447"/>
      <c r="N58" s="298"/>
      <c r="O58" s="298"/>
      <c r="P58" s="298"/>
      <c r="Q58" s="298"/>
      <c r="R58" s="298"/>
      <c r="S58" s="298"/>
    </row>
    <row r="59" spans="1:19" s="92" customFormat="1">
      <c r="A59" s="256"/>
      <c r="B59" s="287" t="s">
        <v>3325</v>
      </c>
      <c r="C59" s="287"/>
      <c r="D59" s="400" t="s">
        <v>15222</v>
      </c>
      <c r="E59" s="415"/>
      <c r="F59" s="415"/>
      <c r="G59" s="462"/>
      <c r="H59" s="415"/>
      <c r="I59" s="462"/>
      <c r="J59" s="416"/>
      <c r="K59" s="298"/>
      <c r="L59" s="447">
        <f t="shared" si="0"/>
        <v>0</v>
      </c>
      <c r="M59" s="447"/>
      <c r="N59" s="298"/>
      <c r="O59" s="298"/>
      <c r="P59" s="298"/>
      <c r="Q59" s="298"/>
      <c r="R59" s="298"/>
      <c r="S59" s="298"/>
    </row>
    <row r="60" spans="1:19" s="92" customFormat="1">
      <c r="A60" s="256"/>
      <c r="B60" s="287" t="s">
        <v>3326</v>
      </c>
      <c r="C60" s="287"/>
      <c r="D60" s="400" t="s">
        <v>3327</v>
      </c>
      <c r="E60" s="415"/>
      <c r="F60" s="415"/>
      <c r="G60" s="462"/>
      <c r="H60" s="415"/>
      <c r="I60" s="462"/>
      <c r="J60" s="416"/>
      <c r="K60" s="298"/>
      <c r="L60" s="447">
        <f t="shared" si="0"/>
        <v>0</v>
      </c>
      <c r="M60" s="447"/>
      <c r="N60" s="298"/>
      <c r="O60" s="298"/>
      <c r="P60" s="298"/>
      <c r="Q60" s="298"/>
      <c r="R60" s="298"/>
      <c r="S60" s="298"/>
    </row>
    <row r="61" spans="1:19" s="92" customFormat="1" ht="63.75">
      <c r="A61" s="256" t="s">
        <v>3259</v>
      </c>
      <c r="B61" s="288" t="s">
        <v>3328</v>
      </c>
      <c r="C61" s="288">
        <v>92423</v>
      </c>
      <c r="D61" s="289" t="s">
        <v>12834</v>
      </c>
      <c r="E61" s="290" t="s">
        <v>193</v>
      </c>
      <c r="F61" s="292">
        <v>10.42</v>
      </c>
      <c r="G61" s="510" t="s">
        <v>22249</v>
      </c>
      <c r="H61" s="508">
        <v>0.2094</v>
      </c>
      <c r="I61" s="510">
        <v>67.544989999999999</v>
      </c>
      <c r="J61" s="509">
        <v>703.81879579999998</v>
      </c>
      <c r="K61" s="298"/>
      <c r="L61" s="447">
        <f t="shared" si="0"/>
        <v>703.81879579999998</v>
      </c>
      <c r="M61" s="447"/>
      <c r="N61" s="298"/>
      <c r="O61" s="298"/>
      <c r="P61" s="298"/>
      <c r="Q61" s="298"/>
      <c r="R61" s="298"/>
      <c r="S61" s="298"/>
    </row>
    <row r="62" spans="1:19" s="92" customFormat="1">
      <c r="A62" s="256"/>
      <c r="B62" s="391"/>
      <c r="C62" s="391"/>
      <c r="D62" s="401"/>
      <c r="E62" s="391"/>
      <c r="F62" s="417"/>
      <c r="G62" s="417"/>
      <c r="H62" s="417"/>
      <c r="I62" s="417"/>
      <c r="J62" s="418"/>
      <c r="K62" s="298"/>
      <c r="L62" s="447">
        <f t="shared" si="0"/>
        <v>0</v>
      </c>
      <c r="M62" s="447"/>
      <c r="N62" s="298"/>
      <c r="O62" s="298"/>
      <c r="P62" s="298"/>
      <c r="Q62" s="298"/>
      <c r="R62" s="298"/>
      <c r="S62" s="298"/>
    </row>
    <row r="63" spans="1:19" s="92" customFormat="1">
      <c r="A63" s="256"/>
      <c r="B63" s="287" t="s">
        <v>3329</v>
      </c>
      <c r="C63" s="287"/>
      <c r="D63" s="399" t="s">
        <v>3308</v>
      </c>
      <c r="E63" s="413"/>
      <c r="F63" s="413"/>
      <c r="G63" s="461"/>
      <c r="H63" s="413"/>
      <c r="I63" s="461"/>
      <c r="J63" s="414"/>
      <c r="K63" s="298"/>
      <c r="L63" s="447">
        <f t="shared" si="0"/>
        <v>0</v>
      </c>
      <c r="M63" s="447"/>
      <c r="N63" s="298"/>
      <c r="O63" s="298"/>
      <c r="P63" s="298"/>
      <c r="Q63" s="298"/>
      <c r="R63" s="298"/>
      <c r="S63" s="298"/>
    </row>
    <row r="64" spans="1:19" s="92" customFormat="1" ht="63.75">
      <c r="A64" s="256" t="s">
        <v>3259</v>
      </c>
      <c r="B64" s="288" t="s">
        <v>3764</v>
      </c>
      <c r="C64" s="288">
        <v>92776</v>
      </c>
      <c r="D64" s="289" t="s">
        <v>1381</v>
      </c>
      <c r="E64" s="290" t="s">
        <v>108</v>
      </c>
      <c r="F64" s="292">
        <v>20.09</v>
      </c>
      <c r="G64" s="510" t="s">
        <v>12372</v>
      </c>
      <c r="H64" s="508">
        <v>0.2094</v>
      </c>
      <c r="I64" s="510">
        <v>20.874244000000001</v>
      </c>
      <c r="J64" s="509">
        <v>419.36356196000003</v>
      </c>
      <c r="K64" s="298"/>
      <c r="L64" s="447">
        <f t="shared" si="0"/>
        <v>419.36356196000003</v>
      </c>
      <c r="M64" s="447"/>
      <c r="N64" s="298"/>
      <c r="O64" s="298"/>
      <c r="P64" s="298"/>
      <c r="Q64" s="298"/>
      <c r="R64" s="298"/>
      <c r="S64" s="298"/>
    </row>
    <row r="65" spans="1:19" s="92" customFormat="1" ht="63.75">
      <c r="A65" s="256" t="s">
        <v>3259</v>
      </c>
      <c r="B65" s="288" t="s">
        <v>3330</v>
      </c>
      <c r="C65" s="288">
        <v>92779</v>
      </c>
      <c r="D65" s="289" t="s">
        <v>1384</v>
      </c>
      <c r="E65" s="290" t="s">
        <v>108</v>
      </c>
      <c r="F65" s="292">
        <v>63.94</v>
      </c>
      <c r="G65" s="510" t="s">
        <v>10056</v>
      </c>
      <c r="H65" s="508">
        <v>0.2094</v>
      </c>
      <c r="I65" s="510">
        <v>14.367672000000001</v>
      </c>
      <c r="J65" s="509">
        <v>918.66894767999997</v>
      </c>
      <c r="K65" s="298"/>
      <c r="L65" s="447">
        <f t="shared" si="0"/>
        <v>918.66894767999997</v>
      </c>
      <c r="M65" s="447"/>
      <c r="N65" s="298"/>
      <c r="O65" s="298"/>
      <c r="P65" s="298"/>
      <c r="Q65" s="298"/>
      <c r="R65" s="298"/>
      <c r="S65" s="298"/>
    </row>
    <row r="66" spans="1:19" s="92" customFormat="1">
      <c r="A66" s="256"/>
      <c r="B66" s="391"/>
      <c r="C66" s="391"/>
      <c r="D66" s="401"/>
      <c r="E66" s="391"/>
      <c r="F66" s="417"/>
      <c r="G66" s="417"/>
      <c r="H66" s="417"/>
      <c r="I66" s="417"/>
      <c r="J66" s="418"/>
      <c r="K66" s="298"/>
      <c r="L66" s="447">
        <f t="shared" si="0"/>
        <v>0</v>
      </c>
      <c r="M66" s="447"/>
      <c r="N66" s="298"/>
      <c r="O66" s="298"/>
      <c r="P66" s="298"/>
      <c r="Q66" s="298"/>
      <c r="R66" s="298"/>
      <c r="S66" s="298"/>
    </row>
    <row r="67" spans="1:19" s="92" customFormat="1">
      <c r="A67" s="256"/>
      <c r="B67" s="287" t="s">
        <v>3331</v>
      </c>
      <c r="C67" s="287"/>
      <c r="D67" s="399" t="s">
        <v>3315</v>
      </c>
      <c r="E67" s="413"/>
      <c r="F67" s="413"/>
      <c r="G67" s="461"/>
      <c r="H67" s="413"/>
      <c r="I67" s="461"/>
      <c r="J67" s="414"/>
      <c r="K67" s="298"/>
      <c r="L67" s="447">
        <f t="shared" si="0"/>
        <v>0</v>
      </c>
      <c r="M67" s="447"/>
      <c r="N67" s="298"/>
      <c r="O67" s="298"/>
      <c r="P67" s="298"/>
      <c r="Q67" s="298"/>
      <c r="R67" s="298"/>
      <c r="S67" s="298"/>
    </row>
    <row r="68" spans="1:19" s="92" customFormat="1" ht="63.75">
      <c r="A68" s="256" t="s">
        <v>3260</v>
      </c>
      <c r="B68" s="288" t="s">
        <v>3332</v>
      </c>
      <c r="C68" s="288" t="s">
        <v>8986</v>
      </c>
      <c r="D68" s="289" t="s">
        <v>18723</v>
      </c>
      <c r="E68" s="290" t="s">
        <v>3241</v>
      </c>
      <c r="F68" s="292">
        <v>0.5</v>
      </c>
      <c r="G68" s="510">
        <v>408.62</v>
      </c>
      <c r="H68" s="508">
        <v>0.2094</v>
      </c>
      <c r="I68" s="510">
        <v>494.18502800000005</v>
      </c>
      <c r="J68" s="509">
        <v>247.09251400000002</v>
      </c>
      <c r="K68" s="298"/>
      <c r="L68" s="447">
        <f t="shared" si="0"/>
        <v>247.09251400000002</v>
      </c>
      <c r="M68" s="447"/>
      <c r="N68" s="298"/>
      <c r="O68" s="298"/>
      <c r="P68" s="298"/>
      <c r="Q68" s="298"/>
      <c r="R68" s="298"/>
      <c r="S68" s="298"/>
    </row>
    <row r="69" spans="1:19" s="92" customFormat="1">
      <c r="A69" s="256"/>
      <c r="B69" s="391"/>
      <c r="C69" s="391"/>
      <c r="D69" s="401"/>
      <c r="E69" s="391"/>
      <c r="F69" s="417"/>
      <c r="G69" s="417"/>
      <c r="H69" s="417"/>
      <c r="I69" s="417"/>
      <c r="J69" s="418"/>
      <c r="K69" s="298"/>
      <c r="L69" s="447">
        <f t="shared" si="0"/>
        <v>0</v>
      </c>
      <c r="M69" s="447"/>
      <c r="N69" s="298"/>
      <c r="O69" s="298"/>
      <c r="P69" s="298"/>
      <c r="Q69" s="298"/>
      <c r="R69" s="298"/>
      <c r="S69" s="298"/>
    </row>
    <row r="70" spans="1:19" s="92" customFormat="1">
      <c r="A70" s="256"/>
      <c r="B70" s="287" t="s">
        <v>15223</v>
      </c>
      <c r="C70" s="287"/>
      <c r="D70" s="400" t="s">
        <v>15224</v>
      </c>
      <c r="E70" s="415"/>
      <c r="F70" s="415"/>
      <c r="G70" s="462"/>
      <c r="H70" s="415"/>
      <c r="I70" s="462"/>
      <c r="J70" s="416"/>
      <c r="K70" s="298"/>
      <c r="L70" s="447">
        <f t="shared" si="0"/>
        <v>0</v>
      </c>
      <c r="M70" s="447"/>
      <c r="N70" s="298"/>
      <c r="O70" s="298"/>
      <c r="P70" s="298"/>
      <c r="Q70" s="298"/>
      <c r="R70" s="298"/>
      <c r="S70" s="298"/>
    </row>
    <row r="71" spans="1:19" s="92" customFormat="1">
      <c r="A71" s="256"/>
      <c r="B71" s="287" t="s">
        <v>15225</v>
      </c>
      <c r="C71" s="287"/>
      <c r="D71" s="400" t="s">
        <v>3327</v>
      </c>
      <c r="E71" s="415"/>
      <c r="F71" s="415"/>
      <c r="G71" s="462"/>
      <c r="H71" s="415"/>
      <c r="I71" s="462"/>
      <c r="J71" s="416"/>
      <c r="K71" s="298"/>
      <c r="L71" s="447">
        <f t="shared" si="0"/>
        <v>0</v>
      </c>
      <c r="M71" s="447"/>
      <c r="N71" s="298"/>
      <c r="O71" s="298"/>
      <c r="P71" s="298"/>
      <c r="Q71" s="298"/>
      <c r="R71" s="298"/>
      <c r="S71" s="298"/>
    </row>
    <row r="72" spans="1:19" s="92" customFormat="1" ht="51">
      <c r="A72" s="256" t="s">
        <v>3259</v>
      </c>
      <c r="B72" s="288" t="s">
        <v>15226</v>
      </c>
      <c r="C72" s="288">
        <v>92460</v>
      </c>
      <c r="D72" s="289" t="s">
        <v>12859</v>
      </c>
      <c r="E72" s="290" t="s">
        <v>193</v>
      </c>
      <c r="F72" s="292">
        <v>7.9</v>
      </c>
      <c r="G72" s="510" t="s">
        <v>22268</v>
      </c>
      <c r="H72" s="508">
        <v>0.2094</v>
      </c>
      <c r="I72" s="510">
        <v>106.48766999999999</v>
      </c>
      <c r="J72" s="509">
        <v>841.25259300000005</v>
      </c>
      <c r="K72" s="298"/>
      <c r="L72" s="447">
        <f t="shared" si="0"/>
        <v>841.25259300000005</v>
      </c>
      <c r="M72" s="447"/>
      <c r="N72" s="298"/>
      <c r="O72" s="298"/>
      <c r="P72" s="298"/>
      <c r="Q72" s="298"/>
      <c r="R72" s="298"/>
      <c r="S72" s="298"/>
    </row>
    <row r="73" spans="1:19" s="92" customFormat="1">
      <c r="A73" s="256"/>
      <c r="B73" s="391"/>
      <c r="C73" s="391"/>
      <c r="D73" s="401"/>
      <c r="E73" s="391"/>
      <c r="F73" s="417"/>
      <c r="G73" s="417"/>
      <c r="H73" s="417"/>
      <c r="I73" s="417"/>
      <c r="J73" s="418"/>
      <c r="K73" s="298"/>
      <c r="L73" s="447">
        <f t="shared" si="0"/>
        <v>0</v>
      </c>
      <c r="M73" s="447"/>
      <c r="N73" s="298"/>
      <c r="O73" s="298"/>
      <c r="P73" s="298"/>
      <c r="Q73" s="298"/>
      <c r="R73" s="298"/>
      <c r="S73" s="298"/>
    </row>
    <row r="74" spans="1:19" s="92" customFormat="1">
      <c r="A74" s="256"/>
      <c r="B74" s="287" t="s">
        <v>15227</v>
      </c>
      <c r="C74" s="287"/>
      <c r="D74" s="399" t="s">
        <v>3308</v>
      </c>
      <c r="E74" s="413"/>
      <c r="F74" s="413"/>
      <c r="G74" s="461"/>
      <c r="H74" s="413"/>
      <c r="I74" s="461"/>
      <c r="J74" s="414"/>
      <c r="K74" s="298"/>
      <c r="L74" s="447">
        <f t="shared" si="0"/>
        <v>0</v>
      </c>
      <c r="M74" s="447"/>
      <c r="N74" s="298"/>
      <c r="O74" s="298"/>
      <c r="P74" s="298"/>
      <c r="Q74" s="298"/>
      <c r="R74" s="298"/>
      <c r="S74" s="298"/>
    </row>
    <row r="75" spans="1:19" s="92" customFormat="1" ht="63.75">
      <c r="A75" s="256" t="s">
        <v>3259</v>
      </c>
      <c r="B75" s="288" t="s">
        <v>15228</v>
      </c>
      <c r="C75" s="288">
        <v>92775</v>
      </c>
      <c r="D75" s="289" t="s">
        <v>1380</v>
      </c>
      <c r="E75" s="290" t="s">
        <v>108</v>
      </c>
      <c r="F75" s="292">
        <v>6.84</v>
      </c>
      <c r="G75" s="510" t="s">
        <v>10985</v>
      </c>
      <c r="H75" s="508">
        <v>0.2094</v>
      </c>
      <c r="I75" s="510">
        <v>22.385994000000004</v>
      </c>
      <c r="J75" s="509">
        <v>153.12019896000001</v>
      </c>
      <c r="K75" s="298"/>
      <c r="L75" s="447">
        <f t="shared" si="0"/>
        <v>153.12019896000001</v>
      </c>
      <c r="M75" s="447"/>
      <c r="N75" s="298"/>
      <c r="O75" s="298"/>
      <c r="P75" s="298"/>
      <c r="Q75" s="298"/>
      <c r="R75" s="298"/>
      <c r="S75" s="298"/>
    </row>
    <row r="76" spans="1:19" s="92" customFormat="1" ht="63.75">
      <c r="A76" s="256" t="s">
        <v>3259</v>
      </c>
      <c r="B76" s="288" t="s">
        <v>15229</v>
      </c>
      <c r="C76" s="288">
        <v>92777</v>
      </c>
      <c r="D76" s="289" t="s">
        <v>1382</v>
      </c>
      <c r="E76" s="290" t="s">
        <v>108</v>
      </c>
      <c r="F76" s="292">
        <v>9.83</v>
      </c>
      <c r="G76" s="510" t="s">
        <v>12380</v>
      </c>
      <c r="H76" s="508">
        <v>0.2094</v>
      </c>
      <c r="I76" s="510">
        <v>19.3504</v>
      </c>
      <c r="J76" s="509">
        <v>190.21443200000002</v>
      </c>
      <c r="K76" s="298"/>
      <c r="L76" s="447">
        <f t="shared" ref="L76:L138" si="1">I76*F76</f>
        <v>190.21443200000002</v>
      </c>
      <c r="M76" s="447"/>
      <c r="N76" s="298"/>
      <c r="O76" s="298"/>
      <c r="P76" s="298"/>
      <c r="Q76" s="298"/>
      <c r="R76" s="298"/>
      <c r="S76" s="298"/>
    </row>
    <row r="77" spans="1:19" s="92" customFormat="1" ht="63.75">
      <c r="A77" s="256" t="s">
        <v>3259</v>
      </c>
      <c r="B77" s="288" t="s">
        <v>15230</v>
      </c>
      <c r="C77" s="288">
        <v>92778</v>
      </c>
      <c r="D77" s="289" t="s">
        <v>1383</v>
      </c>
      <c r="E77" s="290" t="s">
        <v>108</v>
      </c>
      <c r="F77" s="292">
        <v>13.67</v>
      </c>
      <c r="G77" s="510" t="s">
        <v>16434</v>
      </c>
      <c r="H77" s="508">
        <v>0.2094</v>
      </c>
      <c r="I77" s="510">
        <v>17.161386</v>
      </c>
      <c r="J77" s="509">
        <v>234.59614662000001</v>
      </c>
      <c r="K77" s="298"/>
      <c r="L77" s="447">
        <f t="shared" ref="L77" si="2">I77*F77</f>
        <v>234.59614662000001</v>
      </c>
      <c r="M77" s="447"/>
      <c r="N77" s="298"/>
      <c r="O77" s="298"/>
      <c r="P77" s="298"/>
      <c r="Q77" s="298"/>
      <c r="R77" s="298"/>
      <c r="S77" s="298"/>
    </row>
    <row r="78" spans="1:19" s="92" customFormat="1">
      <c r="A78" s="256"/>
      <c r="B78" s="391"/>
      <c r="C78" s="391"/>
      <c r="D78" s="401"/>
      <c r="E78" s="391"/>
      <c r="F78" s="417"/>
      <c r="G78" s="417"/>
      <c r="H78" s="417"/>
      <c r="I78" s="417"/>
      <c r="J78" s="418"/>
      <c r="K78" s="298"/>
      <c r="L78" s="447">
        <f t="shared" si="1"/>
        <v>0</v>
      </c>
      <c r="M78" s="447"/>
      <c r="N78" s="298"/>
      <c r="O78" s="298"/>
      <c r="P78" s="298"/>
      <c r="Q78" s="298"/>
      <c r="R78" s="298"/>
      <c r="S78" s="298"/>
    </row>
    <row r="79" spans="1:19" s="92" customFormat="1">
      <c r="A79" s="256"/>
      <c r="B79" s="287" t="s">
        <v>15232</v>
      </c>
      <c r="C79" s="287"/>
      <c r="D79" s="399" t="s">
        <v>3315</v>
      </c>
      <c r="E79" s="413"/>
      <c r="F79" s="413"/>
      <c r="G79" s="461"/>
      <c r="H79" s="413"/>
      <c r="I79" s="461"/>
      <c r="J79" s="414"/>
      <c r="K79" s="298"/>
      <c r="L79" s="447">
        <f t="shared" si="1"/>
        <v>0</v>
      </c>
      <c r="M79" s="447"/>
      <c r="N79" s="298"/>
      <c r="O79" s="298"/>
      <c r="P79" s="298"/>
      <c r="Q79" s="298"/>
      <c r="R79" s="298"/>
      <c r="S79" s="298"/>
    </row>
    <row r="80" spans="1:19" s="92" customFormat="1" ht="51">
      <c r="A80" s="256" t="s">
        <v>3260</v>
      </c>
      <c r="B80" s="288" t="s">
        <v>15233</v>
      </c>
      <c r="C80" s="288" t="s">
        <v>9641</v>
      </c>
      <c r="D80" s="289" t="s">
        <v>17848</v>
      </c>
      <c r="E80" s="290" t="s">
        <v>3241</v>
      </c>
      <c r="F80" s="292">
        <v>0.47</v>
      </c>
      <c r="G80" s="510">
        <v>402.68</v>
      </c>
      <c r="H80" s="508">
        <v>0.2094</v>
      </c>
      <c r="I80" s="510">
        <v>487.001192</v>
      </c>
      <c r="J80" s="509">
        <v>228.89056023999999</v>
      </c>
      <c r="K80" s="298"/>
      <c r="L80" s="447">
        <f t="shared" si="1"/>
        <v>228.89056023999999</v>
      </c>
      <c r="M80" s="447"/>
      <c r="N80" s="298"/>
      <c r="O80" s="298"/>
      <c r="P80" s="298"/>
      <c r="Q80" s="298"/>
      <c r="R80" s="298"/>
      <c r="S80" s="298"/>
    </row>
    <row r="81" spans="1:19" s="92" customFormat="1">
      <c r="A81" s="256"/>
      <c r="B81" s="391"/>
      <c r="C81" s="391"/>
      <c r="D81" s="401"/>
      <c r="E81" s="391"/>
      <c r="F81" s="417"/>
      <c r="G81" s="417"/>
      <c r="H81" s="417"/>
      <c r="I81" s="417"/>
      <c r="J81" s="418"/>
      <c r="K81" s="298"/>
      <c r="L81" s="447">
        <f t="shared" si="1"/>
        <v>0</v>
      </c>
      <c r="M81" s="447"/>
      <c r="N81" s="298"/>
      <c r="O81" s="298"/>
      <c r="P81" s="298"/>
      <c r="Q81" s="298"/>
      <c r="R81" s="298"/>
      <c r="S81" s="298"/>
    </row>
    <row r="82" spans="1:19" s="92" customFormat="1">
      <c r="A82" s="256"/>
      <c r="B82" s="287" t="s">
        <v>15234</v>
      </c>
      <c r="C82" s="287"/>
      <c r="D82" s="400" t="s">
        <v>15235</v>
      </c>
      <c r="E82" s="415"/>
      <c r="F82" s="415"/>
      <c r="G82" s="462"/>
      <c r="H82" s="415"/>
      <c r="I82" s="462"/>
      <c r="J82" s="416"/>
      <c r="K82" s="298"/>
      <c r="L82" s="447">
        <f t="shared" si="1"/>
        <v>0</v>
      </c>
      <c r="M82" s="447"/>
      <c r="N82" s="298"/>
      <c r="O82" s="298"/>
      <c r="P82" s="298"/>
      <c r="Q82" s="298"/>
      <c r="R82" s="298"/>
      <c r="S82" s="298"/>
    </row>
    <row r="83" spans="1:19" s="92" customFormat="1">
      <c r="A83" s="256"/>
      <c r="B83" s="287" t="s">
        <v>15236</v>
      </c>
      <c r="C83" s="287"/>
      <c r="D83" s="400" t="s">
        <v>3327</v>
      </c>
      <c r="E83" s="415"/>
      <c r="F83" s="415"/>
      <c r="G83" s="462"/>
      <c r="H83" s="415"/>
      <c r="I83" s="462"/>
      <c r="J83" s="416"/>
      <c r="K83" s="298"/>
      <c r="L83" s="447">
        <f t="shared" si="1"/>
        <v>0</v>
      </c>
      <c r="M83" s="447"/>
      <c r="N83" s="298"/>
      <c r="O83" s="298"/>
      <c r="P83" s="298"/>
      <c r="Q83" s="298"/>
      <c r="R83" s="298"/>
      <c r="S83" s="298"/>
    </row>
    <row r="84" spans="1:19" s="92" customFormat="1" ht="51">
      <c r="A84" s="256" t="s">
        <v>3259</v>
      </c>
      <c r="B84" s="288" t="s">
        <v>15237</v>
      </c>
      <c r="C84" s="288">
        <v>92518</v>
      </c>
      <c r="D84" s="289" t="s">
        <v>12898</v>
      </c>
      <c r="E84" s="290" t="s">
        <v>193</v>
      </c>
      <c r="F84" s="292">
        <v>8.52</v>
      </c>
      <c r="G84" s="510" t="s">
        <v>10452</v>
      </c>
      <c r="H84" s="508">
        <v>0.2094</v>
      </c>
      <c r="I84" s="510">
        <v>34.262301999999998</v>
      </c>
      <c r="J84" s="509">
        <v>291.91481303999996</v>
      </c>
      <c r="K84" s="298"/>
      <c r="L84" s="447">
        <f t="shared" si="1"/>
        <v>291.91481303999996</v>
      </c>
      <c r="M84" s="447"/>
      <c r="N84" s="298"/>
      <c r="O84" s="298"/>
      <c r="P84" s="298"/>
      <c r="Q84" s="298"/>
      <c r="R84" s="298"/>
      <c r="S84" s="298"/>
    </row>
    <row r="85" spans="1:19" s="92" customFormat="1">
      <c r="A85" s="256"/>
      <c r="B85" s="391"/>
      <c r="C85" s="391"/>
      <c r="D85" s="401"/>
      <c r="E85" s="391"/>
      <c r="F85" s="417"/>
      <c r="G85" s="417"/>
      <c r="H85" s="417"/>
      <c r="I85" s="417"/>
      <c r="J85" s="418"/>
      <c r="K85" s="298"/>
      <c r="L85" s="447">
        <f t="shared" si="1"/>
        <v>0</v>
      </c>
      <c r="M85" s="447"/>
      <c r="N85" s="298"/>
      <c r="O85" s="298"/>
      <c r="P85" s="298"/>
      <c r="Q85" s="298"/>
      <c r="R85" s="298"/>
      <c r="S85" s="298"/>
    </row>
    <row r="86" spans="1:19" s="92" customFormat="1">
      <c r="A86" s="256"/>
      <c r="B86" s="287" t="s">
        <v>15238</v>
      </c>
      <c r="C86" s="287"/>
      <c r="D86" s="399" t="s">
        <v>3308</v>
      </c>
      <c r="E86" s="413"/>
      <c r="F86" s="413"/>
      <c r="G86" s="461"/>
      <c r="H86" s="413"/>
      <c r="I86" s="461"/>
      <c r="J86" s="414"/>
      <c r="K86" s="298"/>
      <c r="L86" s="447">
        <f t="shared" si="1"/>
        <v>0</v>
      </c>
      <c r="M86" s="447"/>
      <c r="N86" s="298"/>
      <c r="O86" s="298"/>
      <c r="P86" s="298"/>
      <c r="Q86" s="298"/>
      <c r="R86" s="298"/>
      <c r="S86" s="298"/>
    </row>
    <row r="87" spans="1:19" s="92" customFormat="1" ht="63.75">
      <c r="A87" s="256" t="s">
        <v>3259</v>
      </c>
      <c r="B87" s="288" t="s">
        <v>15239</v>
      </c>
      <c r="C87" s="288">
        <v>92784</v>
      </c>
      <c r="D87" s="289" t="s">
        <v>1389</v>
      </c>
      <c r="E87" s="290" t="s">
        <v>108</v>
      </c>
      <c r="F87" s="292">
        <v>13.93</v>
      </c>
      <c r="G87" s="510" t="s">
        <v>10248</v>
      </c>
      <c r="H87" s="508">
        <v>0.2094</v>
      </c>
      <c r="I87" s="510">
        <v>19.785784</v>
      </c>
      <c r="J87" s="509">
        <v>275.61597111999998</v>
      </c>
      <c r="K87" s="298"/>
      <c r="L87" s="447">
        <f t="shared" si="1"/>
        <v>275.61597111999998</v>
      </c>
      <c r="M87" s="447"/>
      <c r="N87" s="298"/>
      <c r="O87" s="298"/>
      <c r="P87" s="298"/>
      <c r="Q87" s="298"/>
      <c r="R87" s="298"/>
      <c r="S87" s="298"/>
    </row>
    <row r="88" spans="1:19" s="92" customFormat="1" ht="63.75">
      <c r="A88" s="256" t="s">
        <v>3259</v>
      </c>
      <c r="B88" s="288" t="s">
        <v>18027</v>
      </c>
      <c r="C88" s="288">
        <v>92786</v>
      </c>
      <c r="D88" s="289" t="s">
        <v>1391</v>
      </c>
      <c r="E88" s="290" t="s">
        <v>108</v>
      </c>
      <c r="F88" s="292">
        <v>59.68</v>
      </c>
      <c r="G88" s="510" t="s">
        <v>15857</v>
      </c>
      <c r="H88" s="508">
        <v>0.2094</v>
      </c>
      <c r="I88" s="510">
        <v>17.802368000000001</v>
      </c>
      <c r="J88" s="509">
        <v>1062.44532224</v>
      </c>
      <c r="K88" s="298"/>
      <c r="L88" s="447">
        <f t="shared" si="1"/>
        <v>1062.44532224</v>
      </c>
      <c r="M88" s="447"/>
      <c r="N88" s="298"/>
      <c r="O88" s="298"/>
      <c r="P88" s="298"/>
      <c r="Q88" s="298"/>
      <c r="R88" s="298"/>
      <c r="S88" s="298"/>
    </row>
    <row r="89" spans="1:19" s="92" customFormat="1">
      <c r="A89" s="256"/>
      <c r="B89" s="391"/>
      <c r="C89" s="391"/>
      <c r="D89" s="401"/>
      <c r="E89" s="391"/>
      <c r="F89" s="417"/>
      <c r="G89" s="417"/>
      <c r="H89" s="417"/>
      <c r="I89" s="417"/>
      <c r="J89" s="418"/>
      <c r="K89" s="298"/>
      <c r="L89" s="447">
        <f t="shared" si="1"/>
        <v>0</v>
      </c>
      <c r="M89" s="447"/>
      <c r="N89" s="298"/>
      <c r="O89" s="298"/>
      <c r="P89" s="298"/>
      <c r="Q89" s="298"/>
      <c r="R89" s="298"/>
      <c r="S89" s="298"/>
    </row>
    <row r="90" spans="1:19" s="92" customFormat="1">
      <c r="A90" s="256"/>
      <c r="B90" s="287" t="s">
        <v>15240</v>
      </c>
      <c r="C90" s="287"/>
      <c r="D90" s="399" t="s">
        <v>3315</v>
      </c>
      <c r="E90" s="413"/>
      <c r="F90" s="413"/>
      <c r="G90" s="461"/>
      <c r="H90" s="413"/>
      <c r="I90" s="461"/>
      <c r="J90" s="414"/>
      <c r="K90" s="298"/>
      <c r="L90" s="447">
        <f t="shared" si="1"/>
        <v>0</v>
      </c>
      <c r="M90" s="447"/>
      <c r="N90" s="298"/>
      <c r="O90" s="298"/>
      <c r="P90" s="298"/>
      <c r="Q90" s="298"/>
      <c r="R90" s="298"/>
      <c r="S90" s="298"/>
    </row>
    <row r="91" spans="1:19" s="92" customFormat="1" ht="51">
      <c r="A91" s="256" t="s">
        <v>3260</v>
      </c>
      <c r="B91" s="288" t="s">
        <v>15241</v>
      </c>
      <c r="C91" s="288" t="s">
        <v>9641</v>
      </c>
      <c r="D91" s="289" t="s">
        <v>17848</v>
      </c>
      <c r="E91" s="290" t="s">
        <v>3241</v>
      </c>
      <c r="F91" s="292">
        <v>0.85</v>
      </c>
      <c r="G91" s="510">
        <v>402.68</v>
      </c>
      <c r="H91" s="508">
        <v>0.2094</v>
      </c>
      <c r="I91" s="510">
        <v>487.001192</v>
      </c>
      <c r="J91" s="509">
        <v>413.95101319999998</v>
      </c>
      <c r="K91" s="298"/>
      <c r="L91" s="447">
        <f t="shared" si="1"/>
        <v>413.95101319999998</v>
      </c>
      <c r="M91" s="447"/>
      <c r="N91" s="298"/>
      <c r="O91" s="298"/>
      <c r="P91" s="298"/>
      <c r="Q91" s="298"/>
      <c r="R91" s="298"/>
      <c r="S91" s="298"/>
    </row>
    <row r="92" spans="1:19" s="92" customFormat="1">
      <c r="A92" s="256"/>
      <c r="B92" s="391"/>
      <c r="C92" s="391"/>
      <c r="D92" s="401"/>
      <c r="E92" s="391"/>
      <c r="F92" s="417"/>
      <c r="G92" s="417"/>
      <c r="H92" s="417"/>
      <c r="I92" s="417"/>
      <c r="J92" s="418"/>
      <c r="K92" s="298"/>
      <c r="L92" s="447">
        <f t="shared" si="1"/>
        <v>0</v>
      </c>
      <c r="M92" s="447"/>
      <c r="N92" s="298"/>
      <c r="O92" s="298"/>
      <c r="P92" s="298"/>
      <c r="Q92" s="298"/>
      <c r="R92" s="298"/>
      <c r="S92" s="298"/>
    </row>
    <row r="93" spans="1:19" s="92" customFormat="1">
      <c r="A93" s="256"/>
      <c r="B93" s="392"/>
      <c r="C93" s="393"/>
      <c r="D93" s="402"/>
      <c r="E93" s="393"/>
      <c r="F93" s="393"/>
      <c r="G93" s="460" t="s">
        <v>69</v>
      </c>
      <c r="H93" s="419"/>
      <c r="I93" s="460"/>
      <c r="J93" s="420">
        <v>13391.539378840002</v>
      </c>
      <c r="K93" s="447"/>
      <c r="L93" s="447">
        <f t="shared" si="1"/>
        <v>0</v>
      </c>
      <c r="M93" s="447"/>
      <c r="N93" s="298"/>
      <c r="O93" s="298"/>
      <c r="P93" s="298"/>
      <c r="Q93" s="298"/>
      <c r="R93" s="298"/>
      <c r="S93" s="298"/>
    </row>
    <row r="94" spans="1:19" s="92" customFormat="1">
      <c r="A94" s="256"/>
      <c r="B94" s="391"/>
      <c r="C94" s="391"/>
      <c r="D94" s="401"/>
      <c r="E94" s="391"/>
      <c r="F94" s="417"/>
      <c r="G94" s="417"/>
      <c r="H94" s="417"/>
      <c r="I94" s="417"/>
      <c r="J94" s="418"/>
      <c r="K94" s="298"/>
      <c r="L94" s="447">
        <f t="shared" si="1"/>
        <v>0</v>
      </c>
      <c r="M94" s="447"/>
      <c r="N94" s="298"/>
      <c r="O94" s="298"/>
      <c r="P94" s="298"/>
      <c r="Q94" s="298"/>
      <c r="R94" s="298"/>
      <c r="S94" s="298"/>
    </row>
    <row r="95" spans="1:19" s="92" customFormat="1">
      <c r="A95" s="256"/>
      <c r="B95" s="287" t="s">
        <v>181</v>
      </c>
      <c r="C95" s="287"/>
      <c r="D95" s="399" t="s">
        <v>182</v>
      </c>
      <c r="E95" s="413"/>
      <c r="F95" s="413"/>
      <c r="G95" s="461"/>
      <c r="H95" s="413"/>
      <c r="I95" s="461"/>
      <c r="J95" s="414"/>
      <c r="K95" s="298"/>
      <c r="L95" s="447">
        <f t="shared" si="1"/>
        <v>0</v>
      </c>
      <c r="M95" s="447"/>
      <c r="N95" s="298"/>
      <c r="O95" s="298"/>
      <c r="P95" s="298"/>
      <c r="Q95" s="298"/>
      <c r="R95" s="298"/>
      <c r="S95" s="298"/>
    </row>
    <row r="96" spans="1:19" s="92" customFormat="1">
      <c r="A96" s="256"/>
      <c r="B96" s="287" t="s">
        <v>194</v>
      </c>
      <c r="C96" s="287"/>
      <c r="D96" s="400" t="s">
        <v>195</v>
      </c>
      <c r="E96" s="415"/>
      <c r="F96" s="415"/>
      <c r="G96" s="462"/>
      <c r="H96" s="415"/>
      <c r="I96" s="462"/>
      <c r="J96" s="416"/>
      <c r="K96" s="298"/>
      <c r="L96" s="447">
        <f t="shared" si="1"/>
        <v>0</v>
      </c>
      <c r="M96" s="447"/>
      <c r="N96" s="298"/>
      <c r="O96" s="298"/>
      <c r="P96" s="298"/>
      <c r="Q96" s="298"/>
      <c r="R96" s="298"/>
      <c r="S96" s="298"/>
    </row>
    <row r="97" spans="1:19" s="92" customFormat="1">
      <c r="A97" s="256"/>
      <c r="B97" s="287" t="s">
        <v>15595</v>
      </c>
      <c r="C97" s="287"/>
      <c r="D97" s="400" t="s">
        <v>15596</v>
      </c>
      <c r="E97" s="415"/>
      <c r="F97" s="415"/>
      <c r="G97" s="462"/>
      <c r="H97" s="415"/>
      <c r="I97" s="462"/>
      <c r="J97" s="416"/>
      <c r="K97" s="298"/>
      <c r="L97" s="447">
        <f t="shared" si="1"/>
        <v>0</v>
      </c>
      <c r="M97" s="447"/>
      <c r="N97" s="298"/>
      <c r="O97" s="298"/>
      <c r="P97" s="298"/>
      <c r="Q97" s="298"/>
      <c r="R97" s="298"/>
      <c r="S97" s="298"/>
    </row>
    <row r="98" spans="1:19" s="140" customFormat="1" ht="89.25">
      <c r="A98" s="394" t="s">
        <v>3259</v>
      </c>
      <c r="B98" s="285" t="s">
        <v>15597</v>
      </c>
      <c r="C98" s="285">
        <v>87519</v>
      </c>
      <c r="D98" s="289" t="s">
        <v>2552</v>
      </c>
      <c r="E98" s="290" t="s">
        <v>193</v>
      </c>
      <c r="F98" s="755">
        <v>20.61</v>
      </c>
      <c r="G98" s="510" t="s">
        <v>23742</v>
      </c>
      <c r="H98" s="508">
        <v>0.2094</v>
      </c>
      <c r="I98" s="510">
        <v>96.594778000000005</v>
      </c>
      <c r="J98" s="509">
        <v>1990.81837458</v>
      </c>
      <c r="K98" s="409"/>
      <c r="L98" s="447">
        <f t="shared" si="1"/>
        <v>1990.81837458</v>
      </c>
      <c r="M98" s="447"/>
      <c r="N98" s="409"/>
      <c r="O98" s="409"/>
      <c r="P98" s="409"/>
      <c r="Q98" s="409"/>
      <c r="R98" s="409"/>
      <c r="S98" s="409"/>
    </row>
    <row r="99" spans="1:19" s="140" customFormat="1" ht="25.5">
      <c r="A99" s="394" t="s">
        <v>3259</v>
      </c>
      <c r="B99" s="285" t="s">
        <v>15598</v>
      </c>
      <c r="C99" s="285">
        <v>93202</v>
      </c>
      <c r="D99" s="289" t="s">
        <v>204</v>
      </c>
      <c r="E99" s="290" t="s">
        <v>5</v>
      </c>
      <c r="F99" s="755">
        <v>9.3000000000000007</v>
      </c>
      <c r="G99" s="510" t="s">
        <v>16388</v>
      </c>
      <c r="H99" s="508">
        <v>0.2094</v>
      </c>
      <c r="I99" s="510">
        <v>29.606112</v>
      </c>
      <c r="J99" s="509">
        <v>275.33684160000001</v>
      </c>
      <c r="K99" s="409"/>
      <c r="L99" s="447">
        <f t="shared" si="1"/>
        <v>275.33684160000001</v>
      </c>
      <c r="M99" s="447"/>
      <c r="N99" s="409"/>
      <c r="O99" s="409"/>
      <c r="P99" s="409"/>
      <c r="Q99" s="409"/>
      <c r="R99" s="409"/>
      <c r="S99" s="409"/>
    </row>
    <row r="100" spans="1:19" s="140" customFormat="1" ht="25.5">
      <c r="A100" s="394" t="s">
        <v>3259</v>
      </c>
      <c r="B100" s="285" t="s">
        <v>15599</v>
      </c>
      <c r="C100" s="285">
        <v>93184</v>
      </c>
      <c r="D100" s="289" t="s">
        <v>1486</v>
      </c>
      <c r="E100" s="290" t="s">
        <v>5</v>
      </c>
      <c r="F100" s="755">
        <v>1.4</v>
      </c>
      <c r="G100" s="510" t="s">
        <v>22513</v>
      </c>
      <c r="H100" s="508">
        <v>0.2094</v>
      </c>
      <c r="I100" s="510">
        <v>37.91469</v>
      </c>
      <c r="J100" s="509">
        <v>53.080565999999997</v>
      </c>
      <c r="K100" s="409"/>
      <c r="L100" s="447">
        <f t="shared" si="1"/>
        <v>53.080565999999997</v>
      </c>
      <c r="M100" s="447"/>
      <c r="N100" s="409"/>
      <c r="O100" s="409"/>
      <c r="P100" s="409"/>
      <c r="Q100" s="409"/>
      <c r="R100" s="409"/>
      <c r="S100" s="409"/>
    </row>
    <row r="101" spans="1:19" s="92" customFormat="1">
      <c r="A101" s="256"/>
      <c r="B101" s="391"/>
      <c r="C101" s="391"/>
      <c r="D101" s="401"/>
      <c r="E101" s="391"/>
      <c r="F101" s="417"/>
      <c r="G101" s="417"/>
      <c r="H101" s="417"/>
      <c r="I101" s="417"/>
      <c r="J101" s="418"/>
      <c r="K101" s="298"/>
      <c r="L101" s="447">
        <f t="shared" si="1"/>
        <v>0</v>
      </c>
      <c r="M101" s="447"/>
      <c r="N101" s="298"/>
      <c r="O101" s="298"/>
      <c r="P101" s="298"/>
      <c r="Q101" s="298"/>
      <c r="R101" s="298"/>
      <c r="S101" s="298"/>
    </row>
    <row r="102" spans="1:19" s="92" customFormat="1">
      <c r="A102" s="256"/>
      <c r="B102" s="287" t="s">
        <v>15605</v>
      </c>
      <c r="C102" s="287"/>
      <c r="D102" s="400" t="s">
        <v>15606</v>
      </c>
      <c r="E102" s="415"/>
      <c r="F102" s="415"/>
      <c r="G102" s="462"/>
      <c r="H102" s="415"/>
      <c r="I102" s="462"/>
      <c r="J102" s="416"/>
      <c r="K102" s="298"/>
      <c r="L102" s="447">
        <f t="shared" si="1"/>
        <v>0</v>
      </c>
      <c r="M102" s="447"/>
      <c r="N102" s="298"/>
      <c r="O102" s="298"/>
      <c r="P102" s="298"/>
      <c r="Q102" s="298"/>
      <c r="R102" s="298"/>
      <c r="S102" s="298"/>
    </row>
    <row r="103" spans="1:19" s="140" customFormat="1" ht="38.25">
      <c r="A103" s="256" t="s">
        <v>3260</v>
      </c>
      <c r="B103" s="285" t="s">
        <v>15607</v>
      </c>
      <c r="C103" s="285" t="s">
        <v>15436</v>
      </c>
      <c r="D103" s="289" t="s">
        <v>17441</v>
      </c>
      <c r="E103" s="290" t="s">
        <v>3240</v>
      </c>
      <c r="F103" s="755">
        <v>1</v>
      </c>
      <c r="G103" s="510">
        <v>805.4899999999999</v>
      </c>
      <c r="H103" s="508">
        <v>0.2094</v>
      </c>
      <c r="I103" s="510">
        <v>974.15960599999994</v>
      </c>
      <c r="J103" s="509">
        <v>974.15960599999994</v>
      </c>
      <c r="K103" s="409"/>
      <c r="L103" s="447">
        <f t="shared" si="1"/>
        <v>974.15960599999994</v>
      </c>
      <c r="M103" s="447"/>
      <c r="N103" s="409"/>
      <c r="O103" s="409"/>
      <c r="P103" s="409"/>
      <c r="Q103" s="409"/>
      <c r="R103" s="409"/>
      <c r="S103" s="409"/>
    </row>
    <row r="104" spans="1:19" s="92" customFormat="1">
      <c r="A104" s="256"/>
      <c r="B104" s="391"/>
      <c r="C104" s="391"/>
      <c r="D104" s="401"/>
      <c r="E104" s="391"/>
      <c r="F104" s="417"/>
      <c r="G104" s="417"/>
      <c r="H104" s="417"/>
      <c r="I104" s="417"/>
      <c r="J104" s="418"/>
      <c r="K104" s="298"/>
      <c r="L104" s="447">
        <f t="shared" si="1"/>
        <v>0</v>
      </c>
      <c r="M104" s="447"/>
      <c r="N104" s="298"/>
      <c r="O104" s="298"/>
      <c r="P104" s="298"/>
      <c r="Q104" s="298"/>
      <c r="R104" s="298"/>
      <c r="S104" s="298"/>
    </row>
    <row r="105" spans="1:19" s="92" customFormat="1">
      <c r="A105" s="256"/>
      <c r="B105" s="287" t="s">
        <v>3333</v>
      </c>
      <c r="C105" s="287"/>
      <c r="D105" s="400" t="s">
        <v>11572</v>
      </c>
      <c r="E105" s="415"/>
      <c r="F105" s="415"/>
      <c r="G105" s="462"/>
      <c r="H105" s="415"/>
      <c r="I105" s="462"/>
      <c r="J105" s="416"/>
      <c r="K105" s="298"/>
      <c r="L105" s="447">
        <f t="shared" si="1"/>
        <v>0</v>
      </c>
      <c r="M105" s="447"/>
      <c r="N105" s="409"/>
      <c r="O105" s="409"/>
      <c r="P105" s="409"/>
      <c r="Q105" s="409"/>
      <c r="R105" s="409"/>
      <c r="S105" s="409"/>
    </row>
    <row r="106" spans="1:19" s="140" customFormat="1" ht="63.75">
      <c r="A106" s="394" t="s">
        <v>3259</v>
      </c>
      <c r="B106" s="285" t="s">
        <v>3334</v>
      </c>
      <c r="C106" s="285">
        <v>87620</v>
      </c>
      <c r="D106" s="289" t="s">
        <v>218</v>
      </c>
      <c r="E106" s="290" t="s">
        <v>193</v>
      </c>
      <c r="F106" s="755">
        <v>10.01</v>
      </c>
      <c r="G106" s="510" t="s">
        <v>24074</v>
      </c>
      <c r="H106" s="508">
        <v>0.2094</v>
      </c>
      <c r="I106" s="510">
        <v>35.580548</v>
      </c>
      <c r="J106" s="509">
        <v>356.16128548</v>
      </c>
      <c r="K106" s="409"/>
      <c r="L106" s="447">
        <f t="shared" si="1"/>
        <v>356.16128548</v>
      </c>
      <c r="M106" s="447"/>
      <c r="N106" s="409"/>
      <c r="O106" s="409"/>
      <c r="P106" s="409"/>
      <c r="Q106" s="409"/>
      <c r="R106" s="409"/>
      <c r="S106" s="409"/>
    </row>
    <row r="107" spans="1:19" s="140" customFormat="1" ht="51">
      <c r="A107" s="394" t="s">
        <v>3259</v>
      </c>
      <c r="B107" s="285" t="s">
        <v>3335</v>
      </c>
      <c r="C107" s="285">
        <v>98546</v>
      </c>
      <c r="D107" s="289" t="s">
        <v>4086</v>
      </c>
      <c r="E107" s="290" t="s">
        <v>193</v>
      </c>
      <c r="F107" s="755">
        <v>10.01</v>
      </c>
      <c r="G107" s="510" t="s">
        <v>16098</v>
      </c>
      <c r="H107" s="508">
        <v>0.2094</v>
      </c>
      <c r="I107" s="510">
        <v>94.175978000000015</v>
      </c>
      <c r="J107" s="509">
        <v>942.70153978000008</v>
      </c>
      <c r="K107" s="409"/>
      <c r="L107" s="447">
        <f t="shared" si="1"/>
        <v>942.70153978000008</v>
      </c>
      <c r="M107" s="447"/>
      <c r="N107" s="409"/>
      <c r="O107" s="409"/>
      <c r="P107" s="409"/>
      <c r="Q107" s="409"/>
      <c r="R107" s="409"/>
      <c r="S107" s="409"/>
    </row>
    <row r="108" spans="1:19" s="140" customFormat="1" ht="38.25">
      <c r="A108" s="394" t="s">
        <v>3259</v>
      </c>
      <c r="B108" s="285" t="s">
        <v>3769</v>
      </c>
      <c r="C108" s="285">
        <v>98565</v>
      </c>
      <c r="D108" s="289" t="s">
        <v>4091</v>
      </c>
      <c r="E108" s="290" t="s">
        <v>193</v>
      </c>
      <c r="F108" s="755">
        <v>10.01</v>
      </c>
      <c r="G108" s="510" t="s">
        <v>22568</v>
      </c>
      <c r="H108" s="508">
        <v>0.2094</v>
      </c>
      <c r="I108" s="510">
        <v>49.222580000000008</v>
      </c>
      <c r="J108" s="509">
        <v>492.71802580000008</v>
      </c>
      <c r="K108" s="409"/>
      <c r="L108" s="447">
        <f t="shared" si="1"/>
        <v>492.71802580000008</v>
      </c>
      <c r="M108" s="447"/>
      <c r="N108" s="409"/>
      <c r="O108" s="409"/>
      <c r="P108" s="409"/>
      <c r="Q108" s="409"/>
      <c r="R108" s="409"/>
      <c r="S108" s="409"/>
    </row>
    <row r="109" spans="1:19" s="92" customFormat="1">
      <c r="A109" s="256"/>
      <c r="B109" s="391"/>
      <c r="C109" s="391"/>
      <c r="D109" s="401"/>
      <c r="E109" s="391"/>
      <c r="F109" s="417"/>
      <c r="G109" s="417"/>
      <c r="H109" s="417"/>
      <c r="I109" s="417"/>
      <c r="J109" s="418"/>
      <c r="K109" s="298"/>
      <c r="L109" s="447">
        <f t="shared" si="1"/>
        <v>0</v>
      </c>
      <c r="M109" s="447"/>
      <c r="N109" s="298"/>
      <c r="O109" s="298"/>
      <c r="P109" s="298"/>
      <c r="Q109" s="298"/>
      <c r="R109" s="298"/>
      <c r="S109" s="298"/>
    </row>
    <row r="110" spans="1:19" s="92" customFormat="1">
      <c r="A110" s="256"/>
      <c r="B110" s="287" t="s">
        <v>15639</v>
      </c>
      <c r="C110" s="287"/>
      <c r="D110" s="400" t="s">
        <v>15640</v>
      </c>
      <c r="E110" s="415"/>
      <c r="F110" s="415"/>
      <c r="G110" s="462"/>
      <c r="H110" s="415"/>
      <c r="I110" s="462"/>
      <c r="J110" s="416"/>
      <c r="K110" s="298"/>
      <c r="L110" s="447">
        <f t="shared" si="1"/>
        <v>0</v>
      </c>
      <c r="M110" s="447">
        <f t="shared" ref="M110:M111" si="3">L110-J110</f>
        <v>0</v>
      </c>
      <c r="N110" s="298"/>
      <c r="O110" s="298"/>
      <c r="P110" s="298"/>
      <c r="Q110" s="298"/>
      <c r="R110" s="298"/>
      <c r="S110" s="298"/>
    </row>
    <row r="111" spans="1:19" s="92" customFormat="1">
      <c r="A111" s="256"/>
      <c r="B111" s="287" t="s">
        <v>15647</v>
      </c>
      <c r="C111" s="287"/>
      <c r="D111" s="400" t="s">
        <v>15648</v>
      </c>
      <c r="E111" s="415"/>
      <c r="F111" s="415"/>
      <c r="G111" s="462"/>
      <c r="H111" s="415"/>
      <c r="I111" s="462"/>
      <c r="J111" s="416"/>
      <c r="K111" s="298"/>
      <c r="L111" s="447">
        <f t="shared" si="1"/>
        <v>0</v>
      </c>
      <c r="M111" s="447">
        <f t="shared" si="3"/>
        <v>0</v>
      </c>
      <c r="N111" s="298"/>
      <c r="O111" s="298"/>
      <c r="P111" s="298"/>
      <c r="Q111" s="298"/>
      <c r="R111" s="298"/>
      <c r="S111" s="298"/>
    </row>
    <row r="112" spans="1:19" s="140" customFormat="1" ht="51">
      <c r="A112" s="394" t="s">
        <v>3259</v>
      </c>
      <c r="B112" s="285" t="s">
        <v>15649</v>
      </c>
      <c r="C112" s="285">
        <v>97084</v>
      </c>
      <c r="D112" s="289" t="s">
        <v>3422</v>
      </c>
      <c r="E112" s="290" t="s">
        <v>193</v>
      </c>
      <c r="F112" s="755">
        <v>5.14</v>
      </c>
      <c r="G112" s="510" t="s">
        <v>12166</v>
      </c>
      <c r="H112" s="508">
        <v>0.2094</v>
      </c>
      <c r="I112" s="510">
        <v>0.70145199999999996</v>
      </c>
      <c r="J112" s="509">
        <v>3.6054632799999995</v>
      </c>
      <c r="K112" s="409"/>
      <c r="L112" s="447">
        <f t="shared" si="1"/>
        <v>3.6054632799999995</v>
      </c>
      <c r="M112" s="447"/>
      <c r="N112" s="409"/>
      <c r="O112" s="409"/>
      <c r="P112" s="409"/>
      <c r="Q112" s="409"/>
      <c r="R112" s="409"/>
      <c r="S112" s="409"/>
    </row>
    <row r="113" spans="1:19" s="140" customFormat="1" ht="25.5">
      <c r="A113" s="394" t="s">
        <v>3259</v>
      </c>
      <c r="B113" s="285" t="s">
        <v>15650</v>
      </c>
      <c r="C113" s="285">
        <v>97087</v>
      </c>
      <c r="D113" s="289" t="s">
        <v>12806</v>
      </c>
      <c r="E113" s="290" t="s">
        <v>193</v>
      </c>
      <c r="F113" s="755">
        <v>5.14</v>
      </c>
      <c r="G113" s="510" t="s">
        <v>11077</v>
      </c>
      <c r="H113" s="508">
        <v>0.2094</v>
      </c>
      <c r="I113" s="510">
        <v>1.9350400000000001</v>
      </c>
      <c r="J113" s="509">
        <v>9.9461055999999992</v>
      </c>
      <c r="K113" s="409"/>
      <c r="L113" s="447">
        <f t="shared" si="1"/>
        <v>9.9461055999999992</v>
      </c>
      <c r="M113" s="447"/>
      <c r="N113" s="409"/>
      <c r="O113" s="409"/>
      <c r="P113" s="409"/>
      <c r="Q113" s="409"/>
      <c r="R113" s="409"/>
      <c r="S113" s="409"/>
    </row>
    <row r="114" spans="1:19" s="140" customFormat="1" ht="38.25">
      <c r="A114" s="394" t="s">
        <v>3259</v>
      </c>
      <c r="B114" s="285" t="s">
        <v>15651</v>
      </c>
      <c r="C114" s="285">
        <v>95241</v>
      </c>
      <c r="D114" s="289" t="s">
        <v>15893</v>
      </c>
      <c r="E114" s="290" t="s">
        <v>193</v>
      </c>
      <c r="F114" s="755">
        <v>5.14</v>
      </c>
      <c r="G114" s="510" t="s">
        <v>14160</v>
      </c>
      <c r="H114" s="508">
        <v>0.2094</v>
      </c>
      <c r="I114" s="510">
        <v>31.420212000000003</v>
      </c>
      <c r="J114" s="509">
        <v>161.49988968</v>
      </c>
      <c r="K114" s="409"/>
      <c r="L114" s="447">
        <f t="shared" si="1"/>
        <v>161.49988968</v>
      </c>
      <c r="M114" s="447"/>
      <c r="N114" s="409"/>
      <c r="O114" s="409"/>
      <c r="P114" s="409"/>
      <c r="Q114" s="409"/>
      <c r="R114" s="409"/>
      <c r="S114" s="409"/>
    </row>
    <row r="115" spans="1:19" s="140" customFormat="1" ht="63.75">
      <c r="A115" s="394" t="s">
        <v>3259</v>
      </c>
      <c r="B115" s="285" t="s">
        <v>15652</v>
      </c>
      <c r="C115" s="285">
        <v>87630</v>
      </c>
      <c r="D115" s="289" t="s">
        <v>2766</v>
      </c>
      <c r="E115" s="290" t="s">
        <v>193</v>
      </c>
      <c r="F115" s="755">
        <v>5.14</v>
      </c>
      <c r="G115" s="510" t="s">
        <v>15967</v>
      </c>
      <c r="H115" s="508">
        <v>0.2094</v>
      </c>
      <c r="I115" s="510">
        <v>43.719810000000003</v>
      </c>
      <c r="J115" s="509">
        <v>224.7198234</v>
      </c>
      <c r="K115" s="409"/>
      <c r="L115" s="447">
        <f t="shared" si="1"/>
        <v>224.7198234</v>
      </c>
      <c r="M115" s="447"/>
      <c r="N115" s="409"/>
      <c r="O115" s="409"/>
      <c r="P115" s="409"/>
      <c r="Q115" s="409"/>
      <c r="R115" s="409"/>
      <c r="S115" s="409"/>
    </row>
    <row r="116" spans="1:19" s="92" customFormat="1">
      <c r="A116" s="256"/>
      <c r="B116" s="391"/>
      <c r="C116" s="391"/>
      <c r="D116" s="401"/>
      <c r="E116" s="391"/>
      <c r="F116" s="417"/>
      <c r="G116" s="417"/>
      <c r="H116" s="417"/>
      <c r="I116" s="417"/>
      <c r="J116" s="418"/>
      <c r="K116" s="298"/>
      <c r="L116" s="447">
        <f t="shared" si="1"/>
        <v>0</v>
      </c>
      <c r="M116" s="447"/>
      <c r="N116" s="298"/>
      <c r="O116" s="298"/>
      <c r="P116" s="298"/>
      <c r="Q116" s="298"/>
      <c r="R116" s="298"/>
      <c r="S116" s="298"/>
    </row>
    <row r="117" spans="1:19" s="92" customFormat="1">
      <c r="A117" s="256"/>
      <c r="B117" s="287" t="s">
        <v>15656</v>
      </c>
      <c r="C117" s="287"/>
      <c r="D117" s="400" t="s">
        <v>15657</v>
      </c>
      <c r="E117" s="415"/>
      <c r="F117" s="415"/>
      <c r="G117" s="462"/>
      <c r="H117" s="415"/>
      <c r="I117" s="462"/>
      <c r="J117" s="416"/>
      <c r="K117" s="298"/>
      <c r="L117" s="447">
        <f t="shared" si="1"/>
        <v>0</v>
      </c>
      <c r="M117" s="447">
        <f t="shared" ref="M117" si="4">L117-J117</f>
        <v>0</v>
      </c>
      <c r="N117" s="298"/>
      <c r="O117" s="298"/>
      <c r="P117" s="298"/>
      <c r="Q117" s="298"/>
      <c r="R117" s="298"/>
      <c r="S117" s="298"/>
    </row>
    <row r="118" spans="1:19" s="140" customFormat="1" ht="63.75">
      <c r="A118" s="394" t="s">
        <v>3259</v>
      </c>
      <c r="B118" s="285" t="s">
        <v>15658</v>
      </c>
      <c r="C118" s="285">
        <v>87879</v>
      </c>
      <c r="D118" s="289" t="s">
        <v>2843</v>
      </c>
      <c r="E118" s="290" t="s">
        <v>193</v>
      </c>
      <c r="F118" s="755">
        <v>20.61</v>
      </c>
      <c r="G118" s="510" t="s">
        <v>9809</v>
      </c>
      <c r="H118" s="508">
        <v>0.2094</v>
      </c>
      <c r="I118" s="510">
        <v>4.2449940000000002</v>
      </c>
      <c r="J118" s="509">
        <v>87.489326340000005</v>
      </c>
      <c r="K118" s="409"/>
      <c r="L118" s="447">
        <f t="shared" si="1"/>
        <v>87.489326340000005</v>
      </c>
      <c r="M118" s="447"/>
      <c r="N118" s="409"/>
      <c r="O118" s="409"/>
      <c r="P118" s="409"/>
      <c r="Q118" s="409"/>
      <c r="R118" s="409"/>
      <c r="S118" s="409"/>
    </row>
    <row r="119" spans="1:19" s="140" customFormat="1" ht="89.25">
      <c r="A119" s="394" t="s">
        <v>3259</v>
      </c>
      <c r="B119" s="285" t="s">
        <v>15659</v>
      </c>
      <c r="C119" s="285">
        <v>87529</v>
      </c>
      <c r="D119" s="289" t="s">
        <v>223</v>
      </c>
      <c r="E119" s="290" t="s">
        <v>193</v>
      </c>
      <c r="F119" s="755">
        <v>20.61</v>
      </c>
      <c r="G119" s="510" t="s">
        <v>22574</v>
      </c>
      <c r="H119" s="508">
        <v>0.2094</v>
      </c>
      <c r="I119" s="510">
        <v>37.950972</v>
      </c>
      <c r="J119" s="509">
        <v>782.16953291999994</v>
      </c>
      <c r="K119" s="409"/>
      <c r="L119" s="447">
        <f t="shared" si="1"/>
        <v>782.16953291999994</v>
      </c>
      <c r="M119" s="447"/>
      <c r="N119" s="409"/>
      <c r="O119" s="409"/>
      <c r="P119" s="409"/>
      <c r="Q119" s="409"/>
      <c r="R119" s="409"/>
      <c r="S119" s="409"/>
    </row>
    <row r="120" spans="1:19" s="140" customFormat="1" ht="63.75">
      <c r="A120" s="394" t="s">
        <v>3259</v>
      </c>
      <c r="B120" s="285" t="s">
        <v>15660</v>
      </c>
      <c r="C120" s="285">
        <v>87905</v>
      </c>
      <c r="D120" s="289" t="s">
        <v>2863</v>
      </c>
      <c r="E120" s="290" t="s">
        <v>193</v>
      </c>
      <c r="F120" s="755">
        <v>23.51</v>
      </c>
      <c r="G120" s="510" t="s">
        <v>10030</v>
      </c>
      <c r="H120" s="508">
        <v>0.2094</v>
      </c>
      <c r="I120" s="510">
        <v>9.3002859999999998</v>
      </c>
      <c r="J120" s="509">
        <v>218.64972386000002</v>
      </c>
      <c r="K120" s="409"/>
      <c r="L120" s="447">
        <f t="shared" si="1"/>
        <v>218.64972386000002</v>
      </c>
      <c r="M120" s="447"/>
      <c r="N120" s="409"/>
      <c r="O120" s="409"/>
      <c r="P120" s="409"/>
      <c r="Q120" s="409"/>
      <c r="R120" s="409"/>
      <c r="S120" s="409"/>
    </row>
    <row r="121" spans="1:19" s="140" customFormat="1" ht="63.75">
      <c r="A121" s="394" t="s">
        <v>3259</v>
      </c>
      <c r="B121" s="285" t="s">
        <v>15661</v>
      </c>
      <c r="C121" s="285">
        <v>87775</v>
      </c>
      <c r="D121" s="289" t="s">
        <v>228</v>
      </c>
      <c r="E121" s="290" t="s">
        <v>193</v>
      </c>
      <c r="F121" s="755">
        <v>23.51</v>
      </c>
      <c r="G121" s="510" t="s">
        <v>16019</v>
      </c>
      <c r="H121" s="508">
        <v>0.2094</v>
      </c>
      <c r="I121" s="510">
        <v>62.030126000000003</v>
      </c>
      <c r="J121" s="509">
        <v>1458.3282622600002</v>
      </c>
      <c r="K121" s="409"/>
      <c r="L121" s="447">
        <f t="shared" si="1"/>
        <v>1458.3282622600002</v>
      </c>
      <c r="M121" s="447"/>
      <c r="N121" s="256"/>
      <c r="O121" s="256"/>
      <c r="P121" s="256"/>
      <c r="Q121" s="256"/>
      <c r="R121" s="256"/>
      <c r="S121" s="256"/>
    </row>
    <row r="122" spans="1:19" s="92" customFormat="1">
      <c r="A122" s="256"/>
      <c r="B122" s="391"/>
      <c r="C122" s="391"/>
      <c r="D122" s="401"/>
      <c r="E122" s="391"/>
      <c r="F122" s="417"/>
      <c r="G122" s="417"/>
      <c r="H122" s="417"/>
      <c r="I122" s="417"/>
      <c r="J122" s="418"/>
      <c r="K122" s="298"/>
      <c r="L122" s="447">
        <f t="shared" si="1"/>
        <v>0</v>
      </c>
      <c r="M122" s="447"/>
      <c r="N122" s="298"/>
      <c r="O122" s="298"/>
      <c r="P122" s="298"/>
      <c r="Q122" s="298"/>
      <c r="R122" s="298"/>
      <c r="S122" s="298"/>
    </row>
    <row r="123" spans="1:19" s="92" customFormat="1">
      <c r="A123" s="256"/>
      <c r="B123" s="287" t="s">
        <v>15665</v>
      </c>
      <c r="C123" s="287"/>
      <c r="D123" s="400" t="s">
        <v>15666</v>
      </c>
      <c r="E123" s="415"/>
      <c r="F123" s="415"/>
      <c r="G123" s="462"/>
      <c r="H123" s="415"/>
      <c r="I123" s="462"/>
      <c r="J123" s="416"/>
      <c r="K123" s="298"/>
      <c r="L123" s="447">
        <f t="shared" si="1"/>
        <v>0</v>
      </c>
      <c r="M123" s="447"/>
      <c r="N123" s="298"/>
      <c r="O123" s="298"/>
      <c r="P123" s="298"/>
      <c r="Q123" s="298"/>
      <c r="R123" s="298"/>
      <c r="S123" s="298"/>
    </row>
    <row r="124" spans="1:19" s="140" customFormat="1" ht="63.75">
      <c r="A124" s="394" t="s">
        <v>3259</v>
      </c>
      <c r="B124" s="285" t="s">
        <v>15667</v>
      </c>
      <c r="C124" s="285">
        <v>87882</v>
      </c>
      <c r="D124" s="289" t="s">
        <v>2845</v>
      </c>
      <c r="E124" s="290" t="s">
        <v>193</v>
      </c>
      <c r="F124" s="755">
        <v>8.7799999999999994</v>
      </c>
      <c r="G124" s="510" t="s">
        <v>20346</v>
      </c>
      <c r="H124" s="508">
        <v>0.2094</v>
      </c>
      <c r="I124" s="510">
        <v>6.3251620000000006</v>
      </c>
      <c r="J124" s="509">
        <v>55.534922360000003</v>
      </c>
      <c r="K124" s="409"/>
      <c r="L124" s="447">
        <f t="shared" si="1"/>
        <v>55.534922360000003</v>
      </c>
      <c r="M124" s="447"/>
      <c r="N124" s="409"/>
      <c r="O124" s="409"/>
      <c r="P124" s="409"/>
      <c r="Q124" s="409"/>
      <c r="R124" s="409"/>
      <c r="S124" s="409"/>
    </row>
    <row r="125" spans="1:19" s="140" customFormat="1" ht="76.5">
      <c r="A125" s="394" t="s">
        <v>3259</v>
      </c>
      <c r="B125" s="285" t="s">
        <v>15668</v>
      </c>
      <c r="C125" s="285">
        <v>90406</v>
      </c>
      <c r="D125" s="289" t="s">
        <v>2991</v>
      </c>
      <c r="E125" s="290" t="s">
        <v>193</v>
      </c>
      <c r="F125" s="755">
        <v>8.7799999999999994</v>
      </c>
      <c r="G125" s="510" t="s">
        <v>15999</v>
      </c>
      <c r="H125" s="508">
        <v>0.2094</v>
      </c>
      <c r="I125" s="510">
        <v>49.706340000000004</v>
      </c>
      <c r="J125" s="509">
        <v>436.42166520000001</v>
      </c>
      <c r="K125" s="409"/>
      <c r="L125" s="447">
        <f t="shared" si="1"/>
        <v>436.42166520000001</v>
      </c>
      <c r="M125" s="447"/>
      <c r="N125" s="409"/>
      <c r="O125" s="409"/>
      <c r="P125" s="409"/>
      <c r="Q125" s="409"/>
      <c r="R125" s="409"/>
      <c r="S125" s="409"/>
    </row>
    <row r="126" spans="1:19" s="92" customFormat="1">
      <c r="A126" s="256"/>
      <c r="B126" s="391"/>
      <c r="C126" s="391"/>
      <c r="D126" s="401"/>
      <c r="E126" s="391"/>
      <c r="F126" s="417"/>
      <c r="G126" s="417"/>
      <c r="H126" s="417"/>
      <c r="I126" s="417"/>
      <c r="J126" s="418"/>
      <c r="K126" s="298"/>
      <c r="L126" s="447">
        <f t="shared" si="1"/>
        <v>0</v>
      </c>
      <c r="M126" s="447"/>
      <c r="N126" s="298"/>
      <c r="O126" s="298"/>
      <c r="P126" s="298"/>
      <c r="Q126" s="298"/>
      <c r="R126" s="298"/>
      <c r="S126" s="298"/>
    </row>
    <row r="127" spans="1:19" s="92" customFormat="1">
      <c r="A127" s="256"/>
      <c r="B127" s="287" t="s">
        <v>15669</v>
      </c>
      <c r="C127" s="287"/>
      <c r="D127" s="400" t="s">
        <v>15670</v>
      </c>
      <c r="E127" s="415"/>
      <c r="F127" s="415"/>
      <c r="G127" s="462"/>
      <c r="H127" s="415"/>
      <c r="I127" s="462"/>
      <c r="J127" s="416"/>
      <c r="K127" s="298"/>
      <c r="L127" s="447">
        <f t="shared" si="1"/>
        <v>0</v>
      </c>
      <c r="M127" s="447"/>
      <c r="N127" s="298"/>
      <c r="O127" s="298"/>
      <c r="P127" s="298"/>
      <c r="Q127" s="298"/>
      <c r="R127" s="298"/>
      <c r="S127" s="298"/>
    </row>
    <row r="128" spans="1:19" s="92" customFormat="1">
      <c r="A128" s="256"/>
      <c r="B128" s="287" t="s">
        <v>17571</v>
      </c>
      <c r="C128" s="287"/>
      <c r="D128" s="400" t="s">
        <v>17572</v>
      </c>
      <c r="E128" s="415"/>
      <c r="F128" s="415"/>
      <c r="G128" s="462"/>
      <c r="H128" s="415"/>
      <c r="I128" s="462"/>
      <c r="J128" s="416"/>
      <c r="K128" s="298"/>
      <c r="L128" s="447">
        <f t="shared" si="1"/>
        <v>0</v>
      </c>
      <c r="M128" s="447"/>
      <c r="N128" s="298"/>
      <c r="O128" s="298"/>
      <c r="P128" s="298"/>
      <c r="Q128" s="298"/>
      <c r="R128" s="298"/>
      <c r="S128" s="298"/>
    </row>
    <row r="129" spans="1:19" s="140" customFormat="1" ht="38.25">
      <c r="A129" s="394" t="s">
        <v>3259</v>
      </c>
      <c r="B129" s="285" t="s">
        <v>17573</v>
      </c>
      <c r="C129" s="285">
        <v>88488</v>
      </c>
      <c r="D129" s="289" t="s">
        <v>221</v>
      </c>
      <c r="E129" s="290" t="s">
        <v>193</v>
      </c>
      <c r="F129" s="755">
        <v>3.78</v>
      </c>
      <c r="G129" s="510" t="s">
        <v>11043</v>
      </c>
      <c r="H129" s="508">
        <v>0.2094</v>
      </c>
      <c r="I129" s="510">
        <v>17.427454000000001</v>
      </c>
      <c r="J129" s="509">
        <v>65.875776119999998</v>
      </c>
      <c r="K129" s="409"/>
      <c r="L129" s="447">
        <f t="shared" si="1"/>
        <v>65.875776119999998</v>
      </c>
      <c r="M129" s="447"/>
      <c r="N129" s="409"/>
      <c r="O129" s="409"/>
      <c r="P129" s="409"/>
      <c r="Q129" s="409"/>
      <c r="R129" s="409"/>
      <c r="S129" s="409"/>
    </row>
    <row r="130" spans="1:19" s="140" customFormat="1" ht="51">
      <c r="A130" s="394" t="s">
        <v>3260</v>
      </c>
      <c r="B130" s="285" t="s">
        <v>17574</v>
      </c>
      <c r="C130" s="285" t="s">
        <v>15507</v>
      </c>
      <c r="D130" s="289" t="s">
        <v>17576</v>
      </c>
      <c r="E130" s="290" t="s">
        <v>193</v>
      </c>
      <c r="F130" s="755">
        <v>5</v>
      </c>
      <c r="G130" s="510">
        <v>109.12</v>
      </c>
      <c r="H130" s="508">
        <v>0.2094</v>
      </c>
      <c r="I130" s="510">
        <v>131.969728</v>
      </c>
      <c r="J130" s="509">
        <v>659.84864000000005</v>
      </c>
      <c r="K130" s="409"/>
      <c r="L130" s="447">
        <f t="shared" si="1"/>
        <v>659.84864000000005</v>
      </c>
      <c r="M130" s="447"/>
      <c r="N130" s="409"/>
      <c r="O130" s="409"/>
      <c r="P130" s="409"/>
      <c r="Q130" s="409"/>
      <c r="R130" s="409"/>
      <c r="S130" s="409"/>
    </row>
    <row r="131" spans="1:19" s="92" customFormat="1">
      <c r="A131" s="256"/>
      <c r="B131" s="287" t="s">
        <v>17575</v>
      </c>
      <c r="C131" s="287"/>
      <c r="D131" s="400" t="s">
        <v>15596</v>
      </c>
      <c r="E131" s="415"/>
      <c r="F131" s="415"/>
      <c r="G131" s="462"/>
      <c r="H131" s="415"/>
      <c r="I131" s="462"/>
      <c r="J131" s="416"/>
      <c r="K131" s="298"/>
      <c r="L131" s="447">
        <f t="shared" si="1"/>
        <v>0</v>
      </c>
      <c r="M131" s="447"/>
      <c r="N131" s="298"/>
      <c r="O131" s="298"/>
      <c r="P131" s="298"/>
      <c r="Q131" s="298"/>
      <c r="R131" s="298"/>
      <c r="S131" s="298"/>
    </row>
    <row r="132" spans="1:19" s="140" customFormat="1" ht="38.25">
      <c r="A132" s="394" t="s">
        <v>3259</v>
      </c>
      <c r="B132" s="285" t="s">
        <v>17578</v>
      </c>
      <c r="C132" s="285">
        <v>88489</v>
      </c>
      <c r="D132" s="289" t="s">
        <v>227</v>
      </c>
      <c r="E132" s="290" t="s">
        <v>193</v>
      </c>
      <c r="F132" s="292">
        <v>44.12</v>
      </c>
      <c r="G132" s="510" t="s">
        <v>11393</v>
      </c>
      <c r="H132" s="508">
        <v>0.2094</v>
      </c>
      <c r="I132" s="510">
        <v>15.286816000000002</v>
      </c>
      <c r="J132" s="509">
        <v>674.45432191999998</v>
      </c>
      <c r="K132" s="409"/>
      <c r="L132" s="447">
        <f t="shared" si="1"/>
        <v>674.45432191999998</v>
      </c>
      <c r="M132" s="447"/>
      <c r="N132" s="409"/>
      <c r="O132" s="409"/>
      <c r="P132" s="409"/>
      <c r="Q132" s="409"/>
      <c r="R132" s="409"/>
      <c r="S132" s="409"/>
    </row>
    <row r="133" spans="1:19" s="140" customFormat="1">
      <c r="A133" s="394"/>
      <c r="B133" s="285"/>
      <c r="C133" s="285"/>
      <c r="D133" s="407"/>
      <c r="E133" s="230"/>
      <c r="F133" s="426"/>
      <c r="G133" s="464"/>
      <c r="H133" s="427"/>
      <c r="I133" s="464"/>
      <c r="J133" s="430"/>
      <c r="K133" s="409"/>
      <c r="L133" s="447">
        <f t="shared" si="1"/>
        <v>0</v>
      </c>
      <c r="M133" s="447"/>
      <c r="N133" s="409"/>
      <c r="O133" s="409"/>
      <c r="P133" s="409"/>
      <c r="Q133" s="409"/>
      <c r="R133" s="409"/>
      <c r="S133" s="409"/>
    </row>
    <row r="134" spans="1:19" s="92" customFormat="1">
      <c r="A134" s="256"/>
      <c r="B134" s="287" t="s">
        <v>15698</v>
      </c>
      <c r="C134" s="287"/>
      <c r="D134" s="400" t="s">
        <v>15699</v>
      </c>
      <c r="E134" s="415"/>
      <c r="F134" s="415"/>
      <c r="G134" s="462"/>
      <c r="H134" s="415"/>
      <c r="I134" s="462"/>
      <c r="J134" s="416"/>
      <c r="K134" s="298"/>
      <c r="L134" s="447">
        <f t="shared" si="1"/>
        <v>0</v>
      </c>
      <c r="M134" s="447"/>
      <c r="N134" s="298"/>
      <c r="O134" s="298"/>
      <c r="P134" s="298"/>
      <c r="Q134" s="298"/>
      <c r="R134" s="298"/>
      <c r="S134" s="298"/>
    </row>
    <row r="135" spans="1:19" s="92" customFormat="1">
      <c r="A135" s="256"/>
      <c r="B135" s="287" t="s">
        <v>17776</v>
      </c>
      <c r="C135" s="287"/>
      <c r="D135" s="400" t="s">
        <v>17447</v>
      </c>
      <c r="E135" s="415"/>
      <c r="F135" s="415"/>
      <c r="G135" s="462"/>
      <c r="H135" s="415"/>
      <c r="I135" s="462"/>
      <c r="J135" s="416"/>
      <c r="K135" s="298"/>
      <c r="L135" s="447">
        <f t="shared" si="1"/>
        <v>0</v>
      </c>
      <c r="M135" s="447"/>
      <c r="N135" s="298"/>
      <c r="O135" s="298"/>
      <c r="P135" s="298"/>
      <c r="Q135" s="298"/>
      <c r="R135" s="298"/>
      <c r="S135" s="298"/>
    </row>
    <row r="136" spans="1:19" s="140" customFormat="1" ht="63.75">
      <c r="A136" s="394" t="s">
        <v>3260</v>
      </c>
      <c r="B136" s="285" t="s">
        <v>15700</v>
      </c>
      <c r="C136" s="285" t="s">
        <v>17762</v>
      </c>
      <c r="D136" s="289" t="s">
        <v>17766</v>
      </c>
      <c r="E136" s="290" t="s">
        <v>3240</v>
      </c>
      <c r="F136" s="755">
        <v>1</v>
      </c>
      <c r="G136" s="510">
        <v>33.43</v>
      </c>
      <c r="H136" s="508">
        <v>0.2094</v>
      </c>
      <c r="I136" s="510">
        <v>40.430242</v>
      </c>
      <c r="J136" s="509">
        <v>40.430242</v>
      </c>
      <c r="K136" s="409"/>
      <c r="L136" s="447">
        <f t="shared" si="1"/>
        <v>40.430242</v>
      </c>
      <c r="M136" s="447"/>
      <c r="N136" s="409"/>
      <c r="O136" s="409"/>
      <c r="P136" s="409"/>
      <c r="Q136" s="409"/>
      <c r="R136" s="409"/>
      <c r="S136" s="409"/>
    </row>
    <row r="137" spans="1:19" s="92" customFormat="1">
      <c r="A137" s="256"/>
      <c r="B137" s="391"/>
      <c r="C137" s="391"/>
      <c r="D137" s="401"/>
      <c r="E137" s="391"/>
      <c r="F137" s="417"/>
      <c r="G137" s="417"/>
      <c r="H137" s="417"/>
      <c r="I137" s="417"/>
      <c r="J137" s="418"/>
      <c r="K137" s="298"/>
      <c r="L137" s="447">
        <f t="shared" si="1"/>
        <v>0</v>
      </c>
      <c r="M137" s="447"/>
      <c r="N137" s="298"/>
      <c r="O137" s="298"/>
      <c r="P137" s="298"/>
      <c r="Q137" s="298"/>
      <c r="R137" s="298"/>
      <c r="S137" s="298"/>
    </row>
    <row r="138" spans="1:19" s="140" customFormat="1">
      <c r="A138" s="394"/>
      <c r="B138" s="395"/>
      <c r="C138" s="395"/>
      <c r="D138" s="404"/>
      <c r="E138" s="395"/>
      <c r="F138" s="395"/>
      <c r="G138" s="460" t="s">
        <v>69</v>
      </c>
      <c r="H138" s="419"/>
      <c r="I138" s="460"/>
      <c r="J138" s="421">
        <v>9963.9499341800001</v>
      </c>
      <c r="K138" s="448"/>
      <c r="L138" s="447">
        <f t="shared" si="1"/>
        <v>0</v>
      </c>
      <c r="M138" s="447"/>
      <c r="N138" s="409"/>
      <c r="O138" s="409"/>
      <c r="P138" s="409"/>
      <c r="Q138" s="409"/>
      <c r="R138" s="409"/>
      <c r="S138" s="409"/>
    </row>
    <row r="139" spans="1:19" s="92" customFormat="1">
      <c r="A139" s="256"/>
      <c r="B139" s="391"/>
      <c r="C139" s="391"/>
      <c r="D139" s="401"/>
      <c r="E139" s="391"/>
      <c r="F139" s="417"/>
      <c r="G139" s="417"/>
      <c r="H139" s="417"/>
      <c r="I139" s="417"/>
      <c r="J139" s="418"/>
      <c r="K139" s="298"/>
      <c r="L139" s="447">
        <f t="shared" ref="L139:L193" si="5">I139*F139</f>
        <v>0</v>
      </c>
      <c r="M139" s="447"/>
      <c r="N139" s="298"/>
      <c r="O139" s="298"/>
      <c r="P139" s="298"/>
      <c r="Q139" s="298"/>
      <c r="R139" s="298"/>
      <c r="S139" s="298"/>
    </row>
    <row r="140" spans="1:19" s="92" customFormat="1">
      <c r="A140" s="256"/>
      <c r="B140" s="287" t="s">
        <v>184</v>
      </c>
      <c r="C140" s="287"/>
      <c r="D140" s="400" t="s">
        <v>185</v>
      </c>
      <c r="E140" s="415"/>
      <c r="F140" s="415"/>
      <c r="G140" s="462"/>
      <c r="H140" s="415"/>
      <c r="I140" s="462"/>
      <c r="J140" s="416"/>
      <c r="K140" s="298"/>
      <c r="L140" s="447">
        <f t="shared" si="5"/>
        <v>0</v>
      </c>
      <c r="M140" s="447"/>
      <c r="N140" s="298"/>
      <c r="O140" s="298"/>
      <c r="P140" s="298"/>
      <c r="Q140" s="298"/>
      <c r="R140" s="298"/>
      <c r="S140" s="298"/>
    </row>
    <row r="141" spans="1:19" s="92" customFormat="1">
      <c r="A141" s="256"/>
      <c r="B141" s="287" t="s">
        <v>14702</v>
      </c>
      <c r="C141" s="287"/>
      <c r="D141" s="400" t="s">
        <v>14703</v>
      </c>
      <c r="E141" s="391"/>
      <c r="F141" s="417"/>
      <c r="G141" s="417"/>
      <c r="H141" s="417"/>
      <c r="I141" s="417"/>
      <c r="J141" s="418"/>
      <c r="K141" s="298"/>
      <c r="L141" s="447">
        <f t="shared" si="5"/>
        <v>0</v>
      </c>
      <c r="M141" s="447"/>
      <c r="N141" s="298"/>
      <c r="O141" s="298"/>
      <c r="P141" s="298"/>
      <c r="Q141" s="298"/>
      <c r="R141" s="298"/>
      <c r="S141" s="298"/>
    </row>
    <row r="142" spans="1:19" s="92" customFormat="1">
      <c r="A142" s="256"/>
      <c r="B142" s="287" t="s">
        <v>14710</v>
      </c>
      <c r="C142" s="287"/>
      <c r="D142" s="400" t="s">
        <v>11573</v>
      </c>
      <c r="E142" s="391"/>
      <c r="F142" s="417"/>
      <c r="G142" s="417"/>
      <c r="H142" s="417"/>
      <c r="I142" s="417"/>
      <c r="J142" s="418"/>
      <c r="K142" s="298"/>
      <c r="L142" s="447">
        <f t="shared" si="5"/>
        <v>0</v>
      </c>
      <c r="M142" s="447"/>
      <c r="N142" s="298"/>
      <c r="O142" s="298"/>
      <c r="P142" s="298"/>
      <c r="Q142" s="298"/>
      <c r="R142" s="298"/>
      <c r="S142" s="298"/>
    </row>
    <row r="143" spans="1:19" s="92" customFormat="1" ht="51">
      <c r="A143" s="394" t="s">
        <v>3259</v>
      </c>
      <c r="B143" s="285" t="s">
        <v>14712</v>
      </c>
      <c r="C143" s="285">
        <v>89708</v>
      </c>
      <c r="D143" s="289" t="s">
        <v>2347</v>
      </c>
      <c r="E143" s="290" t="s">
        <v>109</v>
      </c>
      <c r="F143" s="755">
        <v>1</v>
      </c>
      <c r="G143" s="510" t="s">
        <v>19974</v>
      </c>
      <c r="H143" s="508">
        <v>0.2094</v>
      </c>
      <c r="I143" s="510">
        <v>102.77481200000001</v>
      </c>
      <c r="J143" s="509">
        <v>102.77481200000001</v>
      </c>
      <c r="K143" s="409"/>
      <c r="L143" s="447">
        <f t="shared" si="5"/>
        <v>102.77481200000001</v>
      </c>
      <c r="M143" s="447"/>
      <c r="N143" s="298"/>
      <c r="O143" s="298"/>
      <c r="P143" s="298"/>
      <c r="Q143" s="298"/>
      <c r="R143" s="298"/>
      <c r="S143" s="298"/>
    </row>
    <row r="144" spans="1:19" s="92" customFormat="1" ht="25.5">
      <c r="A144" s="394" t="s">
        <v>12</v>
      </c>
      <c r="B144" s="285" t="s">
        <v>14713</v>
      </c>
      <c r="C144" s="285" t="s">
        <v>17383</v>
      </c>
      <c r="D144" s="289" t="s">
        <v>17387</v>
      </c>
      <c r="E144" s="290" t="s">
        <v>109</v>
      </c>
      <c r="F144" s="755">
        <v>1</v>
      </c>
      <c r="G144" s="510">
        <v>17.71</v>
      </c>
      <c r="H144" s="508">
        <v>0.2094</v>
      </c>
      <c r="I144" s="510">
        <v>21.418474000000003</v>
      </c>
      <c r="J144" s="509">
        <v>21.418474000000003</v>
      </c>
      <c r="K144" s="409"/>
      <c r="L144" s="447">
        <f t="shared" si="5"/>
        <v>21.418474000000003</v>
      </c>
      <c r="M144" s="447"/>
      <c r="N144" s="298"/>
      <c r="O144" s="298"/>
      <c r="P144" s="298"/>
      <c r="Q144" s="298"/>
      <c r="R144" s="298"/>
      <c r="S144" s="298"/>
    </row>
    <row r="145" spans="1:19" s="92" customFormat="1">
      <c r="A145" s="256"/>
      <c r="B145" s="391"/>
      <c r="C145" s="391"/>
      <c r="D145" s="401"/>
      <c r="E145" s="391"/>
      <c r="F145" s="417"/>
      <c r="G145" s="417"/>
      <c r="H145" s="417"/>
      <c r="I145" s="417"/>
      <c r="J145" s="418"/>
      <c r="K145" s="298"/>
      <c r="L145" s="447">
        <f t="shared" si="5"/>
        <v>0</v>
      </c>
      <c r="M145" s="447"/>
      <c r="N145" s="298"/>
      <c r="O145" s="298"/>
      <c r="P145" s="298"/>
      <c r="Q145" s="298"/>
      <c r="R145" s="298"/>
      <c r="S145" s="298"/>
    </row>
    <row r="146" spans="1:19" s="140" customFormat="1">
      <c r="A146" s="394"/>
      <c r="B146" s="395"/>
      <c r="C146" s="395"/>
      <c r="D146" s="404"/>
      <c r="E146" s="395"/>
      <c r="F146" s="395"/>
      <c r="G146" s="460" t="s">
        <v>69</v>
      </c>
      <c r="H146" s="419"/>
      <c r="I146" s="460"/>
      <c r="J146" s="421">
        <v>124.19328600000001</v>
      </c>
      <c r="K146" s="448"/>
      <c r="L146" s="447">
        <f t="shared" si="5"/>
        <v>0</v>
      </c>
      <c r="M146" s="447"/>
      <c r="N146" s="409"/>
      <c r="O146" s="409"/>
      <c r="P146" s="409"/>
      <c r="Q146" s="409"/>
      <c r="R146" s="409"/>
      <c r="S146" s="409"/>
    </row>
    <row r="147" spans="1:19" s="92" customFormat="1">
      <c r="A147" s="256"/>
      <c r="B147" s="391"/>
      <c r="C147" s="391"/>
      <c r="D147" s="401"/>
      <c r="E147" s="391"/>
      <c r="F147" s="417"/>
      <c r="G147" s="417"/>
      <c r="H147" s="417"/>
      <c r="I147" s="417"/>
      <c r="J147" s="418"/>
      <c r="K147" s="298"/>
      <c r="L147" s="447">
        <f t="shared" si="5"/>
        <v>0</v>
      </c>
      <c r="M147" s="447"/>
      <c r="N147" s="298"/>
      <c r="O147" s="298"/>
      <c r="P147" s="298"/>
      <c r="Q147" s="298"/>
      <c r="R147" s="298"/>
      <c r="S147" s="298"/>
    </row>
    <row r="148" spans="1:19" s="140" customFormat="1">
      <c r="A148" s="394"/>
      <c r="B148" s="396" t="s">
        <v>113</v>
      </c>
      <c r="C148" s="396"/>
      <c r="D148" s="405" t="s">
        <v>114</v>
      </c>
      <c r="E148" s="422"/>
      <c r="F148" s="422"/>
      <c r="G148" s="429"/>
      <c r="H148" s="422"/>
      <c r="I148" s="429"/>
      <c r="J148" s="423"/>
      <c r="K148" s="409"/>
      <c r="L148" s="447">
        <f t="shared" si="5"/>
        <v>0</v>
      </c>
      <c r="M148" s="447"/>
      <c r="N148" s="409"/>
      <c r="O148" s="409"/>
      <c r="P148" s="409"/>
      <c r="Q148" s="409"/>
      <c r="R148" s="409"/>
      <c r="S148" s="409"/>
    </row>
    <row r="149" spans="1:19" s="140" customFormat="1">
      <c r="A149" s="394"/>
      <c r="B149" s="396" t="s">
        <v>115</v>
      </c>
      <c r="C149" s="396"/>
      <c r="D149" s="406" t="s">
        <v>116</v>
      </c>
      <c r="E149" s="424"/>
      <c r="F149" s="424"/>
      <c r="G149" s="463"/>
      <c r="H149" s="424"/>
      <c r="I149" s="463"/>
      <c r="J149" s="425"/>
      <c r="K149" s="409"/>
      <c r="L149" s="447">
        <f t="shared" si="5"/>
        <v>0</v>
      </c>
      <c r="M149" s="447"/>
      <c r="N149" s="409"/>
      <c r="O149" s="409"/>
      <c r="P149" s="409"/>
      <c r="Q149" s="409"/>
      <c r="R149" s="409"/>
      <c r="S149" s="409"/>
    </row>
    <row r="150" spans="1:19" s="140" customFormat="1">
      <c r="A150" s="394"/>
      <c r="B150" s="396" t="s">
        <v>117</v>
      </c>
      <c r="C150" s="396"/>
      <c r="D150" s="405" t="s">
        <v>118</v>
      </c>
      <c r="E150" s="422"/>
      <c r="F150" s="422"/>
      <c r="G150" s="429"/>
      <c r="H150" s="422"/>
      <c r="I150" s="429"/>
      <c r="J150" s="423"/>
      <c r="K150" s="409"/>
      <c r="L150" s="447">
        <f t="shared" si="5"/>
        <v>0</v>
      </c>
      <c r="M150" s="447"/>
      <c r="N150" s="409"/>
      <c r="O150" s="409"/>
      <c r="P150" s="409"/>
      <c r="Q150" s="409"/>
      <c r="R150" s="409"/>
      <c r="S150" s="409"/>
    </row>
    <row r="151" spans="1:19" s="140" customFormat="1">
      <c r="A151" s="394"/>
      <c r="B151" s="396" t="s">
        <v>3264</v>
      </c>
      <c r="C151" s="396"/>
      <c r="D151" s="405" t="s">
        <v>3272</v>
      </c>
      <c r="E151" s="422"/>
      <c r="F151" s="422"/>
      <c r="G151" s="429"/>
      <c r="H151" s="422"/>
      <c r="I151" s="429"/>
      <c r="J151" s="423"/>
      <c r="K151" s="409"/>
      <c r="L151" s="447">
        <f t="shared" si="5"/>
        <v>0</v>
      </c>
      <c r="M151" s="447"/>
      <c r="N151" s="409"/>
      <c r="O151" s="409"/>
      <c r="P151" s="409"/>
      <c r="Q151" s="409"/>
      <c r="R151" s="409"/>
      <c r="S151" s="409"/>
    </row>
    <row r="152" spans="1:19" s="140" customFormat="1" ht="51">
      <c r="A152" s="394" t="s">
        <v>3259</v>
      </c>
      <c r="B152" s="285" t="s">
        <v>3265</v>
      </c>
      <c r="C152" s="285">
        <v>91854</v>
      </c>
      <c r="D152" s="289" t="s">
        <v>1520</v>
      </c>
      <c r="E152" s="290" t="s">
        <v>5</v>
      </c>
      <c r="F152" s="755">
        <v>7.6</v>
      </c>
      <c r="G152" s="510" t="s">
        <v>14073</v>
      </c>
      <c r="H152" s="508">
        <v>0.2094</v>
      </c>
      <c r="I152" s="510">
        <v>10.110583999999999</v>
      </c>
      <c r="J152" s="509">
        <v>76.840438399999996</v>
      </c>
      <c r="K152" s="409"/>
      <c r="L152" s="447">
        <f t="shared" si="5"/>
        <v>76.840438399999996</v>
      </c>
      <c r="M152" s="447"/>
      <c r="N152" s="409"/>
      <c r="O152" s="409"/>
      <c r="P152" s="409"/>
      <c r="Q152" s="409"/>
      <c r="R152" s="409"/>
      <c r="S152" s="409"/>
    </row>
    <row r="153" spans="1:19" s="140" customFormat="1" ht="51">
      <c r="A153" s="394" t="s">
        <v>3259</v>
      </c>
      <c r="B153" s="285" t="s">
        <v>3266</v>
      </c>
      <c r="C153" s="285">
        <v>91844</v>
      </c>
      <c r="D153" s="289" t="s">
        <v>1517</v>
      </c>
      <c r="E153" s="290" t="s">
        <v>5</v>
      </c>
      <c r="F153" s="755">
        <v>3.6</v>
      </c>
      <c r="G153" s="510" t="s">
        <v>9800</v>
      </c>
      <c r="H153" s="508">
        <v>0.2094</v>
      </c>
      <c r="I153" s="510">
        <v>7.4136220000000002</v>
      </c>
      <c r="J153" s="509">
        <v>26.6890392</v>
      </c>
      <c r="K153" s="409"/>
      <c r="L153" s="447">
        <f t="shared" si="5"/>
        <v>26.6890392</v>
      </c>
      <c r="M153" s="447"/>
      <c r="N153" s="409"/>
      <c r="O153" s="409"/>
      <c r="P153" s="409"/>
      <c r="Q153" s="409"/>
      <c r="R153" s="409"/>
      <c r="S153" s="409"/>
    </row>
    <row r="154" spans="1:19" s="140" customFormat="1">
      <c r="A154" s="394"/>
      <c r="B154" s="285"/>
      <c r="C154" s="285"/>
      <c r="D154" s="407"/>
      <c r="E154" s="230"/>
      <c r="F154" s="426"/>
      <c r="G154" s="464"/>
      <c r="H154" s="427"/>
      <c r="I154" s="464"/>
      <c r="J154" s="428"/>
      <c r="K154" s="409"/>
      <c r="L154" s="447">
        <f t="shared" si="5"/>
        <v>0</v>
      </c>
      <c r="M154" s="447"/>
      <c r="N154" s="409"/>
      <c r="O154" s="409"/>
      <c r="P154" s="409"/>
      <c r="Q154" s="409"/>
      <c r="R154" s="409"/>
      <c r="S154" s="409"/>
    </row>
    <row r="155" spans="1:19" s="140" customFormat="1">
      <c r="A155" s="394"/>
      <c r="B155" s="396" t="s">
        <v>3273</v>
      </c>
      <c r="C155" s="396"/>
      <c r="D155" s="405" t="s">
        <v>3275</v>
      </c>
      <c r="E155" s="422"/>
      <c r="F155" s="429"/>
      <c r="G155" s="429"/>
      <c r="H155" s="422"/>
      <c r="I155" s="429"/>
      <c r="J155" s="423"/>
      <c r="K155" s="409"/>
      <c r="L155" s="447">
        <f t="shared" si="5"/>
        <v>0</v>
      </c>
      <c r="M155" s="447"/>
      <c r="N155" s="256"/>
      <c r="O155" s="256"/>
      <c r="P155" s="256"/>
      <c r="Q155" s="256"/>
      <c r="R155" s="256"/>
      <c r="S155" s="256"/>
    </row>
    <row r="156" spans="1:19" s="140" customFormat="1" ht="51">
      <c r="A156" s="394" t="s">
        <v>3259</v>
      </c>
      <c r="B156" s="285" t="s">
        <v>3274</v>
      </c>
      <c r="C156" s="285">
        <v>91926</v>
      </c>
      <c r="D156" s="289" t="s">
        <v>124</v>
      </c>
      <c r="E156" s="290" t="s">
        <v>5</v>
      </c>
      <c r="F156" s="755">
        <v>17.8</v>
      </c>
      <c r="G156" s="510" t="s">
        <v>9940</v>
      </c>
      <c r="H156" s="508">
        <v>0.2094</v>
      </c>
      <c r="I156" s="510">
        <v>4.9222580000000002</v>
      </c>
      <c r="J156" s="509">
        <v>87.616192400000003</v>
      </c>
      <c r="K156" s="409"/>
      <c r="L156" s="447">
        <f t="shared" si="5"/>
        <v>87.616192400000003</v>
      </c>
      <c r="M156" s="447"/>
      <c r="N156" s="256"/>
      <c r="O156" s="256"/>
      <c r="P156" s="256"/>
      <c r="Q156" s="256"/>
      <c r="R156" s="256"/>
      <c r="S156" s="256"/>
    </row>
    <row r="157" spans="1:19" s="140" customFormat="1" ht="51">
      <c r="A157" s="394" t="s">
        <v>3259</v>
      </c>
      <c r="B157" s="285" t="s">
        <v>14432</v>
      </c>
      <c r="C157" s="285">
        <v>91930</v>
      </c>
      <c r="D157" s="289" t="s">
        <v>297</v>
      </c>
      <c r="E157" s="290" t="s">
        <v>5</v>
      </c>
      <c r="F157" s="755">
        <v>12</v>
      </c>
      <c r="G157" s="510" t="s">
        <v>16478</v>
      </c>
      <c r="H157" s="508">
        <v>0.2094</v>
      </c>
      <c r="I157" s="510">
        <v>11.06601</v>
      </c>
      <c r="J157" s="509">
        <v>132.79212000000001</v>
      </c>
      <c r="K157" s="409"/>
      <c r="L157" s="447">
        <f t="shared" ref="L157" si="6">I157*F157</f>
        <v>132.79212000000001</v>
      </c>
      <c r="M157" s="447"/>
      <c r="N157" s="256"/>
      <c r="O157" s="256"/>
      <c r="P157" s="256"/>
      <c r="Q157" s="256"/>
      <c r="R157" s="256"/>
      <c r="S157" s="256"/>
    </row>
    <row r="158" spans="1:19" s="140" customFormat="1">
      <c r="A158" s="394"/>
      <c r="B158" s="285"/>
      <c r="C158" s="285"/>
      <c r="D158" s="407"/>
      <c r="E158" s="230"/>
      <c r="F158" s="426"/>
      <c r="G158" s="464"/>
      <c r="H158" s="427"/>
      <c r="I158" s="464"/>
      <c r="J158" s="428"/>
      <c r="K158" s="409"/>
      <c r="L158" s="447">
        <f t="shared" si="5"/>
        <v>0</v>
      </c>
      <c r="M158" s="447"/>
      <c r="N158" s="409"/>
      <c r="O158" s="409"/>
      <c r="P158" s="409"/>
      <c r="Q158" s="409"/>
      <c r="R158" s="409"/>
      <c r="S158" s="409"/>
    </row>
    <row r="159" spans="1:19" s="140" customFormat="1">
      <c r="A159" s="394"/>
      <c r="B159" s="396" t="s">
        <v>3276</v>
      </c>
      <c r="C159" s="396"/>
      <c r="D159" s="405" t="s">
        <v>119</v>
      </c>
      <c r="E159" s="422"/>
      <c r="F159" s="422"/>
      <c r="G159" s="429"/>
      <c r="H159" s="422"/>
      <c r="I159" s="429"/>
      <c r="J159" s="423"/>
      <c r="K159" s="409"/>
      <c r="L159" s="447">
        <f t="shared" si="5"/>
        <v>0</v>
      </c>
      <c r="M159" s="447"/>
      <c r="N159" s="409"/>
      <c r="O159" s="409"/>
      <c r="P159" s="409"/>
      <c r="Q159" s="409"/>
      <c r="R159" s="409"/>
      <c r="S159" s="409"/>
    </row>
    <row r="160" spans="1:19" s="140" customFormat="1">
      <c r="A160" s="394"/>
      <c r="B160" s="396" t="s">
        <v>3277</v>
      </c>
      <c r="C160" s="396"/>
      <c r="D160" s="405" t="s">
        <v>3278</v>
      </c>
      <c r="E160" s="422"/>
      <c r="F160" s="422"/>
      <c r="G160" s="429"/>
      <c r="H160" s="422"/>
      <c r="I160" s="429"/>
      <c r="J160" s="423"/>
      <c r="K160" s="409"/>
      <c r="L160" s="447">
        <f t="shared" si="5"/>
        <v>0</v>
      </c>
      <c r="M160" s="447"/>
      <c r="N160" s="409"/>
      <c r="O160" s="409"/>
      <c r="P160" s="409"/>
      <c r="Q160" s="409"/>
      <c r="R160" s="409"/>
      <c r="S160" s="409"/>
    </row>
    <row r="161" spans="1:19" s="140" customFormat="1" ht="63.75">
      <c r="A161" s="394" t="s">
        <v>3260</v>
      </c>
      <c r="B161" s="285" t="s">
        <v>3280</v>
      </c>
      <c r="C161" s="285" t="s">
        <v>18397</v>
      </c>
      <c r="D161" s="289" t="s">
        <v>18398</v>
      </c>
      <c r="E161" s="290" t="s">
        <v>109</v>
      </c>
      <c r="F161" s="755">
        <v>1</v>
      </c>
      <c r="G161" s="510">
        <v>337.74</v>
      </c>
      <c r="H161" s="508">
        <v>0.2094</v>
      </c>
      <c r="I161" s="510">
        <v>408.46275600000001</v>
      </c>
      <c r="J161" s="509">
        <v>408.46275600000001</v>
      </c>
      <c r="K161" s="409"/>
      <c r="L161" s="447">
        <f t="shared" si="5"/>
        <v>408.46275600000001</v>
      </c>
      <c r="M161" s="447"/>
      <c r="N161" s="409"/>
      <c r="O161" s="409"/>
      <c r="P161" s="409"/>
      <c r="Q161" s="409"/>
      <c r="R161" s="409"/>
      <c r="S161" s="409"/>
    </row>
    <row r="162" spans="1:19" s="140" customFormat="1" ht="38.25">
      <c r="A162" s="394" t="s">
        <v>3259</v>
      </c>
      <c r="B162" s="285" t="s">
        <v>14437</v>
      </c>
      <c r="C162" s="285">
        <v>97599</v>
      </c>
      <c r="D162" s="289" t="s">
        <v>10386</v>
      </c>
      <c r="E162" s="290" t="s">
        <v>109</v>
      </c>
      <c r="F162" s="758">
        <v>1</v>
      </c>
      <c r="G162" s="510" t="s">
        <v>12430</v>
      </c>
      <c r="H162" s="508">
        <v>0.2094</v>
      </c>
      <c r="I162" s="510">
        <v>35.774051999999998</v>
      </c>
      <c r="J162" s="509">
        <v>35.774051999999998</v>
      </c>
      <c r="K162" s="409"/>
      <c r="L162" s="447">
        <f t="shared" si="5"/>
        <v>35.774051999999998</v>
      </c>
      <c r="M162" s="447"/>
      <c r="N162" s="409"/>
      <c r="O162" s="409"/>
      <c r="P162" s="409"/>
      <c r="Q162" s="409"/>
      <c r="R162" s="409"/>
      <c r="S162" s="409"/>
    </row>
    <row r="163" spans="1:19" s="140" customFormat="1">
      <c r="A163" s="394"/>
      <c r="B163" s="285"/>
      <c r="C163" s="285"/>
      <c r="D163" s="407"/>
      <c r="E163" s="230"/>
      <c r="F163" s="426"/>
      <c r="G163" s="464"/>
      <c r="H163" s="427"/>
      <c r="I163" s="464"/>
      <c r="J163" s="428"/>
      <c r="K163" s="409"/>
      <c r="L163" s="447">
        <f t="shared" si="5"/>
        <v>0</v>
      </c>
      <c r="M163" s="447"/>
      <c r="N163" s="409"/>
      <c r="O163" s="409"/>
      <c r="P163" s="409"/>
      <c r="Q163" s="409"/>
      <c r="R163" s="409"/>
      <c r="S163" s="409"/>
    </row>
    <row r="164" spans="1:19" s="140" customFormat="1">
      <c r="A164" s="394"/>
      <c r="B164" s="396" t="s">
        <v>3279</v>
      </c>
      <c r="C164" s="396"/>
      <c r="D164" s="405" t="s">
        <v>14441</v>
      </c>
      <c r="E164" s="422"/>
      <c r="F164" s="422"/>
      <c r="G164" s="429"/>
      <c r="H164" s="422"/>
      <c r="I164" s="429"/>
      <c r="J164" s="423"/>
      <c r="K164" s="409"/>
      <c r="L164" s="447">
        <f t="shared" si="5"/>
        <v>0</v>
      </c>
      <c r="M164" s="447"/>
      <c r="N164" s="409"/>
      <c r="O164" s="409"/>
      <c r="P164" s="409"/>
      <c r="Q164" s="409"/>
      <c r="R164" s="409"/>
      <c r="S164" s="409"/>
    </row>
    <row r="165" spans="1:19" s="140" customFormat="1" ht="38.25">
      <c r="A165" s="394" t="s">
        <v>3259</v>
      </c>
      <c r="B165" s="285" t="s">
        <v>3281</v>
      </c>
      <c r="C165" s="285">
        <v>91953</v>
      </c>
      <c r="D165" s="289" t="s">
        <v>120</v>
      </c>
      <c r="E165" s="290" t="s">
        <v>109</v>
      </c>
      <c r="F165" s="755">
        <v>1</v>
      </c>
      <c r="G165" s="510" t="s">
        <v>19802</v>
      </c>
      <c r="H165" s="508">
        <v>0.2094</v>
      </c>
      <c r="I165" s="510">
        <v>27.175218000000001</v>
      </c>
      <c r="J165" s="509">
        <v>27.175218000000001</v>
      </c>
      <c r="K165" s="409"/>
      <c r="L165" s="447">
        <f t="shared" si="5"/>
        <v>27.175218000000001</v>
      </c>
      <c r="M165" s="447"/>
      <c r="N165" s="409"/>
      <c r="O165" s="409"/>
      <c r="P165" s="409"/>
      <c r="Q165" s="409"/>
      <c r="R165" s="409"/>
      <c r="S165" s="409"/>
    </row>
    <row r="166" spans="1:19" s="140" customFormat="1" ht="25.5">
      <c r="A166" s="394" t="s">
        <v>3260</v>
      </c>
      <c r="B166" s="285" t="s">
        <v>3336</v>
      </c>
      <c r="C166" s="285" t="s">
        <v>14364</v>
      </c>
      <c r="D166" s="289" t="s">
        <v>17047</v>
      </c>
      <c r="E166" s="290" t="s">
        <v>109</v>
      </c>
      <c r="F166" s="755">
        <v>2</v>
      </c>
      <c r="G166" s="510">
        <v>58.42</v>
      </c>
      <c r="H166" s="508">
        <v>0.2094</v>
      </c>
      <c r="I166" s="510">
        <v>70.653148000000002</v>
      </c>
      <c r="J166" s="509">
        <v>141.306296</v>
      </c>
      <c r="K166" s="409"/>
      <c r="L166" s="447">
        <f t="shared" si="5"/>
        <v>141.306296</v>
      </c>
      <c r="M166" s="447"/>
      <c r="N166" s="409"/>
      <c r="O166" s="409"/>
      <c r="P166" s="409"/>
      <c r="Q166" s="409"/>
      <c r="R166" s="409"/>
      <c r="S166" s="409"/>
    </row>
    <row r="167" spans="1:19" s="140" customFormat="1">
      <c r="A167" s="394"/>
      <c r="B167" s="285"/>
      <c r="C167" s="285"/>
      <c r="D167" s="407"/>
      <c r="E167" s="230"/>
      <c r="F167" s="426"/>
      <c r="G167" s="464"/>
      <c r="H167" s="427"/>
      <c r="I167" s="464"/>
      <c r="J167" s="428"/>
      <c r="K167" s="409"/>
      <c r="L167" s="447">
        <f t="shared" si="5"/>
        <v>0</v>
      </c>
      <c r="M167" s="447"/>
      <c r="N167" s="409"/>
      <c r="O167" s="409"/>
      <c r="P167" s="409"/>
      <c r="Q167" s="409"/>
      <c r="R167" s="409"/>
      <c r="S167" s="409"/>
    </row>
    <row r="168" spans="1:19" s="140" customFormat="1">
      <c r="A168" s="394"/>
      <c r="B168" s="396" t="s">
        <v>9659</v>
      </c>
      <c r="C168" s="396"/>
      <c r="D168" s="405" t="s">
        <v>112</v>
      </c>
      <c r="E168" s="422"/>
      <c r="F168" s="422"/>
      <c r="G168" s="429"/>
      <c r="H168" s="422"/>
      <c r="I168" s="429"/>
      <c r="J168" s="423"/>
      <c r="K168" s="409"/>
      <c r="L168" s="447">
        <f t="shared" si="5"/>
        <v>0</v>
      </c>
      <c r="M168" s="447"/>
      <c r="N168" s="409"/>
      <c r="O168" s="409"/>
      <c r="P168" s="409"/>
      <c r="Q168" s="409"/>
      <c r="R168" s="409"/>
      <c r="S168" s="409"/>
    </row>
    <row r="169" spans="1:19" s="140" customFormat="1" ht="38.25">
      <c r="A169" s="394" t="s">
        <v>3259</v>
      </c>
      <c r="B169" s="285" t="s">
        <v>9660</v>
      </c>
      <c r="C169" s="285">
        <v>91940</v>
      </c>
      <c r="D169" s="289" t="s">
        <v>138</v>
      </c>
      <c r="E169" s="290" t="s">
        <v>109</v>
      </c>
      <c r="F169" s="755">
        <v>1</v>
      </c>
      <c r="G169" s="510" t="s">
        <v>16204</v>
      </c>
      <c r="H169" s="508">
        <v>0.2094</v>
      </c>
      <c r="I169" s="510">
        <v>15.855233999999999</v>
      </c>
      <c r="J169" s="509">
        <v>15.855233999999999</v>
      </c>
      <c r="K169" s="409"/>
      <c r="L169" s="447">
        <f t="shared" si="5"/>
        <v>15.855233999999999</v>
      </c>
      <c r="M169" s="447"/>
      <c r="N169" s="409"/>
      <c r="O169" s="409"/>
      <c r="P169" s="409"/>
      <c r="Q169" s="409"/>
      <c r="R169" s="409"/>
      <c r="S169" s="409"/>
    </row>
    <row r="170" spans="1:19" s="140" customFormat="1" ht="38.25">
      <c r="A170" s="394" t="s">
        <v>3259</v>
      </c>
      <c r="B170" s="285" t="s">
        <v>9661</v>
      </c>
      <c r="C170" s="285">
        <v>91941</v>
      </c>
      <c r="D170" s="289" t="s">
        <v>129</v>
      </c>
      <c r="E170" s="290" t="s">
        <v>109</v>
      </c>
      <c r="F170" s="755">
        <v>2</v>
      </c>
      <c r="G170" s="510" t="s">
        <v>10521</v>
      </c>
      <c r="H170" s="508">
        <v>0.2094</v>
      </c>
      <c r="I170" s="510">
        <v>10.570156000000001</v>
      </c>
      <c r="J170" s="509">
        <v>21.140312000000002</v>
      </c>
      <c r="K170" s="409"/>
      <c r="L170" s="447">
        <f t="shared" ref="L170:L171" si="7">I170*F170</f>
        <v>21.140312000000002</v>
      </c>
      <c r="M170" s="447"/>
      <c r="N170" s="409"/>
      <c r="O170" s="409"/>
      <c r="P170" s="409"/>
      <c r="Q170" s="409"/>
      <c r="R170" s="409"/>
      <c r="S170" s="409"/>
    </row>
    <row r="171" spans="1:19" s="140" customFormat="1" ht="25.5">
      <c r="A171" s="394" t="s">
        <v>3260</v>
      </c>
      <c r="B171" s="285" t="s">
        <v>9662</v>
      </c>
      <c r="C171" s="285" t="s">
        <v>14347</v>
      </c>
      <c r="D171" s="289" t="s">
        <v>17038</v>
      </c>
      <c r="E171" s="290" t="s">
        <v>109</v>
      </c>
      <c r="F171" s="755">
        <v>1</v>
      </c>
      <c r="G171" s="510">
        <v>10.370000000000001</v>
      </c>
      <c r="H171" s="508">
        <v>0.2094</v>
      </c>
      <c r="I171" s="510">
        <v>12.541478000000001</v>
      </c>
      <c r="J171" s="509">
        <v>12.541478000000001</v>
      </c>
      <c r="K171" s="409"/>
      <c r="L171" s="447">
        <f t="shared" si="7"/>
        <v>12.541478000000001</v>
      </c>
      <c r="M171" s="447"/>
      <c r="N171" s="409"/>
      <c r="O171" s="409"/>
      <c r="P171" s="409"/>
      <c r="Q171" s="409"/>
      <c r="R171" s="409"/>
      <c r="S171" s="409"/>
    </row>
    <row r="172" spans="1:19" s="140" customFormat="1">
      <c r="A172" s="394"/>
      <c r="B172" s="285"/>
      <c r="C172" s="285"/>
      <c r="D172" s="407"/>
      <c r="E172" s="230"/>
      <c r="F172" s="426"/>
      <c r="G172" s="464"/>
      <c r="H172" s="427"/>
      <c r="I172" s="464"/>
      <c r="J172" s="428"/>
      <c r="K172" s="409"/>
      <c r="L172" s="447">
        <f t="shared" si="5"/>
        <v>0</v>
      </c>
      <c r="M172" s="447"/>
      <c r="N172" s="409"/>
      <c r="O172" s="409"/>
      <c r="P172" s="409"/>
      <c r="Q172" s="409"/>
      <c r="R172" s="409"/>
      <c r="S172" s="409"/>
    </row>
    <row r="173" spans="1:19" s="140" customFormat="1">
      <c r="A173" s="394"/>
      <c r="B173" s="396" t="s">
        <v>3282</v>
      </c>
      <c r="C173" s="396"/>
      <c r="D173" s="406" t="s">
        <v>111</v>
      </c>
      <c r="E173" s="422"/>
      <c r="F173" s="422"/>
      <c r="G173" s="429"/>
      <c r="H173" s="422"/>
      <c r="I173" s="429"/>
      <c r="J173" s="423"/>
      <c r="K173" s="409"/>
      <c r="L173" s="447">
        <f t="shared" si="5"/>
        <v>0</v>
      </c>
      <c r="M173" s="447"/>
      <c r="N173" s="409"/>
      <c r="O173" s="409"/>
      <c r="P173" s="409"/>
      <c r="Q173" s="409"/>
      <c r="R173" s="409"/>
      <c r="S173" s="409"/>
    </row>
    <row r="174" spans="1:19" s="140" customFormat="1" ht="25.5">
      <c r="A174" s="394" t="s">
        <v>3260</v>
      </c>
      <c r="B174" s="285" t="s">
        <v>3283</v>
      </c>
      <c r="C174" s="285" t="s">
        <v>14459</v>
      </c>
      <c r="D174" s="289" t="s">
        <v>136</v>
      </c>
      <c r="E174" s="290" t="s">
        <v>128</v>
      </c>
      <c r="F174" s="755">
        <v>2.8</v>
      </c>
      <c r="G174" s="510">
        <v>5.25</v>
      </c>
      <c r="H174" s="508">
        <v>0.2094</v>
      </c>
      <c r="I174" s="510">
        <v>6.3493500000000003</v>
      </c>
      <c r="J174" s="509">
        <v>17.778179999999999</v>
      </c>
      <c r="K174" s="409"/>
      <c r="L174" s="447">
        <f t="shared" si="5"/>
        <v>17.778179999999999</v>
      </c>
      <c r="M174" s="447"/>
      <c r="N174" s="409"/>
      <c r="O174" s="409"/>
      <c r="P174" s="409"/>
      <c r="Q174" s="409"/>
      <c r="R174" s="409"/>
      <c r="S174" s="409"/>
    </row>
    <row r="175" spans="1:19" s="140" customFormat="1" ht="38.25">
      <c r="A175" s="394" t="s">
        <v>3259</v>
      </c>
      <c r="B175" s="285" t="s">
        <v>14452</v>
      </c>
      <c r="C175" s="285">
        <v>90443</v>
      </c>
      <c r="D175" s="289" t="s">
        <v>130</v>
      </c>
      <c r="E175" s="290" t="s">
        <v>5</v>
      </c>
      <c r="F175" s="755">
        <v>7.6</v>
      </c>
      <c r="G175" s="510" t="s">
        <v>16337</v>
      </c>
      <c r="H175" s="508">
        <v>0.2094</v>
      </c>
      <c r="I175" s="510">
        <v>14.246732</v>
      </c>
      <c r="J175" s="509">
        <v>108.27516319999999</v>
      </c>
      <c r="K175" s="409"/>
      <c r="L175" s="447">
        <f t="shared" si="5"/>
        <v>108.27516319999999</v>
      </c>
      <c r="M175" s="447"/>
      <c r="N175" s="409"/>
      <c r="O175" s="409"/>
      <c r="P175" s="409"/>
      <c r="Q175" s="409"/>
      <c r="R175" s="409"/>
      <c r="S175" s="409"/>
    </row>
    <row r="176" spans="1:19" s="140" customFormat="1" ht="38.25">
      <c r="A176" s="394" t="s">
        <v>3259</v>
      </c>
      <c r="B176" s="285" t="s">
        <v>14453</v>
      </c>
      <c r="C176" s="285">
        <v>90466</v>
      </c>
      <c r="D176" s="289" t="s">
        <v>132</v>
      </c>
      <c r="E176" s="290" t="s">
        <v>5</v>
      </c>
      <c r="F176" s="755">
        <v>7.6</v>
      </c>
      <c r="G176" s="510" t="s">
        <v>19074</v>
      </c>
      <c r="H176" s="508">
        <v>0.2094</v>
      </c>
      <c r="I176" s="510">
        <v>14.065322000000002</v>
      </c>
      <c r="J176" s="509">
        <v>106.89644720000001</v>
      </c>
      <c r="K176" s="409"/>
      <c r="L176" s="447">
        <f t="shared" si="5"/>
        <v>106.89644720000001</v>
      </c>
      <c r="M176" s="447"/>
      <c r="N176" s="409"/>
      <c r="O176" s="409"/>
      <c r="P176" s="409"/>
      <c r="Q176" s="409"/>
      <c r="R176" s="409"/>
      <c r="S176" s="409"/>
    </row>
    <row r="177" spans="1:19" s="140" customFormat="1">
      <c r="A177" s="394"/>
      <c r="B177" s="396"/>
      <c r="C177" s="396"/>
      <c r="D177" s="406"/>
      <c r="E177" s="424"/>
      <c r="F177" s="424"/>
      <c r="G177" s="463"/>
      <c r="H177" s="424"/>
      <c r="I177" s="463"/>
      <c r="J177" s="425"/>
      <c r="K177" s="409"/>
      <c r="L177" s="447">
        <f t="shared" si="5"/>
        <v>0</v>
      </c>
      <c r="M177" s="447"/>
      <c r="N177" s="409"/>
      <c r="O177" s="409"/>
      <c r="P177" s="409"/>
      <c r="Q177" s="409"/>
      <c r="R177" s="409"/>
      <c r="S177" s="409"/>
    </row>
    <row r="178" spans="1:19" s="140" customFormat="1">
      <c r="A178" s="394"/>
      <c r="B178" s="395"/>
      <c r="C178" s="395"/>
      <c r="D178" s="404"/>
      <c r="E178" s="395"/>
      <c r="F178" s="395"/>
      <c r="G178" s="460" t="s">
        <v>69</v>
      </c>
      <c r="H178" s="419"/>
      <c r="I178" s="460"/>
      <c r="J178" s="421">
        <v>1219.1429264000001</v>
      </c>
      <c r="K178" s="448"/>
      <c r="L178" s="447">
        <f t="shared" si="5"/>
        <v>0</v>
      </c>
      <c r="M178" s="447"/>
      <c r="N178" s="409"/>
      <c r="O178" s="409"/>
      <c r="P178" s="409"/>
      <c r="Q178" s="409"/>
      <c r="R178" s="409"/>
      <c r="S178" s="409"/>
    </row>
    <row r="179" spans="1:19" s="92" customFormat="1">
      <c r="A179" s="256"/>
      <c r="B179" s="397"/>
      <c r="C179" s="397"/>
      <c r="D179" s="408"/>
      <c r="E179" s="397"/>
      <c r="F179" s="431"/>
      <c r="G179" s="431"/>
      <c r="H179" s="431"/>
      <c r="I179" s="431"/>
      <c r="J179" s="428"/>
      <c r="K179" s="298"/>
      <c r="L179" s="447">
        <f t="shared" si="5"/>
        <v>0</v>
      </c>
      <c r="M179" s="447"/>
      <c r="N179" s="298"/>
      <c r="O179" s="298"/>
      <c r="P179" s="298"/>
      <c r="Q179" s="298"/>
      <c r="R179" s="298"/>
      <c r="S179" s="298"/>
    </row>
    <row r="180" spans="1:19" s="92" customFormat="1">
      <c r="A180" s="256"/>
      <c r="B180" s="390" t="s">
        <v>14579</v>
      </c>
      <c r="C180" s="390"/>
      <c r="D180" s="479" t="s">
        <v>14580</v>
      </c>
      <c r="E180" s="397"/>
      <c r="F180" s="431"/>
      <c r="G180" s="431"/>
      <c r="H180" s="431"/>
      <c r="I180" s="431"/>
      <c r="J180" s="428"/>
      <c r="K180" s="447"/>
      <c r="L180" s="447">
        <f t="shared" si="5"/>
        <v>0</v>
      </c>
      <c r="M180" s="447"/>
      <c r="N180" s="298"/>
      <c r="O180" s="298"/>
      <c r="P180" s="298"/>
      <c r="Q180" s="298"/>
      <c r="R180" s="298"/>
      <c r="S180" s="298"/>
    </row>
    <row r="181" spans="1:19" s="92" customFormat="1">
      <c r="A181" s="256"/>
      <c r="B181" s="390" t="s">
        <v>15053</v>
      </c>
      <c r="C181" s="287"/>
      <c r="D181" s="399" t="s">
        <v>14586</v>
      </c>
      <c r="E181" s="415"/>
      <c r="F181" s="415"/>
      <c r="G181" s="462"/>
      <c r="H181" s="415"/>
      <c r="I181" s="462"/>
      <c r="J181" s="416"/>
      <c r="K181" s="447"/>
      <c r="L181" s="447">
        <f t="shared" si="5"/>
        <v>0</v>
      </c>
      <c r="M181" s="447"/>
      <c r="N181" s="298"/>
      <c r="O181" s="298"/>
      <c r="P181" s="298"/>
      <c r="Q181" s="298"/>
      <c r="R181" s="298"/>
      <c r="S181" s="298"/>
    </row>
    <row r="182" spans="1:19" s="92" customFormat="1" ht="63.75">
      <c r="A182" s="394" t="s">
        <v>3259</v>
      </c>
      <c r="B182" s="288" t="s">
        <v>15057</v>
      </c>
      <c r="C182" s="285">
        <v>92367</v>
      </c>
      <c r="D182" s="289" t="s">
        <v>13233</v>
      </c>
      <c r="E182" s="290" t="s">
        <v>5</v>
      </c>
      <c r="F182" s="292">
        <v>1.7</v>
      </c>
      <c r="G182" s="510" t="s">
        <v>22950</v>
      </c>
      <c r="H182" s="508">
        <v>0.2094</v>
      </c>
      <c r="I182" s="510">
        <v>151.68294800000001</v>
      </c>
      <c r="J182" s="509">
        <v>257.86101159999998</v>
      </c>
      <c r="K182" s="447"/>
      <c r="L182" s="447">
        <f t="shared" si="5"/>
        <v>257.86101159999998</v>
      </c>
      <c r="M182" s="447"/>
      <c r="N182" s="298"/>
      <c r="O182" s="298"/>
      <c r="P182" s="298"/>
      <c r="Q182" s="298"/>
      <c r="R182" s="298"/>
      <c r="S182" s="298"/>
    </row>
    <row r="183" spans="1:19" s="92" customFormat="1" ht="63.75">
      <c r="A183" s="394" t="s">
        <v>3259</v>
      </c>
      <c r="B183" s="288" t="s">
        <v>15058</v>
      </c>
      <c r="C183" s="285">
        <v>92368</v>
      </c>
      <c r="D183" s="289" t="s">
        <v>13234</v>
      </c>
      <c r="E183" s="290" t="s">
        <v>5</v>
      </c>
      <c r="F183" s="292">
        <v>8.24</v>
      </c>
      <c r="G183" s="510" t="s">
        <v>22951</v>
      </c>
      <c r="H183" s="508">
        <v>0.2094</v>
      </c>
      <c r="I183" s="510">
        <v>201.42557000000002</v>
      </c>
      <c r="J183" s="509">
        <v>1659.7466968000001</v>
      </c>
      <c r="K183" s="447"/>
      <c r="L183" s="447">
        <f t="shared" si="5"/>
        <v>1659.7466968000001</v>
      </c>
      <c r="M183" s="447"/>
      <c r="N183" s="298"/>
      <c r="O183" s="298"/>
      <c r="P183" s="298"/>
      <c r="Q183" s="298"/>
      <c r="R183" s="298"/>
      <c r="S183" s="298"/>
    </row>
    <row r="184" spans="1:19" s="92" customFormat="1" ht="63.75">
      <c r="A184" s="394" t="s">
        <v>3260</v>
      </c>
      <c r="B184" s="288" t="s">
        <v>15059</v>
      </c>
      <c r="C184" s="285" t="s">
        <v>15108</v>
      </c>
      <c r="D184" s="289" t="s">
        <v>15066</v>
      </c>
      <c r="E184" s="290" t="s">
        <v>3243</v>
      </c>
      <c r="F184" s="292">
        <v>1.2</v>
      </c>
      <c r="G184" s="510">
        <v>50.68</v>
      </c>
      <c r="H184" s="508">
        <v>0.2094</v>
      </c>
      <c r="I184" s="510">
        <v>61.292392</v>
      </c>
      <c r="J184" s="509">
        <v>73.550870399999994</v>
      </c>
      <c r="K184" s="447"/>
      <c r="L184" s="447">
        <f t="shared" si="5"/>
        <v>73.550870399999994</v>
      </c>
      <c r="M184" s="447"/>
      <c r="N184" s="298"/>
      <c r="O184" s="298"/>
      <c r="P184" s="298"/>
      <c r="Q184" s="298"/>
      <c r="R184" s="298"/>
      <c r="S184" s="298"/>
    </row>
    <row r="185" spans="1:19" s="92" customFormat="1" ht="69" customHeight="1">
      <c r="A185" s="394" t="s">
        <v>3259</v>
      </c>
      <c r="B185" s="288" t="s">
        <v>15060</v>
      </c>
      <c r="C185" s="285">
        <v>92636</v>
      </c>
      <c r="D185" s="289" t="s">
        <v>13310</v>
      </c>
      <c r="E185" s="290" t="s">
        <v>109</v>
      </c>
      <c r="F185" s="292">
        <v>4</v>
      </c>
      <c r="G185" s="510" t="s">
        <v>23164</v>
      </c>
      <c r="H185" s="508">
        <v>0.2094</v>
      </c>
      <c r="I185" s="510">
        <v>166.37715800000001</v>
      </c>
      <c r="J185" s="509">
        <v>665.50863200000003</v>
      </c>
      <c r="K185" s="447"/>
      <c r="L185" s="447">
        <f t="shared" si="5"/>
        <v>665.50863200000003</v>
      </c>
      <c r="M185" s="447"/>
      <c r="N185" s="298"/>
      <c r="O185" s="298"/>
      <c r="P185" s="298"/>
      <c r="Q185" s="298"/>
      <c r="R185" s="298"/>
      <c r="S185" s="298"/>
    </row>
    <row r="186" spans="1:19" s="92" customFormat="1" ht="51">
      <c r="A186" s="394" t="s">
        <v>3259</v>
      </c>
      <c r="B186" s="288" t="s">
        <v>15061</v>
      </c>
      <c r="C186" s="285">
        <v>92644</v>
      </c>
      <c r="D186" s="289" t="s">
        <v>13316</v>
      </c>
      <c r="E186" s="290" t="s">
        <v>109</v>
      </c>
      <c r="F186" s="292">
        <v>7</v>
      </c>
      <c r="G186" s="510" t="s">
        <v>23168</v>
      </c>
      <c r="H186" s="508">
        <v>0.2094</v>
      </c>
      <c r="I186" s="510">
        <v>220.36477400000001</v>
      </c>
      <c r="J186" s="509">
        <v>1542.553418</v>
      </c>
      <c r="K186" s="447"/>
      <c r="L186" s="447">
        <f t="shared" si="5"/>
        <v>1542.553418</v>
      </c>
      <c r="M186" s="447"/>
      <c r="N186" s="298"/>
      <c r="O186" s="298"/>
      <c r="P186" s="298"/>
      <c r="Q186" s="298"/>
      <c r="R186" s="298"/>
      <c r="S186" s="298"/>
    </row>
    <row r="187" spans="1:19" s="92" customFormat="1" ht="63.75">
      <c r="A187" s="394" t="s">
        <v>3259</v>
      </c>
      <c r="B187" s="288" t="s">
        <v>15067</v>
      </c>
      <c r="C187" s="285">
        <v>94500</v>
      </c>
      <c r="D187" s="289" t="s">
        <v>2378</v>
      </c>
      <c r="E187" s="290" t="s">
        <v>109</v>
      </c>
      <c r="F187" s="292">
        <v>4</v>
      </c>
      <c r="G187" s="510" t="s">
        <v>23583</v>
      </c>
      <c r="H187" s="508">
        <v>0.2094</v>
      </c>
      <c r="I187" s="510">
        <v>420.31487600000003</v>
      </c>
      <c r="J187" s="509">
        <v>1681.2595040000001</v>
      </c>
      <c r="K187" s="447"/>
      <c r="L187" s="447">
        <f t="shared" si="5"/>
        <v>1681.2595040000001</v>
      </c>
      <c r="M187" s="447"/>
      <c r="N187" s="298"/>
      <c r="O187" s="298"/>
      <c r="P187" s="298"/>
      <c r="Q187" s="298"/>
      <c r="R187" s="298"/>
      <c r="S187" s="298"/>
    </row>
    <row r="188" spans="1:19" s="92" customFormat="1" ht="51">
      <c r="A188" s="394" t="s">
        <v>3259</v>
      </c>
      <c r="B188" s="288" t="s">
        <v>15068</v>
      </c>
      <c r="C188" s="285">
        <v>92637</v>
      </c>
      <c r="D188" s="289" t="s">
        <v>13311</v>
      </c>
      <c r="E188" s="290" t="s">
        <v>109</v>
      </c>
      <c r="F188" s="292">
        <v>3</v>
      </c>
      <c r="G188" s="510" t="s">
        <v>14062</v>
      </c>
      <c r="H188" s="508">
        <v>0.2094</v>
      </c>
      <c r="I188" s="510">
        <v>67.218451999999999</v>
      </c>
      <c r="J188" s="509">
        <v>201.65535599999998</v>
      </c>
      <c r="K188" s="447"/>
      <c r="L188" s="447">
        <f t="shared" si="5"/>
        <v>201.65535599999998</v>
      </c>
      <c r="M188" s="447"/>
      <c r="N188" s="298"/>
      <c r="O188" s="298"/>
      <c r="P188" s="298"/>
      <c r="Q188" s="298"/>
      <c r="R188" s="298"/>
      <c r="S188" s="298"/>
    </row>
    <row r="189" spans="1:19" s="92" customFormat="1" ht="51">
      <c r="A189" s="394" t="s">
        <v>3259</v>
      </c>
      <c r="B189" s="288" t="s">
        <v>15069</v>
      </c>
      <c r="C189" s="285">
        <v>92382</v>
      </c>
      <c r="D189" s="289" t="s">
        <v>13300</v>
      </c>
      <c r="E189" s="290" t="s">
        <v>109</v>
      </c>
      <c r="F189" s="292">
        <v>1</v>
      </c>
      <c r="G189" s="510" t="s">
        <v>20178</v>
      </c>
      <c r="H189" s="508">
        <v>0.2094</v>
      </c>
      <c r="I189" s="510">
        <v>49.839373999999999</v>
      </c>
      <c r="J189" s="509">
        <v>49.839373999999999</v>
      </c>
      <c r="K189" s="447"/>
      <c r="L189" s="447">
        <f t="shared" si="5"/>
        <v>49.839373999999999</v>
      </c>
      <c r="M189" s="447"/>
      <c r="N189" s="298"/>
      <c r="O189" s="298"/>
      <c r="P189" s="298"/>
      <c r="Q189" s="298"/>
      <c r="R189" s="298"/>
      <c r="S189" s="298"/>
    </row>
    <row r="190" spans="1:19" s="92" customFormat="1" ht="63.75">
      <c r="A190" s="394" t="s">
        <v>3259</v>
      </c>
      <c r="B190" s="288" t="s">
        <v>15078</v>
      </c>
      <c r="C190" s="285">
        <v>94495</v>
      </c>
      <c r="D190" s="289" t="s">
        <v>2373</v>
      </c>
      <c r="E190" s="290" t="s">
        <v>109</v>
      </c>
      <c r="F190" s="292">
        <v>1</v>
      </c>
      <c r="G190" s="510" t="s">
        <v>15803</v>
      </c>
      <c r="H190" s="508">
        <v>0.2094</v>
      </c>
      <c r="I190" s="510">
        <v>101.74682199999999</v>
      </c>
      <c r="J190" s="509">
        <v>101.74682199999999</v>
      </c>
      <c r="K190" s="447"/>
      <c r="L190" s="447">
        <f t="shared" si="5"/>
        <v>101.74682199999999</v>
      </c>
      <c r="M190" s="447"/>
      <c r="N190" s="298"/>
      <c r="O190" s="298"/>
      <c r="P190" s="298"/>
      <c r="Q190" s="298"/>
      <c r="R190" s="298"/>
      <c r="S190" s="298"/>
    </row>
    <row r="191" spans="1:19" s="92" customFormat="1" ht="38.25">
      <c r="A191" s="394" t="s">
        <v>3259</v>
      </c>
      <c r="B191" s="288" t="s">
        <v>15079</v>
      </c>
      <c r="C191" s="285">
        <v>99633</v>
      </c>
      <c r="D191" s="289" t="s">
        <v>4346</v>
      </c>
      <c r="E191" s="290" t="s">
        <v>109</v>
      </c>
      <c r="F191" s="292">
        <v>3</v>
      </c>
      <c r="G191" s="510" t="s">
        <v>23608</v>
      </c>
      <c r="H191" s="508">
        <v>0.2094</v>
      </c>
      <c r="I191" s="510">
        <v>424.48730600000005</v>
      </c>
      <c r="J191" s="509">
        <v>1273.4619180000002</v>
      </c>
      <c r="K191" s="447"/>
      <c r="L191" s="447">
        <f t="shared" si="5"/>
        <v>1273.4619180000002</v>
      </c>
      <c r="M191" s="447"/>
      <c r="N191" s="298"/>
      <c r="O191" s="298"/>
      <c r="P191" s="298"/>
      <c r="Q191" s="298"/>
      <c r="R191" s="298"/>
      <c r="S191" s="298"/>
    </row>
    <row r="192" spans="1:19" s="92" customFormat="1" ht="63.75">
      <c r="A192" s="394" t="s">
        <v>3259</v>
      </c>
      <c r="B192" s="288" t="s">
        <v>15080</v>
      </c>
      <c r="C192" s="285">
        <v>92390</v>
      </c>
      <c r="D192" s="289" t="s">
        <v>13308</v>
      </c>
      <c r="E192" s="290" t="s">
        <v>109</v>
      </c>
      <c r="F192" s="292">
        <v>2</v>
      </c>
      <c r="G192" s="510" t="s">
        <v>15805</v>
      </c>
      <c r="H192" s="508">
        <v>0.2094</v>
      </c>
      <c r="I192" s="510">
        <v>129.34533000000002</v>
      </c>
      <c r="J192" s="509">
        <v>258.69066000000004</v>
      </c>
      <c r="K192" s="447"/>
      <c r="L192" s="447">
        <f t="shared" si="5"/>
        <v>258.69066000000004</v>
      </c>
      <c r="M192" s="447"/>
      <c r="N192" s="298"/>
      <c r="O192" s="298"/>
      <c r="P192" s="298"/>
      <c r="Q192" s="298"/>
      <c r="R192" s="298"/>
      <c r="S192" s="298"/>
    </row>
    <row r="193" spans="1:19" s="92" customFormat="1" ht="63.75">
      <c r="A193" s="394" t="s">
        <v>3259</v>
      </c>
      <c r="B193" s="288" t="s">
        <v>15081</v>
      </c>
      <c r="C193" s="285">
        <v>92937</v>
      </c>
      <c r="D193" s="289" t="s">
        <v>13402</v>
      </c>
      <c r="E193" s="290" t="s">
        <v>109</v>
      </c>
      <c r="F193" s="292">
        <v>1</v>
      </c>
      <c r="G193" s="510" t="s">
        <v>23203</v>
      </c>
      <c r="H193" s="508">
        <v>0.2094</v>
      </c>
      <c r="I193" s="510">
        <v>126.370206</v>
      </c>
      <c r="J193" s="509">
        <v>126.370206</v>
      </c>
      <c r="K193" s="447"/>
      <c r="L193" s="447">
        <f t="shared" si="5"/>
        <v>126.370206</v>
      </c>
      <c r="M193" s="447"/>
      <c r="N193" s="298"/>
      <c r="O193" s="298"/>
      <c r="P193" s="298"/>
      <c r="Q193" s="298"/>
      <c r="R193" s="298"/>
      <c r="S193" s="298"/>
    </row>
    <row r="194" spans="1:19" s="92" customFormat="1" ht="63.75">
      <c r="A194" s="394" t="s">
        <v>3259</v>
      </c>
      <c r="B194" s="288" t="s">
        <v>15082</v>
      </c>
      <c r="C194" s="285">
        <v>92933</v>
      </c>
      <c r="D194" s="289" t="s">
        <v>13398</v>
      </c>
      <c r="E194" s="290" t="s">
        <v>109</v>
      </c>
      <c r="F194" s="292">
        <v>1</v>
      </c>
      <c r="G194" s="510" t="s">
        <v>16384</v>
      </c>
      <c r="H194" s="508">
        <v>0.2094</v>
      </c>
      <c r="I194" s="510">
        <v>64.400549999999996</v>
      </c>
      <c r="J194" s="509">
        <v>64.400549999999996</v>
      </c>
      <c r="K194" s="447"/>
      <c r="L194" s="447">
        <f t="shared" ref="L194:L212" si="8">I194*F194</f>
        <v>64.400549999999996</v>
      </c>
      <c r="M194" s="447"/>
      <c r="N194" s="298"/>
      <c r="O194" s="298"/>
      <c r="P194" s="298"/>
      <c r="Q194" s="298"/>
      <c r="R194" s="298"/>
      <c r="S194" s="298"/>
    </row>
    <row r="195" spans="1:19" s="92" customFormat="1" ht="63.75">
      <c r="A195" s="394" t="s">
        <v>3260</v>
      </c>
      <c r="B195" s="288" t="s">
        <v>15083</v>
      </c>
      <c r="C195" s="285" t="s">
        <v>24506</v>
      </c>
      <c r="D195" s="289" t="s">
        <v>24508</v>
      </c>
      <c r="E195" s="290" t="s">
        <v>109</v>
      </c>
      <c r="F195" s="292">
        <v>1</v>
      </c>
      <c r="G195" s="510">
        <v>125.66</v>
      </c>
      <c r="H195" s="508">
        <v>0.2094</v>
      </c>
      <c r="I195" s="510">
        <v>151.97320400000001</v>
      </c>
      <c r="J195" s="509">
        <v>151.97320400000001</v>
      </c>
      <c r="K195" s="447"/>
      <c r="L195" s="447">
        <f t="shared" si="8"/>
        <v>151.97320400000001</v>
      </c>
      <c r="M195" s="447"/>
      <c r="N195" s="298"/>
      <c r="O195" s="298"/>
      <c r="P195" s="298"/>
      <c r="Q195" s="298"/>
      <c r="R195" s="298"/>
      <c r="S195" s="298"/>
    </row>
    <row r="196" spans="1:19" s="92" customFormat="1">
      <c r="A196" s="256"/>
      <c r="B196" s="397"/>
      <c r="C196" s="397"/>
      <c r="D196" s="408"/>
      <c r="E196" s="397"/>
      <c r="F196" s="431"/>
      <c r="G196" s="431"/>
      <c r="H196" s="431"/>
      <c r="I196" s="431"/>
      <c r="J196" s="428"/>
      <c r="K196" s="447"/>
      <c r="L196" s="447">
        <f t="shared" si="8"/>
        <v>0</v>
      </c>
      <c r="M196" s="447"/>
      <c r="N196" s="298"/>
      <c r="O196" s="298"/>
      <c r="P196" s="298"/>
      <c r="Q196" s="298"/>
      <c r="R196" s="298"/>
      <c r="S196" s="298"/>
    </row>
    <row r="197" spans="1:19" s="92" customFormat="1">
      <c r="A197" s="256"/>
      <c r="B197" s="390" t="s">
        <v>15054</v>
      </c>
      <c r="C197" s="390"/>
      <c r="D197" s="399" t="s">
        <v>15055</v>
      </c>
      <c r="E197" s="415"/>
      <c r="F197" s="415"/>
      <c r="G197" s="462"/>
      <c r="H197" s="415"/>
      <c r="I197" s="462"/>
      <c r="J197" s="416"/>
      <c r="K197" s="447"/>
      <c r="L197" s="447">
        <f t="shared" si="8"/>
        <v>0</v>
      </c>
      <c r="M197" s="447"/>
      <c r="N197" s="298"/>
      <c r="O197" s="298"/>
      <c r="P197" s="298"/>
      <c r="Q197" s="298"/>
      <c r="R197" s="298"/>
      <c r="S197" s="298"/>
    </row>
    <row r="198" spans="1:19" s="92" customFormat="1" ht="38.25">
      <c r="A198" s="394" t="s">
        <v>3259</v>
      </c>
      <c r="B198" s="288" t="s">
        <v>15062</v>
      </c>
      <c r="C198" s="285">
        <v>101917</v>
      </c>
      <c r="D198" s="289" t="s">
        <v>13212</v>
      </c>
      <c r="E198" s="290" t="s">
        <v>109</v>
      </c>
      <c r="F198" s="292">
        <v>1</v>
      </c>
      <c r="G198" s="510" t="s">
        <v>22885</v>
      </c>
      <c r="H198" s="508">
        <v>0.2094</v>
      </c>
      <c r="I198" s="510">
        <v>150.40098399999999</v>
      </c>
      <c r="J198" s="509">
        <v>150.40098399999999</v>
      </c>
      <c r="K198" s="447"/>
      <c r="L198" s="447">
        <f t="shared" si="8"/>
        <v>150.40098399999999</v>
      </c>
      <c r="M198" s="447"/>
      <c r="N198" s="298"/>
      <c r="O198" s="298"/>
      <c r="P198" s="298"/>
      <c r="Q198" s="298"/>
      <c r="R198" s="298"/>
      <c r="S198" s="298"/>
    </row>
    <row r="199" spans="1:19" s="92" customFormat="1" ht="25.5">
      <c r="A199" s="394" t="s">
        <v>3260</v>
      </c>
      <c r="B199" s="288" t="s">
        <v>15070</v>
      </c>
      <c r="C199" s="285" t="s">
        <v>15110</v>
      </c>
      <c r="D199" s="289" t="s">
        <v>15095</v>
      </c>
      <c r="E199" s="290" t="s">
        <v>109</v>
      </c>
      <c r="F199" s="292">
        <v>2</v>
      </c>
      <c r="G199" s="510">
        <v>114.18</v>
      </c>
      <c r="H199" s="508">
        <v>0.2094</v>
      </c>
      <c r="I199" s="510">
        <v>138.089292</v>
      </c>
      <c r="J199" s="509">
        <v>276.178584</v>
      </c>
      <c r="K199" s="447"/>
      <c r="L199" s="447">
        <f t="shared" si="8"/>
        <v>276.178584</v>
      </c>
      <c r="M199" s="447"/>
      <c r="N199" s="298"/>
      <c r="O199" s="298"/>
      <c r="P199" s="298"/>
      <c r="Q199" s="298"/>
      <c r="R199" s="298"/>
      <c r="S199" s="298"/>
    </row>
    <row r="200" spans="1:19" s="92" customFormat="1" ht="51">
      <c r="A200" s="394" t="s">
        <v>3260</v>
      </c>
      <c r="B200" s="288" t="s">
        <v>15071</v>
      </c>
      <c r="C200" s="285" t="s">
        <v>15111</v>
      </c>
      <c r="D200" s="289" t="s">
        <v>17912</v>
      </c>
      <c r="E200" s="290" t="s">
        <v>109</v>
      </c>
      <c r="F200" s="292">
        <v>2</v>
      </c>
      <c r="G200" s="510">
        <v>3317.7</v>
      </c>
      <c r="H200" s="508">
        <v>0.2094</v>
      </c>
      <c r="I200" s="510">
        <v>4012.4263799999999</v>
      </c>
      <c r="J200" s="509">
        <v>8024.8527599999998</v>
      </c>
      <c r="K200" s="447"/>
      <c r="L200" s="447">
        <f t="shared" si="8"/>
        <v>8024.8527599999998</v>
      </c>
      <c r="M200" s="447"/>
      <c r="N200" s="298"/>
      <c r="O200" s="298"/>
      <c r="P200" s="298"/>
      <c r="Q200" s="298"/>
      <c r="R200" s="298"/>
      <c r="S200" s="298"/>
    </row>
    <row r="201" spans="1:19" s="92" customFormat="1" ht="38.25">
      <c r="A201" s="394" t="s">
        <v>3260</v>
      </c>
      <c r="B201" s="288" t="s">
        <v>15075</v>
      </c>
      <c r="C201" s="285" t="s">
        <v>24866</v>
      </c>
      <c r="D201" s="289" t="s">
        <v>24867</v>
      </c>
      <c r="E201" s="290" t="s">
        <v>109</v>
      </c>
      <c r="F201" s="292">
        <v>1</v>
      </c>
      <c r="G201" s="510">
        <v>529.38000000000011</v>
      </c>
      <c r="H201" s="508">
        <v>0.2094</v>
      </c>
      <c r="I201" s="510">
        <v>640.23217200000011</v>
      </c>
      <c r="J201" s="509">
        <v>640.23217200000011</v>
      </c>
      <c r="K201" s="447"/>
      <c r="L201" s="447">
        <f t="shared" si="8"/>
        <v>640.23217200000011</v>
      </c>
      <c r="M201" s="447"/>
      <c r="N201" s="298"/>
      <c r="O201" s="298"/>
      <c r="P201" s="298"/>
      <c r="Q201" s="298"/>
      <c r="R201" s="298"/>
      <c r="S201" s="298"/>
    </row>
    <row r="202" spans="1:19" s="92" customFormat="1">
      <c r="A202" s="256"/>
      <c r="B202" s="397"/>
      <c r="C202" s="397"/>
      <c r="D202" s="408"/>
      <c r="E202" s="588"/>
      <c r="F202" s="590"/>
      <c r="G202" s="590"/>
      <c r="H202" s="590"/>
      <c r="I202" s="590"/>
      <c r="J202" s="594"/>
      <c r="K202" s="447"/>
      <c r="L202" s="447">
        <f t="shared" si="8"/>
        <v>0</v>
      </c>
      <c r="M202" s="447"/>
      <c r="N202" s="298"/>
      <c r="O202" s="298"/>
      <c r="P202" s="298"/>
      <c r="Q202" s="298"/>
      <c r="R202" s="298"/>
      <c r="S202" s="298"/>
    </row>
    <row r="203" spans="1:19" s="92" customFormat="1">
      <c r="A203" s="256"/>
      <c r="B203" s="390" t="s">
        <v>15072</v>
      </c>
      <c r="C203" s="390"/>
      <c r="D203" s="399" t="s">
        <v>15074</v>
      </c>
      <c r="E203" s="415"/>
      <c r="F203" s="415"/>
      <c r="G203" s="462"/>
      <c r="H203" s="415"/>
      <c r="I203" s="462"/>
      <c r="J203" s="416"/>
      <c r="K203" s="447"/>
      <c r="L203" s="447">
        <f t="shared" si="8"/>
        <v>0</v>
      </c>
      <c r="M203" s="447"/>
      <c r="N203" s="298"/>
      <c r="O203" s="298"/>
      <c r="P203" s="298"/>
      <c r="Q203" s="298"/>
      <c r="R203" s="298"/>
      <c r="S203" s="298"/>
    </row>
    <row r="204" spans="1:19" s="92" customFormat="1" ht="76.5">
      <c r="A204" s="394" t="s">
        <v>3260</v>
      </c>
      <c r="B204" s="288" t="s">
        <v>15073</v>
      </c>
      <c r="C204" s="285" t="s">
        <v>15116</v>
      </c>
      <c r="D204" s="289" t="s">
        <v>15120</v>
      </c>
      <c r="E204" s="290" t="s">
        <v>109</v>
      </c>
      <c r="F204" s="292">
        <v>1</v>
      </c>
      <c r="G204" s="510">
        <v>34.21</v>
      </c>
      <c r="H204" s="508">
        <v>0.2094</v>
      </c>
      <c r="I204" s="510">
        <v>41.373574000000005</v>
      </c>
      <c r="J204" s="509">
        <v>41.373574000000005</v>
      </c>
      <c r="K204" s="447"/>
      <c r="L204" s="447">
        <f t="shared" si="8"/>
        <v>41.373574000000005</v>
      </c>
      <c r="M204" s="447"/>
      <c r="N204" s="298"/>
      <c r="O204" s="298"/>
      <c r="P204" s="298"/>
      <c r="Q204" s="298"/>
      <c r="R204" s="298"/>
      <c r="S204" s="298"/>
    </row>
    <row r="205" spans="1:19" s="140" customFormat="1">
      <c r="A205" s="394"/>
      <c r="B205" s="288"/>
      <c r="C205" s="285"/>
      <c r="D205" s="407"/>
      <c r="E205" s="230"/>
      <c r="F205" s="477"/>
      <c r="G205" s="464"/>
      <c r="H205" s="427"/>
      <c r="I205" s="464"/>
      <c r="J205" s="594"/>
      <c r="K205" s="409"/>
      <c r="L205" s="447">
        <f t="shared" si="8"/>
        <v>0</v>
      </c>
      <c r="M205" s="409"/>
      <c r="N205" s="409"/>
      <c r="O205" s="409"/>
      <c r="P205" s="409"/>
      <c r="Q205" s="409"/>
      <c r="R205" s="409"/>
      <c r="S205" s="409"/>
    </row>
    <row r="206" spans="1:19" s="140" customFormat="1">
      <c r="A206" s="256"/>
      <c r="B206" s="390" t="s">
        <v>15056</v>
      </c>
      <c r="C206" s="390"/>
      <c r="D206" s="399" t="s">
        <v>14816</v>
      </c>
      <c r="E206" s="415"/>
      <c r="F206" s="415"/>
      <c r="G206" s="462"/>
      <c r="H206" s="415"/>
      <c r="I206" s="462"/>
      <c r="J206" s="416"/>
      <c r="K206" s="409"/>
      <c r="L206" s="447">
        <f t="shared" si="8"/>
        <v>0</v>
      </c>
      <c r="M206" s="409"/>
      <c r="N206" s="409"/>
      <c r="O206" s="409"/>
      <c r="P206" s="409"/>
      <c r="Q206" s="409"/>
      <c r="R206" s="409"/>
      <c r="S206" s="409"/>
    </row>
    <row r="207" spans="1:19" s="140" customFormat="1" ht="63.75">
      <c r="A207" s="394" t="s">
        <v>3259</v>
      </c>
      <c r="B207" s="288" t="s">
        <v>15063</v>
      </c>
      <c r="C207" s="285">
        <v>91172</v>
      </c>
      <c r="D207" s="289" t="s">
        <v>2427</v>
      </c>
      <c r="E207" s="290" t="s">
        <v>5</v>
      </c>
      <c r="F207" s="292">
        <v>11.14</v>
      </c>
      <c r="G207" s="510" t="s">
        <v>15843</v>
      </c>
      <c r="H207" s="508">
        <v>0.2094</v>
      </c>
      <c r="I207" s="510">
        <v>5.7688379999999997</v>
      </c>
      <c r="J207" s="509">
        <v>64.264855319999995</v>
      </c>
      <c r="K207" s="409"/>
      <c r="L207" s="447">
        <f t="shared" si="8"/>
        <v>64.264855319999995</v>
      </c>
      <c r="M207" s="409"/>
      <c r="N207" s="409"/>
      <c r="O207" s="409"/>
      <c r="P207" s="409"/>
      <c r="Q207" s="409"/>
      <c r="R207" s="409"/>
      <c r="S207" s="409"/>
    </row>
    <row r="208" spans="1:19" s="140" customFormat="1" ht="25.5">
      <c r="A208" s="394" t="s">
        <v>3260</v>
      </c>
      <c r="B208" s="288" t="s">
        <v>15098</v>
      </c>
      <c r="C208" s="285" t="s">
        <v>15121</v>
      </c>
      <c r="D208" s="289" t="s">
        <v>24509</v>
      </c>
      <c r="E208" s="290" t="s">
        <v>109</v>
      </c>
      <c r="F208" s="292">
        <v>2.31</v>
      </c>
      <c r="G208" s="510">
        <v>124.11000000000001</v>
      </c>
      <c r="H208" s="508">
        <v>0.2094</v>
      </c>
      <c r="I208" s="510">
        <v>150.09863400000003</v>
      </c>
      <c r="J208" s="509">
        <v>346.72784454000009</v>
      </c>
      <c r="K208" s="409"/>
      <c r="L208" s="447">
        <f t="shared" si="8"/>
        <v>346.72784454000009</v>
      </c>
      <c r="M208" s="409"/>
      <c r="N208" s="409"/>
      <c r="O208" s="409"/>
      <c r="P208" s="409"/>
      <c r="Q208" s="409"/>
      <c r="R208" s="409"/>
      <c r="S208" s="409"/>
    </row>
    <row r="209" spans="1:19" s="140" customFormat="1" ht="76.5">
      <c r="A209" s="394" t="s">
        <v>3259</v>
      </c>
      <c r="B209" s="288" t="s">
        <v>15099</v>
      </c>
      <c r="C209" s="285">
        <v>100746</v>
      </c>
      <c r="D209" s="289" t="s">
        <v>11003</v>
      </c>
      <c r="E209" s="290" t="s">
        <v>193</v>
      </c>
      <c r="F209" s="292">
        <v>2.66</v>
      </c>
      <c r="G209" s="510" t="s">
        <v>11013</v>
      </c>
      <c r="H209" s="508">
        <v>0.2094</v>
      </c>
      <c r="I209" s="510">
        <v>24.937828000000003</v>
      </c>
      <c r="J209" s="509">
        <v>66.334622480000007</v>
      </c>
      <c r="K209" s="409"/>
      <c r="L209" s="447">
        <f t="shared" si="8"/>
        <v>66.334622480000007</v>
      </c>
      <c r="M209" s="409"/>
      <c r="N209" s="409"/>
      <c r="O209" s="409"/>
      <c r="P209" s="409"/>
      <c r="Q209" s="409"/>
      <c r="R209" s="409"/>
      <c r="S209" s="409"/>
    </row>
    <row r="210" spans="1:19" s="92" customFormat="1">
      <c r="A210" s="256"/>
      <c r="B210" s="397"/>
      <c r="C210" s="397"/>
      <c r="D210" s="408"/>
      <c r="E210" s="397"/>
      <c r="F210" s="431"/>
      <c r="G210" s="431"/>
      <c r="H210" s="417"/>
      <c r="I210" s="431"/>
      <c r="J210" s="418"/>
      <c r="K210" s="298"/>
      <c r="L210" s="447">
        <f t="shared" si="8"/>
        <v>0</v>
      </c>
      <c r="M210" s="447"/>
      <c r="N210" s="298"/>
      <c r="O210" s="298"/>
      <c r="P210" s="298"/>
      <c r="Q210" s="298"/>
      <c r="R210" s="298"/>
      <c r="S210" s="298"/>
    </row>
    <row r="211" spans="1:19" s="92" customFormat="1">
      <c r="A211" s="256"/>
      <c r="B211" s="392"/>
      <c r="C211" s="393"/>
      <c r="D211" s="402"/>
      <c r="E211" s="393"/>
      <c r="F211" s="393"/>
      <c r="G211" s="460" t="s">
        <v>69</v>
      </c>
      <c r="H211" s="432"/>
      <c r="I211" s="460"/>
      <c r="J211" s="420">
        <v>17718.983619140003</v>
      </c>
      <c r="K211" s="298"/>
      <c r="L211" s="447">
        <f t="shared" si="8"/>
        <v>0</v>
      </c>
      <c r="M211" s="447"/>
      <c r="N211" s="298"/>
      <c r="O211" s="298"/>
      <c r="P211" s="298"/>
      <c r="Q211" s="298"/>
      <c r="R211" s="298"/>
      <c r="S211" s="298"/>
    </row>
    <row r="212" spans="1:19" s="92" customFormat="1">
      <c r="A212" s="256"/>
      <c r="B212" s="397"/>
      <c r="C212" s="397"/>
      <c r="D212" s="408"/>
      <c r="E212" s="397"/>
      <c r="F212" s="431"/>
      <c r="G212" s="431"/>
      <c r="H212" s="431"/>
      <c r="I212" s="431"/>
      <c r="J212" s="418"/>
      <c r="K212" s="298"/>
      <c r="L212" s="447">
        <f t="shared" si="8"/>
        <v>0</v>
      </c>
      <c r="M212" s="447"/>
      <c r="N212" s="298"/>
      <c r="O212" s="298"/>
      <c r="P212" s="298"/>
      <c r="Q212" s="298"/>
      <c r="R212" s="298"/>
      <c r="S212" s="298"/>
    </row>
    <row r="213" spans="1:19" s="140" customFormat="1">
      <c r="A213" s="394"/>
      <c r="B213" s="395"/>
      <c r="C213" s="395"/>
      <c r="D213" s="404"/>
      <c r="E213" s="395"/>
      <c r="F213" s="395"/>
      <c r="G213" s="434" t="s">
        <v>70</v>
      </c>
      <c r="H213" s="435"/>
      <c r="I213" s="460"/>
      <c r="J213" s="420">
        <v>43023.500852560006</v>
      </c>
      <c r="K213" s="448"/>
      <c r="L213" s="450">
        <f>SUM(L12:L212)</f>
        <v>43023.500852559991</v>
      </c>
      <c r="M213" s="447"/>
      <c r="N213" s="409"/>
      <c r="O213" s="409"/>
      <c r="P213" s="409"/>
      <c r="Q213" s="409"/>
      <c r="R213" s="409"/>
      <c r="S213" s="409"/>
    </row>
    <row r="214" spans="1:19" s="140" customFormat="1">
      <c r="A214" s="394"/>
      <c r="B214" s="394"/>
      <c r="C214" s="394"/>
      <c r="D214" s="409"/>
      <c r="E214" s="394"/>
      <c r="F214" s="437"/>
      <c r="G214" s="437"/>
      <c r="H214" s="437"/>
      <c r="I214" s="438"/>
      <c r="J214" s="437"/>
      <c r="K214" s="409"/>
      <c r="L214" s="409"/>
      <c r="M214" s="409"/>
      <c r="N214" s="409"/>
      <c r="O214" s="409"/>
      <c r="P214" s="409"/>
      <c r="Q214" s="409"/>
      <c r="R214" s="409"/>
      <c r="S214" s="409"/>
    </row>
    <row r="215" spans="1:19" s="70" customFormat="1" ht="58.15" customHeight="1">
      <c r="A215" s="128"/>
      <c r="B215" s="808" t="str">
        <f>'018.02-21-IMPLANTAÇÃO'!B440:J440</f>
        <v>ENG. GABRIEL DA CUNHA ARAUJO
CREA 23300/D-DF
ART: 0720210046394
MAT.: 973.175-X</v>
      </c>
      <c r="C215" s="808"/>
      <c r="D215" s="808"/>
      <c r="E215" s="808"/>
      <c r="F215" s="808"/>
      <c r="G215" s="808"/>
      <c r="H215" s="808"/>
      <c r="I215" s="808"/>
      <c r="J215" s="808"/>
      <c r="K215" s="446"/>
      <c r="L215" s="446"/>
      <c r="M215" s="446"/>
      <c r="N215" s="446"/>
      <c r="O215" s="446"/>
      <c r="P215" s="446"/>
      <c r="Q215" s="446"/>
      <c r="R215" s="446"/>
      <c r="S215" s="446"/>
    </row>
    <row r="216" spans="1:19" s="70" customFormat="1" ht="58.15" customHeight="1">
      <c r="A216" s="128"/>
      <c r="B216" s="808" t="str">
        <f>'018.02-21-IMPLANTAÇÃO'!B441:J441</f>
        <v>ENG. GILMAR DA MOTA FERNANDES
CREA 23785/D-DF
ART: 0720210047629
MAT.: 973.113-X</v>
      </c>
      <c r="C216" s="808"/>
      <c r="D216" s="808"/>
      <c r="E216" s="808"/>
      <c r="F216" s="808"/>
      <c r="G216" s="808"/>
      <c r="H216" s="808"/>
      <c r="I216" s="808"/>
      <c r="J216" s="808"/>
      <c r="K216" s="446"/>
      <c r="L216" s="446"/>
      <c r="M216" s="446"/>
      <c r="N216" s="446"/>
      <c r="O216" s="446"/>
      <c r="P216" s="446"/>
      <c r="Q216" s="446"/>
      <c r="R216" s="446"/>
      <c r="S216" s="446"/>
    </row>
    <row r="217" spans="1:19" s="70" customFormat="1" ht="58.15" customHeight="1">
      <c r="A217" s="128"/>
      <c r="B217" s="808" t="str">
        <f>'018.02-21-IMPLANTAÇÃO'!B442:J442</f>
        <v>ENG. TIAGO DE SOUZA OLIVEIRA
CREA 24935/D-DF
ART: 0720210047000
MAT.: 973.315-9</v>
      </c>
      <c r="C217" s="808"/>
      <c r="D217" s="808"/>
      <c r="E217" s="808"/>
      <c r="F217" s="808"/>
      <c r="G217" s="808"/>
      <c r="H217" s="808"/>
      <c r="I217" s="808"/>
      <c r="J217" s="808"/>
      <c r="K217" s="446"/>
      <c r="L217" s="446"/>
      <c r="M217" s="446"/>
      <c r="N217" s="446"/>
      <c r="O217" s="446"/>
      <c r="P217" s="446"/>
      <c r="Q217" s="446"/>
      <c r="R217" s="446"/>
      <c r="S217" s="446"/>
    </row>
    <row r="222" spans="1:19">
      <c r="D222" s="410"/>
      <c r="F222" s="398"/>
      <c r="G222" s="398"/>
      <c r="H222" s="398"/>
      <c r="I222" s="398"/>
      <c r="J222" s="398"/>
    </row>
    <row r="223" spans="1:19">
      <c r="D223" s="410"/>
      <c r="F223" s="398"/>
      <c r="G223" s="398"/>
      <c r="H223" s="398"/>
      <c r="I223" s="398"/>
      <c r="J223" s="398"/>
    </row>
  </sheetData>
  <autoFilter ref="B11:J218"/>
  <mergeCells count="14">
    <mergeCell ref="B217:J217"/>
    <mergeCell ref="B7:C7"/>
    <mergeCell ref="D7:F7"/>
    <mergeCell ref="B8:C8"/>
    <mergeCell ref="B9:C9"/>
    <mergeCell ref="B215:J215"/>
    <mergeCell ref="B216:J216"/>
    <mergeCell ref="B6:C6"/>
    <mergeCell ref="D6:E6"/>
    <mergeCell ref="B1:J1"/>
    <mergeCell ref="B2:J2"/>
    <mergeCell ref="B3:J3"/>
    <mergeCell ref="B4:J4"/>
    <mergeCell ref="B5:J5"/>
  </mergeCells>
  <printOptions horizontalCentered="1"/>
  <pageMargins left="0.59055118110236227" right="0.62992125984251968" top="0.39370078740157483" bottom="0.39370078740157483" header="0.19685039370078741" footer="0.19685039370078741"/>
  <pageSetup paperSize="9" scale="60" orientation="portrait" r:id="rId1"/>
  <headerFooter>
    <oddHeader>&amp;C&amp;F</oddHeader>
    <oddFooter>Página &amp;P de &amp;N</oddFooter>
  </headerFooter>
  <drawing r:id="rId2"/>
  <legacyDrawing r:id="rId3"/>
</worksheet>
</file>

<file path=xl/worksheets/sheet8.xml><?xml version="1.0" encoding="utf-8"?>
<worksheet xmlns="http://schemas.openxmlformats.org/spreadsheetml/2006/main" xmlns:r="http://schemas.openxmlformats.org/officeDocument/2006/relationships">
  <sheetPr>
    <tabColor rgb="FFFF0000"/>
  </sheetPr>
  <dimension ref="A1:S252"/>
  <sheetViews>
    <sheetView showGridLines="0" view="pageBreakPreview" zoomScale="90" zoomScaleNormal="100" zoomScaleSheetLayoutView="90" workbookViewId="0">
      <selection activeCell="N16" sqref="N16"/>
    </sheetView>
  </sheetViews>
  <sheetFormatPr defaultColWidth="9.140625" defaultRowHeight="12.75"/>
  <cols>
    <col min="1" max="1" width="9.140625" style="398" customWidth="1"/>
    <col min="2" max="2" width="12.7109375" style="398" customWidth="1"/>
    <col min="3" max="3" width="13.42578125" style="398" customWidth="1"/>
    <col min="4" max="4" width="44.7109375" style="411" customWidth="1"/>
    <col min="5" max="5" width="7.7109375" style="398" customWidth="1"/>
    <col min="6" max="6" width="9.42578125" style="439" customWidth="1"/>
    <col min="7" max="7" width="12.85546875" style="439" customWidth="1"/>
    <col min="8" max="8" width="11.7109375" style="439" customWidth="1"/>
    <col min="9" max="9" width="12.5703125" style="439" customWidth="1"/>
    <col min="10" max="10" width="17.7109375" style="439" customWidth="1"/>
    <col min="11" max="11" width="17.140625" style="411" customWidth="1"/>
    <col min="12" max="12" width="20.140625" style="411" customWidth="1"/>
    <col min="13" max="13" width="20.7109375" style="411" customWidth="1"/>
    <col min="14" max="14" width="14.28515625" style="411" customWidth="1"/>
    <col min="15" max="15" width="16.7109375" style="411" customWidth="1"/>
    <col min="16" max="16" width="12.85546875" style="411" customWidth="1"/>
    <col min="17" max="17" width="11.85546875" style="411" customWidth="1"/>
    <col min="18" max="18" width="15" style="411" customWidth="1"/>
    <col min="19" max="19" width="9.140625" style="411"/>
    <col min="20" max="16384" width="9.140625" style="71"/>
  </cols>
  <sheetData>
    <row r="1" spans="1:19" s="86" customFormat="1" ht="15.75">
      <c r="A1" s="127"/>
      <c r="B1" s="814"/>
      <c r="C1" s="814"/>
      <c r="D1" s="814"/>
      <c r="E1" s="814"/>
      <c r="F1" s="814"/>
      <c r="G1" s="814"/>
      <c r="H1" s="814"/>
      <c r="I1" s="814"/>
      <c r="J1" s="814"/>
      <c r="K1" s="443"/>
      <c r="L1" s="444"/>
      <c r="M1" s="444"/>
      <c r="N1" s="444"/>
      <c r="O1" s="444"/>
      <c r="P1" s="444"/>
      <c r="Q1" s="444"/>
      <c r="R1" s="444"/>
      <c r="S1" s="444"/>
    </row>
    <row r="2" spans="1:19" s="67" customFormat="1" ht="18.75">
      <c r="A2" s="130"/>
      <c r="B2" s="815" t="s">
        <v>3765</v>
      </c>
      <c r="C2" s="815"/>
      <c r="D2" s="815"/>
      <c r="E2" s="815"/>
      <c r="F2" s="815"/>
      <c r="G2" s="815"/>
      <c r="H2" s="815"/>
      <c r="I2" s="815"/>
      <c r="J2" s="815"/>
      <c r="K2" s="445"/>
      <c r="L2" s="446"/>
      <c r="M2" s="446"/>
      <c r="N2" s="446"/>
      <c r="O2" s="446"/>
      <c r="P2" s="446"/>
      <c r="Q2" s="446"/>
      <c r="R2" s="381"/>
      <c r="S2" s="381"/>
    </row>
    <row r="3" spans="1:19" s="67" customFormat="1" ht="18.75">
      <c r="A3" s="130"/>
      <c r="B3" s="815" t="s">
        <v>3766</v>
      </c>
      <c r="C3" s="815"/>
      <c r="D3" s="815"/>
      <c r="E3" s="815"/>
      <c r="F3" s="815"/>
      <c r="G3" s="815"/>
      <c r="H3" s="815"/>
      <c r="I3" s="815"/>
      <c r="J3" s="815"/>
      <c r="K3" s="445"/>
      <c r="L3" s="446"/>
      <c r="M3" s="446"/>
      <c r="N3" s="446"/>
      <c r="O3" s="446"/>
      <c r="P3" s="446"/>
      <c r="Q3" s="446"/>
      <c r="R3" s="381"/>
      <c r="S3" s="381"/>
    </row>
    <row r="4" spans="1:19" s="67" customFormat="1" ht="18.75">
      <c r="A4" s="130"/>
      <c r="B4" s="815" t="s">
        <v>3768</v>
      </c>
      <c r="C4" s="815"/>
      <c r="D4" s="815"/>
      <c r="E4" s="815"/>
      <c r="F4" s="815"/>
      <c r="G4" s="815"/>
      <c r="H4" s="815"/>
      <c r="I4" s="815"/>
      <c r="J4" s="815"/>
      <c r="K4" s="446"/>
      <c r="L4" s="446"/>
      <c r="M4" s="446"/>
      <c r="N4" s="446"/>
      <c r="O4" s="446"/>
      <c r="P4" s="446"/>
      <c r="Q4" s="446"/>
      <c r="R4" s="381"/>
      <c r="S4" s="381"/>
    </row>
    <row r="5" spans="1:19" s="67" customFormat="1" ht="18.75">
      <c r="A5" s="130"/>
      <c r="B5" s="815" t="s">
        <v>17417</v>
      </c>
      <c r="C5" s="815"/>
      <c r="D5" s="815"/>
      <c r="E5" s="815"/>
      <c r="F5" s="815"/>
      <c r="G5" s="815"/>
      <c r="H5" s="815"/>
      <c r="I5" s="815"/>
      <c r="J5" s="815"/>
      <c r="K5" s="446"/>
      <c r="L5" s="446"/>
      <c r="M5" s="446"/>
      <c r="N5" s="446"/>
      <c r="O5" s="446"/>
      <c r="P5" s="446"/>
      <c r="Q5" s="446"/>
      <c r="R5" s="381"/>
      <c r="S5" s="381"/>
    </row>
    <row r="6" spans="1:19" s="67" customFormat="1">
      <c r="A6" s="130"/>
      <c r="B6" s="809" t="s">
        <v>60</v>
      </c>
      <c r="C6" s="809"/>
      <c r="D6" s="813" t="s">
        <v>24739</v>
      </c>
      <c r="E6" s="813"/>
      <c r="F6" s="130"/>
      <c r="G6" s="347"/>
      <c r="H6" s="347"/>
      <c r="I6" s="347" t="s">
        <v>61</v>
      </c>
      <c r="J6" s="346">
        <f>'018-21-CAPA'!E20</f>
        <v>44389</v>
      </c>
      <c r="K6" s="445"/>
      <c r="L6" s="446"/>
      <c r="M6" s="446"/>
      <c r="N6" s="446"/>
      <c r="O6" s="446"/>
      <c r="P6" s="446"/>
      <c r="Q6" s="446"/>
      <c r="R6" s="446"/>
      <c r="S6" s="381"/>
    </row>
    <row r="7" spans="1:19" s="67" customFormat="1" ht="12.75" customHeight="1">
      <c r="A7" s="130"/>
      <c r="B7" s="809" t="s">
        <v>62</v>
      </c>
      <c r="C7" s="809"/>
      <c r="D7" s="810" t="s">
        <v>24736</v>
      </c>
      <c r="E7" s="811"/>
      <c r="F7" s="811"/>
      <c r="G7" s="512"/>
      <c r="H7" s="512"/>
      <c r="I7" s="512" t="s">
        <v>16</v>
      </c>
      <c r="J7" s="329" t="str">
        <f>'018.01-21-ADM OBRA'!J7</f>
        <v>PROJ-DE-045-20</v>
      </c>
      <c r="K7" s="446"/>
      <c r="L7" s="446"/>
      <c r="M7" s="446"/>
      <c r="N7" s="446"/>
      <c r="O7" s="446"/>
      <c r="P7" s="446"/>
      <c r="Q7" s="446"/>
      <c r="R7" s="381"/>
      <c r="S7" s="381"/>
    </row>
    <row r="8" spans="1:19" s="67" customFormat="1">
      <c r="A8" s="130"/>
      <c r="B8" s="812" t="s">
        <v>18</v>
      </c>
      <c r="C8" s="809" t="s">
        <v>63</v>
      </c>
      <c r="D8" s="294" t="s">
        <v>18322</v>
      </c>
      <c r="E8" s="306"/>
      <c r="F8" s="130"/>
      <c r="G8" s="512"/>
      <c r="H8" s="512"/>
      <c r="I8" s="512" t="s">
        <v>64</v>
      </c>
      <c r="J8" s="329" t="str">
        <f>'018.01-21-ADM OBRA'!J8</f>
        <v>1.497,00 m²</v>
      </c>
      <c r="K8" s="445"/>
      <c r="L8" s="446"/>
      <c r="M8" s="446"/>
      <c r="N8" s="446"/>
      <c r="O8" s="446"/>
      <c r="P8" s="446"/>
      <c r="Q8" s="446"/>
      <c r="R8" s="446"/>
      <c r="S8" s="381"/>
    </row>
    <row r="9" spans="1:19" s="67" customFormat="1">
      <c r="A9" s="130"/>
      <c r="B9" s="809" t="s">
        <v>65</v>
      </c>
      <c r="C9" s="809"/>
      <c r="D9" s="378" t="s">
        <v>15157</v>
      </c>
      <c r="E9" s="347" t="s">
        <v>66</v>
      </c>
      <c r="F9" s="412">
        <v>0.2094</v>
      </c>
      <c r="G9" s="347" t="s">
        <v>66</v>
      </c>
      <c r="H9" s="412">
        <v>0.1089</v>
      </c>
      <c r="I9" s="327" t="s">
        <v>68</v>
      </c>
      <c r="J9" s="329" t="str">
        <f>'018.01-21-ADM OBRA'!J9</f>
        <v>SINAPI MAIO 2021</v>
      </c>
      <c r="K9" s="445"/>
      <c r="L9" s="446"/>
      <c r="M9" s="446"/>
      <c r="N9" s="446"/>
      <c r="O9" s="446"/>
      <c r="P9" s="446"/>
      <c r="Q9" s="446"/>
      <c r="R9" s="446"/>
      <c r="S9" s="381"/>
    </row>
    <row r="10" spans="1:19" s="67" customFormat="1">
      <c r="A10" s="130"/>
      <c r="B10" s="512"/>
      <c r="C10" s="512"/>
      <c r="D10" s="378"/>
      <c r="E10" s="347"/>
      <c r="F10" s="306"/>
      <c r="G10" s="327"/>
      <c r="H10" s="327"/>
      <c r="I10" s="327"/>
      <c r="J10" s="305"/>
      <c r="K10" s="445"/>
      <c r="L10" s="446"/>
      <c r="M10" s="446"/>
      <c r="N10" s="446"/>
      <c r="O10" s="446"/>
      <c r="P10" s="446"/>
      <c r="Q10" s="446"/>
      <c r="R10" s="446"/>
      <c r="S10" s="381"/>
    </row>
    <row r="11" spans="1:19" s="1" customFormat="1" ht="45">
      <c r="A11" s="377"/>
      <c r="B11" s="186" t="s">
        <v>71</v>
      </c>
      <c r="C11" s="186" t="s">
        <v>0</v>
      </c>
      <c r="D11" s="186" t="s">
        <v>1</v>
      </c>
      <c r="E11" s="186" t="s">
        <v>171</v>
      </c>
      <c r="F11" s="186" t="s">
        <v>2</v>
      </c>
      <c r="G11" s="186" t="s">
        <v>9033</v>
      </c>
      <c r="H11" s="186" t="s">
        <v>30</v>
      </c>
      <c r="I11" s="186" t="s">
        <v>9034</v>
      </c>
      <c r="J11" s="186" t="s">
        <v>9035</v>
      </c>
      <c r="K11" s="380"/>
      <c r="L11" s="380"/>
      <c r="M11" s="380"/>
      <c r="N11" s="380"/>
      <c r="O11" s="380"/>
      <c r="P11" s="380"/>
      <c r="Q11" s="380"/>
      <c r="R11" s="380"/>
      <c r="S11" s="380"/>
    </row>
    <row r="12" spans="1:19" s="92" customFormat="1">
      <c r="A12" s="256"/>
      <c r="B12" s="287" t="s">
        <v>78</v>
      </c>
      <c r="C12" s="287"/>
      <c r="D12" s="399" t="s">
        <v>3</v>
      </c>
      <c r="E12" s="413"/>
      <c r="F12" s="413"/>
      <c r="G12" s="461"/>
      <c r="H12" s="413"/>
      <c r="I12" s="461"/>
      <c r="J12" s="414"/>
      <c r="K12" s="298"/>
      <c r="L12" s="447">
        <f t="shared" ref="L12:L91" si="0">I12*F12</f>
        <v>0</v>
      </c>
      <c r="M12" s="447"/>
      <c r="N12" s="298"/>
      <c r="O12" s="298"/>
      <c r="P12" s="298"/>
      <c r="Q12" s="298"/>
      <c r="R12" s="298"/>
      <c r="S12" s="298"/>
    </row>
    <row r="13" spans="1:19" s="92" customFormat="1">
      <c r="A13" s="256"/>
      <c r="B13" s="287" t="s">
        <v>15590</v>
      </c>
      <c r="C13" s="287"/>
      <c r="D13" s="400" t="s">
        <v>15591</v>
      </c>
      <c r="E13" s="415"/>
      <c r="F13" s="415"/>
      <c r="G13" s="462"/>
      <c r="H13" s="415"/>
      <c r="I13" s="462"/>
      <c r="J13" s="416"/>
      <c r="K13" s="298"/>
      <c r="L13" s="447">
        <f t="shared" si="0"/>
        <v>0</v>
      </c>
      <c r="M13" s="447"/>
      <c r="N13" s="298"/>
      <c r="O13" s="298"/>
      <c r="P13" s="298"/>
      <c r="Q13" s="298"/>
      <c r="R13" s="298"/>
      <c r="S13" s="298"/>
    </row>
    <row r="14" spans="1:19" s="92" customFormat="1">
      <c r="A14" s="256"/>
      <c r="B14" s="287" t="s">
        <v>15592</v>
      </c>
      <c r="C14" s="287"/>
      <c r="D14" s="400" t="s">
        <v>15593</v>
      </c>
      <c r="E14" s="415"/>
      <c r="F14" s="415"/>
      <c r="G14" s="462"/>
      <c r="H14" s="415"/>
      <c r="I14" s="462"/>
      <c r="J14" s="416"/>
      <c r="K14" s="298"/>
      <c r="L14" s="447">
        <f t="shared" si="0"/>
        <v>0</v>
      </c>
      <c r="M14" s="447"/>
      <c r="N14" s="298"/>
      <c r="O14" s="298"/>
      <c r="P14" s="298"/>
      <c r="Q14" s="298"/>
      <c r="R14" s="298"/>
      <c r="S14" s="298"/>
    </row>
    <row r="15" spans="1:19" s="92" customFormat="1" ht="51">
      <c r="A15" s="256" t="s">
        <v>3259</v>
      </c>
      <c r="B15" s="288" t="s">
        <v>15594</v>
      </c>
      <c r="C15" s="288">
        <v>99059</v>
      </c>
      <c r="D15" s="289" t="s">
        <v>4496</v>
      </c>
      <c r="E15" s="290" t="s">
        <v>5</v>
      </c>
      <c r="F15" s="292">
        <v>16</v>
      </c>
      <c r="G15" s="510" t="s">
        <v>12398</v>
      </c>
      <c r="H15" s="508">
        <v>0.2094</v>
      </c>
      <c r="I15" s="510">
        <v>59.381540000000001</v>
      </c>
      <c r="J15" s="509">
        <v>950.10464000000002</v>
      </c>
      <c r="K15" s="298"/>
      <c r="L15" s="447">
        <f t="shared" si="0"/>
        <v>950.10464000000002</v>
      </c>
      <c r="M15" s="447"/>
      <c r="N15" s="298"/>
      <c r="O15" s="298"/>
      <c r="P15" s="298"/>
      <c r="Q15" s="298"/>
      <c r="R15" s="298"/>
      <c r="S15" s="298"/>
    </row>
    <row r="16" spans="1:19" s="92" customFormat="1">
      <c r="A16" s="256"/>
      <c r="B16" s="391"/>
      <c r="C16" s="391"/>
      <c r="D16" s="401"/>
      <c r="E16" s="391"/>
      <c r="F16" s="417"/>
      <c r="G16" s="417"/>
      <c r="H16" s="417"/>
      <c r="I16" s="417"/>
      <c r="J16" s="418"/>
      <c r="K16" s="298"/>
      <c r="L16" s="447">
        <f t="shared" si="0"/>
        <v>0</v>
      </c>
      <c r="M16" s="447"/>
      <c r="N16" s="298"/>
      <c r="O16" s="298"/>
      <c r="P16" s="298"/>
      <c r="Q16" s="298"/>
      <c r="R16" s="298"/>
      <c r="S16" s="298"/>
    </row>
    <row r="17" spans="1:19" s="92" customFormat="1">
      <c r="A17" s="256"/>
      <c r="B17" s="392"/>
      <c r="C17" s="393"/>
      <c r="D17" s="402"/>
      <c r="E17" s="393"/>
      <c r="F17" s="393"/>
      <c r="G17" s="460" t="s">
        <v>69</v>
      </c>
      <c r="H17" s="419"/>
      <c r="I17" s="460"/>
      <c r="J17" s="420">
        <v>950.10464000000002</v>
      </c>
      <c r="K17" s="447"/>
      <c r="L17" s="447">
        <f t="shared" si="0"/>
        <v>0</v>
      </c>
      <c r="M17" s="447"/>
      <c r="N17" s="298"/>
      <c r="O17" s="298"/>
      <c r="P17" s="298"/>
      <c r="Q17" s="298"/>
      <c r="R17" s="298"/>
      <c r="S17" s="298"/>
    </row>
    <row r="18" spans="1:19" s="92" customFormat="1">
      <c r="A18" s="256"/>
      <c r="B18" s="391"/>
      <c r="C18" s="391"/>
      <c r="D18" s="401"/>
      <c r="E18" s="391"/>
      <c r="F18" s="417"/>
      <c r="G18" s="417"/>
      <c r="H18" s="417"/>
      <c r="I18" s="417"/>
      <c r="J18" s="418"/>
      <c r="K18" s="298"/>
      <c r="L18" s="447">
        <f t="shared" si="0"/>
        <v>0</v>
      </c>
      <c r="M18" s="447"/>
      <c r="N18" s="298"/>
      <c r="O18" s="298"/>
      <c r="P18" s="298"/>
      <c r="Q18" s="298"/>
      <c r="R18" s="298"/>
      <c r="S18" s="298"/>
    </row>
    <row r="19" spans="1:19" s="92" customFormat="1">
      <c r="A19" s="256"/>
      <c r="B19" s="287" t="s">
        <v>3285</v>
      </c>
      <c r="C19" s="287"/>
      <c r="D19" s="399" t="s">
        <v>3286</v>
      </c>
      <c r="E19" s="413"/>
      <c r="F19" s="413"/>
      <c r="G19" s="461"/>
      <c r="H19" s="413"/>
      <c r="I19" s="461"/>
      <c r="J19" s="414"/>
      <c r="K19" s="298"/>
      <c r="L19" s="447">
        <f t="shared" si="0"/>
        <v>0</v>
      </c>
      <c r="M19" s="447"/>
      <c r="N19" s="298"/>
      <c r="O19" s="298"/>
      <c r="P19" s="298"/>
      <c r="Q19" s="298"/>
      <c r="R19" s="298"/>
      <c r="S19" s="298"/>
    </row>
    <row r="20" spans="1:19" s="92" customFormat="1">
      <c r="A20" s="256"/>
      <c r="B20" s="287" t="s">
        <v>3287</v>
      </c>
      <c r="C20" s="287"/>
      <c r="D20" s="400" t="s">
        <v>3288</v>
      </c>
      <c r="E20" s="415"/>
      <c r="F20" s="415"/>
      <c r="G20" s="462"/>
      <c r="H20" s="415"/>
      <c r="I20" s="462"/>
      <c r="J20" s="416"/>
      <c r="K20" s="298"/>
      <c r="L20" s="447">
        <f t="shared" si="0"/>
        <v>0</v>
      </c>
      <c r="M20" s="447"/>
      <c r="N20" s="298"/>
      <c r="O20" s="298"/>
      <c r="P20" s="298"/>
      <c r="Q20" s="298"/>
      <c r="R20" s="298"/>
      <c r="S20" s="298"/>
    </row>
    <row r="21" spans="1:19" s="92" customFormat="1">
      <c r="A21" s="256"/>
      <c r="B21" s="287" t="s">
        <v>3289</v>
      </c>
      <c r="C21" s="287"/>
      <c r="D21" s="400" t="s">
        <v>3290</v>
      </c>
      <c r="E21" s="415"/>
      <c r="F21" s="415"/>
      <c r="G21" s="462"/>
      <c r="H21" s="415"/>
      <c r="I21" s="462"/>
      <c r="J21" s="416"/>
      <c r="K21" s="298"/>
      <c r="L21" s="447">
        <f t="shared" si="0"/>
        <v>0</v>
      </c>
      <c r="M21" s="447"/>
      <c r="N21" s="298"/>
      <c r="O21" s="298" t="s">
        <v>24876</v>
      </c>
      <c r="P21" s="298"/>
      <c r="Q21" s="298"/>
      <c r="R21" s="298"/>
      <c r="S21" s="298"/>
    </row>
    <row r="22" spans="1:19" s="92" customFormat="1" ht="38.25">
      <c r="A22" s="256" t="s">
        <v>3259</v>
      </c>
      <c r="B22" s="288" t="s">
        <v>3291</v>
      </c>
      <c r="C22" s="288">
        <v>96527</v>
      </c>
      <c r="D22" s="289" t="s">
        <v>2468</v>
      </c>
      <c r="E22" s="290" t="s">
        <v>209</v>
      </c>
      <c r="F22" s="292">
        <v>2.57</v>
      </c>
      <c r="G22" s="510" t="s">
        <v>14231</v>
      </c>
      <c r="H22" s="508">
        <v>0.2094</v>
      </c>
      <c r="I22" s="510">
        <v>130.30075600000001</v>
      </c>
      <c r="J22" s="509">
        <v>334.87294292000001</v>
      </c>
      <c r="K22" s="298"/>
      <c r="L22" s="447">
        <f t="shared" si="0"/>
        <v>334.87294292000001</v>
      </c>
      <c r="M22" s="447"/>
      <c r="N22" s="298"/>
      <c r="O22" s="638">
        <f>K30+F51+F68+F80+F91</f>
        <v>6.4992033717615696</v>
      </c>
      <c r="P22" s="298"/>
      <c r="Q22" s="298"/>
      <c r="R22" s="298"/>
      <c r="S22" s="298"/>
    </row>
    <row r="23" spans="1:19" s="92" customFormat="1" ht="38.25">
      <c r="A23" s="256" t="s">
        <v>3259</v>
      </c>
      <c r="B23" s="288" t="s">
        <v>3292</v>
      </c>
      <c r="C23" s="288">
        <v>96523</v>
      </c>
      <c r="D23" s="289" t="s">
        <v>2464</v>
      </c>
      <c r="E23" s="290" t="s">
        <v>209</v>
      </c>
      <c r="F23" s="292">
        <v>2.11</v>
      </c>
      <c r="G23" s="510" t="s">
        <v>23664</v>
      </c>
      <c r="H23" s="508">
        <v>0.2094</v>
      </c>
      <c r="I23" s="510">
        <v>99.376398000000009</v>
      </c>
      <c r="J23" s="509">
        <v>209.68419978</v>
      </c>
      <c r="K23" s="298"/>
      <c r="L23" s="447">
        <f t="shared" si="0"/>
        <v>209.68419978</v>
      </c>
      <c r="M23" s="447"/>
      <c r="N23" s="298"/>
      <c r="O23" s="298"/>
      <c r="P23" s="298"/>
      <c r="Q23" s="298"/>
      <c r="R23" s="298"/>
      <c r="S23" s="298"/>
    </row>
    <row r="24" spans="1:19" s="92" customFormat="1" ht="38.25">
      <c r="A24" s="256" t="s">
        <v>3259</v>
      </c>
      <c r="B24" s="288" t="s">
        <v>3293</v>
      </c>
      <c r="C24" s="288">
        <v>101616</v>
      </c>
      <c r="D24" s="289" t="s">
        <v>13664</v>
      </c>
      <c r="E24" s="290" t="s">
        <v>193</v>
      </c>
      <c r="F24" s="292">
        <v>8.9499999999999993</v>
      </c>
      <c r="G24" s="510" t="s">
        <v>11219</v>
      </c>
      <c r="H24" s="508">
        <v>0.2094</v>
      </c>
      <c r="I24" s="510">
        <v>6.3735379999999999</v>
      </c>
      <c r="J24" s="509">
        <v>57.043165099999996</v>
      </c>
      <c r="K24" s="298"/>
      <c r="L24" s="447">
        <f t="shared" si="0"/>
        <v>57.043165099999996</v>
      </c>
      <c r="M24" s="447"/>
      <c r="N24" s="298"/>
      <c r="O24" s="298"/>
      <c r="P24" s="298"/>
      <c r="Q24" s="298"/>
      <c r="R24" s="298"/>
      <c r="S24" s="298"/>
    </row>
    <row r="25" spans="1:19" s="92" customFormat="1" ht="25.5">
      <c r="A25" s="256" t="s">
        <v>3259</v>
      </c>
      <c r="B25" s="288" t="s">
        <v>3762</v>
      </c>
      <c r="C25" s="288">
        <v>93382</v>
      </c>
      <c r="D25" s="289" t="s">
        <v>2501</v>
      </c>
      <c r="E25" s="290" t="s">
        <v>209</v>
      </c>
      <c r="F25" s="292">
        <v>2.88</v>
      </c>
      <c r="G25" s="510" t="s">
        <v>16369</v>
      </c>
      <c r="H25" s="508">
        <v>0.2094</v>
      </c>
      <c r="I25" s="510">
        <v>30.380128000000003</v>
      </c>
      <c r="J25" s="509">
        <v>87.494768640000004</v>
      </c>
      <c r="K25" s="298"/>
      <c r="L25" s="447">
        <f t="shared" si="0"/>
        <v>87.494768640000004</v>
      </c>
      <c r="M25" s="447"/>
      <c r="N25" s="298"/>
      <c r="O25" s="298"/>
      <c r="P25" s="298"/>
      <c r="Q25" s="298"/>
      <c r="R25" s="298"/>
      <c r="S25" s="298"/>
    </row>
    <row r="26" spans="1:19" s="92" customFormat="1">
      <c r="A26" s="256"/>
      <c r="B26" s="391"/>
      <c r="C26" s="391"/>
      <c r="D26" s="401"/>
      <c r="E26" s="391"/>
      <c r="F26" s="417"/>
      <c r="G26" s="417"/>
      <c r="H26" s="417"/>
      <c r="I26" s="417"/>
      <c r="J26" s="418"/>
      <c r="K26" s="298"/>
      <c r="L26" s="447">
        <f t="shared" si="0"/>
        <v>0</v>
      </c>
      <c r="M26" s="447"/>
      <c r="N26" s="298"/>
      <c r="O26" s="298"/>
      <c r="P26" s="298"/>
      <c r="Q26" s="298"/>
      <c r="R26" s="298"/>
      <c r="S26" s="298"/>
    </row>
    <row r="27" spans="1:19" s="92" customFormat="1">
      <c r="A27" s="256"/>
      <c r="B27" s="287" t="s">
        <v>3294</v>
      </c>
      <c r="C27" s="287"/>
      <c r="D27" s="399" t="s">
        <v>3295</v>
      </c>
      <c r="E27" s="413"/>
      <c r="F27" s="413"/>
      <c r="G27" s="461"/>
      <c r="H27" s="413"/>
      <c r="I27" s="461"/>
      <c r="J27" s="414"/>
      <c r="K27" s="298"/>
      <c r="L27" s="447">
        <f t="shared" si="0"/>
        <v>0</v>
      </c>
      <c r="M27" s="447"/>
      <c r="N27" s="298"/>
      <c r="O27" s="298"/>
      <c r="P27" s="298"/>
      <c r="Q27" s="298"/>
      <c r="R27" s="298"/>
      <c r="S27" s="298"/>
    </row>
    <row r="28" spans="1:19" s="92" customFormat="1">
      <c r="A28" s="256"/>
      <c r="B28" s="287" t="s">
        <v>3296</v>
      </c>
      <c r="C28" s="287"/>
      <c r="D28" s="400" t="s">
        <v>3297</v>
      </c>
      <c r="E28" s="415"/>
      <c r="F28" s="415"/>
      <c r="G28" s="462"/>
      <c r="H28" s="415"/>
      <c r="I28" s="462"/>
      <c r="J28" s="416"/>
      <c r="K28" s="298"/>
      <c r="L28" s="447">
        <f t="shared" si="0"/>
        <v>0</v>
      </c>
      <c r="M28" s="447"/>
      <c r="N28" s="298"/>
      <c r="O28" s="298"/>
      <c r="P28" s="298"/>
      <c r="Q28" s="298"/>
      <c r="R28" s="298"/>
      <c r="S28" s="298"/>
    </row>
    <row r="29" spans="1:19" s="92" customFormat="1">
      <c r="A29" s="256"/>
      <c r="B29" s="287" t="s">
        <v>9633</v>
      </c>
      <c r="C29" s="287"/>
      <c r="D29" s="400" t="s">
        <v>9637</v>
      </c>
      <c r="E29" s="415"/>
      <c r="F29" s="415"/>
      <c r="G29" s="462"/>
      <c r="H29" s="415"/>
      <c r="I29" s="462"/>
      <c r="J29" s="416"/>
      <c r="K29" s="298"/>
      <c r="L29" s="447">
        <f t="shared" si="0"/>
        <v>0</v>
      </c>
      <c r="M29" s="447"/>
      <c r="N29" s="298"/>
      <c r="O29" s="298"/>
      <c r="P29" s="298"/>
      <c r="Q29" s="298"/>
      <c r="R29" s="298"/>
      <c r="S29" s="298"/>
    </row>
    <row r="30" spans="1:19" s="92" customFormat="1" ht="63.75">
      <c r="A30" s="256" t="s">
        <v>3260</v>
      </c>
      <c r="B30" s="288" t="s">
        <v>9634</v>
      </c>
      <c r="C30" s="288" t="s">
        <v>8985</v>
      </c>
      <c r="D30" s="289" t="s">
        <v>24484</v>
      </c>
      <c r="E30" s="290" t="s">
        <v>5</v>
      </c>
      <c r="F30" s="292">
        <v>28</v>
      </c>
      <c r="G30" s="510">
        <v>45.82</v>
      </c>
      <c r="H30" s="508">
        <v>0.2094</v>
      </c>
      <c r="I30" s="510">
        <v>55.414708000000005</v>
      </c>
      <c r="J30" s="509">
        <v>1551.6118240000001</v>
      </c>
      <c r="K30" s="298">
        <f>PI()*(0.15^2)*F30</f>
        <v>1.9792033717615698</v>
      </c>
      <c r="L30" s="447">
        <f t="shared" si="0"/>
        <v>1551.6118240000001</v>
      </c>
      <c r="M30" s="447"/>
      <c r="N30" s="298"/>
      <c r="O30" s="450"/>
      <c r="P30" s="298"/>
      <c r="Q30" s="298"/>
      <c r="R30" s="298"/>
      <c r="S30" s="298"/>
    </row>
    <row r="31" spans="1:19" s="92" customFormat="1" ht="38.25">
      <c r="A31" s="256" t="s">
        <v>3259</v>
      </c>
      <c r="B31" s="288" t="s">
        <v>9635</v>
      </c>
      <c r="C31" s="288">
        <v>95584</v>
      </c>
      <c r="D31" s="289" t="s">
        <v>1433</v>
      </c>
      <c r="E31" s="290" t="s">
        <v>108</v>
      </c>
      <c r="F31" s="292">
        <v>23.52</v>
      </c>
      <c r="G31" s="510" t="s">
        <v>19965</v>
      </c>
      <c r="H31" s="508">
        <v>0.2094</v>
      </c>
      <c r="I31" s="510">
        <v>18.806170000000002</v>
      </c>
      <c r="J31" s="509">
        <v>442.32111840000005</v>
      </c>
      <c r="K31" s="298"/>
      <c r="L31" s="447">
        <f t="shared" si="0"/>
        <v>442.32111840000005</v>
      </c>
      <c r="M31" s="447"/>
      <c r="N31" s="298"/>
      <c r="O31" s="298"/>
      <c r="P31" s="298"/>
      <c r="Q31" s="298"/>
      <c r="R31" s="298"/>
      <c r="S31" s="298"/>
    </row>
    <row r="32" spans="1:19" s="92" customFormat="1" ht="51">
      <c r="A32" s="256" t="s">
        <v>3259</v>
      </c>
      <c r="B32" s="288" t="s">
        <v>9636</v>
      </c>
      <c r="C32" s="288">
        <v>95578</v>
      </c>
      <c r="D32" s="289" t="s">
        <v>3437</v>
      </c>
      <c r="E32" s="290" t="s">
        <v>108</v>
      </c>
      <c r="F32" s="292">
        <v>104</v>
      </c>
      <c r="G32" s="510" t="s">
        <v>10457</v>
      </c>
      <c r="H32" s="508">
        <v>0.2094</v>
      </c>
      <c r="I32" s="510">
        <v>13.678314</v>
      </c>
      <c r="J32" s="509">
        <v>1422.544656</v>
      </c>
      <c r="K32" s="298"/>
      <c r="L32" s="447">
        <f t="shared" si="0"/>
        <v>1422.544656</v>
      </c>
      <c r="M32" s="447"/>
      <c r="N32" s="298"/>
      <c r="O32" s="298"/>
      <c r="P32" s="298"/>
      <c r="Q32" s="298"/>
      <c r="R32" s="298"/>
      <c r="S32" s="298"/>
    </row>
    <row r="33" spans="1:19" s="92" customFormat="1">
      <c r="A33" s="256"/>
      <c r="B33" s="391"/>
      <c r="C33" s="391"/>
      <c r="D33" s="401"/>
      <c r="E33" s="391"/>
      <c r="F33" s="417"/>
      <c r="G33" s="417"/>
      <c r="H33" s="417"/>
      <c r="I33" s="417"/>
      <c r="J33" s="418"/>
      <c r="K33" s="298"/>
      <c r="L33" s="447">
        <f t="shared" si="0"/>
        <v>0</v>
      </c>
      <c r="M33" s="447"/>
      <c r="N33" s="298"/>
      <c r="O33" s="298"/>
      <c r="P33" s="298"/>
      <c r="Q33" s="298"/>
      <c r="R33" s="298"/>
      <c r="S33" s="298"/>
    </row>
    <row r="34" spans="1:19" s="92" customFormat="1">
      <c r="A34" s="256"/>
      <c r="B34" s="287" t="s">
        <v>3298</v>
      </c>
      <c r="C34" s="287"/>
      <c r="D34" s="399" t="s">
        <v>9638</v>
      </c>
      <c r="E34" s="413"/>
      <c r="F34" s="413"/>
      <c r="G34" s="461"/>
      <c r="H34" s="413"/>
      <c r="I34" s="461"/>
      <c r="J34" s="414"/>
      <c r="K34" s="298"/>
      <c r="L34" s="447">
        <f t="shared" si="0"/>
        <v>0</v>
      </c>
      <c r="M34" s="447"/>
      <c r="N34" s="298"/>
      <c r="O34" s="298"/>
      <c r="P34" s="298"/>
      <c r="Q34" s="298"/>
      <c r="R34" s="298"/>
      <c r="S34" s="298"/>
    </row>
    <row r="35" spans="1:19" s="92" customFormat="1" ht="38.25">
      <c r="A35" s="256" t="s">
        <v>3259</v>
      </c>
      <c r="B35" s="288" t="s">
        <v>3299</v>
      </c>
      <c r="C35" s="288">
        <v>95601</v>
      </c>
      <c r="D35" s="289" t="s">
        <v>22177</v>
      </c>
      <c r="E35" s="290" t="s">
        <v>109</v>
      </c>
      <c r="F35" s="292">
        <v>4</v>
      </c>
      <c r="G35" s="510" t="s">
        <v>22178</v>
      </c>
      <c r="H35" s="508">
        <v>0.2094</v>
      </c>
      <c r="I35" s="510">
        <v>16.665531999999999</v>
      </c>
      <c r="J35" s="509">
        <v>66.662127999999996</v>
      </c>
      <c r="K35" s="298"/>
      <c r="L35" s="447">
        <f t="shared" si="0"/>
        <v>66.662127999999996</v>
      </c>
      <c r="M35" s="447"/>
      <c r="N35" s="298"/>
      <c r="O35" s="298"/>
      <c r="P35" s="298"/>
      <c r="Q35" s="298"/>
      <c r="R35" s="298"/>
      <c r="S35" s="298"/>
    </row>
    <row r="36" spans="1:19" s="92" customFormat="1">
      <c r="A36" s="256"/>
      <c r="B36" s="391"/>
      <c r="C36" s="391"/>
      <c r="D36" s="401"/>
      <c r="E36" s="391"/>
      <c r="F36" s="417"/>
      <c r="G36" s="417"/>
      <c r="H36" s="417"/>
      <c r="I36" s="417"/>
      <c r="J36" s="418"/>
      <c r="K36" s="298"/>
      <c r="L36" s="447">
        <f t="shared" si="0"/>
        <v>0</v>
      </c>
      <c r="M36" s="447"/>
      <c r="N36" s="298"/>
      <c r="O36" s="298"/>
      <c r="P36" s="298"/>
      <c r="Q36" s="298"/>
      <c r="R36" s="298"/>
      <c r="S36" s="298"/>
    </row>
    <row r="37" spans="1:19" s="92" customFormat="1">
      <c r="A37" s="256"/>
      <c r="B37" s="287" t="s">
        <v>3300</v>
      </c>
      <c r="C37" s="287"/>
      <c r="D37" s="399" t="s">
        <v>9643</v>
      </c>
      <c r="E37" s="413"/>
      <c r="F37" s="413"/>
      <c r="G37" s="461"/>
      <c r="H37" s="413"/>
      <c r="I37" s="461"/>
      <c r="J37" s="414"/>
      <c r="K37" s="298"/>
      <c r="L37" s="447">
        <f t="shared" si="0"/>
        <v>0</v>
      </c>
      <c r="M37" s="447"/>
      <c r="N37" s="298"/>
      <c r="O37" s="298"/>
      <c r="P37" s="298"/>
      <c r="Q37" s="298"/>
      <c r="R37" s="298"/>
      <c r="S37" s="298"/>
    </row>
    <row r="38" spans="1:19" s="92" customFormat="1">
      <c r="A38" s="256"/>
      <c r="B38" s="287" t="s">
        <v>3301</v>
      </c>
      <c r="C38" s="287"/>
      <c r="D38" s="400" t="s">
        <v>3302</v>
      </c>
      <c r="E38" s="415"/>
      <c r="F38" s="415"/>
      <c r="G38" s="462"/>
      <c r="H38" s="415"/>
      <c r="I38" s="462"/>
      <c r="J38" s="416"/>
      <c r="K38" s="298"/>
      <c r="L38" s="447">
        <f t="shared" si="0"/>
        <v>0</v>
      </c>
      <c r="M38" s="447"/>
      <c r="N38" s="298"/>
      <c r="O38" s="298"/>
      <c r="P38" s="298"/>
      <c r="Q38" s="298"/>
      <c r="R38" s="298"/>
      <c r="S38" s="298"/>
    </row>
    <row r="39" spans="1:19" s="92" customFormat="1" ht="38.25">
      <c r="A39" s="256" t="s">
        <v>3259</v>
      </c>
      <c r="B39" s="288" t="s">
        <v>3303</v>
      </c>
      <c r="C39" s="288">
        <v>96619</v>
      </c>
      <c r="D39" s="289" t="s">
        <v>3417</v>
      </c>
      <c r="E39" s="290" t="s">
        <v>193</v>
      </c>
      <c r="F39" s="292">
        <v>3.34</v>
      </c>
      <c r="G39" s="510" t="s">
        <v>14140</v>
      </c>
      <c r="H39" s="508">
        <v>0.2094</v>
      </c>
      <c r="I39" s="510">
        <v>32.774740000000001</v>
      </c>
      <c r="J39" s="509">
        <v>109.4676316</v>
      </c>
      <c r="K39" s="298"/>
      <c r="L39" s="447">
        <f t="shared" si="0"/>
        <v>109.4676316</v>
      </c>
      <c r="M39" s="447"/>
      <c r="N39" s="298"/>
      <c r="O39" s="298"/>
      <c r="P39" s="298"/>
      <c r="Q39" s="298"/>
      <c r="R39" s="298"/>
      <c r="S39" s="298"/>
    </row>
    <row r="40" spans="1:19" s="92" customFormat="1">
      <c r="A40" s="256"/>
      <c r="B40" s="391"/>
      <c r="C40" s="391"/>
      <c r="D40" s="401"/>
      <c r="E40" s="391"/>
      <c r="F40" s="417"/>
      <c r="G40" s="417"/>
      <c r="H40" s="417"/>
      <c r="I40" s="417"/>
      <c r="J40" s="418"/>
      <c r="K40" s="298"/>
      <c r="L40" s="447">
        <f t="shared" si="0"/>
        <v>0</v>
      </c>
      <c r="M40" s="447"/>
      <c r="N40" s="298"/>
      <c r="O40" s="298"/>
      <c r="P40" s="298"/>
      <c r="Q40" s="298"/>
      <c r="R40" s="298"/>
      <c r="S40" s="298"/>
    </row>
    <row r="41" spans="1:19" s="92" customFormat="1">
      <c r="A41" s="256"/>
      <c r="B41" s="287" t="s">
        <v>3304</v>
      </c>
      <c r="C41" s="287"/>
      <c r="D41" s="399" t="s">
        <v>3305</v>
      </c>
      <c r="E41" s="413"/>
      <c r="F41" s="413"/>
      <c r="G41" s="461"/>
      <c r="H41" s="413"/>
      <c r="I41" s="461"/>
      <c r="J41" s="414"/>
      <c r="K41" s="298"/>
      <c r="L41" s="447">
        <f t="shared" si="0"/>
        <v>0</v>
      </c>
      <c r="M41" s="447"/>
      <c r="N41" s="298"/>
      <c r="O41" s="298"/>
      <c r="P41" s="298"/>
      <c r="Q41" s="298"/>
      <c r="R41" s="298"/>
      <c r="S41" s="298"/>
    </row>
    <row r="42" spans="1:19" s="92" customFormat="1" ht="63.75">
      <c r="A42" s="256" t="s">
        <v>3259</v>
      </c>
      <c r="B42" s="288" t="s">
        <v>3306</v>
      </c>
      <c r="C42" s="288">
        <v>96540</v>
      </c>
      <c r="D42" s="289" t="s">
        <v>1355</v>
      </c>
      <c r="E42" s="290" t="s">
        <v>193</v>
      </c>
      <c r="F42" s="292">
        <v>5.76</v>
      </c>
      <c r="G42" s="510" t="s">
        <v>22306</v>
      </c>
      <c r="H42" s="508">
        <v>0.2094</v>
      </c>
      <c r="I42" s="510">
        <v>137.653908</v>
      </c>
      <c r="J42" s="509">
        <v>792.88651007999999</v>
      </c>
      <c r="K42" s="298"/>
      <c r="L42" s="447">
        <f t="shared" si="0"/>
        <v>792.88651007999999</v>
      </c>
      <c r="M42" s="447"/>
      <c r="N42" s="298"/>
      <c r="O42" s="298"/>
      <c r="P42" s="298"/>
      <c r="Q42" s="298"/>
      <c r="R42" s="298"/>
      <c r="S42" s="298"/>
    </row>
    <row r="43" spans="1:19" s="92" customFormat="1" ht="51">
      <c r="A43" s="256" t="s">
        <v>3259</v>
      </c>
      <c r="B43" s="288" t="s">
        <v>3763</v>
      </c>
      <c r="C43" s="288">
        <v>96542</v>
      </c>
      <c r="D43" s="289" t="s">
        <v>1357</v>
      </c>
      <c r="E43" s="290" t="s">
        <v>193</v>
      </c>
      <c r="F43" s="292">
        <v>10.14</v>
      </c>
      <c r="G43" s="510" t="s">
        <v>22308</v>
      </c>
      <c r="H43" s="508">
        <v>0.2094</v>
      </c>
      <c r="I43" s="510">
        <v>96.413368000000006</v>
      </c>
      <c r="J43" s="509">
        <v>977.63155152000013</v>
      </c>
      <c r="K43" s="298"/>
      <c r="L43" s="447">
        <f t="shared" si="0"/>
        <v>977.63155152000013</v>
      </c>
      <c r="M43" s="447"/>
      <c r="N43" s="298"/>
      <c r="O43" s="298"/>
      <c r="P43" s="298"/>
      <c r="Q43" s="298"/>
      <c r="R43" s="298"/>
      <c r="S43" s="298"/>
    </row>
    <row r="44" spans="1:19" s="92" customFormat="1">
      <c r="A44" s="256"/>
      <c r="B44" s="391"/>
      <c r="C44" s="391"/>
      <c r="D44" s="401"/>
      <c r="E44" s="391"/>
      <c r="F44" s="417"/>
      <c r="G44" s="417"/>
      <c r="H44" s="417"/>
      <c r="I44" s="417"/>
      <c r="J44" s="418"/>
      <c r="K44" s="298"/>
      <c r="L44" s="447">
        <f t="shared" si="0"/>
        <v>0</v>
      </c>
      <c r="M44" s="447"/>
      <c r="N44" s="298"/>
      <c r="O44" s="298"/>
      <c r="P44" s="298"/>
      <c r="Q44" s="298"/>
      <c r="R44" s="298"/>
      <c r="S44" s="298"/>
    </row>
    <row r="45" spans="1:19" s="92" customFormat="1">
      <c r="A45" s="256"/>
      <c r="B45" s="287" t="s">
        <v>3307</v>
      </c>
      <c r="C45" s="287"/>
      <c r="D45" s="399" t="s">
        <v>3308</v>
      </c>
      <c r="E45" s="413"/>
      <c r="F45" s="413"/>
      <c r="G45" s="461"/>
      <c r="H45" s="413"/>
      <c r="I45" s="461"/>
      <c r="J45" s="414"/>
      <c r="K45" s="298"/>
      <c r="L45" s="447">
        <f t="shared" si="0"/>
        <v>0</v>
      </c>
      <c r="M45" s="447"/>
      <c r="N45" s="298"/>
      <c r="O45" s="298"/>
      <c r="P45" s="298"/>
      <c r="Q45" s="298"/>
      <c r="R45" s="298"/>
      <c r="S45" s="298"/>
    </row>
    <row r="46" spans="1:19" s="92" customFormat="1" ht="38.25">
      <c r="A46" s="256" t="s">
        <v>3259</v>
      </c>
      <c r="B46" s="288" t="s">
        <v>3309</v>
      </c>
      <c r="C46" s="288">
        <v>96543</v>
      </c>
      <c r="D46" s="289" t="s">
        <v>1358</v>
      </c>
      <c r="E46" s="290" t="s">
        <v>108</v>
      </c>
      <c r="F46" s="292">
        <v>17.21</v>
      </c>
      <c r="G46" s="510" t="s">
        <v>12153</v>
      </c>
      <c r="H46" s="508">
        <v>0.2094</v>
      </c>
      <c r="I46" s="510">
        <v>22.337617999999999</v>
      </c>
      <c r="J46" s="509">
        <v>384.43040578</v>
      </c>
      <c r="K46" s="298"/>
      <c r="L46" s="447">
        <f t="shared" si="0"/>
        <v>384.43040578</v>
      </c>
      <c r="M46" s="447"/>
      <c r="N46" s="298"/>
      <c r="O46" s="298"/>
      <c r="P46" s="298"/>
      <c r="Q46" s="298"/>
      <c r="R46" s="298"/>
      <c r="S46" s="298"/>
    </row>
    <row r="47" spans="1:19" s="92" customFormat="1" ht="38.25">
      <c r="A47" s="256" t="s">
        <v>3259</v>
      </c>
      <c r="B47" s="288" t="s">
        <v>3310</v>
      </c>
      <c r="C47" s="288">
        <v>96545</v>
      </c>
      <c r="D47" s="289" t="s">
        <v>1441</v>
      </c>
      <c r="E47" s="290" t="s">
        <v>108</v>
      </c>
      <c r="F47" s="292">
        <v>24.69</v>
      </c>
      <c r="G47" s="510" t="s">
        <v>11215</v>
      </c>
      <c r="H47" s="508">
        <v>0.2094</v>
      </c>
      <c r="I47" s="510">
        <v>19.374587999999999</v>
      </c>
      <c r="J47" s="509">
        <v>478.35857772000003</v>
      </c>
      <c r="K47" s="298"/>
      <c r="L47" s="447">
        <f t="shared" si="0"/>
        <v>478.35857772000003</v>
      </c>
      <c r="M47" s="447"/>
      <c r="N47" s="298"/>
      <c r="O47" s="298"/>
      <c r="P47" s="298"/>
      <c r="Q47" s="298"/>
      <c r="R47" s="298"/>
      <c r="S47" s="298"/>
    </row>
    <row r="48" spans="1:19" s="92" customFormat="1" ht="38.25">
      <c r="A48" s="256" t="s">
        <v>3259</v>
      </c>
      <c r="B48" s="288" t="s">
        <v>3311</v>
      </c>
      <c r="C48" s="288">
        <v>96546</v>
      </c>
      <c r="D48" s="289" t="s">
        <v>1442</v>
      </c>
      <c r="E48" s="290" t="s">
        <v>108</v>
      </c>
      <c r="F48" s="292">
        <v>14.61</v>
      </c>
      <c r="G48" s="510" t="s">
        <v>11376</v>
      </c>
      <c r="H48" s="508">
        <v>0.2094</v>
      </c>
      <c r="I48" s="510">
        <v>17.246044000000001</v>
      </c>
      <c r="J48" s="509">
        <v>251.96470284</v>
      </c>
      <c r="K48" s="298"/>
      <c r="L48" s="447">
        <f t="shared" si="0"/>
        <v>251.96470284</v>
      </c>
      <c r="M48" s="447"/>
      <c r="N48" s="298"/>
      <c r="O48" s="298"/>
      <c r="P48" s="298"/>
      <c r="Q48" s="298"/>
      <c r="R48" s="298"/>
      <c r="S48" s="298"/>
    </row>
    <row r="49" spans="1:19" s="92" customFormat="1">
      <c r="A49" s="256"/>
      <c r="B49" s="391"/>
      <c r="C49" s="391"/>
      <c r="D49" s="401"/>
      <c r="E49" s="391"/>
      <c r="F49" s="417"/>
      <c r="G49" s="417"/>
      <c r="H49" s="417"/>
      <c r="I49" s="417"/>
      <c r="J49" s="418"/>
      <c r="K49" s="298"/>
      <c r="L49" s="447">
        <f t="shared" si="0"/>
        <v>0</v>
      </c>
      <c r="M49" s="447"/>
      <c r="N49" s="298"/>
      <c r="O49" s="298"/>
      <c r="P49" s="298"/>
      <c r="Q49" s="298"/>
      <c r="R49" s="298"/>
      <c r="S49" s="298"/>
    </row>
    <row r="50" spans="1:19" s="92" customFormat="1">
      <c r="A50" s="256"/>
      <c r="B50" s="287" t="s">
        <v>3314</v>
      </c>
      <c r="C50" s="287"/>
      <c r="D50" s="399" t="s">
        <v>3315</v>
      </c>
      <c r="E50" s="413"/>
      <c r="F50" s="413"/>
      <c r="G50" s="461"/>
      <c r="H50" s="413"/>
      <c r="I50" s="461"/>
      <c r="J50" s="414"/>
      <c r="K50" s="298"/>
      <c r="L50" s="447">
        <f t="shared" si="0"/>
        <v>0</v>
      </c>
      <c r="M50" s="447"/>
      <c r="N50" s="298"/>
      <c r="O50" s="298"/>
      <c r="P50" s="298"/>
      <c r="Q50" s="298"/>
      <c r="R50" s="298"/>
      <c r="S50" s="298"/>
    </row>
    <row r="51" spans="1:19" s="92" customFormat="1" ht="51">
      <c r="A51" s="256" t="s">
        <v>3259</v>
      </c>
      <c r="B51" s="288" t="s">
        <v>3316</v>
      </c>
      <c r="C51" s="288">
        <v>96557</v>
      </c>
      <c r="D51" s="289" t="s">
        <v>1482</v>
      </c>
      <c r="E51" s="290" t="s">
        <v>209</v>
      </c>
      <c r="F51" s="292">
        <v>1.62</v>
      </c>
      <c r="G51" s="510" t="s">
        <v>22467</v>
      </c>
      <c r="H51" s="508">
        <v>0.2094</v>
      </c>
      <c r="I51" s="510">
        <v>498.91378199999997</v>
      </c>
      <c r="J51" s="509">
        <v>808.24032683999997</v>
      </c>
      <c r="K51" s="298"/>
      <c r="L51" s="447">
        <f t="shared" si="0"/>
        <v>808.24032683999997</v>
      </c>
      <c r="M51" s="447"/>
      <c r="N51" s="298"/>
      <c r="O51" s="298"/>
      <c r="P51" s="298"/>
      <c r="Q51" s="298"/>
      <c r="R51" s="298"/>
      <c r="S51" s="298"/>
    </row>
    <row r="52" spans="1:19" s="92" customFormat="1">
      <c r="A52" s="256"/>
      <c r="B52" s="391"/>
      <c r="C52" s="391"/>
      <c r="D52" s="401"/>
      <c r="E52" s="391"/>
      <c r="F52" s="417"/>
      <c r="G52" s="417"/>
      <c r="H52" s="417"/>
      <c r="I52" s="417"/>
      <c r="J52" s="418"/>
      <c r="K52" s="298"/>
      <c r="L52" s="447">
        <f t="shared" si="0"/>
        <v>0</v>
      </c>
      <c r="M52" s="447"/>
      <c r="N52" s="298"/>
      <c r="O52" s="298"/>
      <c r="P52" s="298"/>
      <c r="Q52" s="298"/>
      <c r="R52" s="298"/>
      <c r="S52" s="298"/>
    </row>
    <row r="53" spans="1:19" s="92" customFormat="1">
      <c r="A53" s="256"/>
      <c r="B53" s="287" t="s">
        <v>3317</v>
      </c>
      <c r="C53" s="287"/>
      <c r="D53" s="399" t="s">
        <v>3318</v>
      </c>
      <c r="E53" s="413"/>
      <c r="F53" s="413"/>
      <c r="G53" s="461"/>
      <c r="H53" s="413"/>
      <c r="I53" s="461"/>
      <c r="J53" s="414"/>
      <c r="K53" s="298"/>
      <c r="L53" s="447">
        <f t="shared" si="0"/>
        <v>0</v>
      </c>
      <c r="M53" s="447"/>
      <c r="N53" s="298"/>
      <c r="O53" s="298"/>
      <c r="P53" s="298"/>
      <c r="Q53" s="298"/>
      <c r="R53" s="298"/>
      <c r="S53" s="298"/>
    </row>
    <row r="54" spans="1:19" s="92" customFormat="1">
      <c r="A54" s="256"/>
      <c r="B54" s="287" t="s">
        <v>3319</v>
      </c>
      <c r="C54" s="287"/>
      <c r="D54" s="400" t="s">
        <v>3288</v>
      </c>
      <c r="E54" s="415"/>
      <c r="F54" s="415"/>
      <c r="G54" s="462"/>
      <c r="H54" s="415"/>
      <c r="I54" s="462"/>
      <c r="J54" s="416"/>
      <c r="K54" s="298"/>
      <c r="L54" s="447">
        <f t="shared" si="0"/>
        <v>0</v>
      </c>
      <c r="M54" s="447"/>
      <c r="N54" s="298"/>
      <c r="O54" s="298"/>
      <c r="P54" s="298"/>
      <c r="Q54" s="298"/>
      <c r="R54" s="298"/>
      <c r="S54" s="298"/>
    </row>
    <row r="55" spans="1:19" s="92" customFormat="1" ht="25.5">
      <c r="A55" s="256" t="s">
        <v>3259</v>
      </c>
      <c r="B55" s="288" t="s">
        <v>3320</v>
      </c>
      <c r="C55" s="288">
        <v>98557</v>
      </c>
      <c r="D55" s="289" t="s">
        <v>4088</v>
      </c>
      <c r="E55" s="290" t="s">
        <v>193</v>
      </c>
      <c r="F55" s="292">
        <v>19.25</v>
      </c>
      <c r="G55" s="510" t="s">
        <v>22567</v>
      </c>
      <c r="H55" s="508">
        <v>0.2094</v>
      </c>
      <c r="I55" s="510">
        <v>44.288227999999997</v>
      </c>
      <c r="J55" s="509">
        <v>852.54838899999993</v>
      </c>
      <c r="K55" s="298"/>
      <c r="L55" s="447">
        <f t="shared" si="0"/>
        <v>852.54838899999993</v>
      </c>
      <c r="M55" s="447"/>
      <c r="N55" s="298"/>
      <c r="O55" s="298"/>
      <c r="P55" s="298"/>
      <c r="Q55" s="298"/>
      <c r="R55" s="298"/>
      <c r="S55" s="298"/>
    </row>
    <row r="56" spans="1:19" s="92" customFormat="1">
      <c r="A56" s="256"/>
      <c r="B56" s="391"/>
      <c r="C56" s="391"/>
      <c r="D56" s="401"/>
      <c r="E56" s="391"/>
      <c r="F56" s="417"/>
      <c r="G56" s="417"/>
      <c r="H56" s="417"/>
      <c r="I56" s="417"/>
      <c r="J56" s="418"/>
      <c r="K56" s="298"/>
      <c r="L56" s="447">
        <f t="shared" si="0"/>
        <v>0</v>
      </c>
      <c r="M56" s="447"/>
      <c r="N56" s="298"/>
      <c r="O56" s="298"/>
      <c r="P56" s="298"/>
      <c r="Q56" s="298"/>
      <c r="R56" s="298"/>
      <c r="S56" s="298"/>
    </row>
    <row r="57" spans="1:19" s="92" customFormat="1">
      <c r="A57" s="256"/>
      <c r="B57" s="287" t="s">
        <v>3321</v>
      </c>
      <c r="C57" s="287"/>
      <c r="D57" s="399" t="s">
        <v>3322</v>
      </c>
      <c r="E57" s="413"/>
      <c r="F57" s="413"/>
      <c r="G57" s="461"/>
      <c r="H57" s="413"/>
      <c r="I57" s="461"/>
      <c r="J57" s="414"/>
      <c r="K57" s="298"/>
      <c r="L57" s="447">
        <f t="shared" si="0"/>
        <v>0</v>
      </c>
      <c r="M57" s="447"/>
      <c r="N57" s="298"/>
      <c r="O57" s="298"/>
      <c r="P57" s="298"/>
      <c r="Q57" s="298"/>
      <c r="R57" s="298"/>
      <c r="S57" s="298"/>
    </row>
    <row r="58" spans="1:19" s="92" customFormat="1">
      <c r="A58" s="256"/>
      <c r="B58" s="287" t="s">
        <v>3323</v>
      </c>
      <c r="C58" s="287"/>
      <c r="D58" s="400" t="s">
        <v>3324</v>
      </c>
      <c r="E58" s="415"/>
      <c r="F58" s="415"/>
      <c r="G58" s="462"/>
      <c r="H58" s="415"/>
      <c r="I58" s="462"/>
      <c r="J58" s="416"/>
      <c r="K58" s="298"/>
      <c r="L58" s="447">
        <f t="shared" si="0"/>
        <v>0</v>
      </c>
      <c r="M58" s="447"/>
      <c r="N58" s="298"/>
      <c r="O58" s="298"/>
      <c r="P58" s="298"/>
      <c r="Q58" s="298"/>
      <c r="R58" s="298"/>
      <c r="S58" s="298"/>
    </row>
    <row r="59" spans="1:19" s="92" customFormat="1">
      <c r="A59" s="256"/>
      <c r="B59" s="287" t="s">
        <v>3325</v>
      </c>
      <c r="C59" s="287"/>
      <c r="D59" s="400" t="s">
        <v>15222</v>
      </c>
      <c r="E59" s="415"/>
      <c r="F59" s="415"/>
      <c r="G59" s="462"/>
      <c r="H59" s="415"/>
      <c r="I59" s="462"/>
      <c r="J59" s="416"/>
      <c r="K59" s="298"/>
      <c r="L59" s="447">
        <f t="shared" si="0"/>
        <v>0</v>
      </c>
      <c r="M59" s="447"/>
      <c r="N59" s="298"/>
      <c r="O59" s="298"/>
      <c r="P59" s="298"/>
      <c r="Q59" s="298"/>
      <c r="R59" s="298"/>
      <c r="S59" s="298"/>
    </row>
    <row r="60" spans="1:19" s="92" customFormat="1">
      <c r="A60" s="256"/>
      <c r="B60" s="287" t="s">
        <v>3326</v>
      </c>
      <c r="C60" s="287"/>
      <c r="D60" s="400" t="s">
        <v>3327</v>
      </c>
      <c r="E60" s="415"/>
      <c r="F60" s="415"/>
      <c r="G60" s="462"/>
      <c r="H60" s="415"/>
      <c r="I60" s="462"/>
      <c r="J60" s="416"/>
      <c r="K60" s="298"/>
      <c r="L60" s="447">
        <f t="shared" si="0"/>
        <v>0</v>
      </c>
      <c r="M60" s="447"/>
      <c r="N60" s="298"/>
      <c r="O60" s="298"/>
      <c r="P60" s="298"/>
      <c r="Q60" s="298"/>
      <c r="R60" s="298"/>
      <c r="S60" s="298"/>
    </row>
    <row r="61" spans="1:19" s="92" customFormat="1" ht="63.75">
      <c r="A61" s="256" t="s">
        <v>3259</v>
      </c>
      <c r="B61" s="288" t="s">
        <v>3328</v>
      </c>
      <c r="C61" s="288">
        <v>92423</v>
      </c>
      <c r="D61" s="289" t="s">
        <v>12834</v>
      </c>
      <c r="E61" s="290" t="s">
        <v>193</v>
      </c>
      <c r="F61" s="292">
        <v>10.42</v>
      </c>
      <c r="G61" s="510" t="s">
        <v>22249</v>
      </c>
      <c r="H61" s="508">
        <v>0.2094</v>
      </c>
      <c r="I61" s="510">
        <v>67.544989999999999</v>
      </c>
      <c r="J61" s="509">
        <v>703.81879579999998</v>
      </c>
      <c r="K61" s="298"/>
      <c r="L61" s="447">
        <f t="shared" si="0"/>
        <v>703.81879579999998</v>
      </c>
      <c r="M61" s="447"/>
      <c r="N61" s="298"/>
      <c r="O61" s="298"/>
      <c r="P61" s="298"/>
      <c r="Q61" s="298"/>
      <c r="R61" s="298"/>
      <c r="S61" s="298"/>
    </row>
    <row r="62" spans="1:19" s="92" customFormat="1">
      <c r="A62" s="256"/>
      <c r="B62" s="391"/>
      <c r="C62" s="391"/>
      <c r="D62" s="401"/>
      <c r="E62" s="391"/>
      <c r="F62" s="417"/>
      <c r="G62" s="417"/>
      <c r="H62" s="417"/>
      <c r="I62" s="417"/>
      <c r="J62" s="418"/>
      <c r="K62" s="298"/>
      <c r="L62" s="447">
        <f t="shared" si="0"/>
        <v>0</v>
      </c>
      <c r="M62" s="447"/>
      <c r="N62" s="298"/>
      <c r="O62" s="298"/>
      <c r="P62" s="298"/>
      <c r="Q62" s="298"/>
      <c r="R62" s="298"/>
      <c r="S62" s="298"/>
    </row>
    <row r="63" spans="1:19" s="92" customFormat="1">
      <c r="A63" s="256"/>
      <c r="B63" s="287" t="s">
        <v>3329</v>
      </c>
      <c r="C63" s="287"/>
      <c r="D63" s="399" t="s">
        <v>3308</v>
      </c>
      <c r="E63" s="413"/>
      <c r="F63" s="413"/>
      <c r="G63" s="461"/>
      <c r="H63" s="413"/>
      <c r="I63" s="461"/>
      <c r="J63" s="414"/>
      <c r="K63" s="298"/>
      <c r="L63" s="447">
        <f t="shared" si="0"/>
        <v>0</v>
      </c>
      <c r="M63" s="447"/>
      <c r="N63" s="298"/>
      <c r="O63" s="298"/>
      <c r="P63" s="298"/>
      <c r="Q63" s="298"/>
      <c r="R63" s="298"/>
      <c r="S63" s="298"/>
    </row>
    <row r="64" spans="1:19" s="92" customFormat="1" ht="63.75">
      <c r="A64" s="256" t="s">
        <v>3259</v>
      </c>
      <c r="B64" s="288" t="s">
        <v>3764</v>
      </c>
      <c r="C64" s="288">
        <v>92776</v>
      </c>
      <c r="D64" s="289" t="s">
        <v>1381</v>
      </c>
      <c r="E64" s="290" t="s">
        <v>108</v>
      </c>
      <c r="F64" s="292">
        <v>21.9</v>
      </c>
      <c r="G64" s="510" t="s">
        <v>12372</v>
      </c>
      <c r="H64" s="508">
        <v>0.2094</v>
      </c>
      <c r="I64" s="510">
        <v>20.874244000000001</v>
      </c>
      <c r="J64" s="509">
        <v>457.14594360000001</v>
      </c>
      <c r="K64" s="298"/>
      <c r="L64" s="447">
        <f t="shared" si="0"/>
        <v>457.14594360000001</v>
      </c>
      <c r="M64" s="447"/>
      <c r="N64" s="298"/>
      <c r="O64" s="298"/>
      <c r="P64" s="298"/>
      <c r="Q64" s="298"/>
      <c r="R64" s="298"/>
      <c r="S64" s="298"/>
    </row>
    <row r="65" spans="1:19" s="92" customFormat="1" ht="63.75">
      <c r="A65" s="256" t="s">
        <v>3259</v>
      </c>
      <c r="B65" s="288" t="s">
        <v>3330</v>
      </c>
      <c r="C65" s="288">
        <v>92779</v>
      </c>
      <c r="D65" s="289" t="s">
        <v>1384</v>
      </c>
      <c r="E65" s="290" t="s">
        <v>108</v>
      </c>
      <c r="F65" s="292">
        <v>65.680000000000007</v>
      </c>
      <c r="G65" s="510" t="s">
        <v>10056</v>
      </c>
      <c r="H65" s="508">
        <v>0.2094</v>
      </c>
      <c r="I65" s="510">
        <v>14.367672000000001</v>
      </c>
      <c r="J65" s="509">
        <v>943.66869696000015</v>
      </c>
      <c r="K65" s="298"/>
      <c r="L65" s="447">
        <f t="shared" si="0"/>
        <v>943.66869696000015</v>
      </c>
      <c r="M65" s="447"/>
      <c r="N65" s="298"/>
      <c r="O65" s="298"/>
      <c r="P65" s="298"/>
      <c r="Q65" s="298"/>
      <c r="R65" s="298"/>
      <c r="S65" s="298"/>
    </row>
    <row r="66" spans="1:19" s="92" customFormat="1">
      <c r="A66" s="256"/>
      <c r="B66" s="391"/>
      <c r="C66" s="391"/>
      <c r="D66" s="401"/>
      <c r="E66" s="391"/>
      <c r="F66" s="417"/>
      <c r="G66" s="417"/>
      <c r="H66" s="417"/>
      <c r="I66" s="417"/>
      <c r="J66" s="418"/>
      <c r="K66" s="298"/>
      <c r="L66" s="447">
        <f t="shared" si="0"/>
        <v>0</v>
      </c>
      <c r="M66" s="447"/>
      <c r="N66" s="298"/>
      <c r="O66" s="298"/>
      <c r="P66" s="298"/>
      <c r="Q66" s="298"/>
      <c r="R66" s="298"/>
      <c r="S66" s="298"/>
    </row>
    <row r="67" spans="1:19" s="92" customFormat="1">
      <c r="A67" s="256"/>
      <c r="B67" s="287" t="s">
        <v>3331</v>
      </c>
      <c r="C67" s="287"/>
      <c r="D67" s="399" t="s">
        <v>3315</v>
      </c>
      <c r="E67" s="413"/>
      <c r="F67" s="413"/>
      <c r="G67" s="461"/>
      <c r="H67" s="413"/>
      <c r="I67" s="461"/>
      <c r="J67" s="414"/>
      <c r="K67" s="298"/>
      <c r="L67" s="447">
        <f t="shared" si="0"/>
        <v>0</v>
      </c>
      <c r="M67" s="447"/>
      <c r="N67" s="298"/>
      <c r="O67" s="298"/>
      <c r="P67" s="298"/>
      <c r="Q67" s="298"/>
      <c r="R67" s="298"/>
      <c r="S67" s="298"/>
    </row>
    <row r="68" spans="1:19" s="92" customFormat="1" ht="63.75">
      <c r="A68" s="256" t="s">
        <v>3260</v>
      </c>
      <c r="B68" s="288" t="s">
        <v>3332</v>
      </c>
      <c r="C68" s="288" t="s">
        <v>8986</v>
      </c>
      <c r="D68" s="289" t="s">
        <v>18723</v>
      </c>
      <c r="E68" s="290" t="s">
        <v>3241</v>
      </c>
      <c r="F68" s="292">
        <v>0.5</v>
      </c>
      <c r="G68" s="510">
        <v>408.62</v>
      </c>
      <c r="H68" s="508">
        <v>0.2094</v>
      </c>
      <c r="I68" s="510">
        <v>494.18502800000005</v>
      </c>
      <c r="J68" s="509">
        <v>247.09251400000002</v>
      </c>
      <c r="K68" s="298"/>
      <c r="L68" s="447">
        <f t="shared" si="0"/>
        <v>247.09251400000002</v>
      </c>
      <c r="M68" s="447"/>
      <c r="N68" s="298"/>
      <c r="O68" s="298"/>
      <c r="P68" s="298"/>
      <c r="Q68" s="298"/>
      <c r="R68" s="298"/>
      <c r="S68" s="298"/>
    </row>
    <row r="69" spans="1:19" s="92" customFormat="1">
      <c r="A69" s="256"/>
      <c r="B69" s="391"/>
      <c r="C69" s="391"/>
      <c r="D69" s="401"/>
      <c r="E69" s="391"/>
      <c r="F69" s="417"/>
      <c r="G69" s="417"/>
      <c r="H69" s="417"/>
      <c r="I69" s="417"/>
      <c r="J69" s="418"/>
      <c r="K69" s="298"/>
      <c r="L69" s="447">
        <f t="shared" si="0"/>
        <v>0</v>
      </c>
      <c r="M69" s="447"/>
      <c r="N69" s="298"/>
      <c r="O69" s="298"/>
      <c r="P69" s="298"/>
      <c r="Q69" s="298"/>
      <c r="R69" s="298"/>
      <c r="S69" s="298"/>
    </row>
    <row r="70" spans="1:19" s="92" customFormat="1">
      <c r="A70" s="256"/>
      <c r="B70" s="287" t="s">
        <v>15223</v>
      </c>
      <c r="C70" s="287"/>
      <c r="D70" s="400" t="s">
        <v>15224</v>
      </c>
      <c r="E70" s="415"/>
      <c r="F70" s="415"/>
      <c r="G70" s="462"/>
      <c r="H70" s="415"/>
      <c r="I70" s="462"/>
      <c r="J70" s="416"/>
      <c r="K70" s="298"/>
      <c r="L70" s="447">
        <f t="shared" si="0"/>
        <v>0</v>
      </c>
      <c r="M70" s="447"/>
      <c r="N70" s="298"/>
      <c r="O70" s="298"/>
      <c r="P70" s="298"/>
      <c r="Q70" s="298"/>
      <c r="R70" s="298"/>
      <c r="S70" s="298"/>
    </row>
    <row r="71" spans="1:19" s="92" customFormat="1">
      <c r="A71" s="256"/>
      <c r="B71" s="287" t="s">
        <v>15225</v>
      </c>
      <c r="C71" s="287"/>
      <c r="D71" s="400" t="s">
        <v>3327</v>
      </c>
      <c r="E71" s="415"/>
      <c r="F71" s="415"/>
      <c r="G71" s="462"/>
      <c r="H71" s="415"/>
      <c r="I71" s="462"/>
      <c r="J71" s="416"/>
      <c r="K71" s="298"/>
      <c r="L71" s="447">
        <f t="shared" si="0"/>
        <v>0</v>
      </c>
      <c r="M71" s="447"/>
      <c r="N71" s="298"/>
      <c r="O71" s="298"/>
      <c r="P71" s="298"/>
      <c r="Q71" s="298"/>
      <c r="R71" s="298"/>
      <c r="S71" s="298"/>
    </row>
    <row r="72" spans="1:19" s="92" customFormat="1" ht="51">
      <c r="A72" s="256" t="s">
        <v>3259</v>
      </c>
      <c r="B72" s="288" t="s">
        <v>15226</v>
      </c>
      <c r="C72" s="288">
        <v>92460</v>
      </c>
      <c r="D72" s="289" t="s">
        <v>12859</v>
      </c>
      <c r="E72" s="290" t="s">
        <v>193</v>
      </c>
      <c r="F72" s="292">
        <v>10.51</v>
      </c>
      <c r="G72" s="510" t="s">
        <v>22268</v>
      </c>
      <c r="H72" s="508">
        <v>0.2094</v>
      </c>
      <c r="I72" s="510">
        <v>106.48766999999999</v>
      </c>
      <c r="J72" s="509">
        <v>1119.1854116999998</v>
      </c>
      <c r="K72" s="298"/>
      <c r="L72" s="447">
        <f t="shared" si="0"/>
        <v>1119.1854116999998</v>
      </c>
      <c r="M72" s="447"/>
      <c r="N72" s="298"/>
      <c r="O72" s="298"/>
      <c r="P72" s="298"/>
      <c r="Q72" s="298"/>
      <c r="R72" s="298"/>
      <c r="S72" s="298"/>
    </row>
    <row r="73" spans="1:19" s="92" customFormat="1">
      <c r="A73" s="256"/>
      <c r="B73" s="391"/>
      <c r="C73" s="391"/>
      <c r="D73" s="401"/>
      <c r="E73" s="391"/>
      <c r="F73" s="417"/>
      <c r="G73" s="417"/>
      <c r="H73" s="417"/>
      <c r="I73" s="417"/>
      <c r="J73" s="418"/>
      <c r="K73" s="298"/>
      <c r="L73" s="447">
        <f t="shared" si="0"/>
        <v>0</v>
      </c>
      <c r="M73" s="447"/>
      <c r="N73" s="298"/>
      <c r="O73" s="298"/>
      <c r="P73" s="298"/>
      <c r="Q73" s="298"/>
      <c r="R73" s="298"/>
      <c r="S73" s="298"/>
    </row>
    <row r="74" spans="1:19" s="92" customFormat="1">
      <c r="A74" s="256"/>
      <c r="B74" s="287" t="s">
        <v>15227</v>
      </c>
      <c r="C74" s="287"/>
      <c r="D74" s="399" t="s">
        <v>3308</v>
      </c>
      <c r="E74" s="413"/>
      <c r="F74" s="413"/>
      <c r="G74" s="461"/>
      <c r="H74" s="413"/>
      <c r="I74" s="461"/>
      <c r="J74" s="414"/>
      <c r="K74" s="298"/>
      <c r="L74" s="447">
        <f t="shared" si="0"/>
        <v>0</v>
      </c>
      <c r="M74" s="447"/>
      <c r="N74" s="298"/>
      <c r="O74" s="298"/>
      <c r="P74" s="298"/>
      <c r="Q74" s="298"/>
      <c r="R74" s="298"/>
      <c r="S74" s="298"/>
    </row>
    <row r="75" spans="1:19" s="92" customFormat="1" ht="63.75">
      <c r="A75" s="256" t="s">
        <v>3259</v>
      </c>
      <c r="B75" s="288" t="s">
        <v>15228</v>
      </c>
      <c r="C75" s="288">
        <v>92775</v>
      </c>
      <c r="D75" s="289" t="s">
        <v>1380</v>
      </c>
      <c r="E75" s="290" t="s">
        <v>108</v>
      </c>
      <c r="F75" s="292">
        <v>13.99</v>
      </c>
      <c r="G75" s="510" t="s">
        <v>10985</v>
      </c>
      <c r="H75" s="508">
        <v>0.2094</v>
      </c>
      <c r="I75" s="510">
        <v>22.385994000000004</v>
      </c>
      <c r="J75" s="509">
        <v>313.18005606000008</v>
      </c>
      <c r="K75" s="298"/>
      <c r="L75" s="447">
        <f t="shared" si="0"/>
        <v>313.18005606000008</v>
      </c>
      <c r="M75" s="447"/>
      <c r="N75" s="298"/>
      <c r="O75" s="298"/>
      <c r="P75" s="298"/>
      <c r="Q75" s="298"/>
      <c r="R75" s="298"/>
      <c r="S75" s="298"/>
    </row>
    <row r="76" spans="1:19" s="92" customFormat="1" ht="63.75">
      <c r="A76" s="256" t="s">
        <v>3259</v>
      </c>
      <c r="B76" s="288" t="s">
        <v>15229</v>
      </c>
      <c r="C76" s="288">
        <v>92777</v>
      </c>
      <c r="D76" s="289" t="s">
        <v>1382</v>
      </c>
      <c r="E76" s="290" t="s">
        <v>108</v>
      </c>
      <c r="F76" s="292">
        <v>13.32</v>
      </c>
      <c r="G76" s="510" t="s">
        <v>12380</v>
      </c>
      <c r="H76" s="508">
        <v>0.2094</v>
      </c>
      <c r="I76" s="510">
        <v>19.3504</v>
      </c>
      <c r="J76" s="509">
        <v>257.74732800000004</v>
      </c>
      <c r="K76" s="298"/>
      <c r="L76" s="447">
        <f t="shared" si="0"/>
        <v>257.74732800000004</v>
      </c>
      <c r="M76" s="447"/>
      <c r="N76" s="298"/>
      <c r="O76" s="298"/>
      <c r="P76" s="298"/>
      <c r="Q76" s="298"/>
      <c r="R76" s="298"/>
      <c r="S76" s="298"/>
    </row>
    <row r="77" spans="1:19" s="92" customFormat="1" ht="63.75">
      <c r="A77" s="256" t="s">
        <v>3259</v>
      </c>
      <c r="B77" s="288" t="s">
        <v>15230</v>
      </c>
      <c r="C77" s="288">
        <v>92778</v>
      </c>
      <c r="D77" s="289" t="s">
        <v>1383</v>
      </c>
      <c r="E77" s="290" t="s">
        <v>108</v>
      </c>
      <c r="F77" s="292">
        <v>22.5</v>
      </c>
      <c r="G77" s="510" t="s">
        <v>16434</v>
      </c>
      <c r="H77" s="508">
        <v>0.2094</v>
      </c>
      <c r="I77" s="510">
        <v>17.161386</v>
      </c>
      <c r="J77" s="509">
        <v>386.13118500000002</v>
      </c>
      <c r="K77" s="298"/>
      <c r="L77" s="447">
        <f t="shared" si="0"/>
        <v>386.13118500000002</v>
      </c>
      <c r="M77" s="447"/>
      <c r="N77" s="298"/>
      <c r="O77" s="298"/>
      <c r="P77" s="298"/>
      <c r="Q77" s="298"/>
      <c r="R77" s="298"/>
      <c r="S77" s="298"/>
    </row>
    <row r="78" spans="1:19" s="92" customFormat="1">
      <c r="A78" s="256"/>
      <c r="B78" s="391"/>
      <c r="C78" s="391"/>
      <c r="D78" s="401"/>
      <c r="E78" s="391"/>
      <c r="F78" s="417"/>
      <c r="G78" s="417"/>
      <c r="H78" s="417"/>
      <c r="I78" s="417"/>
      <c r="J78" s="418"/>
      <c r="K78" s="298"/>
      <c r="L78" s="447">
        <f t="shared" si="0"/>
        <v>0</v>
      </c>
      <c r="M78" s="447"/>
      <c r="N78" s="298"/>
      <c r="O78" s="298"/>
      <c r="P78" s="298"/>
      <c r="Q78" s="298"/>
      <c r="R78" s="298"/>
      <c r="S78" s="298"/>
    </row>
    <row r="79" spans="1:19" s="92" customFormat="1">
      <c r="A79" s="256"/>
      <c r="B79" s="287" t="s">
        <v>15232</v>
      </c>
      <c r="C79" s="287"/>
      <c r="D79" s="399" t="s">
        <v>3315</v>
      </c>
      <c r="E79" s="413"/>
      <c r="F79" s="413"/>
      <c r="G79" s="461"/>
      <c r="H79" s="413"/>
      <c r="I79" s="461"/>
      <c r="J79" s="414"/>
      <c r="K79" s="298"/>
      <c r="L79" s="447">
        <f t="shared" si="0"/>
        <v>0</v>
      </c>
      <c r="M79" s="447"/>
      <c r="N79" s="298"/>
      <c r="O79" s="298"/>
      <c r="P79" s="298"/>
      <c r="Q79" s="298"/>
      <c r="R79" s="298"/>
      <c r="S79" s="298"/>
    </row>
    <row r="80" spans="1:19" s="92" customFormat="1" ht="51">
      <c r="A80" s="256" t="s">
        <v>3260</v>
      </c>
      <c r="B80" s="288" t="s">
        <v>15233</v>
      </c>
      <c r="C80" s="288" t="s">
        <v>9641</v>
      </c>
      <c r="D80" s="289" t="s">
        <v>17848</v>
      </c>
      <c r="E80" s="290" t="s">
        <v>3241</v>
      </c>
      <c r="F80" s="292">
        <v>0.6</v>
      </c>
      <c r="G80" s="510">
        <v>402.68</v>
      </c>
      <c r="H80" s="508">
        <v>0.2094</v>
      </c>
      <c r="I80" s="510">
        <v>487.001192</v>
      </c>
      <c r="J80" s="509">
        <v>292.20071519999999</v>
      </c>
      <c r="K80" s="298"/>
      <c r="L80" s="447">
        <f t="shared" si="0"/>
        <v>292.20071519999999</v>
      </c>
      <c r="M80" s="447"/>
      <c r="N80" s="298"/>
      <c r="O80" s="298"/>
      <c r="P80" s="298"/>
      <c r="Q80" s="298"/>
      <c r="R80" s="298"/>
      <c r="S80" s="298"/>
    </row>
    <row r="81" spans="1:19" s="92" customFormat="1">
      <c r="A81" s="256"/>
      <c r="B81" s="391"/>
      <c r="C81" s="391"/>
      <c r="D81" s="401"/>
      <c r="E81" s="391"/>
      <c r="F81" s="417"/>
      <c r="G81" s="417"/>
      <c r="H81" s="417"/>
      <c r="I81" s="417"/>
      <c r="J81" s="418"/>
      <c r="K81" s="298"/>
      <c r="L81" s="447">
        <f t="shared" si="0"/>
        <v>0</v>
      </c>
      <c r="M81" s="447"/>
      <c r="N81" s="298"/>
      <c r="O81" s="298"/>
      <c r="P81" s="298"/>
      <c r="Q81" s="298"/>
      <c r="R81" s="298"/>
      <c r="S81" s="298"/>
    </row>
    <row r="82" spans="1:19" s="92" customFormat="1">
      <c r="A82" s="256"/>
      <c r="B82" s="287" t="s">
        <v>15234</v>
      </c>
      <c r="C82" s="287"/>
      <c r="D82" s="400" t="s">
        <v>15235</v>
      </c>
      <c r="E82" s="415"/>
      <c r="F82" s="415"/>
      <c r="G82" s="462"/>
      <c r="H82" s="415"/>
      <c r="I82" s="462"/>
      <c r="J82" s="416"/>
      <c r="K82" s="298"/>
      <c r="L82" s="447">
        <f t="shared" si="0"/>
        <v>0</v>
      </c>
      <c r="M82" s="447"/>
      <c r="N82" s="298"/>
      <c r="O82" s="298"/>
      <c r="P82" s="298"/>
      <c r="Q82" s="298"/>
      <c r="R82" s="298"/>
      <c r="S82" s="298"/>
    </row>
    <row r="83" spans="1:19" s="92" customFormat="1">
      <c r="A83" s="256"/>
      <c r="B83" s="287" t="s">
        <v>15236</v>
      </c>
      <c r="C83" s="287"/>
      <c r="D83" s="400" t="s">
        <v>3327</v>
      </c>
      <c r="E83" s="415"/>
      <c r="F83" s="415"/>
      <c r="G83" s="462"/>
      <c r="H83" s="415"/>
      <c r="I83" s="462"/>
      <c r="J83" s="416"/>
      <c r="K83" s="298"/>
      <c r="L83" s="447">
        <f t="shared" si="0"/>
        <v>0</v>
      </c>
      <c r="M83" s="447"/>
      <c r="N83" s="298"/>
      <c r="O83" s="298"/>
      <c r="P83" s="298"/>
      <c r="Q83" s="298"/>
      <c r="R83" s="298"/>
      <c r="S83" s="298"/>
    </row>
    <row r="84" spans="1:19" s="92" customFormat="1" ht="51">
      <c r="A84" s="256" t="s">
        <v>3259</v>
      </c>
      <c r="B84" s="288" t="s">
        <v>15237</v>
      </c>
      <c r="C84" s="288">
        <v>92518</v>
      </c>
      <c r="D84" s="289" t="s">
        <v>12898</v>
      </c>
      <c r="E84" s="290" t="s">
        <v>193</v>
      </c>
      <c r="F84" s="292">
        <v>18</v>
      </c>
      <c r="G84" s="510" t="s">
        <v>10452</v>
      </c>
      <c r="H84" s="508">
        <v>0.2094</v>
      </c>
      <c r="I84" s="510">
        <v>34.262301999999998</v>
      </c>
      <c r="J84" s="509">
        <v>616.72143599999993</v>
      </c>
      <c r="K84" s="298"/>
      <c r="L84" s="447">
        <f t="shared" si="0"/>
        <v>616.72143599999993</v>
      </c>
      <c r="M84" s="447"/>
      <c r="N84" s="298"/>
      <c r="O84" s="298"/>
      <c r="P84" s="298"/>
      <c r="Q84" s="298"/>
      <c r="R84" s="298"/>
      <c r="S84" s="298"/>
    </row>
    <row r="85" spans="1:19" s="92" customFormat="1">
      <c r="A85" s="256"/>
      <c r="B85" s="391"/>
      <c r="C85" s="391"/>
      <c r="D85" s="401"/>
      <c r="E85" s="391"/>
      <c r="F85" s="417"/>
      <c r="G85" s="417"/>
      <c r="H85" s="417"/>
      <c r="I85" s="417"/>
      <c r="J85" s="418"/>
      <c r="K85" s="298"/>
      <c r="L85" s="447">
        <f t="shared" si="0"/>
        <v>0</v>
      </c>
      <c r="M85" s="447"/>
      <c r="N85" s="298"/>
      <c r="O85" s="298"/>
      <c r="P85" s="298"/>
      <c r="Q85" s="298"/>
      <c r="R85" s="298"/>
      <c r="S85" s="298"/>
    </row>
    <row r="86" spans="1:19" s="92" customFormat="1">
      <c r="A86" s="256"/>
      <c r="B86" s="287" t="s">
        <v>15238</v>
      </c>
      <c r="C86" s="287"/>
      <c r="D86" s="399" t="s">
        <v>3308</v>
      </c>
      <c r="E86" s="413"/>
      <c r="F86" s="413"/>
      <c r="G86" s="461"/>
      <c r="H86" s="413"/>
      <c r="I86" s="461"/>
      <c r="J86" s="414"/>
      <c r="K86" s="298"/>
      <c r="L86" s="447">
        <f t="shared" si="0"/>
        <v>0</v>
      </c>
      <c r="M86" s="447"/>
      <c r="N86" s="298"/>
      <c r="O86" s="298"/>
      <c r="P86" s="298"/>
      <c r="Q86" s="298"/>
      <c r="R86" s="298"/>
      <c r="S86" s="298"/>
    </row>
    <row r="87" spans="1:19" s="92" customFormat="1" ht="63.75">
      <c r="A87" s="256" t="s">
        <v>3259</v>
      </c>
      <c r="B87" s="288" t="s">
        <v>15239</v>
      </c>
      <c r="C87" s="288">
        <v>92784</v>
      </c>
      <c r="D87" s="289" t="s">
        <v>1389</v>
      </c>
      <c r="E87" s="290" t="s">
        <v>108</v>
      </c>
      <c r="F87" s="292">
        <v>29.43</v>
      </c>
      <c r="G87" s="510" t="s">
        <v>10248</v>
      </c>
      <c r="H87" s="508">
        <v>0.2094</v>
      </c>
      <c r="I87" s="510">
        <v>19.785784</v>
      </c>
      <c r="J87" s="509">
        <v>582.29562311999996</v>
      </c>
      <c r="K87" s="298"/>
      <c r="L87" s="447">
        <f t="shared" si="0"/>
        <v>582.29562311999996</v>
      </c>
      <c r="M87" s="447"/>
      <c r="N87" s="298"/>
      <c r="O87" s="298"/>
      <c r="P87" s="298"/>
      <c r="Q87" s="298"/>
      <c r="R87" s="298"/>
      <c r="S87" s="298"/>
    </row>
    <row r="88" spans="1:19" s="92" customFormat="1" ht="63.75">
      <c r="A88" s="256" t="s">
        <v>3259</v>
      </c>
      <c r="B88" s="288" t="s">
        <v>18027</v>
      </c>
      <c r="C88" s="288">
        <v>92786</v>
      </c>
      <c r="D88" s="289" t="s">
        <v>1391</v>
      </c>
      <c r="E88" s="290" t="s">
        <v>108</v>
      </c>
      <c r="F88" s="292">
        <v>126.09</v>
      </c>
      <c r="G88" s="510" t="s">
        <v>15857</v>
      </c>
      <c r="H88" s="508">
        <v>0.2094</v>
      </c>
      <c r="I88" s="510">
        <v>17.802368000000001</v>
      </c>
      <c r="J88" s="509">
        <v>2244.7005811200002</v>
      </c>
      <c r="K88" s="298"/>
      <c r="L88" s="447">
        <f t="shared" si="0"/>
        <v>2244.7005811200002</v>
      </c>
      <c r="M88" s="447"/>
      <c r="N88" s="298"/>
      <c r="O88" s="298"/>
      <c r="P88" s="298"/>
      <c r="Q88" s="298"/>
      <c r="R88" s="298"/>
      <c r="S88" s="298"/>
    </row>
    <row r="89" spans="1:19" s="92" customFormat="1">
      <c r="A89" s="256"/>
      <c r="B89" s="391"/>
      <c r="C89" s="391"/>
      <c r="D89" s="401"/>
      <c r="E89" s="391"/>
      <c r="F89" s="417"/>
      <c r="G89" s="417"/>
      <c r="H89" s="417"/>
      <c r="I89" s="417"/>
      <c r="J89" s="418"/>
      <c r="K89" s="298"/>
      <c r="L89" s="447">
        <f t="shared" si="0"/>
        <v>0</v>
      </c>
      <c r="M89" s="447"/>
      <c r="N89" s="298"/>
      <c r="O89" s="298"/>
      <c r="P89" s="298"/>
      <c r="Q89" s="298"/>
      <c r="R89" s="298"/>
      <c r="S89" s="298"/>
    </row>
    <row r="90" spans="1:19" s="92" customFormat="1">
      <c r="A90" s="256"/>
      <c r="B90" s="287" t="s">
        <v>15240</v>
      </c>
      <c r="C90" s="287"/>
      <c r="D90" s="399" t="s">
        <v>3315</v>
      </c>
      <c r="E90" s="413"/>
      <c r="F90" s="413"/>
      <c r="G90" s="461"/>
      <c r="H90" s="413"/>
      <c r="I90" s="461"/>
      <c r="J90" s="414"/>
      <c r="K90" s="298"/>
      <c r="L90" s="447">
        <f t="shared" si="0"/>
        <v>0</v>
      </c>
      <c r="M90" s="447"/>
      <c r="N90" s="298"/>
      <c r="O90" s="298"/>
      <c r="P90" s="298"/>
      <c r="Q90" s="298"/>
      <c r="R90" s="298"/>
      <c r="S90" s="298"/>
    </row>
    <row r="91" spans="1:19" s="92" customFormat="1" ht="51">
      <c r="A91" s="256" t="s">
        <v>3260</v>
      </c>
      <c r="B91" s="288" t="s">
        <v>15241</v>
      </c>
      <c r="C91" s="288" t="s">
        <v>9641</v>
      </c>
      <c r="D91" s="289" t="s">
        <v>17848</v>
      </c>
      <c r="E91" s="290" t="s">
        <v>3241</v>
      </c>
      <c r="F91" s="292">
        <v>1.8</v>
      </c>
      <c r="G91" s="510">
        <v>402.68</v>
      </c>
      <c r="H91" s="508">
        <v>0.2094</v>
      </c>
      <c r="I91" s="510">
        <v>487.001192</v>
      </c>
      <c r="J91" s="509">
        <v>876.60214559999997</v>
      </c>
      <c r="K91" s="298"/>
      <c r="L91" s="447">
        <f t="shared" si="0"/>
        <v>876.60214559999997</v>
      </c>
      <c r="M91" s="447"/>
      <c r="N91" s="298"/>
      <c r="O91" s="298"/>
      <c r="P91" s="298"/>
      <c r="Q91" s="298"/>
      <c r="R91" s="298"/>
      <c r="S91" s="298"/>
    </row>
    <row r="92" spans="1:19" s="92" customFormat="1">
      <c r="A92" s="256"/>
      <c r="B92" s="391"/>
      <c r="C92" s="391"/>
      <c r="D92" s="401"/>
      <c r="E92" s="391"/>
      <c r="F92" s="417"/>
      <c r="G92" s="417"/>
      <c r="H92" s="417"/>
      <c r="I92" s="417"/>
      <c r="J92" s="418"/>
      <c r="K92" s="298"/>
      <c r="L92" s="447">
        <f t="shared" ref="L92:L155" si="1">I92*F92</f>
        <v>0</v>
      </c>
      <c r="M92" s="447"/>
      <c r="N92" s="298"/>
      <c r="O92" s="298"/>
      <c r="P92" s="298"/>
      <c r="Q92" s="298"/>
      <c r="R92" s="298"/>
      <c r="S92" s="298"/>
    </row>
    <row r="93" spans="1:19" s="92" customFormat="1">
      <c r="A93" s="256"/>
      <c r="B93" s="392"/>
      <c r="C93" s="393"/>
      <c r="D93" s="402"/>
      <c r="E93" s="393"/>
      <c r="F93" s="393"/>
      <c r="G93" s="460" t="s">
        <v>69</v>
      </c>
      <c r="H93" s="419"/>
      <c r="I93" s="460"/>
      <c r="J93" s="420">
        <v>17868.253330380005</v>
      </c>
      <c r="K93" s="447"/>
      <c r="L93" s="447">
        <f t="shared" si="1"/>
        <v>0</v>
      </c>
      <c r="M93" s="447"/>
      <c r="N93" s="298"/>
      <c r="O93" s="298"/>
      <c r="P93" s="298"/>
      <c r="Q93" s="298"/>
      <c r="R93" s="298"/>
      <c r="S93" s="298"/>
    </row>
    <row r="94" spans="1:19" s="92" customFormat="1">
      <c r="A94" s="256"/>
      <c r="B94" s="391"/>
      <c r="C94" s="391"/>
      <c r="D94" s="401"/>
      <c r="E94" s="391"/>
      <c r="F94" s="417"/>
      <c r="G94" s="417"/>
      <c r="H94" s="417"/>
      <c r="I94" s="417"/>
      <c r="J94" s="418"/>
      <c r="K94" s="298"/>
      <c r="L94" s="447">
        <f t="shared" si="1"/>
        <v>0</v>
      </c>
      <c r="M94" s="447"/>
      <c r="N94" s="298"/>
      <c r="O94" s="298"/>
      <c r="P94" s="298"/>
      <c r="Q94" s="298"/>
      <c r="R94" s="298"/>
      <c r="S94" s="298"/>
    </row>
    <row r="95" spans="1:19" s="92" customFormat="1">
      <c r="A95" s="256"/>
      <c r="B95" s="287" t="s">
        <v>181</v>
      </c>
      <c r="C95" s="287"/>
      <c r="D95" s="399" t="s">
        <v>182</v>
      </c>
      <c r="E95" s="413"/>
      <c r="F95" s="413"/>
      <c r="G95" s="461"/>
      <c r="H95" s="413"/>
      <c r="I95" s="461"/>
      <c r="J95" s="414"/>
      <c r="K95" s="298"/>
      <c r="L95" s="447">
        <f t="shared" si="1"/>
        <v>0</v>
      </c>
      <c r="M95" s="447"/>
      <c r="N95" s="298"/>
      <c r="O95" s="298"/>
      <c r="P95" s="298"/>
      <c r="Q95" s="298"/>
      <c r="R95" s="298"/>
      <c r="S95" s="298"/>
    </row>
    <row r="96" spans="1:19" s="92" customFormat="1">
      <c r="A96" s="256"/>
      <c r="B96" s="287" t="s">
        <v>194</v>
      </c>
      <c r="C96" s="287"/>
      <c r="D96" s="400" t="s">
        <v>195</v>
      </c>
      <c r="E96" s="415"/>
      <c r="F96" s="415"/>
      <c r="G96" s="462"/>
      <c r="H96" s="415"/>
      <c r="I96" s="462"/>
      <c r="J96" s="416"/>
      <c r="K96" s="298"/>
      <c r="L96" s="447">
        <f t="shared" si="1"/>
        <v>0</v>
      </c>
      <c r="M96" s="447"/>
      <c r="N96" s="298"/>
      <c r="O96" s="298"/>
      <c r="P96" s="298"/>
      <c r="Q96" s="298"/>
      <c r="R96" s="298"/>
      <c r="S96" s="298"/>
    </row>
    <row r="97" spans="1:19" s="92" customFormat="1">
      <c r="A97" s="256"/>
      <c r="B97" s="287" t="s">
        <v>15595</v>
      </c>
      <c r="C97" s="287"/>
      <c r="D97" s="400" t="s">
        <v>15596</v>
      </c>
      <c r="E97" s="415"/>
      <c r="F97" s="415"/>
      <c r="G97" s="462"/>
      <c r="H97" s="415"/>
      <c r="I97" s="462"/>
      <c r="J97" s="416"/>
      <c r="K97" s="298"/>
      <c r="L97" s="447">
        <f t="shared" si="1"/>
        <v>0</v>
      </c>
      <c r="M97" s="447"/>
      <c r="N97" s="298"/>
      <c r="O97" s="298"/>
      <c r="P97" s="298"/>
      <c r="Q97" s="298"/>
      <c r="R97" s="298"/>
      <c r="S97" s="298"/>
    </row>
    <row r="98" spans="1:19" s="140" customFormat="1" ht="89.25">
      <c r="A98" s="394" t="s">
        <v>3259</v>
      </c>
      <c r="B98" s="285" t="s">
        <v>15597</v>
      </c>
      <c r="C98" s="285">
        <v>87519</v>
      </c>
      <c r="D98" s="289" t="s">
        <v>2552</v>
      </c>
      <c r="E98" s="290" t="s">
        <v>193</v>
      </c>
      <c r="F98" s="755">
        <v>34.78</v>
      </c>
      <c r="G98" s="510" t="s">
        <v>23742</v>
      </c>
      <c r="H98" s="508">
        <v>0.2094</v>
      </c>
      <c r="I98" s="510">
        <v>96.594778000000005</v>
      </c>
      <c r="J98" s="509">
        <v>3359.5663788400002</v>
      </c>
      <c r="K98" s="409"/>
      <c r="L98" s="447">
        <f t="shared" si="1"/>
        <v>3359.5663788400002</v>
      </c>
      <c r="M98" s="447"/>
      <c r="N98" s="409"/>
      <c r="O98" s="409"/>
      <c r="P98" s="409"/>
      <c r="Q98" s="409"/>
      <c r="R98" s="409"/>
      <c r="S98" s="409"/>
    </row>
    <row r="99" spans="1:19" s="140" customFormat="1" ht="25.5">
      <c r="A99" s="394" t="s">
        <v>3259</v>
      </c>
      <c r="B99" s="285" t="s">
        <v>15598</v>
      </c>
      <c r="C99" s="285">
        <v>93202</v>
      </c>
      <c r="D99" s="289" t="s">
        <v>204</v>
      </c>
      <c r="E99" s="290" t="s">
        <v>5</v>
      </c>
      <c r="F99" s="755">
        <v>14.8</v>
      </c>
      <c r="G99" s="510" t="s">
        <v>16388</v>
      </c>
      <c r="H99" s="508">
        <v>0.2094</v>
      </c>
      <c r="I99" s="510">
        <v>29.606112</v>
      </c>
      <c r="J99" s="509">
        <v>438.17045760000002</v>
      </c>
      <c r="K99" s="409"/>
      <c r="L99" s="447">
        <f t="shared" si="1"/>
        <v>438.17045760000002</v>
      </c>
      <c r="M99" s="447"/>
      <c r="N99" s="409"/>
      <c r="O99" s="409"/>
      <c r="P99" s="409"/>
      <c r="Q99" s="409"/>
      <c r="R99" s="409"/>
      <c r="S99" s="409"/>
    </row>
    <row r="100" spans="1:19" s="140" customFormat="1" ht="25.5">
      <c r="A100" s="394" t="s">
        <v>3259</v>
      </c>
      <c r="B100" s="285" t="s">
        <v>15599</v>
      </c>
      <c r="C100" s="285">
        <v>93184</v>
      </c>
      <c r="D100" s="289" t="s">
        <v>1486</v>
      </c>
      <c r="E100" s="290" t="s">
        <v>5</v>
      </c>
      <c r="F100" s="755">
        <v>1.4</v>
      </c>
      <c r="G100" s="510" t="s">
        <v>22513</v>
      </c>
      <c r="H100" s="508">
        <v>0.2094</v>
      </c>
      <c r="I100" s="510">
        <v>37.91469</v>
      </c>
      <c r="J100" s="509">
        <v>53.080565999999997</v>
      </c>
      <c r="K100" s="409"/>
      <c r="L100" s="447">
        <f t="shared" si="1"/>
        <v>53.080565999999997</v>
      </c>
      <c r="M100" s="447"/>
      <c r="N100" s="409"/>
      <c r="O100" s="409"/>
      <c r="P100" s="409"/>
      <c r="Q100" s="409"/>
      <c r="R100" s="409"/>
      <c r="S100" s="409"/>
    </row>
    <row r="101" spans="1:19" s="140" customFormat="1" ht="25.5">
      <c r="A101" s="394" t="s">
        <v>3259</v>
      </c>
      <c r="B101" s="285" t="s">
        <v>15600</v>
      </c>
      <c r="C101" s="285">
        <v>93185</v>
      </c>
      <c r="D101" s="289" t="s">
        <v>1487</v>
      </c>
      <c r="E101" s="290" t="s">
        <v>5</v>
      </c>
      <c r="F101" s="755">
        <v>8.4</v>
      </c>
      <c r="G101" s="510" t="s">
        <v>10176</v>
      </c>
      <c r="H101" s="508">
        <v>0.2094</v>
      </c>
      <c r="I101" s="510">
        <v>64.412644</v>
      </c>
      <c r="J101" s="509">
        <v>541.06620959999998</v>
      </c>
      <c r="K101" s="409"/>
      <c r="L101" s="447">
        <f t="shared" si="1"/>
        <v>541.06620959999998</v>
      </c>
      <c r="M101" s="447"/>
      <c r="N101" s="409"/>
      <c r="O101" s="409"/>
      <c r="P101" s="409"/>
      <c r="Q101" s="409"/>
      <c r="R101" s="409"/>
      <c r="S101" s="409"/>
    </row>
    <row r="102" spans="1:19" s="140" customFormat="1" ht="38.25">
      <c r="A102" s="394" t="s">
        <v>3259</v>
      </c>
      <c r="B102" s="285" t="s">
        <v>15601</v>
      </c>
      <c r="C102" s="285">
        <v>93195</v>
      </c>
      <c r="D102" s="289" t="s">
        <v>1497</v>
      </c>
      <c r="E102" s="290" t="s">
        <v>5</v>
      </c>
      <c r="F102" s="755">
        <v>8.4</v>
      </c>
      <c r="G102" s="510" t="s">
        <v>22521</v>
      </c>
      <c r="H102" s="508">
        <v>0.2094</v>
      </c>
      <c r="I102" s="510">
        <v>60.385342000000001</v>
      </c>
      <c r="J102" s="509">
        <v>507.23687280000001</v>
      </c>
      <c r="K102" s="409"/>
      <c r="L102" s="447">
        <f t="shared" si="1"/>
        <v>507.23687280000001</v>
      </c>
      <c r="M102" s="447"/>
      <c r="N102" s="409"/>
      <c r="O102" s="409"/>
      <c r="P102" s="409"/>
      <c r="Q102" s="409"/>
      <c r="R102" s="409"/>
      <c r="S102" s="409"/>
    </row>
    <row r="103" spans="1:19" s="92" customFormat="1">
      <c r="A103" s="256"/>
      <c r="B103" s="391"/>
      <c r="C103" s="391"/>
      <c r="D103" s="401"/>
      <c r="E103" s="391"/>
      <c r="F103" s="417"/>
      <c r="G103" s="417"/>
      <c r="H103" s="417"/>
      <c r="I103" s="417"/>
      <c r="J103" s="418"/>
      <c r="K103" s="298"/>
      <c r="L103" s="447">
        <f t="shared" si="1"/>
        <v>0</v>
      </c>
      <c r="M103" s="447"/>
      <c r="N103" s="298"/>
      <c r="O103" s="298"/>
      <c r="P103" s="298"/>
      <c r="Q103" s="298"/>
      <c r="R103" s="298"/>
      <c r="S103" s="298"/>
    </row>
    <row r="104" spans="1:19" s="92" customFormat="1">
      <c r="A104" s="256"/>
      <c r="B104" s="287" t="s">
        <v>15605</v>
      </c>
      <c r="C104" s="287"/>
      <c r="D104" s="400" t="s">
        <v>15606</v>
      </c>
      <c r="E104" s="415"/>
      <c r="F104" s="415"/>
      <c r="G104" s="462"/>
      <c r="H104" s="415"/>
      <c r="I104" s="462"/>
      <c r="J104" s="416"/>
      <c r="K104" s="298"/>
      <c r="L104" s="447">
        <f t="shared" si="1"/>
        <v>0</v>
      </c>
      <c r="M104" s="447"/>
      <c r="N104" s="298"/>
      <c r="O104" s="298"/>
      <c r="P104" s="298"/>
      <c r="Q104" s="298"/>
      <c r="R104" s="298"/>
      <c r="S104" s="298"/>
    </row>
    <row r="105" spans="1:19" s="140" customFormat="1" ht="38.25">
      <c r="A105" s="256" t="s">
        <v>3260</v>
      </c>
      <c r="B105" s="285" t="s">
        <v>15607</v>
      </c>
      <c r="C105" s="285" t="s">
        <v>15436</v>
      </c>
      <c r="D105" s="289" t="s">
        <v>17441</v>
      </c>
      <c r="E105" s="290" t="s">
        <v>3240</v>
      </c>
      <c r="F105" s="755">
        <v>1</v>
      </c>
      <c r="G105" s="510">
        <v>805.4899999999999</v>
      </c>
      <c r="H105" s="508">
        <v>0.2094</v>
      </c>
      <c r="I105" s="510">
        <v>974.15960599999994</v>
      </c>
      <c r="J105" s="509">
        <v>974.15960599999994</v>
      </c>
      <c r="K105" s="409"/>
      <c r="L105" s="447">
        <f t="shared" si="1"/>
        <v>974.15960599999994</v>
      </c>
      <c r="M105" s="447"/>
      <c r="N105" s="409"/>
      <c r="O105" s="409"/>
      <c r="P105" s="409"/>
      <c r="Q105" s="409"/>
      <c r="R105" s="409"/>
      <c r="S105" s="409"/>
    </row>
    <row r="106" spans="1:19" s="140" customFormat="1" ht="51">
      <c r="A106" s="256" t="s">
        <v>3260</v>
      </c>
      <c r="B106" s="285" t="s">
        <v>15608</v>
      </c>
      <c r="C106" s="285" t="s">
        <v>24693</v>
      </c>
      <c r="D106" s="289" t="s">
        <v>17528</v>
      </c>
      <c r="E106" s="290" t="s">
        <v>3240</v>
      </c>
      <c r="F106" s="755">
        <v>1</v>
      </c>
      <c r="G106" s="510">
        <v>3333.1900000000005</v>
      </c>
      <c r="H106" s="508">
        <v>0.2094</v>
      </c>
      <c r="I106" s="510">
        <v>4031.1599860000006</v>
      </c>
      <c r="J106" s="509">
        <v>4031.1599860000006</v>
      </c>
      <c r="K106" s="409"/>
      <c r="L106" s="447">
        <f t="shared" si="1"/>
        <v>4031.1599860000006</v>
      </c>
      <c r="M106" s="447"/>
      <c r="N106" s="409"/>
      <c r="O106" s="409"/>
      <c r="P106" s="409"/>
      <c r="Q106" s="409"/>
      <c r="R106" s="409"/>
      <c r="S106" s="409"/>
    </row>
    <row r="107" spans="1:19" s="140" customFormat="1" ht="51">
      <c r="A107" s="256" t="s">
        <v>3260</v>
      </c>
      <c r="B107" s="285" t="s">
        <v>15609</v>
      </c>
      <c r="C107" s="285" t="s">
        <v>24613</v>
      </c>
      <c r="D107" s="289" t="s">
        <v>17786</v>
      </c>
      <c r="E107" s="290" t="s">
        <v>3240</v>
      </c>
      <c r="F107" s="755">
        <v>2</v>
      </c>
      <c r="G107" s="510">
        <v>382.61</v>
      </c>
      <c r="H107" s="508">
        <v>0.2094</v>
      </c>
      <c r="I107" s="510">
        <v>462.72853400000002</v>
      </c>
      <c r="J107" s="509">
        <v>925.45706800000005</v>
      </c>
      <c r="K107" s="409"/>
      <c r="L107" s="447">
        <f t="shared" si="1"/>
        <v>925.45706800000005</v>
      </c>
      <c r="M107" s="447"/>
      <c r="N107" s="409"/>
      <c r="O107" s="409"/>
      <c r="P107" s="409"/>
      <c r="Q107" s="409"/>
      <c r="R107" s="409"/>
      <c r="S107" s="409"/>
    </row>
    <row r="108" spans="1:19" s="92" customFormat="1">
      <c r="A108" s="256"/>
      <c r="B108" s="391"/>
      <c r="C108" s="391"/>
      <c r="D108" s="401"/>
      <c r="E108" s="391"/>
      <c r="F108" s="417"/>
      <c r="G108" s="417"/>
      <c r="H108" s="417"/>
      <c r="I108" s="417"/>
      <c r="J108" s="418"/>
      <c r="K108" s="298"/>
      <c r="L108" s="447">
        <f t="shared" si="1"/>
        <v>0</v>
      </c>
      <c r="M108" s="447"/>
      <c r="N108" s="298"/>
      <c r="O108" s="298"/>
      <c r="P108" s="298"/>
      <c r="Q108" s="298"/>
      <c r="R108" s="298"/>
      <c r="S108" s="298"/>
    </row>
    <row r="109" spans="1:19" s="92" customFormat="1">
      <c r="A109" s="256"/>
      <c r="B109" s="287" t="s">
        <v>3333</v>
      </c>
      <c r="C109" s="287"/>
      <c r="D109" s="400" t="s">
        <v>11572</v>
      </c>
      <c r="E109" s="415"/>
      <c r="F109" s="415"/>
      <c r="G109" s="462"/>
      <c r="H109" s="415"/>
      <c r="I109" s="462"/>
      <c r="J109" s="416"/>
      <c r="K109" s="298"/>
      <c r="L109" s="447">
        <f t="shared" si="1"/>
        <v>0</v>
      </c>
      <c r="M109" s="447"/>
      <c r="N109" s="409"/>
      <c r="O109" s="409"/>
      <c r="P109" s="409"/>
      <c r="Q109" s="409"/>
      <c r="R109" s="409"/>
      <c r="S109" s="409"/>
    </row>
    <row r="110" spans="1:19" s="140" customFormat="1" ht="63.75">
      <c r="A110" s="394" t="s">
        <v>3259</v>
      </c>
      <c r="B110" s="285" t="s">
        <v>3334</v>
      </c>
      <c r="C110" s="285">
        <v>87620</v>
      </c>
      <c r="D110" s="289" t="s">
        <v>218</v>
      </c>
      <c r="E110" s="290" t="s">
        <v>193</v>
      </c>
      <c r="F110" s="755">
        <v>20.23</v>
      </c>
      <c r="G110" s="510" t="s">
        <v>24074</v>
      </c>
      <c r="H110" s="508">
        <v>0.2094</v>
      </c>
      <c r="I110" s="510">
        <v>35.580548</v>
      </c>
      <c r="J110" s="509">
        <v>719.79448604000004</v>
      </c>
      <c r="K110" s="409"/>
      <c r="L110" s="447">
        <f t="shared" si="1"/>
        <v>719.79448604000004</v>
      </c>
      <c r="M110" s="447"/>
      <c r="N110" s="409"/>
      <c r="O110" s="409"/>
      <c r="P110" s="409"/>
      <c r="Q110" s="409"/>
      <c r="R110" s="409"/>
      <c r="S110" s="409"/>
    </row>
    <row r="111" spans="1:19" s="140" customFormat="1" ht="51">
      <c r="A111" s="394" t="s">
        <v>3259</v>
      </c>
      <c r="B111" s="285" t="s">
        <v>3335</v>
      </c>
      <c r="C111" s="285">
        <v>98546</v>
      </c>
      <c r="D111" s="289" t="s">
        <v>4086</v>
      </c>
      <c r="E111" s="290" t="s">
        <v>193</v>
      </c>
      <c r="F111" s="755">
        <v>20.23</v>
      </c>
      <c r="G111" s="510" t="s">
        <v>16098</v>
      </c>
      <c r="H111" s="508">
        <v>0.2094</v>
      </c>
      <c r="I111" s="510">
        <v>94.175978000000015</v>
      </c>
      <c r="J111" s="509">
        <v>1905.1800349400003</v>
      </c>
      <c r="K111" s="409"/>
      <c r="L111" s="447">
        <f t="shared" si="1"/>
        <v>1905.1800349400003</v>
      </c>
      <c r="M111" s="447"/>
      <c r="N111" s="409"/>
      <c r="O111" s="409"/>
      <c r="P111" s="409"/>
      <c r="Q111" s="409"/>
      <c r="R111" s="409"/>
      <c r="S111" s="409"/>
    </row>
    <row r="112" spans="1:19" s="140" customFormat="1" ht="38.25">
      <c r="A112" s="394" t="s">
        <v>3259</v>
      </c>
      <c r="B112" s="285" t="s">
        <v>3769</v>
      </c>
      <c r="C112" s="285">
        <v>98565</v>
      </c>
      <c r="D112" s="289" t="s">
        <v>4091</v>
      </c>
      <c r="E112" s="290" t="s">
        <v>193</v>
      </c>
      <c r="F112" s="755">
        <v>20.23</v>
      </c>
      <c r="G112" s="510" t="s">
        <v>22568</v>
      </c>
      <c r="H112" s="508">
        <v>0.2094</v>
      </c>
      <c r="I112" s="510">
        <v>49.222580000000008</v>
      </c>
      <c r="J112" s="509">
        <v>995.77279340000018</v>
      </c>
      <c r="K112" s="409"/>
      <c r="L112" s="447">
        <f t="shared" si="1"/>
        <v>995.77279340000018</v>
      </c>
      <c r="M112" s="447"/>
      <c r="N112" s="409"/>
      <c r="O112" s="409"/>
      <c r="P112" s="409"/>
      <c r="Q112" s="409"/>
      <c r="R112" s="409"/>
      <c r="S112" s="409"/>
    </row>
    <row r="113" spans="1:19" s="92" customFormat="1">
      <c r="A113" s="256"/>
      <c r="B113" s="391"/>
      <c r="C113" s="391"/>
      <c r="D113" s="401"/>
      <c r="E113" s="391"/>
      <c r="F113" s="417"/>
      <c r="G113" s="417"/>
      <c r="H113" s="417"/>
      <c r="I113" s="417"/>
      <c r="J113" s="418"/>
      <c r="K113" s="298"/>
      <c r="L113" s="447">
        <f t="shared" si="1"/>
        <v>0</v>
      </c>
      <c r="M113" s="447"/>
      <c r="N113" s="298"/>
      <c r="O113" s="298"/>
      <c r="P113" s="298"/>
      <c r="Q113" s="298"/>
      <c r="R113" s="298"/>
      <c r="S113" s="298"/>
    </row>
    <row r="114" spans="1:19" s="92" customFormat="1">
      <c r="A114" s="256"/>
      <c r="B114" s="287" t="s">
        <v>15639</v>
      </c>
      <c r="C114" s="287"/>
      <c r="D114" s="400" t="s">
        <v>15640</v>
      </c>
      <c r="E114" s="415"/>
      <c r="F114" s="415"/>
      <c r="G114" s="462"/>
      <c r="H114" s="415"/>
      <c r="I114" s="462"/>
      <c r="J114" s="416"/>
      <c r="K114" s="298"/>
      <c r="L114" s="447">
        <f t="shared" si="1"/>
        <v>0</v>
      </c>
      <c r="M114" s="447">
        <f t="shared" ref="M114" si="2">L114-J114</f>
        <v>0</v>
      </c>
      <c r="N114" s="298"/>
      <c r="O114" s="298"/>
      <c r="P114" s="298"/>
      <c r="Q114" s="298"/>
      <c r="R114" s="298"/>
      <c r="S114" s="298"/>
    </row>
    <row r="115" spans="1:19" s="92" customFormat="1">
      <c r="A115" s="256"/>
      <c r="B115" s="287" t="s">
        <v>15647</v>
      </c>
      <c r="C115" s="287"/>
      <c r="D115" s="400" t="s">
        <v>15648</v>
      </c>
      <c r="E115" s="415"/>
      <c r="F115" s="415"/>
      <c r="G115" s="462"/>
      <c r="H115" s="415"/>
      <c r="I115" s="462"/>
      <c r="J115" s="416"/>
      <c r="K115" s="298"/>
      <c r="L115" s="447">
        <f t="shared" si="1"/>
        <v>0</v>
      </c>
      <c r="M115" s="447">
        <f t="shared" ref="M115" si="3">L115-J115</f>
        <v>0</v>
      </c>
      <c r="N115" s="298"/>
      <c r="O115" s="298"/>
      <c r="P115" s="298"/>
      <c r="Q115" s="298"/>
      <c r="R115" s="298"/>
      <c r="S115" s="298"/>
    </row>
    <row r="116" spans="1:19" s="140" customFormat="1" ht="51">
      <c r="A116" s="394" t="s">
        <v>3259</v>
      </c>
      <c r="B116" s="285" t="s">
        <v>15649</v>
      </c>
      <c r="C116" s="285">
        <v>97084</v>
      </c>
      <c r="D116" s="289" t="s">
        <v>3422</v>
      </c>
      <c r="E116" s="290" t="s">
        <v>193</v>
      </c>
      <c r="F116" s="755">
        <v>12.83</v>
      </c>
      <c r="G116" s="510" t="s">
        <v>12166</v>
      </c>
      <c r="H116" s="508">
        <v>0.2094</v>
      </c>
      <c r="I116" s="510">
        <v>0.70145199999999996</v>
      </c>
      <c r="J116" s="509">
        <v>8.9996291599999996</v>
      </c>
      <c r="K116" s="409"/>
      <c r="L116" s="447">
        <f t="shared" si="1"/>
        <v>8.9996291599999996</v>
      </c>
      <c r="M116" s="447"/>
      <c r="N116" s="409"/>
      <c r="O116" s="409"/>
      <c r="P116" s="409"/>
      <c r="Q116" s="409"/>
      <c r="R116" s="409"/>
      <c r="S116" s="409"/>
    </row>
    <row r="117" spans="1:19" s="140" customFormat="1" ht="25.5">
      <c r="A117" s="394" t="s">
        <v>3259</v>
      </c>
      <c r="B117" s="285" t="s">
        <v>15650</v>
      </c>
      <c r="C117" s="285">
        <v>97087</v>
      </c>
      <c r="D117" s="289" t="s">
        <v>12806</v>
      </c>
      <c r="E117" s="290" t="s">
        <v>193</v>
      </c>
      <c r="F117" s="755">
        <v>12.83</v>
      </c>
      <c r="G117" s="510" t="s">
        <v>11077</v>
      </c>
      <c r="H117" s="508">
        <v>0.2094</v>
      </c>
      <c r="I117" s="510">
        <v>1.9350400000000001</v>
      </c>
      <c r="J117" s="509">
        <v>24.826563200000002</v>
      </c>
      <c r="K117" s="409"/>
      <c r="L117" s="447">
        <f t="shared" si="1"/>
        <v>24.826563200000002</v>
      </c>
      <c r="M117" s="447"/>
      <c r="N117" s="409"/>
      <c r="O117" s="409"/>
      <c r="P117" s="409"/>
      <c r="Q117" s="409"/>
      <c r="R117" s="409"/>
      <c r="S117" s="409"/>
    </row>
    <row r="118" spans="1:19" s="140" customFormat="1" ht="38.25">
      <c r="A118" s="394" t="s">
        <v>3259</v>
      </c>
      <c r="B118" s="285" t="s">
        <v>15651</v>
      </c>
      <c r="C118" s="285">
        <v>95241</v>
      </c>
      <c r="D118" s="289" t="s">
        <v>15893</v>
      </c>
      <c r="E118" s="290" t="s">
        <v>193</v>
      </c>
      <c r="F118" s="755">
        <v>12.83</v>
      </c>
      <c r="G118" s="510" t="s">
        <v>14160</v>
      </c>
      <c r="H118" s="508">
        <v>0.2094</v>
      </c>
      <c r="I118" s="510">
        <v>31.420212000000003</v>
      </c>
      <c r="J118" s="509">
        <v>403.12131996000005</v>
      </c>
      <c r="K118" s="409"/>
      <c r="L118" s="447">
        <f t="shared" si="1"/>
        <v>403.12131996000005</v>
      </c>
      <c r="M118" s="447"/>
      <c r="N118" s="409"/>
      <c r="O118" s="409"/>
      <c r="P118" s="409"/>
      <c r="Q118" s="409"/>
      <c r="R118" s="409"/>
      <c r="S118" s="409"/>
    </row>
    <row r="119" spans="1:19" s="140" customFormat="1" ht="63.75">
      <c r="A119" s="394" t="s">
        <v>3259</v>
      </c>
      <c r="B119" s="285" t="s">
        <v>15652</v>
      </c>
      <c r="C119" s="285">
        <v>87630</v>
      </c>
      <c r="D119" s="289" t="s">
        <v>2766</v>
      </c>
      <c r="E119" s="290" t="s">
        <v>193</v>
      </c>
      <c r="F119" s="755">
        <v>12.83</v>
      </c>
      <c r="G119" s="510" t="s">
        <v>15967</v>
      </c>
      <c r="H119" s="508">
        <v>0.2094</v>
      </c>
      <c r="I119" s="510">
        <v>43.719810000000003</v>
      </c>
      <c r="J119" s="509">
        <v>560.92516230000001</v>
      </c>
      <c r="K119" s="409"/>
      <c r="L119" s="447">
        <f t="shared" si="1"/>
        <v>560.92516230000001</v>
      </c>
      <c r="M119" s="447"/>
      <c r="N119" s="409"/>
      <c r="O119" s="409"/>
      <c r="P119" s="409"/>
      <c r="Q119" s="409"/>
      <c r="R119" s="409"/>
      <c r="S119" s="409"/>
    </row>
    <row r="120" spans="1:19" s="92" customFormat="1">
      <c r="A120" s="256"/>
      <c r="B120" s="391"/>
      <c r="C120" s="391"/>
      <c r="D120" s="401"/>
      <c r="E120" s="391"/>
      <c r="F120" s="417"/>
      <c r="G120" s="417"/>
      <c r="H120" s="417"/>
      <c r="I120" s="417"/>
      <c r="J120" s="418"/>
      <c r="K120" s="298"/>
      <c r="L120" s="447">
        <f t="shared" si="1"/>
        <v>0</v>
      </c>
      <c r="M120" s="447"/>
      <c r="N120" s="298"/>
      <c r="O120" s="298"/>
      <c r="P120" s="298"/>
      <c r="Q120" s="298"/>
      <c r="R120" s="298"/>
      <c r="S120" s="298"/>
    </row>
    <row r="121" spans="1:19" s="92" customFormat="1">
      <c r="A121" s="256"/>
      <c r="B121" s="287" t="s">
        <v>15656</v>
      </c>
      <c r="C121" s="287"/>
      <c r="D121" s="400" t="s">
        <v>15657</v>
      </c>
      <c r="E121" s="415"/>
      <c r="F121" s="415"/>
      <c r="G121" s="462"/>
      <c r="H121" s="415"/>
      <c r="I121" s="462"/>
      <c r="J121" s="416"/>
      <c r="K121" s="298"/>
      <c r="L121" s="447">
        <f t="shared" si="1"/>
        <v>0</v>
      </c>
      <c r="M121" s="447">
        <f t="shared" ref="M121" si="4">L121-J121</f>
        <v>0</v>
      </c>
      <c r="N121" s="298"/>
      <c r="O121" s="298"/>
      <c r="P121" s="298"/>
      <c r="Q121" s="298"/>
      <c r="R121" s="298"/>
      <c r="S121" s="298"/>
    </row>
    <row r="122" spans="1:19" s="140" customFormat="1" ht="63.75">
      <c r="A122" s="394" t="s">
        <v>3259</v>
      </c>
      <c r="B122" s="285" t="s">
        <v>15658</v>
      </c>
      <c r="C122" s="285">
        <v>87879</v>
      </c>
      <c r="D122" s="289" t="s">
        <v>2843</v>
      </c>
      <c r="E122" s="290" t="s">
        <v>193</v>
      </c>
      <c r="F122" s="755">
        <v>38.92</v>
      </c>
      <c r="G122" s="510" t="s">
        <v>9809</v>
      </c>
      <c r="H122" s="508">
        <v>0.2094</v>
      </c>
      <c r="I122" s="510">
        <v>4.2449940000000002</v>
      </c>
      <c r="J122" s="509">
        <v>165.21516648000002</v>
      </c>
      <c r="K122" s="409"/>
      <c r="L122" s="447">
        <f t="shared" si="1"/>
        <v>165.21516648000002</v>
      </c>
      <c r="M122" s="447"/>
      <c r="N122" s="409"/>
      <c r="O122" s="409"/>
      <c r="P122" s="409"/>
      <c r="Q122" s="409"/>
      <c r="R122" s="409"/>
      <c r="S122" s="409"/>
    </row>
    <row r="123" spans="1:19" s="140" customFormat="1" ht="89.25">
      <c r="A123" s="394" t="s">
        <v>3259</v>
      </c>
      <c r="B123" s="285" t="s">
        <v>15659</v>
      </c>
      <c r="C123" s="285">
        <v>87529</v>
      </c>
      <c r="D123" s="289" t="s">
        <v>223</v>
      </c>
      <c r="E123" s="290" t="s">
        <v>193</v>
      </c>
      <c r="F123" s="755">
        <v>38.92</v>
      </c>
      <c r="G123" s="510" t="s">
        <v>22574</v>
      </c>
      <c r="H123" s="508">
        <v>0.2094</v>
      </c>
      <c r="I123" s="510">
        <v>37.950972</v>
      </c>
      <c r="J123" s="509">
        <v>1477.0518302400001</v>
      </c>
      <c r="K123" s="409"/>
      <c r="L123" s="447">
        <f t="shared" si="1"/>
        <v>1477.0518302400001</v>
      </c>
      <c r="M123" s="447"/>
      <c r="N123" s="409"/>
      <c r="O123" s="409"/>
      <c r="P123" s="409"/>
      <c r="Q123" s="409"/>
      <c r="R123" s="409"/>
      <c r="S123" s="409"/>
    </row>
    <row r="124" spans="1:19" s="140" customFormat="1" ht="63.75">
      <c r="A124" s="394" t="s">
        <v>3259</v>
      </c>
      <c r="B124" s="285" t="s">
        <v>15660</v>
      </c>
      <c r="C124" s="285">
        <v>87905</v>
      </c>
      <c r="D124" s="289" t="s">
        <v>2863</v>
      </c>
      <c r="E124" s="290" t="s">
        <v>193</v>
      </c>
      <c r="F124" s="755">
        <v>42.62</v>
      </c>
      <c r="G124" s="510" t="s">
        <v>10030</v>
      </c>
      <c r="H124" s="508">
        <v>0.2094</v>
      </c>
      <c r="I124" s="510">
        <v>9.3002859999999998</v>
      </c>
      <c r="J124" s="509">
        <v>396.37818931999999</v>
      </c>
      <c r="K124" s="409"/>
      <c r="L124" s="447">
        <f t="shared" si="1"/>
        <v>396.37818931999999</v>
      </c>
      <c r="M124" s="447"/>
      <c r="N124" s="409"/>
      <c r="O124" s="409"/>
      <c r="P124" s="409"/>
      <c r="Q124" s="409"/>
      <c r="R124" s="409"/>
      <c r="S124" s="409"/>
    </row>
    <row r="125" spans="1:19" s="140" customFormat="1" ht="63.75">
      <c r="A125" s="394" t="s">
        <v>3259</v>
      </c>
      <c r="B125" s="285" t="s">
        <v>15661</v>
      </c>
      <c r="C125" s="285">
        <v>87775</v>
      </c>
      <c r="D125" s="289" t="s">
        <v>228</v>
      </c>
      <c r="E125" s="290" t="s">
        <v>193</v>
      </c>
      <c r="F125" s="755">
        <v>42.62</v>
      </c>
      <c r="G125" s="510" t="s">
        <v>16019</v>
      </c>
      <c r="H125" s="508">
        <v>0.2094</v>
      </c>
      <c r="I125" s="510">
        <v>62.030126000000003</v>
      </c>
      <c r="J125" s="509">
        <v>2643.7239701200001</v>
      </c>
      <c r="K125" s="409"/>
      <c r="L125" s="447">
        <f t="shared" si="1"/>
        <v>2643.7239701200001</v>
      </c>
      <c r="M125" s="447"/>
      <c r="N125" s="409"/>
      <c r="O125" s="409"/>
      <c r="P125" s="409"/>
      <c r="Q125" s="409"/>
      <c r="R125" s="409"/>
      <c r="S125" s="409"/>
    </row>
    <row r="126" spans="1:19" s="92" customFormat="1">
      <c r="A126" s="256"/>
      <c r="B126" s="391"/>
      <c r="C126" s="391"/>
      <c r="D126" s="401"/>
      <c r="E126" s="391"/>
      <c r="F126" s="417"/>
      <c r="G126" s="417"/>
      <c r="H126" s="417"/>
      <c r="I126" s="417"/>
      <c r="J126" s="418"/>
      <c r="K126" s="298"/>
      <c r="L126" s="447">
        <f t="shared" si="1"/>
        <v>0</v>
      </c>
      <c r="M126" s="447"/>
      <c r="N126" s="298"/>
      <c r="O126" s="298"/>
      <c r="P126" s="298"/>
      <c r="Q126" s="298"/>
      <c r="R126" s="298"/>
      <c r="S126" s="298"/>
    </row>
    <row r="127" spans="1:19" s="92" customFormat="1">
      <c r="A127" s="256"/>
      <c r="B127" s="287" t="s">
        <v>15665</v>
      </c>
      <c r="C127" s="287"/>
      <c r="D127" s="400" t="s">
        <v>15666</v>
      </c>
      <c r="E127" s="415"/>
      <c r="F127" s="415"/>
      <c r="G127" s="462"/>
      <c r="H127" s="415"/>
      <c r="I127" s="462"/>
      <c r="J127" s="416"/>
      <c r="K127" s="298"/>
      <c r="L127" s="447">
        <f t="shared" si="1"/>
        <v>0</v>
      </c>
      <c r="M127" s="447"/>
      <c r="N127" s="298"/>
      <c r="O127" s="298"/>
      <c r="P127" s="298"/>
      <c r="Q127" s="298"/>
      <c r="R127" s="298"/>
      <c r="S127" s="298"/>
    </row>
    <row r="128" spans="1:19" s="140" customFormat="1" ht="63.75">
      <c r="A128" s="394" t="s">
        <v>3259</v>
      </c>
      <c r="B128" s="285" t="s">
        <v>15667</v>
      </c>
      <c r="C128" s="285">
        <v>87882</v>
      </c>
      <c r="D128" s="289" t="s">
        <v>2845</v>
      </c>
      <c r="E128" s="290" t="s">
        <v>193</v>
      </c>
      <c r="F128" s="755">
        <v>17.989999999999998</v>
      </c>
      <c r="G128" s="510" t="s">
        <v>20346</v>
      </c>
      <c r="H128" s="508">
        <v>0.2094</v>
      </c>
      <c r="I128" s="510">
        <v>6.3251620000000006</v>
      </c>
      <c r="J128" s="509">
        <v>113.78966438</v>
      </c>
      <c r="K128" s="409"/>
      <c r="L128" s="447">
        <f t="shared" si="1"/>
        <v>113.78966438</v>
      </c>
      <c r="M128" s="447"/>
      <c r="N128" s="409"/>
      <c r="O128" s="409"/>
      <c r="P128" s="409"/>
      <c r="Q128" s="409"/>
      <c r="R128" s="409"/>
      <c r="S128" s="409"/>
    </row>
    <row r="129" spans="1:19" s="140" customFormat="1" ht="76.5">
      <c r="A129" s="394" t="s">
        <v>3259</v>
      </c>
      <c r="B129" s="285" t="s">
        <v>15668</v>
      </c>
      <c r="C129" s="285">
        <v>90406</v>
      </c>
      <c r="D129" s="289" t="s">
        <v>2991</v>
      </c>
      <c r="E129" s="290" t="s">
        <v>193</v>
      </c>
      <c r="F129" s="755">
        <v>17.989999999999998</v>
      </c>
      <c r="G129" s="510" t="s">
        <v>15999</v>
      </c>
      <c r="H129" s="508">
        <v>0.2094</v>
      </c>
      <c r="I129" s="510">
        <v>49.706340000000004</v>
      </c>
      <c r="J129" s="509">
        <v>894.21705659999998</v>
      </c>
      <c r="K129" s="409"/>
      <c r="L129" s="447">
        <f t="shared" si="1"/>
        <v>894.21705659999998</v>
      </c>
      <c r="M129" s="447"/>
      <c r="N129" s="409"/>
      <c r="O129" s="409"/>
      <c r="P129" s="409"/>
      <c r="Q129" s="409"/>
      <c r="R129" s="409"/>
      <c r="S129" s="409"/>
    </row>
    <row r="130" spans="1:19" s="92" customFormat="1">
      <c r="A130" s="256"/>
      <c r="B130" s="391"/>
      <c r="C130" s="391"/>
      <c r="D130" s="401"/>
      <c r="E130" s="391"/>
      <c r="F130" s="417"/>
      <c r="G130" s="417"/>
      <c r="H130" s="417"/>
      <c r="I130" s="417"/>
      <c r="J130" s="418"/>
      <c r="K130" s="298"/>
      <c r="L130" s="447">
        <f t="shared" si="1"/>
        <v>0</v>
      </c>
      <c r="M130" s="447"/>
      <c r="N130" s="298"/>
      <c r="O130" s="298"/>
      <c r="P130" s="298"/>
      <c r="Q130" s="298"/>
      <c r="R130" s="298"/>
      <c r="S130" s="298"/>
    </row>
    <row r="131" spans="1:19" s="92" customFormat="1">
      <c r="A131" s="256"/>
      <c r="B131" s="287" t="s">
        <v>15669</v>
      </c>
      <c r="C131" s="287"/>
      <c r="D131" s="400" t="s">
        <v>15670</v>
      </c>
      <c r="E131" s="415"/>
      <c r="F131" s="415"/>
      <c r="G131" s="462"/>
      <c r="H131" s="415"/>
      <c r="I131" s="462"/>
      <c r="J131" s="416"/>
      <c r="K131" s="298"/>
      <c r="L131" s="447">
        <f t="shared" si="1"/>
        <v>0</v>
      </c>
      <c r="M131" s="447"/>
      <c r="N131" s="298"/>
      <c r="O131" s="298"/>
      <c r="P131" s="298"/>
      <c r="Q131" s="298"/>
      <c r="R131" s="298"/>
      <c r="S131" s="298"/>
    </row>
    <row r="132" spans="1:19" s="92" customFormat="1">
      <c r="A132" s="256"/>
      <c r="B132" s="287" t="s">
        <v>17571</v>
      </c>
      <c r="C132" s="287"/>
      <c r="D132" s="400" t="s">
        <v>17572</v>
      </c>
      <c r="E132" s="415"/>
      <c r="F132" s="415"/>
      <c r="G132" s="462"/>
      <c r="H132" s="415"/>
      <c r="I132" s="462"/>
      <c r="J132" s="416"/>
      <c r="K132" s="298"/>
      <c r="L132" s="447">
        <f t="shared" si="1"/>
        <v>0</v>
      </c>
      <c r="M132" s="447"/>
      <c r="N132" s="298"/>
      <c r="O132" s="298"/>
      <c r="P132" s="298"/>
      <c r="Q132" s="298"/>
      <c r="R132" s="298"/>
      <c r="S132" s="298"/>
    </row>
    <row r="133" spans="1:19" s="140" customFormat="1" ht="38.25">
      <c r="A133" s="394" t="s">
        <v>3259</v>
      </c>
      <c r="B133" s="285" t="s">
        <v>17573</v>
      </c>
      <c r="C133" s="285">
        <v>88488</v>
      </c>
      <c r="D133" s="289" t="s">
        <v>221</v>
      </c>
      <c r="E133" s="290" t="s">
        <v>193</v>
      </c>
      <c r="F133" s="755">
        <v>5.16</v>
      </c>
      <c r="G133" s="510" t="s">
        <v>11043</v>
      </c>
      <c r="H133" s="508">
        <v>0.2094</v>
      </c>
      <c r="I133" s="510">
        <v>17.427454000000001</v>
      </c>
      <c r="J133" s="509">
        <v>89.925662640000013</v>
      </c>
      <c r="K133" s="409"/>
      <c r="L133" s="447">
        <f t="shared" si="1"/>
        <v>89.925662640000013</v>
      </c>
      <c r="M133" s="447"/>
      <c r="N133" s="409"/>
      <c r="O133" s="409"/>
      <c r="P133" s="409"/>
      <c r="Q133" s="409"/>
      <c r="R133" s="409"/>
      <c r="S133" s="409"/>
    </row>
    <row r="134" spans="1:19" s="140" customFormat="1" ht="51">
      <c r="A134" s="394" t="s">
        <v>3260</v>
      </c>
      <c r="B134" s="285" t="s">
        <v>17574</v>
      </c>
      <c r="C134" s="285" t="s">
        <v>15507</v>
      </c>
      <c r="D134" s="289" t="s">
        <v>17576</v>
      </c>
      <c r="E134" s="290" t="s">
        <v>193</v>
      </c>
      <c r="F134" s="755">
        <v>12.83</v>
      </c>
      <c r="G134" s="510">
        <v>109.12</v>
      </c>
      <c r="H134" s="508">
        <v>0.2094</v>
      </c>
      <c r="I134" s="510">
        <v>131.969728</v>
      </c>
      <c r="J134" s="509">
        <v>1693.1716102400001</v>
      </c>
      <c r="K134" s="409"/>
      <c r="L134" s="447">
        <f t="shared" si="1"/>
        <v>1693.1716102400001</v>
      </c>
      <c r="M134" s="447"/>
      <c r="N134" s="409"/>
      <c r="O134" s="409"/>
      <c r="P134" s="409"/>
      <c r="Q134" s="409"/>
      <c r="R134" s="409"/>
      <c r="S134" s="409"/>
    </row>
    <row r="135" spans="1:19" s="92" customFormat="1">
      <c r="A135" s="256"/>
      <c r="B135" s="287" t="s">
        <v>17575</v>
      </c>
      <c r="C135" s="287"/>
      <c r="D135" s="400" t="s">
        <v>15596</v>
      </c>
      <c r="E135" s="415"/>
      <c r="F135" s="415"/>
      <c r="G135" s="462"/>
      <c r="H135" s="415"/>
      <c r="I135" s="462"/>
      <c r="J135" s="416"/>
      <c r="K135" s="298"/>
      <c r="L135" s="447">
        <f t="shared" si="1"/>
        <v>0</v>
      </c>
      <c r="M135" s="447"/>
      <c r="N135" s="298"/>
      <c r="O135" s="298"/>
      <c r="P135" s="298"/>
      <c r="Q135" s="298"/>
      <c r="R135" s="298"/>
      <c r="S135" s="298"/>
    </row>
    <row r="136" spans="1:19" s="140" customFormat="1" ht="38.25">
      <c r="A136" s="394" t="s">
        <v>3259</v>
      </c>
      <c r="B136" s="285" t="s">
        <v>17578</v>
      </c>
      <c r="C136" s="285">
        <v>88489</v>
      </c>
      <c r="D136" s="289" t="s">
        <v>227</v>
      </c>
      <c r="E136" s="290" t="s">
        <v>193</v>
      </c>
      <c r="F136" s="755">
        <v>81.540000000000006</v>
      </c>
      <c r="G136" s="510" t="s">
        <v>11393</v>
      </c>
      <c r="H136" s="508">
        <v>0.2094</v>
      </c>
      <c r="I136" s="510">
        <v>15.286816000000002</v>
      </c>
      <c r="J136" s="509">
        <v>1246.4869766400002</v>
      </c>
      <c r="K136" s="409"/>
      <c r="L136" s="447">
        <f t="shared" si="1"/>
        <v>1246.4869766400002</v>
      </c>
      <c r="M136" s="447"/>
      <c r="N136" s="409"/>
      <c r="O136" s="409"/>
      <c r="P136" s="409"/>
      <c r="Q136" s="409"/>
      <c r="R136" s="409"/>
      <c r="S136" s="409"/>
    </row>
    <row r="137" spans="1:19" s="92" customFormat="1">
      <c r="A137" s="256"/>
      <c r="B137" s="391"/>
      <c r="C137" s="391"/>
      <c r="D137" s="401"/>
      <c r="E137" s="391"/>
      <c r="F137" s="417"/>
      <c r="G137" s="417"/>
      <c r="H137" s="417"/>
      <c r="I137" s="417"/>
      <c r="J137" s="418"/>
      <c r="K137" s="298"/>
      <c r="L137" s="447">
        <f t="shared" si="1"/>
        <v>0</v>
      </c>
      <c r="M137" s="447"/>
      <c r="N137" s="298"/>
      <c r="O137" s="298"/>
      <c r="P137" s="298"/>
      <c r="Q137" s="298"/>
      <c r="R137" s="298"/>
      <c r="S137" s="298"/>
    </row>
    <row r="138" spans="1:19" s="92" customFormat="1">
      <c r="A138" s="256"/>
      <c r="B138" s="287" t="s">
        <v>15698</v>
      </c>
      <c r="C138" s="287"/>
      <c r="D138" s="400" t="s">
        <v>15699</v>
      </c>
      <c r="E138" s="415"/>
      <c r="F138" s="415"/>
      <c r="G138" s="462"/>
      <c r="H138" s="415"/>
      <c r="I138" s="462"/>
      <c r="J138" s="416"/>
      <c r="K138" s="298"/>
      <c r="L138" s="447">
        <f t="shared" si="1"/>
        <v>0</v>
      </c>
      <c r="M138" s="447"/>
      <c r="N138" s="298"/>
      <c r="O138" s="298"/>
      <c r="P138" s="298"/>
      <c r="Q138" s="298"/>
      <c r="R138" s="298"/>
      <c r="S138" s="298"/>
    </row>
    <row r="139" spans="1:19" s="92" customFormat="1">
      <c r="A139" s="256"/>
      <c r="B139" s="287" t="s">
        <v>17776</v>
      </c>
      <c r="C139" s="287"/>
      <c r="D139" s="400" t="s">
        <v>17447</v>
      </c>
      <c r="E139" s="415"/>
      <c r="F139" s="415"/>
      <c r="G139" s="462"/>
      <c r="H139" s="415"/>
      <c r="I139" s="462"/>
      <c r="J139" s="416"/>
      <c r="K139" s="298"/>
      <c r="L139" s="447">
        <f t="shared" si="1"/>
        <v>0</v>
      </c>
      <c r="M139" s="447"/>
      <c r="N139" s="298"/>
      <c r="O139" s="298"/>
      <c r="P139" s="298"/>
      <c r="Q139" s="298"/>
      <c r="R139" s="298"/>
      <c r="S139" s="298"/>
    </row>
    <row r="140" spans="1:19" s="140" customFormat="1" ht="63.75">
      <c r="A140" s="394" t="s">
        <v>3260</v>
      </c>
      <c r="B140" s="285" t="s">
        <v>15700</v>
      </c>
      <c r="C140" s="285" t="s">
        <v>17762</v>
      </c>
      <c r="D140" s="289" t="s">
        <v>17766</v>
      </c>
      <c r="E140" s="290" t="s">
        <v>3240</v>
      </c>
      <c r="F140" s="755">
        <v>1</v>
      </c>
      <c r="G140" s="510">
        <v>33.43</v>
      </c>
      <c r="H140" s="508">
        <v>0.2094</v>
      </c>
      <c r="I140" s="510">
        <v>40.430242</v>
      </c>
      <c r="J140" s="509">
        <v>40.430242</v>
      </c>
      <c r="K140" s="409"/>
      <c r="L140" s="447">
        <f t="shared" si="1"/>
        <v>40.430242</v>
      </c>
      <c r="M140" s="447"/>
      <c r="N140" s="409"/>
      <c r="O140" s="409"/>
      <c r="P140" s="409"/>
      <c r="Q140" s="409"/>
      <c r="R140" s="409"/>
      <c r="S140" s="409"/>
    </row>
    <row r="141" spans="1:19" s="92" customFormat="1">
      <c r="A141" s="256"/>
      <c r="B141" s="391"/>
      <c r="C141" s="391"/>
      <c r="D141" s="401"/>
      <c r="E141" s="391"/>
      <c r="F141" s="417"/>
      <c r="G141" s="417"/>
      <c r="H141" s="417"/>
      <c r="I141" s="417"/>
      <c r="J141" s="418"/>
      <c r="K141" s="298"/>
      <c r="L141" s="447">
        <f t="shared" si="1"/>
        <v>0</v>
      </c>
      <c r="M141" s="447"/>
      <c r="N141" s="298"/>
      <c r="O141" s="298"/>
      <c r="P141" s="298"/>
      <c r="Q141" s="298"/>
      <c r="R141" s="298"/>
      <c r="S141" s="298"/>
    </row>
    <row r="142" spans="1:19" s="140" customFormat="1">
      <c r="A142" s="394"/>
      <c r="B142" s="395"/>
      <c r="C142" s="395"/>
      <c r="D142" s="404"/>
      <c r="E142" s="395"/>
      <c r="F142" s="395"/>
      <c r="G142" s="460" t="s">
        <v>69</v>
      </c>
      <c r="H142" s="419"/>
      <c r="I142" s="460"/>
      <c r="J142" s="421">
        <v>24208.907502499998</v>
      </c>
      <c r="K142" s="448"/>
      <c r="L142" s="447">
        <f t="shared" si="1"/>
        <v>0</v>
      </c>
      <c r="M142" s="447"/>
      <c r="N142" s="409"/>
      <c r="O142" s="409"/>
      <c r="P142" s="409"/>
      <c r="Q142" s="409"/>
      <c r="R142" s="409"/>
      <c r="S142" s="409"/>
    </row>
    <row r="143" spans="1:19" s="92" customFormat="1">
      <c r="A143" s="256"/>
      <c r="B143" s="391"/>
      <c r="C143" s="391"/>
      <c r="D143" s="401"/>
      <c r="E143" s="391"/>
      <c r="F143" s="417"/>
      <c r="G143" s="417"/>
      <c r="H143" s="417"/>
      <c r="I143" s="417"/>
      <c r="J143" s="418"/>
      <c r="K143" s="298"/>
      <c r="L143" s="447">
        <f t="shared" si="1"/>
        <v>0</v>
      </c>
      <c r="M143" s="447"/>
      <c r="N143" s="298"/>
      <c r="O143" s="298"/>
      <c r="P143" s="298"/>
      <c r="Q143" s="298"/>
      <c r="R143" s="298"/>
      <c r="S143" s="298"/>
    </row>
    <row r="144" spans="1:19" s="92" customFormat="1">
      <c r="A144" s="256"/>
      <c r="B144" s="287" t="s">
        <v>184</v>
      </c>
      <c r="C144" s="287"/>
      <c r="D144" s="400" t="s">
        <v>185</v>
      </c>
      <c r="E144" s="415"/>
      <c r="F144" s="415"/>
      <c r="G144" s="462"/>
      <c r="H144" s="415"/>
      <c r="I144" s="462"/>
      <c r="J144" s="416"/>
      <c r="K144" s="298"/>
      <c r="L144" s="447">
        <f t="shared" si="1"/>
        <v>0</v>
      </c>
      <c r="M144" s="447"/>
      <c r="N144" s="298"/>
      <c r="O144" s="298"/>
      <c r="P144" s="298"/>
      <c r="Q144" s="298"/>
      <c r="R144" s="298"/>
      <c r="S144" s="298"/>
    </row>
    <row r="145" spans="1:19" s="92" customFormat="1">
      <c r="A145" s="256"/>
      <c r="B145" s="287"/>
      <c r="C145" s="287"/>
      <c r="D145" s="400"/>
      <c r="E145" s="415"/>
      <c r="F145" s="415"/>
      <c r="G145" s="462"/>
      <c r="H145" s="415"/>
      <c r="I145" s="462"/>
      <c r="J145" s="416"/>
      <c r="K145" s="298"/>
      <c r="L145" s="447">
        <f t="shared" si="1"/>
        <v>0</v>
      </c>
      <c r="M145" s="447"/>
      <c r="N145" s="298"/>
      <c r="O145" s="298"/>
      <c r="P145" s="298"/>
      <c r="Q145" s="298"/>
      <c r="R145" s="298"/>
      <c r="S145" s="298"/>
    </row>
    <row r="146" spans="1:19" s="92" customFormat="1">
      <c r="A146" s="256"/>
      <c r="B146" s="390" t="s">
        <v>18013</v>
      </c>
      <c r="C146" s="390"/>
      <c r="D146" s="399" t="s">
        <v>18014</v>
      </c>
      <c r="E146" s="413"/>
      <c r="F146" s="413"/>
      <c r="G146" s="461"/>
      <c r="H146" s="413"/>
      <c r="I146" s="461"/>
      <c r="J146" s="414"/>
      <c r="K146" s="298"/>
      <c r="L146" s="447">
        <f t="shared" si="1"/>
        <v>0</v>
      </c>
      <c r="M146" s="447"/>
      <c r="N146" s="298"/>
      <c r="O146" s="298"/>
      <c r="P146" s="298"/>
      <c r="Q146" s="298"/>
      <c r="R146" s="298"/>
      <c r="S146" s="298"/>
    </row>
    <row r="147" spans="1:19" s="92" customFormat="1">
      <c r="A147" s="256"/>
      <c r="B147" s="287" t="s">
        <v>18015</v>
      </c>
      <c r="C147" s="287"/>
      <c r="D147" s="400" t="s">
        <v>18016</v>
      </c>
      <c r="E147" s="415"/>
      <c r="F147" s="415"/>
      <c r="G147" s="462"/>
      <c r="H147" s="415"/>
      <c r="I147" s="462"/>
      <c r="J147" s="416"/>
      <c r="K147" s="298"/>
      <c r="L147" s="447">
        <f t="shared" si="1"/>
        <v>0</v>
      </c>
      <c r="M147" s="447"/>
      <c r="N147" s="256"/>
      <c r="O147" s="256"/>
      <c r="P147" s="256"/>
      <c r="Q147" s="256"/>
      <c r="R147" s="256"/>
      <c r="S147" s="256"/>
    </row>
    <row r="148" spans="1:19" s="140" customFormat="1" ht="63.75">
      <c r="A148" s="394" t="s">
        <v>3259</v>
      </c>
      <c r="B148" s="285" t="s">
        <v>18017</v>
      </c>
      <c r="C148" s="285">
        <v>94719</v>
      </c>
      <c r="D148" s="289" t="s">
        <v>1819</v>
      </c>
      <c r="E148" s="290" t="s">
        <v>5</v>
      </c>
      <c r="F148" s="755">
        <v>25.31</v>
      </c>
      <c r="G148" s="510" t="s">
        <v>22969</v>
      </c>
      <c r="H148" s="508">
        <v>0.2094</v>
      </c>
      <c r="I148" s="510">
        <v>53.552232000000004</v>
      </c>
      <c r="J148" s="509">
        <v>1355.4069919200001</v>
      </c>
      <c r="K148" s="409"/>
      <c r="L148" s="447">
        <f t="shared" si="1"/>
        <v>1355.4069919200001</v>
      </c>
      <c r="M148" s="447"/>
      <c r="N148" s="409"/>
      <c r="O148" s="409"/>
      <c r="P148" s="409"/>
      <c r="Q148" s="409"/>
      <c r="R148" s="409"/>
      <c r="S148" s="409"/>
    </row>
    <row r="149" spans="1:19" s="140" customFormat="1" ht="38.25">
      <c r="A149" s="394" t="s">
        <v>3259</v>
      </c>
      <c r="B149" s="285" t="s">
        <v>18018</v>
      </c>
      <c r="C149" s="285">
        <v>89822</v>
      </c>
      <c r="D149" s="289" t="s">
        <v>2178</v>
      </c>
      <c r="E149" s="290" t="s">
        <v>109</v>
      </c>
      <c r="F149" s="755">
        <v>2</v>
      </c>
      <c r="G149" s="510" t="s">
        <v>22386</v>
      </c>
      <c r="H149" s="508">
        <v>0.2094</v>
      </c>
      <c r="I149" s="510">
        <v>23.051164</v>
      </c>
      <c r="J149" s="509">
        <v>46.102328</v>
      </c>
      <c r="K149" s="409"/>
      <c r="L149" s="447">
        <f t="shared" si="1"/>
        <v>46.102328</v>
      </c>
      <c r="M149" s="447"/>
      <c r="N149" s="409"/>
      <c r="O149" s="409"/>
      <c r="P149" s="409"/>
      <c r="Q149" s="409"/>
      <c r="R149" s="409"/>
      <c r="S149" s="409"/>
    </row>
    <row r="150" spans="1:19" s="140" customFormat="1" ht="38.25">
      <c r="A150" s="394" t="s">
        <v>3259</v>
      </c>
      <c r="B150" s="285" t="s">
        <v>18036</v>
      </c>
      <c r="C150" s="285">
        <v>89831</v>
      </c>
      <c r="D150" s="289" t="s">
        <v>2187</v>
      </c>
      <c r="E150" s="290" t="s">
        <v>109</v>
      </c>
      <c r="F150" s="755">
        <v>20</v>
      </c>
      <c r="G150" s="510" t="s">
        <v>12199</v>
      </c>
      <c r="H150" s="508">
        <v>0.2094</v>
      </c>
      <c r="I150" s="510">
        <v>199.58728200000002</v>
      </c>
      <c r="J150" s="509">
        <v>3991.7456400000001</v>
      </c>
      <c r="K150" s="409"/>
      <c r="L150" s="447">
        <f t="shared" si="1"/>
        <v>3991.7456400000001</v>
      </c>
      <c r="M150" s="447"/>
      <c r="N150" s="409"/>
      <c r="O150" s="409"/>
      <c r="P150" s="409"/>
      <c r="Q150" s="409"/>
      <c r="R150" s="409"/>
      <c r="S150" s="409"/>
    </row>
    <row r="151" spans="1:19" s="140" customFormat="1" ht="38.25">
      <c r="A151" s="394" t="s">
        <v>3259</v>
      </c>
      <c r="B151" s="285" t="s">
        <v>18037</v>
      </c>
      <c r="C151" s="285">
        <v>89844</v>
      </c>
      <c r="D151" s="289" t="s">
        <v>2199</v>
      </c>
      <c r="E151" s="290" t="s">
        <v>109</v>
      </c>
      <c r="F151" s="755">
        <v>2</v>
      </c>
      <c r="G151" s="510" t="s">
        <v>23126</v>
      </c>
      <c r="H151" s="508">
        <v>0.2094</v>
      </c>
      <c r="I151" s="510">
        <v>59.587138000000003</v>
      </c>
      <c r="J151" s="509">
        <v>119.17427600000001</v>
      </c>
      <c r="K151" s="409"/>
      <c r="L151" s="447">
        <f t="shared" si="1"/>
        <v>119.17427600000001</v>
      </c>
      <c r="M151" s="447"/>
      <c r="N151" s="409"/>
      <c r="O151" s="409"/>
      <c r="P151" s="409"/>
      <c r="Q151" s="409"/>
      <c r="R151" s="409"/>
      <c r="S151" s="409"/>
    </row>
    <row r="152" spans="1:19" s="140" customFormat="1" ht="89.25">
      <c r="A152" s="394" t="s">
        <v>3259</v>
      </c>
      <c r="B152" s="285" t="s">
        <v>18038</v>
      </c>
      <c r="C152" s="285">
        <v>94794</v>
      </c>
      <c r="D152" s="289" t="s">
        <v>2382</v>
      </c>
      <c r="E152" s="290" t="s">
        <v>109</v>
      </c>
      <c r="F152" s="755">
        <v>10</v>
      </c>
      <c r="G152" s="510" t="s">
        <v>23587</v>
      </c>
      <c r="H152" s="508">
        <v>0.2094</v>
      </c>
      <c r="I152" s="510">
        <v>212.28598200000002</v>
      </c>
      <c r="J152" s="509">
        <v>2122.8598200000001</v>
      </c>
      <c r="K152" s="409"/>
      <c r="L152" s="447">
        <f t="shared" si="1"/>
        <v>2122.8598200000001</v>
      </c>
      <c r="M152" s="447"/>
      <c r="N152" s="409"/>
      <c r="O152" s="409"/>
      <c r="P152" s="409"/>
      <c r="Q152" s="409"/>
      <c r="R152" s="409"/>
      <c r="S152" s="409"/>
    </row>
    <row r="153" spans="1:19" s="140" customFormat="1" ht="63.75">
      <c r="A153" s="394" t="s">
        <v>3259</v>
      </c>
      <c r="B153" s="285" t="s">
        <v>18039</v>
      </c>
      <c r="C153" s="285">
        <v>94746</v>
      </c>
      <c r="D153" s="289" t="s">
        <v>2316</v>
      </c>
      <c r="E153" s="290" t="s">
        <v>109</v>
      </c>
      <c r="F153" s="755">
        <v>13</v>
      </c>
      <c r="G153" s="510" t="s">
        <v>12420</v>
      </c>
      <c r="H153" s="508">
        <v>0.2094</v>
      </c>
      <c r="I153" s="510">
        <v>37.285801999999997</v>
      </c>
      <c r="J153" s="509">
        <v>484.71542599999998</v>
      </c>
      <c r="K153" s="409"/>
      <c r="L153" s="447">
        <f t="shared" si="1"/>
        <v>484.71542599999998</v>
      </c>
      <c r="M153" s="447"/>
      <c r="N153" s="409"/>
      <c r="O153" s="409"/>
      <c r="P153" s="409"/>
      <c r="Q153" s="409"/>
      <c r="R153" s="409"/>
      <c r="S153" s="409"/>
    </row>
    <row r="154" spans="1:19" s="140" customFormat="1" ht="38.25">
      <c r="A154" s="394" t="s">
        <v>3259</v>
      </c>
      <c r="B154" s="285" t="s">
        <v>18040</v>
      </c>
      <c r="C154" s="285">
        <v>99631</v>
      </c>
      <c r="D154" s="289" t="s">
        <v>4344</v>
      </c>
      <c r="E154" s="290" t="s">
        <v>109</v>
      </c>
      <c r="F154" s="755">
        <v>2</v>
      </c>
      <c r="G154" s="510" t="s">
        <v>22851</v>
      </c>
      <c r="H154" s="508">
        <v>0.2094</v>
      </c>
      <c r="I154" s="510">
        <v>159.50776599999998</v>
      </c>
      <c r="J154" s="509">
        <v>319.01553199999995</v>
      </c>
      <c r="K154" s="409"/>
      <c r="L154" s="447">
        <f t="shared" si="1"/>
        <v>319.01553199999995</v>
      </c>
      <c r="M154" s="447"/>
      <c r="N154" s="409"/>
      <c r="O154" s="409"/>
      <c r="P154" s="409"/>
      <c r="Q154" s="409"/>
      <c r="R154" s="409"/>
      <c r="S154" s="409"/>
    </row>
    <row r="155" spans="1:19" s="140" customFormat="1" ht="15" customHeight="1">
      <c r="A155" s="256"/>
      <c r="B155" s="591"/>
      <c r="C155" s="592"/>
      <c r="D155" s="592"/>
      <c r="E155" s="592"/>
      <c r="F155" s="592"/>
      <c r="G155" s="592"/>
      <c r="H155" s="592"/>
      <c r="I155" s="592"/>
      <c r="J155" s="593"/>
      <c r="K155" s="409"/>
      <c r="L155" s="447">
        <f t="shared" si="1"/>
        <v>0</v>
      </c>
      <c r="M155" s="409"/>
      <c r="N155" s="409"/>
      <c r="O155" s="409"/>
      <c r="P155" s="409"/>
      <c r="Q155" s="409"/>
      <c r="R155" s="409"/>
      <c r="S155" s="409"/>
    </row>
    <row r="156" spans="1:19" s="92" customFormat="1">
      <c r="A156" s="256"/>
      <c r="B156" s="287" t="s">
        <v>18074</v>
      </c>
      <c r="C156" s="287"/>
      <c r="D156" s="400" t="s">
        <v>15055</v>
      </c>
      <c r="E156" s="415"/>
      <c r="F156" s="415"/>
      <c r="G156" s="462"/>
      <c r="H156" s="415"/>
      <c r="I156" s="462"/>
      <c r="J156" s="416"/>
      <c r="K156" s="298"/>
      <c r="L156" s="447">
        <f t="shared" ref="L156:L216" si="5">I156*F156</f>
        <v>0</v>
      </c>
      <c r="M156" s="447"/>
      <c r="N156" s="298"/>
      <c r="O156" s="298"/>
      <c r="P156" s="298"/>
      <c r="Q156" s="298"/>
      <c r="R156" s="298"/>
      <c r="S156" s="298"/>
    </row>
    <row r="157" spans="1:19" s="140" customFormat="1" ht="38.25">
      <c r="A157" s="394" t="s">
        <v>3260</v>
      </c>
      <c r="B157" s="285" t="s">
        <v>18075</v>
      </c>
      <c r="C157" s="285" t="s">
        <v>17883</v>
      </c>
      <c r="D157" s="289" t="s">
        <v>17884</v>
      </c>
      <c r="E157" s="290" t="s">
        <v>109</v>
      </c>
      <c r="F157" s="755">
        <v>2</v>
      </c>
      <c r="G157" s="510">
        <v>1244.6999999999998</v>
      </c>
      <c r="H157" s="508">
        <v>0.2094</v>
      </c>
      <c r="I157" s="510">
        <v>1505.3401799999999</v>
      </c>
      <c r="J157" s="509">
        <v>3010.6803599999998</v>
      </c>
      <c r="K157" s="409"/>
      <c r="L157" s="447">
        <f t="shared" si="5"/>
        <v>3010.6803599999998</v>
      </c>
      <c r="M157" s="447"/>
      <c r="N157" s="409"/>
      <c r="O157" s="409"/>
      <c r="P157" s="409"/>
      <c r="Q157" s="409"/>
      <c r="R157" s="409"/>
      <c r="S157" s="409"/>
    </row>
    <row r="158" spans="1:19" s="140" customFormat="1" ht="15" customHeight="1">
      <c r="A158" s="256"/>
      <c r="B158" s="591"/>
      <c r="C158" s="592"/>
      <c r="D158" s="592"/>
      <c r="E158" s="592"/>
      <c r="F158" s="592"/>
      <c r="G158" s="592"/>
      <c r="H158" s="592"/>
      <c r="I158" s="592"/>
      <c r="J158" s="592"/>
      <c r="K158" s="409"/>
      <c r="L158" s="447">
        <f t="shared" si="5"/>
        <v>0</v>
      </c>
      <c r="M158" s="409"/>
      <c r="N158" s="409"/>
      <c r="O158" s="409"/>
      <c r="P158" s="409"/>
      <c r="Q158" s="409"/>
      <c r="R158" s="409"/>
      <c r="S158" s="409"/>
    </row>
    <row r="159" spans="1:19" s="92" customFormat="1">
      <c r="A159" s="256"/>
      <c r="B159" s="287" t="s">
        <v>18080</v>
      </c>
      <c r="C159" s="287"/>
      <c r="D159" s="400" t="s">
        <v>111</v>
      </c>
      <c r="E159" s="415"/>
      <c r="F159" s="415"/>
      <c r="G159" s="462"/>
      <c r="H159" s="415"/>
      <c r="I159" s="462"/>
      <c r="J159" s="416"/>
      <c r="K159" s="298"/>
      <c r="L159" s="447">
        <f t="shared" si="5"/>
        <v>0</v>
      </c>
      <c r="M159" s="447"/>
      <c r="N159" s="298"/>
      <c r="O159" s="298"/>
      <c r="P159" s="298"/>
      <c r="Q159" s="298"/>
      <c r="R159" s="298"/>
      <c r="S159" s="298"/>
    </row>
    <row r="160" spans="1:19" s="92" customFormat="1" ht="38.25">
      <c r="A160" s="394" t="s">
        <v>3260</v>
      </c>
      <c r="B160" s="285" t="s">
        <v>18081</v>
      </c>
      <c r="C160" s="285" t="s">
        <v>17897</v>
      </c>
      <c r="D160" s="289" t="s">
        <v>17898</v>
      </c>
      <c r="E160" s="290" t="s">
        <v>109</v>
      </c>
      <c r="F160" s="755">
        <v>1</v>
      </c>
      <c r="G160" s="510">
        <v>4511.5</v>
      </c>
      <c r="H160" s="508">
        <v>0.2094</v>
      </c>
      <c r="I160" s="510">
        <v>5456.2080999999998</v>
      </c>
      <c r="J160" s="509">
        <v>5456.2080999999998</v>
      </c>
      <c r="K160" s="409"/>
      <c r="L160" s="447">
        <f t="shared" si="5"/>
        <v>5456.2080999999998</v>
      </c>
      <c r="M160" s="447"/>
      <c r="N160" s="298"/>
      <c r="O160" s="298"/>
      <c r="P160" s="298"/>
      <c r="Q160" s="298"/>
      <c r="R160" s="298"/>
      <c r="S160" s="298"/>
    </row>
    <row r="161" spans="1:19" s="92" customFormat="1" ht="63.75">
      <c r="A161" s="394" t="s">
        <v>3259</v>
      </c>
      <c r="B161" s="285" t="s">
        <v>18082</v>
      </c>
      <c r="C161" s="285">
        <v>91173</v>
      </c>
      <c r="D161" s="289" t="s">
        <v>2428</v>
      </c>
      <c r="E161" s="290" t="s">
        <v>5</v>
      </c>
      <c r="F161" s="755">
        <v>25.31</v>
      </c>
      <c r="G161" s="510" t="s">
        <v>10430</v>
      </c>
      <c r="H161" s="508">
        <v>0.2094</v>
      </c>
      <c r="I161" s="510">
        <v>1.584314</v>
      </c>
      <c r="J161" s="509">
        <v>40.098987340000001</v>
      </c>
      <c r="K161" s="409"/>
      <c r="L161" s="447">
        <f t="shared" si="5"/>
        <v>40.098987340000001</v>
      </c>
      <c r="M161" s="447"/>
      <c r="N161" s="298"/>
      <c r="O161" s="298"/>
      <c r="P161" s="298"/>
      <c r="Q161" s="298"/>
      <c r="R161" s="298"/>
      <c r="S161" s="298"/>
    </row>
    <row r="162" spans="1:19" s="140" customFormat="1" ht="15" customHeight="1">
      <c r="A162" s="256"/>
      <c r="B162" s="591"/>
      <c r="C162" s="592"/>
      <c r="D162" s="592"/>
      <c r="E162" s="592"/>
      <c r="F162" s="592"/>
      <c r="G162" s="592"/>
      <c r="H162" s="592"/>
      <c r="I162" s="592"/>
      <c r="J162" s="592"/>
      <c r="K162" s="409"/>
      <c r="L162" s="447">
        <f t="shared" ref="L162" si="6">I162*F162</f>
        <v>0</v>
      </c>
      <c r="M162" s="409"/>
      <c r="N162" s="409"/>
      <c r="O162" s="409"/>
      <c r="P162" s="409"/>
      <c r="Q162" s="409"/>
      <c r="R162" s="409"/>
      <c r="S162" s="409"/>
    </row>
    <row r="163" spans="1:19" s="92" customFormat="1">
      <c r="A163" s="256"/>
      <c r="B163" s="287" t="s">
        <v>14702</v>
      </c>
      <c r="C163" s="287"/>
      <c r="D163" s="400" t="s">
        <v>14703</v>
      </c>
      <c r="E163" s="391"/>
      <c r="F163" s="417"/>
      <c r="G163" s="417"/>
      <c r="H163" s="417"/>
      <c r="I163" s="417"/>
      <c r="J163" s="418"/>
      <c r="K163" s="298"/>
      <c r="L163" s="447">
        <f t="shared" si="5"/>
        <v>0</v>
      </c>
      <c r="M163" s="447"/>
      <c r="N163" s="298"/>
      <c r="O163" s="298"/>
      <c r="P163" s="298"/>
      <c r="Q163" s="298"/>
      <c r="R163" s="298"/>
      <c r="S163" s="298"/>
    </row>
    <row r="164" spans="1:19" s="92" customFormat="1">
      <c r="A164" s="256"/>
      <c r="B164" s="287" t="s">
        <v>14710</v>
      </c>
      <c r="C164" s="287"/>
      <c r="D164" s="400" t="s">
        <v>11573</v>
      </c>
      <c r="E164" s="391"/>
      <c r="F164" s="417"/>
      <c r="G164" s="417"/>
      <c r="H164" s="417"/>
      <c r="I164" s="417"/>
      <c r="J164" s="418"/>
      <c r="K164" s="298"/>
      <c r="L164" s="447">
        <f t="shared" si="5"/>
        <v>0</v>
      </c>
      <c r="M164" s="447"/>
      <c r="N164" s="298"/>
      <c r="O164" s="298"/>
      <c r="P164" s="298"/>
      <c r="Q164" s="298"/>
      <c r="R164" s="298"/>
      <c r="S164" s="298"/>
    </row>
    <row r="165" spans="1:19" s="92" customFormat="1" ht="51">
      <c r="A165" s="394" t="s">
        <v>3259</v>
      </c>
      <c r="B165" s="285" t="s">
        <v>14712</v>
      </c>
      <c r="C165" s="285">
        <v>89708</v>
      </c>
      <c r="D165" s="289" t="s">
        <v>2347</v>
      </c>
      <c r="E165" s="290" t="s">
        <v>109</v>
      </c>
      <c r="F165" s="755">
        <v>1</v>
      </c>
      <c r="G165" s="510" t="s">
        <v>19974</v>
      </c>
      <c r="H165" s="508">
        <v>0.2094</v>
      </c>
      <c r="I165" s="510">
        <v>102.77481200000001</v>
      </c>
      <c r="J165" s="509">
        <v>102.77481200000001</v>
      </c>
      <c r="K165" s="409"/>
      <c r="L165" s="447">
        <f t="shared" si="5"/>
        <v>102.77481200000001</v>
      </c>
      <c r="M165" s="447"/>
      <c r="N165" s="298"/>
      <c r="O165" s="298"/>
      <c r="P165" s="298"/>
      <c r="Q165" s="298"/>
      <c r="R165" s="298"/>
      <c r="S165" s="298"/>
    </row>
    <row r="166" spans="1:19" s="92" customFormat="1" ht="25.5">
      <c r="A166" s="394" t="s">
        <v>12</v>
      </c>
      <c r="B166" s="285" t="s">
        <v>14713</v>
      </c>
      <c r="C166" s="285" t="s">
        <v>17383</v>
      </c>
      <c r="D166" s="289" t="s">
        <v>17387</v>
      </c>
      <c r="E166" s="290" t="s">
        <v>109</v>
      </c>
      <c r="F166" s="755">
        <v>1</v>
      </c>
      <c r="G166" s="510">
        <v>17.71</v>
      </c>
      <c r="H166" s="508">
        <v>0.2094</v>
      </c>
      <c r="I166" s="510">
        <v>21.418474000000003</v>
      </c>
      <c r="J166" s="509">
        <v>21.418474000000003</v>
      </c>
      <c r="K166" s="409"/>
      <c r="L166" s="447">
        <f t="shared" si="5"/>
        <v>21.418474000000003</v>
      </c>
      <c r="M166" s="447"/>
      <c r="N166" s="298"/>
      <c r="O166" s="298"/>
      <c r="P166" s="298"/>
      <c r="Q166" s="298"/>
      <c r="R166" s="298"/>
      <c r="S166" s="298"/>
    </row>
    <row r="167" spans="1:19" s="92" customFormat="1">
      <c r="A167" s="256"/>
      <c r="B167" s="391"/>
      <c r="C167" s="395"/>
      <c r="D167" s="401"/>
      <c r="E167" s="391"/>
      <c r="F167" s="417"/>
      <c r="G167" s="417"/>
      <c r="H167" s="417"/>
      <c r="I167" s="417"/>
      <c r="J167" s="418"/>
      <c r="K167" s="298"/>
      <c r="L167" s="447">
        <f t="shared" si="5"/>
        <v>0</v>
      </c>
      <c r="M167" s="447"/>
      <c r="N167" s="298"/>
      <c r="O167" s="298"/>
      <c r="P167" s="298"/>
      <c r="Q167" s="298"/>
      <c r="R167" s="298"/>
      <c r="S167" s="298"/>
    </row>
    <row r="168" spans="1:19" s="140" customFormat="1">
      <c r="A168" s="394"/>
      <c r="B168" s="395"/>
      <c r="C168" s="395"/>
      <c r="D168" s="404"/>
      <c r="E168" s="395"/>
      <c r="F168" s="395"/>
      <c r="G168" s="460" t="s">
        <v>69</v>
      </c>
      <c r="H168" s="419"/>
      <c r="I168" s="460"/>
      <c r="J168" s="421">
        <v>17070.200747259998</v>
      </c>
      <c r="K168" s="448"/>
      <c r="L168" s="447">
        <f t="shared" si="5"/>
        <v>0</v>
      </c>
      <c r="M168" s="447"/>
      <c r="N168" s="409"/>
      <c r="O168" s="409"/>
      <c r="P168" s="409"/>
      <c r="Q168" s="409"/>
      <c r="R168" s="409"/>
      <c r="S168" s="409"/>
    </row>
    <row r="169" spans="1:19" s="92" customFormat="1">
      <c r="A169" s="256"/>
      <c r="B169" s="391"/>
      <c r="C169" s="391"/>
      <c r="D169" s="401"/>
      <c r="E169" s="391"/>
      <c r="F169" s="417"/>
      <c r="G169" s="417"/>
      <c r="H169" s="417"/>
      <c r="I169" s="417"/>
      <c r="J169" s="418"/>
      <c r="K169" s="298"/>
      <c r="L169" s="447">
        <f t="shared" si="5"/>
        <v>0</v>
      </c>
      <c r="M169" s="447"/>
      <c r="N169" s="298"/>
      <c r="O169" s="298"/>
      <c r="P169" s="298"/>
      <c r="Q169" s="298"/>
      <c r="R169" s="298"/>
      <c r="S169" s="298"/>
    </row>
    <row r="170" spans="1:19" s="140" customFormat="1">
      <c r="A170" s="394"/>
      <c r="B170" s="396" t="s">
        <v>113</v>
      </c>
      <c r="C170" s="396"/>
      <c r="D170" s="405" t="s">
        <v>114</v>
      </c>
      <c r="E170" s="422"/>
      <c r="F170" s="422"/>
      <c r="G170" s="429"/>
      <c r="H170" s="422"/>
      <c r="I170" s="429"/>
      <c r="J170" s="423"/>
      <c r="K170" s="409"/>
      <c r="L170" s="447">
        <f t="shared" si="5"/>
        <v>0</v>
      </c>
      <c r="M170" s="447"/>
      <c r="N170" s="409"/>
      <c r="O170" s="409"/>
      <c r="P170" s="409"/>
      <c r="Q170" s="409"/>
      <c r="R170" s="409"/>
      <c r="S170" s="409"/>
    </row>
    <row r="171" spans="1:19" s="140" customFormat="1">
      <c r="A171" s="394"/>
      <c r="B171" s="396" t="s">
        <v>115</v>
      </c>
      <c r="C171" s="396"/>
      <c r="D171" s="406" t="s">
        <v>116</v>
      </c>
      <c r="E171" s="424"/>
      <c r="F171" s="424"/>
      <c r="G171" s="463"/>
      <c r="H171" s="424"/>
      <c r="I171" s="463"/>
      <c r="J171" s="425"/>
      <c r="K171" s="409"/>
      <c r="L171" s="447">
        <f t="shared" si="5"/>
        <v>0</v>
      </c>
      <c r="M171" s="447"/>
      <c r="N171" s="409"/>
      <c r="O171" s="409"/>
      <c r="P171" s="409"/>
      <c r="Q171" s="409"/>
      <c r="R171" s="409"/>
      <c r="S171" s="409"/>
    </row>
    <row r="172" spans="1:19" s="140" customFormat="1">
      <c r="A172" s="394"/>
      <c r="B172" s="396" t="s">
        <v>117</v>
      </c>
      <c r="C172" s="396"/>
      <c r="D172" s="405" t="s">
        <v>118</v>
      </c>
      <c r="E172" s="422"/>
      <c r="F172" s="422"/>
      <c r="G172" s="429"/>
      <c r="H172" s="422"/>
      <c r="I172" s="429"/>
      <c r="J172" s="423"/>
      <c r="K172" s="409"/>
      <c r="L172" s="447">
        <f t="shared" si="5"/>
        <v>0</v>
      </c>
      <c r="M172" s="447"/>
      <c r="N172" s="409"/>
      <c r="O172" s="409"/>
      <c r="P172" s="409"/>
      <c r="Q172" s="409"/>
      <c r="R172" s="409"/>
      <c r="S172" s="409"/>
    </row>
    <row r="173" spans="1:19" s="140" customFormat="1">
      <c r="A173" s="394"/>
      <c r="B173" s="396" t="s">
        <v>3264</v>
      </c>
      <c r="C173" s="396"/>
      <c r="D173" s="405" t="s">
        <v>3272</v>
      </c>
      <c r="E173" s="422"/>
      <c r="F173" s="422"/>
      <c r="G173" s="429"/>
      <c r="H173" s="422"/>
      <c r="I173" s="429"/>
      <c r="J173" s="423"/>
      <c r="K173" s="409"/>
      <c r="L173" s="447">
        <f t="shared" si="5"/>
        <v>0</v>
      </c>
      <c r="M173" s="447"/>
      <c r="N173" s="409"/>
      <c r="O173" s="409"/>
      <c r="P173" s="409"/>
      <c r="Q173" s="409"/>
      <c r="R173" s="409"/>
      <c r="S173" s="409"/>
    </row>
    <row r="174" spans="1:19" s="140" customFormat="1" ht="51">
      <c r="A174" s="394" t="s">
        <v>3259</v>
      </c>
      <c r="B174" s="285" t="s">
        <v>3265</v>
      </c>
      <c r="C174" s="285">
        <v>91854</v>
      </c>
      <c r="D174" s="289" t="s">
        <v>1520</v>
      </c>
      <c r="E174" s="290" t="s">
        <v>5</v>
      </c>
      <c r="F174" s="755">
        <v>9</v>
      </c>
      <c r="G174" s="510" t="s">
        <v>14073</v>
      </c>
      <c r="H174" s="508">
        <v>0.2094</v>
      </c>
      <c r="I174" s="510">
        <v>10.110583999999999</v>
      </c>
      <c r="J174" s="509">
        <v>90.995255999999998</v>
      </c>
      <c r="K174" s="409"/>
      <c r="L174" s="447">
        <f t="shared" si="5"/>
        <v>90.995255999999998</v>
      </c>
      <c r="M174" s="447"/>
      <c r="N174" s="409"/>
      <c r="O174" s="409"/>
      <c r="P174" s="409"/>
      <c r="Q174" s="409"/>
      <c r="R174" s="409"/>
      <c r="S174" s="409"/>
    </row>
    <row r="175" spans="1:19" s="140" customFormat="1" ht="51">
      <c r="A175" s="394" t="s">
        <v>3259</v>
      </c>
      <c r="B175" s="285" t="s">
        <v>3266</v>
      </c>
      <c r="C175" s="285">
        <v>91844</v>
      </c>
      <c r="D175" s="289" t="s">
        <v>1517</v>
      </c>
      <c r="E175" s="290" t="s">
        <v>5</v>
      </c>
      <c r="F175" s="755">
        <v>4</v>
      </c>
      <c r="G175" s="510" t="s">
        <v>9800</v>
      </c>
      <c r="H175" s="508">
        <v>0.2094</v>
      </c>
      <c r="I175" s="510">
        <v>7.4136220000000002</v>
      </c>
      <c r="J175" s="509">
        <v>29.654488000000001</v>
      </c>
      <c r="K175" s="409"/>
      <c r="L175" s="447">
        <f t="shared" si="5"/>
        <v>29.654488000000001</v>
      </c>
      <c r="M175" s="447"/>
      <c r="N175" s="409"/>
      <c r="O175" s="409"/>
      <c r="P175" s="409"/>
      <c r="Q175" s="409"/>
      <c r="R175" s="409"/>
      <c r="S175" s="409"/>
    </row>
    <row r="176" spans="1:19" s="140" customFormat="1" ht="25.5">
      <c r="A176" s="394" t="s">
        <v>3260</v>
      </c>
      <c r="B176" s="285" t="s">
        <v>3267</v>
      </c>
      <c r="C176" s="285" t="s">
        <v>14549</v>
      </c>
      <c r="D176" s="289" t="s">
        <v>18461</v>
      </c>
      <c r="E176" s="290" t="s">
        <v>5</v>
      </c>
      <c r="F176" s="755">
        <v>41.5</v>
      </c>
      <c r="G176" s="510">
        <v>9.42</v>
      </c>
      <c r="H176" s="508">
        <v>0.2094</v>
      </c>
      <c r="I176" s="510">
        <v>11.392548</v>
      </c>
      <c r="J176" s="509">
        <v>472.79074199999997</v>
      </c>
      <c r="K176" s="409"/>
      <c r="L176" s="447">
        <f t="shared" si="5"/>
        <v>472.79074199999997</v>
      </c>
      <c r="M176" s="447"/>
      <c r="N176" s="409"/>
      <c r="O176" s="409"/>
      <c r="P176" s="409"/>
      <c r="Q176" s="409"/>
      <c r="R176" s="409"/>
      <c r="S176" s="409"/>
    </row>
    <row r="177" spans="1:19" s="140" customFormat="1">
      <c r="A177" s="394"/>
      <c r="B177" s="285"/>
      <c r="C177" s="285"/>
      <c r="D177" s="407"/>
      <c r="E177" s="230"/>
      <c r="F177" s="426"/>
      <c r="G177" s="464"/>
      <c r="H177" s="427"/>
      <c r="I177" s="464"/>
      <c r="J177" s="428"/>
      <c r="K177" s="409"/>
      <c r="L177" s="447">
        <f t="shared" si="5"/>
        <v>0</v>
      </c>
      <c r="M177" s="447"/>
      <c r="N177" s="409"/>
      <c r="O177" s="409"/>
      <c r="P177" s="409"/>
      <c r="Q177" s="409"/>
      <c r="R177" s="409"/>
      <c r="S177" s="409"/>
    </row>
    <row r="178" spans="1:19" s="140" customFormat="1">
      <c r="A178" s="394"/>
      <c r="B178" s="396" t="s">
        <v>3273</v>
      </c>
      <c r="C178" s="396"/>
      <c r="D178" s="405" t="s">
        <v>3275</v>
      </c>
      <c r="E178" s="422"/>
      <c r="F178" s="429"/>
      <c r="G178" s="429"/>
      <c r="H178" s="422"/>
      <c r="I178" s="429"/>
      <c r="J178" s="423"/>
      <c r="K178" s="409"/>
      <c r="L178" s="447">
        <f t="shared" si="5"/>
        <v>0</v>
      </c>
      <c r="M178" s="447"/>
      <c r="N178" s="256"/>
      <c r="O178" s="256"/>
      <c r="P178" s="256"/>
      <c r="Q178" s="256"/>
      <c r="R178" s="256"/>
      <c r="S178" s="256"/>
    </row>
    <row r="179" spans="1:19" s="140" customFormat="1" ht="51">
      <c r="A179" s="394" t="s">
        <v>3259</v>
      </c>
      <c r="B179" s="285" t="s">
        <v>3274</v>
      </c>
      <c r="C179" s="285">
        <v>91926</v>
      </c>
      <c r="D179" s="289" t="s">
        <v>124</v>
      </c>
      <c r="E179" s="290" t="s">
        <v>5</v>
      </c>
      <c r="F179" s="755">
        <v>181.5</v>
      </c>
      <c r="G179" s="510" t="s">
        <v>9940</v>
      </c>
      <c r="H179" s="508">
        <v>0.2094</v>
      </c>
      <c r="I179" s="510">
        <v>4.9222580000000002</v>
      </c>
      <c r="J179" s="509">
        <v>893.38982700000008</v>
      </c>
      <c r="K179" s="409"/>
      <c r="L179" s="447">
        <f t="shared" si="5"/>
        <v>893.38982700000008</v>
      </c>
      <c r="M179" s="447"/>
      <c r="N179" s="256"/>
      <c r="O179" s="256"/>
      <c r="P179" s="256"/>
      <c r="Q179" s="256"/>
      <c r="R179" s="256"/>
      <c r="S179" s="256"/>
    </row>
    <row r="180" spans="1:19" s="140" customFormat="1">
      <c r="A180" s="394"/>
      <c r="B180" s="285"/>
      <c r="C180" s="285"/>
      <c r="D180" s="407"/>
      <c r="E180" s="230"/>
      <c r="F180" s="426"/>
      <c r="G180" s="464"/>
      <c r="H180" s="427"/>
      <c r="I180" s="464"/>
      <c r="J180" s="428"/>
      <c r="K180" s="409"/>
      <c r="L180" s="447">
        <f t="shared" si="5"/>
        <v>0</v>
      </c>
      <c r="M180" s="447"/>
      <c r="N180" s="409"/>
      <c r="O180" s="409"/>
      <c r="P180" s="409"/>
      <c r="Q180" s="409"/>
      <c r="R180" s="409"/>
      <c r="S180" s="409"/>
    </row>
    <row r="181" spans="1:19" s="140" customFormat="1">
      <c r="A181" s="394"/>
      <c r="B181" s="396" t="s">
        <v>3276</v>
      </c>
      <c r="C181" s="396"/>
      <c r="D181" s="405" t="s">
        <v>119</v>
      </c>
      <c r="E181" s="422"/>
      <c r="F181" s="422"/>
      <c r="G181" s="429"/>
      <c r="H181" s="422"/>
      <c r="I181" s="429"/>
      <c r="J181" s="423"/>
      <c r="K181" s="409"/>
      <c r="L181" s="447">
        <f t="shared" si="5"/>
        <v>0</v>
      </c>
      <c r="M181" s="447"/>
      <c r="N181" s="409"/>
      <c r="O181" s="409"/>
      <c r="P181" s="409"/>
      <c r="Q181" s="409"/>
      <c r="R181" s="409"/>
      <c r="S181" s="409"/>
    </row>
    <row r="182" spans="1:19" s="140" customFormat="1">
      <c r="A182" s="394"/>
      <c r="B182" s="396" t="s">
        <v>3277</v>
      </c>
      <c r="C182" s="396"/>
      <c r="D182" s="405" t="s">
        <v>3278</v>
      </c>
      <c r="E182" s="422"/>
      <c r="F182" s="422"/>
      <c r="G182" s="429"/>
      <c r="H182" s="422"/>
      <c r="I182" s="429"/>
      <c r="J182" s="423"/>
      <c r="K182" s="409"/>
      <c r="L182" s="447">
        <f t="shared" si="5"/>
        <v>0</v>
      </c>
      <c r="M182" s="447"/>
      <c r="N182" s="409"/>
      <c r="O182" s="409"/>
      <c r="P182" s="409"/>
      <c r="Q182" s="409"/>
      <c r="R182" s="409"/>
      <c r="S182" s="409"/>
    </row>
    <row r="183" spans="1:19" s="140" customFormat="1" ht="63.75">
      <c r="A183" s="394" t="s">
        <v>3260</v>
      </c>
      <c r="B183" s="285" t="s">
        <v>3280</v>
      </c>
      <c r="C183" s="285" t="s">
        <v>18397</v>
      </c>
      <c r="D183" s="289" t="s">
        <v>18398</v>
      </c>
      <c r="E183" s="290" t="s">
        <v>109</v>
      </c>
      <c r="F183" s="755">
        <v>1</v>
      </c>
      <c r="G183" s="510">
        <v>337.74</v>
      </c>
      <c r="H183" s="508">
        <v>0.2094</v>
      </c>
      <c r="I183" s="510">
        <v>408.46275600000001</v>
      </c>
      <c r="J183" s="509">
        <v>408.46275600000001</v>
      </c>
      <c r="K183" s="409"/>
      <c r="L183" s="447">
        <f t="shared" si="5"/>
        <v>408.46275600000001</v>
      </c>
      <c r="M183" s="447"/>
      <c r="N183" s="409"/>
      <c r="O183" s="409"/>
      <c r="P183" s="409"/>
      <c r="Q183" s="409"/>
      <c r="R183" s="409"/>
      <c r="S183" s="409"/>
    </row>
    <row r="184" spans="1:19" s="140" customFormat="1" ht="38.25">
      <c r="A184" s="394" t="s">
        <v>3259</v>
      </c>
      <c r="B184" s="285" t="s">
        <v>14437</v>
      </c>
      <c r="C184" s="285">
        <v>97599</v>
      </c>
      <c r="D184" s="289" t="s">
        <v>10386</v>
      </c>
      <c r="E184" s="290" t="s">
        <v>109</v>
      </c>
      <c r="F184" s="758">
        <v>1</v>
      </c>
      <c r="G184" s="510" t="s">
        <v>12430</v>
      </c>
      <c r="H184" s="508">
        <v>0.2094</v>
      </c>
      <c r="I184" s="510">
        <v>35.774051999999998</v>
      </c>
      <c r="J184" s="509">
        <v>35.774051999999998</v>
      </c>
      <c r="K184" s="409"/>
      <c r="L184" s="447">
        <f t="shared" si="5"/>
        <v>35.774051999999998</v>
      </c>
      <c r="M184" s="447"/>
      <c r="N184" s="409"/>
      <c r="O184" s="409"/>
      <c r="P184" s="409"/>
      <c r="Q184" s="409"/>
      <c r="R184" s="409"/>
      <c r="S184" s="409"/>
    </row>
    <row r="185" spans="1:19" s="140" customFormat="1">
      <c r="A185" s="394"/>
      <c r="B185" s="285"/>
      <c r="C185" s="285"/>
      <c r="D185" s="407"/>
      <c r="E185" s="230"/>
      <c r="F185" s="426"/>
      <c r="G185" s="464"/>
      <c r="H185" s="427"/>
      <c r="I185" s="464"/>
      <c r="J185" s="428"/>
      <c r="K185" s="409"/>
      <c r="L185" s="447">
        <f t="shared" si="5"/>
        <v>0</v>
      </c>
      <c r="M185" s="447"/>
      <c r="N185" s="409"/>
      <c r="O185" s="409"/>
      <c r="P185" s="409"/>
      <c r="Q185" s="409"/>
      <c r="R185" s="409"/>
      <c r="S185" s="409"/>
    </row>
    <row r="186" spans="1:19" s="140" customFormat="1">
      <c r="A186" s="394"/>
      <c r="B186" s="396" t="s">
        <v>3279</v>
      </c>
      <c r="C186" s="396"/>
      <c r="D186" s="405" t="s">
        <v>14441</v>
      </c>
      <c r="E186" s="422"/>
      <c r="F186" s="422"/>
      <c r="G186" s="429"/>
      <c r="H186" s="422"/>
      <c r="I186" s="429"/>
      <c r="J186" s="423"/>
      <c r="K186" s="409"/>
      <c r="L186" s="447">
        <f t="shared" si="5"/>
        <v>0</v>
      </c>
      <c r="M186" s="447"/>
      <c r="N186" s="409"/>
      <c r="O186" s="409"/>
      <c r="P186" s="409"/>
      <c r="Q186" s="409"/>
      <c r="R186" s="409"/>
      <c r="S186" s="409"/>
    </row>
    <row r="187" spans="1:19" s="140" customFormat="1" ht="38.25">
      <c r="A187" s="394" t="s">
        <v>3259</v>
      </c>
      <c r="B187" s="285" t="s">
        <v>3281</v>
      </c>
      <c r="C187" s="285">
        <v>91953</v>
      </c>
      <c r="D187" s="289" t="s">
        <v>120</v>
      </c>
      <c r="E187" s="290" t="s">
        <v>109</v>
      </c>
      <c r="F187" s="755">
        <v>1</v>
      </c>
      <c r="G187" s="510" t="s">
        <v>19802</v>
      </c>
      <c r="H187" s="508">
        <v>0.2094</v>
      </c>
      <c r="I187" s="510">
        <v>27.175218000000001</v>
      </c>
      <c r="J187" s="509">
        <v>27.175218000000001</v>
      </c>
      <c r="K187" s="409"/>
      <c r="L187" s="447">
        <f t="shared" si="5"/>
        <v>27.175218000000001</v>
      </c>
      <c r="M187" s="447"/>
      <c r="N187" s="409"/>
      <c r="O187" s="409"/>
      <c r="P187" s="409"/>
      <c r="Q187" s="409"/>
      <c r="R187" s="409"/>
      <c r="S187" s="409"/>
    </row>
    <row r="188" spans="1:19" s="140" customFormat="1" ht="38.25">
      <c r="A188" s="394" t="s">
        <v>3259</v>
      </c>
      <c r="B188" s="285" t="s">
        <v>3336</v>
      </c>
      <c r="C188" s="285">
        <v>92000</v>
      </c>
      <c r="D188" s="289" t="s">
        <v>123</v>
      </c>
      <c r="E188" s="290" t="s">
        <v>109</v>
      </c>
      <c r="F188" s="755">
        <v>1</v>
      </c>
      <c r="G188" s="510" t="s">
        <v>22680</v>
      </c>
      <c r="H188" s="508">
        <v>0.2094</v>
      </c>
      <c r="I188" s="510">
        <v>28.699062000000001</v>
      </c>
      <c r="J188" s="509">
        <v>28.699062000000001</v>
      </c>
      <c r="K188" s="409"/>
      <c r="L188" s="447">
        <f t="shared" si="5"/>
        <v>28.699062000000001</v>
      </c>
      <c r="M188" s="447"/>
      <c r="N188" s="409"/>
      <c r="O188" s="409"/>
      <c r="P188" s="409"/>
      <c r="Q188" s="409"/>
      <c r="R188" s="409"/>
      <c r="S188" s="409"/>
    </row>
    <row r="189" spans="1:19" s="140" customFormat="1">
      <c r="A189" s="394"/>
      <c r="B189" s="285"/>
      <c r="C189" s="285"/>
      <c r="D189" s="407"/>
      <c r="E189" s="230"/>
      <c r="F189" s="426"/>
      <c r="G189" s="464"/>
      <c r="H189" s="427"/>
      <c r="I189" s="464"/>
      <c r="J189" s="428"/>
      <c r="K189" s="409"/>
      <c r="L189" s="447">
        <f t="shared" si="5"/>
        <v>0</v>
      </c>
      <c r="M189" s="447"/>
      <c r="N189" s="409"/>
      <c r="O189" s="409"/>
      <c r="P189" s="409"/>
      <c r="Q189" s="409"/>
      <c r="R189" s="409"/>
      <c r="S189" s="409"/>
    </row>
    <row r="190" spans="1:19" s="140" customFormat="1">
      <c r="A190" s="394"/>
      <c r="B190" s="396" t="s">
        <v>9659</v>
      </c>
      <c r="C190" s="396"/>
      <c r="D190" s="405" t="s">
        <v>112</v>
      </c>
      <c r="E190" s="422"/>
      <c r="F190" s="422"/>
      <c r="G190" s="429"/>
      <c r="H190" s="422"/>
      <c r="I190" s="429"/>
      <c r="J190" s="423"/>
      <c r="K190" s="409"/>
      <c r="L190" s="447">
        <f t="shared" si="5"/>
        <v>0</v>
      </c>
      <c r="M190" s="447"/>
      <c r="N190" s="409"/>
      <c r="O190" s="409"/>
      <c r="P190" s="409"/>
      <c r="Q190" s="409"/>
      <c r="R190" s="409"/>
      <c r="S190" s="409"/>
    </row>
    <row r="191" spans="1:19" s="140" customFormat="1" ht="38.25">
      <c r="A191" s="394" t="s">
        <v>3259</v>
      </c>
      <c r="B191" s="285" t="s">
        <v>9660</v>
      </c>
      <c r="C191" s="285">
        <v>91940</v>
      </c>
      <c r="D191" s="289" t="s">
        <v>138</v>
      </c>
      <c r="E191" s="290" t="s">
        <v>109</v>
      </c>
      <c r="F191" s="755">
        <v>1</v>
      </c>
      <c r="G191" s="510" t="s">
        <v>16204</v>
      </c>
      <c r="H191" s="508">
        <v>0.2094</v>
      </c>
      <c r="I191" s="510">
        <v>15.855233999999999</v>
      </c>
      <c r="J191" s="509">
        <v>15.855233999999999</v>
      </c>
      <c r="K191" s="409"/>
      <c r="L191" s="447">
        <f t="shared" si="5"/>
        <v>15.855233999999999</v>
      </c>
      <c r="M191" s="447"/>
      <c r="N191" s="409"/>
      <c r="O191" s="409"/>
      <c r="P191" s="409"/>
      <c r="Q191" s="409"/>
      <c r="R191" s="409"/>
      <c r="S191" s="409"/>
    </row>
    <row r="192" spans="1:19" s="140" customFormat="1" ht="38.25">
      <c r="A192" s="394" t="s">
        <v>3259</v>
      </c>
      <c r="B192" s="285" t="s">
        <v>9661</v>
      </c>
      <c r="C192" s="285">
        <v>91941</v>
      </c>
      <c r="D192" s="289" t="s">
        <v>129</v>
      </c>
      <c r="E192" s="290" t="s">
        <v>109</v>
      </c>
      <c r="F192" s="755">
        <v>1</v>
      </c>
      <c r="G192" s="510" t="s">
        <v>10521</v>
      </c>
      <c r="H192" s="508">
        <v>0.2094</v>
      </c>
      <c r="I192" s="510">
        <v>10.570156000000001</v>
      </c>
      <c r="J192" s="509">
        <v>10.570156000000001</v>
      </c>
      <c r="K192" s="409"/>
      <c r="L192" s="447">
        <f t="shared" ref="L192:L194" si="7">I192*F192</f>
        <v>10.570156000000001</v>
      </c>
      <c r="M192" s="447"/>
      <c r="N192" s="409"/>
      <c r="O192" s="409"/>
      <c r="P192" s="409"/>
      <c r="Q192" s="409"/>
      <c r="R192" s="409"/>
      <c r="S192" s="409"/>
    </row>
    <row r="193" spans="1:19" s="140" customFormat="1" ht="38.25">
      <c r="A193" s="394" t="s">
        <v>3259</v>
      </c>
      <c r="B193" s="285" t="s">
        <v>9662</v>
      </c>
      <c r="C193" s="285">
        <v>91944</v>
      </c>
      <c r="D193" s="289" t="s">
        <v>1639</v>
      </c>
      <c r="E193" s="290" t="s">
        <v>109</v>
      </c>
      <c r="F193" s="755">
        <v>1</v>
      </c>
      <c r="G193" s="510" t="s">
        <v>12433</v>
      </c>
      <c r="H193" s="508">
        <v>0.2094</v>
      </c>
      <c r="I193" s="510">
        <v>14.355578</v>
      </c>
      <c r="J193" s="509">
        <v>14.355578</v>
      </c>
      <c r="K193" s="409"/>
      <c r="L193" s="447">
        <f t="shared" si="7"/>
        <v>14.355578</v>
      </c>
      <c r="M193" s="447"/>
      <c r="N193" s="409"/>
      <c r="O193" s="409"/>
      <c r="P193" s="409"/>
      <c r="Q193" s="409"/>
      <c r="R193" s="409"/>
      <c r="S193" s="409"/>
    </row>
    <row r="194" spans="1:19" s="140" customFormat="1" ht="25.5">
      <c r="A194" s="394" t="s">
        <v>3260</v>
      </c>
      <c r="B194" s="285" t="s">
        <v>9663</v>
      </c>
      <c r="C194" s="285" t="s">
        <v>14347</v>
      </c>
      <c r="D194" s="289" t="s">
        <v>17038</v>
      </c>
      <c r="E194" s="290" t="s">
        <v>109</v>
      </c>
      <c r="F194" s="755">
        <v>1</v>
      </c>
      <c r="G194" s="510">
        <v>10.370000000000001</v>
      </c>
      <c r="H194" s="508">
        <v>0.2094</v>
      </c>
      <c r="I194" s="510">
        <v>12.541478000000001</v>
      </c>
      <c r="J194" s="509">
        <v>12.541478000000001</v>
      </c>
      <c r="K194" s="409"/>
      <c r="L194" s="447">
        <f t="shared" si="7"/>
        <v>12.541478000000001</v>
      </c>
      <c r="M194" s="447"/>
      <c r="N194" s="409"/>
      <c r="O194" s="409"/>
      <c r="P194" s="409"/>
      <c r="Q194" s="409"/>
      <c r="R194" s="409"/>
      <c r="S194" s="409"/>
    </row>
    <row r="195" spans="1:19" s="140" customFormat="1">
      <c r="A195" s="394"/>
      <c r="B195" s="285"/>
      <c r="C195" s="285"/>
      <c r="D195" s="407"/>
      <c r="E195" s="230"/>
      <c r="F195" s="426"/>
      <c r="G195" s="464"/>
      <c r="H195" s="427"/>
      <c r="I195" s="464"/>
      <c r="J195" s="428"/>
      <c r="K195" s="409"/>
      <c r="L195" s="447">
        <f t="shared" si="5"/>
        <v>0</v>
      </c>
      <c r="M195" s="447"/>
      <c r="N195" s="409"/>
      <c r="O195" s="409"/>
      <c r="P195" s="409"/>
      <c r="Q195" s="409"/>
      <c r="R195" s="409"/>
      <c r="S195" s="409"/>
    </row>
    <row r="196" spans="1:19" s="140" customFormat="1">
      <c r="A196" s="394"/>
      <c r="B196" s="396" t="s">
        <v>3282</v>
      </c>
      <c r="C196" s="396"/>
      <c r="D196" s="406" t="s">
        <v>111</v>
      </c>
      <c r="E196" s="422"/>
      <c r="F196" s="422"/>
      <c r="G196" s="429"/>
      <c r="H196" s="422"/>
      <c r="I196" s="429"/>
      <c r="J196" s="423"/>
      <c r="K196" s="409"/>
      <c r="L196" s="447">
        <f t="shared" si="5"/>
        <v>0</v>
      </c>
      <c r="M196" s="447"/>
      <c r="N196" s="409"/>
      <c r="O196" s="409"/>
      <c r="P196" s="409"/>
      <c r="Q196" s="409"/>
      <c r="R196" s="409"/>
      <c r="S196" s="409"/>
    </row>
    <row r="197" spans="1:19" s="140" customFormat="1" ht="38.25">
      <c r="A197" s="394" t="s">
        <v>3259</v>
      </c>
      <c r="B197" s="285" t="s">
        <v>3283</v>
      </c>
      <c r="C197" s="285">
        <v>93358</v>
      </c>
      <c r="D197" s="289" t="s">
        <v>16227</v>
      </c>
      <c r="E197" s="290" t="s">
        <v>209</v>
      </c>
      <c r="F197" s="755">
        <v>5.7</v>
      </c>
      <c r="G197" s="510" t="s">
        <v>23682</v>
      </c>
      <c r="H197" s="508">
        <v>0.2094</v>
      </c>
      <c r="I197" s="510">
        <v>84.246803999999997</v>
      </c>
      <c r="J197" s="509">
        <v>480.20678279999998</v>
      </c>
      <c r="K197" s="409"/>
      <c r="L197" s="447">
        <f t="shared" si="5"/>
        <v>480.20678279999998</v>
      </c>
      <c r="M197" s="447"/>
      <c r="N197" s="409"/>
      <c r="O197" s="409"/>
      <c r="P197" s="409"/>
      <c r="Q197" s="409"/>
      <c r="R197" s="409"/>
      <c r="S197" s="409"/>
    </row>
    <row r="198" spans="1:19" s="140" customFormat="1" ht="38.25">
      <c r="A198" s="394" t="s">
        <v>3259</v>
      </c>
      <c r="B198" s="285" t="s">
        <v>14452</v>
      </c>
      <c r="C198" s="285">
        <v>101616</v>
      </c>
      <c r="D198" s="289" t="s">
        <v>13664</v>
      </c>
      <c r="E198" s="290" t="s">
        <v>193</v>
      </c>
      <c r="F198" s="755">
        <v>11.4</v>
      </c>
      <c r="G198" s="510" t="s">
        <v>11219</v>
      </c>
      <c r="H198" s="508">
        <v>0.2094</v>
      </c>
      <c r="I198" s="510">
        <v>6.3735379999999999</v>
      </c>
      <c r="J198" s="509">
        <v>72.658333200000001</v>
      </c>
      <c r="K198" s="409"/>
      <c r="L198" s="447">
        <f t="shared" si="5"/>
        <v>72.658333200000001</v>
      </c>
      <c r="M198" s="447"/>
      <c r="N198" s="409"/>
      <c r="O198" s="409"/>
      <c r="P198" s="409"/>
      <c r="Q198" s="409"/>
      <c r="R198" s="409"/>
      <c r="S198" s="409"/>
    </row>
    <row r="199" spans="1:19" s="140" customFormat="1" ht="25.5">
      <c r="A199" s="394" t="s">
        <v>3259</v>
      </c>
      <c r="B199" s="285" t="s">
        <v>14453</v>
      </c>
      <c r="C199" s="288">
        <v>93382</v>
      </c>
      <c r="D199" s="289" t="s">
        <v>2501</v>
      </c>
      <c r="E199" s="290" t="s">
        <v>209</v>
      </c>
      <c r="F199" s="755">
        <v>5.7</v>
      </c>
      <c r="G199" s="510" t="s">
        <v>16369</v>
      </c>
      <c r="H199" s="508">
        <v>0.2094</v>
      </c>
      <c r="I199" s="510">
        <v>30.380128000000003</v>
      </c>
      <c r="J199" s="509">
        <v>173.16672960000002</v>
      </c>
      <c r="K199" s="409"/>
      <c r="L199" s="447">
        <f t="shared" si="5"/>
        <v>173.16672960000002</v>
      </c>
      <c r="M199" s="447"/>
      <c r="N199" s="409"/>
      <c r="O199" s="409"/>
      <c r="P199" s="409"/>
      <c r="Q199" s="409"/>
      <c r="R199" s="409"/>
      <c r="S199" s="409"/>
    </row>
    <row r="200" spans="1:19" s="140" customFormat="1" ht="25.5">
      <c r="A200" s="394" t="s">
        <v>3260</v>
      </c>
      <c r="B200" s="285" t="s">
        <v>14454</v>
      </c>
      <c r="C200" s="285" t="s">
        <v>14459</v>
      </c>
      <c r="D200" s="289" t="s">
        <v>136</v>
      </c>
      <c r="E200" s="290" t="s">
        <v>128</v>
      </c>
      <c r="F200" s="755">
        <v>13.63</v>
      </c>
      <c r="G200" s="510">
        <v>5.25</v>
      </c>
      <c r="H200" s="508">
        <v>0.2094</v>
      </c>
      <c r="I200" s="510">
        <v>6.3493500000000003</v>
      </c>
      <c r="J200" s="509">
        <v>86.541640500000014</v>
      </c>
      <c r="K200" s="409"/>
      <c r="L200" s="447">
        <f t="shared" si="5"/>
        <v>86.541640500000014</v>
      </c>
      <c r="M200" s="447"/>
      <c r="N200" s="409"/>
      <c r="O200" s="409"/>
      <c r="P200" s="409"/>
      <c r="Q200" s="409"/>
      <c r="R200" s="409"/>
      <c r="S200" s="409"/>
    </row>
    <row r="201" spans="1:19" s="140" customFormat="1" ht="38.25">
      <c r="A201" s="394" t="s">
        <v>3259</v>
      </c>
      <c r="B201" s="285" t="s">
        <v>14455</v>
      </c>
      <c r="C201" s="285">
        <v>90443</v>
      </c>
      <c r="D201" s="289" t="s">
        <v>130</v>
      </c>
      <c r="E201" s="290" t="s">
        <v>5</v>
      </c>
      <c r="F201" s="755">
        <v>9</v>
      </c>
      <c r="G201" s="510" t="s">
        <v>16337</v>
      </c>
      <c r="H201" s="508">
        <v>0.2094</v>
      </c>
      <c r="I201" s="510">
        <v>14.246732</v>
      </c>
      <c r="J201" s="509">
        <v>128.22058799999999</v>
      </c>
      <c r="K201" s="409"/>
      <c r="L201" s="447">
        <f t="shared" si="5"/>
        <v>128.22058799999999</v>
      </c>
      <c r="M201" s="447"/>
      <c r="N201" s="409"/>
      <c r="O201" s="409"/>
      <c r="P201" s="409"/>
      <c r="Q201" s="409"/>
      <c r="R201" s="409"/>
      <c r="S201" s="409"/>
    </row>
    <row r="202" spans="1:19" s="140" customFormat="1" ht="38.25">
      <c r="A202" s="394" t="s">
        <v>3259</v>
      </c>
      <c r="B202" s="285" t="s">
        <v>14468</v>
      </c>
      <c r="C202" s="285">
        <v>90466</v>
      </c>
      <c r="D202" s="289" t="s">
        <v>132</v>
      </c>
      <c r="E202" s="290" t="s">
        <v>5</v>
      </c>
      <c r="F202" s="755">
        <v>9</v>
      </c>
      <c r="G202" s="510" t="s">
        <v>19074</v>
      </c>
      <c r="H202" s="508">
        <v>0.2094</v>
      </c>
      <c r="I202" s="510">
        <v>14.065322000000002</v>
      </c>
      <c r="J202" s="509">
        <v>126.58789800000002</v>
      </c>
      <c r="K202" s="409"/>
      <c r="L202" s="447">
        <f t="shared" si="5"/>
        <v>126.58789800000002</v>
      </c>
      <c r="M202" s="447"/>
      <c r="N202" s="409"/>
      <c r="O202" s="409"/>
      <c r="P202" s="409"/>
      <c r="Q202" s="409"/>
      <c r="R202" s="409"/>
      <c r="S202" s="409"/>
    </row>
    <row r="203" spans="1:19" s="140" customFormat="1">
      <c r="A203" s="394"/>
      <c r="B203" s="285"/>
      <c r="C203" s="285"/>
      <c r="D203" s="407"/>
      <c r="E203" s="230"/>
      <c r="F203" s="426"/>
      <c r="G203" s="464"/>
      <c r="H203" s="427"/>
      <c r="I203" s="464"/>
      <c r="J203" s="416"/>
      <c r="K203" s="409"/>
      <c r="L203" s="447">
        <f t="shared" si="5"/>
        <v>0</v>
      </c>
      <c r="M203" s="447"/>
      <c r="N203" s="409"/>
      <c r="O203" s="409"/>
      <c r="P203" s="409"/>
      <c r="Q203" s="409"/>
      <c r="R203" s="409"/>
      <c r="S203" s="409"/>
    </row>
    <row r="204" spans="1:19" s="140" customFormat="1">
      <c r="A204" s="394"/>
      <c r="B204" s="395"/>
      <c r="C204" s="395"/>
      <c r="D204" s="404"/>
      <c r="E204" s="395"/>
      <c r="F204" s="395"/>
      <c r="G204" s="460" t="s">
        <v>69</v>
      </c>
      <c r="H204" s="419"/>
      <c r="I204" s="460"/>
      <c r="J204" s="421">
        <v>3107.6458191000006</v>
      </c>
      <c r="K204" s="448"/>
      <c r="L204" s="447">
        <f t="shared" si="5"/>
        <v>0</v>
      </c>
      <c r="M204" s="447"/>
      <c r="N204" s="409"/>
      <c r="O204" s="409"/>
      <c r="P204" s="409"/>
      <c r="Q204" s="409"/>
      <c r="R204" s="409"/>
      <c r="S204" s="409"/>
    </row>
    <row r="205" spans="1:19" s="92" customFormat="1">
      <c r="A205" s="256"/>
      <c r="B205" s="397"/>
      <c r="C205" s="397"/>
      <c r="D205" s="408"/>
      <c r="E205" s="397"/>
      <c r="F205" s="431"/>
      <c r="G205" s="431"/>
      <c r="H205" s="431"/>
      <c r="I205" s="431"/>
      <c r="J205" s="428"/>
      <c r="K205" s="298"/>
      <c r="L205" s="447">
        <f t="shared" si="5"/>
        <v>0</v>
      </c>
      <c r="M205" s="447"/>
      <c r="N205" s="298"/>
      <c r="O205" s="298"/>
      <c r="P205" s="298"/>
      <c r="Q205" s="298"/>
      <c r="R205" s="298"/>
      <c r="S205" s="298"/>
    </row>
    <row r="206" spans="1:19" s="92" customFormat="1">
      <c r="A206" s="256"/>
      <c r="B206" s="390" t="s">
        <v>139</v>
      </c>
      <c r="C206" s="390"/>
      <c r="D206" s="399" t="s">
        <v>140</v>
      </c>
      <c r="E206" s="397"/>
      <c r="F206" s="431"/>
      <c r="G206" s="431"/>
      <c r="H206" s="431"/>
      <c r="I206" s="431"/>
      <c r="J206" s="428"/>
      <c r="K206" s="298"/>
      <c r="L206" s="447">
        <f t="shared" si="5"/>
        <v>0</v>
      </c>
      <c r="M206" s="447"/>
      <c r="N206" s="298"/>
      <c r="O206" s="298"/>
      <c r="P206" s="298"/>
      <c r="Q206" s="298"/>
      <c r="R206" s="298"/>
      <c r="S206" s="298"/>
    </row>
    <row r="207" spans="1:19" s="92" customFormat="1">
      <c r="A207" s="256"/>
      <c r="B207" s="390" t="s">
        <v>14773</v>
      </c>
      <c r="C207" s="390"/>
      <c r="D207" s="399" t="s">
        <v>14811</v>
      </c>
      <c r="E207" s="391"/>
      <c r="F207" s="417"/>
      <c r="G207" s="417"/>
      <c r="H207" s="417"/>
      <c r="I207" s="417"/>
      <c r="J207" s="418"/>
      <c r="K207" s="298"/>
      <c r="L207" s="447">
        <f t="shared" si="5"/>
        <v>0</v>
      </c>
      <c r="M207" s="447"/>
      <c r="N207" s="298"/>
      <c r="O207" s="298"/>
      <c r="P207" s="298"/>
      <c r="Q207" s="298"/>
      <c r="R207" s="298"/>
      <c r="S207" s="298"/>
    </row>
    <row r="208" spans="1:19" s="92" customFormat="1">
      <c r="A208" s="256"/>
      <c r="B208" s="390" t="s">
        <v>14812</v>
      </c>
      <c r="C208" s="390"/>
      <c r="D208" s="399" t="s">
        <v>14813</v>
      </c>
      <c r="E208" s="391"/>
      <c r="F208" s="417"/>
      <c r="G208" s="417"/>
      <c r="H208" s="417"/>
      <c r="I208" s="417"/>
      <c r="J208" s="418"/>
      <c r="K208" s="298"/>
      <c r="L208" s="447">
        <f t="shared" si="5"/>
        <v>0</v>
      </c>
      <c r="M208" s="447"/>
      <c r="N208" s="298"/>
      <c r="O208" s="298"/>
      <c r="P208" s="298"/>
      <c r="Q208" s="298"/>
      <c r="R208" s="298"/>
      <c r="S208" s="298"/>
    </row>
    <row r="209" spans="1:19" s="92" customFormat="1" ht="63.75">
      <c r="A209" s="394" t="s">
        <v>3259</v>
      </c>
      <c r="B209" s="288" t="s">
        <v>14817</v>
      </c>
      <c r="C209" s="285">
        <v>92690</v>
      </c>
      <c r="D209" s="289" t="s">
        <v>13248</v>
      </c>
      <c r="E209" s="290" t="s">
        <v>5</v>
      </c>
      <c r="F209" s="292">
        <v>4.8499999999999996</v>
      </c>
      <c r="G209" s="510" t="s">
        <v>11372</v>
      </c>
      <c r="H209" s="508">
        <v>0.2094</v>
      </c>
      <c r="I209" s="510">
        <v>79.747835999999992</v>
      </c>
      <c r="J209" s="509">
        <v>386.77700459999994</v>
      </c>
      <c r="K209" s="298"/>
      <c r="L209" s="447">
        <f t="shared" si="5"/>
        <v>386.77700459999994</v>
      </c>
      <c r="M209" s="447"/>
      <c r="N209" s="298"/>
      <c r="O209" s="298"/>
      <c r="P209" s="298"/>
      <c r="Q209" s="298"/>
      <c r="R209" s="298"/>
      <c r="S209" s="298"/>
    </row>
    <row r="210" spans="1:19" s="92" customFormat="1" ht="51">
      <c r="A210" s="394" t="s">
        <v>3259</v>
      </c>
      <c r="B210" s="288" t="s">
        <v>14828</v>
      </c>
      <c r="C210" s="285">
        <v>97549</v>
      </c>
      <c r="D210" s="289" t="s">
        <v>13515</v>
      </c>
      <c r="E210" s="290" t="s">
        <v>109</v>
      </c>
      <c r="F210" s="292">
        <v>5</v>
      </c>
      <c r="G210" s="510" t="s">
        <v>23410</v>
      </c>
      <c r="H210" s="508">
        <v>0.2094</v>
      </c>
      <c r="I210" s="510">
        <v>48.073650000000001</v>
      </c>
      <c r="J210" s="509">
        <v>240.36824999999999</v>
      </c>
      <c r="K210" s="298"/>
      <c r="L210" s="447">
        <f t="shared" si="5"/>
        <v>240.36824999999999</v>
      </c>
      <c r="M210" s="447"/>
      <c r="N210" s="298"/>
      <c r="O210" s="298"/>
      <c r="P210" s="298"/>
      <c r="Q210" s="298"/>
      <c r="R210" s="298"/>
      <c r="S210" s="298"/>
    </row>
    <row r="211" spans="1:19" s="92" customFormat="1" ht="51">
      <c r="A211" s="394" t="s">
        <v>3259</v>
      </c>
      <c r="B211" s="288" t="s">
        <v>14829</v>
      </c>
      <c r="C211" s="285">
        <v>97553</v>
      </c>
      <c r="D211" s="289" t="s">
        <v>13519</v>
      </c>
      <c r="E211" s="290" t="s">
        <v>109</v>
      </c>
      <c r="F211" s="292">
        <v>1</v>
      </c>
      <c r="G211" s="510" t="s">
        <v>23413</v>
      </c>
      <c r="H211" s="508">
        <v>0.2094</v>
      </c>
      <c r="I211" s="510">
        <v>67.883622000000003</v>
      </c>
      <c r="J211" s="509">
        <v>67.883622000000003</v>
      </c>
      <c r="K211" s="298"/>
      <c r="L211" s="447">
        <f t="shared" si="5"/>
        <v>67.883622000000003</v>
      </c>
      <c r="M211" s="447"/>
      <c r="N211" s="298"/>
      <c r="O211" s="298"/>
      <c r="P211" s="298"/>
      <c r="Q211" s="298"/>
      <c r="R211" s="298"/>
      <c r="S211" s="298"/>
    </row>
    <row r="212" spans="1:19" s="92" customFormat="1" ht="69" customHeight="1">
      <c r="A212" s="394" t="s">
        <v>3259</v>
      </c>
      <c r="B212" s="288" t="s">
        <v>14830</v>
      </c>
      <c r="C212" s="285">
        <v>95249</v>
      </c>
      <c r="D212" s="289" t="s">
        <v>2384</v>
      </c>
      <c r="E212" s="290" t="s">
        <v>109</v>
      </c>
      <c r="F212" s="292">
        <v>3</v>
      </c>
      <c r="G212" s="510" t="s">
        <v>16346</v>
      </c>
      <c r="H212" s="508">
        <v>0.2094</v>
      </c>
      <c r="I212" s="510">
        <v>104.201904</v>
      </c>
      <c r="J212" s="509">
        <v>312.60571199999998</v>
      </c>
      <c r="K212" s="298"/>
      <c r="L212" s="447">
        <f t="shared" si="5"/>
        <v>312.60571199999998</v>
      </c>
      <c r="M212" s="447"/>
      <c r="N212" s="298"/>
      <c r="O212" s="298"/>
      <c r="P212" s="298"/>
      <c r="Q212" s="298"/>
      <c r="R212" s="298"/>
      <c r="S212" s="298"/>
    </row>
    <row r="213" spans="1:19" s="92" customFormat="1" ht="51">
      <c r="A213" s="394" t="s">
        <v>3259</v>
      </c>
      <c r="B213" s="288" t="s">
        <v>14831</v>
      </c>
      <c r="C213" s="285">
        <v>92694</v>
      </c>
      <c r="D213" s="289" t="s">
        <v>13349</v>
      </c>
      <c r="E213" s="290" t="s">
        <v>109</v>
      </c>
      <c r="F213" s="292">
        <v>4</v>
      </c>
      <c r="G213" s="510" t="s">
        <v>11042</v>
      </c>
      <c r="H213" s="508">
        <v>0.2094</v>
      </c>
      <c r="I213" s="510">
        <v>21.527320000000003</v>
      </c>
      <c r="J213" s="509">
        <v>86.109280000000012</v>
      </c>
      <c r="K213" s="298"/>
      <c r="L213" s="447">
        <f t="shared" si="5"/>
        <v>86.109280000000012</v>
      </c>
      <c r="M213" s="447"/>
      <c r="N213" s="298"/>
      <c r="O213" s="298"/>
      <c r="P213" s="298"/>
      <c r="Q213" s="298"/>
      <c r="R213" s="298"/>
      <c r="S213" s="298"/>
    </row>
    <row r="214" spans="1:19" s="92" customFormat="1" ht="51">
      <c r="A214" s="394" t="s">
        <v>3259</v>
      </c>
      <c r="B214" s="288" t="s">
        <v>14832</v>
      </c>
      <c r="C214" s="285">
        <v>92905</v>
      </c>
      <c r="D214" s="289" t="s">
        <v>13378</v>
      </c>
      <c r="E214" s="290" t="s">
        <v>109</v>
      </c>
      <c r="F214" s="292">
        <v>2</v>
      </c>
      <c r="G214" s="510" t="s">
        <v>20561</v>
      </c>
      <c r="H214" s="508">
        <v>0.2094</v>
      </c>
      <c r="I214" s="510">
        <v>41.083317999999998</v>
      </c>
      <c r="J214" s="509">
        <v>82.166635999999997</v>
      </c>
      <c r="K214" s="298"/>
      <c r="L214" s="447">
        <f t="shared" si="5"/>
        <v>82.166635999999997</v>
      </c>
      <c r="M214" s="447"/>
      <c r="N214" s="298"/>
      <c r="O214" s="298"/>
      <c r="P214" s="298"/>
      <c r="Q214" s="298"/>
      <c r="R214" s="298"/>
      <c r="S214" s="298"/>
    </row>
    <row r="215" spans="1:19" s="92" customFormat="1" ht="51">
      <c r="A215" s="394" t="s">
        <v>3260</v>
      </c>
      <c r="B215" s="288" t="s">
        <v>14833</v>
      </c>
      <c r="C215" s="285" t="s">
        <v>16903</v>
      </c>
      <c r="D215" s="289" t="s">
        <v>14868</v>
      </c>
      <c r="E215" s="290" t="s">
        <v>109</v>
      </c>
      <c r="F215" s="292">
        <v>2</v>
      </c>
      <c r="G215" s="510">
        <v>15.149999999999999</v>
      </c>
      <c r="H215" s="508">
        <v>0.2094</v>
      </c>
      <c r="I215" s="510">
        <v>18.322409999999998</v>
      </c>
      <c r="J215" s="509">
        <v>36.644819999999996</v>
      </c>
      <c r="K215" s="298"/>
      <c r="L215" s="447">
        <f t="shared" si="5"/>
        <v>36.644819999999996</v>
      </c>
      <c r="M215" s="447"/>
      <c r="N215" s="298"/>
      <c r="O215" s="298"/>
      <c r="P215" s="298"/>
      <c r="Q215" s="298"/>
      <c r="R215" s="298"/>
      <c r="S215" s="298"/>
    </row>
    <row r="216" spans="1:19" s="92" customFormat="1" ht="25.5">
      <c r="A216" s="394" t="s">
        <v>3260</v>
      </c>
      <c r="B216" s="288" t="s">
        <v>14834</v>
      </c>
      <c r="C216" s="285" t="s">
        <v>16898</v>
      </c>
      <c r="D216" s="289" t="s">
        <v>16899</v>
      </c>
      <c r="E216" s="290" t="s">
        <v>109</v>
      </c>
      <c r="F216" s="292">
        <v>4</v>
      </c>
      <c r="G216" s="510">
        <v>36.6</v>
      </c>
      <c r="H216" s="508">
        <v>0.2094</v>
      </c>
      <c r="I216" s="510">
        <v>44.264040000000001</v>
      </c>
      <c r="J216" s="509">
        <v>177.05616000000001</v>
      </c>
      <c r="K216" s="298"/>
      <c r="L216" s="447">
        <f t="shared" si="5"/>
        <v>177.05616000000001</v>
      </c>
      <c r="M216" s="447"/>
      <c r="N216" s="298"/>
      <c r="O216" s="298"/>
      <c r="P216" s="298"/>
      <c r="Q216" s="298"/>
      <c r="R216" s="298"/>
      <c r="S216" s="298"/>
    </row>
    <row r="217" spans="1:19" s="92" customFormat="1">
      <c r="A217" s="256"/>
      <c r="B217" s="391"/>
      <c r="C217" s="391"/>
      <c r="D217" s="401"/>
      <c r="E217" s="391"/>
      <c r="F217" s="417"/>
      <c r="G217" s="417"/>
      <c r="H217" s="417"/>
      <c r="I217" s="417"/>
      <c r="J217" s="418"/>
      <c r="K217" s="298"/>
      <c r="L217" s="447">
        <f t="shared" ref="L217:L241" si="8">I217*F217</f>
        <v>0</v>
      </c>
      <c r="M217" s="447"/>
      <c r="N217" s="298"/>
      <c r="O217" s="298"/>
      <c r="P217" s="298"/>
      <c r="Q217" s="298"/>
      <c r="R217" s="298"/>
      <c r="S217" s="298"/>
    </row>
    <row r="218" spans="1:19" s="92" customFormat="1">
      <c r="A218" s="256"/>
      <c r="B218" s="390" t="s">
        <v>14814</v>
      </c>
      <c r="C218" s="390"/>
      <c r="D218" s="399" t="s">
        <v>11573</v>
      </c>
      <c r="E218" s="391"/>
      <c r="F218" s="417"/>
      <c r="G218" s="417"/>
      <c r="H218" s="417"/>
      <c r="I218" s="417"/>
      <c r="J218" s="418"/>
      <c r="K218" s="298"/>
      <c r="L218" s="447">
        <f t="shared" si="8"/>
        <v>0</v>
      </c>
      <c r="M218" s="447"/>
      <c r="N218" s="298"/>
      <c r="O218" s="298"/>
      <c r="P218" s="298"/>
      <c r="Q218" s="298"/>
      <c r="R218" s="298"/>
      <c r="S218" s="298"/>
    </row>
    <row r="219" spans="1:19" s="92" customFormat="1" ht="25.5">
      <c r="A219" s="394" t="s">
        <v>3260</v>
      </c>
      <c r="B219" s="288" t="s">
        <v>14818</v>
      </c>
      <c r="C219" s="285" t="s">
        <v>16902</v>
      </c>
      <c r="D219" s="289" t="s">
        <v>14988</v>
      </c>
      <c r="E219" s="290" t="s">
        <v>109</v>
      </c>
      <c r="F219" s="292">
        <v>2</v>
      </c>
      <c r="G219" s="510">
        <v>90.81</v>
      </c>
      <c r="H219" s="508">
        <v>0.2094</v>
      </c>
      <c r="I219" s="510">
        <v>109.825614</v>
      </c>
      <c r="J219" s="509">
        <v>219.651228</v>
      </c>
      <c r="K219" s="298"/>
      <c r="L219" s="447">
        <f t="shared" si="8"/>
        <v>219.651228</v>
      </c>
      <c r="M219" s="447"/>
      <c r="N219" s="298"/>
      <c r="O219" s="298"/>
      <c r="P219" s="298"/>
      <c r="Q219" s="298"/>
      <c r="R219" s="298"/>
      <c r="S219" s="298"/>
    </row>
    <row r="220" spans="1:19" s="92" customFormat="1" ht="38.25">
      <c r="A220" s="394" t="s">
        <v>3260</v>
      </c>
      <c r="B220" s="288" t="s">
        <v>14819</v>
      </c>
      <c r="C220" s="285" t="s">
        <v>16905</v>
      </c>
      <c r="D220" s="289" t="s">
        <v>16906</v>
      </c>
      <c r="E220" s="290" t="s">
        <v>109</v>
      </c>
      <c r="F220" s="292">
        <v>1</v>
      </c>
      <c r="G220" s="510">
        <v>57.24</v>
      </c>
      <c r="H220" s="508">
        <v>0.2094</v>
      </c>
      <c r="I220" s="510">
        <v>69.226056</v>
      </c>
      <c r="J220" s="509">
        <v>69.226056</v>
      </c>
      <c r="K220" s="298"/>
      <c r="L220" s="447">
        <f t="shared" si="8"/>
        <v>69.226056</v>
      </c>
      <c r="M220" s="447"/>
      <c r="N220" s="298"/>
      <c r="O220" s="298"/>
      <c r="P220" s="298"/>
      <c r="Q220" s="298"/>
      <c r="R220" s="298"/>
      <c r="S220" s="298"/>
    </row>
    <row r="221" spans="1:19" s="92" customFormat="1">
      <c r="A221" s="256"/>
      <c r="B221" s="391"/>
      <c r="C221" s="391"/>
      <c r="D221" s="401"/>
      <c r="E221" s="391"/>
      <c r="F221" s="417"/>
      <c r="G221" s="417"/>
      <c r="H221" s="417"/>
      <c r="I221" s="417"/>
      <c r="J221" s="418"/>
      <c r="K221" s="298"/>
      <c r="L221" s="447">
        <f t="shared" si="8"/>
        <v>0</v>
      </c>
      <c r="M221" s="447"/>
      <c r="N221" s="298"/>
      <c r="O221" s="298"/>
      <c r="P221" s="298"/>
      <c r="Q221" s="298"/>
      <c r="R221" s="298"/>
      <c r="S221" s="298"/>
    </row>
    <row r="222" spans="1:19" s="92" customFormat="1">
      <c r="A222" s="256"/>
      <c r="B222" s="390" t="s">
        <v>14815</v>
      </c>
      <c r="C222" s="390"/>
      <c r="D222" s="399" t="s">
        <v>14816</v>
      </c>
      <c r="E222" s="391"/>
      <c r="F222" s="417"/>
      <c r="G222" s="417"/>
      <c r="H222" s="417"/>
      <c r="I222" s="417"/>
      <c r="J222" s="418"/>
      <c r="K222" s="298"/>
      <c r="L222" s="447">
        <f t="shared" si="8"/>
        <v>0</v>
      </c>
      <c r="M222" s="447"/>
      <c r="N222" s="298"/>
      <c r="O222" s="298"/>
      <c r="P222" s="298"/>
      <c r="Q222" s="298"/>
      <c r="R222" s="298"/>
      <c r="S222" s="298"/>
    </row>
    <row r="223" spans="1:19" s="92" customFormat="1" ht="63.75">
      <c r="A223" s="394" t="s">
        <v>3259</v>
      </c>
      <c r="B223" s="288" t="s">
        <v>14822</v>
      </c>
      <c r="C223" s="285">
        <v>91173</v>
      </c>
      <c r="D223" s="289" t="s">
        <v>2428</v>
      </c>
      <c r="E223" s="290" t="s">
        <v>5</v>
      </c>
      <c r="F223" s="292">
        <v>1</v>
      </c>
      <c r="G223" s="510" t="s">
        <v>10430</v>
      </c>
      <c r="H223" s="508">
        <v>0.2094</v>
      </c>
      <c r="I223" s="510">
        <v>1.584314</v>
      </c>
      <c r="J223" s="509">
        <v>1.584314</v>
      </c>
      <c r="K223" s="298"/>
      <c r="L223" s="447">
        <f t="shared" si="8"/>
        <v>1.584314</v>
      </c>
      <c r="M223" s="447"/>
      <c r="N223" s="298"/>
      <c r="O223" s="298"/>
      <c r="P223" s="298"/>
      <c r="Q223" s="298"/>
      <c r="R223" s="298"/>
      <c r="S223" s="298"/>
    </row>
    <row r="224" spans="1:19" s="92" customFormat="1" ht="63.75">
      <c r="A224" s="394" t="s">
        <v>3259</v>
      </c>
      <c r="B224" s="288" t="s">
        <v>14823</v>
      </c>
      <c r="C224" s="288">
        <v>91179</v>
      </c>
      <c r="D224" s="289" t="s">
        <v>2434</v>
      </c>
      <c r="E224" s="290" t="s">
        <v>5</v>
      </c>
      <c r="F224" s="292">
        <v>0.75</v>
      </c>
      <c r="G224" s="510" t="s">
        <v>10229</v>
      </c>
      <c r="H224" s="508">
        <v>0.2094</v>
      </c>
      <c r="I224" s="510">
        <v>7.0266139999999995</v>
      </c>
      <c r="J224" s="509">
        <v>5.2699604999999998</v>
      </c>
      <c r="K224" s="298"/>
      <c r="L224" s="447">
        <f t="shared" si="8"/>
        <v>5.2699604999999998</v>
      </c>
      <c r="M224" s="447"/>
      <c r="N224" s="298"/>
      <c r="O224" s="298"/>
      <c r="P224" s="298"/>
      <c r="Q224" s="298"/>
      <c r="R224" s="298"/>
      <c r="S224" s="298"/>
    </row>
    <row r="225" spans="1:19" s="92" customFormat="1" ht="38.25">
      <c r="A225" s="394" t="s">
        <v>3260</v>
      </c>
      <c r="B225" s="288" t="s">
        <v>14824</v>
      </c>
      <c r="C225" s="285" t="s">
        <v>14700</v>
      </c>
      <c r="D225" s="289" t="s">
        <v>14701</v>
      </c>
      <c r="E225" s="290" t="s">
        <v>193</v>
      </c>
      <c r="F225" s="292">
        <v>0.3</v>
      </c>
      <c r="G225" s="510">
        <v>19.88</v>
      </c>
      <c r="H225" s="508">
        <v>0.2094</v>
      </c>
      <c r="I225" s="510">
        <v>24.042871999999999</v>
      </c>
      <c r="J225" s="509">
        <v>7.2128615999999992</v>
      </c>
      <c r="K225" s="298"/>
      <c r="L225" s="447">
        <f t="shared" si="8"/>
        <v>7.2128615999999992</v>
      </c>
      <c r="M225" s="447"/>
      <c r="N225" s="298"/>
      <c r="O225" s="298"/>
      <c r="P225" s="298"/>
      <c r="Q225" s="298"/>
      <c r="R225" s="298"/>
      <c r="S225" s="298"/>
    </row>
    <row r="226" spans="1:19" s="92" customFormat="1" ht="38.25">
      <c r="A226" s="394" t="s">
        <v>3259</v>
      </c>
      <c r="B226" s="288" t="s">
        <v>14825</v>
      </c>
      <c r="C226" s="285">
        <v>90443</v>
      </c>
      <c r="D226" s="289" t="s">
        <v>130</v>
      </c>
      <c r="E226" s="290" t="s">
        <v>5</v>
      </c>
      <c r="F226" s="292">
        <v>3.1</v>
      </c>
      <c r="G226" s="510" t="s">
        <v>16337</v>
      </c>
      <c r="H226" s="508">
        <v>0.2094</v>
      </c>
      <c r="I226" s="510">
        <v>14.246732</v>
      </c>
      <c r="J226" s="509">
        <v>44.164869199999998</v>
      </c>
      <c r="K226" s="298"/>
      <c r="L226" s="447">
        <f t="shared" ref="L226:L227" si="9">I226*F226</f>
        <v>44.164869199999998</v>
      </c>
      <c r="M226" s="447"/>
      <c r="N226" s="298"/>
      <c r="O226" s="298"/>
      <c r="P226" s="298"/>
      <c r="Q226" s="298"/>
      <c r="R226" s="298"/>
      <c r="S226" s="298"/>
    </row>
    <row r="227" spans="1:19" s="92" customFormat="1" ht="38.25">
      <c r="A227" s="394" t="s">
        <v>3259</v>
      </c>
      <c r="B227" s="288" t="s">
        <v>14826</v>
      </c>
      <c r="C227" s="285">
        <v>90466</v>
      </c>
      <c r="D227" s="289" t="s">
        <v>132</v>
      </c>
      <c r="E227" s="290" t="s">
        <v>5</v>
      </c>
      <c r="F227" s="292">
        <v>3.1</v>
      </c>
      <c r="G227" s="510" t="s">
        <v>19074</v>
      </c>
      <c r="H227" s="508">
        <v>0.2094</v>
      </c>
      <c r="I227" s="510">
        <v>14.065322000000002</v>
      </c>
      <c r="J227" s="509">
        <v>43.602498200000007</v>
      </c>
      <c r="K227" s="298"/>
      <c r="L227" s="447">
        <f t="shared" si="9"/>
        <v>43.602498200000007</v>
      </c>
      <c r="M227" s="447"/>
      <c r="N227" s="298"/>
      <c r="O227" s="298"/>
      <c r="P227" s="298"/>
      <c r="Q227" s="298"/>
      <c r="R227" s="298"/>
      <c r="S227" s="298"/>
    </row>
    <row r="228" spans="1:19" s="92" customFormat="1">
      <c r="A228" s="256"/>
      <c r="B228" s="391"/>
      <c r="C228" s="391"/>
      <c r="D228" s="401"/>
      <c r="E228" s="391"/>
      <c r="F228" s="417"/>
      <c r="G228" s="417"/>
      <c r="H228" s="417"/>
      <c r="I228" s="417"/>
      <c r="J228" s="418"/>
      <c r="K228" s="298"/>
      <c r="L228" s="447">
        <f t="shared" si="8"/>
        <v>0</v>
      </c>
      <c r="M228" s="447"/>
      <c r="N228" s="298"/>
      <c r="O228" s="298"/>
      <c r="P228" s="298"/>
      <c r="Q228" s="298"/>
      <c r="R228" s="298"/>
      <c r="S228" s="298"/>
    </row>
    <row r="229" spans="1:19" s="92" customFormat="1">
      <c r="A229" s="256"/>
      <c r="B229" s="390" t="s">
        <v>17787</v>
      </c>
      <c r="C229" s="390"/>
      <c r="D229" s="399" t="s">
        <v>16770</v>
      </c>
      <c r="E229" s="391"/>
      <c r="F229" s="417"/>
      <c r="G229" s="417"/>
      <c r="H229" s="417"/>
      <c r="I229" s="417"/>
      <c r="J229" s="418"/>
      <c r="K229" s="298"/>
      <c r="L229" s="447">
        <f t="shared" si="8"/>
        <v>0</v>
      </c>
      <c r="M229" s="447"/>
      <c r="N229" s="298"/>
      <c r="O229" s="298"/>
      <c r="P229" s="298"/>
      <c r="Q229" s="298"/>
      <c r="R229" s="298"/>
      <c r="S229" s="298"/>
    </row>
    <row r="230" spans="1:19" s="92" customFormat="1" ht="25.5">
      <c r="A230" s="394" t="s">
        <v>12</v>
      </c>
      <c r="B230" s="288" t="s">
        <v>17788</v>
      </c>
      <c r="C230" s="285" t="s">
        <v>17843</v>
      </c>
      <c r="D230" s="289" t="s">
        <v>17840</v>
      </c>
      <c r="E230" s="290" t="s">
        <v>109</v>
      </c>
      <c r="F230" s="292">
        <v>2</v>
      </c>
      <c r="G230" s="510">
        <v>43753.601350000004</v>
      </c>
      <c r="H230" s="508">
        <v>0.1089</v>
      </c>
      <c r="I230" s="510">
        <v>48518.368537015005</v>
      </c>
      <c r="J230" s="509">
        <v>97036.73707403001</v>
      </c>
      <c r="K230" s="298"/>
      <c r="L230" s="447">
        <f t="shared" si="8"/>
        <v>97036.73707403001</v>
      </c>
      <c r="M230" s="447"/>
      <c r="N230" s="298"/>
      <c r="O230" s="298"/>
      <c r="P230" s="298"/>
      <c r="Q230" s="298"/>
      <c r="R230" s="298"/>
      <c r="S230" s="298"/>
    </row>
    <row r="231" spans="1:19" s="92" customFormat="1" ht="25.5">
      <c r="A231" s="394" t="s">
        <v>3260</v>
      </c>
      <c r="B231" s="288" t="s">
        <v>17818</v>
      </c>
      <c r="C231" s="285" t="s">
        <v>17819</v>
      </c>
      <c r="D231" s="289" t="s">
        <v>17821</v>
      </c>
      <c r="E231" s="290" t="s">
        <v>109</v>
      </c>
      <c r="F231" s="292">
        <v>2</v>
      </c>
      <c r="G231" s="510">
        <v>187.37</v>
      </c>
      <c r="H231" s="508">
        <v>0.2094</v>
      </c>
      <c r="I231" s="510">
        <v>226.605278</v>
      </c>
      <c r="J231" s="509">
        <v>453.210556</v>
      </c>
      <c r="K231" s="298"/>
      <c r="L231" s="447">
        <f t="shared" si="8"/>
        <v>453.210556</v>
      </c>
      <c r="M231" s="447"/>
      <c r="N231" s="298"/>
      <c r="O231" s="298"/>
      <c r="P231" s="298"/>
      <c r="Q231" s="298"/>
      <c r="R231" s="298"/>
      <c r="S231" s="298"/>
    </row>
    <row r="232" spans="1:19" s="92" customFormat="1">
      <c r="A232" s="256"/>
      <c r="B232" s="391"/>
      <c r="C232" s="391"/>
      <c r="D232" s="401"/>
      <c r="E232" s="391"/>
      <c r="F232" s="417"/>
      <c r="G232" s="417"/>
      <c r="H232" s="417"/>
      <c r="I232" s="417"/>
      <c r="J232" s="418"/>
      <c r="K232" s="298"/>
      <c r="L232" s="447">
        <f t="shared" si="8"/>
        <v>0</v>
      </c>
      <c r="M232" s="447"/>
      <c r="N232" s="298"/>
      <c r="O232" s="298"/>
      <c r="P232" s="298"/>
      <c r="Q232" s="298"/>
      <c r="R232" s="298"/>
      <c r="S232" s="298"/>
    </row>
    <row r="233" spans="1:19" s="92" customFormat="1">
      <c r="A233" s="256"/>
      <c r="B233" s="392"/>
      <c r="C233" s="393"/>
      <c r="D233" s="402"/>
      <c r="E233" s="393"/>
      <c r="F233" s="393"/>
      <c r="G233" s="460" t="s">
        <v>69</v>
      </c>
      <c r="H233" s="432"/>
      <c r="I233" s="460"/>
      <c r="J233" s="420">
        <v>99270.270902130011</v>
      </c>
      <c r="K233" s="298"/>
      <c r="L233" s="447">
        <f t="shared" si="8"/>
        <v>0</v>
      </c>
      <c r="M233" s="447"/>
      <c r="N233" s="298"/>
      <c r="O233" s="298"/>
      <c r="P233" s="298"/>
      <c r="Q233" s="298"/>
      <c r="R233" s="298"/>
      <c r="S233" s="298"/>
    </row>
    <row r="234" spans="1:19" s="92" customFormat="1">
      <c r="A234" s="256"/>
      <c r="B234" s="397"/>
      <c r="C234" s="397"/>
      <c r="D234" s="408"/>
      <c r="E234" s="397"/>
      <c r="F234" s="431"/>
      <c r="G234" s="431"/>
      <c r="H234" s="431"/>
      <c r="I234" s="431"/>
      <c r="J234" s="428"/>
      <c r="K234" s="298"/>
      <c r="L234" s="447">
        <f t="shared" si="8"/>
        <v>0</v>
      </c>
      <c r="M234" s="447"/>
      <c r="N234" s="298"/>
      <c r="O234" s="298"/>
      <c r="P234" s="298"/>
      <c r="Q234" s="298"/>
      <c r="R234" s="298"/>
      <c r="S234" s="298"/>
    </row>
    <row r="235" spans="1:19" s="92" customFormat="1">
      <c r="A235" s="256"/>
      <c r="B235" s="390" t="s">
        <v>14579</v>
      </c>
      <c r="C235" s="390"/>
      <c r="D235" s="479" t="s">
        <v>14580</v>
      </c>
      <c r="E235" s="397"/>
      <c r="F235" s="431"/>
      <c r="G235" s="431"/>
      <c r="H235" s="431"/>
      <c r="I235" s="431"/>
      <c r="J235" s="428"/>
      <c r="K235" s="447"/>
      <c r="L235" s="447">
        <f t="shared" si="8"/>
        <v>0</v>
      </c>
      <c r="M235" s="447"/>
      <c r="N235" s="298"/>
      <c r="O235" s="298"/>
      <c r="P235" s="298"/>
      <c r="Q235" s="298"/>
      <c r="R235" s="298"/>
      <c r="S235" s="298"/>
    </row>
    <row r="236" spans="1:19" s="92" customFormat="1">
      <c r="A236" s="256"/>
      <c r="B236" s="390" t="s">
        <v>15054</v>
      </c>
      <c r="C236" s="390"/>
      <c r="D236" s="399" t="s">
        <v>15055</v>
      </c>
      <c r="E236" s="415"/>
      <c r="F236" s="415"/>
      <c r="G236" s="462"/>
      <c r="H236" s="415"/>
      <c r="I236" s="462"/>
      <c r="J236" s="416"/>
      <c r="K236" s="447"/>
      <c r="L236" s="447">
        <f t="shared" si="8"/>
        <v>0</v>
      </c>
      <c r="M236" s="447"/>
      <c r="N236" s="298"/>
      <c r="O236" s="298"/>
      <c r="P236" s="298"/>
      <c r="Q236" s="298"/>
      <c r="R236" s="298"/>
      <c r="S236" s="298"/>
    </row>
    <row r="237" spans="1:19" s="92" customFormat="1" ht="51">
      <c r="A237" s="256" t="s">
        <v>3260</v>
      </c>
      <c r="B237" s="288" t="s">
        <v>15062</v>
      </c>
      <c r="C237" s="288" t="s">
        <v>15114</v>
      </c>
      <c r="D237" s="289" t="s">
        <v>17914</v>
      </c>
      <c r="E237" s="290" t="s">
        <v>109</v>
      </c>
      <c r="F237" s="292">
        <v>1</v>
      </c>
      <c r="G237" s="510">
        <v>164.22</v>
      </c>
      <c r="H237" s="508">
        <v>0.2094</v>
      </c>
      <c r="I237" s="510">
        <v>198.60766799999999</v>
      </c>
      <c r="J237" s="509">
        <v>198.60766799999999</v>
      </c>
      <c r="K237" s="298"/>
      <c r="L237" s="447">
        <f t="shared" si="8"/>
        <v>198.60766799999999</v>
      </c>
      <c r="M237" s="447"/>
      <c r="N237" s="298"/>
      <c r="O237" s="298"/>
      <c r="P237" s="298"/>
      <c r="Q237" s="298"/>
      <c r="R237" s="298"/>
      <c r="S237" s="298"/>
    </row>
    <row r="238" spans="1:19" s="92" customFormat="1" ht="78" customHeight="1">
      <c r="A238" s="256" t="s">
        <v>3260</v>
      </c>
      <c r="B238" s="288" t="s">
        <v>15070</v>
      </c>
      <c r="C238" s="288" t="s">
        <v>15116</v>
      </c>
      <c r="D238" s="289" t="s">
        <v>15120</v>
      </c>
      <c r="E238" s="290" t="s">
        <v>109</v>
      </c>
      <c r="F238" s="292">
        <v>1</v>
      </c>
      <c r="G238" s="510">
        <v>34.21</v>
      </c>
      <c r="H238" s="508">
        <v>0.2094</v>
      </c>
      <c r="I238" s="510">
        <v>41.373574000000005</v>
      </c>
      <c r="J238" s="509">
        <v>41.373574000000005</v>
      </c>
      <c r="K238" s="447"/>
      <c r="L238" s="447">
        <f t="shared" si="8"/>
        <v>41.373574000000005</v>
      </c>
      <c r="M238" s="447"/>
      <c r="N238" s="298"/>
      <c r="O238" s="298"/>
      <c r="P238" s="298"/>
      <c r="Q238" s="298"/>
      <c r="R238" s="298"/>
      <c r="S238" s="298"/>
    </row>
    <row r="239" spans="1:19" s="92" customFormat="1">
      <c r="A239" s="256"/>
      <c r="B239" s="397"/>
      <c r="C239" s="397"/>
      <c r="D239" s="408"/>
      <c r="E239" s="397"/>
      <c r="F239" s="431"/>
      <c r="G239" s="431"/>
      <c r="H239" s="417"/>
      <c r="I239" s="431"/>
      <c r="J239" s="418"/>
      <c r="K239" s="298"/>
      <c r="L239" s="447">
        <f t="shared" si="8"/>
        <v>0</v>
      </c>
      <c r="M239" s="447"/>
      <c r="N239" s="298"/>
      <c r="O239" s="298"/>
      <c r="P239" s="298"/>
      <c r="Q239" s="298"/>
      <c r="R239" s="298"/>
      <c r="S239" s="298"/>
    </row>
    <row r="240" spans="1:19" s="92" customFormat="1">
      <c r="A240" s="256"/>
      <c r="B240" s="392"/>
      <c r="C240" s="393"/>
      <c r="D240" s="402"/>
      <c r="E240" s="393"/>
      <c r="F240" s="393"/>
      <c r="G240" s="460" t="s">
        <v>69</v>
      </c>
      <c r="H240" s="432"/>
      <c r="I240" s="460"/>
      <c r="J240" s="420">
        <v>239.98124200000001</v>
      </c>
      <c r="K240" s="298"/>
      <c r="L240" s="447">
        <f t="shared" si="8"/>
        <v>0</v>
      </c>
      <c r="M240" s="447"/>
      <c r="N240" s="298"/>
      <c r="O240" s="298"/>
      <c r="P240" s="298"/>
      <c r="Q240" s="298"/>
      <c r="R240" s="298"/>
      <c r="S240" s="298"/>
    </row>
    <row r="241" spans="1:19" s="92" customFormat="1">
      <c r="A241" s="256"/>
      <c r="B241" s="397"/>
      <c r="C241" s="397"/>
      <c r="D241" s="408"/>
      <c r="E241" s="397"/>
      <c r="F241" s="431"/>
      <c r="G241" s="431"/>
      <c r="H241" s="431"/>
      <c r="I241" s="431"/>
      <c r="J241" s="425"/>
      <c r="K241" s="298"/>
      <c r="L241" s="447">
        <f t="shared" si="8"/>
        <v>0</v>
      </c>
      <c r="M241" s="447"/>
      <c r="N241" s="298"/>
      <c r="O241" s="298"/>
      <c r="P241" s="298"/>
      <c r="Q241" s="298"/>
      <c r="R241" s="298"/>
      <c r="S241" s="298"/>
    </row>
    <row r="242" spans="1:19" s="140" customFormat="1">
      <c r="A242" s="394"/>
      <c r="B242" s="395"/>
      <c r="C242" s="395"/>
      <c r="D242" s="404"/>
      <c r="E242" s="395"/>
      <c r="F242" s="395"/>
      <c r="G242" s="434" t="s">
        <v>70</v>
      </c>
      <c r="H242" s="435"/>
      <c r="I242" s="460"/>
      <c r="J242" s="420">
        <v>162715.36418337002</v>
      </c>
      <c r="K242" s="448"/>
      <c r="L242" s="450">
        <f>SUM(L12:L241)</f>
        <v>162715.36418337002</v>
      </c>
      <c r="M242" s="449"/>
      <c r="N242" s="409"/>
      <c r="O242" s="409"/>
      <c r="P242" s="409"/>
      <c r="Q242" s="409"/>
      <c r="R242" s="409"/>
      <c r="S242" s="409"/>
    </row>
    <row r="243" spans="1:19" s="140" customFormat="1">
      <c r="A243" s="394"/>
      <c r="B243" s="394"/>
      <c r="C243" s="394"/>
      <c r="D243" s="409"/>
      <c r="E243" s="394"/>
      <c r="F243" s="437"/>
      <c r="G243" s="437"/>
      <c r="H243" s="437"/>
      <c r="I243" s="438"/>
      <c r="J243" s="437"/>
      <c r="K243" s="409"/>
      <c r="L243" s="409"/>
      <c r="M243" s="409"/>
      <c r="N243" s="409"/>
      <c r="O243" s="409"/>
      <c r="P243" s="409"/>
      <c r="Q243" s="409"/>
      <c r="R243" s="409"/>
      <c r="S243" s="409"/>
    </row>
    <row r="244" spans="1:19" s="70" customFormat="1" ht="58.15" customHeight="1">
      <c r="A244" s="128"/>
      <c r="B244" s="808" t="str">
        <f>'018.02-21-IMPLANTAÇÃO'!B440:J440</f>
        <v>ENG. GABRIEL DA CUNHA ARAUJO
CREA 23300/D-DF
ART: 0720210046394
MAT.: 973.175-X</v>
      </c>
      <c r="C244" s="808"/>
      <c r="D244" s="808"/>
      <c r="E244" s="808"/>
      <c r="F244" s="808"/>
      <c r="G244" s="808"/>
      <c r="H244" s="808"/>
      <c r="I244" s="808"/>
      <c r="J244" s="808"/>
      <c r="K244" s="446"/>
      <c r="L244" s="446"/>
      <c r="M244" s="446"/>
      <c r="N244" s="446"/>
      <c r="O244" s="446"/>
      <c r="P244" s="446"/>
      <c r="Q244" s="446"/>
      <c r="R244" s="446"/>
      <c r="S244" s="446"/>
    </row>
    <row r="245" spans="1:19" s="70" customFormat="1" ht="58.15" customHeight="1">
      <c r="A245" s="128"/>
      <c r="B245" s="808" t="str">
        <f>'018.02-21-IMPLANTAÇÃO'!B441:J441</f>
        <v>ENG. GILMAR DA MOTA FERNANDES
CREA 23785/D-DF
ART: 0720210047629
MAT.: 973.113-X</v>
      </c>
      <c r="C245" s="808"/>
      <c r="D245" s="808"/>
      <c r="E245" s="808"/>
      <c r="F245" s="808"/>
      <c r="G245" s="808"/>
      <c r="H245" s="808"/>
      <c r="I245" s="808"/>
      <c r="J245" s="808"/>
      <c r="K245" s="446"/>
      <c r="L245" s="446"/>
      <c r="M245" s="446"/>
      <c r="N245" s="446"/>
      <c r="O245" s="446"/>
      <c r="P245" s="446"/>
      <c r="Q245" s="446"/>
      <c r="R245" s="446"/>
      <c r="S245" s="446"/>
    </row>
    <row r="246" spans="1:19" s="70" customFormat="1" ht="58.15" customHeight="1">
      <c r="A246" s="128"/>
      <c r="B246" s="808" t="str">
        <f>'018.02-21-IMPLANTAÇÃO'!B442:J442</f>
        <v>ENG. TIAGO DE SOUZA OLIVEIRA
CREA 24935/D-DF
ART: 0720210047000
MAT.: 973.315-9</v>
      </c>
      <c r="C246" s="808"/>
      <c r="D246" s="808"/>
      <c r="E246" s="808"/>
      <c r="F246" s="808"/>
      <c r="G246" s="808"/>
      <c r="H246" s="808"/>
      <c r="I246" s="808"/>
      <c r="J246" s="808"/>
      <c r="K246" s="446"/>
      <c r="L246" s="446"/>
      <c r="M246" s="446"/>
      <c r="N246" s="446"/>
      <c r="O246" s="446"/>
      <c r="P246" s="446"/>
      <c r="Q246" s="446"/>
      <c r="R246" s="446"/>
      <c r="S246" s="446"/>
    </row>
    <row r="251" spans="1:19">
      <c r="D251" s="410"/>
      <c r="F251" s="398"/>
      <c r="G251" s="398"/>
      <c r="H251" s="398"/>
      <c r="I251" s="398"/>
      <c r="J251" s="398"/>
    </row>
    <row r="252" spans="1:19">
      <c r="D252" s="410"/>
      <c r="F252" s="398"/>
      <c r="G252" s="398"/>
      <c r="H252" s="398"/>
      <c r="I252" s="398"/>
      <c r="J252" s="398"/>
    </row>
  </sheetData>
  <autoFilter ref="B11:J247"/>
  <mergeCells count="14">
    <mergeCell ref="B6:C6"/>
    <mergeCell ref="D6:E6"/>
    <mergeCell ref="B1:J1"/>
    <mergeCell ref="B2:J2"/>
    <mergeCell ref="B3:J3"/>
    <mergeCell ref="B4:J4"/>
    <mergeCell ref="B5:J5"/>
    <mergeCell ref="B246:J246"/>
    <mergeCell ref="B7:C7"/>
    <mergeCell ref="D7:F7"/>
    <mergeCell ref="B8:C8"/>
    <mergeCell ref="B9:C9"/>
    <mergeCell ref="B244:J244"/>
    <mergeCell ref="B245:J245"/>
  </mergeCells>
  <printOptions horizontalCentered="1"/>
  <pageMargins left="0.59055118110236227" right="0.62992125984251968" top="0.33" bottom="0.36" header="0.19685039370078741" footer="0.19685039370078741"/>
  <pageSetup paperSize="9" scale="60" orientation="portrait" r:id="rId1"/>
  <headerFooter>
    <oddHeader>&amp;C&amp;F</oddHeader>
    <oddFooter>Página &amp;P de &amp;N</oddFooter>
  </headerFooter>
  <drawing r:id="rId2"/>
  <legacyDrawing r:id="rId3"/>
</worksheet>
</file>

<file path=xl/worksheets/sheet9.xml><?xml version="1.0" encoding="utf-8"?>
<worksheet xmlns="http://schemas.openxmlformats.org/spreadsheetml/2006/main" xmlns:r="http://schemas.openxmlformats.org/officeDocument/2006/relationships">
  <sheetPr>
    <tabColor rgb="FF00B0F0"/>
    <pageSetUpPr fitToPage="1"/>
  </sheetPr>
  <dimension ref="A1:BP2880"/>
  <sheetViews>
    <sheetView showGridLines="0" view="pageBreakPreview" zoomScaleNormal="100" zoomScaleSheetLayoutView="100" workbookViewId="0">
      <selection activeCell="J12" sqref="J12"/>
    </sheetView>
  </sheetViews>
  <sheetFormatPr defaultColWidth="9.140625" defaultRowHeight="15"/>
  <cols>
    <col min="1" max="1" width="10.140625" style="377" customWidth="1"/>
    <col min="2" max="2" width="12.5703125" style="377" customWidth="1"/>
    <col min="3" max="3" width="44.42578125" style="380" customWidth="1"/>
    <col min="4" max="4" width="8.140625" style="377" customWidth="1"/>
    <col min="5" max="5" width="7.5703125" style="377" customWidth="1"/>
    <col min="6" max="6" width="14.42578125" style="377" customWidth="1"/>
    <col min="7" max="7" width="10.7109375" style="377" customWidth="1"/>
    <col min="8" max="8" width="17.5703125" style="377" customWidth="1"/>
    <col min="9" max="9" width="9.140625" style="183" customWidth="1"/>
    <col min="10" max="10" width="19.28515625" style="580" customWidth="1"/>
    <col min="11" max="11" width="17.5703125" style="183" customWidth="1"/>
    <col min="12" max="14" width="14.7109375" style="183" customWidth="1"/>
    <col min="15" max="15" width="13.42578125" style="183" customWidth="1"/>
    <col min="16" max="17" width="14.7109375" style="183" customWidth="1"/>
    <col min="18" max="18" width="9.140625" style="183"/>
    <col min="19" max="19" width="9.140625" style="633"/>
    <col min="20" max="20" width="9.140625" style="637"/>
    <col min="21" max="68" width="9.140625" style="183"/>
    <col min="69" max="16384" width="9.140625" style="77"/>
  </cols>
  <sheetData>
    <row r="1" spans="1:68" s="86" customFormat="1" ht="15.75">
      <c r="A1" s="127"/>
      <c r="B1" s="830"/>
      <c r="C1" s="814"/>
      <c r="D1" s="830"/>
      <c r="E1" s="830"/>
      <c r="F1" s="830"/>
      <c r="G1" s="830"/>
      <c r="H1" s="830"/>
      <c r="I1" s="87"/>
      <c r="S1" s="630"/>
      <c r="T1" s="444"/>
    </row>
    <row r="2" spans="1:68" s="74" customFormat="1" ht="18.75">
      <c r="A2" s="371"/>
      <c r="B2" s="831" t="s">
        <v>3765</v>
      </c>
      <c r="C2" s="831"/>
      <c r="D2" s="831"/>
      <c r="E2" s="831"/>
      <c r="F2" s="831"/>
      <c r="G2" s="831"/>
      <c r="H2" s="831"/>
      <c r="I2" s="132"/>
      <c r="J2" s="132"/>
      <c r="K2" s="132"/>
      <c r="L2" s="72"/>
      <c r="M2" s="72"/>
      <c r="N2" s="72"/>
      <c r="O2" s="72"/>
      <c r="P2" s="72"/>
      <c r="Q2" s="72"/>
      <c r="R2" s="72"/>
      <c r="S2" s="631"/>
      <c r="T2" s="634"/>
      <c r="U2" s="72"/>
      <c r="V2" s="72"/>
      <c r="W2" s="72"/>
      <c r="X2" s="72"/>
    </row>
    <row r="3" spans="1:68" s="74" customFormat="1" ht="18.75">
      <c r="A3" s="371"/>
      <c r="B3" s="831" t="s">
        <v>3766</v>
      </c>
      <c r="C3" s="831"/>
      <c r="D3" s="831"/>
      <c r="E3" s="831"/>
      <c r="F3" s="831"/>
      <c r="G3" s="831"/>
      <c r="H3" s="831"/>
      <c r="I3" s="132"/>
      <c r="J3" s="132"/>
      <c r="K3" s="132"/>
      <c r="L3" s="72"/>
      <c r="M3" s="72"/>
      <c r="N3" s="72"/>
      <c r="O3" s="72"/>
      <c r="P3" s="72"/>
      <c r="Q3" s="72"/>
      <c r="R3" s="72"/>
      <c r="S3" s="631"/>
      <c r="T3" s="634"/>
      <c r="U3" s="72"/>
      <c r="V3" s="72"/>
      <c r="W3" s="72"/>
      <c r="X3" s="72"/>
    </row>
    <row r="4" spans="1:68" s="74" customFormat="1" ht="18.75">
      <c r="A4" s="371"/>
      <c r="B4" s="831" t="s">
        <v>3768</v>
      </c>
      <c r="C4" s="831"/>
      <c r="D4" s="831"/>
      <c r="E4" s="831"/>
      <c r="F4" s="831"/>
      <c r="G4" s="831"/>
      <c r="H4" s="831"/>
      <c r="I4" s="132"/>
      <c r="J4" s="132"/>
      <c r="K4" s="132"/>
      <c r="L4" s="75"/>
      <c r="M4" s="75"/>
      <c r="N4" s="75"/>
      <c r="O4" s="73"/>
      <c r="P4" s="72"/>
      <c r="Q4" s="72"/>
      <c r="R4" s="72"/>
      <c r="S4" s="631"/>
      <c r="T4" s="634"/>
      <c r="U4" s="72"/>
      <c r="V4" s="72"/>
      <c r="W4" s="72"/>
      <c r="X4" s="72"/>
    </row>
    <row r="5" spans="1:68" s="74" customFormat="1" ht="18.75">
      <c r="A5" s="371"/>
      <c r="B5" s="831" t="s">
        <v>296</v>
      </c>
      <c r="C5" s="831"/>
      <c r="D5" s="831"/>
      <c r="E5" s="831"/>
      <c r="F5" s="831"/>
      <c r="G5" s="831"/>
      <c r="H5" s="831"/>
      <c r="I5" s="132"/>
      <c r="J5" s="132"/>
      <c r="K5" s="132"/>
      <c r="L5" s="72"/>
      <c r="M5" s="72"/>
      <c r="N5" s="72"/>
      <c r="O5" s="73"/>
      <c r="P5" s="72"/>
      <c r="Q5" s="72"/>
      <c r="R5" s="72"/>
      <c r="S5" s="631"/>
      <c r="T5" s="634"/>
      <c r="U5" s="72"/>
      <c r="V5" s="72"/>
      <c r="W5" s="72"/>
      <c r="X5" s="72"/>
    </row>
    <row r="6" spans="1:68" s="67" customFormat="1" ht="24.75" customHeight="1">
      <c r="A6" s="130"/>
      <c r="B6" s="551" t="s">
        <v>101</v>
      </c>
      <c r="C6" s="294" t="s">
        <v>24738</v>
      </c>
      <c r="D6" s="305"/>
      <c r="E6" s="305"/>
      <c r="F6" s="130"/>
      <c r="G6" s="327" t="s">
        <v>61</v>
      </c>
      <c r="H6" s="328">
        <f>'018-21-CAPA'!E20</f>
        <v>44389</v>
      </c>
      <c r="I6" s="69"/>
      <c r="L6" s="66"/>
      <c r="M6" s="66"/>
      <c r="N6" s="66"/>
      <c r="O6" s="66"/>
      <c r="P6" s="66"/>
      <c r="Q6" s="66"/>
      <c r="R6" s="66"/>
      <c r="S6" s="632"/>
      <c r="T6" s="446"/>
      <c r="U6" s="66"/>
    </row>
    <row r="7" spans="1:68" s="67" customFormat="1" ht="18" customHeight="1">
      <c r="A7" s="130"/>
      <c r="B7" s="551" t="s">
        <v>13</v>
      </c>
      <c r="C7" s="832" t="s">
        <v>24736</v>
      </c>
      <c r="D7" s="833"/>
      <c r="E7" s="833"/>
      <c r="F7" s="130"/>
      <c r="G7" s="551" t="s">
        <v>16</v>
      </c>
      <c r="H7" s="329" t="str">
        <f>'018.03-21-ED. PRINCIPAL'!J7</f>
        <v>PROJ-DE-045-20</v>
      </c>
      <c r="I7" s="68"/>
      <c r="L7" s="66"/>
      <c r="M7" s="66"/>
      <c r="N7" s="66"/>
      <c r="O7" s="66"/>
      <c r="P7" s="66"/>
      <c r="Q7" s="66"/>
      <c r="R7" s="66"/>
      <c r="S7" s="632"/>
      <c r="T7" s="446"/>
      <c r="U7" s="66"/>
    </row>
    <row r="8" spans="1:68" s="67" customFormat="1" ht="25.5" customHeight="1">
      <c r="A8" s="130"/>
      <c r="B8" s="551" t="s">
        <v>102</v>
      </c>
      <c r="C8" s="378" t="str">
        <f>'018.03-21-ED. PRINCIPAL'!D9</f>
        <v>horista=113,69% / mensalista=73,06%</v>
      </c>
      <c r="D8" s="347" t="s">
        <v>66</v>
      </c>
      <c r="E8" s="306" t="s">
        <v>67</v>
      </c>
      <c r="F8" s="130"/>
      <c r="G8" s="327" t="s">
        <v>68</v>
      </c>
      <c r="H8" s="305" t="str">
        <f>'018.03-21-ED. PRINCIPAL'!J9</f>
        <v>SINAPI MAIO 2021</v>
      </c>
      <c r="I8" s="69"/>
      <c r="L8" s="66"/>
      <c r="M8" s="66"/>
      <c r="N8" s="66"/>
      <c r="O8" s="66"/>
      <c r="P8" s="66"/>
      <c r="Q8" s="66"/>
      <c r="R8" s="66"/>
      <c r="S8" s="632"/>
      <c r="T8" s="446"/>
      <c r="U8" s="66"/>
    </row>
    <row r="9" spans="1:68" s="88" customFormat="1" ht="25.5">
      <c r="A9" s="286"/>
      <c r="B9" s="372" t="s">
        <v>0</v>
      </c>
      <c r="C9" s="231" t="s">
        <v>1</v>
      </c>
      <c r="D9" s="232" t="s">
        <v>9715</v>
      </c>
      <c r="E9" s="232" t="s">
        <v>171</v>
      </c>
      <c r="F9" s="233" t="s">
        <v>11592</v>
      </c>
      <c r="G9" s="234" t="s">
        <v>15158</v>
      </c>
      <c r="H9" s="235" t="s">
        <v>15159</v>
      </c>
      <c r="I9" s="92"/>
      <c r="J9" s="72"/>
      <c r="K9" s="178"/>
      <c r="L9" s="92"/>
      <c r="M9" s="92"/>
      <c r="N9" s="92"/>
      <c r="O9" s="92"/>
      <c r="P9" s="92"/>
      <c r="Q9" s="92"/>
      <c r="R9" s="92"/>
      <c r="S9" s="536"/>
      <c r="T9" s="298"/>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row>
    <row r="10" spans="1:68" s="529" customFormat="1" ht="12.75">
      <c r="A10" s="286"/>
      <c r="B10" s="373"/>
      <c r="C10" s="379"/>
      <c r="D10" s="382"/>
      <c r="E10" s="382"/>
      <c r="F10" s="382"/>
      <c r="G10" s="382"/>
      <c r="H10" s="382"/>
      <c r="I10" s="298"/>
      <c r="J10" s="634"/>
      <c r="K10" s="524"/>
      <c r="L10" s="298"/>
      <c r="M10" s="298"/>
      <c r="N10" s="298"/>
      <c r="O10" s="298"/>
      <c r="P10" s="298"/>
      <c r="Q10" s="298"/>
      <c r="R10" s="298"/>
      <c r="S10" s="536"/>
      <c r="T10" s="298"/>
      <c r="U10" s="298"/>
      <c r="V10" s="298"/>
      <c r="W10" s="298"/>
      <c r="X10" s="298"/>
      <c r="Y10" s="298"/>
      <c r="Z10" s="298"/>
      <c r="AA10" s="298"/>
      <c r="AB10" s="298"/>
      <c r="AC10" s="298"/>
      <c r="AD10" s="298"/>
      <c r="AE10" s="298"/>
      <c r="AF10" s="298"/>
      <c r="AG10" s="298"/>
      <c r="AH10" s="298"/>
      <c r="AI10" s="298"/>
      <c r="AJ10" s="298"/>
      <c r="AK10" s="298"/>
      <c r="AL10" s="298"/>
      <c r="AM10" s="298"/>
      <c r="AN10" s="298"/>
      <c r="AO10" s="298"/>
      <c r="AP10" s="298"/>
      <c r="AQ10" s="298"/>
      <c r="AR10" s="298"/>
      <c r="AS10" s="298"/>
      <c r="AT10" s="298"/>
      <c r="AU10" s="298"/>
      <c r="AV10" s="298"/>
      <c r="AW10" s="298"/>
      <c r="AX10" s="298"/>
      <c r="AY10" s="298"/>
      <c r="AZ10" s="298"/>
      <c r="BA10" s="298"/>
      <c r="BB10" s="298"/>
      <c r="BC10" s="298"/>
      <c r="BD10" s="298"/>
      <c r="BE10" s="298"/>
      <c r="BF10" s="298"/>
      <c r="BG10" s="298"/>
      <c r="BH10" s="298"/>
      <c r="BI10" s="298"/>
      <c r="BJ10" s="298"/>
      <c r="BK10" s="298"/>
      <c r="BL10" s="298"/>
      <c r="BM10" s="298"/>
      <c r="BN10" s="298"/>
      <c r="BO10" s="298"/>
      <c r="BP10" s="298"/>
    </row>
    <row r="11" spans="1:68" s="529" customFormat="1" ht="25.5">
      <c r="A11" s="286"/>
      <c r="B11" s="372" t="s">
        <v>24501</v>
      </c>
      <c r="C11" s="231" t="s">
        <v>24505</v>
      </c>
      <c r="D11" s="232" t="s">
        <v>103</v>
      </c>
      <c r="E11" s="232" t="s">
        <v>109</v>
      </c>
      <c r="F11" s="233"/>
      <c r="G11" s="234"/>
      <c r="H11" s="235">
        <v>10964.12</v>
      </c>
      <c r="I11" s="298"/>
      <c r="J11" s="634"/>
      <c r="K11" s="524"/>
      <c r="L11" s="298"/>
      <c r="M11" s="298"/>
      <c r="N11" s="298"/>
      <c r="O11" s="298"/>
      <c r="P11" s="298"/>
      <c r="Q11" s="298"/>
      <c r="R11" s="298"/>
      <c r="S11" s="536"/>
      <c r="T11" s="298"/>
      <c r="U11" s="298"/>
      <c r="V11" s="298"/>
      <c r="W11" s="298"/>
      <c r="X11" s="298"/>
      <c r="Y11" s="298"/>
      <c r="Z11" s="298"/>
      <c r="AA11" s="298"/>
      <c r="AB11" s="298"/>
      <c r="AC11" s="298"/>
      <c r="AD11" s="298"/>
      <c r="AE11" s="298"/>
      <c r="AF11" s="298"/>
      <c r="AG11" s="298"/>
      <c r="AH11" s="298"/>
      <c r="AI11" s="298"/>
      <c r="AJ11" s="298"/>
      <c r="AK11" s="298"/>
      <c r="AL11" s="298"/>
      <c r="AM11" s="298"/>
      <c r="AN11" s="298"/>
      <c r="AO11" s="298"/>
      <c r="AP11" s="298"/>
      <c r="AQ11" s="298"/>
      <c r="AR11" s="298"/>
      <c r="AS11" s="298"/>
      <c r="AT11" s="298"/>
      <c r="AU11" s="298"/>
      <c r="AV11" s="298"/>
      <c r="AW11" s="298"/>
      <c r="AX11" s="298"/>
      <c r="AY11" s="298"/>
      <c r="AZ11" s="298"/>
      <c r="BA11" s="298"/>
      <c r="BB11" s="298"/>
      <c r="BC11" s="298"/>
      <c r="BD11" s="298"/>
      <c r="BE11" s="298"/>
      <c r="BF11" s="298"/>
      <c r="BG11" s="298"/>
      <c r="BH11" s="298"/>
      <c r="BI11" s="298"/>
      <c r="BJ11" s="298"/>
      <c r="BK11" s="298"/>
      <c r="BL11" s="298"/>
      <c r="BM11" s="298"/>
      <c r="BN11" s="298"/>
      <c r="BO11" s="298"/>
      <c r="BP11" s="298"/>
    </row>
    <row r="12" spans="1:68" s="298" customFormat="1" ht="25.5">
      <c r="A12" s="256"/>
      <c r="B12" s="288" t="s">
        <v>24503</v>
      </c>
      <c r="C12" s="289" t="s">
        <v>24505</v>
      </c>
      <c r="D12" s="290" t="s">
        <v>103</v>
      </c>
      <c r="E12" s="290" t="s">
        <v>109</v>
      </c>
      <c r="F12" s="291">
        <v>1</v>
      </c>
      <c r="G12" s="292">
        <v>10964.120114531215</v>
      </c>
      <c r="H12" s="255">
        <v>10964.12</v>
      </c>
      <c r="I12" s="636"/>
      <c r="J12" s="639"/>
      <c r="K12" s="640"/>
      <c r="L12" s="636"/>
      <c r="M12" s="636"/>
      <c r="N12" s="636"/>
      <c r="O12" s="636"/>
      <c r="P12" s="636"/>
      <c r="Q12" s="636"/>
      <c r="S12" s="536"/>
      <c r="T12" s="638"/>
    </row>
    <row r="13" spans="1:68" s="298" customFormat="1" ht="12.75">
      <c r="A13" s="256"/>
      <c r="B13" s="288" t="s">
        <v>143</v>
      </c>
      <c r="C13" s="819" t="s">
        <v>24502</v>
      </c>
      <c r="D13" s="820"/>
      <c r="E13" s="820"/>
      <c r="F13" s="820"/>
      <c r="G13" s="820"/>
      <c r="H13" s="821"/>
      <c r="J13" s="634"/>
      <c r="K13" s="524"/>
      <c r="S13" s="536"/>
      <c r="T13" s="635"/>
    </row>
    <row r="14" spans="1:68" s="529" customFormat="1" ht="12.75">
      <c r="A14" s="286"/>
      <c r="B14" s="373"/>
      <c r="C14" s="379"/>
      <c r="D14" s="382"/>
      <c r="E14" s="382"/>
      <c r="F14" s="382"/>
      <c r="G14" s="382"/>
      <c r="H14" s="382"/>
      <c r="I14" s="298"/>
      <c r="J14" s="634"/>
      <c r="K14" s="524"/>
      <c r="L14" s="298"/>
      <c r="M14" s="298"/>
      <c r="N14" s="298"/>
      <c r="O14" s="298"/>
      <c r="P14" s="298"/>
      <c r="Q14" s="298"/>
      <c r="R14" s="298"/>
      <c r="S14" s="536"/>
      <c r="T14" s="298"/>
      <c r="U14" s="298"/>
      <c r="V14" s="298"/>
      <c r="W14" s="298"/>
      <c r="X14" s="298"/>
      <c r="Y14" s="298"/>
      <c r="Z14" s="298"/>
      <c r="AA14" s="298"/>
      <c r="AB14" s="298"/>
      <c r="AC14" s="298"/>
      <c r="AD14" s="298"/>
      <c r="AE14" s="298"/>
      <c r="AF14" s="298"/>
      <c r="AG14" s="298"/>
      <c r="AH14" s="298"/>
      <c r="AI14" s="298"/>
      <c r="AJ14" s="298"/>
      <c r="AK14" s="298"/>
      <c r="AL14" s="298"/>
      <c r="AM14" s="298"/>
      <c r="AN14" s="298"/>
      <c r="AO14" s="298"/>
      <c r="AP14" s="298"/>
      <c r="AQ14" s="298"/>
      <c r="AR14" s="298"/>
      <c r="AS14" s="298"/>
      <c r="AT14" s="298"/>
      <c r="AU14" s="298"/>
      <c r="AV14" s="298"/>
      <c r="AW14" s="298"/>
      <c r="AX14" s="298"/>
      <c r="AY14" s="298"/>
      <c r="AZ14" s="298"/>
      <c r="BA14" s="298"/>
      <c r="BB14" s="298"/>
      <c r="BC14" s="298"/>
      <c r="BD14" s="298"/>
      <c r="BE14" s="298"/>
      <c r="BF14" s="298"/>
      <c r="BG14" s="298"/>
      <c r="BH14" s="298"/>
      <c r="BI14" s="298"/>
      <c r="BJ14" s="298"/>
      <c r="BK14" s="298"/>
      <c r="BL14" s="298"/>
      <c r="BM14" s="298"/>
      <c r="BN14" s="298"/>
      <c r="BO14" s="298"/>
      <c r="BP14" s="298"/>
    </row>
    <row r="15" spans="1:68" s="529" customFormat="1" ht="38.25">
      <c r="A15" s="286"/>
      <c r="B15" s="372" t="s">
        <v>8983</v>
      </c>
      <c r="C15" s="231" t="s">
        <v>15415</v>
      </c>
      <c r="D15" s="232" t="s">
        <v>103</v>
      </c>
      <c r="E15" s="232" t="s">
        <v>3246</v>
      </c>
      <c r="F15" s="233"/>
      <c r="G15" s="234"/>
      <c r="H15" s="235">
        <v>457.03</v>
      </c>
      <c r="I15" s="298"/>
      <c r="J15" s="634"/>
      <c r="K15" s="524"/>
      <c r="L15" s="298"/>
      <c r="M15" s="298"/>
      <c r="N15" s="298"/>
      <c r="O15" s="298"/>
      <c r="P15" s="298"/>
      <c r="Q15" s="298"/>
      <c r="R15" s="298"/>
      <c r="S15" s="536"/>
      <c r="T15" s="298"/>
      <c r="U15" s="298"/>
      <c r="V15" s="298"/>
      <c r="W15" s="298"/>
      <c r="X15" s="298"/>
      <c r="Y15" s="298"/>
      <c r="Z15" s="298"/>
      <c r="AA15" s="298"/>
      <c r="AB15" s="298"/>
      <c r="AC15" s="298"/>
      <c r="AD15" s="298"/>
      <c r="AE15" s="298"/>
      <c r="AF15" s="298"/>
      <c r="AG15" s="298"/>
      <c r="AH15" s="298"/>
      <c r="AI15" s="298"/>
      <c r="AJ15" s="298"/>
      <c r="AK15" s="298"/>
      <c r="AL15" s="298"/>
      <c r="AM15" s="298"/>
      <c r="AN15" s="298"/>
      <c r="AO15" s="298"/>
      <c r="AP15" s="298"/>
      <c r="AQ15" s="298"/>
      <c r="AR15" s="298"/>
      <c r="AS15" s="298"/>
      <c r="AT15" s="298"/>
      <c r="AU15" s="298"/>
      <c r="AV15" s="298"/>
      <c r="AW15" s="298"/>
      <c r="AX15" s="298"/>
      <c r="AY15" s="298"/>
      <c r="AZ15" s="298"/>
      <c r="BA15" s="298"/>
      <c r="BB15" s="298"/>
      <c r="BC15" s="298"/>
      <c r="BD15" s="298"/>
      <c r="BE15" s="298"/>
      <c r="BF15" s="298"/>
      <c r="BG15" s="298"/>
      <c r="BH15" s="298"/>
      <c r="BI15" s="298"/>
      <c r="BJ15" s="298"/>
      <c r="BK15" s="298"/>
      <c r="BL15" s="298"/>
      <c r="BM15" s="298"/>
      <c r="BN15" s="298"/>
      <c r="BO15" s="298"/>
      <c r="BP15" s="298"/>
    </row>
    <row r="16" spans="1:68" s="298" customFormat="1" ht="38.25">
      <c r="A16" s="256" t="s">
        <v>3261</v>
      </c>
      <c r="B16" s="288">
        <v>10776</v>
      </c>
      <c r="C16" s="289" t="s">
        <v>6970</v>
      </c>
      <c r="D16" s="290" t="s">
        <v>9714</v>
      </c>
      <c r="E16" s="290" t="s">
        <v>3246</v>
      </c>
      <c r="F16" s="291">
        <v>1</v>
      </c>
      <c r="G16" s="292" t="s">
        <v>20072</v>
      </c>
      <c r="H16" s="255">
        <v>457.03</v>
      </c>
      <c r="J16" s="634"/>
      <c r="K16" s="524"/>
      <c r="S16" s="536"/>
      <c r="T16" s="638"/>
    </row>
    <row r="17" spans="1:68" s="298" customFormat="1" ht="12.75">
      <c r="A17" s="256"/>
      <c r="B17" s="288" t="s">
        <v>143</v>
      </c>
      <c r="C17" s="819" t="s">
        <v>15416</v>
      </c>
      <c r="D17" s="820"/>
      <c r="E17" s="820"/>
      <c r="F17" s="820"/>
      <c r="G17" s="820"/>
      <c r="H17" s="821"/>
      <c r="J17" s="634"/>
      <c r="K17" s="524"/>
      <c r="S17" s="536"/>
      <c r="T17" s="635"/>
    </row>
    <row r="18" spans="1:68" s="529" customFormat="1" ht="12.75">
      <c r="B18" s="384"/>
      <c r="C18" s="385"/>
      <c r="D18" s="385"/>
      <c r="E18" s="385"/>
      <c r="F18" s="385"/>
      <c r="G18" s="385"/>
      <c r="H18" s="641"/>
      <c r="I18" s="298"/>
      <c r="J18" s="634"/>
      <c r="K18" s="524"/>
      <c r="L18" s="298"/>
      <c r="M18" s="298"/>
      <c r="N18" s="298"/>
      <c r="O18" s="298"/>
      <c r="P18" s="298"/>
      <c r="Q18" s="298"/>
      <c r="R18" s="298"/>
      <c r="S18" s="536"/>
      <c r="T18" s="635"/>
      <c r="U18" s="298"/>
      <c r="V18" s="298"/>
      <c r="W18" s="298"/>
      <c r="X18" s="298"/>
      <c r="Y18" s="298"/>
      <c r="Z18" s="298"/>
      <c r="AA18" s="298"/>
      <c r="AB18" s="298"/>
      <c r="AC18" s="298"/>
      <c r="AD18" s="298"/>
      <c r="AE18" s="298"/>
      <c r="AF18" s="298"/>
      <c r="AG18" s="298"/>
      <c r="AH18" s="298"/>
      <c r="AI18" s="298"/>
      <c r="AJ18" s="298"/>
      <c r="AK18" s="298"/>
      <c r="AL18" s="298"/>
      <c r="AM18" s="298"/>
      <c r="AN18" s="298"/>
      <c r="AO18" s="298"/>
      <c r="AP18" s="298"/>
      <c r="AQ18" s="298"/>
      <c r="AR18" s="298"/>
      <c r="AS18" s="298"/>
      <c r="AT18" s="298"/>
      <c r="AU18" s="298"/>
      <c r="AV18" s="298"/>
      <c r="AW18" s="298"/>
      <c r="AX18" s="298"/>
      <c r="AY18" s="298"/>
      <c r="AZ18" s="298"/>
      <c r="BA18" s="298"/>
      <c r="BB18" s="298"/>
      <c r="BC18" s="298"/>
      <c r="BD18" s="298"/>
      <c r="BE18" s="298"/>
      <c r="BF18" s="298"/>
      <c r="BG18" s="298"/>
      <c r="BH18" s="298"/>
      <c r="BI18" s="298"/>
      <c r="BJ18" s="298"/>
      <c r="BK18" s="298"/>
      <c r="BL18" s="298"/>
      <c r="BM18" s="298"/>
      <c r="BN18" s="298"/>
      <c r="BO18" s="298"/>
      <c r="BP18" s="298"/>
    </row>
    <row r="19" spans="1:68" s="529" customFormat="1" ht="25.5">
      <c r="B19" s="372" t="s">
        <v>8984</v>
      </c>
      <c r="C19" s="231" t="s">
        <v>17422</v>
      </c>
      <c r="D19" s="232" t="s">
        <v>103</v>
      </c>
      <c r="E19" s="232" t="s">
        <v>10</v>
      </c>
      <c r="F19" s="642"/>
      <c r="G19" s="643"/>
      <c r="H19" s="235">
        <v>15553.8</v>
      </c>
      <c r="I19" s="298"/>
      <c r="J19" s="634"/>
      <c r="K19" s="524"/>
      <c r="L19" s="298"/>
      <c r="M19" s="298"/>
      <c r="N19" s="298"/>
      <c r="O19" s="298"/>
      <c r="P19" s="298"/>
      <c r="Q19" s="298"/>
      <c r="R19" s="298"/>
      <c r="S19" s="536"/>
      <c r="T19" s="635"/>
      <c r="U19" s="298"/>
      <c r="V19" s="298"/>
      <c r="W19" s="298"/>
      <c r="X19" s="298"/>
      <c r="Y19" s="298"/>
      <c r="Z19" s="298"/>
      <c r="AA19" s="298"/>
      <c r="AB19" s="298"/>
      <c r="AC19" s="298"/>
      <c r="AD19" s="298"/>
      <c r="AE19" s="298"/>
      <c r="AF19" s="298"/>
      <c r="AG19" s="298"/>
      <c r="AH19" s="298"/>
      <c r="AI19" s="298"/>
      <c r="AJ19" s="298"/>
      <c r="AK19" s="298"/>
      <c r="AL19" s="298"/>
      <c r="AM19" s="298"/>
      <c r="AN19" s="298"/>
      <c r="AO19" s="298"/>
      <c r="AP19" s="298"/>
      <c r="AQ19" s="298"/>
      <c r="AR19" s="298"/>
      <c r="AS19" s="298"/>
      <c r="AT19" s="298"/>
      <c r="AU19" s="298"/>
      <c r="AV19" s="298"/>
      <c r="AW19" s="298"/>
      <c r="AX19" s="298"/>
      <c r="AY19" s="298"/>
      <c r="AZ19" s="298"/>
      <c r="BA19" s="298"/>
      <c r="BB19" s="298"/>
      <c r="BC19" s="298"/>
      <c r="BD19" s="298"/>
      <c r="BE19" s="298"/>
      <c r="BF19" s="298"/>
      <c r="BG19" s="298"/>
      <c r="BH19" s="298"/>
      <c r="BI19" s="298"/>
      <c r="BJ19" s="298"/>
      <c r="BK19" s="298"/>
      <c r="BL19" s="298"/>
      <c r="BM19" s="298"/>
      <c r="BN19" s="298"/>
      <c r="BO19" s="298"/>
      <c r="BP19" s="298"/>
    </row>
    <row r="20" spans="1:68" s="298" customFormat="1" ht="51">
      <c r="A20" s="298" t="s">
        <v>3259</v>
      </c>
      <c r="B20" s="288">
        <v>94968</v>
      </c>
      <c r="C20" s="289" t="s">
        <v>22449</v>
      </c>
      <c r="D20" s="290" t="s">
        <v>229</v>
      </c>
      <c r="E20" s="290" t="s">
        <v>209</v>
      </c>
      <c r="F20" s="291">
        <v>26.193280000000001</v>
      </c>
      <c r="G20" s="292" t="s">
        <v>22450</v>
      </c>
      <c r="H20" s="255">
        <v>8434.49</v>
      </c>
      <c r="J20" s="634"/>
      <c r="K20" s="524"/>
      <c r="S20" s="536"/>
      <c r="T20" s="638"/>
    </row>
    <row r="21" spans="1:68" s="298" customFormat="1" ht="38.25">
      <c r="A21" s="298" t="s">
        <v>3259</v>
      </c>
      <c r="B21" s="288">
        <v>97629</v>
      </c>
      <c r="C21" s="289" t="s">
        <v>3726</v>
      </c>
      <c r="D21" s="290" t="s">
        <v>229</v>
      </c>
      <c r="E21" s="290" t="s">
        <v>209</v>
      </c>
      <c r="F21" s="291">
        <v>26.193280000000001</v>
      </c>
      <c r="G21" s="292" t="s">
        <v>24339</v>
      </c>
      <c r="H21" s="255">
        <v>2769.15</v>
      </c>
      <c r="J21" s="634"/>
      <c r="K21" s="524"/>
      <c r="S21" s="536"/>
      <c r="T21" s="638"/>
    </row>
    <row r="22" spans="1:68" s="298" customFormat="1" ht="38.25">
      <c r="A22" s="298" t="s">
        <v>3259</v>
      </c>
      <c r="B22" s="288">
        <v>93358</v>
      </c>
      <c r="C22" s="289" t="s">
        <v>16227</v>
      </c>
      <c r="D22" s="290" t="s">
        <v>229</v>
      </c>
      <c r="E22" s="290" t="s">
        <v>209</v>
      </c>
      <c r="F22" s="291">
        <v>7.5271100000000004</v>
      </c>
      <c r="G22" s="292" t="s">
        <v>23682</v>
      </c>
      <c r="H22" s="255">
        <v>524.33000000000004</v>
      </c>
      <c r="J22" s="634"/>
      <c r="K22" s="524"/>
      <c r="S22" s="536"/>
      <c r="T22" s="638"/>
    </row>
    <row r="23" spans="1:68" s="298" customFormat="1" ht="51">
      <c r="A23" s="298" t="s">
        <v>3259</v>
      </c>
      <c r="B23" s="288">
        <v>96536</v>
      </c>
      <c r="C23" s="289" t="s">
        <v>1351</v>
      </c>
      <c r="D23" s="290" t="s">
        <v>229</v>
      </c>
      <c r="E23" s="290" t="s">
        <v>193</v>
      </c>
      <c r="F23" s="291">
        <v>56.017800000000001</v>
      </c>
      <c r="G23" s="292" t="s">
        <v>16522</v>
      </c>
      <c r="H23" s="255">
        <v>3703.89</v>
      </c>
      <c r="J23" s="634"/>
      <c r="K23" s="524"/>
      <c r="S23" s="536"/>
      <c r="T23" s="638"/>
    </row>
    <row r="24" spans="1:68" s="298" customFormat="1" ht="25.5">
      <c r="A24" s="298" t="s">
        <v>3259</v>
      </c>
      <c r="B24" s="288">
        <v>93382</v>
      </c>
      <c r="C24" s="289" t="s">
        <v>2501</v>
      </c>
      <c r="D24" s="290" t="s">
        <v>229</v>
      </c>
      <c r="E24" s="290" t="s">
        <v>209</v>
      </c>
      <c r="F24" s="291">
        <v>4.8544999999999998</v>
      </c>
      <c r="G24" s="292" t="s">
        <v>16369</v>
      </c>
      <c r="H24" s="255">
        <v>121.94</v>
      </c>
      <c r="J24" s="634"/>
      <c r="K24" s="524"/>
      <c r="S24" s="536"/>
      <c r="T24" s="638"/>
    </row>
    <row r="25" spans="1:68" s="298" customFormat="1" ht="12.75">
      <c r="A25" s="529"/>
      <c r="B25" s="375" t="s">
        <v>143</v>
      </c>
      <c r="C25" s="816" t="s">
        <v>17423</v>
      </c>
      <c r="D25" s="817"/>
      <c r="E25" s="817"/>
      <c r="F25" s="817"/>
      <c r="G25" s="817"/>
      <c r="H25" s="818"/>
      <c r="J25" s="521"/>
      <c r="K25" s="524"/>
      <c r="S25" s="536"/>
      <c r="T25" s="635"/>
    </row>
    <row r="26" spans="1:68" s="529" customFormat="1" ht="12.75">
      <c r="B26" s="384"/>
      <c r="C26" s="385"/>
      <c r="D26" s="385"/>
      <c r="E26" s="385"/>
      <c r="F26" s="385"/>
      <c r="G26" s="385"/>
      <c r="H26" s="641"/>
      <c r="I26" s="298"/>
      <c r="J26" s="634"/>
      <c r="K26" s="524"/>
      <c r="L26" s="298"/>
      <c r="M26" s="298"/>
      <c r="N26" s="298"/>
      <c r="O26" s="298"/>
      <c r="P26" s="298"/>
      <c r="Q26" s="298"/>
      <c r="R26" s="298"/>
      <c r="S26" s="536"/>
      <c r="T26" s="635"/>
      <c r="U26" s="298"/>
      <c r="V26" s="298"/>
      <c r="W26" s="298"/>
      <c r="X26" s="298"/>
      <c r="Y26" s="298"/>
      <c r="Z26" s="298"/>
      <c r="AA26" s="298"/>
      <c r="AB26" s="298"/>
      <c r="AC26" s="298"/>
      <c r="AD26" s="298"/>
      <c r="AE26" s="298"/>
      <c r="AF26" s="298"/>
      <c r="AG26" s="298"/>
      <c r="AH26" s="298"/>
      <c r="AI26" s="298"/>
      <c r="AJ26" s="298"/>
      <c r="AK26" s="298"/>
      <c r="AL26" s="298"/>
      <c r="AM26" s="298"/>
      <c r="AN26" s="298"/>
      <c r="AO26" s="298"/>
      <c r="AP26" s="298"/>
      <c r="AQ26" s="298"/>
      <c r="AR26" s="298"/>
      <c r="AS26" s="298"/>
      <c r="AT26" s="298"/>
      <c r="AU26" s="298"/>
      <c r="AV26" s="298"/>
      <c r="AW26" s="298"/>
      <c r="AX26" s="298"/>
      <c r="AY26" s="298"/>
      <c r="AZ26" s="298"/>
      <c r="BA26" s="298"/>
      <c r="BB26" s="298"/>
      <c r="BC26" s="298"/>
      <c r="BD26" s="298"/>
      <c r="BE26" s="298"/>
      <c r="BF26" s="298"/>
      <c r="BG26" s="298"/>
      <c r="BH26" s="298"/>
      <c r="BI26" s="298"/>
      <c r="BJ26" s="298"/>
      <c r="BK26" s="298"/>
      <c r="BL26" s="298"/>
      <c r="BM26" s="298"/>
      <c r="BN26" s="298"/>
      <c r="BO26" s="298"/>
      <c r="BP26" s="298"/>
    </row>
    <row r="27" spans="1:68" s="529" customFormat="1" ht="25.5">
      <c r="B27" s="372" t="s">
        <v>15414</v>
      </c>
      <c r="C27" s="231" t="s">
        <v>17432</v>
      </c>
      <c r="D27" s="232" t="s">
        <v>103</v>
      </c>
      <c r="E27" s="232" t="s">
        <v>3772</v>
      </c>
      <c r="F27" s="642"/>
      <c r="G27" s="643"/>
      <c r="H27" s="235">
        <v>367.84</v>
      </c>
      <c r="I27" s="298"/>
      <c r="J27" s="634"/>
      <c r="K27" s="524"/>
      <c r="L27" s="298"/>
      <c r="M27" s="298"/>
      <c r="N27" s="298"/>
      <c r="O27" s="298"/>
      <c r="P27" s="298"/>
      <c r="Q27" s="298"/>
      <c r="R27" s="298"/>
      <c r="S27" s="536"/>
      <c r="T27" s="635"/>
      <c r="U27" s="298"/>
      <c r="V27" s="298"/>
      <c r="W27" s="298"/>
      <c r="X27" s="298"/>
      <c r="Y27" s="298"/>
      <c r="Z27" s="298"/>
      <c r="AA27" s="298"/>
      <c r="AB27" s="298"/>
      <c r="AC27" s="298"/>
      <c r="AD27" s="298"/>
      <c r="AE27" s="298"/>
      <c r="AF27" s="298"/>
      <c r="AG27" s="298"/>
      <c r="AH27" s="298"/>
      <c r="AI27" s="298"/>
      <c r="AJ27" s="298"/>
      <c r="AK27" s="298"/>
      <c r="AL27" s="298"/>
      <c r="AM27" s="298"/>
      <c r="AN27" s="298"/>
      <c r="AO27" s="298"/>
      <c r="AP27" s="298"/>
      <c r="AQ27" s="298"/>
      <c r="AR27" s="298"/>
      <c r="AS27" s="298"/>
      <c r="AT27" s="298"/>
      <c r="AU27" s="298"/>
      <c r="AV27" s="298"/>
      <c r="AW27" s="298"/>
      <c r="AX27" s="298"/>
      <c r="AY27" s="298"/>
      <c r="AZ27" s="298"/>
      <c r="BA27" s="298"/>
      <c r="BB27" s="298"/>
      <c r="BC27" s="298"/>
      <c r="BD27" s="298"/>
      <c r="BE27" s="298"/>
      <c r="BF27" s="298"/>
      <c r="BG27" s="298"/>
      <c r="BH27" s="298"/>
      <c r="BI27" s="298"/>
      <c r="BJ27" s="298"/>
      <c r="BK27" s="298"/>
      <c r="BL27" s="298"/>
      <c r="BM27" s="298"/>
      <c r="BN27" s="298"/>
      <c r="BO27" s="298"/>
      <c r="BP27" s="298"/>
    </row>
    <row r="28" spans="1:68" s="298" customFormat="1" ht="38.25">
      <c r="A28" s="298" t="s">
        <v>3259</v>
      </c>
      <c r="B28" s="288">
        <v>93415</v>
      </c>
      <c r="C28" s="289" t="s">
        <v>483</v>
      </c>
      <c r="D28" s="290" t="s">
        <v>8987</v>
      </c>
      <c r="E28" s="290" t="s">
        <v>212</v>
      </c>
      <c r="F28" s="291">
        <v>22</v>
      </c>
      <c r="G28" s="292" t="s">
        <v>16046</v>
      </c>
      <c r="H28" s="255">
        <v>324.27999999999997</v>
      </c>
      <c r="J28" s="634"/>
      <c r="K28" s="524"/>
      <c r="S28" s="536"/>
      <c r="T28" s="638"/>
    </row>
    <row r="29" spans="1:68" s="298" customFormat="1" ht="38.25">
      <c r="A29" s="298" t="s">
        <v>3259</v>
      </c>
      <c r="B29" s="288">
        <v>93416</v>
      </c>
      <c r="C29" s="289" t="s">
        <v>618</v>
      </c>
      <c r="D29" s="290" t="s">
        <v>8987</v>
      </c>
      <c r="E29" s="290" t="s">
        <v>215</v>
      </c>
      <c r="F29" s="291">
        <v>198</v>
      </c>
      <c r="G29" s="292" t="s">
        <v>9936</v>
      </c>
      <c r="H29" s="255">
        <v>43.56</v>
      </c>
      <c r="J29" s="634"/>
      <c r="K29" s="524"/>
      <c r="S29" s="536"/>
      <c r="T29" s="638"/>
    </row>
    <row r="30" spans="1:68" s="529" customFormat="1" ht="12.75">
      <c r="A30" s="286"/>
      <c r="B30" s="373"/>
      <c r="C30" s="379"/>
      <c r="D30" s="382"/>
      <c r="E30" s="382"/>
      <c r="F30" s="382"/>
      <c r="G30" s="382"/>
      <c r="H30" s="382"/>
      <c r="I30" s="298"/>
      <c r="J30" s="634"/>
      <c r="K30" s="524"/>
      <c r="L30" s="298"/>
      <c r="M30" s="298"/>
      <c r="N30" s="298"/>
      <c r="O30" s="298"/>
      <c r="P30" s="298"/>
      <c r="Q30" s="298"/>
      <c r="R30" s="298"/>
      <c r="S30" s="536"/>
      <c r="T30" s="635"/>
      <c r="U30" s="298"/>
      <c r="V30" s="298"/>
      <c r="W30" s="298"/>
      <c r="X30" s="298"/>
      <c r="Y30" s="298"/>
      <c r="Z30" s="298"/>
      <c r="AA30" s="298"/>
      <c r="AB30" s="298"/>
      <c r="AC30" s="298"/>
      <c r="AD30" s="298"/>
      <c r="AE30" s="298"/>
      <c r="AF30" s="298"/>
      <c r="AG30" s="298"/>
      <c r="AH30" s="298"/>
      <c r="AI30" s="298"/>
      <c r="AJ30" s="298"/>
      <c r="AK30" s="298"/>
      <c r="AL30" s="298"/>
      <c r="AM30" s="298"/>
      <c r="AN30" s="298"/>
      <c r="AO30" s="298"/>
      <c r="AP30" s="298"/>
      <c r="AQ30" s="298"/>
      <c r="AR30" s="298"/>
      <c r="AS30" s="298"/>
      <c r="AT30" s="298"/>
      <c r="AU30" s="298"/>
      <c r="AV30" s="298"/>
      <c r="AW30" s="298"/>
      <c r="AX30" s="298"/>
      <c r="AY30" s="298"/>
      <c r="AZ30" s="298"/>
      <c r="BA30" s="298"/>
      <c r="BB30" s="298"/>
      <c r="BC30" s="298"/>
      <c r="BD30" s="298"/>
      <c r="BE30" s="298"/>
      <c r="BF30" s="298"/>
      <c r="BG30" s="298"/>
      <c r="BH30" s="298"/>
      <c r="BI30" s="298"/>
      <c r="BJ30" s="298"/>
      <c r="BK30" s="298"/>
      <c r="BL30" s="298"/>
      <c r="BM30" s="298"/>
      <c r="BN30" s="298"/>
      <c r="BO30" s="298"/>
      <c r="BP30" s="298"/>
    </row>
    <row r="31" spans="1:68" s="529" customFormat="1" ht="25.5">
      <c r="A31" s="286"/>
      <c r="B31" s="372" t="s">
        <v>15417</v>
      </c>
      <c r="C31" s="231" t="s">
        <v>15418</v>
      </c>
      <c r="D31" s="232" t="s">
        <v>103</v>
      </c>
      <c r="E31" s="232" t="s">
        <v>10</v>
      </c>
      <c r="F31" s="233"/>
      <c r="G31" s="234"/>
      <c r="H31" s="235">
        <v>1998.6</v>
      </c>
      <c r="I31" s="298"/>
      <c r="J31" s="634"/>
      <c r="K31" s="524"/>
      <c r="L31" s="298"/>
      <c r="M31" s="298"/>
      <c r="N31" s="298"/>
      <c r="O31" s="298"/>
      <c r="P31" s="298"/>
      <c r="Q31" s="298"/>
      <c r="R31" s="298"/>
      <c r="S31" s="536"/>
      <c r="T31" s="635"/>
      <c r="U31" s="298"/>
      <c r="V31" s="298"/>
      <c r="W31" s="298"/>
      <c r="X31" s="298"/>
      <c r="Y31" s="298"/>
      <c r="Z31" s="298"/>
      <c r="AA31" s="298"/>
      <c r="AB31" s="298"/>
      <c r="AC31" s="298"/>
      <c r="AD31" s="298"/>
      <c r="AE31" s="298"/>
      <c r="AF31" s="298"/>
      <c r="AG31" s="298"/>
      <c r="AH31" s="298"/>
      <c r="AI31" s="298"/>
      <c r="AJ31" s="298"/>
      <c r="AK31" s="298"/>
      <c r="AL31" s="298"/>
      <c r="AM31" s="298"/>
      <c r="AN31" s="298"/>
      <c r="AO31" s="298"/>
      <c r="AP31" s="298"/>
      <c r="AQ31" s="298"/>
      <c r="AR31" s="298"/>
      <c r="AS31" s="298"/>
      <c r="AT31" s="298"/>
      <c r="AU31" s="298"/>
      <c r="AV31" s="298"/>
      <c r="AW31" s="298"/>
      <c r="AX31" s="298"/>
      <c r="AY31" s="298"/>
      <c r="AZ31" s="298"/>
      <c r="BA31" s="298"/>
      <c r="BB31" s="298"/>
      <c r="BC31" s="298"/>
      <c r="BD31" s="298"/>
      <c r="BE31" s="298"/>
      <c r="BF31" s="298"/>
      <c r="BG31" s="298"/>
      <c r="BH31" s="298"/>
      <c r="BI31" s="298"/>
      <c r="BJ31" s="298"/>
      <c r="BK31" s="298"/>
      <c r="BL31" s="298"/>
      <c r="BM31" s="298"/>
      <c r="BN31" s="298"/>
      <c r="BO31" s="298"/>
      <c r="BP31" s="298"/>
    </row>
    <row r="32" spans="1:68" s="298" customFormat="1" ht="25.5">
      <c r="A32" s="256" t="s">
        <v>3261</v>
      </c>
      <c r="B32" s="374">
        <v>406</v>
      </c>
      <c r="C32" s="289" t="s">
        <v>6447</v>
      </c>
      <c r="D32" s="290" t="s">
        <v>207</v>
      </c>
      <c r="E32" s="290" t="s">
        <v>3240</v>
      </c>
      <c r="F32" s="254">
        <v>0.13333329999999999</v>
      </c>
      <c r="G32" s="292" t="s">
        <v>19784</v>
      </c>
      <c r="H32" s="255">
        <v>9.14</v>
      </c>
      <c r="J32" s="634"/>
      <c r="K32" s="524"/>
      <c r="S32" s="536"/>
      <c r="T32" s="638"/>
    </row>
    <row r="33" spans="1:20" s="298" customFormat="1" ht="51">
      <c r="A33" s="256" t="s">
        <v>3261</v>
      </c>
      <c r="B33" s="374">
        <v>420</v>
      </c>
      <c r="C33" s="289" t="s">
        <v>5549</v>
      </c>
      <c r="D33" s="290" t="s">
        <v>207</v>
      </c>
      <c r="E33" s="290" t="s">
        <v>3240</v>
      </c>
      <c r="F33" s="254">
        <v>2</v>
      </c>
      <c r="G33" s="292" t="s">
        <v>19362</v>
      </c>
      <c r="H33" s="255">
        <v>51.68</v>
      </c>
      <c r="J33" s="634"/>
      <c r="K33" s="524"/>
      <c r="S33" s="536"/>
      <c r="T33" s="638"/>
    </row>
    <row r="34" spans="1:20" s="298" customFormat="1" ht="12.75">
      <c r="A34" s="256" t="s">
        <v>3261</v>
      </c>
      <c r="B34" s="374">
        <v>857</v>
      </c>
      <c r="C34" s="289" t="s">
        <v>5152</v>
      </c>
      <c r="D34" s="290" t="s">
        <v>207</v>
      </c>
      <c r="E34" s="290" t="s">
        <v>3243</v>
      </c>
      <c r="F34" s="254">
        <v>3</v>
      </c>
      <c r="G34" s="292" t="s">
        <v>11239</v>
      </c>
      <c r="H34" s="255">
        <v>37.74</v>
      </c>
      <c r="J34" s="634"/>
      <c r="K34" s="524"/>
      <c r="S34" s="536"/>
      <c r="T34" s="638"/>
    </row>
    <row r="35" spans="1:20" s="298" customFormat="1" ht="38.25">
      <c r="A35" s="256" t="s">
        <v>3261</v>
      </c>
      <c r="B35" s="374">
        <v>937</v>
      </c>
      <c r="C35" s="289" t="s">
        <v>6441</v>
      </c>
      <c r="D35" s="290" t="s">
        <v>207</v>
      </c>
      <c r="E35" s="290" t="s">
        <v>3243</v>
      </c>
      <c r="F35" s="254">
        <v>27</v>
      </c>
      <c r="G35" s="292" t="s">
        <v>19428</v>
      </c>
      <c r="H35" s="255">
        <v>248.94</v>
      </c>
      <c r="J35" s="634"/>
      <c r="K35" s="524"/>
      <c r="S35" s="536"/>
      <c r="T35" s="638"/>
    </row>
    <row r="36" spans="1:20" s="298" customFormat="1" ht="51">
      <c r="A36" s="256" t="s">
        <v>3261</v>
      </c>
      <c r="B36" s="374">
        <v>1062</v>
      </c>
      <c r="C36" s="289" t="s">
        <v>9515</v>
      </c>
      <c r="D36" s="290" t="s">
        <v>207</v>
      </c>
      <c r="E36" s="290" t="s">
        <v>3240</v>
      </c>
      <c r="F36" s="254">
        <v>1</v>
      </c>
      <c r="G36" s="292" t="s">
        <v>19228</v>
      </c>
      <c r="H36" s="255">
        <v>324.36</v>
      </c>
      <c r="J36" s="634"/>
      <c r="K36" s="524"/>
      <c r="S36" s="536"/>
      <c r="T36" s="638"/>
    </row>
    <row r="37" spans="1:20" s="298" customFormat="1" ht="38.25">
      <c r="A37" s="256" t="s">
        <v>3261</v>
      </c>
      <c r="B37" s="374">
        <v>1096</v>
      </c>
      <c r="C37" s="289" t="s">
        <v>4837</v>
      </c>
      <c r="D37" s="290" t="s">
        <v>207</v>
      </c>
      <c r="E37" s="290" t="s">
        <v>3240</v>
      </c>
      <c r="F37" s="254">
        <v>2</v>
      </c>
      <c r="G37" s="292" t="s">
        <v>18934</v>
      </c>
      <c r="H37" s="255">
        <v>171.52</v>
      </c>
      <c r="J37" s="634"/>
      <c r="K37" s="524"/>
      <c r="S37" s="536"/>
      <c r="T37" s="638"/>
    </row>
    <row r="38" spans="1:20" s="298" customFormat="1" ht="38.25">
      <c r="A38" s="256" t="s">
        <v>3261</v>
      </c>
      <c r="B38" s="374">
        <v>1539</v>
      </c>
      <c r="C38" s="289" t="s">
        <v>5713</v>
      </c>
      <c r="D38" s="290" t="s">
        <v>207</v>
      </c>
      <c r="E38" s="290" t="s">
        <v>3240</v>
      </c>
      <c r="F38" s="254">
        <v>8</v>
      </c>
      <c r="G38" s="292" t="s">
        <v>10903</v>
      </c>
      <c r="H38" s="255">
        <v>52.64</v>
      </c>
      <c r="J38" s="634"/>
      <c r="K38" s="524"/>
      <c r="S38" s="536"/>
      <c r="T38" s="638"/>
    </row>
    <row r="39" spans="1:20" s="298" customFormat="1" ht="25.5">
      <c r="A39" s="256" t="s">
        <v>3261</v>
      </c>
      <c r="B39" s="374">
        <v>1892</v>
      </c>
      <c r="C39" s="289" t="s">
        <v>7142</v>
      </c>
      <c r="D39" s="290" t="s">
        <v>207</v>
      </c>
      <c r="E39" s="290" t="s">
        <v>3240</v>
      </c>
      <c r="F39" s="254">
        <v>4</v>
      </c>
      <c r="G39" s="292" t="s">
        <v>9977</v>
      </c>
      <c r="H39" s="255">
        <v>5.88</v>
      </c>
      <c r="J39" s="634"/>
      <c r="K39" s="524"/>
      <c r="S39" s="536"/>
      <c r="T39" s="638"/>
    </row>
    <row r="40" spans="1:20" s="298" customFormat="1" ht="25.5">
      <c r="A40" s="256" t="s">
        <v>3261</v>
      </c>
      <c r="B40" s="374">
        <v>2392</v>
      </c>
      <c r="C40" s="289" t="s">
        <v>6126</v>
      </c>
      <c r="D40" s="290" t="s">
        <v>207</v>
      </c>
      <c r="E40" s="290" t="s">
        <v>3240</v>
      </c>
      <c r="F40" s="254">
        <v>1</v>
      </c>
      <c r="G40" s="292" t="s">
        <v>19632</v>
      </c>
      <c r="H40" s="255">
        <v>82.1</v>
      </c>
      <c r="J40" s="634"/>
      <c r="K40" s="524"/>
      <c r="S40" s="536"/>
      <c r="T40" s="638"/>
    </row>
    <row r="41" spans="1:20" s="298" customFormat="1" ht="25.5">
      <c r="A41" s="256" t="s">
        <v>3261</v>
      </c>
      <c r="B41" s="374">
        <v>2685</v>
      </c>
      <c r="C41" s="289" t="s">
        <v>6209</v>
      </c>
      <c r="D41" s="290" t="s">
        <v>207</v>
      </c>
      <c r="E41" s="290" t="s">
        <v>3243</v>
      </c>
      <c r="F41" s="254">
        <v>8</v>
      </c>
      <c r="G41" s="292" t="s">
        <v>10106</v>
      </c>
      <c r="H41" s="255">
        <v>51.68</v>
      </c>
      <c r="J41" s="634"/>
      <c r="K41" s="524"/>
      <c r="S41" s="536"/>
      <c r="T41" s="638"/>
    </row>
    <row r="42" spans="1:20" s="298" customFormat="1" ht="38.25">
      <c r="A42" s="256" t="s">
        <v>3261</v>
      </c>
      <c r="B42" s="374">
        <v>2731</v>
      </c>
      <c r="C42" s="289" t="s">
        <v>11946</v>
      </c>
      <c r="D42" s="290" t="s">
        <v>207</v>
      </c>
      <c r="E42" s="290" t="s">
        <v>3243</v>
      </c>
      <c r="F42" s="254">
        <v>7.96</v>
      </c>
      <c r="G42" s="292" t="s">
        <v>12406</v>
      </c>
      <c r="H42" s="255">
        <v>551.23</v>
      </c>
      <c r="J42" s="634"/>
      <c r="K42" s="524"/>
      <c r="S42" s="536"/>
      <c r="T42" s="638"/>
    </row>
    <row r="43" spans="1:20" s="298" customFormat="1" ht="51">
      <c r="A43" s="256" t="s">
        <v>3261</v>
      </c>
      <c r="B43" s="374">
        <v>3379</v>
      </c>
      <c r="C43" s="289" t="s">
        <v>4555</v>
      </c>
      <c r="D43" s="290" t="s">
        <v>207</v>
      </c>
      <c r="E43" s="290" t="s">
        <v>3240</v>
      </c>
      <c r="F43" s="254">
        <v>1</v>
      </c>
      <c r="G43" s="292" t="s">
        <v>18755</v>
      </c>
      <c r="H43" s="255">
        <v>54.29</v>
      </c>
      <c r="J43" s="634"/>
      <c r="K43" s="524"/>
      <c r="S43" s="536"/>
      <c r="T43" s="638"/>
    </row>
    <row r="44" spans="1:20" s="298" customFormat="1" ht="51">
      <c r="A44" s="256" t="s">
        <v>3261</v>
      </c>
      <c r="B44" s="374">
        <v>4346</v>
      </c>
      <c r="C44" s="289" t="s">
        <v>7495</v>
      </c>
      <c r="D44" s="290" t="s">
        <v>207</v>
      </c>
      <c r="E44" s="290" t="s">
        <v>3240</v>
      </c>
      <c r="F44" s="254" t="s">
        <v>15419</v>
      </c>
      <c r="G44" s="292" t="s">
        <v>11176</v>
      </c>
      <c r="H44" s="255">
        <v>11.24</v>
      </c>
      <c r="J44" s="634"/>
      <c r="K44" s="524"/>
      <c r="S44" s="536"/>
      <c r="T44" s="638"/>
    </row>
    <row r="45" spans="1:20" s="298" customFormat="1" ht="51">
      <c r="A45" s="256" t="s">
        <v>3261</v>
      </c>
      <c r="B45" s="374">
        <v>11267</v>
      </c>
      <c r="C45" s="289" t="s">
        <v>11646</v>
      </c>
      <c r="D45" s="290" t="s">
        <v>207</v>
      </c>
      <c r="E45" s="290" t="s">
        <v>3240</v>
      </c>
      <c r="F45" s="254" t="s">
        <v>15419</v>
      </c>
      <c r="G45" s="292" t="s">
        <v>11094</v>
      </c>
      <c r="H45" s="255">
        <v>1.8</v>
      </c>
      <c r="J45" s="634"/>
      <c r="K45" s="524"/>
      <c r="S45" s="536"/>
      <c r="T45" s="638"/>
    </row>
    <row r="46" spans="1:20" s="298" customFormat="1" ht="25.5">
      <c r="A46" s="256" t="s">
        <v>3261</v>
      </c>
      <c r="B46" s="374">
        <v>12034</v>
      </c>
      <c r="C46" s="289" t="s">
        <v>5977</v>
      </c>
      <c r="D46" s="290" t="s">
        <v>207</v>
      </c>
      <c r="E46" s="290" t="s">
        <v>3240</v>
      </c>
      <c r="F46" s="254">
        <v>2</v>
      </c>
      <c r="G46" s="292" t="s">
        <v>19225</v>
      </c>
      <c r="H46" s="255">
        <v>8.34</v>
      </c>
      <c r="J46" s="634"/>
      <c r="K46" s="524"/>
      <c r="S46" s="536"/>
      <c r="T46" s="638"/>
    </row>
    <row r="47" spans="1:20" s="298" customFormat="1" ht="25.5">
      <c r="A47" s="256" t="s">
        <v>3261</v>
      </c>
      <c r="B47" s="374">
        <v>39176</v>
      </c>
      <c r="C47" s="289" t="s">
        <v>5122</v>
      </c>
      <c r="D47" s="290" t="s">
        <v>207</v>
      </c>
      <c r="E47" s="290" t="s">
        <v>3240</v>
      </c>
      <c r="F47" s="254">
        <v>2</v>
      </c>
      <c r="G47" s="292" t="s">
        <v>9777</v>
      </c>
      <c r="H47" s="255">
        <v>1.34</v>
      </c>
      <c r="J47" s="634"/>
      <c r="K47" s="524"/>
      <c r="S47" s="536"/>
      <c r="T47" s="638"/>
    </row>
    <row r="48" spans="1:20" s="298" customFormat="1" ht="25.5">
      <c r="A48" s="256" t="s">
        <v>3261</v>
      </c>
      <c r="B48" s="374">
        <v>39210</v>
      </c>
      <c r="C48" s="289" t="s">
        <v>4853</v>
      </c>
      <c r="D48" s="290" t="s">
        <v>207</v>
      </c>
      <c r="E48" s="290" t="s">
        <v>3240</v>
      </c>
      <c r="F48" s="254">
        <v>2</v>
      </c>
      <c r="G48" s="292" t="s">
        <v>18937</v>
      </c>
      <c r="H48" s="255">
        <v>1</v>
      </c>
      <c r="J48" s="634"/>
      <c r="K48" s="524"/>
      <c r="S48" s="536"/>
      <c r="T48" s="638"/>
    </row>
    <row r="49" spans="1:68" s="298" customFormat="1" ht="25.5">
      <c r="A49" s="256" t="s">
        <v>3259</v>
      </c>
      <c r="B49" s="374">
        <v>88264</v>
      </c>
      <c r="C49" s="289" t="s">
        <v>146</v>
      </c>
      <c r="D49" s="290" t="s">
        <v>9714</v>
      </c>
      <c r="E49" s="290" t="s">
        <v>206</v>
      </c>
      <c r="F49" s="254">
        <v>8</v>
      </c>
      <c r="G49" s="292" t="s">
        <v>16504</v>
      </c>
      <c r="H49" s="255">
        <v>192.8</v>
      </c>
      <c r="J49" s="634"/>
      <c r="K49" s="524"/>
      <c r="S49" s="536"/>
      <c r="T49" s="638"/>
    </row>
    <row r="50" spans="1:68" s="298" customFormat="1" ht="25.5">
      <c r="A50" s="256" t="s">
        <v>3259</v>
      </c>
      <c r="B50" s="374">
        <v>88316</v>
      </c>
      <c r="C50" s="289" t="s">
        <v>104</v>
      </c>
      <c r="D50" s="290" t="s">
        <v>9714</v>
      </c>
      <c r="E50" s="290" t="s">
        <v>206</v>
      </c>
      <c r="F50" s="254">
        <v>8</v>
      </c>
      <c r="G50" s="292" t="s">
        <v>10172</v>
      </c>
      <c r="H50" s="255">
        <v>140.88</v>
      </c>
      <c r="J50" s="634"/>
      <c r="K50" s="524"/>
      <c r="S50" s="536"/>
      <c r="T50" s="638"/>
    </row>
    <row r="51" spans="1:68" s="298" customFormat="1" ht="12.75">
      <c r="A51" s="256"/>
      <c r="B51" s="288" t="s">
        <v>143</v>
      </c>
      <c r="C51" s="819" t="s">
        <v>15421</v>
      </c>
      <c r="D51" s="820"/>
      <c r="E51" s="820"/>
      <c r="F51" s="820"/>
      <c r="G51" s="820"/>
      <c r="H51" s="821"/>
      <c r="J51" s="634"/>
      <c r="K51" s="524"/>
      <c r="S51" s="536"/>
      <c r="T51" s="638"/>
    </row>
    <row r="52" spans="1:68" s="529" customFormat="1" ht="12.75">
      <c r="A52" s="286"/>
      <c r="B52" s="384"/>
      <c r="C52" s="385"/>
      <c r="D52" s="388"/>
      <c r="E52" s="388"/>
      <c r="F52" s="388"/>
      <c r="G52" s="388"/>
      <c r="H52" s="389"/>
      <c r="I52" s="298"/>
      <c r="J52" s="634"/>
      <c r="K52" s="524"/>
      <c r="L52" s="298"/>
      <c r="M52" s="298"/>
      <c r="N52" s="298"/>
      <c r="O52" s="298"/>
      <c r="P52" s="298"/>
      <c r="Q52" s="298"/>
      <c r="R52" s="298"/>
      <c r="S52" s="536"/>
      <c r="T52" s="635"/>
      <c r="U52" s="298"/>
      <c r="V52" s="298"/>
      <c r="W52" s="298"/>
      <c r="X52" s="298"/>
      <c r="Y52" s="298"/>
      <c r="Z52" s="298"/>
      <c r="AA52" s="298"/>
      <c r="AB52" s="298"/>
      <c r="AC52" s="298"/>
      <c r="AD52" s="298"/>
      <c r="AE52" s="298"/>
      <c r="AF52" s="298"/>
      <c r="AG52" s="298"/>
      <c r="AH52" s="298"/>
      <c r="AI52" s="298"/>
      <c r="AJ52" s="298"/>
      <c r="AK52" s="298"/>
      <c r="AL52" s="298"/>
      <c r="AM52" s="298"/>
      <c r="AN52" s="298"/>
      <c r="AO52" s="298"/>
      <c r="AP52" s="298"/>
      <c r="AQ52" s="298"/>
      <c r="AR52" s="298"/>
      <c r="AS52" s="298"/>
      <c r="AT52" s="298"/>
      <c r="AU52" s="298"/>
      <c r="AV52" s="298"/>
      <c r="AW52" s="298"/>
      <c r="AX52" s="298"/>
      <c r="AY52" s="298"/>
      <c r="AZ52" s="298"/>
      <c r="BA52" s="298"/>
      <c r="BB52" s="298"/>
      <c r="BC52" s="298"/>
      <c r="BD52" s="298"/>
      <c r="BE52" s="298"/>
      <c r="BF52" s="298"/>
      <c r="BG52" s="298"/>
      <c r="BH52" s="298"/>
      <c r="BI52" s="298"/>
      <c r="BJ52" s="298"/>
      <c r="BK52" s="298"/>
      <c r="BL52" s="298"/>
      <c r="BM52" s="298"/>
      <c r="BN52" s="298"/>
      <c r="BO52" s="298"/>
      <c r="BP52" s="298"/>
    </row>
    <row r="53" spans="1:68" s="529" customFormat="1" ht="38.25">
      <c r="A53" s="286"/>
      <c r="B53" s="372" t="s">
        <v>15422</v>
      </c>
      <c r="C53" s="231" t="s">
        <v>15423</v>
      </c>
      <c r="D53" s="232" t="s">
        <v>103</v>
      </c>
      <c r="E53" s="232" t="s">
        <v>10</v>
      </c>
      <c r="F53" s="233"/>
      <c r="G53" s="234"/>
      <c r="H53" s="235">
        <v>1203.05</v>
      </c>
      <c r="I53" s="298"/>
      <c r="J53" s="634"/>
      <c r="K53" s="524"/>
      <c r="L53" s="298"/>
      <c r="M53" s="298"/>
      <c r="N53" s="298"/>
      <c r="O53" s="298"/>
      <c r="P53" s="298"/>
      <c r="Q53" s="298"/>
      <c r="R53" s="298"/>
      <c r="S53" s="536"/>
      <c r="T53" s="635"/>
      <c r="U53" s="298"/>
      <c r="V53" s="298"/>
      <c r="W53" s="298"/>
      <c r="X53" s="298"/>
      <c r="Y53" s="298"/>
      <c r="Z53" s="298"/>
      <c r="AA53" s="298"/>
      <c r="AB53" s="298"/>
      <c r="AC53" s="298"/>
      <c r="AD53" s="298"/>
      <c r="AE53" s="298"/>
      <c r="AF53" s="298"/>
      <c r="AG53" s="298"/>
      <c r="AH53" s="298"/>
      <c r="AI53" s="298"/>
      <c r="AJ53" s="298"/>
      <c r="AK53" s="298"/>
      <c r="AL53" s="298"/>
      <c r="AM53" s="298"/>
      <c r="AN53" s="298"/>
      <c r="AO53" s="298"/>
      <c r="AP53" s="298"/>
      <c r="AQ53" s="298"/>
      <c r="AR53" s="298"/>
      <c r="AS53" s="298"/>
      <c r="AT53" s="298"/>
      <c r="AU53" s="298"/>
      <c r="AV53" s="298"/>
      <c r="AW53" s="298"/>
      <c r="AX53" s="298"/>
      <c r="AY53" s="298"/>
      <c r="AZ53" s="298"/>
      <c r="BA53" s="298"/>
      <c r="BB53" s="298"/>
      <c r="BC53" s="298"/>
      <c r="BD53" s="298"/>
      <c r="BE53" s="298"/>
      <c r="BF53" s="298"/>
      <c r="BG53" s="298"/>
      <c r="BH53" s="298"/>
      <c r="BI53" s="298"/>
      <c r="BJ53" s="298"/>
      <c r="BK53" s="298"/>
      <c r="BL53" s="298"/>
      <c r="BM53" s="298"/>
      <c r="BN53" s="298"/>
      <c r="BO53" s="298"/>
      <c r="BP53" s="298"/>
    </row>
    <row r="54" spans="1:68" s="298" customFormat="1" ht="38.25">
      <c r="A54" s="256" t="s">
        <v>3259</v>
      </c>
      <c r="B54" s="288">
        <v>93358</v>
      </c>
      <c r="C54" s="289" t="s">
        <v>16227</v>
      </c>
      <c r="D54" s="290" t="s">
        <v>229</v>
      </c>
      <c r="E54" s="290" t="s">
        <v>209</v>
      </c>
      <c r="F54" s="291">
        <v>2.25</v>
      </c>
      <c r="G54" s="292" t="s">
        <v>23682</v>
      </c>
      <c r="H54" s="255">
        <v>156.72999999999999</v>
      </c>
      <c r="J54" s="634"/>
      <c r="K54" s="524"/>
      <c r="S54" s="536"/>
      <c r="T54" s="638"/>
    </row>
    <row r="55" spans="1:68" s="298" customFormat="1" ht="25.5">
      <c r="A55" s="256" t="s">
        <v>3259</v>
      </c>
      <c r="B55" s="288">
        <v>93382</v>
      </c>
      <c r="C55" s="289" t="s">
        <v>2501</v>
      </c>
      <c r="D55" s="290" t="s">
        <v>229</v>
      </c>
      <c r="E55" s="290" t="s">
        <v>209</v>
      </c>
      <c r="F55" s="291">
        <v>2.25</v>
      </c>
      <c r="G55" s="292" t="s">
        <v>16369</v>
      </c>
      <c r="H55" s="255">
        <v>56.52</v>
      </c>
      <c r="J55" s="634"/>
      <c r="K55" s="524"/>
      <c r="S55" s="536"/>
      <c r="T55" s="638"/>
    </row>
    <row r="56" spans="1:68" s="298" customFormat="1" ht="89.25">
      <c r="A56" s="256" t="s">
        <v>3259</v>
      </c>
      <c r="B56" s="288">
        <v>91785</v>
      </c>
      <c r="C56" s="289" t="s">
        <v>1793</v>
      </c>
      <c r="D56" s="290" t="s">
        <v>229</v>
      </c>
      <c r="E56" s="290" t="s">
        <v>5</v>
      </c>
      <c r="F56" s="291">
        <v>15</v>
      </c>
      <c r="G56" s="292" t="s">
        <v>22915</v>
      </c>
      <c r="H56" s="255">
        <v>599.85</v>
      </c>
      <c r="J56" s="634"/>
      <c r="K56" s="524"/>
      <c r="S56" s="536"/>
      <c r="T56" s="638"/>
    </row>
    <row r="57" spans="1:68" s="298" customFormat="1" ht="38.25">
      <c r="A57" s="256" t="s">
        <v>3259</v>
      </c>
      <c r="B57" s="288">
        <v>95676</v>
      </c>
      <c r="C57" s="289" t="s">
        <v>2402</v>
      </c>
      <c r="D57" s="290" t="s">
        <v>229</v>
      </c>
      <c r="E57" s="290" t="s">
        <v>109</v>
      </c>
      <c r="F57" s="291">
        <v>1</v>
      </c>
      <c r="G57" s="292" t="s">
        <v>23626</v>
      </c>
      <c r="H57" s="255">
        <v>94.04</v>
      </c>
      <c r="J57" s="634"/>
      <c r="K57" s="524"/>
      <c r="S57" s="536"/>
      <c r="T57" s="638"/>
    </row>
    <row r="58" spans="1:68" s="298" customFormat="1" ht="63.75">
      <c r="A58" s="256" t="s">
        <v>3259</v>
      </c>
      <c r="B58" s="288">
        <v>97741</v>
      </c>
      <c r="C58" s="289" t="s">
        <v>3694</v>
      </c>
      <c r="D58" s="290" t="s">
        <v>229</v>
      </c>
      <c r="E58" s="290" t="s">
        <v>109</v>
      </c>
      <c r="F58" s="291">
        <v>1</v>
      </c>
      <c r="G58" s="292" t="s">
        <v>23627</v>
      </c>
      <c r="H58" s="255">
        <v>160.16999999999999</v>
      </c>
      <c r="J58" s="634"/>
      <c r="K58" s="524"/>
      <c r="S58" s="536"/>
      <c r="T58" s="638"/>
    </row>
    <row r="59" spans="1:68" s="298" customFormat="1" ht="25.5">
      <c r="A59" s="256" t="s">
        <v>3259</v>
      </c>
      <c r="B59" s="288">
        <v>95675</v>
      </c>
      <c r="C59" s="289" t="s">
        <v>2401</v>
      </c>
      <c r="D59" s="290" t="s">
        <v>229</v>
      </c>
      <c r="E59" s="290" t="s">
        <v>109</v>
      </c>
      <c r="F59" s="291">
        <v>1</v>
      </c>
      <c r="G59" s="292" t="s">
        <v>23625</v>
      </c>
      <c r="H59" s="255">
        <v>135.74</v>
      </c>
      <c r="J59" s="634"/>
      <c r="K59" s="524"/>
      <c r="S59" s="536"/>
      <c r="T59" s="638"/>
    </row>
    <row r="60" spans="1:68" s="529" customFormat="1" ht="12.75">
      <c r="A60" s="286"/>
      <c r="B60" s="384"/>
      <c r="C60" s="385"/>
      <c r="D60" s="388"/>
      <c r="E60" s="388"/>
      <c r="F60" s="388"/>
      <c r="G60" s="388"/>
      <c r="H60" s="389"/>
      <c r="I60" s="298"/>
      <c r="J60" s="634"/>
      <c r="K60" s="524"/>
      <c r="L60" s="298"/>
      <c r="M60" s="298"/>
      <c r="N60" s="298"/>
      <c r="O60" s="298"/>
      <c r="P60" s="298"/>
      <c r="Q60" s="298"/>
      <c r="R60" s="298"/>
      <c r="S60" s="536"/>
      <c r="T60" s="635"/>
      <c r="U60" s="298"/>
      <c r="V60" s="298"/>
      <c r="W60" s="298"/>
      <c r="X60" s="298"/>
      <c r="Y60" s="298"/>
      <c r="Z60" s="298"/>
      <c r="AA60" s="298"/>
      <c r="AB60" s="298"/>
      <c r="AC60" s="298"/>
      <c r="AD60" s="298"/>
      <c r="AE60" s="298"/>
      <c r="AF60" s="298"/>
      <c r="AG60" s="298"/>
      <c r="AH60" s="298"/>
      <c r="AI60" s="298"/>
      <c r="AJ60" s="298"/>
      <c r="AK60" s="298"/>
      <c r="AL60" s="298"/>
      <c r="AM60" s="298"/>
      <c r="AN60" s="298"/>
      <c r="AO60" s="298"/>
      <c r="AP60" s="298"/>
      <c r="AQ60" s="298"/>
      <c r="AR60" s="298"/>
      <c r="AS60" s="298"/>
      <c r="AT60" s="298"/>
      <c r="AU60" s="298"/>
      <c r="AV60" s="298"/>
      <c r="AW60" s="298"/>
      <c r="AX60" s="298"/>
      <c r="AY60" s="298"/>
      <c r="AZ60" s="298"/>
      <c r="BA60" s="298"/>
      <c r="BB60" s="298"/>
      <c r="BC60" s="298"/>
      <c r="BD60" s="298"/>
      <c r="BE60" s="298"/>
      <c r="BF60" s="298"/>
      <c r="BG60" s="298"/>
      <c r="BH60" s="298"/>
      <c r="BI60" s="298"/>
      <c r="BJ60" s="298"/>
      <c r="BK60" s="298"/>
      <c r="BL60" s="298"/>
      <c r="BM60" s="298"/>
      <c r="BN60" s="298"/>
      <c r="BO60" s="298"/>
      <c r="BP60" s="298"/>
    </row>
    <row r="61" spans="1:68" s="529" customFormat="1" ht="38.25">
      <c r="A61" s="286"/>
      <c r="B61" s="372" t="s">
        <v>15424</v>
      </c>
      <c r="C61" s="231" t="s">
        <v>15425</v>
      </c>
      <c r="D61" s="232" t="s">
        <v>103</v>
      </c>
      <c r="E61" s="232" t="s">
        <v>10</v>
      </c>
      <c r="F61" s="233"/>
      <c r="G61" s="234"/>
      <c r="H61" s="235">
        <v>658.82</v>
      </c>
      <c r="I61" s="298"/>
      <c r="J61" s="634"/>
      <c r="K61" s="524"/>
      <c r="L61" s="298"/>
      <c r="M61" s="298"/>
      <c r="N61" s="298"/>
      <c r="O61" s="298"/>
      <c r="P61" s="298"/>
      <c r="Q61" s="298"/>
      <c r="R61" s="298"/>
      <c r="S61" s="536"/>
      <c r="T61" s="635"/>
      <c r="U61" s="298"/>
      <c r="V61" s="298"/>
      <c r="W61" s="298"/>
      <c r="X61" s="298"/>
      <c r="Y61" s="298"/>
      <c r="Z61" s="298"/>
      <c r="AA61" s="298"/>
      <c r="AB61" s="298"/>
      <c r="AC61" s="298"/>
      <c r="AD61" s="298"/>
      <c r="AE61" s="298"/>
      <c r="AF61" s="298"/>
      <c r="AG61" s="298"/>
      <c r="AH61" s="298"/>
      <c r="AI61" s="298"/>
      <c r="AJ61" s="298"/>
      <c r="AK61" s="298"/>
      <c r="AL61" s="298"/>
      <c r="AM61" s="298"/>
      <c r="AN61" s="298"/>
      <c r="AO61" s="298"/>
      <c r="AP61" s="298"/>
      <c r="AQ61" s="298"/>
      <c r="AR61" s="298"/>
      <c r="AS61" s="298"/>
      <c r="AT61" s="298"/>
      <c r="AU61" s="298"/>
      <c r="AV61" s="298"/>
      <c r="AW61" s="298"/>
      <c r="AX61" s="298"/>
      <c r="AY61" s="298"/>
      <c r="AZ61" s="298"/>
      <c r="BA61" s="298"/>
      <c r="BB61" s="298"/>
      <c r="BC61" s="298"/>
      <c r="BD61" s="298"/>
      <c r="BE61" s="298"/>
      <c r="BF61" s="298"/>
      <c r="BG61" s="298"/>
      <c r="BH61" s="298"/>
      <c r="BI61" s="298"/>
      <c r="BJ61" s="298"/>
      <c r="BK61" s="298"/>
      <c r="BL61" s="298"/>
      <c r="BM61" s="298"/>
      <c r="BN61" s="298"/>
      <c r="BO61" s="298"/>
      <c r="BP61" s="298"/>
    </row>
    <row r="62" spans="1:68" s="298" customFormat="1" ht="38.25">
      <c r="A62" s="256" t="s">
        <v>3261</v>
      </c>
      <c r="B62" s="288">
        <v>367</v>
      </c>
      <c r="C62" s="289" t="s">
        <v>4814</v>
      </c>
      <c r="D62" s="290" t="s">
        <v>207</v>
      </c>
      <c r="E62" s="290" t="s">
        <v>3241</v>
      </c>
      <c r="F62" s="291">
        <v>0.1</v>
      </c>
      <c r="G62" s="292" t="s">
        <v>18930</v>
      </c>
      <c r="H62" s="255">
        <v>12.4</v>
      </c>
      <c r="J62" s="634"/>
      <c r="K62" s="524"/>
      <c r="S62" s="536"/>
      <c r="T62" s="638"/>
    </row>
    <row r="63" spans="1:68" s="298" customFormat="1" ht="12.75">
      <c r="A63" s="256" t="s">
        <v>3261</v>
      </c>
      <c r="B63" s="288">
        <v>1379</v>
      </c>
      <c r="C63" s="289" t="s">
        <v>5546</v>
      </c>
      <c r="D63" s="290" t="s">
        <v>207</v>
      </c>
      <c r="E63" s="290" t="s">
        <v>3244</v>
      </c>
      <c r="F63" s="291">
        <v>30</v>
      </c>
      <c r="G63" s="292" t="s">
        <v>18937</v>
      </c>
      <c r="H63" s="255">
        <v>15</v>
      </c>
      <c r="J63" s="634"/>
      <c r="K63" s="524"/>
      <c r="S63" s="536"/>
      <c r="T63" s="638"/>
    </row>
    <row r="64" spans="1:68" s="298" customFormat="1" ht="25.5">
      <c r="A64" s="256" t="s">
        <v>3261</v>
      </c>
      <c r="B64" s="288">
        <v>4718</v>
      </c>
      <c r="C64" s="289" t="s">
        <v>7581</v>
      </c>
      <c r="D64" s="290" t="s">
        <v>207</v>
      </c>
      <c r="E64" s="290" t="s">
        <v>3241</v>
      </c>
      <c r="F64" s="291">
        <v>0.05</v>
      </c>
      <c r="G64" s="292" t="s">
        <v>16599</v>
      </c>
      <c r="H64" s="255">
        <v>6.22</v>
      </c>
      <c r="J64" s="634"/>
      <c r="K64" s="524"/>
      <c r="S64" s="536"/>
      <c r="T64" s="638"/>
    </row>
    <row r="65" spans="1:68" s="298" customFormat="1" ht="25.5">
      <c r="A65" s="256" t="s">
        <v>3261</v>
      </c>
      <c r="B65" s="288">
        <v>5061</v>
      </c>
      <c r="C65" s="289" t="s">
        <v>7824</v>
      </c>
      <c r="D65" s="290" t="s">
        <v>207</v>
      </c>
      <c r="E65" s="290" t="s">
        <v>3244</v>
      </c>
      <c r="F65" s="291">
        <v>0.02</v>
      </c>
      <c r="G65" s="292" t="s">
        <v>20498</v>
      </c>
      <c r="H65" s="255">
        <v>0.38</v>
      </c>
      <c r="J65" s="634"/>
      <c r="K65" s="524"/>
      <c r="S65" s="536"/>
      <c r="T65" s="638"/>
    </row>
    <row r="66" spans="1:68" s="298" customFormat="1" ht="38.25">
      <c r="A66" s="256" t="s">
        <v>3261</v>
      </c>
      <c r="B66" s="288">
        <v>6189</v>
      </c>
      <c r="C66" s="289" t="s">
        <v>11986</v>
      </c>
      <c r="D66" s="290" t="s">
        <v>207</v>
      </c>
      <c r="E66" s="290" t="s">
        <v>3243</v>
      </c>
      <c r="F66" s="291">
        <v>0.3</v>
      </c>
      <c r="G66" s="292" t="s">
        <v>11513</v>
      </c>
      <c r="H66" s="255">
        <v>6.77</v>
      </c>
      <c r="J66" s="634"/>
      <c r="K66" s="524"/>
      <c r="S66" s="536"/>
      <c r="T66" s="638"/>
    </row>
    <row r="67" spans="1:68" s="298" customFormat="1" ht="38.25">
      <c r="A67" s="256" t="s">
        <v>3261</v>
      </c>
      <c r="B67" s="288">
        <v>7271</v>
      </c>
      <c r="C67" s="289" t="s">
        <v>11665</v>
      </c>
      <c r="D67" s="290" t="s">
        <v>207</v>
      </c>
      <c r="E67" s="290" t="s">
        <v>3240</v>
      </c>
      <c r="F67" s="291">
        <v>62.5</v>
      </c>
      <c r="G67" s="292" t="s">
        <v>9864</v>
      </c>
      <c r="H67" s="255">
        <v>49.37</v>
      </c>
      <c r="J67" s="634"/>
      <c r="K67" s="524"/>
      <c r="S67" s="536"/>
      <c r="T67" s="638"/>
    </row>
    <row r="68" spans="1:68" s="298" customFormat="1" ht="25.5">
      <c r="A68" s="256" t="s">
        <v>3261</v>
      </c>
      <c r="B68" s="288">
        <v>9836</v>
      </c>
      <c r="C68" s="289" t="s">
        <v>8742</v>
      </c>
      <c r="D68" s="290" t="s">
        <v>207</v>
      </c>
      <c r="E68" s="290" t="s">
        <v>3243</v>
      </c>
      <c r="F68" s="291">
        <v>10</v>
      </c>
      <c r="G68" s="292" t="s">
        <v>21097</v>
      </c>
      <c r="H68" s="255">
        <v>144.69999999999999</v>
      </c>
      <c r="J68" s="634"/>
      <c r="K68" s="524"/>
      <c r="S68" s="536"/>
      <c r="T68" s="638"/>
    </row>
    <row r="69" spans="1:68" s="298" customFormat="1" ht="25.5">
      <c r="A69" s="256" t="s">
        <v>3261</v>
      </c>
      <c r="B69" s="288">
        <v>43059</v>
      </c>
      <c r="C69" s="289" t="s">
        <v>9457</v>
      </c>
      <c r="D69" s="290" t="s">
        <v>207</v>
      </c>
      <c r="E69" s="290" t="s">
        <v>3244</v>
      </c>
      <c r="F69" s="291">
        <v>1.4</v>
      </c>
      <c r="G69" s="292" t="s">
        <v>10616</v>
      </c>
      <c r="H69" s="255">
        <v>12.79</v>
      </c>
      <c r="J69" s="634"/>
      <c r="K69" s="524"/>
      <c r="S69" s="536"/>
      <c r="T69" s="638"/>
    </row>
    <row r="70" spans="1:68" s="298" customFormat="1" ht="25.5">
      <c r="A70" s="256" t="s">
        <v>3261</v>
      </c>
      <c r="B70" s="288">
        <v>43132</v>
      </c>
      <c r="C70" s="289" t="s">
        <v>11641</v>
      </c>
      <c r="D70" s="290" t="s">
        <v>207</v>
      </c>
      <c r="E70" s="290" t="s">
        <v>3244</v>
      </c>
      <c r="F70" s="291">
        <v>0.05</v>
      </c>
      <c r="G70" s="292" t="s">
        <v>12310</v>
      </c>
      <c r="H70" s="255">
        <v>0.99</v>
      </c>
      <c r="J70" s="634"/>
      <c r="K70" s="524"/>
      <c r="S70" s="536"/>
      <c r="T70" s="638"/>
    </row>
    <row r="71" spans="1:68" s="298" customFormat="1" ht="25.5">
      <c r="A71" s="256" t="s">
        <v>3259</v>
      </c>
      <c r="B71" s="288">
        <v>88267</v>
      </c>
      <c r="C71" s="289" t="s">
        <v>107</v>
      </c>
      <c r="D71" s="290" t="s">
        <v>9714</v>
      </c>
      <c r="E71" s="290" t="s">
        <v>206</v>
      </c>
      <c r="F71" s="291">
        <v>10</v>
      </c>
      <c r="G71" s="292" t="s">
        <v>10792</v>
      </c>
      <c r="H71" s="255">
        <v>234.1</v>
      </c>
      <c r="J71" s="634"/>
      <c r="K71" s="524"/>
      <c r="S71" s="536"/>
      <c r="T71" s="638"/>
    </row>
    <row r="72" spans="1:68" s="298" customFormat="1" ht="25.5">
      <c r="A72" s="256" t="s">
        <v>3259</v>
      </c>
      <c r="B72" s="288">
        <v>88316</v>
      </c>
      <c r="C72" s="289" t="s">
        <v>104</v>
      </c>
      <c r="D72" s="290" t="s">
        <v>9714</v>
      </c>
      <c r="E72" s="290" t="s">
        <v>206</v>
      </c>
      <c r="F72" s="291">
        <v>10</v>
      </c>
      <c r="G72" s="292" t="s">
        <v>10172</v>
      </c>
      <c r="H72" s="255">
        <v>176.1</v>
      </c>
      <c r="J72" s="634"/>
      <c r="K72" s="524"/>
      <c r="S72" s="536"/>
      <c r="T72" s="638"/>
    </row>
    <row r="73" spans="1:68" s="529" customFormat="1" ht="12.75">
      <c r="A73" s="286"/>
      <c r="B73" s="375" t="s">
        <v>143</v>
      </c>
      <c r="C73" s="819" t="s">
        <v>15426</v>
      </c>
      <c r="D73" s="820"/>
      <c r="E73" s="820"/>
      <c r="F73" s="820"/>
      <c r="G73" s="820"/>
      <c r="H73" s="821"/>
      <c r="I73" s="298"/>
      <c r="J73" s="634"/>
      <c r="K73" s="524"/>
      <c r="L73" s="298"/>
      <c r="M73" s="298"/>
      <c r="N73" s="298"/>
      <c r="O73" s="298"/>
      <c r="P73" s="298"/>
      <c r="Q73" s="298"/>
      <c r="R73" s="298"/>
      <c r="S73" s="536"/>
      <c r="T73" s="635"/>
      <c r="U73" s="298"/>
      <c r="V73" s="298"/>
      <c r="W73" s="298"/>
      <c r="X73" s="298"/>
      <c r="Y73" s="298"/>
      <c r="Z73" s="298"/>
      <c r="AA73" s="298"/>
      <c r="AB73" s="298"/>
      <c r="AC73" s="298"/>
      <c r="AD73" s="298"/>
      <c r="AE73" s="298"/>
      <c r="AF73" s="298"/>
      <c r="AG73" s="298"/>
      <c r="AH73" s="298"/>
      <c r="AI73" s="298"/>
      <c r="AJ73" s="298"/>
      <c r="AK73" s="298"/>
      <c r="AL73" s="298"/>
      <c r="AM73" s="298"/>
      <c r="AN73" s="298"/>
      <c r="AO73" s="298"/>
      <c r="AP73" s="298"/>
      <c r="AQ73" s="298"/>
      <c r="AR73" s="298"/>
      <c r="AS73" s="298"/>
      <c r="AT73" s="298"/>
      <c r="AU73" s="298"/>
      <c r="AV73" s="298"/>
      <c r="AW73" s="298"/>
      <c r="AX73" s="298"/>
      <c r="AY73" s="298"/>
      <c r="AZ73" s="298"/>
      <c r="BA73" s="298"/>
      <c r="BB73" s="298"/>
      <c r="BC73" s="298"/>
      <c r="BD73" s="298"/>
      <c r="BE73" s="298"/>
      <c r="BF73" s="298"/>
      <c r="BG73" s="298"/>
      <c r="BH73" s="298"/>
      <c r="BI73" s="298"/>
      <c r="BJ73" s="298"/>
      <c r="BK73" s="298"/>
      <c r="BL73" s="298"/>
      <c r="BM73" s="298"/>
      <c r="BN73" s="298"/>
      <c r="BO73" s="298"/>
      <c r="BP73" s="298"/>
    </row>
    <row r="74" spans="1:68" s="529" customFormat="1" ht="12.75">
      <c r="A74" s="286"/>
      <c r="B74" s="384"/>
      <c r="C74" s="385"/>
      <c r="D74" s="388"/>
      <c r="E74" s="388"/>
      <c r="F74" s="388"/>
      <c r="G74" s="388"/>
      <c r="H74" s="389"/>
      <c r="I74" s="298"/>
      <c r="J74" s="634"/>
      <c r="K74" s="524"/>
      <c r="L74" s="298"/>
      <c r="M74" s="298"/>
      <c r="N74" s="298"/>
      <c r="O74" s="298"/>
      <c r="P74" s="298"/>
      <c r="Q74" s="298"/>
      <c r="R74" s="298"/>
      <c r="S74" s="536"/>
      <c r="T74" s="635"/>
      <c r="U74" s="298"/>
      <c r="V74" s="298"/>
      <c r="W74" s="298"/>
      <c r="X74" s="298"/>
      <c r="Y74" s="298"/>
      <c r="Z74" s="298"/>
      <c r="AA74" s="298"/>
      <c r="AB74" s="298"/>
      <c r="AC74" s="298"/>
      <c r="AD74" s="298"/>
      <c r="AE74" s="298"/>
      <c r="AF74" s="298"/>
      <c r="AG74" s="298"/>
      <c r="AH74" s="298"/>
      <c r="AI74" s="298"/>
      <c r="AJ74" s="298"/>
      <c r="AK74" s="298"/>
      <c r="AL74" s="298"/>
      <c r="AM74" s="298"/>
      <c r="AN74" s="298"/>
      <c r="AO74" s="298"/>
      <c r="AP74" s="298"/>
      <c r="AQ74" s="298"/>
      <c r="AR74" s="298"/>
      <c r="AS74" s="298"/>
      <c r="AT74" s="298"/>
      <c r="AU74" s="298"/>
      <c r="AV74" s="298"/>
      <c r="AW74" s="298"/>
      <c r="AX74" s="298"/>
      <c r="AY74" s="298"/>
      <c r="AZ74" s="298"/>
      <c r="BA74" s="298"/>
      <c r="BB74" s="298"/>
      <c r="BC74" s="298"/>
      <c r="BD74" s="298"/>
      <c r="BE74" s="298"/>
      <c r="BF74" s="298"/>
      <c r="BG74" s="298"/>
      <c r="BH74" s="298"/>
      <c r="BI74" s="298"/>
      <c r="BJ74" s="298"/>
      <c r="BK74" s="298"/>
      <c r="BL74" s="298"/>
      <c r="BM74" s="298"/>
      <c r="BN74" s="298"/>
      <c r="BO74" s="298"/>
      <c r="BP74" s="298"/>
    </row>
    <row r="75" spans="1:68" s="529" customFormat="1" ht="25.5">
      <c r="A75" s="286"/>
      <c r="B75" s="372" t="s">
        <v>15427</v>
      </c>
      <c r="C75" s="231" t="s">
        <v>15428</v>
      </c>
      <c r="D75" s="232" t="s">
        <v>103</v>
      </c>
      <c r="E75" s="232" t="s">
        <v>3772</v>
      </c>
      <c r="F75" s="233"/>
      <c r="G75" s="234"/>
      <c r="H75" s="235">
        <v>2774.86</v>
      </c>
      <c r="I75" s="298"/>
      <c r="J75" s="634"/>
      <c r="K75" s="524"/>
      <c r="L75" s="298"/>
      <c r="M75" s="298"/>
      <c r="N75" s="298"/>
      <c r="O75" s="298"/>
      <c r="P75" s="298"/>
      <c r="Q75" s="298"/>
      <c r="R75" s="298"/>
      <c r="S75" s="536"/>
      <c r="T75" s="635"/>
      <c r="U75" s="298"/>
      <c r="V75" s="298"/>
      <c r="W75" s="298"/>
      <c r="X75" s="298"/>
      <c r="Y75" s="298"/>
      <c r="Z75" s="298"/>
      <c r="AA75" s="298"/>
      <c r="AB75" s="298"/>
      <c r="AC75" s="298"/>
      <c r="AD75" s="298"/>
      <c r="AE75" s="298"/>
      <c r="AF75" s="298"/>
      <c r="AG75" s="298"/>
      <c r="AH75" s="298"/>
      <c r="AI75" s="298"/>
      <c r="AJ75" s="298"/>
      <c r="AK75" s="298"/>
      <c r="AL75" s="298"/>
      <c r="AM75" s="298"/>
      <c r="AN75" s="298"/>
      <c r="AO75" s="298"/>
      <c r="AP75" s="298"/>
      <c r="AQ75" s="298"/>
      <c r="AR75" s="298"/>
      <c r="AS75" s="298"/>
      <c r="AT75" s="298"/>
      <c r="AU75" s="298"/>
      <c r="AV75" s="298"/>
      <c r="AW75" s="298"/>
      <c r="AX75" s="298"/>
      <c r="AY75" s="298"/>
      <c r="AZ75" s="298"/>
      <c r="BA75" s="298"/>
      <c r="BB75" s="298"/>
      <c r="BC75" s="298"/>
      <c r="BD75" s="298"/>
      <c r="BE75" s="298"/>
      <c r="BF75" s="298"/>
      <c r="BG75" s="298"/>
      <c r="BH75" s="298"/>
      <c r="BI75" s="298"/>
      <c r="BJ75" s="298"/>
      <c r="BK75" s="298"/>
      <c r="BL75" s="298"/>
      <c r="BM75" s="298"/>
      <c r="BN75" s="298"/>
      <c r="BO75" s="298"/>
      <c r="BP75" s="298"/>
    </row>
    <row r="76" spans="1:68" s="298" customFormat="1" ht="12.75">
      <c r="A76" s="256" t="s">
        <v>3259</v>
      </c>
      <c r="B76" s="374" t="s">
        <v>9683</v>
      </c>
      <c r="C76" s="289" t="s">
        <v>17438</v>
      </c>
      <c r="D76" s="290" t="s">
        <v>229</v>
      </c>
      <c r="E76" s="290" t="s">
        <v>380</v>
      </c>
      <c r="F76" s="291">
        <v>1</v>
      </c>
      <c r="G76" s="292">
        <v>1464.15</v>
      </c>
      <c r="H76" s="255">
        <v>1464.15</v>
      </c>
      <c r="J76" s="634"/>
      <c r="K76" s="524"/>
      <c r="S76" s="536"/>
      <c r="T76" s="638"/>
    </row>
    <row r="77" spans="1:68" s="298" customFormat="1" ht="12.75">
      <c r="A77" s="256" t="s">
        <v>3259</v>
      </c>
      <c r="B77" s="374" t="s">
        <v>9684</v>
      </c>
      <c r="C77" s="289" t="s">
        <v>17439</v>
      </c>
      <c r="D77" s="290" t="s">
        <v>229</v>
      </c>
      <c r="E77" s="290" t="s">
        <v>380</v>
      </c>
      <c r="F77" s="291">
        <v>1</v>
      </c>
      <c r="G77" s="292">
        <v>1211.71</v>
      </c>
      <c r="H77" s="255">
        <v>1211.71</v>
      </c>
      <c r="J77" s="634"/>
      <c r="K77" s="524"/>
      <c r="S77" s="536"/>
      <c r="T77" s="638"/>
    </row>
    <row r="78" spans="1:68" s="298" customFormat="1" ht="12.75">
      <c r="A78" s="256" t="s">
        <v>3259</v>
      </c>
      <c r="B78" s="374" t="s">
        <v>9685</v>
      </c>
      <c r="C78" s="289" t="s">
        <v>18138</v>
      </c>
      <c r="D78" s="290" t="s">
        <v>229</v>
      </c>
      <c r="E78" s="290" t="s">
        <v>380</v>
      </c>
      <c r="F78" s="291">
        <v>1</v>
      </c>
      <c r="G78" s="292">
        <v>99</v>
      </c>
      <c r="H78" s="255">
        <v>99</v>
      </c>
      <c r="J78" s="634"/>
      <c r="K78" s="524"/>
      <c r="S78" s="536"/>
      <c r="T78" s="638"/>
    </row>
    <row r="79" spans="1:68" s="529" customFormat="1" ht="12.75">
      <c r="A79" s="286"/>
      <c r="B79" s="375" t="s">
        <v>143</v>
      </c>
      <c r="C79" s="816" t="s">
        <v>15429</v>
      </c>
      <c r="D79" s="817"/>
      <c r="E79" s="817"/>
      <c r="F79" s="817"/>
      <c r="G79" s="817"/>
      <c r="H79" s="818"/>
      <c r="I79" s="298"/>
      <c r="J79" s="634"/>
      <c r="K79" s="524"/>
      <c r="L79" s="298"/>
      <c r="M79" s="298"/>
      <c r="N79" s="298"/>
      <c r="O79" s="298"/>
      <c r="P79" s="298"/>
      <c r="Q79" s="298"/>
      <c r="R79" s="298"/>
      <c r="S79" s="536"/>
      <c r="T79" s="635"/>
      <c r="U79" s="298"/>
      <c r="V79" s="298"/>
      <c r="W79" s="298"/>
      <c r="X79" s="298"/>
      <c r="Y79" s="298"/>
      <c r="Z79" s="298"/>
      <c r="AA79" s="298"/>
      <c r="AB79" s="298"/>
      <c r="AC79" s="298"/>
      <c r="AD79" s="298"/>
      <c r="AE79" s="298"/>
      <c r="AF79" s="298"/>
      <c r="AG79" s="298"/>
      <c r="AH79" s="298"/>
      <c r="AI79" s="298"/>
      <c r="AJ79" s="298"/>
      <c r="AK79" s="298"/>
      <c r="AL79" s="298"/>
      <c r="AM79" s="298"/>
      <c r="AN79" s="298"/>
      <c r="AO79" s="298"/>
      <c r="AP79" s="298"/>
      <c r="AQ79" s="298"/>
      <c r="AR79" s="298"/>
      <c r="AS79" s="298"/>
      <c r="AT79" s="298"/>
      <c r="AU79" s="298"/>
      <c r="AV79" s="298"/>
      <c r="AW79" s="298"/>
      <c r="AX79" s="298"/>
      <c r="AY79" s="298"/>
      <c r="AZ79" s="298"/>
      <c r="BA79" s="298"/>
      <c r="BB79" s="298"/>
      <c r="BC79" s="298"/>
      <c r="BD79" s="298"/>
      <c r="BE79" s="298"/>
      <c r="BF79" s="298"/>
      <c r="BG79" s="298"/>
      <c r="BH79" s="298"/>
      <c r="BI79" s="298"/>
      <c r="BJ79" s="298"/>
      <c r="BK79" s="298"/>
      <c r="BL79" s="298"/>
      <c r="BM79" s="298"/>
      <c r="BN79" s="298"/>
      <c r="BO79" s="298"/>
      <c r="BP79" s="298"/>
    </row>
    <row r="80" spans="1:68" s="529" customFormat="1" ht="12.75">
      <c r="A80" s="286"/>
      <c r="B80" s="384"/>
      <c r="C80" s="385"/>
      <c r="D80" s="388"/>
      <c r="E80" s="388"/>
      <c r="F80" s="388"/>
      <c r="G80" s="388"/>
      <c r="H80" s="389"/>
      <c r="I80" s="298"/>
      <c r="J80" s="634"/>
      <c r="K80" s="524"/>
      <c r="L80" s="298"/>
      <c r="M80" s="298"/>
      <c r="N80" s="298"/>
      <c r="O80" s="298"/>
      <c r="P80" s="298"/>
      <c r="Q80" s="298"/>
      <c r="R80" s="298"/>
      <c r="S80" s="536"/>
      <c r="T80" s="635"/>
      <c r="U80" s="298"/>
      <c r="V80" s="298"/>
      <c r="W80" s="298"/>
      <c r="X80" s="298"/>
      <c r="Y80" s="298"/>
      <c r="Z80" s="298"/>
      <c r="AA80" s="298"/>
      <c r="AB80" s="298"/>
      <c r="AC80" s="298"/>
      <c r="AD80" s="298"/>
      <c r="AE80" s="298"/>
      <c r="AF80" s="298"/>
      <c r="AG80" s="298"/>
      <c r="AH80" s="298"/>
      <c r="AI80" s="298"/>
      <c r="AJ80" s="298"/>
      <c r="AK80" s="298"/>
      <c r="AL80" s="298"/>
      <c r="AM80" s="298"/>
      <c r="AN80" s="298"/>
      <c r="AO80" s="298"/>
      <c r="AP80" s="298"/>
      <c r="AQ80" s="298"/>
      <c r="AR80" s="298"/>
      <c r="AS80" s="298"/>
      <c r="AT80" s="298"/>
      <c r="AU80" s="298"/>
      <c r="AV80" s="298"/>
      <c r="AW80" s="298"/>
      <c r="AX80" s="298"/>
      <c r="AY80" s="298"/>
      <c r="AZ80" s="298"/>
      <c r="BA80" s="298"/>
      <c r="BB80" s="298"/>
      <c r="BC80" s="298"/>
      <c r="BD80" s="298"/>
      <c r="BE80" s="298"/>
      <c r="BF80" s="298"/>
      <c r="BG80" s="298"/>
      <c r="BH80" s="298"/>
      <c r="BI80" s="298"/>
      <c r="BJ80" s="298"/>
      <c r="BK80" s="298"/>
      <c r="BL80" s="298"/>
      <c r="BM80" s="298"/>
      <c r="BN80" s="298"/>
      <c r="BO80" s="298"/>
      <c r="BP80" s="298"/>
    </row>
    <row r="81" spans="1:68" s="529" customFormat="1" ht="38.25">
      <c r="A81" s="286"/>
      <c r="B81" s="372" t="s">
        <v>15430</v>
      </c>
      <c r="C81" s="231" t="s">
        <v>15431</v>
      </c>
      <c r="D81" s="232" t="s">
        <v>103</v>
      </c>
      <c r="E81" s="232" t="s">
        <v>193</v>
      </c>
      <c r="F81" s="233"/>
      <c r="G81" s="234"/>
      <c r="H81" s="235">
        <v>319.22000000000003</v>
      </c>
      <c r="I81" s="298"/>
      <c r="J81" s="634"/>
      <c r="K81" s="524"/>
      <c r="L81" s="298"/>
      <c r="M81" s="298"/>
      <c r="N81" s="298"/>
      <c r="O81" s="298"/>
      <c r="P81" s="298"/>
      <c r="Q81" s="298"/>
      <c r="R81" s="298"/>
      <c r="S81" s="536"/>
      <c r="T81" s="635"/>
      <c r="U81" s="298"/>
      <c r="V81" s="298"/>
      <c r="W81" s="298"/>
      <c r="X81" s="298"/>
      <c r="Y81" s="298"/>
      <c r="Z81" s="298"/>
      <c r="AA81" s="298"/>
      <c r="AB81" s="298"/>
      <c r="AC81" s="298"/>
      <c r="AD81" s="298"/>
      <c r="AE81" s="298"/>
      <c r="AF81" s="298"/>
      <c r="AG81" s="298"/>
      <c r="AH81" s="298"/>
      <c r="AI81" s="298"/>
      <c r="AJ81" s="298"/>
      <c r="AK81" s="298"/>
      <c r="AL81" s="298"/>
      <c r="AM81" s="298"/>
      <c r="AN81" s="298"/>
      <c r="AO81" s="298"/>
      <c r="AP81" s="298"/>
      <c r="AQ81" s="298"/>
      <c r="AR81" s="298"/>
      <c r="AS81" s="298"/>
      <c r="AT81" s="298"/>
      <c r="AU81" s="298"/>
      <c r="AV81" s="298"/>
      <c r="AW81" s="298"/>
      <c r="AX81" s="298"/>
      <c r="AY81" s="298"/>
      <c r="AZ81" s="298"/>
      <c r="BA81" s="298"/>
      <c r="BB81" s="298"/>
      <c r="BC81" s="298"/>
      <c r="BD81" s="298"/>
      <c r="BE81" s="298"/>
      <c r="BF81" s="298"/>
      <c r="BG81" s="298"/>
      <c r="BH81" s="298"/>
      <c r="BI81" s="298"/>
      <c r="BJ81" s="298"/>
      <c r="BK81" s="298"/>
      <c r="BL81" s="298"/>
      <c r="BM81" s="298"/>
      <c r="BN81" s="298"/>
      <c r="BO81" s="298"/>
      <c r="BP81" s="298"/>
    </row>
    <row r="82" spans="1:68" s="298" customFormat="1" ht="38.25">
      <c r="A82" s="256" t="s">
        <v>3261</v>
      </c>
      <c r="B82" s="374">
        <v>4417</v>
      </c>
      <c r="C82" s="289" t="s">
        <v>11976</v>
      </c>
      <c r="D82" s="290" t="s">
        <v>207</v>
      </c>
      <c r="E82" s="290" t="s">
        <v>3243</v>
      </c>
      <c r="F82" s="291">
        <v>1</v>
      </c>
      <c r="G82" s="292" t="s">
        <v>20271</v>
      </c>
      <c r="H82" s="255">
        <v>5.96</v>
      </c>
      <c r="J82" s="634"/>
      <c r="K82" s="524"/>
      <c r="S82" s="536"/>
      <c r="T82" s="638"/>
    </row>
    <row r="83" spans="1:68" s="298" customFormat="1" ht="25.5">
      <c r="A83" s="256" t="s">
        <v>3261</v>
      </c>
      <c r="B83" s="374">
        <v>4491</v>
      </c>
      <c r="C83" s="289" t="s">
        <v>11921</v>
      </c>
      <c r="D83" s="290" t="s">
        <v>207</v>
      </c>
      <c r="E83" s="290" t="s">
        <v>3243</v>
      </c>
      <c r="F83" s="291">
        <v>4</v>
      </c>
      <c r="G83" s="292" t="s">
        <v>10487</v>
      </c>
      <c r="H83" s="255">
        <v>23.96</v>
      </c>
      <c r="J83" s="634"/>
      <c r="K83" s="524"/>
      <c r="S83" s="536"/>
      <c r="T83" s="638"/>
    </row>
    <row r="84" spans="1:68" s="298" customFormat="1" ht="38.25">
      <c r="A84" s="256" t="s">
        <v>3261</v>
      </c>
      <c r="B84" s="374">
        <v>4813</v>
      </c>
      <c r="C84" s="289" t="s">
        <v>7700</v>
      </c>
      <c r="D84" s="290" t="s">
        <v>207</v>
      </c>
      <c r="E84" s="290" t="s">
        <v>3242</v>
      </c>
      <c r="F84" s="291">
        <v>1</v>
      </c>
      <c r="G84" s="292" t="s">
        <v>18995</v>
      </c>
      <c r="H84" s="255">
        <v>225</v>
      </c>
      <c r="J84" s="634"/>
      <c r="K84" s="524"/>
      <c r="S84" s="536"/>
      <c r="T84" s="638"/>
    </row>
    <row r="85" spans="1:68" s="298" customFormat="1" ht="25.5">
      <c r="A85" s="256" t="s">
        <v>3261</v>
      </c>
      <c r="B85" s="374">
        <v>5075</v>
      </c>
      <c r="C85" s="289" t="s">
        <v>7825</v>
      </c>
      <c r="D85" s="290" t="s">
        <v>207</v>
      </c>
      <c r="E85" s="290" t="s">
        <v>3244</v>
      </c>
      <c r="F85" s="291">
        <v>0.11</v>
      </c>
      <c r="G85" s="292" t="s">
        <v>14225</v>
      </c>
      <c r="H85" s="255">
        <v>2.16</v>
      </c>
      <c r="J85" s="634"/>
      <c r="K85" s="524"/>
      <c r="S85" s="536"/>
      <c r="T85" s="638"/>
    </row>
    <row r="86" spans="1:68" s="298" customFormat="1" ht="25.5">
      <c r="A86" s="256" t="s">
        <v>3259</v>
      </c>
      <c r="B86" s="374">
        <v>88262</v>
      </c>
      <c r="C86" s="289" t="s">
        <v>172</v>
      </c>
      <c r="D86" s="290" t="s">
        <v>9714</v>
      </c>
      <c r="E86" s="290" t="s">
        <v>206</v>
      </c>
      <c r="F86" s="291">
        <v>1</v>
      </c>
      <c r="G86" s="292" t="s">
        <v>18773</v>
      </c>
      <c r="H86" s="255">
        <v>23.68</v>
      </c>
      <c r="J86" s="634"/>
      <c r="K86" s="524"/>
      <c r="S86" s="536"/>
      <c r="T86" s="638"/>
    </row>
    <row r="87" spans="1:68" s="298" customFormat="1" ht="25.5">
      <c r="A87" s="256" t="s">
        <v>3259</v>
      </c>
      <c r="B87" s="374">
        <v>88316</v>
      </c>
      <c r="C87" s="289" t="s">
        <v>104</v>
      </c>
      <c r="D87" s="290" t="s">
        <v>9714</v>
      </c>
      <c r="E87" s="290" t="s">
        <v>206</v>
      </c>
      <c r="F87" s="291">
        <v>2</v>
      </c>
      <c r="G87" s="292" t="s">
        <v>10172</v>
      </c>
      <c r="H87" s="255">
        <v>35.22</v>
      </c>
      <c r="J87" s="634"/>
      <c r="K87" s="524"/>
      <c r="S87" s="536"/>
      <c r="T87" s="638"/>
    </row>
    <row r="88" spans="1:68" s="298" customFormat="1" ht="51">
      <c r="A88" s="256" t="s">
        <v>3259</v>
      </c>
      <c r="B88" s="374">
        <v>94962</v>
      </c>
      <c r="C88" s="289" t="s">
        <v>22438</v>
      </c>
      <c r="D88" s="290" t="s">
        <v>229</v>
      </c>
      <c r="E88" s="290" t="s">
        <v>209</v>
      </c>
      <c r="F88" s="291">
        <v>0.01</v>
      </c>
      <c r="G88" s="292" t="s">
        <v>22439</v>
      </c>
      <c r="H88" s="255">
        <v>3.24</v>
      </c>
      <c r="J88" s="634"/>
      <c r="K88" s="524"/>
      <c r="S88" s="536"/>
      <c r="T88" s="638"/>
    </row>
    <row r="89" spans="1:68" s="529" customFormat="1" ht="12.75">
      <c r="A89" s="286"/>
      <c r="B89" s="375" t="s">
        <v>143</v>
      </c>
      <c r="C89" s="819" t="s">
        <v>15432</v>
      </c>
      <c r="D89" s="820"/>
      <c r="E89" s="820"/>
      <c r="F89" s="820"/>
      <c r="G89" s="820"/>
      <c r="H89" s="821"/>
      <c r="I89" s="298"/>
      <c r="J89" s="634"/>
      <c r="K89" s="524"/>
      <c r="L89" s="298"/>
      <c r="M89" s="298"/>
      <c r="N89" s="298"/>
      <c r="O89" s="298"/>
      <c r="P89" s="298"/>
      <c r="Q89" s="298"/>
      <c r="R89" s="298"/>
      <c r="S89" s="536"/>
      <c r="T89" s="635"/>
      <c r="U89" s="298"/>
      <c r="V89" s="298"/>
      <c r="W89" s="298"/>
      <c r="X89" s="298"/>
      <c r="Y89" s="298"/>
      <c r="Z89" s="298"/>
      <c r="AA89" s="298"/>
      <c r="AB89" s="298"/>
      <c r="AC89" s="298"/>
      <c r="AD89" s="298"/>
      <c r="AE89" s="298"/>
      <c r="AF89" s="298"/>
      <c r="AG89" s="298"/>
      <c r="AH89" s="298"/>
      <c r="AI89" s="298"/>
      <c r="AJ89" s="298"/>
      <c r="AK89" s="298"/>
      <c r="AL89" s="298"/>
      <c r="AM89" s="298"/>
      <c r="AN89" s="298"/>
      <c r="AO89" s="298"/>
      <c r="AP89" s="298"/>
      <c r="AQ89" s="298"/>
      <c r="AR89" s="298"/>
      <c r="AS89" s="298"/>
      <c r="AT89" s="298"/>
      <c r="AU89" s="298"/>
      <c r="AV89" s="298"/>
      <c r="AW89" s="298"/>
      <c r="AX89" s="298"/>
      <c r="AY89" s="298"/>
      <c r="AZ89" s="298"/>
      <c r="BA89" s="298"/>
      <c r="BB89" s="298"/>
      <c r="BC89" s="298"/>
      <c r="BD89" s="298"/>
      <c r="BE89" s="298"/>
      <c r="BF89" s="298"/>
      <c r="BG89" s="298"/>
      <c r="BH89" s="298"/>
      <c r="BI89" s="298"/>
      <c r="BJ89" s="298"/>
      <c r="BK89" s="298"/>
      <c r="BL89" s="298"/>
      <c r="BM89" s="298"/>
      <c r="BN89" s="298"/>
      <c r="BO89" s="298"/>
      <c r="BP89" s="298"/>
    </row>
    <row r="90" spans="1:68" s="88" customFormat="1" ht="12.75">
      <c r="A90" s="480"/>
      <c r="B90" s="738"/>
      <c r="C90" s="739"/>
      <c r="D90" s="739"/>
      <c r="E90" s="739"/>
      <c r="F90" s="739"/>
      <c r="G90" s="739"/>
      <c r="H90" s="739"/>
      <c r="J90" s="174"/>
    </row>
    <row r="91" spans="1:68" s="88" customFormat="1" ht="25.5">
      <c r="A91" s="286"/>
      <c r="B91" s="372" t="s">
        <v>15433</v>
      </c>
      <c r="C91" s="231" t="s">
        <v>24531</v>
      </c>
      <c r="D91" s="232" t="s">
        <v>103</v>
      </c>
      <c r="E91" s="232" t="s">
        <v>193</v>
      </c>
      <c r="F91" s="233"/>
      <c r="G91" s="234"/>
      <c r="H91" s="235">
        <v>52.83</v>
      </c>
      <c r="J91" s="175"/>
    </row>
    <row r="92" spans="1:68" s="92" customFormat="1" ht="25.5">
      <c r="A92" s="256" t="s">
        <v>3259</v>
      </c>
      <c r="B92" s="288">
        <v>88316</v>
      </c>
      <c r="C92" s="289" t="s">
        <v>104</v>
      </c>
      <c r="D92" s="290" t="s">
        <v>9714</v>
      </c>
      <c r="E92" s="290" t="s">
        <v>206</v>
      </c>
      <c r="F92" s="291">
        <v>3</v>
      </c>
      <c r="G92" s="292" t="s">
        <v>10172</v>
      </c>
      <c r="H92" s="255">
        <v>52.83</v>
      </c>
      <c r="J92" s="176"/>
    </row>
    <row r="93" spans="1:68" s="92" customFormat="1" ht="12.75">
      <c r="A93" s="482"/>
      <c r="B93" s="740" t="s">
        <v>143</v>
      </c>
      <c r="C93" s="838" t="s">
        <v>24532</v>
      </c>
      <c r="D93" s="839"/>
      <c r="E93" s="839"/>
      <c r="F93" s="839"/>
      <c r="G93" s="839"/>
      <c r="H93" s="840"/>
      <c r="J93" s="176"/>
    </row>
    <row r="94" spans="1:68" s="529" customFormat="1" ht="12.75">
      <c r="A94" s="286"/>
      <c r="B94" s="373"/>
      <c r="C94" s="379"/>
      <c r="D94" s="382"/>
      <c r="E94" s="382"/>
      <c r="F94" s="382"/>
      <c r="G94" s="382"/>
      <c r="H94" s="382"/>
      <c r="I94" s="298"/>
      <c r="J94" s="634"/>
      <c r="K94" s="524"/>
      <c r="L94" s="298"/>
      <c r="M94" s="298"/>
      <c r="N94" s="298"/>
      <c r="O94" s="298"/>
      <c r="P94" s="298"/>
      <c r="Q94" s="298"/>
      <c r="R94" s="298"/>
      <c r="S94" s="536"/>
      <c r="T94" s="635"/>
      <c r="U94" s="298"/>
      <c r="V94" s="298"/>
      <c r="W94" s="298"/>
      <c r="X94" s="298"/>
      <c r="Y94" s="298"/>
      <c r="Z94" s="298"/>
      <c r="AA94" s="298"/>
      <c r="AB94" s="298"/>
      <c r="AC94" s="298"/>
      <c r="AD94" s="298"/>
      <c r="AE94" s="298"/>
      <c r="AF94" s="298"/>
      <c r="AG94" s="298"/>
      <c r="AH94" s="298"/>
      <c r="AI94" s="298"/>
      <c r="AJ94" s="298"/>
      <c r="AK94" s="298"/>
      <c r="AL94" s="298"/>
      <c r="AM94" s="298"/>
      <c r="AN94" s="298"/>
      <c r="AO94" s="298"/>
      <c r="AP94" s="298"/>
      <c r="AQ94" s="298"/>
      <c r="AR94" s="298"/>
      <c r="AS94" s="298"/>
      <c r="AT94" s="298"/>
      <c r="AU94" s="298"/>
      <c r="AV94" s="298"/>
      <c r="AW94" s="298"/>
      <c r="AX94" s="298"/>
      <c r="AY94" s="298"/>
      <c r="AZ94" s="298"/>
      <c r="BA94" s="298"/>
      <c r="BB94" s="298"/>
      <c r="BC94" s="298"/>
      <c r="BD94" s="298"/>
      <c r="BE94" s="298"/>
      <c r="BF94" s="298"/>
      <c r="BG94" s="298"/>
      <c r="BH94" s="298"/>
      <c r="BI94" s="298"/>
      <c r="BJ94" s="298"/>
      <c r="BK94" s="298"/>
      <c r="BL94" s="298"/>
      <c r="BM94" s="298"/>
      <c r="BN94" s="298"/>
      <c r="BO94" s="298"/>
      <c r="BP94" s="298"/>
    </row>
    <row r="95" spans="1:68" s="529" customFormat="1" ht="25.5">
      <c r="A95" s="286"/>
      <c r="B95" s="372" t="s">
        <v>18272</v>
      </c>
      <c r="C95" s="231" t="s">
        <v>24536</v>
      </c>
      <c r="D95" s="232" t="s">
        <v>103</v>
      </c>
      <c r="E95" s="232" t="s">
        <v>193</v>
      </c>
      <c r="F95" s="233"/>
      <c r="G95" s="234"/>
      <c r="H95" s="235">
        <v>16.510000000000002</v>
      </c>
      <c r="I95" s="298"/>
      <c r="J95" s="634"/>
      <c r="K95" s="524"/>
      <c r="L95" s="298"/>
      <c r="M95" s="298"/>
      <c r="N95" s="298"/>
      <c r="O95" s="298"/>
      <c r="P95" s="298"/>
      <c r="Q95" s="298"/>
      <c r="R95" s="298"/>
      <c r="S95" s="536"/>
      <c r="T95" s="635"/>
      <c r="U95" s="298"/>
      <c r="V95" s="298"/>
      <c r="W95" s="298"/>
      <c r="X95" s="298"/>
      <c r="Y95" s="298"/>
      <c r="Z95" s="298"/>
      <c r="AA95" s="298"/>
      <c r="AB95" s="298"/>
      <c r="AC95" s="298"/>
      <c r="AD95" s="298"/>
      <c r="AE95" s="298"/>
      <c r="AF95" s="298"/>
      <c r="AG95" s="298"/>
      <c r="AH95" s="298"/>
      <c r="AI95" s="298"/>
      <c r="AJ95" s="298"/>
      <c r="AK95" s="298"/>
      <c r="AL95" s="298"/>
      <c r="AM95" s="298"/>
      <c r="AN95" s="298"/>
      <c r="AO95" s="298"/>
      <c r="AP95" s="298"/>
      <c r="AQ95" s="298"/>
      <c r="AR95" s="298"/>
      <c r="AS95" s="298"/>
      <c r="AT95" s="298"/>
      <c r="AU95" s="298"/>
      <c r="AV95" s="298"/>
      <c r="AW95" s="298"/>
      <c r="AX95" s="298"/>
      <c r="AY95" s="298"/>
      <c r="AZ95" s="298"/>
      <c r="BA95" s="298"/>
      <c r="BB95" s="298"/>
      <c r="BC95" s="298"/>
      <c r="BD95" s="298"/>
      <c r="BE95" s="298"/>
      <c r="BF95" s="298"/>
      <c r="BG95" s="298"/>
      <c r="BH95" s="298"/>
      <c r="BI95" s="298"/>
      <c r="BJ95" s="298"/>
      <c r="BK95" s="298"/>
      <c r="BL95" s="298"/>
      <c r="BM95" s="298"/>
      <c r="BN95" s="298"/>
      <c r="BO95" s="298"/>
      <c r="BP95" s="298"/>
    </row>
    <row r="96" spans="1:68" s="298" customFormat="1" ht="25.5">
      <c r="A96" s="256" t="s">
        <v>3259</v>
      </c>
      <c r="B96" s="288">
        <v>88262</v>
      </c>
      <c r="C96" s="289" t="s">
        <v>172</v>
      </c>
      <c r="D96" s="290" t="s">
        <v>9714</v>
      </c>
      <c r="E96" s="290" t="s">
        <v>206</v>
      </c>
      <c r="F96" s="291">
        <v>0.4</v>
      </c>
      <c r="G96" s="292" t="s">
        <v>18773</v>
      </c>
      <c r="H96" s="255">
        <v>9.4700000000000006</v>
      </c>
      <c r="J96" s="634"/>
      <c r="K96" s="524"/>
      <c r="S96" s="536"/>
      <c r="T96" s="638"/>
    </row>
    <row r="97" spans="1:68" s="298" customFormat="1" ht="25.5">
      <c r="A97" s="256" t="s">
        <v>3259</v>
      </c>
      <c r="B97" s="288">
        <v>88316</v>
      </c>
      <c r="C97" s="289" t="s">
        <v>104</v>
      </c>
      <c r="D97" s="290" t="s">
        <v>9714</v>
      </c>
      <c r="E97" s="290" t="s">
        <v>206</v>
      </c>
      <c r="F97" s="291">
        <v>0.4</v>
      </c>
      <c r="G97" s="292" t="s">
        <v>10172</v>
      </c>
      <c r="H97" s="255">
        <v>7.04</v>
      </c>
      <c r="J97" s="634"/>
      <c r="K97" s="524"/>
      <c r="S97" s="536"/>
      <c r="T97" s="638"/>
    </row>
    <row r="98" spans="1:68" s="298" customFormat="1" ht="12.75">
      <c r="A98" s="256"/>
      <c r="B98" s="288" t="s">
        <v>143</v>
      </c>
      <c r="C98" s="819" t="s">
        <v>24537</v>
      </c>
      <c r="D98" s="820"/>
      <c r="E98" s="820"/>
      <c r="F98" s="820"/>
      <c r="G98" s="820"/>
      <c r="H98" s="821"/>
      <c r="J98" s="634"/>
      <c r="K98" s="524"/>
      <c r="S98" s="536"/>
      <c r="T98" s="635"/>
    </row>
    <row r="99" spans="1:68" s="529" customFormat="1" ht="12.75">
      <c r="A99" s="286"/>
      <c r="B99" s="373"/>
      <c r="C99" s="379"/>
      <c r="D99" s="382"/>
      <c r="E99" s="382"/>
      <c r="F99" s="382"/>
      <c r="G99" s="382"/>
      <c r="H99" s="382"/>
      <c r="I99" s="298"/>
      <c r="J99" s="634"/>
      <c r="K99" s="524"/>
      <c r="L99" s="298"/>
      <c r="M99" s="298"/>
      <c r="N99" s="298"/>
      <c r="O99" s="298"/>
      <c r="P99" s="298"/>
      <c r="Q99" s="298"/>
      <c r="R99" s="298"/>
      <c r="S99" s="536"/>
      <c r="T99" s="635"/>
      <c r="U99" s="298"/>
      <c r="V99" s="298"/>
      <c r="W99" s="298"/>
      <c r="X99" s="298"/>
      <c r="Y99" s="298"/>
      <c r="Z99" s="298"/>
      <c r="AA99" s="298"/>
      <c r="AB99" s="298"/>
      <c r="AC99" s="298"/>
      <c r="AD99" s="298"/>
      <c r="AE99" s="298"/>
      <c r="AF99" s="298"/>
      <c r="AG99" s="298"/>
      <c r="AH99" s="298"/>
      <c r="AI99" s="298"/>
      <c r="AJ99" s="298"/>
      <c r="AK99" s="298"/>
      <c r="AL99" s="298"/>
      <c r="AM99" s="298"/>
      <c r="AN99" s="298"/>
      <c r="AO99" s="298"/>
      <c r="AP99" s="298"/>
      <c r="AQ99" s="298"/>
      <c r="AR99" s="298"/>
      <c r="AS99" s="298"/>
      <c r="AT99" s="298"/>
      <c r="AU99" s="298"/>
      <c r="AV99" s="298"/>
      <c r="AW99" s="298"/>
      <c r="AX99" s="298"/>
      <c r="AY99" s="298"/>
      <c r="AZ99" s="298"/>
      <c r="BA99" s="298"/>
      <c r="BB99" s="298"/>
      <c r="BC99" s="298"/>
      <c r="BD99" s="298"/>
      <c r="BE99" s="298"/>
      <c r="BF99" s="298"/>
      <c r="BG99" s="298"/>
      <c r="BH99" s="298"/>
      <c r="BI99" s="298"/>
      <c r="BJ99" s="298"/>
      <c r="BK99" s="298"/>
      <c r="BL99" s="298"/>
      <c r="BM99" s="298"/>
      <c r="BN99" s="298"/>
      <c r="BO99" s="298"/>
      <c r="BP99" s="298"/>
    </row>
    <row r="100" spans="1:68" s="529" customFormat="1" ht="38.25">
      <c r="A100" s="286"/>
      <c r="B100" s="372" t="s">
        <v>24539</v>
      </c>
      <c r="C100" s="231" t="s">
        <v>24540</v>
      </c>
      <c r="D100" s="232" t="s">
        <v>103</v>
      </c>
      <c r="E100" s="232" t="s">
        <v>193</v>
      </c>
      <c r="F100" s="233"/>
      <c r="G100" s="234"/>
      <c r="H100" s="235">
        <v>13.99</v>
      </c>
      <c r="I100" s="298"/>
      <c r="J100" s="634"/>
      <c r="K100" s="524"/>
      <c r="L100" s="298"/>
      <c r="M100" s="298"/>
      <c r="N100" s="298"/>
      <c r="O100" s="298"/>
      <c r="P100" s="298"/>
      <c r="Q100" s="298"/>
      <c r="R100" s="298"/>
      <c r="S100" s="536"/>
      <c r="T100" s="635"/>
      <c r="U100" s="298"/>
      <c r="V100" s="298"/>
      <c r="W100" s="298"/>
      <c r="X100" s="298"/>
      <c r="Y100" s="298"/>
      <c r="Z100" s="298"/>
      <c r="AA100" s="298"/>
      <c r="AB100" s="298"/>
      <c r="AC100" s="298"/>
      <c r="AD100" s="298"/>
      <c r="AE100" s="298"/>
      <c r="AF100" s="298"/>
      <c r="AG100" s="298"/>
      <c r="AH100" s="298"/>
      <c r="AI100" s="298"/>
      <c r="AJ100" s="298"/>
      <c r="AK100" s="298"/>
      <c r="AL100" s="298"/>
      <c r="AM100" s="298"/>
      <c r="AN100" s="298"/>
      <c r="AO100" s="298"/>
      <c r="AP100" s="298"/>
      <c r="AQ100" s="298"/>
      <c r="AR100" s="298"/>
      <c r="AS100" s="298"/>
      <c r="AT100" s="298"/>
      <c r="AU100" s="298"/>
      <c r="AV100" s="298"/>
      <c r="AW100" s="298"/>
      <c r="AX100" s="298"/>
      <c r="AY100" s="298"/>
      <c r="AZ100" s="298"/>
      <c r="BA100" s="298"/>
      <c r="BB100" s="298"/>
      <c r="BC100" s="298"/>
      <c r="BD100" s="298"/>
      <c r="BE100" s="298"/>
      <c r="BF100" s="298"/>
      <c r="BG100" s="298"/>
      <c r="BH100" s="298"/>
      <c r="BI100" s="298"/>
      <c r="BJ100" s="298"/>
      <c r="BK100" s="298"/>
      <c r="BL100" s="298"/>
      <c r="BM100" s="298"/>
      <c r="BN100" s="298"/>
      <c r="BO100" s="298"/>
      <c r="BP100" s="298"/>
    </row>
    <row r="101" spans="1:68" s="298" customFormat="1" ht="25.5">
      <c r="A101" s="256" t="s">
        <v>3259</v>
      </c>
      <c r="B101" s="374">
        <v>88309</v>
      </c>
      <c r="C101" s="289" t="s">
        <v>105</v>
      </c>
      <c r="D101" s="290" t="s">
        <v>9714</v>
      </c>
      <c r="E101" s="290" t="s">
        <v>206</v>
      </c>
      <c r="F101" s="291">
        <v>7.0000000000000007E-2</v>
      </c>
      <c r="G101" s="292" t="s">
        <v>11439</v>
      </c>
      <c r="H101" s="255">
        <v>1.67</v>
      </c>
      <c r="J101" s="634"/>
      <c r="K101" s="524"/>
      <c r="S101" s="536"/>
      <c r="T101" s="638"/>
    </row>
    <row r="102" spans="1:68" s="298" customFormat="1" ht="25.5">
      <c r="A102" s="256" t="s">
        <v>3259</v>
      </c>
      <c r="B102" s="288">
        <v>88316</v>
      </c>
      <c r="C102" s="289" t="s">
        <v>104</v>
      </c>
      <c r="D102" s="290" t="s">
        <v>9714</v>
      </c>
      <c r="E102" s="290" t="s">
        <v>206</v>
      </c>
      <c r="F102" s="291">
        <v>0.7</v>
      </c>
      <c r="G102" s="292" t="s">
        <v>10172</v>
      </c>
      <c r="H102" s="255">
        <v>12.32</v>
      </c>
      <c r="J102" s="634"/>
      <c r="K102" s="524"/>
      <c r="S102" s="536"/>
      <c r="T102" s="638"/>
    </row>
    <row r="103" spans="1:68" s="298" customFormat="1" ht="12.75">
      <c r="A103" s="256"/>
      <c r="B103" s="288" t="s">
        <v>143</v>
      </c>
      <c r="C103" s="819" t="s">
        <v>24541</v>
      </c>
      <c r="D103" s="820"/>
      <c r="E103" s="820"/>
      <c r="F103" s="820"/>
      <c r="G103" s="820"/>
      <c r="H103" s="821"/>
      <c r="J103" s="634"/>
      <c r="K103" s="524"/>
      <c r="S103" s="536"/>
      <c r="T103" s="635"/>
    </row>
    <row r="104" spans="1:68" s="88" customFormat="1" ht="12.75">
      <c r="A104" s="286"/>
      <c r="B104" s="373"/>
      <c r="C104" s="379"/>
      <c r="D104" s="382"/>
      <c r="E104" s="382"/>
      <c r="F104" s="382"/>
      <c r="G104" s="382"/>
      <c r="H104" s="382"/>
      <c r="J104" s="174"/>
    </row>
    <row r="105" spans="1:68" s="88" customFormat="1" ht="38.25">
      <c r="A105" s="286"/>
      <c r="B105" s="372" t="s">
        <v>24545</v>
      </c>
      <c r="C105" s="231" t="s">
        <v>18270</v>
      </c>
      <c r="D105" s="232" t="s">
        <v>103</v>
      </c>
      <c r="E105" s="232" t="s">
        <v>209</v>
      </c>
      <c r="F105" s="233"/>
      <c r="G105" s="234"/>
      <c r="H105" s="235">
        <v>105.72</v>
      </c>
      <c r="J105" s="175"/>
    </row>
    <row r="106" spans="1:68" s="92" customFormat="1" ht="38.25">
      <c r="A106" s="256" t="s">
        <v>3259</v>
      </c>
      <c r="B106" s="288">
        <v>5795</v>
      </c>
      <c r="C106" s="289" t="s">
        <v>386</v>
      </c>
      <c r="D106" s="290" t="s">
        <v>8987</v>
      </c>
      <c r="E106" s="290" t="s">
        <v>212</v>
      </c>
      <c r="F106" s="291">
        <v>1.5562</v>
      </c>
      <c r="G106" s="292" t="s">
        <v>21382</v>
      </c>
      <c r="H106" s="255">
        <v>33.950000000000003</v>
      </c>
      <c r="J106" s="176"/>
    </row>
    <row r="107" spans="1:68" s="92" customFormat="1" ht="38.25">
      <c r="A107" s="256" t="s">
        <v>3259</v>
      </c>
      <c r="B107" s="288">
        <v>5952</v>
      </c>
      <c r="C107" s="289" t="s">
        <v>542</v>
      </c>
      <c r="D107" s="290" t="s">
        <v>8987</v>
      </c>
      <c r="E107" s="290" t="s">
        <v>215</v>
      </c>
      <c r="F107" s="291">
        <v>0.44109999999999999</v>
      </c>
      <c r="G107" s="292" t="s">
        <v>16154</v>
      </c>
      <c r="H107" s="255">
        <v>8.9600000000000009</v>
      </c>
      <c r="J107" s="176"/>
    </row>
    <row r="108" spans="1:68" s="92" customFormat="1" ht="25.5">
      <c r="A108" s="256" t="s">
        <v>3259</v>
      </c>
      <c r="B108" s="288">
        <v>88309</v>
      </c>
      <c r="C108" s="289" t="s">
        <v>105</v>
      </c>
      <c r="D108" s="290" t="s">
        <v>9714</v>
      </c>
      <c r="E108" s="290" t="s">
        <v>206</v>
      </c>
      <c r="F108" s="291">
        <v>0.30509999999999998</v>
      </c>
      <c r="G108" s="292" t="s">
        <v>11439</v>
      </c>
      <c r="H108" s="255">
        <v>7.29</v>
      </c>
      <c r="J108" s="176"/>
    </row>
    <row r="109" spans="1:68" s="92" customFormat="1" ht="25.5">
      <c r="A109" s="256" t="s">
        <v>3259</v>
      </c>
      <c r="B109" s="288">
        <v>88316</v>
      </c>
      <c r="C109" s="289" t="s">
        <v>104</v>
      </c>
      <c r="D109" s="290" t="s">
        <v>9714</v>
      </c>
      <c r="E109" s="290" t="s">
        <v>206</v>
      </c>
      <c r="F109" s="291">
        <v>3.153</v>
      </c>
      <c r="G109" s="292" t="s">
        <v>10172</v>
      </c>
      <c r="H109" s="255">
        <v>55.52</v>
      </c>
      <c r="J109" s="176"/>
    </row>
    <row r="110" spans="1:68" s="92" customFormat="1" ht="12.75">
      <c r="A110" s="256"/>
      <c r="B110" s="288" t="s">
        <v>143</v>
      </c>
      <c r="C110" s="838" t="s">
        <v>18271</v>
      </c>
      <c r="D110" s="839"/>
      <c r="E110" s="839"/>
      <c r="F110" s="839"/>
      <c r="G110" s="839"/>
      <c r="H110" s="840"/>
      <c r="J110" s="176"/>
    </row>
    <row r="111" spans="1:68" s="529" customFormat="1" ht="12.75">
      <c r="A111" s="286"/>
      <c r="B111" s="373"/>
      <c r="C111" s="379"/>
      <c r="D111" s="382"/>
      <c r="E111" s="382"/>
      <c r="F111" s="382"/>
      <c r="G111" s="382"/>
      <c r="H111" s="382"/>
      <c r="I111" s="298"/>
      <c r="J111" s="634"/>
      <c r="K111" s="524"/>
      <c r="L111" s="298"/>
      <c r="M111" s="298"/>
      <c r="N111" s="298"/>
      <c r="O111" s="298"/>
      <c r="P111" s="298"/>
      <c r="Q111" s="298"/>
      <c r="R111" s="298"/>
      <c r="S111" s="536"/>
      <c r="T111" s="635"/>
      <c r="U111" s="298"/>
      <c r="V111" s="298"/>
      <c r="W111" s="298"/>
      <c r="X111" s="298"/>
      <c r="Y111" s="298"/>
      <c r="Z111" s="298"/>
      <c r="AA111" s="298"/>
      <c r="AB111" s="298"/>
      <c r="AC111" s="298"/>
      <c r="AD111" s="298"/>
      <c r="AE111" s="298"/>
      <c r="AF111" s="298"/>
      <c r="AG111" s="298"/>
      <c r="AH111" s="298"/>
      <c r="AI111" s="298"/>
      <c r="AJ111" s="298"/>
      <c r="AK111" s="298"/>
      <c r="AL111" s="298"/>
      <c r="AM111" s="298"/>
      <c r="AN111" s="298"/>
      <c r="AO111" s="298"/>
      <c r="AP111" s="298"/>
      <c r="AQ111" s="298"/>
      <c r="AR111" s="298"/>
      <c r="AS111" s="298"/>
      <c r="AT111" s="298"/>
      <c r="AU111" s="298"/>
      <c r="AV111" s="298"/>
      <c r="AW111" s="298"/>
      <c r="AX111" s="298"/>
      <c r="AY111" s="298"/>
      <c r="AZ111" s="298"/>
      <c r="BA111" s="298"/>
      <c r="BB111" s="298"/>
      <c r="BC111" s="298"/>
      <c r="BD111" s="298"/>
      <c r="BE111" s="298"/>
      <c r="BF111" s="298"/>
      <c r="BG111" s="298"/>
      <c r="BH111" s="298"/>
      <c r="BI111" s="298"/>
      <c r="BJ111" s="298"/>
      <c r="BK111" s="298"/>
      <c r="BL111" s="298"/>
      <c r="BM111" s="298"/>
      <c r="BN111" s="298"/>
      <c r="BO111" s="298"/>
      <c r="BP111" s="298"/>
    </row>
    <row r="112" spans="1:68" s="529" customFormat="1" ht="25.5">
      <c r="A112" s="286"/>
      <c r="B112" s="372" t="s">
        <v>24547</v>
      </c>
      <c r="C112" s="231" t="s">
        <v>24548</v>
      </c>
      <c r="D112" s="232" t="s">
        <v>103</v>
      </c>
      <c r="E112" s="232" t="s">
        <v>193</v>
      </c>
      <c r="F112" s="233"/>
      <c r="G112" s="234"/>
      <c r="H112" s="235">
        <v>20</v>
      </c>
      <c r="I112" s="298"/>
      <c r="J112" s="634"/>
      <c r="K112" s="524"/>
      <c r="L112" s="298"/>
      <c r="M112" s="298"/>
      <c r="N112" s="298"/>
      <c r="O112" s="298"/>
      <c r="P112" s="298"/>
      <c r="Q112" s="298"/>
      <c r="R112" s="298"/>
      <c r="S112" s="536"/>
      <c r="T112" s="635"/>
      <c r="U112" s="298"/>
      <c r="V112" s="298"/>
      <c r="W112" s="298"/>
      <c r="X112" s="298"/>
      <c r="Y112" s="298"/>
      <c r="Z112" s="298"/>
      <c r="AA112" s="298"/>
      <c r="AB112" s="298"/>
      <c r="AC112" s="298"/>
      <c r="AD112" s="298"/>
      <c r="AE112" s="298"/>
      <c r="AF112" s="298"/>
      <c r="AG112" s="298"/>
      <c r="AH112" s="298"/>
      <c r="AI112" s="298"/>
      <c r="AJ112" s="298"/>
      <c r="AK112" s="298"/>
      <c r="AL112" s="298"/>
      <c r="AM112" s="298"/>
      <c r="AN112" s="298"/>
      <c r="AO112" s="298"/>
      <c r="AP112" s="298"/>
      <c r="AQ112" s="298"/>
      <c r="AR112" s="298"/>
      <c r="AS112" s="298"/>
      <c r="AT112" s="298"/>
      <c r="AU112" s="298"/>
      <c r="AV112" s="298"/>
      <c r="AW112" s="298"/>
      <c r="AX112" s="298"/>
      <c r="AY112" s="298"/>
      <c r="AZ112" s="298"/>
      <c r="BA112" s="298"/>
      <c r="BB112" s="298"/>
      <c r="BC112" s="298"/>
      <c r="BD112" s="298"/>
      <c r="BE112" s="298"/>
      <c r="BF112" s="298"/>
      <c r="BG112" s="298"/>
      <c r="BH112" s="298"/>
      <c r="BI112" s="298"/>
      <c r="BJ112" s="298"/>
      <c r="BK112" s="298"/>
      <c r="BL112" s="298"/>
      <c r="BM112" s="298"/>
      <c r="BN112" s="298"/>
      <c r="BO112" s="298"/>
      <c r="BP112" s="298"/>
    </row>
    <row r="113" spans="1:20" s="298" customFormat="1" ht="25.5">
      <c r="A113" s="256" t="s">
        <v>3259</v>
      </c>
      <c r="B113" s="374">
        <v>88309</v>
      </c>
      <c r="C113" s="289" t="s">
        <v>105</v>
      </c>
      <c r="D113" s="290" t="s">
        <v>9714</v>
      </c>
      <c r="E113" s="290" t="s">
        <v>206</v>
      </c>
      <c r="F113" s="291">
        <v>0.1</v>
      </c>
      <c r="G113" s="292" t="s">
        <v>11439</v>
      </c>
      <c r="H113" s="255">
        <v>2.39</v>
      </c>
      <c r="J113" s="634"/>
      <c r="K113" s="524"/>
      <c r="S113" s="536"/>
      <c r="T113" s="638"/>
    </row>
    <row r="114" spans="1:20" s="298" customFormat="1" ht="25.5">
      <c r="A114" s="256" t="s">
        <v>3259</v>
      </c>
      <c r="B114" s="288">
        <v>88316</v>
      </c>
      <c r="C114" s="289" t="s">
        <v>104</v>
      </c>
      <c r="D114" s="290" t="s">
        <v>9714</v>
      </c>
      <c r="E114" s="290" t="s">
        <v>206</v>
      </c>
      <c r="F114" s="291">
        <v>1</v>
      </c>
      <c r="G114" s="292" t="s">
        <v>10172</v>
      </c>
      <c r="H114" s="255">
        <v>17.61</v>
      </c>
      <c r="J114" s="634"/>
      <c r="K114" s="524"/>
      <c r="S114" s="536"/>
      <c r="T114" s="638"/>
    </row>
    <row r="115" spans="1:20" s="298" customFormat="1" ht="12.75">
      <c r="A115" s="256"/>
      <c r="B115" s="288" t="s">
        <v>143</v>
      </c>
      <c r="C115" s="819" t="s">
        <v>24549</v>
      </c>
      <c r="D115" s="820"/>
      <c r="E115" s="820"/>
      <c r="F115" s="820"/>
      <c r="G115" s="820"/>
      <c r="H115" s="821"/>
      <c r="J115" s="634"/>
      <c r="K115" s="524"/>
      <c r="S115" s="536"/>
      <c r="T115" s="635"/>
    </row>
    <row r="116" spans="1:20" s="88" customFormat="1" ht="12.75">
      <c r="A116" s="286"/>
      <c r="B116" s="373"/>
      <c r="C116" s="379"/>
      <c r="D116" s="382"/>
      <c r="E116" s="382"/>
      <c r="F116" s="382"/>
      <c r="G116" s="382"/>
      <c r="H116" s="382"/>
      <c r="J116" s="174"/>
    </row>
    <row r="117" spans="1:20" s="88" customFormat="1" ht="12.75">
      <c r="A117" s="286"/>
      <c r="B117" s="372" t="s">
        <v>24557</v>
      </c>
      <c r="C117" s="231" t="s">
        <v>24555</v>
      </c>
      <c r="D117" s="232" t="s">
        <v>103</v>
      </c>
      <c r="E117" s="232" t="s">
        <v>5</v>
      </c>
      <c r="F117" s="233"/>
      <c r="G117" s="234"/>
      <c r="H117" s="235">
        <v>9.99</v>
      </c>
      <c r="J117" s="175"/>
    </row>
    <row r="118" spans="1:20" s="92" customFormat="1" ht="25.5">
      <c r="A118" s="256" t="s">
        <v>3259</v>
      </c>
      <c r="B118" s="288">
        <v>88309</v>
      </c>
      <c r="C118" s="289" t="s">
        <v>105</v>
      </c>
      <c r="D118" s="290" t="s">
        <v>9714</v>
      </c>
      <c r="E118" s="290" t="s">
        <v>206</v>
      </c>
      <c r="F118" s="291">
        <v>0.05</v>
      </c>
      <c r="G118" s="292" t="s">
        <v>11439</v>
      </c>
      <c r="H118" s="255">
        <v>1.19</v>
      </c>
      <c r="J118" s="176"/>
    </row>
    <row r="119" spans="1:20" s="92" customFormat="1" ht="25.5">
      <c r="A119" s="256" t="s">
        <v>3259</v>
      </c>
      <c r="B119" s="288">
        <v>88316</v>
      </c>
      <c r="C119" s="289" t="s">
        <v>104</v>
      </c>
      <c r="D119" s="290" t="s">
        <v>9714</v>
      </c>
      <c r="E119" s="290" t="s">
        <v>206</v>
      </c>
      <c r="F119" s="291">
        <v>0.5</v>
      </c>
      <c r="G119" s="292" t="s">
        <v>10172</v>
      </c>
      <c r="H119" s="255">
        <v>8.8000000000000007</v>
      </c>
      <c r="J119" s="176"/>
    </row>
    <row r="120" spans="1:20" s="92" customFormat="1" ht="12.75">
      <c r="A120" s="256"/>
      <c r="B120" s="288" t="s">
        <v>143</v>
      </c>
      <c r="C120" s="838" t="s">
        <v>24556</v>
      </c>
      <c r="D120" s="839"/>
      <c r="E120" s="839"/>
      <c r="F120" s="839"/>
      <c r="G120" s="839"/>
      <c r="H120" s="840"/>
      <c r="J120" s="176"/>
    </row>
    <row r="121" spans="1:20" s="88" customFormat="1" ht="12.75">
      <c r="A121" s="480"/>
      <c r="B121" s="738"/>
      <c r="C121" s="739"/>
      <c r="D121" s="739"/>
      <c r="E121" s="739"/>
      <c r="F121" s="739"/>
      <c r="G121" s="739"/>
      <c r="H121" s="739"/>
      <c r="J121" s="174"/>
    </row>
    <row r="122" spans="1:20" s="88" customFormat="1" ht="25.5">
      <c r="A122" s="286"/>
      <c r="B122" s="372" t="s">
        <v>24569</v>
      </c>
      <c r="C122" s="231" t="s">
        <v>24567</v>
      </c>
      <c r="D122" s="232" t="s">
        <v>103</v>
      </c>
      <c r="E122" s="232" t="s">
        <v>10</v>
      </c>
      <c r="F122" s="233"/>
      <c r="G122" s="234"/>
      <c r="H122" s="235">
        <v>42.84</v>
      </c>
      <c r="J122" s="175"/>
    </row>
    <row r="123" spans="1:20" s="92" customFormat="1" ht="25.5">
      <c r="A123" s="256" t="s">
        <v>3259</v>
      </c>
      <c r="B123" s="288">
        <v>88264</v>
      </c>
      <c r="C123" s="289" t="s">
        <v>146</v>
      </c>
      <c r="D123" s="290" t="s">
        <v>9714</v>
      </c>
      <c r="E123" s="290" t="s">
        <v>206</v>
      </c>
      <c r="F123" s="291">
        <v>1</v>
      </c>
      <c r="G123" s="292" t="s">
        <v>16504</v>
      </c>
      <c r="H123" s="255">
        <v>24.1</v>
      </c>
      <c r="J123" s="176"/>
    </row>
    <row r="124" spans="1:20" s="92" customFormat="1" ht="25.5">
      <c r="A124" s="256" t="s">
        <v>3259</v>
      </c>
      <c r="B124" s="288">
        <v>88247</v>
      </c>
      <c r="C124" s="289" t="s">
        <v>145</v>
      </c>
      <c r="D124" s="290" t="s">
        <v>9714</v>
      </c>
      <c r="E124" s="290" t="s">
        <v>206</v>
      </c>
      <c r="F124" s="291">
        <v>1</v>
      </c>
      <c r="G124" s="292" t="s">
        <v>12206</v>
      </c>
      <c r="H124" s="255">
        <v>18.739999999999998</v>
      </c>
      <c r="J124" s="176"/>
    </row>
    <row r="125" spans="1:20" s="88" customFormat="1" ht="12.75">
      <c r="A125" s="480"/>
      <c r="B125" s="741" t="s">
        <v>143</v>
      </c>
      <c r="C125" s="837" t="s">
        <v>24568</v>
      </c>
      <c r="D125" s="835"/>
      <c r="E125" s="835"/>
      <c r="F125" s="835"/>
      <c r="G125" s="835"/>
      <c r="H125" s="836"/>
      <c r="J125" s="174"/>
    </row>
    <row r="126" spans="1:20" s="88" customFormat="1" ht="12.75">
      <c r="A126" s="480"/>
      <c r="B126" s="738"/>
      <c r="C126" s="739"/>
      <c r="D126" s="739"/>
      <c r="E126" s="739"/>
      <c r="F126" s="739"/>
      <c r="G126" s="739"/>
      <c r="H126" s="739"/>
      <c r="J126" s="174"/>
    </row>
    <row r="127" spans="1:20" s="88" customFormat="1" ht="25.5">
      <c r="A127" s="286"/>
      <c r="B127" s="372" t="s">
        <v>24577</v>
      </c>
      <c r="C127" s="231" t="s">
        <v>24578</v>
      </c>
      <c r="D127" s="232" t="s">
        <v>103</v>
      </c>
      <c r="E127" s="232" t="s">
        <v>193</v>
      </c>
      <c r="F127" s="233"/>
      <c r="G127" s="234"/>
      <c r="H127" s="235">
        <v>21.19</v>
      </c>
      <c r="J127" s="175"/>
    </row>
    <row r="128" spans="1:20" s="92" customFormat="1" ht="25.5">
      <c r="A128" s="256" t="s">
        <v>3259</v>
      </c>
      <c r="B128" s="288">
        <v>88309</v>
      </c>
      <c r="C128" s="289" t="s">
        <v>105</v>
      </c>
      <c r="D128" s="290" t="s">
        <v>9714</v>
      </c>
      <c r="E128" s="290" t="s">
        <v>206</v>
      </c>
      <c r="F128" s="291">
        <v>0.15</v>
      </c>
      <c r="G128" s="292" t="s">
        <v>11439</v>
      </c>
      <c r="H128" s="255">
        <v>3.58</v>
      </c>
      <c r="J128" s="176"/>
    </row>
    <row r="129" spans="1:68" s="92" customFormat="1" ht="25.5">
      <c r="A129" s="256" t="s">
        <v>3259</v>
      </c>
      <c r="B129" s="288">
        <v>88316</v>
      </c>
      <c r="C129" s="289" t="s">
        <v>104</v>
      </c>
      <c r="D129" s="290" t="s">
        <v>9714</v>
      </c>
      <c r="E129" s="290" t="s">
        <v>206</v>
      </c>
      <c r="F129" s="291">
        <v>1</v>
      </c>
      <c r="G129" s="292" t="s">
        <v>10172</v>
      </c>
      <c r="H129" s="255">
        <v>17.61</v>
      </c>
      <c r="J129" s="176"/>
    </row>
    <row r="130" spans="1:68" s="88" customFormat="1" ht="12.75">
      <c r="A130" s="480"/>
      <c r="B130" s="741" t="s">
        <v>143</v>
      </c>
      <c r="C130" s="837" t="s">
        <v>24581</v>
      </c>
      <c r="D130" s="835"/>
      <c r="E130" s="835"/>
      <c r="F130" s="835"/>
      <c r="G130" s="835"/>
      <c r="H130" s="836"/>
      <c r="J130" s="174"/>
    </row>
    <row r="131" spans="1:68" s="88" customFormat="1" ht="12.75">
      <c r="A131" s="480"/>
      <c r="B131" s="738"/>
      <c r="C131" s="739"/>
      <c r="D131" s="739"/>
      <c r="E131" s="739"/>
      <c r="F131" s="739"/>
      <c r="G131" s="739"/>
      <c r="H131" s="739"/>
      <c r="J131" s="174"/>
    </row>
    <row r="132" spans="1:68" s="88" customFormat="1" ht="25.5">
      <c r="A132" s="286"/>
      <c r="B132" s="372" t="s">
        <v>24579</v>
      </c>
      <c r="C132" s="231" t="s">
        <v>24580</v>
      </c>
      <c r="D132" s="232" t="s">
        <v>103</v>
      </c>
      <c r="E132" s="232" t="s">
        <v>10</v>
      </c>
      <c r="F132" s="233"/>
      <c r="G132" s="234"/>
      <c r="H132" s="235">
        <v>19.5</v>
      </c>
      <c r="J132" s="175"/>
    </row>
    <row r="133" spans="1:68" s="92" customFormat="1" ht="25.5">
      <c r="A133" s="256" t="s">
        <v>3259</v>
      </c>
      <c r="B133" s="288">
        <v>88309</v>
      </c>
      <c r="C133" s="289" t="s">
        <v>105</v>
      </c>
      <c r="D133" s="290" t="s">
        <v>9714</v>
      </c>
      <c r="E133" s="290" t="s">
        <v>206</v>
      </c>
      <c r="F133" s="291">
        <v>0.33</v>
      </c>
      <c r="G133" s="292" t="s">
        <v>11439</v>
      </c>
      <c r="H133" s="255">
        <v>7.88</v>
      </c>
      <c r="J133" s="176"/>
    </row>
    <row r="134" spans="1:68" s="92" customFormat="1" ht="25.5">
      <c r="A134" s="256" t="s">
        <v>3259</v>
      </c>
      <c r="B134" s="288">
        <v>88316</v>
      </c>
      <c r="C134" s="289" t="s">
        <v>104</v>
      </c>
      <c r="D134" s="290" t="s">
        <v>9714</v>
      </c>
      <c r="E134" s="290" t="s">
        <v>206</v>
      </c>
      <c r="F134" s="291">
        <v>0.66</v>
      </c>
      <c r="G134" s="292" t="s">
        <v>10172</v>
      </c>
      <c r="H134" s="255">
        <v>11.62</v>
      </c>
      <c r="J134" s="176"/>
    </row>
    <row r="135" spans="1:68" s="88" customFormat="1" ht="12.75">
      <c r="A135" s="480"/>
      <c r="B135" s="741" t="s">
        <v>143</v>
      </c>
      <c r="C135" s="837" t="s">
        <v>24582</v>
      </c>
      <c r="D135" s="835"/>
      <c r="E135" s="835"/>
      <c r="F135" s="835"/>
      <c r="G135" s="835"/>
      <c r="H135" s="836"/>
      <c r="J135" s="174"/>
    </row>
    <row r="136" spans="1:68" s="529" customFormat="1" ht="12.75">
      <c r="A136" s="286"/>
      <c r="B136" s="373"/>
      <c r="C136" s="379"/>
      <c r="D136" s="382"/>
      <c r="E136" s="382"/>
      <c r="F136" s="382"/>
      <c r="G136" s="382"/>
      <c r="H136" s="382"/>
      <c r="I136" s="298"/>
      <c r="J136" s="634"/>
      <c r="K136" s="524"/>
      <c r="L136" s="298"/>
      <c r="M136" s="298"/>
      <c r="N136" s="298"/>
      <c r="O136" s="298"/>
      <c r="P136" s="298"/>
      <c r="Q136" s="298"/>
      <c r="R136" s="298"/>
      <c r="S136" s="536"/>
      <c r="T136" s="635"/>
      <c r="U136" s="298"/>
      <c r="V136" s="298"/>
      <c r="W136" s="298"/>
      <c r="X136" s="298"/>
      <c r="Y136" s="298"/>
      <c r="Z136" s="298"/>
      <c r="AA136" s="298"/>
      <c r="AB136" s="298"/>
      <c r="AC136" s="298"/>
      <c r="AD136" s="298"/>
      <c r="AE136" s="298"/>
      <c r="AF136" s="298"/>
      <c r="AG136" s="298"/>
      <c r="AH136" s="298"/>
      <c r="AI136" s="298"/>
      <c r="AJ136" s="298"/>
      <c r="AK136" s="298"/>
      <c r="AL136" s="298"/>
      <c r="AM136" s="298"/>
      <c r="AN136" s="298"/>
      <c r="AO136" s="298"/>
      <c r="AP136" s="298"/>
      <c r="AQ136" s="298"/>
      <c r="AR136" s="298"/>
      <c r="AS136" s="298"/>
      <c r="AT136" s="298"/>
      <c r="AU136" s="298"/>
      <c r="AV136" s="298"/>
      <c r="AW136" s="298"/>
      <c r="AX136" s="298"/>
      <c r="AY136" s="298"/>
      <c r="AZ136" s="298"/>
      <c r="BA136" s="298"/>
      <c r="BB136" s="298"/>
      <c r="BC136" s="298"/>
      <c r="BD136" s="298"/>
      <c r="BE136" s="298"/>
      <c r="BF136" s="298"/>
      <c r="BG136" s="298"/>
      <c r="BH136" s="298"/>
      <c r="BI136" s="298"/>
      <c r="BJ136" s="298"/>
      <c r="BK136" s="298"/>
      <c r="BL136" s="298"/>
      <c r="BM136" s="298"/>
      <c r="BN136" s="298"/>
      <c r="BO136" s="298"/>
      <c r="BP136" s="298"/>
    </row>
    <row r="137" spans="1:68" s="529" customFormat="1" ht="38.25">
      <c r="A137" s="286"/>
      <c r="B137" s="372" t="s">
        <v>24583</v>
      </c>
      <c r="C137" s="231" t="s">
        <v>15434</v>
      </c>
      <c r="D137" s="232" t="s">
        <v>103</v>
      </c>
      <c r="E137" s="232" t="s">
        <v>193</v>
      </c>
      <c r="F137" s="233"/>
      <c r="G137" s="234"/>
      <c r="H137" s="235">
        <v>11.79</v>
      </c>
      <c r="I137" s="298"/>
      <c r="J137" s="634"/>
      <c r="K137" s="524"/>
      <c r="L137" s="298"/>
      <c r="M137" s="298"/>
      <c r="N137" s="298"/>
      <c r="O137" s="298"/>
      <c r="P137" s="298"/>
      <c r="Q137" s="298"/>
      <c r="R137" s="298"/>
      <c r="S137" s="536"/>
      <c r="T137" s="635"/>
      <c r="U137" s="298"/>
      <c r="V137" s="298"/>
      <c r="W137" s="298"/>
      <c r="X137" s="298"/>
      <c r="Y137" s="298"/>
      <c r="Z137" s="298"/>
      <c r="AA137" s="298"/>
      <c r="AB137" s="298"/>
      <c r="AC137" s="298"/>
      <c r="AD137" s="298"/>
      <c r="AE137" s="298"/>
      <c r="AF137" s="298"/>
      <c r="AG137" s="298"/>
      <c r="AH137" s="298"/>
      <c r="AI137" s="298"/>
      <c r="AJ137" s="298"/>
      <c r="AK137" s="298"/>
      <c r="AL137" s="298"/>
      <c r="AM137" s="298"/>
      <c r="AN137" s="298"/>
      <c r="AO137" s="298"/>
      <c r="AP137" s="298"/>
      <c r="AQ137" s="298"/>
      <c r="AR137" s="298"/>
      <c r="AS137" s="298"/>
      <c r="AT137" s="298"/>
      <c r="AU137" s="298"/>
      <c r="AV137" s="298"/>
      <c r="AW137" s="298"/>
      <c r="AX137" s="298"/>
      <c r="AY137" s="298"/>
      <c r="AZ137" s="298"/>
      <c r="BA137" s="298"/>
      <c r="BB137" s="298"/>
      <c r="BC137" s="298"/>
      <c r="BD137" s="298"/>
      <c r="BE137" s="298"/>
      <c r="BF137" s="298"/>
      <c r="BG137" s="298"/>
      <c r="BH137" s="298"/>
      <c r="BI137" s="298"/>
      <c r="BJ137" s="298"/>
      <c r="BK137" s="298"/>
      <c r="BL137" s="298"/>
      <c r="BM137" s="298"/>
      <c r="BN137" s="298"/>
      <c r="BO137" s="298"/>
      <c r="BP137" s="298"/>
    </row>
    <row r="138" spans="1:68" s="298" customFormat="1" ht="25.5">
      <c r="A138" s="256" t="s">
        <v>3259</v>
      </c>
      <c r="B138" s="288">
        <v>88262</v>
      </c>
      <c r="C138" s="289" t="s">
        <v>172</v>
      </c>
      <c r="D138" s="290" t="s">
        <v>9714</v>
      </c>
      <c r="E138" s="290" t="s">
        <v>206</v>
      </c>
      <c r="F138" s="291">
        <v>0.1</v>
      </c>
      <c r="G138" s="292" t="s">
        <v>18773</v>
      </c>
      <c r="H138" s="255">
        <v>2.36</v>
      </c>
      <c r="J138" s="634"/>
      <c r="K138" s="524"/>
      <c r="S138" s="536"/>
      <c r="T138" s="638"/>
    </row>
    <row r="139" spans="1:68" s="298" customFormat="1" ht="25.5">
      <c r="A139" s="256" t="s">
        <v>3259</v>
      </c>
      <c r="B139" s="374">
        <v>88309</v>
      </c>
      <c r="C139" s="289" t="s">
        <v>105</v>
      </c>
      <c r="D139" s="290" t="s">
        <v>9714</v>
      </c>
      <c r="E139" s="290" t="s">
        <v>206</v>
      </c>
      <c r="F139" s="291">
        <v>0.1</v>
      </c>
      <c r="G139" s="292" t="s">
        <v>11439</v>
      </c>
      <c r="H139" s="255">
        <v>2.39</v>
      </c>
      <c r="J139" s="634"/>
      <c r="K139" s="524"/>
      <c r="S139" s="536"/>
      <c r="T139" s="638"/>
    </row>
    <row r="140" spans="1:68" s="298" customFormat="1" ht="25.5">
      <c r="A140" s="256" t="s">
        <v>3259</v>
      </c>
      <c r="B140" s="288">
        <v>88316</v>
      </c>
      <c r="C140" s="289" t="s">
        <v>104</v>
      </c>
      <c r="D140" s="290" t="s">
        <v>9714</v>
      </c>
      <c r="E140" s="290" t="s">
        <v>206</v>
      </c>
      <c r="F140" s="291">
        <v>0.4</v>
      </c>
      <c r="G140" s="292" t="s">
        <v>10172</v>
      </c>
      <c r="H140" s="255">
        <v>7.04</v>
      </c>
      <c r="J140" s="634"/>
      <c r="K140" s="524"/>
      <c r="S140" s="536"/>
      <c r="T140" s="638"/>
    </row>
    <row r="141" spans="1:68" s="298" customFormat="1" ht="12.75">
      <c r="A141" s="256"/>
      <c r="B141" s="288" t="s">
        <v>143</v>
      </c>
      <c r="C141" s="819" t="s">
        <v>15435</v>
      </c>
      <c r="D141" s="820"/>
      <c r="E141" s="820"/>
      <c r="F141" s="820"/>
      <c r="G141" s="820"/>
      <c r="H141" s="821"/>
      <c r="J141" s="634"/>
      <c r="K141" s="524"/>
      <c r="S141" s="536"/>
      <c r="T141" s="635"/>
    </row>
    <row r="142" spans="1:68" s="529" customFormat="1" ht="12.75">
      <c r="A142" s="286"/>
      <c r="B142" s="373"/>
      <c r="C142" s="379"/>
      <c r="D142" s="382"/>
      <c r="E142" s="382"/>
      <c r="F142" s="382"/>
      <c r="G142" s="382"/>
      <c r="H142" s="382"/>
      <c r="I142" s="298"/>
      <c r="J142" s="298"/>
      <c r="K142" s="298"/>
      <c r="L142" s="298"/>
      <c r="M142" s="298"/>
      <c r="N142" s="298"/>
      <c r="O142" s="298"/>
      <c r="P142" s="298"/>
      <c r="Q142" s="298"/>
      <c r="R142" s="298"/>
      <c r="S142" s="536"/>
      <c r="T142" s="635"/>
      <c r="U142" s="298"/>
      <c r="V142" s="298"/>
      <c r="W142" s="298"/>
      <c r="X142" s="298"/>
      <c r="Y142" s="298"/>
      <c r="Z142" s="298"/>
      <c r="AA142" s="298"/>
      <c r="AB142" s="298"/>
      <c r="AC142" s="298"/>
      <c r="AD142" s="298"/>
      <c r="AE142" s="298"/>
      <c r="AF142" s="298"/>
      <c r="AG142" s="298"/>
      <c r="AH142" s="298"/>
      <c r="AI142" s="298"/>
      <c r="AJ142" s="298"/>
      <c r="AK142" s="298"/>
      <c r="AL142" s="298"/>
      <c r="AM142" s="298"/>
      <c r="AN142" s="298"/>
      <c r="AO142" s="298"/>
      <c r="AP142" s="298"/>
      <c r="AQ142" s="298"/>
      <c r="AR142" s="298"/>
      <c r="AS142" s="298"/>
      <c r="AT142" s="298"/>
      <c r="AU142" s="298"/>
      <c r="AV142" s="298"/>
      <c r="AW142" s="298"/>
      <c r="AX142" s="298"/>
      <c r="AY142" s="298"/>
      <c r="AZ142" s="298"/>
      <c r="BA142" s="298"/>
      <c r="BB142" s="298"/>
      <c r="BC142" s="298"/>
      <c r="BD142" s="298"/>
      <c r="BE142" s="298"/>
      <c r="BF142" s="298"/>
      <c r="BG142" s="298"/>
      <c r="BH142" s="298"/>
      <c r="BI142" s="298"/>
      <c r="BJ142" s="298"/>
      <c r="BK142" s="298"/>
      <c r="BL142" s="298"/>
      <c r="BM142" s="298"/>
      <c r="BN142" s="298"/>
      <c r="BO142" s="298"/>
      <c r="BP142" s="298"/>
    </row>
    <row r="143" spans="1:68" s="644" customFormat="1" ht="63.75">
      <c r="A143" s="555"/>
      <c r="B143" s="372" t="s">
        <v>8985</v>
      </c>
      <c r="C143" s="231" t="s">
        <v>24484</v>
      </c>
      <c r="D143" s="232" t="s">
        <v>103</v>
      </c>
      <c r="E143" s="232" t="s">
        <v>5</v>
      </c>
      <c r="F143" s="233"/>
      <c r="G143" s="234"/>
      <c r="H143" s="235">
        <v>45.82</v>
      </c>
      <c r="I143" s="298"/>
      <c r="J143" s="826" t="s">
        <v>17844</v>
      </c>
      <c r="K143" s="826"/>
      <c r="L143" s="826" t="s">
        <v>17845</v>
      </c>
      <c r="M143" s="826"/>
      <c r="N143" s="824" t="s">
        <v>17846</v>
      </c>
      <c r="O143" s="825"/>
      <c r="P143" s="298"/>
      <c r="Q143" s="298"/>
      <c r="R143" s="298"/>
      <c r="S143" s="536"/>
      <c r="T143" s="635"/>
      <c r="U143" s="298"/>
      <c r="V143" s="298"/>
      <c r="W143" s="298"/>
      <c r="X143" s="298"/>
      <c r="Y143" s="298"/>
      <c r="Z143" s="298"/>
      <c r="AA143" s="298"/>
      <c r="AB143" s="298"/>
      <c r="AC143" s="298"/>
      <c r="AD143" s="298"/>
      <c r="AE143" s="298"/>
      <c r="AF143" s="298"/>
      <c r="AG143" s="298"/>
      <c r="AH143" s="298"/>
      <c r="AI143" s="298"/>
      <c r="AJ143" s="298"/>
      <c r="AK143" s="298"/>
      <c r="AL143" s="298"/>
      <c r="AM143" s="298"/>
      <c r="AN143" s="298"/>
      <c r="AO143" s="298"/>
      <c r="AP143" s="298"/>
      <c r="AQ143" s="298"/>
      <c r="AR143" s="298"/>
      <c r="AS143" s="298"/>
      <c r="AT143" s="298"/>
      <c r="AU143" s="298"/>
      <c r="AV143" s="298"/>
      <c r="AW143" s="298"/>
      <c r="AX143" s="298"/>
      <c r="AY143" s="298"/>
      <c r="AZ143" s="298"/>
      <c r="BA143" s="298"/>
      <c r="BB143" s="298"/>
      <c r="BC143" s="298"/>
      <c r="BD143" s="298"/>
      <c r="BE143" s="298"/>
      <c r="BF143" s="298"/>
      <c r="BG143" s="298"/>
      <c r="BH143" s="298"/>
      <c r="BI143" s="298"/>
      <c r="BJ143" s="298"/>
      <c r="BK143" s="298"/>
      <c r="BL143" s="298"/>
      <c r="BM143" s="298"/>
      <c r="BN143" s="298"/>
      <c r="BO143" s="298"/>
      <c r="BP143" s="298"/>
    </row>
    <row r="144" spans="1:68" s="298" customFormat="1" ht="51">
      <c r="A144" s="256" t="s">
        <v>3261</v>
      </c>
      <c r="B144" s="288">
        <v>38406</v>
      </c>
      <c r="C144" s="289" t="s">
        <v>5603</v>
      </c>
      <c r="D144" s="290" t="s">
        <v>207</v>
      </c>
      <c r="E144" s="290" t="s">
        <v>3241</v>
      </c>
      <c r="F144" s="383">
        <v>8.0210249999999997E-2</v>
      </c>
      <c r="G144" s="292" t="s">
        <v>19399</v>
      </c>
      <c r="H144" s="255">
        <v>26.99</v>
      </c>
      <c r="J144" s="577">
        <f>(0.15^2*PI()*1)*K144</f>
        <v>8.0210249999999997E-2</v>
      </c>
      <c r="K144" s="577">
        <f>(M144+O144)/2</f>
        <v>1.1347429132565954</v>
      </c>
      <c r="L144" s="548">
        <v>5.57E-2</v>
      </c>
      <c r="M144" s="577">
        <f>L144/(0.125^2*PI()*1)</f>
        <v>1.1347110822679771</v>
      </c>
      <c r="N144" s="548">
        <v>0.1426</v>
      </c>
      <c r="O144" s="548">
        <f>N144/(0.2^2*PI()*1)</f>
        <v>1.1347747442452136</v>
      </c>
      <c r="S144" s="536"/>
      <c r="T144" s="635"/>
    </row>
    <row r="145" spans="1:68" s="298" customFormat="1" ht="25.5">
      <c r="A145" s="256" t="s">
        <v>3259</v>
      </c>
      <c r="B145" s="288">
        <v>88316</v>
      </c>
      <c r="C145" s="289" t="s">
        <v>104</v>
      </c>
      <c r="D145" s="290" t="s">
        <v>9714</v>
      </c>
      <c r="E145" s="290" t="s">
        <v>206</v>
      </c>
      <c r="F145" s="383">
        <v>0.24403333333333335</v>
      </c>
      <c r="G145" s="292" t="s">
        <v>10172</v>
      </c>
      <c r="H145" s="255">
        <v>4.29</v>
      </c>
      <c r="J145" s="577">
        <f>L145+K145</f>
        <v>0.24403333333333335</v>
      </c>
      <c r="K145" s="577">
        <f>((N145-L145)/3)*1</f>
        <v>1.7733333333333341E-2</v>
      </c>
      <c r="L145" s="548">
        <v>0.2263</v>
      </c>
      <c r="M145" s="577"/>
      <c r="N145" s="548">
        <v>0.27950000000000003</v>
      </c>
      <c r="O145" s="548"/>
      <c r="S145" s="536"/>
      <c r="T145" s="635"/>
    </row>
    <row r="146" spans="1:68" s="298" customFormat="1" ht="76.5">
      <c r="A146" s="256" t="s">
        <v>3259</v>
      </c>
      <c r="B146" s="288">
        <v>90680</v>
      </c>
      <c r="C146" s="289" t="s">
        <v>454</v>
      </c>
      <c r="D146" s="290" t="s">
        <v>8987</v>
      </c>
      <c r="E146" s="290" t="s">
        <v>212</v>
      </c>
      <c r="F146" s="383">
        <v>2.7866666666666668E-2</v>
      </c>
      <c r="G146" s="292" t="s">
        <v>21423</v>
      </c>
      <c r="H146" s="255">
        <v>7.61</v>
      </c>
      <c r="J146" s="577">
        <f t="shared" ref="J146:J149" si="0">L146+K146</f>
        <v>2.7866666666666668E-2</v>
      </c>
      <c r="K146" s="577">
        <f t="shared" ref="K146:K149" si="1">((N146-L146)/3)*1</f>
        <v>3.166666666666667E-3</v>
      </c>
      <c r="L146" s="548">
        <v>2.47E-2</v>
      </c>
      <c r="M146" s="577"/>
      <c r="N146" s="548">
        <v>3.4200000000000001E-2</v>
      </c>
      <c r="O146" s="548"/>
      <c r="S146" s="536"/>
      <c r="T146" s="635"/>
    </row>
    <row r="147" spans="1:68" s="298" customFormat="1" ht="76.5">
      <c r="A147" s="256" t="s">
        <v>3259</v>
      </c>
      <c r="B147" s="288">
        <v>90681</v>
      </c>
      <c r="C147" s="289" t="s">
        <v>587</v>
      </c>
      <c r="D147" s="290" t="s">
        <v>8987</v>
      </c>
      <c r="E147" s="290" t="s">
        <v>215</v>
      </c>
      <c r="F147" s="383">
        <v>5.3066666666666665E-2</v>
      </c>
      <c r="G147" s="292" t="s">
        <v>21482</v>
      </c>
      <c r="H147" s="255">
        <v>5.76</v>
      </c>
      <c r="J147" s="577">
        <f t="shared" si="0"/>
        <v>5.3066666666666665E-2</v>
      </c>
      <c r="K147" s="577">
        <f t="shared" si="1"/>
        <v>4.0666666666666655E-3</v>
      </c>
      <c r="L147" s="548">
        <v>4.9000000000000002E-2</v>
      </c>
      <c r="M147" s="577"/>
      <c r="N147" s="548">
        <v>6.1199999999999997E-2</v>
      </c>
      <c r="O147" s="548"/>
      <c r="S147" s="536"/>
      <c r="T147" s="635"/>
    </row>
    <row r="148" spans="1:68" s="298" customFormat="1" ht="25.5">
      <c r="A148" s="256" t="s">
        <v>3259</v>
      </c>
      <c r="B148" s="288">
        <v>90778</v>
      </c>
      <c r="C148" s="289" t="s">
        <v>3115</v>
      </c>
      <c r="D148" s="290" t="s">
        <v>9714</v>
      </c>
      <c r="E148" s="290" t="s">
        <v>206</v>
      </c>
      <c r="F148" s="383">
        <v>5.5333333333333337E-3</v>
      </c>
      <c r="G148" s="292" t="s">
        <v>14284</v>
      </c>
      <c r="H148" s="255">
        <v>0.57999999999999996</v>
      </c>
      <c r="J148" s="577">
        <f t="shared" si="0"/>
        <v>5.5333333333333337E-3</v>
      </c>
      <c r="K148" s="577">
        <f t="shared" si="1"/>
        <v>4.3333333333333331E-4</v>
      </c>
      <c r="L148" s="548">
        <v>5.1000000000000004E-3</v>
      </c>
      <c r="M148" s="577"/>
      <c r="N148" s="548">
        <v>6.4000000000000003E-3</v>
      </c>
      <c r="O148" s="548"/>
      <c r="S148" s="536"/>
      <c r="T148" s="635"/>
    </row>
    <row r="149" spans="1:68" s="298" customFormat="1" ht="38.25">
      <c r="A149" s="256" t="s">
        <v>3259</v>
      </c>
      <c r="B149" s="288">
        <v>97913</v>
      </c>
      <c r="C149" s="289" t="s">
        <v>13804</v>
      </c>
      <c r="D149" s="290" t="s">
        <v>229</v>
      </c>
      <c r="E149" s="290" t="s">
        <v>239</v>
      </c>
      <c r="F149" s="383">
        <v>3.1133333333333332E-2</v>
      </c>
      <c r="G149" s="292" t="s">
        <v>11161</v>
      </c>
      <c r="H149" s="255">
        <v>0.06</v>
      </c>
      <c r="J149" s="577">
        <f t="shared" si="0"/>
        <v>3.1133333333333332E-2</v>
      </c>
      <c r="K149" s="577">
        <f t="shared" si="1"/>
        <v>1.0633333333333333E-2</v>
      </c>
      <c r="L149" s="548">
        <v>2.0500000000000001E-2</v>
      </c>
      <c r="M149" s="577"/>
      <c r="N149" s="548">
        <v>5.2400000000000002E-2</v>
      </c>
      <c r="O149" s="548"/>
      <c r="S149" s="536"/>
      <c r="T149" s="635"/>
    </row>
    <row r="150" spans="1:68" s="298" customFormat="1" ht="76.5">
      <c r="A150" s="256" t="s">
        <v>3259</v>
      </c>
      <c r="B150" s="288">
        <v>100973</v>
      </c>
      <c r="C150" s="289" t="s">
        <v>13835</v>
      </c>
      <c r="D150" s="290" t="s">
        <v>229</v>
      </c>
      <c r="E150" s="290" t="s">
        <v>209</v>
      </c>
      <c r="F150" s="383">
        <v>8.8392374999999995E-2</v>
      </c>
      <c r="G150" s="292" t="s">
        <v>10325</v>
      </c>
      <c r="H150" s="255">
        <v>0.53</v>
      </c>
      <c r="J150" s="577">
        <f>(0.15^2*PI()*1)*K150</f>
        <v>8.8392374999999995E-2</v>
      </c>
      <c r="K150" s="577">
        <f>(M150+O150)/2</f>
        <v>1.2504963033673309</v>
      </c>
      <c r="L150" s="548">
        <v>6.1400000000000003E-2</v>
      </c>
      <c r="M150" s="577">
        <f>L150/(0.125^2*PI()*1)</f>
        <v>1.2508305287478239</v>
      </c>
      <c r="N150" s="548">
        <v>0.15709999999999999</v>
      </c>
      <c r="O150" s="548">
        <f>N150/(0.2^2*PI()*1)</f>
        <v>1.2501620779868376</v>
      </c>
      <c r="S150" s="536"/>
      <c r="T150" s="635"/>
    </row>
    <row r="151" spans="1:68" s="529" customFormat="1" ht="12.75">
      <c r="A151" s="286"/>
      <c r="B151" s="375" t="s">
        <v>143</v>
      </c>
      <c r="C151" s="816" t="s">
        <v>17847</v>
      </c>
      <c r="D151" s="817"/>
      <c r="E151" s="817"/>
      <c r="F151" s="817"/>
      <c r="G151" s="817"/>
      <c r="H151" s="818"/>
      <c r="I151" s="298"/>
      <c r="J151" s="634"/>
      <c r="K151" s="634"/>
      <c r="L151" s="634"/>
      <c r="M151" s="634"/>
      <c r="N151" s="298"/>
      <c r="O151" s="298"/>
      <c r="P151" s="298"/>
      <c r="Q151" s="298"/>
      <c r="R151" s="298"/>
      <c r="S151" s="536"/>
      <c r="T151" s="635"/>
      <c r="U151" s="298"/>
      <c r="V151" s="298"/>
      <c r="W151" s="298"/>
      <c r="X151" s="298"/>
      <c r="Y151" s="298"/>
      <c r="Z151" s="298"/>
      <c r="AA151" s="298"/>
      <c r="AB151" s="298"/>
      <c r="AC151" s="298"/>
      <c r="AD151" s="298"/>
      <c r="AE151" s="298"/>
      <c r="AF151" s="298"/>
      <c r="AG151" s="298"/>
      <c r="AH151" s="298"/>
      <c r="AI151" s="298"/>
      <c r="AJ151" s="298"/>
      <c r="AK151" s="298"/>
      <c r="AL151" s="298"/>
      <c r="AM151" s="298"/>
      <c r="AN151" s="298"/>
      <c r="AO151" s="298"/>
      <c r="AP151" s="298"/>
      <c r="AQ151" s="298"/>
      <c r="AR151" s="298"/>
      <c r="AS151" s="298"/>
      <c r="AT151" s="298"/>
      <c r="AU151" s="298"/>
      <c r="AV151" s="298"/>
      <c r="AW151" s="298"/>
      <c r="AX151" s="298"/>
      <c r="AY151" s="298"/>
      <c r="AZ151" s="298"/>
      <c r="BA151" s="298"/>
      <c r="BB151" s="298"/>
      <c r="BC151" s="298"/>
      <c r="BD151" s="298"/>
      <c r="BE151" s="298"/>
      <c r="BF151" s="298"/>
      <c r="BG151" s="298"/>
      <c r="BH151" s="298"/>
      <c r="BI151" s="298"/>
      <c r="BJ151" s="298"/>
      <c r="BK151" s="298"/>
      <c r="BL151" s="298"/>
      <c r="BM151" s="298"/>
      <c r="BN151" s="298"/>
      <c r="BO151" s="298"/>
      <c r="BP151" s="298"/>
    </row>
    <row r="152" spans="1:68" s="529" customFormat="1" ht="12.75">
      <c r="A152" s="286"/>
      <c r="B152" s="384"/>
      <c r="C152" s="385"/>
      <c r="D152" s="388"/>
      <c r="E152" s="388"/>
      <c r="F152" s="388"/>
      <c r="G152" s="388"/>
      <c r="H152" s="389"/>
      <c r="I152" s="298"/>
      <c r="J152" s="634"/>
      <c r="K152" s="634"/>
      <c r="L152" s="634"/>
      <c r="M152" s="634"/>
      <c r="N152" s="298"/>
      <c r="O152" s="298"/>
      <c r="P152" s="298"/>
      <c r="Q152" s="298"/>
      <c r="R152" s="298"/>
      <c r="S152" s="536"/>
      <c r="T152" s="635"/>
      <c r="U152" s="298"/>
      <c r="V152" s="298"/>
      <c r="W152" s="298"/>
      <c r="X152" s="298"/>
      <c r="Y152" s="298"/>
      <c r="Z152" s="298"/>
      <c r="AA152" s="298"/>
      <c r="AB152" s="298"/>
      <c r="AC152" s="298"/>
      <c r="AD152" s="298"/>
      <c r="AE152" s="298"/>
      <c r="AF152" s="298"/>
      <c r="AG152" s="298"/>
      <c r="AH152" s="298"/>
      <c r="AI152" s="298"/>
      <c r="AJ152" s="298"/>
      <c r="AK152" s="298"/>
      <c r="AL152" s="298"/>
      <c r="AM152" s="298"/>
      <c r="AN152" s="298"/>
      <c r="AO152" s="298"/>
      <c r="AP152" s="298"/>
      <c r="AQ152" s="298"/>
      <c r="AR152" s="298"/>
      <c r="AS152" s="298"/>
      <c r="AT152" s="298"/>
      <c r="AU152" s="298"/>
      <c r="AV152" s="298"/>
      <c r="AW152" s="298"/>
      <c r="AX152" s="298"/>
      <c r="AY152" s="298"/>
      <c r="AZ152" s="298"/>
      <c r="BA152" s="298"/>
      <c r="BB152" s="298"/>
      <c r="BC152" s="298"/>
      <c r="BD152" s="298"/>
      <c r="BE152" s="298"/>
      <c r="BF152" s="298"/>
      <c r="BG152" s="298"/>
      <c r="BH152" s="298"/>
      <c r="BI152" s="298"/>
      <c r="BJ152" s="298"/>
      <c r="BK152" s="298"/>
      <c r="BL152" s="298"/>
      <c r="BM152" s="298"/>
      <c r="BN152" s="298"/>
      <c r="BO152" s="298"/>
      <c r="BP152" s="298"/>
    </row>
    <row r="153" spans="1:68" s="644" customFormat="1" ht="38.25">
      <c r="A153" s="555"/>
      <c r="B153" s="372" t="s">
        <v>11564</v>
      </c>
      <c r="C153" s="231" t="s">
        <v>18721</v>
      </c>
      <c r="D153" s="232" t="s">
        <v>103</v>
      </c>
      <c r="E153" s="232" t="s">
        <v>5</v>
      </c>
      <c r="F153" s="233"/>
      <c r="G153" s="234"/>
      <c r="H153" s="235">
        <v>83.86</v>
      </c>
      <c r="I153" s="298"/>
      <c r="J153" s="634"/>
      <c r="K153" s="634"/>
      <c r="L153" s="634"/>
      <c r="M153" s="634"/>
      <c r="N153" s="298"/>
      <c r="O153" s="298"/>
      <c r="P153" s="298"/>
      <c r="Q153" s="298"/>
      <c r="R153" s="298"/>
      <c r="S153" s="536"/>
      <c r="T153" s="635"/>
      <c r="U153" s="298"/>
      <c r="V153" s="298"/>
      <c r="W153" s="298"/>
      <c r="X153" s="298"/>
      <c r="Y153" s="298"/>
      <c r="Z153" s="298"/>
      <c r="AA153" s="298"/>
      <c r="AB153" s="298"/>
      <c r="AC153" s="298"/>
      <c r="AD153" s="298"/>
      <c r="AE153" s="298"/>
      <c r="AF153" s="298"/>
      <c r="AG153" s="298"/>
      <c r="AH153" s="298"/>
      <c r="AI153" s="298"/>
      <c r="AJ153" s="298"/>
      <c r="AK153" s="298"/>
      <c r="AL153" s="298"/>
      <c r="AM153" s="298"/>
      <c r="AN153" s="298"/>
      <c r="AO153" s="298"/>
      <c r="AP153" s="298"/>
      <c r="AQ153" s="298"/>
      <c r="AR153" s="298"/>
      <c r="AS153" s="298"/>
      <c r="AT153" s="298"/>
      <c r="AU153" s="298"/>
      <c r="AV153" s="298"/>
      <c r="AW153" s="298"/>
      <c r="AX153" s="298"/>
      <c r="AY153" s="298"/>
      <c r="AZ153" s="298"/>
      <c r="BA153" s="298"/>
      <c r="BB153" s="298"/>
      <c r="BC153" s="298"/>
      <c r="BD153" s="298"/>
      <c r="BE153" s="298"/>
      <c r="BF153" s="298"/>
      <c r="BG153" s="298"/>
      <c r="BH153" s="298"/>
      <c r="BI153" s="298"/>
      <c r="BJ153" s="298"/>
      <c r="BK153" s="298"/>
      <c r="BL153" s="298"/>
      <c r="BM153" s="298"/>
      <c r="BN153" s="298"/>
      <c r="BO153" s="298"/>
      <c r="BP153" s="298"/>
    </row>
    <row r="154" spans="1:68" s="298" customFormat="1" ht="25.5">
      <c r="A154" s="256" t="s">
        <v>3259</v>
      </c>
      <c r="B154" s="288">
        <v>88309</v>
      </c>
      <c r="C154" s="289" t="s">
        <v>105</v>
      </c>
      <c r="D154" s="290" t="s">
        <v>9714</v>
      </c>
      <c r="E154" s="290" t="s">
        <v>206</v>
      </c>
      <c r="F154" s="383">
        <v>1.103</v>
      </c>
      <c r="G154" s="292" t="s">
        <v>11439</v>
      </c>
      <c r="H154" s="255">
        <v>26.36</v>
      </c>
      <c r="J154" s="634"/>
      <c r="K154" s="634"/>
      <c r="L154" s="634"/>
      <c r="M154" s="634"/>
      <c r="S154" s="536"/>
      <c r="T154" s="635"/>
    </row>
    <row r="155" spans="1:68" s="298" customFormat="1" ht="25.5">
      <c r="A155" s="256" t="s">
        <v>3259</v>
      </c>
      <c r="B155" s="288">
        <v>88316</v>
      </c>
      <c r="C155" s="289" t="s">
        <v>104</v>
      </c>
      <c r="D155" s="290" t="s">
        <v>9714</v>
      </c>
      <c r="E155" s="290" t="s">
        <v>206</v>
      </c>
      <c r="F155" s="383">
        <v>1.33</v>
      </c>
      <c r="G155" s="292" t="s">
        <v>10172</v>
      </c>
      <c r="H155" s="255">
        <v>23.42</v>
      </c>
      <c r="J155" s="634"/>
      <c r="K155" s="634"/>
      <c r="L155" s="634"/>
      <c r="M155" s="634"/>
      <c r="S155" s="536"/>
      <c r="T155" s="635"/>
    </row>
    <row r="156" spans="1:68" s="298" customFormat="1" ht="51">
      <c r="A156" s="256" t="s">
        <v>3259</v>
      </c>
      <c r="B156" s="288">
        <v>94972</v>
      </c>
      <c r="C156" s="289" t="s">
        <v>22457</v>
      </c>
      <c r="D156" s="290" t="s">
        <v>229</v>
      </c>
      <c r="E156" s="290" t="s">
        <v>209</v>
      </c>
      <c r="F156" s="383">
        <v>8.5999999999999993E-2</v>
      </c>
      <c r="G156" s="292" t="s">
        <v>22458</v>
      </c>
      <c r="H156" s="255">
        <v>34.08</v>
      </c>
      <c r="J156" s="634"/>
      <c r="K156" s="634"/>
      <c r="L156" s="634"/>
      <c r="M156" s="634"/>
      <c r="S156" s="536"/>
      <c r="T156" s="635"/>
    </row>
    <row r="157" spans="1:68" s="529" customFormat="1" ht="12.75">
      <c r="A157" s="286"/>
      <c r="B157" s="375" t="s">
        <v>143</v>
      </c>
      <c r="C157" s="816" t="s">
        <v>18720</v>
      </c>
      <c r="D157" s="817"/>
      <c r="E157" s="817"/>
      <c r="F157" s="817"/>
      <c r="G157" s="817"/>
      <c r="H157" s="818"/>
      <c r="I157" s="298"/>
      <c r="J157" s="634"/>
      <c r="K157" s="634"/>
      <c r="L157" s="634"/>
      <c r="M157" s="634"/>
      <c r="N157" s="298"/>
      <c r="O157" s="298"/>
      <c r="P157" s="298"/>
      <c r="Q157" s="298"/>
      <c r="R157" s="298"/>
      <c r="S157" s="536"/>
      <c r="T157" s="635"/>
      <c r="U157" s="298"/>
      <c r="V157" s="298"/>
      <c r="W157" s="298"/>
      <c r="X157" s="298"/>
      <c r="Y157" s="298"/>
      <c r="Z157" s="298"/>
      <c r="AA157" s="298"/>
      <c r="AB157" s="298"/>
      <c r="AC157" s="298"/>
      <c r="AD157" s="298"/>
      <c r="AE157" s="298"/>
      <c r="AF157" s="298"/>
      <c r="AG157" s="298"/>
      <c r="AH157" s="298"/>
      <c r="AI157" s="298"/>
      <c r="AJ157" s="298"/>
      <c r="AK157" s="298"/>
      <c r="AL157" s="298"/>
      <c r="AM157" s="298"/>
      <c r="AN157" s="298"/>
      <c r="AO157" s="298"/>
      <c r="AP157" s="298"/>
      <c r="AQ157" s="298"/>
      <c r="AR157" s="298"/>
      <c r="AS157" s="298"/>
      <c r="AT157" s="298"/>
      <c r="AU157" s="298"/>
      <c r="AV157" s="298"/>
      <c r="AW157" s="298"/>
      <c r="AX157" s="298"/>
      <c r="AY157" s="298"/>
      <c r="AZ157" s="298"/>
      <c r="BA157" s="298"/>
      <c r="BB157" s="298"/>
      <c r="BC157" s="298"/>
      <c r="BD157" s="298"/>
      <c r="BE157" s="298"/>
      <c r="BF157" s="298"/>
      <c r="BG157" s="298"/>
      <c r="BH157" s="298"/>
      <c r="BI157" s="298"/>
      <c r="BJ157" s="298"/>
      <c r="BK157" s="298"/>
      <c r="BL157" s="298"/>
      <c r="BM157" s="298"/>
      <c r="BN157" s="298"/>
      <c r="BO157" s="298"/>
      <c r="BP157" s="298"/>
    </row>
    <row r="158" spans="1:68" s="529" customFormat="1" ht="12.75">
      <c r="A158" s="286"/>
      <c r="B158" s="384"/>
      <c r="C158" s="385"/>
      <c r="D158" s="388"/>
      <c r="E158" s="388"/>
      <c r="F158" s="388"/>
      <c r="G158" s="388"/>
      <c r="H158" s="389"/>
      <c r="I158" s="298"/>
      <c r="J158" s="634"/>
      <c r="K158" s="634"/>
      <c r="L158" s="634"/>
      <c r="M158" s="634"/>
      <c r="N158" s="298"/>
      <c r="O158" s="298"/>
      <c r="P158" s="298"/>
      <c r="Q158" s="298"/>
      <c r="R158" s="298"/>
      <c r="S158" s="536"/>
      <c r="T158" s="635"/>
      <c r="U158" s="298"/>
      <c r="V158" s="298"/>
      <c r="W158" s="298"/>
      <c r="X158" s="298"/>
      <c r="Y158" s="298"/>
      <c r="Z158" s="298"/>
      <c r="AA158" s="298"/>
      <c r="AB158" s="298"/>
      <c r="AC158" s="298"/>
      <c r="AD158" s="298"/>
      <c r="AE158" s="298"/>
      <c r="AF158" s="298"/>
      <c r="AG158" s="298"/>
      <c r="AH158" s="298"/>
      <c r="AI158" s="298"/>
      <c r="AJ158" s="298"/>
      <c r="AK158" s="298"/>
      <c r="AL158" s="298"/>
      <c r="AM158" s="298"/>
      <c r="AN158" s="298"/>
      <c r="AO158" s="298"/>
      <c r="AP158" s="298"/>
      <c r="AQ158" s="298"/>
      <c r="AR158" s="298"/>
      <c r="AS158" s="298"/>
      <c r="AT158" s="298"/>
      <c r="AU158" s="298"/>
      <c r="AV158" s="298"/>
      <c r="AW158" s="298"/>
      <c r="AX158" s="298"/>
      <c r="AY158" s="298"/>
      <c r="AZ158" s="298"/>
      <c r="BA158" s="298"/>
      <c r="BB158" s="298"/>
      <c r="BC158" s="298"/>
      <c r="BD158" s="298"/>
      <c r="BE158" s="298"/>
      <c r="BF158" s="298"/>
      <c r="BG158" s="298"/>
      <c r="BH158" s="298"/>
      <c r="BI158" s="298"/>
      <c r="BJ158" s="298"/>
      <c r="BK158" s="298"/>
      <c r="BL158" s="298"/>
      <c r="BM158" s="298"/>
      <c r="BN158" s="298"/>
      <c r="BO158" s="298"/>
      <c r="BP158" s="298"/>
    </row>
    <row r="159" spans="1:68" s="644" customFormat="1" ht="63.75">
      <c r="A159" s="555"/>
      <c r="B159" s="372" t="s">
        <v>8986</v>
      </c>
      <c r="C159" s="231" t="s">
        <v>18723</v>
      </c>
      <c r="D159" s="232" t="s">
        <v>103</v>
      </c>
      <c r="E159" s="232" t="s">
        <v>3241</v>
      </c>
      <c r="F159" s="233"/>
      <c r="G159" s="234"/>
      <c r="H159" s="235">
        <v>408.62</v>
      </c>
      <c r="I159" s="298"/>
      <c r="J159" s="634"/>
      <c r="K159" s="634"/>
      <c r="L159" s="634"/>
      <c r="M159" s="634"/>
      <c r="N159" s="298"/>
      <c r="O159" s="298"/>
      <c r="P159" s="298"/>
      <c r="Q159" s="298"/>
      <c r="R159" s="298"/>
      <c r="S159" s="536"/>
      <c r="T159" s="635"/>
      <c r="U159" s="298"/>
      <c r="V159" s="298"/>
      <c r="W159" s="298"/>
      <c r="X159" s="298"/>
      <c r="Y159" s="298"/>
      <c r="Z159" s="298"/>
      <c r="AA159" s="298"/>
      <c r="AB159" s="298"/>
      <c r="AC159" s="298"/>
      <c r="AD159" s="298"/>
      <c r="AE159" s="298"/>
      <c r="AF159" s="298"/>
      <c r="AG159" s="298"/>
      <c r="AH159" s="298"/>
      <c r="AI159" s="298"/>
      <c r="AJ159" s="298"/>
      <c r="AK159" s="298"/>
      <c r="AL159" s="298"/>
      <c r="AM159" s="298"/>
      <c r="AN159" s="298"/>
      <c r="AO159" s="298"/>
      <c r="AP159" s="298"/>
      <c r="AQ159" s="298"/>
      <c r="AR159" s="298"/>
      <c r="AS159" s="298"/>
      <c r="AT159" s="298"/>
      <c r="AU159" s="298"/>
      <c r="AV159" s="298"/>
      <c r="AW159" s="298"/>
      <c r="AX159" s="298"/>
      <c r="AY159" s="298"/>
      <c r="AZ159" s="298"/>
      <c r="BA159" s="298"/>
      <c r="BB159" s="298"/>
      <c r="BC159" s="298"/>
      <c r="BD159" s="298"/>
      <c r="BE159" s="298"/>
      <c r="BF159" s="298"/>
      <c r="BG159" s="298"/>
      <c r="BH159" s="298"/>
      <c r="BI159" s="298"/>
      <c r="BJ159" s="298"/>
      <c r="BK159" s="298"/>
      <c r="BL159" s="298"/>
      <c r="BM159" s="298"/>
      <c r="BN159" s="298"/>
      <c r="BO159" s="298"/>
      <c r="BP159" s="298"/>
    </row>
    <row r="160" spans="1:68" s="298" customFormat="1" ht="51">
      <c r="A160" s="256" t="s">
        <v>3261</v>
      </c>
      <c r="B160" s="288">
        <v>1525</v>
      </c>
      <c r="C160" s="289" t="s">
        <v>5602</v>
      </c>
      <c r="D160" s="290" t="s">
        <v>207</v>
      </c>
      <c r="E160" s="290" t="s">
        <v>3241</v>
      </c>
      <c r="F160" s="383">
        <v>1.103</v>
      </c>
      <c r="G160" s="292" t="s">
        <v>19398</v>
      </c>
      <c r="H160" s="255">
        <v>378.02</v>
      </c>
      <c r="J160" s="634"/>
      <c r="K160" s="634"/>
      <c r="L160" s="634"/>
      <c r="M160" s="634"/>
      <c r="S160" s="536"/>
      <c r="T160" s="635"/>
    </row>
    <row r="161" spans="1:68" s="298" customFormat="1" ht="25.5">
      <c r="A161" s="256" t="s">
        <v>3259</v>
      </c>
      <c r="B161" s="288">
        <v>88262</v>
      </c>
      <c r="C161" s="289" t="s">
        <v>172</v>
      </c>
      <c r="D161" s="290" t="s">
        <v>9714</v>
      </c>
      <c r="E161" s="290" t="s">
        <v>206</v>
      </c>
      <c r="F161" s="383">
        <v>0.19900000000000001</v>
      </c>
      <c r="G161" s="292" t="s">
        <v>18773</v>
      </c>
      <c r="H161" s="255">
        <v>4.71</v>
      </c>
      <c r="J161" s="634"/>
      <c r="K161" s="634"/>
      <c r="L161" s="634"/>
      <c r="M161" s="634"/>
      <c r="S161" s="536"/>
      <c r="T161" s="635"/>
    </row>
    <row r="162" spans="1:68" s="298" customFormat="1" ht="25.5">
      <c r="A162" s="256" t="s">
        <v>3259</v>
      </c>
      <c r="B162" s="288">
        <v>88309</v>
      </c>
      <c r="C162" s="289" t="s">
        <v>105</v>
      </c>
      <c r="D162" s="290" t="s">
        <v>9714</v>
      </c>
      <c r="E162" s="290" t="s">
        <v>206</v>
      </c>
      <c r="F162" s="383">
        <v>0.19900000000000001</v>
      </c>
      <c r="G162" s="292" t="s">
        <v>11439</v>
      </c>
      <c r="H162" s="255">
        <v>4.75</v>
      </c>
      <c r="J162" s="634"/>
      <c r="K162" s="634"/>
      <c r="L162" s="634"/>
      <c r="M162" s="634"/>
      <c r="S162" s="536"/>
      <c r="T162" s="635"/>
    </row>
    <row r="163" spans="1:68" s="298" customFormat="1" ht="25.5">
      <c r="A163" s="256" t="s">
        <v>3259</v>
      </c>
      <c r="B163" s="288">
        <v>88316</v>
      </c>
      <c r="C163" s="289" t="s">
        <v>104</v>
      </c>
      <c r="D163" s="290" t="s">
        <v>9714</v>
      </c>
      <c r="E163" s="290" t="s">
        <v>206</v>
      </c>
      <c r="F163" s="383">
        <v>1.1919999999999999</v>
      </c>
      <c r="G163" s="292" t="s">
        <v>10172</v>
      </c>
      <c r="H163" s="255">
        <v>20.99</v>
      </c>
      <c r="J163" s="634"/>
      <c r="K163" s="634"/>
      <c r="L163" s="634"/>
      <c r="M163" s="634"/>
      <c r="S163" s="536"/>
      <c r="T163" s="635"/>
    </row>
    <row r="164" spans="1:68" s="298" customFormat="1" ht="51">
      <c r="A164" s="256" t="s">
        <v>3259</v>
      </c>
      <c r="B164" s="288">
        <v>90586</v>
      </c>
      <c r="C164" s="289" t="s">
        <v>444</v>
      </c>
      <c r="D164" s="290" t="s">
        <v>8987</v>
      </c>
      <c r="E164" s="290" t="s">
        <v>212</v>
      </c>
      <c r="F164" s="383">
        <v>6.8000000000000005E-2</v>
      </c>
      <c r="G164" s="292" t="s">
        <v>9770</v>
      </c>
      <c r="H164" s="255">
        <v>0.1</v>
      </c>
      <c r="J164" s="634"/>
      <c r="K164" s="634"/>
      <c r="L164" s="634"/>
      <c r="M164" s="634"/>
      <c r="S164" s="536"/>
      <c r="T164" s="635"/>
    </row>
    <row r="165" spans="1:68" s="298" customFormat="1" ht="51">
      <c r="A165" s="256" t="s">
        <v>3259</v>
      </c>
      <c r="B165" s="288">
        <v>90587</v>
      </c>
      <c r="C165" s="289" t="s">
        <v>577</v>
      </c>
      <c r="D165" s="290" t="s">
        <v>8987</v>
      </c>
      <c r="E165" s="290" t="s">
        <v>215</v>
      </c>
      <c r="F165" s="383">
        <v>0.13100000000000001</v>
      </c>
      <c r="G165" s="292" t="s">
        <v>10036</v>
      </c>
      <c r="H165" s="255">
        <v>0.05</v>
      </c>
      <c r="J165" s="634"/>
      <c r="K165" s="634"/>
      <c r="L165" s="634"/>
      <c r="M165" s="634"/>
      <c r="S165" s="536"/>
      <c r="T165" s="635"/>
    </row>
    <row r="166" spans="1:68" s="529" customFormat="1" ht="12.75">
      <c r="A166" s="286"/>
      <c r="B166" s="375" t="s">
        <v>143</v>
      </c>
      <c r="C166" s="816" t="s">
        <v>18722</v>
      </c>
      <c r="D166" s="817"/>
      <c r="E166" s="817"/>
      <c r="F166" s="817"/>
      <c r="G166" s="817"/>
      <c r="H166" s="818"/>
      <c r="I166" s="298"/>
      <c r="J166" s="634"/>
      <c r="K166" s="634"/>
      <c r="L166" s="634"/>
      <c r="M166" s="634"/>
      <c r="N166" s="298"/>
      <c r="O166" s="298"/>
      <c r="P166" s="298"/>
      <c r="Q166" s="298"/>
      <c r="R166" s="298"/>
      <c r="S166" s="536"/>
      <c r="T166" s="635"/>
      <c r="U166" s="298"/>
      <c r="V166" s="298"/>
      <c r="W166" s="298"/>
      <c r="X166" s="298"/>
      <c r="Y166" s="298"/>
      <c r="Z166" s="298"/>
      <c r="AA166" s="298"/>
      <c r="AB166" s="298"/>
      <c r="AC166" s="298"/>
      <c r="AD166" s="298"/>
      <c r="AE166" s="298"/>
      <c r="AF166" s="298"/>
      <c r="AG166" s="298"/>
      <c r="AH166" s="298"/>
      <c r="AI166" s="298"/>
      <c r="AJ166" s="298"/>
      <c r="AK166" s="298"/>
      <c r="AL166" s="298"/>
      <c r="AM166" s="298"/>
      <c r="AN166" s="298"/>
      <c r="AO166" s="298"/>
      <c r="AP166" s="298"/>
      <c r="AQ166" s="298"/>
      <c r="AR166" s="298"/>
      <c r="AS166" s="298"/>
      <c r="AT166" s="298"/>
      <c r="AU166" s="298"/>
      <c r="AV166" s="298"/>
      <c r="AW166" s="298"/>
      <c r="AX166" s="298"/>
      <c r="AY166" s="298"/>
      <c r="AZ166" s="298"/>
      <c r="BA166" s="298"/>
      <c r="BB166" s="298"/>
      <c r="BC166" s="298"/>
      <c r="BD166" s="298"/>
      <c r="BE166" s="298"/>
      <c r="BF166" s="298"/>
      <c r="BG166" s="298"/>
      <c r="BH166" s="298"/>
      <c r="BI166" s="298"/>
      <c r="BJ166" s="298"/>
      <c r="BK166" s="298"/>
      <c r="BL166" s="298"/>
      <c r="BM166" s="298"/>
      <c r="BN166" s="298"/>
      <c r="BO166" s="298"/>
      <c r="BP166" s="298"/>
    </row>
    <row r="167" spans="1:68" s="529" customFormat="1" ht="12.75">
      <c r="A167" s="286"/>
      <c r="B167" s="384"/>
      <c r="C167" s="385"/>
      <c r="D167" s="388"/>
      <c r="E167" s="388"/>
      <c r="F167" s="388"/>
      <c r="G167" s="388"/>
      <c r="H167" s="389"/>
      <c r="I167" s="298"/>
      <c r="J167" s="634"/>
      <c r="K167" s="634"/>
      <c r="L167" s="634"/>
      <c r="M167" s="634"/>
      <c r="N167" s="298"/>
      <c r="O167" s="298"/>
      <c r="P167" s="298"/>
      <c r="Q167" s="298"/>
      <c r="R167" s="298"/>
      <c r="S167" s="536"/>
      <c r="T167" s="635"/>
      <c r="U167" s="298"/>
      <c r="V167" s="298"/>
      <c r="W167" s="298"/>
      <c r="X167" s="298"/>
      <c r="Y167" s="298"/>
      <c r="Z167" s="298"/>
      <c r="AA167" s="298"/>
      <c r="AB167" s="298"/>
      <c r="AC167" s="298"/>
      <c r="AD167" s="298"/>
      <c r="AE167" s="298"/>
      <c r="AF167" s="298"/>
      <c r="AG167" s="298"/>
      <c r="AH167" s="298"/>
      <c r="AI167" s="298"/>
      <c r="AJ167" s="298"/>
      <c r="AK167" s="298"/>
      <c r="AL167" s="298"/>
      <c r="AM167" s="298"/>
      <c r="AN167" s="298"/>
      <c r="AO167" s="298"/>
      <c r="AP167" s="298"/>
      <c r="AQ167" s="298"/>
      <c r="AR167" s="298"/>
      <c r="AS167" s="298"/>
      <c r="AT167" s="298"/>
      <c r="AU167" s="298"/>
      <c r="AV167" s="298"/>
      <c r="AW167" s="298"/>
      <c r="AX167" s="298"/>
      <c r="AY167" s="298"/>
      <c r="AZ167" s="298"/>
      <c r="BA167" s="298"/>
      <c r="BB167" s="298"/>
      <c r="BC167" s="298"/>
      <c r="BD167" s="298"/>
      <c r="BE167" s="298"/>
      <c r="BF167" s="298"/>
      <c r="BG167" s="298"/>
      <c r="BH167" s="298"/>
      <c r="BI167" s="298"/>
      <c r="BJ167" s="298"/>
      <c r="BK167" s="298"/>
      <c r="BL167" s="298"/>
      <c r="BM167" s="298"/>
      <c r="BN167" s="298"/>
      <c r="BO167" s="298"/>
      <c r="BP167" s="298"/>
    </row>
    <row r="168" spans="1:68" s="644" customFormat="1" ht="63.75">
      <c r="A168" s="555"/>
      <c r="B168" s="372" t="s">
        <v>9641</v>
      </c>
      <c r="C168" s="231" t="s">
        <v>17848</v>
      </c>
      <c r="D168" s="232" t="s">
        <v>103</v>
      </c>
      <c r="E168" s="232" t="s">
        <v>3241</v>
      </c>
      <c r="F168" s="233"/>
      <c r="G168" s="234"/>
      <c r="H168" s="235">
        <v>402.68</v>
      </c>
      <c r="I168" s="298"/>
      <c r="J168" s="634"/>
      <c r="K168" s="634"/>
      <c r="L168" s="634"/>
      <c r="M168" s="634"/>
      <c r="N168" s="298"/>
      <c r="O168" s="298"/>
      <c r="P168" s="298"/>
      <c r="Q168" s="298"/>
      <c r="R168" s="298"/>
      <c r="S168" s="536"/>
      <c r="T168" s="635"/>
      <c r="U168" s="298"/>
      <c r="V168" s="298"/>
      <c r="W168" s="298"/>
      <c r="X168" s="298"/>
      <c r="Y168" s="298"/>
      <c r="Z168" s="298"/>
      <c r="AA168" s="298"/>
      <c r="AB168" s="298"/>
      <c r="AC168" s="298"/>
      <c r="AD168" s="298"/>
      <c r="AE168" s="298"/>
      <c r="AF168" s="298"/>
      <c r="AG168" s="298"/>
      <c r="AH168" s="298"/>
      <c r="AI168" s="298"/>
      <c r="AJ168" s="298"/>
      <c r="AK168" s="298"/>
      <c r="AL168" s="298"/>
      <c r="AM168" s="298"/>
      <c r="AN168" s="298"/>
      <c r="AO168" s="298"/>
      <c r="AP168" s="298"/>
      <c r="AQ168" s="298"/>
      <c r="AR168" s="298"/>
      <c r="AS168" s="298"/>
      <c r="AT168" s="298"/>
      <c r="AU168" s="298"/>
      <c r="AV168" s="298"/>
      <c r="AW168" s="298"/>
      <c r="AX168" s="298"/>
      <c r="AY168" s="298"/>
      <c r="AZ168" s="298"/>
      <c r="BA168" s="298"/>
      <c r="BB168" s="298"/>
      <c r="BC168" s="298"/>
      <c r="BD168" s="298"/>
      <c r="BE168" s="298"/>
      <c r="BF168" s="298"/>
      <c r="BG168" s="298"/>
      <c r="BH168" s="298"/>
      <c r="BI168" s="298"/>
      <c r="BJ168" s="298"/>
      <c r="BK168" s="298"/>
      <c r="BL168" s="298"/>
      <c r="BM168" s="298"/>
      <c r="BN168" s="298"/>
      <c r="BO168" s="298"/>
      <c r="BP168" s="298"/>
    </row>
    <row r="169" spans="1:68" s="298" customFormat="1" ht="51">
      <c r="A169" s="256" t="s">
        <v>3261</v>
      </c>
      <c r="B169" s="288">
        <v>1525</v>
      </c>
      <c r="C169" s="289" t="s">
        <v>5602</v>
      </c>
      <c r="D169" s="290" t="s">
        <v>207</v>
      </c>
      <c r="E169" s="290" t="s">
        <v>3241</v>
      </c>
      <c r="F169" s="383">
        <v>1.103</v>
      </c>
      <c r="G169" s="292" t="s">
        <v>19398</v>
      </c>
      <c r="H169" s="255">
        <v>378.02</v>
      </c>
      <c r="J169" s="634"/>
      <c r="K169" s="634"/>
      <c r="L169" s="634"/>
      <c r="M169" s="634"/>
      <c r="S169" s="536"/>
      <c r="T169" s="635"/>
    </row>
    <row r="170" spans="1:68" s="298" customFormat="1" ht="25.5">
      <c r="A170" s="256" t="s">
        <v>3259</v>
      </c>
      <c r="B170" s="288">
        <v>88262</v>
      </c>
      <c r="C170" s="289" t="s">
        <v>172</v>
      </c>
      <c r="D170" s="290" t="s">
        <v>9714</v>
      </c>
      <c r="E170" s="290" t="s">
        <v>206</v>
      </c>
      <c r="F170" s="383">
        <v>8.5000000000000006E-2</v>
      </c>
      <c r="G170" s="292" t="s">
        <v>18773</v>
      </c>
      <c r="H170" s="255">
        <v>2.0099999999999998</v>
      </c>
      <c r="J170" s="634"/>
      <c r="K170" s="634"/>
      <c r="L170" s="634"/>
      <c r="M170" s="634"/>
      <c r="S170" s="536"/>
      <c r="T170" s="635"/>
    </row>
    <row r="171" spans="1:68" s="298" customFormat="1" ht="25.5">
      <c r="A171" s="256" t="s">
        <v>3259</v>
      </c>
      <c r="B171" s="288">
        <v>88309</v>
      </c>
      <c r="C171" s="289" t="s">
        <v>105</v>
      </c>
      <c r="D171" s="290" t="s">
        <v>9714</v>
      </c>
      <c r="E171" s="290" t="s">
        <v>206</v>
      </c>
      <c r="F171" s="383">
        <v>0.51200000000000001</v>
      </c>
      <c r="G171" s="292" t="s">
        <v>11439</v>
      </c>
      <c r="H171" s="255">
        <v>12.23</v>
      </c>
      <c r="J171" s="634"/>
      <c r="K171" s="634"/>
      <c r="L171" s="634"/>
      <c r="M171" s="634"/>
      <c r="S171" s="536"/>
      <c r="T171" s="635"/>
    </row>
    <row r="172" spans="1:68" s="298" customFormat="1" ht="25.5">
      <c r="A172" s="256" t="s">
        <v>3259</v>
      </c>
      <c r="B172" s="288">
        <v>88316</v>
      </c>
      <c r="C172" s="289" t="s">
        <v>104</v>
      </c>
      <c r="D172" s="290" t="s">
        <v>9714</v>
      </c>
      <c r="E172" s="290" t="s">
        <v>206</v>
      </c>
      <c r="F172" s="383">
        <v>0.58599999999999997</v>
      </c>
      <c r="G172" s="292" t="s">
        <v>10172</v>
      </c>
      <c r="H172" s="255">
        <v>10.31</v>
      </c>
      <c r="J172" s="634"/>
      <c r="K172" s="634"/>
      <c r="L172" s="634"/>
      <c r="M172" s="634"/>
      <c r="S172" s="536"/>
      <c r="T172" s="635"/>
    </row>
    <row r="173" spans="1:68" s="298" customFormat="1" ht="51">
      <c r="A173" s="256" t="s">
        <v>3259</v>
      </c>
      <c r="B173" s="288">
        <v>90586</v>
      </c>
      <c r="C173" s="289" t="s">
        <v>444</v>
      </c>
      <c r="D173" s="290" t="s">
        <v>8987</v>
      </c>
      <c r="E173" s="290" t="s">
        <v>212</v>
      </c>
      <c r="F173" s="383">
        <v>4.3999999999999997E-2</v>
      </c>
      <c r="G173" s="292" t="s">
        <v>9770</v>
      </c>
      <c r="H173" s="255">
        <v>0.06</v>
      </c>
      <c r="J173" s="634"/>
      <c r="K173" s="634"/>
      <c r="L173" s="634"/>
      <c r="M173" s="634"/>
      <c r="S173" s="536"/>
      <c r="T173" s="635"/>
    </row>
    <row r="174" spans="1:68" s="298" customFormat="1" ht="51">
      <c r="A174" s="256" t="s">
        <v>3259</v>
      </c>
      <c r="B174" s="288">
        <v>90587</v>
      </c>
      <c r="C174" s="289" t="s">
        <v>577</v>
      </c>
      <c r="D174" s="290" t="s">
        <v>8987</v>
      </c>
      <c r="E174" s="290" t="s">
        <v>215</v>
      </c>
      <c r="F174" s="383">
        <v>0.127</v>
      </c>
      <c r="G174" s="292" t="s">
        <v>10036</v>
      </c>
      <c r="H174" s="255">
        <v>0.05</v>
      </c>
      <c r="J174" s="634"/>
      <c r="K174" s="634"/>
      <c r="L174" s="634"/>
      <c r="M174" s="634"/>
      <c r="S174" s="536"/>
      <c r="T174" s="635"/>
    </row>
    <row r="175" spans="1:68" s="529" customFormat="1" ht="12.75">
      <c r="A175" s="286"/>
      <c r="B175" s="375" t="s">
        <v>143</v>
      </c>
      <c r="C175" s="816" t="s">
        <v>17849</v>
      </c>
      <c r="D175" s="817"/>
      <c r="E175" s="817"/>
      <c r="F175" s="817"/>
      <c r="G175" s="817"/>
      <c r="H175" s="818"/>
      <c r="I175" s="298"/>
      <c r="J175" s="634"/>
      <c r="K175" s="634"/>
      <c r="L175" s="634"/>
      <c r="M175" s="634"/>
      <c r="N175" s="298"/>
      <c r="O175" s="298"/>
      <c r="P175" s="298"/>
      <c r="Q175" s="298"/>
      <c r="R175" s="298"/>
      <c r="S175" s="536"/>
      <c r="T175" s="635"/>
      <c r="U175" s="298"/>
      <c r="V175" s="298"/>
      <c r="W175" s="298"/>
      <c r="X175" s="298"/>
      <c r="Y175" s="298"/>
      <c r="Z175" s="298"/>
      <c r="AA175" s="298"/>
      <c r="AB175" s="298"/>
      <c r="AC175" s="298"/>
      <c r="AD175" s="298"/>
      <c r="AE175" s="298"/>
      <c r="AF175" s="298"/>
      <c r="AG175" s="298"/>
      <c r="AH175" s="298"/>
      <c r="AI175" s="298"/>
      <c r="AJ175" s="298"/>
      <c r="AK175" s="298"/>
      <c r="AL175" s="298"/>
      <c r="AM175" s="298"/>
      <c r="AN175" s="298"/>
      <c r="AO175" s="298"/>
      <c r="AP175" s="298"/>
      <c r="AQ175" s="298"/>
      <c r="AR175" s="298"/>
      <c r="AS175" s="298"/>
      <c r="AT175" s="298"/>
      <c r="AU175" s="298"/>
      <c r="AV175" s="298"/>
      <c r="AW175" s="298"/>
      <c r="AX175" s="298"/>
      <c r="AY175" s="298"/>
      <c r="AZ175" s="298"/>
      <c r="BA175" s="298"/>
      <c r="BB175" s="298"/>
      <c r="BC175" s="298"/>
      <c r="BD175" s="298"/>
      <c r="BE175" s="298"/>
      <c r="BF175" s="298"/>
      <c r="BG175" s="298"/>
      <c r="BH175" s="298"/>
      <c r="BI175" s="298"/>
      <c r="BJ175" s="298"/>
      <c r="BK175" s="298"/>
      <c r="BL175" s="298"/>
      <c r="BM175" s="298"/>
      <c r="BN175" s="298"/>
      <c r="BO175" s="298"/>
      <c r="BP175" s="298"/>
    </row>
    <row r="176" spans="1:68" s="529" customFormat="1" ht="12.75">
      <c r="A176" s="286"/>
      <c r="B176" s="373"/>
      <c r="C176" s="385"/>
      <c r="D176" s="385"/>
      <c r="E176" s="385"/>
      <c r="F176" s="385"/>
      <c r="G176" s="385"/>
      <c r="H176" s="641"/>
      <c r="I176" s="298"/>
      <c r="J176" s="634"/>
      <c r="K176" s="634"/>
      <c r="L176" s="634"/>
      <c r="M176" s="634"/>
      <c r="N176" s="298"/>
      <c r="O176" s="298"/>
      <c r="P176" s="298"/>
      <c r="Q176" s="298"/>
      <c r="R176" s="298"/>
      <c r="S176" s="536"/>
      <c r="T176" s="635"/>
      <c r="U176" s="298"/>
      <c r="V176" s="298"/>
      <c r="W176" s="298"/>
      <c r="X176" s="298"/>
      <c r="Y176" s="298"/>
      <c r="Z176" s="298"/>
      <c r="AA176" s="298"/>
      <c r="AB176" s="298"/>
      <c r="AC176" s="298"/>
      <c r="AD176" s="298"/>
      <c r="AE176" s="298"/>
      <c r="AF176" s="298"/>
      <c r="AG176" s="298"/>
      <c r="AH176" s="298"/>
      <c r="AI176" s="298"/>
      <c r="AJ176" s="298"/>
      <c r="AK176" s="298"/>
      <c r="AL176" s="298"/>
      <c r="AM176" s="298"/>
      <c r="AN176" s="298"/>
      <c r="AO176" s="298"/>
      <c r="AP176" s="298"/>
      <c r="AQ176" s="298"/>
      <c r="AR176" s="298"/>
      <c r="AS176" s="298"/>
      <c r="AT176" s="298"/>
      <c r="AU176" s="298"/>
      <c r="AV176" s="298"/>
      <c r="AW176" s="298"/>
      <c r="AX176" s="298"/>
      <c r="AY176" s="298"/>
      <c r="AZ176" s="298"/>
      <c r="BA176" s="298"/>
      <c r="BB176" s="298"/>
      <c r="BC176" s="298"/>
      <c r="BD176" s="298"/>
      <c r="BE176" s="298"/>
      <c r="BF176" s="298"/>
      <c r="BG176" s="298"/>
      <c r="BH176" s="298"/>
      <c r="BI176" s="298"/>
      <c r="BJ176" s="298"/>
      <c r="BK176" s="298"/>
      <c r="BL176" s="298"/>
      <c r="BM176" s="298"/>
      <c r="BN176" s="298"/>
      <c r="BO176" s="298"/>
      <c r="BP176" s="298"/>
    </row>
    <row r="177" spans="1:68" s="644" customFormat="1" ht="38.25">
      <c r="A177" s="555"/>
      <c r="B177" s="372" t="s">
        <v>11565</v>
      </c>
      <c r="C177" s="231" t="s">
        <v>17850</v>
      </c>
      <c r="D177" s="232" t="s">
        <v>103</v>
      </c>
      <c r="E177" s="232" t="s">
        <v>17463</v>
      </c>
      <c r="F177" s="233"/>
      <c r="G177" s="234"/>
      <c r="H177" s="235">
        <v>48.15</v>
      </c>
      <c r="I177" s="298"/>
      <c r="J177" s="634"/>
      <c r="K177" s="634"/>
      <c r="L177" s="634"/>
      <c r="M177" s="634"/>
      <c r="N177" s="298"/>
      <c r="O177" s="298"/>
      <c r="P177" s="298"/>
      <c r="Q177" s="298"/>
      <c r="R177" s="298"/>
      <c r="S177" s="536"/>
      <c r="T177" s="635"/>
      <c r="U177" s="298"/>
      <c r="V177" s="298"/>
      <c r="W177" s="298"/>
      <c r="X177" s="298"/>
      <c r="Y177" s="298"/>
      <c r="Z177" s="298"/>
      <c r="AA177" s="298"/>
      <c r="AB177" s="298"/>
      <c r="AC177" s="298"/>
      <c r="AD177" s="298"/>
      <c r="AE177" s="298"/>
      <c r="AF177" s="298"/>
      <c r="AG177" s="298"/>
      <c r="AH177" s="298"/>
      <c r="AI177" s="298"/>
      <c r="AJ177" s="298"/>
      <c r="AK177" s="298"/>
      <c r="AL177" s="298"/>
      <c r="AM177" s="298"/>
      <c r="AN177" s="298"/>
      <c r="AO177" s="298"/>
      <c r="AP177" s="298"/>
      <c r="AQ177" s="298"/>
      <c r="AR177" s="298"/>
      <c r="AS177" s="298"/>
      <c r="AT177" s="298"/>
      <c r="AU177" s="298"/>
      <c r="AV177" s="298"/>
      <c r="AW177" s="298"/>
      <c r="AX177" s="298"/>
      <c r="AY177" s="298"/>
      <c r="AZ177" s="298"/>
      <c r="BA177" s="298"/>
      <c r="BB177" s="298"/>
      <c r="BC177" s="298"/>
      <c r="BD177" s="298"/>
      <c r="BE177" s="298"/>
      <c r="BF177" s="298"/>
      <c r="BG177" s="298"/>
      <c r="BH177" s="298"/>
      <c r="BI177" s="298"/>
      <c r="BJ177" s="298"/>
      <c r="BK177" s="298"/>
      <c r="BL177" s="298"/>
      <c r="BM177" s="298"/>
      <c r="BN177" s="298"/>
      <c r="BO177" s="298"/>
      <c r="BP177" s="298"/>
    </row>
    <row r="178" spans="1:68" s="298" customFormat="1" ht="51">
      <c r="A178" s="256" t="s">
        <v>3261</v>
      </c>
      <c r="B178" s="288">
        <v>1523</v>
      </c>
      <c r="C178" s="289" t="s">
        <v>5613</v>
      </c>
      <c r="D178" s="290" t="s">
        <v>207</v>
      </c>
      <c r="E178" s="290" t="s">
        <v>3241</v>
      </c>
      <c r="F178" s="383">
        <v>0.1</v>
      </c>
      <c r="G178" s="292" t="s">
        <v>19408</v>
      </c>
      <c r="H178" s="255">
        <v>28.64</v>
      </c>
      <c r="J178" s="634"/>
      <c r="K178" s="634"/>
      <c r="L178" s="634"/>
      <c r="M178" s="634"/>
      <c r="S178" s="536"/>
      <c r="T178" s="635"/>
    </row>
    <row r="179" spans="1:68" s="298" customFormat="1" ht="25.5">
      <c r="A179" s="256" t="s">
        <v>3259</v>
      </c>
      <c r="B179" s="288">
        <v>88309</v>
      </c>
      <c r="C179" s="289" t="s">
        <v>105</v>
      </c>
      <c r="D179" s="290" t="s">
        <v>9714</v>
      </c>
      <c r="E179" s="290" t="s">
        <v>206</v>
      </c>
      <c r="F179" s="383">
        <v>0.253</v>
      </c>
      <c r="G179" s="292" t="s">
        <v>11439</v>
      </c>
      <c r="H179" s="255">
        <v>6.04</v>
      </c>
      <c r="J179" s="634"/>
      <c r="K179" s="634"/>
      <c r="L179" s="634"/>
      <c r="M179" s="634"/>
      <c r="S179" s="536"/>
      <c r="T179" s="635"/>
    </row>
    <row r="180" spans="1:68" s="298" customFormat="1" ht="25.5">
      <c r="A180" s="256" t="s">
        <v>3259</v>
      </c>
      <c r="B180" s="288">
        <v>88316</v>
      </c>
      <c r="C180" s="289" t="s">
        <v>104</v>
      </c>
      <c r="D180" s="290" t="s">
        <v>9714</v>
      </c>
      <c r="E180" s="290" t="s">
        <v>206</v>
      </c>
      <c r="F180" s="383">
        <v>0.126</v>
      </c>
      <c r="G180" s="292" t="s">
        <v>10172</v>
      </c>
      <c r="H180" s="255">
        <v>2.21</v>
      </c>
      <c r="J180" s="634"/>
      <c r="K180" s="634"/>
      <c r="L180" s="634"/>
      <c r="M180" s="634"/>
      <c r="S180" s="536"/>
      <c r="T180" s="635"/>
    </row>
    <row r="181" spans="1:68" s="298" customFormat="1" ht="25.5">
      <c r="A181" s="256" t="s">
        <v>3261</v>
      </c>
      <c r="B181" s="288">
        <v>659</v>
      </c>
      <c r="C181" s="289" t="s">
        <v>11744</v>
      </c>
      <c r="D181" s="290" t="s">
        <v>207</v>
      </c>
      <c r="E181" s="290" t="s">
        <v>3240</v>
      </c>
      <c r="F181" s="383" t="s">
        <v>17851</v>
      </c>
      <c r="G181" s="292" t="s">
        <v>10007</v>
      </c>
      <c r="H181" s="255">
        <v>11.26</v>
      </c>
      <c r="J181" s="634"/>
      <c r="K181" s="634"/>
      <c r="L181" s="634"/>
      <c r="M181" s="634"/>
      <c r="S181" s="536"/>
      <c r="T181" s="635"/>
    </row>
    <row r="182" spans="1:68" s="529" customFormat="1" ht="12.75">
      <c r="A182" s="286"/>
      <c r="B182" s="375" t="s">
        <v>143</v>
      </c>
      <c r="C182" s="816" t="s">
        <v>17852</v>
      </c>
      <c r="D182" s="817"/>
      <c r="E182" s="817"/>
      <c r="F182" s="817"/>
      <c r="G182" s="817"/>
      <c r="H182" s="818"/>
      <c r="I182" s="298"/>
      <c r="J182" s="634"/>
      <c r="K182" s="634"/>
      <c r="L182" s="634"/>
      <c r="M182" s="634"/>
      <c r="N182" s="298"/>
      <c r="O182" s="298"/>
      <c r="P182" s="298"/>
      <c r="Q182" s="298"/>
      <c r="R182" s="298"/>
      <c r="S182" s="536"/>
      <c r="T182" s="635"/>
      <c r="U182" s="298"/>
      <c r="V182" s="298"/>
      <c r="W182" s="298"/>
      <c r="X182" s="298"/>
      <c r="Y182" s="298"/>
      <c r="Z182" s="298"/>
      <c r="AA182" s="298"/>
      <c r="AB182" s="298"/>
      <c r="AC182" s="298"/>
      <c r="AD182" s="298"/>
      <c r="AE182" s="298"/>
      <c r="AF182" s="298"/>
      <c r="AG182" s="298"/>
      <c r="AH182" s="298"/>
      <c r="AI182" s="298"/>
      <c r="AJ182" s="298"/>
      <c r="AK182" s="298"/>
      <c r="AL182" s="298"/>
      <c r="AM182" s="298"/>
      <c r="AN182" s="298"/>
      <c r="AO182" s="298"/>
      <c r="AP182" s="298"/>
      <c r="AQ182" s="298"/>
      <c r="AR182" s="298"/>
      <c r="AS182" s="298"/>
      <c r="AT182" s="298"/>
      <c r="AU182" s="298"/>
      <c r="AV182" s="298"/>
      <c r="AW182" s="298"/>
      <c r="AX182" s="298"/>
      <c r="AY182" s="298"/>
      <c r="AZ182" s="298"/>
      <c r="BA182" s="298"/>
      <c r="BB182" s="298"/>
      <c r="BC182" s="298"/>
      <c r="BD182" s="298"/>
      <c r="BE182" s="298"/>
      <c r="BF182" s="298"/>
      <c r="BG182" s="298"/>
      <c r="BH182" s="298"/>
      <c r="BI182" s="298"/>
      <c r="BJ182" s="298"/>
      <c r="BK182" s="298"/>
      <c r="BL182" s="298"/>
      <c r="BM182" s="298"/>
      <c r="BN182" s="298"/>
      <c r="BO182" s="298"/>
      <c r="BP182" s="298"/>
    </row>
    <row r="183" spans="1:68" s="529" customFormat="1" ht="12.75">
      <c r="A183" s="286"/>
      <c r="B183" s="373"/>
      <c r="C183" s="385"/>
      <c r="D183" s="385"/>
      <c r="E183" s="385"/>
      <c r="F183" s="385"/>
      <c r="G183" s="385"/>
      <c r="H183" s="641"/>
      <c r="I183" s="298"/>
      <c r="J183" s="634"/>
      <c r="K183" s="634"/>
      <c r="L183" s="634"/>
      <c r="M183" s="634"/>
      <c r="N183" s="298"/>
      <c r="O183" s="298"/>
      <c r="P183" s="298"/>
      <c r="Q183" s="298"/>
      <c r="R183" s="298"/>
      <c r="S183" s="536"/>
      <c r="T183" s="635"/>
      <c r="U183" s="298"/>
      <c r="V183" s="298"/>
      <c r="W183" s="298"/>
      <c r="X183" s="298"/>
      <c r="Y183" s="298"/>
      <c r="Z183" s="298"/>
      <c r="AA183" s="298"/>
      <c r="AB183" s="298"/>
      <c r="AC183" s="298"/>
      <c r="AD183" s="298"/>
      <c r="AE183" s="298"/>
      <c r="AF183" s="298"/>
      <c r="AG183" s="298"/>
      <c r="AH183" s="298"/>
      <c r="AI183" s="298"/>
      <c r="AJ183" s="298"/>
      <c r="AK183" s="298"/>
      <c r="AL183" s="298"/>
      <c r="AM183" s="298"/>
      <c r="AN183" s="298"/>
      <c r="AO183" s="298"/>
      <c r="AP183" s="298"/>
      <c r="AQ183" s="298"/>
      <c r="AR183" s="298"/>
      <c r="AS183" s="298"/>
      <c r="AT183" s="298"/>
      <c r="AU183" s="298"/>
      <c r="AV183" s="298"/>
      <c r="AW183" s="298"/>
      <c r="AX183" s="298"/>
      <c r="AY183" s="298"/>
      <c r="AZ183" s="298"/>
      <c r="BA183" s="298"/>
      <c r="BB183" s="298"/>
      <c r="BC183" s="298"/>
      <c r="BD183" s="298"/>
      <c r="BE183" s="298"/>
      <c r="BF183" s="298"/>
      <c r="BG183" s="298"/>
      <c r="BH183" s="298"/>
      <c r="BI183" s="298"/>
      <c r="BJ183" s="298"/>
      <c r="BK183" s="298"/>
      <c r="BL183" s="298"/>
      <c r="BM183" s="298"/>
      <c r="BN183" s="298"/>
      <c r="BO183" s="298"/>
      <c r="BP183" s="298"/>
    </row>
    <row r="184" spans="1:68" s="644" customFormat="1" ht="51">
      <c r="A184" s="555"/>
      <c r="B184" s="372" t="s">
        <v>9642</v>
      </c>
      <c r="C184" s="231" t="s">
        <v>24749</v>
      </c>
      <c r="D184" s="232" t="s">
        <v>103</v>
      </c>
      <c r="E184" s="232" t="s">
        <v>3244</v>
      </c>
      <c r="F184" s="233"/>
      <c r="G184" s="234"/>
      <c r="H184" s="235">
        <v>11.96</v>
      </c>
      <c r="I184" s="298"/>
      <c r="J184" s="634"/>
      <c r="K184" s="634"/>
      <c r="L184" s="634"/>
      <c r="M184" s="634"/>
      <c r="N184" s="298"/>
      <c r="O184" s="298"/>
      <c r="P184" s="298"/>
      <c r="Q184" s="298"/>
      <c r="R184" s="298"/>
      <c r="S184" s="536"/>
      <c r="T184" s="635"/>
      <c r="U184" s="298"/>
      <c r="V184" s="298"/>
      <c r="W184" s="298"/>
      <c r="X184" s="298"/>
      <c r="Y184" s="298"/>
      <c r="Z184" s="298"/>
      <c r="AA184" s="298"/>
      <c r="AB184" s="298"/>
      <c r="AC184" s="298"/>
      <c r="AD184" s="298"/>
      <c r="AE184" s="298"/>
      <c r="AF184" s="298"/>
      <c r="AG184" s="298"/>
      <c r="AH184" s="298"/>
      <c r="AI184" s="298"/>
      <c r="AJ184" s="298"/>
      <c r="AK184" s="298"/>
      <c r="AL184" s="298"/>
      <c r="AM184" s="298"/>
      <c r="AN184" s="298"/>
      <c r="AO184" s="298"/>
      <c r="AP184" s="298"/>
      <c r="AQ184" s="298"/>
      <c r="AR184" s="298"/>
      <c r="AS184" s="298"/>
      <c r="AT184" s="298"/>
      <c r="AU184" s="298"/>
      <c r="AV184" s="298"/>
      <c r="AW184" s="298"/>
      <c r="AX184" s="298"/>
      <c r="AY184" s="298"/>
      <c r="AZ184" s="298"/>
      <c r="BA184" s="298"/>
      <c r="BB184" s="298"/>
      <c r="BC184" s="298"/>
      <c r="BD184" s="298"/>
      <c r="BE184" s="298"/>
      <c r="BF184" s="298"/>
      <c r="BG184" s="298"/>
      <c r="BH184" s="298"/>
      <c r="BI184" s="298"/>
      <c r="BJ184" s="298"/>
      <c r="BK184" s="298"/>
      <c r="BL184" s="298"/>
      <c r="BM184" s="298"/>
      <c r="BN184" s="298"/>
      <c r="BO184" s="298"/>
      <c r="BP184" s="298"/>
    </row>
    <row r="185" spans="1:68" s="298" customFormat="1" ht="25.5">
      <c r="A185" s="256" t="s">
        <v>3261</v>
      </c>
      <c r="B185" s="288">
        <v>43692</v>
      </c>
      <c r="C185" s="289" t="s">
        <v>9552</v>
      </c>
      <c r="D185" s="290" t="s">
        <v>207</v>
      </c>
      <c r="E185" s="290" t="s">
        <v>3244</v>
      </c>
      <c r="F185" s="383">
        <v>1</v>
      </c>
      <c r="G185" s="292" t="s">
        <v>11240</v>
      </c>
      <c r="H185" s="255">
        <v>11.1</v>
      </c>
      <c r="J185" s="634"/>
      <c r="K185" s="634"/>
      <c r="L185" s="634"/>
      <c r="M185" s="634"/>
      <c r="S185" s="536"/>
      <c r="T185" s="635"/>
    </row>
    <row r="186" spans="1:68" s="298" customFormat="1" ht="25.5">
      <c r="A186" s="256" t="s">
        <v>3261</v>
      </c>
      <c r="B186" s="288">
        <v>10997</v>
      </c>
      <c r="C186" s="289" t="s">
        <v>6208</v>
      </c>
      <c r="D186" s="290" t="s">
        <v>207</v>
      </c>
      <c r="E186" s="290" t="s">
        <v>3244</v>
      </c>
      <c r="F186" s="383">
        <v>1.8E-3</v>
      </c>
      <c r="G186" s="292" t="s">
        <v>14318</v>
      </c>
      <c r="H186" s="255">
        <v>0.03</v>
      </c>
      <c r="J186" s="634"/>
      <c r="K186" s="634"/>
      <c r="L186" s="634"/>
      <c r="M186" s="634"/>
      <c r="S186" s="536"/>
      <c r="T186" s="635"/>
    </row>
    <row r="187" spans="1:68" s="298" customFormat="1" ht="25.5">
      <c r="A187" s="256" t="s">
        <v>3259</v>
      </c>
      <c r="B187" s="288">
        <v>88240</v>
      </c>
      <c r="C187" s="289" t="s">
        <v>3045</v>
      </c>
      <c r="D187" s="290" t="s">
        <v>9714</v>
      </c>
      <c r="E187" s="290" t="s">
        <v>206</v>
      </c>
      <c r="F187" s="383">
        <v>8.0000000000000004E-4</v>
      </c>
      <c r="G187" s="292" t="s">
        <v>14168</v>
      </c>
      <c r="H187" s="255">
        <v>0.01</v>
      </c>
      <c r="J187" s="634"/>
      <c r="K187" s="634"/>
      <c r="L187" s="634"/>
      <c r="M187" s="634"/>
      <c r="S187" s="536"/>
      <c r="T187" s="635"/>
    </row>
    <row r="188" spans="1:68" s="298" customFormat="1" ht="25.5">
      <c r="A188" s="256" t="s">
        <v>3259</v>
      </c>
      <c r="B188" s="288">
        <v>88278</v>
      </c>
      <c r="C188" s="289" t="s">
        <v>3066</v>
      </c>
      <c r="D188" s="290" t="s">
        <v>9714</v>
      </c>
      <c r="E188" s="290" t="s">
        <v>206</v>
      </c>
      <c r="F188" s="383">
        <v>2.3699999999999999E-2</v>
      </c>
      <c r="G188" s="292" t="s">
        <v>19155</v>
      </c>
      <c r="H188" s="255">
        <v>0.43</v>
      </c>
      <c r="J188" s="634"/>
      <c r="K188" s="634"/>
      <c r="L188" s="634"/>
      <c r="M188" s="634"/>
      <c r="S188" s="536"/>
      <c r="T188" s="635"/>
    </row>
    <row r="189" spans="1:68" s="298" customFormat="1" ht="25.5">
      <c r="A189" s="256" t="s">
        <v>3259</v>
      </c>
      <c r="B189" s="288">
        <v>88317</v>
      </c>
      <c r="C189" s="289" t="s">
        <v>3096</v>
      </c>
      <c r="D189" s="290" t="s">
        <v>9714</v>
      </c>
      <c r="E189" s="290" t="s">
        <v>206</v>
      </c>
      <c r="F189" s="383">
        <v>5.0000000000000001E-3</v>
      </c>
      <c r="G189" s="292" t="s">
        <v>18764</v>
      </c>
      <c r="H189" s="255">
        <v>0.12</v>
      </c>
      <c r="J189" s="634"/>
      <c r="K189" s="634"/>
      <c r="L189" s="634"/>
      <c r="M189" s="634"/>
      <c r="S189" s="536"/>
      <c r="T189" s="635"/>
    </row>
    <row r="190" spans="1:68" s="298" customFormat="1" ht="51">
      <c r="A190" s="256" t="s">
        <v>3259</v>
      </c>
      <c r="B190" s="288">
        <v>93287</v>
      </c>
      <c r="C190" s="289" t="s">
        <v>213</v>
      </c>
      <c r="D190" s="290" t="s">
        <v>8987</v>
      </c>
      <c r="E190" s="290" t="s">
        <v>212</v>
      </c>
      <c r="F190" s="383">
        <v>6.9999999999999999E-4</v>
      </c>
      <c r="G190" s="292" t="s">
        <v>21438</v>
      </c>
      <c r="H190" s="255">
        <v>0.23</v>
      </c>
      <c r="J190" s="634"/>
      <c r="K190" s="634"/>
      <c r="L190" s="634"/>
      <c r="M190" s="634"/>
      <c r="S190" s="536"/>
      <c r="T190" s="635"/>
    </row>
    <row r="191" spans="1:68" s="298" customFormat="1" ht="51">
      <c r="A191" s="256" t="s">
        <v>3259</v>
      </c>
      <c r="B191" s="288">
        <v>93288</v>
      </c>
      <c r="C191" s="289" t="s">
        <v>214</v>
      </c>
      <c r="D191" s="290" t="s">
        <v>8987</v>
      </c>
      <c r="E191" s="290" t="s">
        <v>215</v>
      </c>
      <c r="F191" s="383">
        <v>5.0000000000000001E-4</v>
      </c>
      <c r="G191" s="292" t="s">
        <v>21491</v>
      </c>
      <c r="H191" s="255">
        <v>0.04</v>
      </c>
      <c r="J191" s="634"/>
      <c r="K191" s="634"/>
      <c r="L191" s="634"/>
      <c r="M191" s="634"/>
      <c r="S191" s="536"/>
      <c r="T191" s="635"/>
    </row>
    <row r="192" spans="1:68" s="529" customFormat="1" ht="12.75">
      <c r="A192" s="286"/>
      <c r="B192" s="375" t="s">
        <v>143</v>
      </c>
      <c r="C192" s="816" t="s">
        <v>24489</v>
      </c>
      <c r="D192" s="817"/>
      <c r="E192" s="817"/>
      <c r="F192" s="817"/>
      <c r="G192" s="817"/>
      <c r="H192" s="818"/>
      <c r="I192" s="298"/>
      <c r="J192" s="634"/>
      <c r="K192" s="634"/>
      <c r="L192" s="634"/>
      <c r="M192" s="634"/>
      <c r="N192" s="298"/>
      <c r="O192" s="298"/>
      <c r="P192" s="298"/>
      <c r="Q192" s="298"/>
      <c r="R192" s="298"/>
      <c r="S192" s="536"/>
      <c r="T192" s="635"/>
      <c r="U192" s="298"/>
      <c r="V192" s="298"/>
      <c r="W192" s="298"/>
      <c r="X192" s="298"/>
      <c r="Y192" s="298"/>
      <c r="Z192" s="298"/>
      <c r="AA192" s="298"/>
      <c r="AB192" s="298"/>
      <c r="AC192" s="298"/>
      <c r="AD192" s="298"/>
      <c r="AE192" s="298"/>
      <c r="AF192" s="298"/>
      <c r="AG192" s="298"/>
      <c r="AH192" s="298"/>
      <c r="AI192" s="298"/>
      <c r="AJ192" s="298"/>
      <c r="AK192" s="298"/>
      <c r="AL192" s="298"/>
      <c r="AM192" s="298"/>
      <c r="AN192" s="298"/>
      <c r="AO192" s="298"/>
      <c r="AP192" s="298"/>
      <c r="AQ192" s="298"/>
      <c r="AR192" s="298"/>
      <c r="AS192" s="298"/>
      <c r="AT192" s="298"/>
      <c r="AU192" s="298"/>
      <c r="AV192" s="298"/>
      <c r="AW192" s="298"/>
      <c r="AX192" s="298"/>
      <c r="AY192" s="298"/>
      <c r="AZ192" s="298"/>
      <c r="BA192" s="298"/>
      <c r="BB192" s="298"/>
      <c r="BC192" s="298"/>
      <c r="BD192" s="298"/>
      <c r="BE192" s="298"/>
      <c r="BF192" s="298"/>
      <c r="BG192" s="298"/>
      <c r="BH192" s="298"/>
      <c r="BI192" s="298"/>
      <c r="BJ192" s="298"/>
      <c r="BK192" s="298"/>
      <c r="BL192" s="298"/>
      <c r="BM192" s="298"/>
      <c r="BN192" s="298"/>
      <c r="BO192" s="298"/>
      <c r="BP192" s="298"/>
    </row>
    <row r="193" spans="1:68" s="529" customFormat="1" ht="12.75">
      <c r="A193" s="286"/>
      <c r="B193" s="373"/>
      <c r="C193" s="733"/>
      <c r="D193" s="733"/>
      <c r="E193" s="733"/>
      <c r="F193" s="733"/>
      <c r="G193" s="733"/>
      <c r="H193" s="734"/>
      <c r="I193" s="298"/>
      <c r="J193" s="634"/>
      <c r="K193" s="634"/>
      <c r="L193" s="634"/>
      <c r="M193" s="634"/>
      <c r="N193" s="298"/>
      <c r="O193" s="298"/>
      <c r="P193" s="298"/>
      <c r="Q193" s="298"/>
      <c r="R193" s="298"/>
      <c r="S193" s="536"/>
      <c r="T193" s="635"/>
      <c r="U193" s="298"/>
      <c r="V193" s="298"/>
      <c r="W193" s="298"/>
      <c r="X193" s="298"/>
      <c r="Y193" s="298"/>
      <c r="Z193" s="298"/>
      <c r="AA193" s="298"/>
      <c r="AB193" s="298"/>
      <c r="AC193" s="298"/>
      <c r="AD193" s="298"/>
      <c r="AE193" s="298"/>
      <c r="AF193" s="298"/>
      <c r="AG193" s="298"/>
      <c r="AH193" s="298"/>
      <c r="AI193" s="298"/>
      <c r="AJ193" s="298"/>
      <c r="AK193" s="298"/>
      <c r="AL193" s="298"/>
      <c r="AM193" s="298"/>
      <c r="AN193" s="298"/>
      <c r="AO193" s="298"/>
      <c r="AP193" s="298"/>
      <c r="AQ193" s="298"/>
      <c r="AR193" s="298"/>
      <c r="AS193" s="298"/>
      <c r="AT193" s="298"/>
      <c r="AU193" s="298"/>
      <c r="AV193" s="298"/>
      <c r="AW193" s="298"/>
      <c r="AX193" s="298"/>
      <c r="AY193" s="298"/>
      <c r="AZ193" s="298"/>
      <c r="BA193" s="298"/>
      <c r="BB193" s="298"/>
      <c r="BC193" s="298"/>
      <c r="BD193" s="298"/>
      <c r="BE193" s="298"/>
      <c r="BF193" s="298"/>
      <c r="BG193" s="298"/>
      <c r="BH193" s="298"/>
      <c r="BI193" s="298"/>
      <c r="BJ193" s="298"/>
      <c r="BK193" s="298"/>
      <c r="BL193" s="298"/>
      <c r="BM193" s="298"/>
      <c r="BN193" s="298"/>
      <c r="BO193" s="298"/>
      <c r="BP193" s="298"/>
    </row>
    <row r="194" spans="1:68" s="644" customFormat="1" ht="51">
      <c r="A194" s="555"/>
      <c r="B194" s="372" t="s">
        <v>11570</v>
      </c>
      <c r="C194" s="231" t="s">
        <v>24750</v>
      </c>
      <c r="D194" s="232" t="s">
        <v>103</v>
      </c>
      <c r="E194" s="232" t="s">
        <v>3244</v>
      </c>
      <c r="F194" s="233"/>
      <c r="G194" s="234"/>
      <c r="H194" s="235">
        <v>11.96</v>
      </c>
      <c r="I194" s="298"/>
      <c r="J194" s="634"/>
      <c r="K194" s="634"/>
      <c r="L194" s="634"/>
      <c r="M194" s="634"/>
      <c r="N194" s="298" t="s">
        <v>24490</v>
      </c>
      <c r="O194" s="298"/>
      <c r="P194" s="298"/>
      <c r="Q194" s="298"/>
      <c r="R194" s="298"/>
      <c r="S194" s="536"/>
      <c r="T194" s="635"/>
      <c r="U194" s="298"/>
      <c r="V194" s="298"/>
      <c r="W194" s="298"/>
      <c r="X194" s="298"/>
      <c r="Y194" s="298"/>
      <c r="Z194" s="298"/>
      <c r="AA194" s="298"/>
      <c r="AB194" s="298"/>
      <c r="AC194" s="298"/>
      <c r="AD194" s="298"/>
      <c r="AE194" s="298"/>
      <c r="AF194" s="298"/>
      <c r="AG194" s="298"/>
      <c r="AH194" s="298"/>
      <c r="AI194" s="298"/>
      <c r="AJ194" s="298"/>
      <c r="AK194" s="298"/>
      <c r="AL194" s="298"/>
      <c r="AM194" s="298"/>
      <c r="AN194" s="298"/>
      <c r="AO194" s="298"/>
      <c r="AP194" s="298"/>
      <c r="AQ194" s="298"/>
      <c r="AR194" s="298"/>
      <c r="AS194" s="298"/>
      <c r="AT194" s="298"/>
      <c r="AU194" s="298"/>
      <c r="AV194" s="298"/>
      <c r="AW194" s="298"/>
      <c r="AX194" s="298"/>
      <c r="AY194" s="298"/>
      <c r="AZ194" s="298"/>
      <c r="BA194" s="298"/>
      <c r="BB194" s="298"/>
      <c r="BC194" s="298"/>
      <c r="BD194" s="298"/>
      <c r="BE194" s="298"/>
      <c r="BF194" s="298"/>
      <c r="BG194" s="298"/>
      <c r="BH194" s="298"/>
      <c r="BI194" s="298"/>
      <c r="BJ194" s="298"/>
      <c r="BK194" s="298"/>
      <c r="BL194" s="298"/>
      <c r="BM194" s="298"/>
      <c r="BN194" s="298"/>
      <c r="BO194" s="298"/>
      <c r="BP194" s="298"/>
    </row>
    <row r="195" spans="1:68" s="298" customFormat="1" ht="25.5">
      <c r="A195" s="256" t="s">
        <v>3261</v>
      </c>
      <c r="B195" s="288">
        <v>43692</v>
      </c>
      <c r="C195" s="289" t="s">
        <v>9552</v>
      </c>
      <c r="D195" s="290" t="s">
        <v>207</v>
      </c>
      <c r="E195" s="290" t="s">
        <v>3244</v>
      </c>
      <c r="F195" s="383">
        <v>1</v>
      </c>
      <c r="G195" s="292" t="s">
        <v>11240</v>
      </c>
      <c r="H195" s="255">
        <v>11.1</v>
      </c>
      <c r="J195" s="634"/>
      <c r="K195" s="634"/>
      <c r="L195" s="634"/>
      <c r="M195" s="634"/>
      <c r="S195" s="536"/>
      <c r="T195" s="635"/>
    </row>
    <row r="196" spans="1:68" s="298" customFormat="1" ht="25.5">
      <c r="A196" s="256" t="s">
        <v>3261</v>
      </c>
      <c r="B196" s="288">
        <v>10997</v>
      </c>
      <c r="C196" s="289" t="s">
        <v>6208</v>
      </c>
      <c r="D196" s="290" t="s">
        <v>207</v>
      </c>
      <c r="E196" s="290" t="s">
        <v>3244</v>
      </c>
      <c r="F196" s="383">
        <v>1.8E-3</v>
      </c>
      <c r="G196" s="292" t="s">
        <v>14318</v>
      </c>
      <c r="H196" s="255">
        <v>0.03</v>
      </c>
      <c r="J196" s="634"/>
      <c r="K196" s="634"/>
      <c r="L196" s="634"/>
      <c r="M196" s="634"/>
      <c r="S196" s="536"/>
      <c r="T196" s="635"/>
    </row>
    <row r="197" spans="1:68" s="298" customFormat="1" ht="25.5">
      <c r="A197" s="256" t="s">
        <v>3259</v>
      </c>
      <c r="B197" s="288">
        <v>88240</v>
      </c>
      <c r="C197" s="289" t="s">
        <v>3045</v>
      </c>
      <c r="D197" s="290" t="s">
        <v>9714</v>
      </c>
      <c r="E197" s="290" t="s">
        <v>206</v>
      </c>
      <c r="F197" s="383">
        <v>8.0000000000000004E-4</v>
      </c>
      <c r="G197" s="292" t="s">
        <v>14168</v>
      </c>
      <c r="H197" s="255">
        <v>0.01</v>
      </c>
      <c r="J197" s="634"/>
      <c r="K197" s="634"/>
      <c r="L197" s="634"/>
      <c r="M197" s="634"/>
      <c r="S197" s="536"/>
      <c r="T197" s="635"/>
    </row>
    <row r="198" spans="1:68" s="298" customFormat="1" ht="25.5">
      <c r="A198" s="256" t="s">
        <v>3259</v>
      </c>
      <c r="B198" s="288">
        <v>88278</v>
      </c>
      <c r="C198" s="289" t="s">
        <v>3066</v>
      </c>
      <c r="D198" s="290" t="s">
        <v>9714</v>
      </c>
      <c r="E198" s="290" t="s">
        <v>206</v>
      </c>
      <c r="F198" s="383">
        <v>2.3699999999999999E-2</v>
      </c>
      <c r="G198" s="292" t="s">
        <v>19155</v>
      </c>
      <c r="H198" s="255">
        <v>0.43</v>
      </c>
      <c r="J198" s="634"/>
      <c r="K198" s="634"/>
      <c r="L198" s="634"/>
      <c r="M198" s="634"/>
      <c r="S198" s="536"/>
      <c r="T198" s="635"/>
    </row>
    <row r="199" spans="1:68" s="298" customFormat="1" ht="25.5">
      <c r="A199" s="256" t="s">
        <v>3259</v>
      </c>
      <c r="B199" s="288">
        <v>88317</v>
      </c>
      <c r="C199" s="289" t="s">
        <v>3096</v>
      </c>
      <c r="D199" s="290" t="s">
        <v>9714</v>
      </c>
      <c r="E199" s="290" t="s">
        <v>206</v>
      </c>
      <c r="F199" s="383">
        <v>5.0000000000000001E-3</v>
      </c>
      <c r="G199" s="292" t="s">
        <v>18764</v>
      </c>
      <c r="H199" s="255">
        <v>0.12</v>
      </c>
      <c r="J199" s="634"/>
      <c r="K199" s="634"/>
      <c r="L199" s="634"/>
      <c r="M199" s="634"/>
      <c r="S199" s="536"/>
      <c r="T199" s="635"/>
    </row>
    <row r="200" spans="1:68" s="298" customFormat="1" ht="51">
      <c r="A200" s="256" t="s">
        <v>3259</v>
      </c>
      <c r="B200" s="288">
        <v>93287</v>
      </c>
      <c r="C200" s="289" t="s">
        <v>213</v>
      </c>
      <c r="D200" s="290" t="s">
        <v>8987</v>
      </c>
      <c r="E200" s="290" t="s">
        <v>212</v>
      </c>
      <c r="F200" s="383">
        <v>6.9999999999999999E-4</v>
      </c>
      <c r="G200" s="292" t="s">
        <v>21438</v>
      </c>
      <c r="H200" s="255">
        <v>0.23</v>
      </c>
      <c r="J200" s="634"/>
      <c r="K200" s="634"/>
      <c r="L200" s="634"/>
      <c r="M200" s="634"/>
      <c r="S200" s="536"/>
      <c r="T200" s="635"/>
    </row>
    <row r="201" spans="1:68" s="298" customFormat="1" ht="51">
      <c r="A201" s="256" t="s">
        <v>3259</v>
      </c>
      <c r="B201" s="288">
        <v>93288</v>
      </c>
      <c r="C201" s="289" t="s">
        <v>214</v>
      </c>
      <c r="D201" s="290" t="s">
        <v>8987</v>
      </c>
      <c r="E201" s="290" t="s">
        <v>215</v>
      </c>
      <c r="F201" s="383">
        <v>5.0000000000000001E-4</v>
      </c>
      <c r="G201" s="292" t="s">
        <v>21491</v>
      </c>
      <c r="H201" s="255">
        <v>0.04</v>
      </c>
      <c r="J201" s="634"/>
      <c r="K201" s="634"/>
      <c r="L201" s="634"/>
      <c r="M201" s="634"/>
      <c r="S201" s="536"/>
      <c r="T201" s="635"/>
    </row>
    <row r="202" spans="1:68" s="529" customFormat="1" ht="12.75">
      <c r="A202" s="286"/>
      <c r="B202" s="375" t="s">
        <v>143</v>
      </c>
      <c r="C202" s="816" t="s">
        <v>24489</v>
      </c>
      <c r="D202" s="817"/>
      <c r="E202" s="817"/>
      <c r="F202" s="817"/>
      <c r="G202" s="817"/>
      <c r="H202" s="818"/>
      <c r="I202" s="298"/>
      <c r="J202" s="634"/>
      <c r="K202" s="634"/>
      <c r="L202" s="634"/>
      <c r="M202" s="634"/>
      <c r="N202" s="298"/>
      <c r="O202" s="298"/>
      <c r="P202" s="298"/>
      <c r="Q202" s="298"/>
      <c r="R202" s="298"/>
      <c r="S202" s="536"/>
      <c r="T202" s="635"/>
      <c r="U202" s="298"/>
      <c r="V202" s="298"/>
      <c r="W202" s="298"/>
      <c r="X202" s="298"/>
      <c r="Y202" s="298"/>
      <c r="Z202" s="298"/>
      <c r="AA202" s="298"/>
      <c r="AB202" s="298"/>
      <c r="AC202" s="298"/>
      <c r="AD202" s="298"/>
      <c r="AE202" s="298"/>
      <c r="AF202" s="298"/>
      <c r="AG202" s="298"/>
      <c r="AH202" s="298"/>
      <c r="AI202" s="298"/>
      <c r="AJ202" s="298"/>
      <c r="AK202" s="298"/>
      <c r="AL202" s="298"/>
      <c r="AM202" s="298"/>
      <c r="AN202" s="298"/>
      <c r="AO202" s="298"/>
      <c r="AP202" s="298"/>
      <c r="AQ202" s="298"/>
      <c r="AR202" s="298"/>
      <c r="AS202" s="298"/>
      <c r="AT202" s="298"/>
      <c r="AU202" s="298"/>
      <c r="AV202" s="298"/>
      <c r="AW202" s="298"/>
      <c r="AX202" s="298"/>
      <c r="AY202" s="298"/>
      <c r="AZ202" s="298"/>
      <c r="BA202" s="298"/>
      <c r="BB202" s="298"/>
      <c r="BC202" s="298"/>
      <c r="BD202" s="298"/>
      <c r="BE202" s="298"/>
      <c r="BF202" s="298"/>
      <c r="BG202" s="298"/>
      <c r="BH202" s="298"/>
      <c r="BI202" s="298"/>
      <c r="BJ202" s="298"/>
      <c r="BK202" s="298"/>
      <c r="BL202" s="298"/>
      <c r="BM202" s="298"/>
      <c r="BN202" s="298"/>
      <c r="BO202" s="298"/>
      <c r="BP202" s="298"/>
    </row>
    <row r="203" spans="1:68" s="529" customFormat="1" ht="12.75">
      <c r="A203" s="286"/>
      <c r="B203" s="373"/>
      <c r="C203" s="733"/>
      <c r="D203" s="733"/>
      <c r="E203" s="733"/>
      <c r="F203" s="733"/>
      <c r="G203" s="733"/>
      <c r="H203" s="734"/>
      <c r="I203" s="298"/>
      <c r="J203" s="634"/>
      <c r="K203" s="634"/>
      <c r="L203" s="634"/>
      <c r="M203" s="634"/>
      <c r="N203" s="298"/>
      <c r="O203" s="298"/>
      <c r="P203" s="298"/>
      <c r="Q203" s="298"/>
      <c r="R203" s="298"/>
      <c r="S203" s="536"/>
      <c r="T203" s="635"/>
      <c r="U203" s="298"/>
      <c r="V203" s="298"/>
      <c r="W203" s="298"/>
      <c r="X203" s="298"/>
      <c r="Y203" s="298"/>
      <c r="Z203" s="298"/>
      <c r="AA203" s="298"/>
      <c r="AB203" s="298"/>
      <c r="AC203" s="298"/>
      <c r="AD203" s="298"/>
      <c r="AE203" s="298"/>
      <c r="AF203" s="298"/>
      <c r="AG203" s="298"/>
      <c r="AH203" s="298"/>
      <c r="AI203" s="298"/>
      <c r="AJ203" s="298"/>
      <c r="AK203" s="298"/>
      <c r="AL203" s="298"/>
      <c r="AM203" s="298"/>
      <c r="AN203" s="298"/>
      <c r="AO203" s="298"/>
      <c r="AP203" s="298"/>
      <c r="AQ203" s="298"/>
      <c r="AR203" s="298"/>
      <c r="AS203" s="298"/>
      <c r="AT203" s="298"/>
      <c r="AU203" s="298"/>
      <c r="AV203" s="298"/>
      <c r="AW203" s="298"/>
      <c r="AX203" s="298"/>
      <c r="AY203" s="298"/>
      <c r="AZ203" s="298"/>
      <c r="BA203" s="298"/>
      <c r="BB203" s="298"/>
      <c r="BC203" s="298"/>
      <c r="BD203" s="298"/>
      <c r="BE203" s="298"/>
      <c r="BF203" s="298"/>
      <c r="BG203" s="298"/>
      <c r="BH203" s="298"/>
      <c r="BI203" s="298"/>
      <c r="BJ203" s="298"/>
      <c r="BK203" s="298"/>
      <c r="BL203" s="298"/>
      <c r="BM203" s="298"/>
      <c r="BN203" s="298"/>
      <c r="BO203" s="298"/>
      <c r="BP203" s="298"/>
    </row>
    <row r="204" spans="1:68" s="529" customFormat="1" ht="63.75">
      <c r="A204" s="494"/>
      <c r="B204" s="372" t="s">
        <v>11571</v>
      </c>
      <c r="C204" s="231" t="s">
        <v>24499</v>
      </c>
      <c r="D204" s="232" t="s">
        <v>103</v>
      </c>
      <c r="E204" s="232" t="s">
        <v>3244</v>
      </c>
      <c r="F204" s="233"/>
      <c r="G204" s="234"/>
      <c r="H204" s="235">
        <v>11.24</v>
      </c>
      <c r="I204" s="298"/>
      <c r="J204" s="634"/>
      <c r="K204" s="634"/>
      <c r="L204" s="634"/>
      <c r="M204" s="634"/>
      <c r="N204" s="298" t="s">
        <v>24490</v>
      </c>
      <c r="O204" s="298"/>
      <c r="P204" s="298"/>
      <c r="Q204" s="298"/>
      <c r="R204" s="298"/>
      <c r="S204" s="536"/>
      <c r="T204" s="635"/>
      <c r="U204" s="298"/>
      <c r="V204" s="298"/>
      <c r="W204" s="298"/>
      <c r="X204" s="298"/>
      <c r="Y204" s="298"/>
      <c r="Z204" s="298"/>
      <c r="AA204" s="298"/>
      <c r="AB204" s="298"/>
      <c r="AC204" s="298"/>
      <c r="AD204" s="298"/>
      <c r="AE204" s="298"/>
      <c r="AF204" s="298"/>
      <c r="AG204" s="298"/>
      <c r="AH204" s="298"/>
      <c r="AI204" s="298"/>
      <c r="AJ204" s="298"/>
      <c r="AK204" s="298"/>
      <c r="AL204" s="298"/>
      <c r="AM204" s="298"/>
      <c r="AN204" s="298"/>
      <c r="AO204" s="298"/>
      <c r="AP204" s="298"/>
      <c r="AQ204" s="298"/>
      <c r="AR204" s="298"/>
      <c r="AS204" s="298"/>
      <c r="AT204" s="298"/>
      <c r="AU204" s="298"/>
      <c r="AV204" s="298"/>
      <c r="AW204" s="298"/>
      <c r="AX204" s="298"/>
      <c r="AY204" s="298"/>
      <c r="AZ204" s="298"/>
      <c r="BA204" s="298"/>
      <c r="BB204" s="298"/>
      <c r="BC204" s="298"/>
      <c r="BD204" s="298"/>
      <c r="BE204" s="298"/>
      <c r="BF204" s="298"/>
      <c r="BG204" s="298"/>
      <c r="BH204" s="298"/>
      <c r="BI204" s="298"/>
      <c r="BJ204" s="298"/>
      <c r="BK204" s="298"/>
      <c r="BL204" s="298"/>
      <c r="BM204" s="298"/>
      <c r="BN204" s="298"/>
      <c r="BO204" s="298"/>
      <c r="BP204" s="298"/>
    </row>
    <row r="205" spans="1:68" s="298" customFormat="1" ht="25.5">
      <c r="A205" s="256" t="s">
        <v>3261</v>
      </c>
      <c r="B205" s="288">
        <v>43054</v>
      </c>
      <c r="C205" s="289" t="s">
        <v>9447</v>
      </c>
      <c r="D205" s="290" t="s">
        <v>207</v>
      </c>
      <c r="E205" s="290" t="s">
        <v>3244</v>
      </c>
      <c r="F205" s="383">
        <v>1</v>
      </c>
      <c r="G205" s="292" t="s">
        <v>10316</v>
      </c>
      <c r="H205" s="255">
        <v>10.38</v>
      </c>
      <c r="J205" s="634"/>
      <c r="K205" s="634"/>
      <c r="L205" s="634"/>
      <c r="M205" s="634"/>
      <c r="S205" s="536"/>
      <c r="T205" s="635"/>
    </row>
    <row r="206" spans="1:68" s="298" customFormat="1" ht="25.5">
      <c r="A206" s="256" t="s">
        <v>3261</v>
      </c>
      <c r="B206" s="288">
        <v>10997</v>
      </c>
      <c r="C206" s="289" t="s">
        <v>6208</v>
      </c>
      <c r="D206" s="290" t="s">
        <v>207</v>
      </c>
      <c r="E206" s="290" t="s">
        <v>3244</v>
      </c>
      <c r="F206" s="383">
        <v>1.8E-3</v>
      </c>
      <c r="G206" s="292" t="s">
        <v>14318</v>
      </c>
      <c r="H206" s="255">
        <v>0.03</v>
      </c>
      <c r="J206" s="634"/>
      <c r="K206" s="634"/>
      <c r="L206" s="634"/>
      <c r="M206" s="634"/>
      <c r="S206" s="536"/>
      <c r="T206" s="635"/>
    </row>
    <row r="207" spans="1:68" s="298" customFormat="1" ht="25.5">
      <c r="A207" s="256" t="s">
        <v>3259</v>
      </c>
      <c r="B207" s="288">
        <v>88240</v>
      </c>
      <c r="C207" s="289" t="s">
        <v>3045</v>
      </c>
      <c r="D207" s="290" t="s">
        <v>9714</v>
      </c>
      <c r="E207" s="290" t="s">
        <v>206</v>
      </c>
      <c r="F207" s="383">
        <v>8.0000000000000004E-4</v>
      </c>
      <c r="G207" s="292" t="s">
        <v>14168</v>
      </c>
      <c r="H207" s="255">
        <v>0.01</v>
      </c>
      <c r="J207" s="634"/>
      <c r="K207" s="634"/>
      <c r="L207" s="634"/>
      <c r="M207" s="634"/>
      <c r="S207" s="536"/>
      <c r="T207" s="635"/>
    </row>
    <row r="208" spans="1:68" s="298" customFormat="1" ht="25.5">
      <c r="A208" s="256" t="s">
        <v>3259</v>
      </c>
      <c r="B208" s="288">
        <v>88278</v>
      </c>
      <c r="C208" s="289" t="s">
        <v>3066</v>
      </c>
      <c r="D208" s="290" t="s">
        <v>9714</v>
      </c>
      <c r="E208" s="290" t="s">
        <v>206</v>
      </c>
      <c r="F208" s="383">
        <v>2.3699999999999999E-2</v>
      </c>
      <c r="G208" s="292" t="s">
        <v>19155</v>
      </c>
      <c r="H208" s="255">
        <v>0.43</v>
      </c>
      <c r="J208" s="634"/>
      <c r="K208" s="634"/>
      <c r="L208" s="634"/>
      <c r="M208" s="634"/>
      <c r="S208" s="536"/>
      <c r="T208" s="635"/>
    </row>
    <row r="209" spans="1:68" s="298" customFormat="1" ht="25.5">
      <c r="A209" s="256" t="s">
        <v>3259</v>
      </c>
      <c r="B209" s="288">
        <v>88317</v>
      </c>
      <c r="C209" s="289" t="s">
        <v>3096</v>
      </c>
      <c r="D209" s="290" t="s">
        <v>9714</v>
      </c>
      <c r="E209" s="290" t="s">
        <v>206</v>
      </c>
      <c r="F209" s="383">
        <v>5.0000000000000001E-3</v>
      </c>
      <c r="G209" s="292" t="s">
        <v>18764</v>
      </c>
      <c r="H209" s="255">
        <v>0.12</v>
      </c>
      <c r="J209" s="634"/>
      <c r="K209" s="634"/>
      <c r="L209" s="634"/>
      <c r="M209" s="634"/>
      <c r="S209" s="536"/>
      <c r="T209" s="635"/>
    </row>
    <row r="210" spans="1:68" s="298" customFormat="1" ht="51">
      <c r="A210" s="256" t="s">
        <v>3259</v>
      </c>
      <c r="B210" s="288">
        <v>93287</v>
      </c>
      <c r="C210" s="289" t="s">
        <v>213</v>
      </c>
      <c r="D210" s="290" t="s">
        <v>8987</v>
      </c>
      <c r="E210" s="290" t="s">
        <v>212</v>
      </c>
      <c r="F210" s="383">
        <v>6.9999999999999999E-4</v>
      </c>
      <c r="G210" s="292" t="s">
        <v>21438</v>
      </c>
      <c r="H210" s="255">
        <v>0.23</v>
      </c>
      <c r="J210" s="634"/>
      <c r="K210" s="634"/>
      <c r="L210" s="634"/>
      <c r="M210" s="634"/>
      <c r="S210" s="536"/>
      <c r="T210" s="635"/>
    </row>
    <row r="211" spans="1:68" s="298" customFormat="1" ht="51">
      <c r="A211" s="256" t="s">
        <v>3259</v>
      </c>
      <c r="B211" s="288">
        <v>93288</v>
      </c>
      <c r="C211" s="289" t="s">
        <v>214</v>
      </c>
      <c r="D211" s="290" t="s">
        <v>8987</v>
      </c>
      <c r="E211" s="290" t="s">
        <v>215</v>
      </c>
      <c r="F211" s="383">
        <v>5.0000000000000001E-4</v>
      </c>
      <c r="G211" s="292" t="s">
        <v>21491</v>
      </c>
      <c r="H211" s="255">
        <v>0.04</v>
      </c>
      <c r="J211" s="634"/>
      <c r="K211" s="634"/>
      <c r="L211" s="634"/>
      <c r="M211" s="634"/>
      <c r="S211" s="536"/>
      <c r="T211" s="635"/>
    </row>
    <row r="212" spans="1:68" s="529" customFormat="1" ht="12.75">
      <c r="A212" s="286"/>
      <c r="B212" s="375" t="s">
        <v>143</v>
      </c>
      <c r="C212" s="816" t="s">
        <v>24489</v>
      </c>
      <c r="D212" s="817"/>
      <c r="E212" s="817"/>
      <c r="F212" s="817"/>
      <c r="G212" s="817"/>
      <c r="H212" s="818"/>
      <c r="I212" s="298"/>
      <c r="J212" s="634"/>
      <c r="K212" s="634"/>
      <c r="L212" s="634"/>
      <c r="M212" s="634"/>
      <c r="N212" s="298"/>
      <c r="O212" s="298"/>
      <c r="P212" s="298"/>
      <c r="Q212" s="298"/>
      <c r="R212" s="298"/>
      <c r="S212" s="536"/>
      <c r="T212" s="635"/>
      <c r="U212" s="298"/>
      <c r="V212" s="298"/>
      <c r="W212" s="298"/>
      <c r="X212" s="298"/>
      <c r="Y212" s="298"/>
      <c r="Z212" s="298"/>
      <c r="AA212" s="298"/>
      <c r="AB212" s="298"/>
      <c r="AC212" s="298"/>
      <c r="AD212" s="298"/>
      <c r="AE212" s="298"/>
      <c r="AF212" s="298"/>
      <c r="AG212" s="298"/>
      <c r="AH212" s="298"/>
      <c r="AI212" s="298"/>
      <c r="AJ212" s="298"/>
      <c r="AK212" s="298"/>
      <c r="AL212" s="298"/>
      <c r="AM212" s="298"/>
      <c r="AN212" s="298"/>
      <c r="AO212" s="298"/>
      <c r="AP212" s="298"/>
      <c r="AQ212" s="298"/>
      <c r="AR212" s="298"/>
      <c r="AS212" s="298"/>
      <c r="AT212" s="298"/>
      <c r="AU212" s="298"/>
      <c r="AV212" s="298"/>
      <c r="AW212" s="298"/>
      <c r="AX212" s="298"/>
      <c r="AY212" s="298"/>
      <c r="AZ212" s="298"/>
      <c r="BA212" s="298"/>
      <c r="BB212" s="298"/>
      <c r="BC212" s="298"/>
      <c r="BD212" s="298"/>
      <c r="BE212" s="298"/>
      <c r="BF212" s="298"/>
      <c r="BG212" s="298"/>
      <c r="BH212" s="298"/>
      <c r="BI212" s="298"/>
      <c r="BJ212" s="298"/>
      <c r="BK212" s="298"/>
      <c r="BL212" s="298"/>
      <c r="BM212" s="298"/>
      <c r="BN212" s="298"/>
      <c r="BO212" s="298"/>
      <c r="BP212" s="298"/>
    </row>
    <row r="213" spans="1:68" s="529" customFormat="1" ht="12.75">
      <c r="A213" s="286"/>
      <c r="B213" s="373"/>
      <c r="C213" s="733"/>
      <c r="D213" s="733"/>
      <c r="E213" s="733"/>
      <c r="F213" s="733"/>
      <c r="G213" s="733"/>
      <c r="H213" s="734"/>
      <c r="I213" s="298"/>
      <c r="J213" s="634"/>
      <c r="K213" s="634"/>
      <c r="L213" s="634"/>
      <c r="M213" s="634"/>
      <c r="N213" s="298"/>
      <c r="O213" s="298"/>
      <c r="P213" s="298"/>
      <c r="Q213" s="298"/>
      <c r="R213" s="298"/>
      <c r="S213" s="536"/>
      <c r="T213" s="635"/>
      <c r="U213" s="298"/>
      <c r="V213" s="298"/>
      <c r="W213" s="298"/>
      <c r="X213" s="298"/>
      <c r="Y213" s="298"/>
      <c r="Z213" s="298"/>
      <c r="AA213" s="298"/>
      <c r="AB213" s="298"/>
      <c r="AC213" s="298"/>
      <c r="AD213" s="298"/>
      <c r="AE213" s="298"/>
      <c r="AF213" s="298"/>
      <c r="AG213" s="298"/>
      <c r="AH213" s="298"/>
      <c r="AI213" s="298"/>
      <c r="AJ213" s="298"/>
      <c r="AK213" s="298"/>
      <c r="AL213" s="298"/>
      <c r="AM213" s="298"/>
      <c r="AN213" s="298"/>
      <c r="AO213" s="298"/>
      <c r="AP213" s="298"/>
      <c r="AQ213" s="298"/>
      <c r="AR213" s="298"/>
      <c r="AS213" s="298"/>
      <c r="AT213" s="298"/>
      <c r="AU213" s="298"/>
      <c r="AV213" s="298"/>
      <c r="AW213" s="298"/>
      <c r="AX213" s="298"/>
      <c r="AY213" s="298"/>
      <c r="AZ213" s="298"/>
      <c r="BA213" s="298"/>
      <c r="BB213" s="298"/>
      <c r="BC213" s="298"/>
      <c r="BD213" s="298"/>
      <c r="BE213" s="298"/>
      <c r="BF213" s="298"/>
      <c r="BG213" s="298"/>
      <c r="BH213" s="298"/>
      <c r="BI213" s="298"/>
      <c r="BJ213" s="298"/>
      <c r="BK213" s="298"/>
      <c r="BL213" s="298"/>
      <c r="BM213" s="298"/>
      <c r="BN213" s="298"/>
      <c r="BO213" s="298"/>
      <c r="BP213" s="298"/>
    </row>
    <row r="214" spans="1:68" s="644" customFormat="1" ht="51">
      <c r="A214" s="555"/>
      <c r="B214" s="372" t="s">
        <v>15220</v>
      </c>
      <c r="C214" s="231" t="s">
        <v>24491</v>
      </c>
      <c r="D214" s="232" t="s">
        <v>103</v>
      </c>
      <c r="E214" s="232" t="s">
        <v>3244</v>
      </c>
      <c r="F214" s="233"/>
      <c r="G214" s="234"/>
      <c r="H214" s="235">
        <v>11.96</v>
      </c>
      <c r="I214" s="298"/>
      <c r="J214" s="634"/>
      <c r="K214" s="634"/>
      <c r="L214" s="634"/>
      <c r="M214" s="634"/>
      <c r="N214" s="298"/>
      <c r="O214" s="298"/>
      <c r="P214" s="298"/>
      <c r="Q214" s="298"/>
      <c r="R214" s="298"/>
      <c r="S214" s="536"/>
      <c r="T214" s="635"/>
      <c r="U214" s="298"/>
      <c r="V214" s="298"/>
      <c r="W214" s="298"/>
      <c r="X214" s="298"/>
      <c r="Y214" s="298"/>
      <c r="Z214" s="298"/>
      <c r="AA214" s="298"/>
      <c r="AB214" s="298"/>
      <c r="AC214" s="298"/>
      <c r="AD214" s="298"/>
      <c r="AE214" s="298"/>
      <c r="AF214" s="298"/>
      <c r="AG214" s="298"/>
      <c r="AH214" s="298"/>
      <c r="AI214" s="298"/>
      <c r="AJ214" s="298"/>
      <c r="AK214" s="298"/>
      <c r="AL214" s="298"/>
      <c r="AM214" s="298"/>
      <c r="AN214" s="298"/>
      <c r="AO214" s="298"/>
      <c r="AP214" s="298"/>
      <c r="AQ214" s="298"/>
      <c r="AR214" s="298"/>
      <c r="AS214" s="298"/>
      <c r="AT214" s="298"/>
      <c r="AU214" s="298"/>
      <c r="AV214" s="298"/>
      <c r="AW214" s="298"/>
      <c r="AX214" s="298"/>
      <c r="AY214" s="298"/>
      <c r="AZ214" s="298"/>
      <c r="BA214" s="298"/>
      <c r="BB214" s="298"/>
      <c r="BC214" s="298"/>
      <c r="BD214" s="298"/>
      <c r="BE214" s="298"/>
      <c r="BF214" s="298"/>
      <c r="BG214" s="298"/>
      <c r="BH214" s="298"/>
      <c r="BI214" s="298"/>
      <c r="BJ214" s="298"/>
      <c r="BK214" s="298"/>
      <c r="BL214" s="298"/>
      <c r="BM214" s="298"/>
      <c r="BN214" s="298"/>
      <c r="BO214" s="298"/>
      <c r="BP214" s="298"/>
    </row>
    <row r="215" spans="1:68" s="298" customFormat="1" ht="25.5">
      <c r="A215" s="256" t="s">
        <v>3261</v>
      </c>
      <c r="B215" s="288">
        <v>43692</v>
      </c>
      <c r="C215" s="289" t="s">
        <v>9552</v>
      </c>
      <c r="D215" s="290" t="s">
        <v>207</v>
      </c>
      <c r="E215" s="290" t="s">
        <v>3244</v>
      </c>
      <c r="F215" s="383">
        <v>1</v>
      </c>
      <c r="G215" s="292" t="s">
        <v>11240</v>
      </c>
      <c r="H215" s="255">
        <v>11.1</v>
      </c>
      <c r="J215" s="634"/>
      <c r="K215" s="634"/>
      <c r="L215" s="634"/>
      <c r="M215" s="634"/>
      <c r="S215" s="536"/>
      <c r="T215" s="635"/>
    </row>
    <row r="216" spans="1:68" s="298" customFormat="1" ht="25.5">
      <c r="A216" s="256" t="s">
        <v>3261</v>
      </c>
      <c r="B216" s="288">
        <v>10997</v>
      </c>
      <c r="C216" s="289" t="s">
        <v>6208</v>
      </c>
      <c r="D216" s="290" t="s">
        <v>207</v>
      </c>
      <c r="E216" s="290" t="s">
        <v>3244</v>
      </c>
      <c r="F216" s="383">
        <v>1.8E-3</v>
      </c>
      <c r="G216" s="292" t="s">
        <v>14318</v>
      </c>
      <c r="H216" s="255">
        <v>0.03</v>
      </c>
      <c r="J216" s="634"/>
      <c r="K216" s="634"/>
      <c r="L216" s="634"/>
      <c r="M216" s="634"/>
      <c r="S216" s="536"/>
      <c r="T216" s="635"/>
    </row>
    <row r="217" spans="1:68" s="298" customFormat="1" ht="25.5">
      <c r="A217" s="256" t="s">
        <v>3259</v>
      </c>
      <c r="B217" s="288">
        <v>88240</v>
      </c>
      <c r="C217" s="289" t="s">
        <v>3045</v>
      </c>
      <c r="D217" s="290" t="s">
        <v>9714</v>
      </c>
      <c r="E217" s="290" t="s">
        <v>206</v>
      </c>
      <c r="F217" s="383">
        <v>8.0000000000000004E-4</v>
      </c>
      <c r="G217" s="292" t="s">
        <v>14168</v>
      </c>
      <c r="H217" s="255">
        <v>0.01</v>
      </c>
      <c r="J217" s="634"/>
      <c r="K217" s="634"/>
      <c r="L217" s="634"/>
      <c r="M217" s="634"/>
      <c r="S217" s="536"/>
      <c r="T217" s="635"/>
    </row>
    <row r="218" spans="1:68" s="298" customFormat="1" ht="25.5">
      <c r="A218" s="256" t="s">
        <v>3259</v>
      </c>
      <c r="B218" s="288">
        <v>88278</v>
      </c>
      <c r="C218" s="289" t="s">
        <v>3066</v>
      </c>
      <c r="D218" s="290" t="s">
        <v>9714</v>
      </c>
      <c r="E218" s="290" t="s">
        <v>206</v>
      </c>
      <c r="F218" s="383">
        <v>2.3699999999999999E-2</v>
      </c>
      <c r="G218" s="292" t="s">
        <v>19155</v>
      </c>
      <c r="H218" s="255">
        <v>0.43</v>
      </c>
      <c r="J218" s="634"/>
      <c r="K218" s="634"/>
      <c r="L218" s="634"/>
      <c r="M218" s="634"/>
      <c r="S218" s="536"/>
      <c r="T218" s="635"/>
    </row>
    <row r="219" spans="1:68" s="298" customFormat="1" ht="25.5">
      <c r="A219" s="256" t="s">
        <v>3259</v>
      </c>
      <c r="B219" s="288">
        <v>88317</v>
      </c>
      <c r="C219" s="289" t="s">
        <v>3096</v>
      </c>
      <c r="D219" s="290" t="s">
        <v>9714</v>
      </c>
      <c r="E219" s="290" t="s">
        <v>206</v>
      </c>
      <c r="F219" s="383">
        <v>5.0000000000000001E-3</v>
      </c>
      <c r="G219" s="292" t="s">
        <v>18764</v>
      </c>
      <c r="H219" s="255">
        <v>0.12</v>
      </c>
      <c r="J219" s="634"/>
      <c r="K219" s="634"/>
      <c r="L219" s="634"/>
      <c r="M219" s="634"/>
      <c r="S219" s="536"/>
      <c r="T219" s="635"/>
    </row>
    <row r="220" spans="1:68" s="298" customFormat="1" ht="51">
      <c r="A220" s="256" t="s">
        <v>3259</v>
      </c>
      <c r="B220" s="288">
        <v>93287</v>
      </c>
      <c r="C220" s="289" t="s">
        <v>213</v>
      </c>
      <c r="D220" s="290" t="s">
        <v>8987</v>
      </c>
      <c r="E220" s="290" t="s">
        <v>212</v>
      </c>
      <c r="F220" s="383">
        <v>6.9999999999999999E-4</v>
      </c>
      <c r="G220" s="292" t="s">
        <v>21438</v>
      </c>
      <c r="H220" s="255">
        <v>0.23</v>
      </c>
      <c r="J220" s="634"/>
      <c r="K220" s="634"/>
      <c r="L220" s="634"/>
      <c r="M220" s="634"/>
      <c r="S220" s="536"/>
      <c r="T220" s="635"/>
    </row>
    <row r="221" spans="1:68" s="298" customFormat="1" ht="51">
      <c r="A221" s="256" t="s">
        <v>3259</v>
      </c>
      <c r="B221" s="288">
        <v>93288</v>
      </c>
      <c r="C221" s="289" t="s">
        <v>214</v>
      </c>
      <c r="D221" s="290" t="s">
        <v>8987</v>
      </c>
      <c r="E221" s="290" t="s">
        <v>215</v>
      </c>
      <c r="F221" s="383">
        <v>5.0000000000000001E-4</v>
      </c>
      <c r="G221" s="292" t="s">
        <v>21491</v>
      </c>
      <c r="H221" s="255">
        <v>0.04</v>
      </c>
      <c r="J221" s="634"/>
      <c r="K221" s="634"/>
      <c r="L221" s="634"/>
      <c r="M221" s="634"/>
      <c r="S221" s="536"/>
      <c r="T221" s="635"/>
    </row>
    <row r="222" spans="1:68" s="529" customFormat="1" ht="12.75">
      <c r="A222" s="286"/>
      <c r="B222" s="375" t="s">
        <v>143</v>
      </c>
      <c r="C222" s="816" t="s">
        <v>24489</v>
      </c>
      <c r="D222" s="817"/>
      <c r="E222" s="817"/>
      <c r="F222" s="817"/>
      <c r="G222" s="817"/>
      <c r="H222" s="818"/>
      <c r="I222" s="298"/>
      <c r="J222" s="634"/>
      <c r="K222" s="634"/>
      <c r="L222" s="634"/>
      <c r="M222" s="634"/>
      <c r="N222" s="298"/>
      <c r="O222" s="298"/>
      <c r="P222" s="298"/>
      <c r="Q222" s="298"/>
      <c r="R222" s="298"/>
      <c r="S222" s="536"/>
      <c r="T222" s="635"/>
      <c r="U222" s="298"/>
      <c r="V222" s="298"/>
      <c r="W222" s="298"/>
      <c r="X222" s="298"/>
      <c r="Y222" s="298"/>
      <c r="Z222" s="298"/>
      <c r="AA222" s="298"/>
      <c r="AB222" s="298"/>
      <c r="AC222" s="298"/>
      <c r="AD222" s="298"/>
      <c r="AE222" s="298"/>
      <c r="AF222" s="298"/>
      <c r="AG222" s="298"/>
      <c r="AH222" s="298"/>
      <c r="AI222" s="298"/>
      <c r="AJ222" s="298"/>
      <c r="AK222" s="298"/>
      <c r="AL222" s="298"/>
      <c r="AM222" s="298"/>
      <c r="AN222" s="298"/>
      <c r="AO222" s="298"/>
      <c r="AP222" s="298"/>
      <c r="AQ222" s="298"/>
      <c r="AR222" s="298"/>
      <c r="AS222" s="298"/>
      <c r="AT222" s="298"/>
      <c r="AU222" s="298"/>
      <c r="AV222" s="298"/>
      <c r="AW222" s="298"/>
      <c r="AX222" s="298"/>
      <c r="AY222" s="298"/>
      <c r="AZ222" s="298"/>
      <c r="BA222" s="298"/>
      <c r="BB222" s="298"/>
      <c r="BC222" s="298"/>
      <c r="BD222" s="298"/>
      <c r="BE222" s="298"/>
      <c r="BF222" s="298"/>
      <c r="BG222" s="298"/>
      <c r="BH222" s="298"/>
      <c r="BI222" s="298"/>
      <c r="BJ222" s="298"/>
      <c r="BK222" s="298"/>
      <c r="BL222" s="298"/>
      <c r="BM222" s="298"/>
      <c r="BN222" s="298"/>
      <c r="BO222" s="298"/>
      <c r="BP222" s="298"/>
    </row>
    <row r="223" spans="1:68" s="529" customFormat="1" ht="12.75">
      <c r="A223" s="286"/>
      <c r="B223" s="373"/>
      <c r="C223" s="733"/>
      <c r="D223" s="733"/>
      <c r="E223" s="733"/>
      <c r="F223" s="733"/>
      <c r="G223" s="733"/>
      <c r="H223" s="734"/>
      <c r="I223" s="298"/>
      <c r="J223" s="634"/>
      <c r="K223" s="634"/>
      <c r="L223" s="634"/>
      <c r="M223" s="634"/>
      <c r="N223" s="298"/>
      <c r="O223" s="298"/>
      <c r="P223" s="298"/>
      <c r="Q223" s="298"/>
      <c r="R223" s="298"/>
      <c r="S223" s="536"/>
      <c r="T223" s="635"/>
      <c r="U223" s="298"/>
      <c r="V223" s="298"/>
      <c r="W223" s="298"/>
      <c r="X223" s="298"/>
      <c r="Y223" s="298"/>
      <c r="Z223" s="298"/>
      <c r="AA223" s="298"/>
      <c r="AB223" s="298"/>
      <c r="AC223" s="298"/>
      <c r="AD223" s="298"/>
      <c r="AE223" s="298"/>
      <c r="AF223" s="298"/>
      <c r="AG223" s="298"/>
      <c r="AH223" s="298"/>
      <c r="AI223" s="298"/>
      <c r="AJ223" s="298"/>
      <c r="AK223" s="298"/>
      <c r="AL223" s="298"/>
      <c r="AM223" s="298"/>
      <c r="AN223" s="298"/>
      <c r="AO223" s="298"/>
      <c r="AP223" s="298"/>
      <c r="AQ223" s="298"/>
      <c r="AR223" s="298"/>
      <c r="AS223" s="298"/>
      <c r="AT223" s="298"/>
      <c r="AU223" s="298"/>
      <c r="AV223" s="298"/>
      <c r="AW223" s="298"/>
      <c r="AX223" s="298"/>
      <c r="AY223" s="298"/>
      <c r="AZ223" s="298"/>
      <c r="BA223" s="298"/>
      <c r="BB223" s="298"/>
      <c r="BC223" s="298"/>
      <c r="BD223" s="298"/>
      <c r="BE223" s="298"/>
      <c r="BF223" s="298"/>
      <c r="BG223" s="298"/>
      <c r="BH223" s="298"/>
      <c r="BI223" s="298"/>
      <c r="BJ223" s="298"/>
      <c r="BK223" s="298"/>
      <c r="BL223" s="298"/>
      <c r="BM223" s="298"/>
      <c r="BN223" s="298"/>
      <c r="BO223" s="298"/>
      <c r="BP223" s="298"/>
    </row>
    <row r="224" spans="1:68" s="644" customFormat="1" ht="51">
      <c r="A224" s="555"/>
      <c r="B224" s="372" t="s">
        <v>15221</v>
      </c>
      <c r="C224" s="231" t="s">
        <v>24752</v>
      </c>
      <c r="D224" s="232" t="s">
        <v>103</v>
      </c>
      <c r="E224" s="232" t="s">
        <v>3244</v>
      </c>
      <c r="F224" s="233"/>
      <c r="G224" s="234"/>
      <c r="H224" s="235">
        <v>11.96</v>
      </c>
      <c r="I224" s="298"/>
      <c r="J224" s="634"/>
      <c r="K224" s="634"/>
      <c r="L224" s="634"/>
      <c r="M224" s="634"/>
      <c r="N224" s="298"/>
      <c r="O224" s="298"/>
      <c r="P224" s="298"/>
      <c r="Q224" s="298"/>
      <c r="R224" s="298"/>
      <c r="S224" s="536"/>
      <c r="T224" s="635"/>
      <c r="U224" s="298"/>
      <c r="V224" s="298"/>
      <c r="W224" s="298"/>
      <c r="X224" s="298"/>
      <c r="Y224" s="298"/>
      <c r="Z224" s="298"/>
      <c r="AA224" s="298"/>
      <c r="AB224" s="298"/>
      <c r="AC224" s="298"/>
      <c r="AD224" s="298"/>
      <c r="AE224" s="298"/>
      <c r="AF224" s="298"/>
      <c r="AG224" s="298"/>
      <c r="AH224" s="298"/>
      <c r="AI224" s="298"/>
      <c r="AJ224" s="298"/>
      <c r="AK224" s="298"/>
      <c r="AL224" s="298"/>
      <c r="AM224" s="298"/>
      <c r="AN224" s="298"/>
      <c r="AO224" s="298"/>
      <c r="AP224" s="298"/>
      <c r="AQ224" s="298"/>
      <c r="AR224" s="298"/>
      <c r="AS224" s="298"/>
      <c r="AT224" s="298"/>
      <c r="AU224" s="298"/>
      <c r="AV224" s="298"/>
      <c r="AW224" s="298"/>
      <c r="AX224" s="298"/>
      <c r="AY224" s="298"/>
      <c r="AZ224" s="298"/>
      <c r="BA224" s="298"/>
      <c r="BB224" s="298"/>
      <c r="BC224" s="298"/>
      <c r="BD224" s="298"/>
      <c r="BE224" s="298"/>
      <c r="BF224" s="298"/>
      <c r="BG224" s="298"/>
      <c r="BH224" s="298"/>
      <c r="BI224" s="298"/>
      <c r="BJ224" s="298"/>
      <c r="BK224" s="298"/>
      <c r="BL224" s="298"/>
      <c r="BM224" s="298"/>
      <c r="BN224" s="298"/>
      <c r="BO224" s="298"/>
      <c r="BP224" s="298"/>
    </row>
    <row r="225" spans="1:68" s="298" customFormat="1" ht="25.5">
      <c r="A225" s="256" t="s">
        <v>3261</v>
      </c>
      <c r="B225" s="288">
        <v>43692</v>
      </c>
      <c r="C225" s="289" t="s">
        <v>9552</v>
      </c>
      <c r="D225" s="290" t="s">
        <v>207</v>
      </c>
      <c r="E225" s="290" t="s">
        <v>3244</v>
      </c>
      <c r="F225" s="383">
        <v>1</v>
      </c>
      <c r="G225" s="292" t="s">
        <v>11240</v>
      </c>
      <c r="H225" s="255">
        <v>11.1</v>
      </c>
      <c r="J225" s="634"/>
      <c r="K225" s="634"/>
      <c r="L225" s="634"/>
      <c r="M225" s="634"/>
      <c r="S225" s="536"/>
      <c r="T225" s="635"/>
    </row>
    <row r="226" spans="1:68" s="298" customFormat="1" ht="25.5">
      <c r="A226" s="256" t="s">
        <v>3261</v>
      </c>
      <c r="B226" s="288">
        <v>10997</v>
      </c>
      <c r="C226" s="289" t="s">
        <v>6208</v>
      </c>
      <c r="D226" s="290" t="s">
        <v>207</v>
      </c>
      <c r="E226" s="290" t="s">
        <v>3244</v>
      </c>
      <c r="F226" s="383">
        <v>1.8E-3</v>
      </c>
      <c r="G226" s="292" t="s">
        <v>14318</v>
      </c>
      <c r="H226" s="255">
        <v>0.03</v>
      </c>
      <c r="J226" s="634"/>
      <c r="K226" s="634"/>
      <c r="L226" s="634"/>
      <c r="M226" s="634"/>
      <c r="S226" s="536"/>
      <c r="T226" s="635"/>
    </row>
    <row r="227" spans="1:68" s="298" customFormat="1" ht="25.5">
      <c r="A227" s="256" t="s">
        <v>3259</v>
      </c>
      <c r="B227" s="288">
        <v>88240</v>
      </c>
      <c r="C227" s="289" t="s">
        <v>3045</v>
      </c>
      <c r="D227" s="290" t="s">
        <v>9714</v>
      </c>
      <c r="E227" s="290" t="s">
        <v>206</v>
      </c>
      <c r="F227" s="383">
        <v>8.0000000000000004E-4</v>
      </c>
      <c r="G227" s="292" t="s">
        <v>14168</v>
      </c>
      <c r="H227" s="255">
        <v>0.01</v>
      </c>
      <c r="J227" s="634"/>
      <c r="K227" s="634"/>
      <c r="L227" s="634"/>
      <c r="M227" s="634"/>
      <c r="S227" s="536"/>
      <c r="T227" s="635"/>
    </row>
    <row r="228" spans="1:68" s="298" customFormat="1" ht="25.5">
      <c r="A228" s="256" t="s">
        <v>3259</v>
      </c>
      <c r="B228" s="288">
        <v>88278</v>
      </c>
      <c r="C228" s="289" t="s">
        <v>3066</v>
      </c>
      <c r="D228" s="290" t="s">
        <v>9714</v>
      </c>
      <c r="E228" s="290" t="s">
        <v>206</v>
      </c>
      <c r="F228" s="383">
        <v>2.3699999999999999E-2</v>
      </c>
      <c r="G228" s="292" t="s">
        <v>19155</v>
      </c>
      <c r="H228" s="255">
        <v>0.43</v>
      </c>
      <c r="J228" s="634"/>
      <c r="K228" s="634"/>
      <c r="L228" s="634"/>
      <c r="M228" s="634"/>
      <c r="S228" s="536"/>
      <c r="T228" s="635"/>
    </row>
    <row r="229" spans="1:68" s="298" customFormat="1" ht="25.5">
      <c r="A229" s="256" t="s">
        <v>3259</v>
      </c>
      <c r="B229" s="288">
        <v>88317</v>
      </c>
      <c r="C229" s="289" t="s">
        <v>3096</v>
      </c>
      <c r="D229" s="290" t="s">
        <v>9714</v>
      </c>
      <c r="E229" s="290" t="s">
        <v>206</v>
      </c>
      <c r="F229" s="383">
        <v>5.0000000000000001E-3</v>
      </c>
      <c r="G229" s="292" t="s">
        <v>18764</v>
      </c>
      <c r="H229" s="255">
        <v>0.12</v>
      </c>
      <c r="J229" s="634"/>
      <c r="K229" s="634"/>
      <c r="L229" s="634"/>
      <c r="M229" s="634"/>
      <c r="S229" s="536"/>
      <c r="T229" s="635"/>
    </row>
    <row r="230" spans="1:68" s="298" customFormat="1" ht="51">
      <c r="A230" s="256" t="s">
        <v>3259</v>
      </c>
      <c r="B230" s="288">
        <v>93287</v>
      </c>
      <c r="C230" s="289" t="s">
        <v>213</v>
      </c>
      <c r="D230" s="290" t="s">
        <v>8987</v>
      </c>
      <c r="E230" s="290" t="s">
        <v>212</v>
      </c>
      <c r="F230" s="383">
        <v>6.9999999999999999E-4</v>
      </c>
      <c r="G230" s="292" t="s">
        <v>21438</v>
      </c>
      <c r="H230" s="255">
        <v>0.23</v>
      </c>
      <c r="J230" s="634"/>
      <c r="K230" s="634"/>
      <c r="L230" s="634"/>
      <c r="M230" s="634"/>
      <c r="S230" s="536"/>
      <c r="T230" s="635"/>
    </row>
    <row r="231" spans="1:68" s="298" customFormat="1" ht="51">
      <c r="A231" s="256" t="s">
        <v>3259</v>
      </c>
      <c r="B231" s="288">
        <v>93288</v>
      </c>
      <c r="C231" s="289" t="s">
        <v>214</v>
      </c>
      <c r="D231" s="290" t="s">
        <v>8987</v>
      </c>
      <c r="E231" s="290" t="s">
        <v>215</v>
      </c>
      <c r="F231" s="383">
        <v>5.0000000000000001E-4</v>
      </c>
      <c r="G231" s="292" t="s">
        <v>21491</v>
      </c>
      <c r="H231" s="255">
        <v>0.04</v>
      </c>
      <c r="J231" s="634"/>
      <c r="K231" s="634"/>
      <c r="L231" s="634"/>
      <c r="M231" s="634"/>
      <c r="S231" s="536"/>
      <c r="T231" s="635"/>
    </row>
    <row r="232" spans="1:68" s="529" customFormat="1" ht="12.75">
      <c r="A232" s="286"/>
      <c r="B232" s="375" t="s">
        <v>143</v>
      </c>
      <c r="C232" s="816" t="s">
        <v>24489</v>
      </c>
      <c r="D232" s="817"/>
      <c r="E232" s="817"/>
      <c r="F232" s="817"/>
      <c r="G232" s="817"/>
      <c r="H232" s="818"/>
      <c r="I232" s="298"/>
      <c r="J232" s="634"/>
      <c r="K232" s="634"/>
      <c r="L232" s="634"/>
      <c r="M232" s="634"/>
      <c r="N232" s="298"/>
      <c r="O232" s="298"/>
      <c r="P232" s="298"/>
      <c r="Q232" s="298"/>
      <c r="R232" s="298"/>
      <c r="S232" s="536"/>
      <c r="T232" s="635"/>
      <c r="U232" s="298"/>
      <c r="V232" s="298"/>
      <c r="W232" s="298"/>
      <c r="X232" s="298"/>
      <c r="Y232" s="298"/>
      <c r="Z232" s="298"/>
      <c r="AA232" s="298"/>
      <c r="AB232" s="298"/>
      <c r="AC232" s="298"/>
      <c r="AD232" s="298"/>
      <c r="AE232" s="298"/>
      <c r="AF232" s="298"/>
      <c r="AG232" s="298"/>
      <c r="AH232" s="298"/>
      <c r="AI232" s="298"/>
      <c r="AJ232" s="298"/>
      <c r="AK232" s="298"/>
      <c r="AL232" s="298"/>
      <c r="AM232" s="298"/>
      <c r="AN232" s="298"/>
      <c r="AO232" s="298"/>
      <c r="AP232" s="298"/>
      <c r="AQ232" s="298"/>
      <c r="AR232" s="298"/>
      <c r="AS232" s="298"/>
      <c r="AT232" s="298"/>
      <c r="AU232" s="298"/>
      <c r="AV232" s="298"/>
      <c r="AW232" s="298"/>
      <c r="AX232" s="298"/>
      <c r="AY232" s="298"/>
      <c r="AZ232" s="298"/>
      <c r="BA232" s="298"/>
      <c r="BB232" s="298"/>
      <c r="BC232" s="298"/>
      <c r="BD232" s="298"/>
      <c r="BE232" s="298"/>
      <c r="BF232" s="298"/>
      <c r="BG232" s="298"/>
      <c r="BH232" s="298"/>
      <c r="BI232" s="298"/>
      <c r="BJ232" s="298"/>
      <c r="BK232" s="298"/>
      <c r="BL232" s="298"/>
      <c r="BM232" s="298"/>
      <c r="BN232" s="298"/>
      <c r="BO232" s="298"/>
      <c r="BP232" s="298"/>
    </row>
    <row r="233" spans="1:68" s="529" customFormat="1" ht="12.75">
      <c r="A233" s="286"/>
      <c r="B233" s="373"/>
      <c r="C233" s="733"/>
      <c r="D233" s="733"/>
      <c r="E233" s="733"/>
      <c r="F233" s="733"/>
      <c r="G233" s="733"/>
      <c r="H233" s="734"/>
      <c r="I233" s="298"/>
      <c r="J233" s="634"/>
      <c r="K233" s="634"/>
      <c r="L233" s="634"/>
      <c r="M233" s="634"/>
      <c r="N233" s="298"/>
      <c r="O233" s="298"/>
      <c r="P233" s="298"/>
      <c r="Q233" s="298"/>
      <c r="R233" s="298"/>
      <c r="S233" s="536"/>
      <c r="T233" s="635"/>
      <c r="U233" s="298"/>
      <c r="V233" s="298"/>
      <c r="W233" s="298"/>
      <c r="X233" s="298"/>
      <c r="Y233" s="298"/>
      <c r="Z233" s="298"/>
      <c r="AA233" s="298"/>
      <c r="AB233" s="298"/>
      <c r="AC233" s="298"/>
      <c r="AD233" s="298"/>
      <c r="AE233" s="298"/>
      <c r="AF233" s="298"/>
      <c r="AG233" s="298"/>
      <c r="AH233" s="298"/>
      <c r="AI233" s="298"/>
      <c r="AJ233" s="298"/>
      <c r="AK233" s="298"/>
      <c r="AL233" s="298"/>
      <c r="AM233" s="298"/>
      <c r="AN233" s="298"/>
      <c r="AO233" s="298"/>
      <c r="AP233" s="298"/>
      <c r="AQ233" s="298"/>
      <c r="AR233" s="298"/>
      <c r="AS233" s="298"/>
      <c r="AT233" s="298"/>
      <c r="AU233" s="298"/>
      <c r="AV233" s="298"/>
      <c r="AW233" s="298"/>
      <c r="AX233" s="298"/>
      <c r="AY233" s="298"/>
      <c r="AZ233" s="298"/>
      <c r="BA233" s="298"/>
      <c r="BB233" s="298"/>
      <c r="BC233" s="298"/>
      <c r="BD233" s="298"/>
      <c r="BE233" s="298"/>
      <c r="BF233" s="298"/>
      <c r="BG233" s="298"/>
      <c r="BH233" s="298"/>
      <c r="BI233" s="298"/>
      <c r="BJ233" s="298"/>
      <c r="BK233" s="298"/>
      <c r="BL233" s="298"/>
      <c r="BM233" s="298"/>
      <c r="BN233" s="298"/>
      <c r="BO233" s="298"/>
      <c r="BP233" s="298"/>
    </row>
    <row r="234" spans="1:68" s="644" customFormat="1" ht="51">
      <c r="A234" s="555"/>
      <c r="B234" s="372" t="s">
        <v>17853</v>
      </c>
      <c r="C234" s="231" t="s">
        <v>24492</v>
      </c>
      <c r="D234" s="232" t="s">
        <v>103</v>
      </c>
      <c r="E234" s="232" t="s">
        <v>3244</v>
      </c>
      <c r="F234" s="233"/>
      <c r="G234" s="234"/>
      <c r="H234" s="235">
        <v>10.62</v>
      </c>
      <c r="I234" s="298"/>
      <c r="J234" s="634"/>
      <c r="K234" s="634"/>
      <c r="L234" s="634"/>
      <c r="M234" s="634"/>
      <c r="N234" s="298"/>
      <c r="O234" s="298"/>
      <c r="P234" s="298"/>
      <c r="Q234" s="298"/>
      <c r="R234" s="298"/>
      <c r="S234" s="536"/>
      <c r="T234" s="635"/>
      <c r="U234" s="298"/>
      <c r="V234" s="298"/>
      <c r="W234" s="298"/>
      <c r="X234" s="298"/>
      <c r="Y234" s="298"/>
      <c r="Z234" s="298"/>
      <c r="AA234" s="298"/>
      <c r="AB234" s="298"/>
      <c r="AC234" s="298"/>
      <c r="AD234" s="298"/>
      <c r="AE234" s="298"/>
      <c r="AF234" s="298"/>
      <c r="AG234" s="298"/>
      <c r="AH234" s="298"/>
      <c r="AI234" s="298"/>
      <c r="AJ234" s="298"/>
      <c r="AK234" s="298"/>
      <c r="AL234" s="298"/>
      <c r="AM234" s="298"/>
      <c r="AN234" s="298"/>
      <c r="AO234" s="298"/>
      <c r="AP234" s="298"/>
      <c r="AQ234" s="298"/>
      <c r="AR234" s="298"/>
      <c r="AS234" s="298"/>
      <c r="AT234" s="298"/>
      <c r="AU234" s="298"/>
      <c r="AV234" s="298"/>
      <c r="AW234" s="298"/>
      <c r="AX234" s="298"/>
      <c r="AY234" s="298"/>
      <c r="AZ234" s="298"/>
      <c r="BA234" s="298"/>
      <c r="BB234" s="298"/>
      <c r="BC234" s="298"/>
      <c r="BD234" s="298"/>
      <c r="BE234" s="298"/>
      <c r="BF234" s="298"/>
      <c r="BG234" s="298"/>
      <c r="BH234" s="298"/>
      <c r="BI234" s="298"/>
      <c r="BJ234" s="298"/>
      <c r="BK234" s="298"/>
      <c r="BL234" s="298"/>
      <c r="BM234" s="298"/>
      <c r="BN234" s="298"/>
      <c r="BO234" s="298"/>
      <c r="BP234" s="298"/>
    </row>
    <row r="235" spans="1:68" s="298" customFormat="1" ht="25.5">
      <c r="A235" s="256" t="s">
        <v>3261</v>
      </c>
      <c r="B235" s="288">
        <v>4777</v>
      </c>
      <c r="C235" s="289" t="s">
        <v>5372</v>
      </c>
      <c r="D235" s="290" t="s">
        <v>207</v>
      </c>
      <c r="E235" s="290" t="s">
        <v>3244</v>
      </c>
      <c r="F235" s="383">
        <v>1</v>
      </c>
      <c r="G235" s="292" t="s">
        <v>10513</v>
      </c>
      <c r="H235" s="255">
        <v>9.76</v>
      </c>
      <c r="J235" s="634"/>
      <c r="K235" s="634"/>
      <c r="L235" s="634"/>
      <c r="M235" s="634"/>
      <c r="S235" s="536"/>
      <c r="T235" s="635"/>
    </row>
    <row r="236" spans="1:68" s="298" customFormat="1" ht="25.5">
      <c r="A236" s="256" t="s">
        <v>3261</v>
      </c>
      <c r="B236" s="288">
        <v>10997</v>
      </c>
      <c r="C236" s="289" t="s">
        <v>6208</v>
      </c>
      <c r="D236" s="290" t="s">
        <v>207</v>
      </c>
      <c r="E236" s="290" t="s">
        <v>3244</v>
      </c>
      <c r="F236" s="383">
        <v>1.8E-3</v>
      </c>
      <c r="G236" s="292" t="s">
        <v>14318</v>
      </c>
      <c r="H236" s="255">
        <v>0.03</v>
      </c>
      <c r="J236" s="634"/>
      <c r="K236" s="634"/>
      <c r="L236" s="634"/>
      <c r="M236" s="634"/>
      <c r="S236" s="536"/>
      <c r="T236" s="635"/>
    </row>
    <row r="237" spans="1:68" s="298" customFormat="1" ht="25.5">
      <c r="A237" s="256" t="s">
        <v>3259</v>
      </c>
      <c r="B237" s="288">
        <v>88240</v>
      </c>
      <c r="C237" s="289" t="s">
        <v>3045</v>
      </c>
      <c r="D237" s="290" t="s">
        <v>9714</v>
      </c>
      <c r="E237" s="290" t="s">
        <v>206</v>
      </c>
      <c r="F237" s="383">
        <v>8.0000000000000004E-4</v>
      </c>
      <c r="G237" s="292" t="s">
        <v>14168</v>
      </c>
      <c r="H237" s="255">
        <v>0.01</v>
      </c>
      <c r="J237" s="634"/>
      <c r="K237" s="634"/>
      <c r="L237" s="634"/>
      <c r="M237" s="634"/>
      <c r="S237" s="536"/>
      <c r="T237" s="635"/>
    </row>
    <row r="238" spans="1:68" s="298" customFormat="1" ht="25.5">
      <c r="A238" s="256" t="s">
        <v>3259</v>
      </c>
      <c r="B238" s="288">
        <v>88278</v>
      </c>
      <c r="C238" s="289" t="s">
        <v>3066</v>
      </c>
      <c r="D238" s="290" t="s">
        <v>9714</v>
      </c>
      <c r="E238" s="290" t="s">
        <v>206</v>
      </c>
      <c r="F238" s="383">
        <v>2.3699999999999999E-2</v>
      </c>
      <c r="G238" s="292" t="s">
        <v>19155</v>
      </c>
      <c r="H238" s="255">
        <v>0.43</v>
      </c>
      <c r="J238" s="634"/>
      <c r="K238" s="634"/>
      <c r="L238" s="634"/>
      <c r="M238" s="634"/>
      <c r="S238" s="536"/>
      <c r="T238" s="635"/>
    </row>
    <row r="239" spans="1:68" s="298" customFormat="1" ht="25.5">
      <c r="A239" s="256" t="s">
        <v>3259</v>
      </c>
      <c r="B239" s="288">
        <v>88317</v>
      </c>
      <c r="C239" s="289" t="s">
        <v>3096</v>
      </c>
      <c r="D239" s="290" t="s">
        <v>9714</v>
      </c>
      <c r="E239" s="290" t="s">
        <v>206</v>
      </c>
      <c r="F239" s="383">
        <v>5.0000000000000001E-3</v>
      </c>
      <c r="G239" s="292" t="s">
        <v>18764</v>
      </c>
      <c r="H239" s="255">
        <v>0.12</v>
      </c>
      <c r="J239" s="634"/>
      <c r="K239" s="634"/>
      <c r="L239" s="634"/>
      <c r="M239" s="634"/>
      <c r="S239" s="536"/>
      <c r="T239" s="635"/>
    </row>
    <row r="240" spans="1:68" s="298" customFormat="1" ht="51">
      <c r="A240" s="256" t="s">
        <v>3259</v>
      </c>
      <c r="B240" s="288">
        <v>93287</v>
      </c>
      <c r="C240" s="289" t="s">
        <v>213</v>
      </c>
      <c r="D240" s="290" t="s">
        <v>8987</v>
      </c>
      <c r="E240" s="290" t="s">
        <v>212</v>
      </c>
      <c r="F240" s="383">
        <v>6.9999999999999999E-4</v>
      </c>
      <c r="G240" s="292" t="s">
        <v>21438</v>
      </c>
      <c r="H240" s="255">
        <v>0.23</v>
      </c>
      <c r="J240" s="634"/>
      <c r="K240" s="634"/>
      <c r="L240" s="634"/>
      <c r="M240" s="634"/>
      <c r="S240" s="536"/>
      <c r="T240" s="635"/>
    </row>
    <row r="241" spans="1:68" s="298" customFormat="1" ht="51">
      <c r="A241" s="256" t="s">
        <v>3259</v>
      </c>
      <c r="B241" s="288">
        <v>93288</v>
      </c>
      <c r="C241" s="289" t="s">
        <v>214</v>
      </c>
      <c r="D241" s="290" t="s">
        <v>8987</v>
      </c>
      <c r="E241" s="290" t="s">
        <v>215</v>
      </c>
      <c r="F241" s="383">
        <v>5.0000000000000001E-4</v>
      </c>
      <c r="G241" s="292" t="s">
        <v>21491</v>
      </c>
      <c r="H241" s="255">
        <v>0.04</v>
      </c>
      <c r="J241" s="634"/>
      <c r="K241" s="634"/>
      <c r="L241" s="634"/>
      <c r="M241" s="634"/>
      <c r="S241" s="536"/>
      <c r="T241" s="635"/>
    </row>
    <row r="242" spans="1:68" s="529" customFormat="1" ht="12.75">
      <c r="A242" s="286"/>
      <c r="B242" s="375" t="s">
        <v>143</v>
      </c>
      <c r="C242" s="816" t="s">
        <v>24489</v>
      </c>
      <c r="D242" s="817"/>
      <c r="E242" s="817"/>
      <c r="F242" s="817"/>
      <c r="G242" s="817"/>
      <c r="H242" s="818"/>
      <c r="I242" s="298"/>
      <c r="J242" s="634"/>
      <c r="K242" s="634"/>
      <c r="L242" s="634"/>
      <c r="M242" s="634"/>
      <c r="N242" s="298"/>
      <c r="O242" s="298"/>
      <c r="P242" s="298"/>
      <c r="Q242" s="298"/>
      <c r="R242" s="298"/>
      <c r="S242" s="536"/>
      <c r="T242" s="635"/>
      <c r="U242" s="298"/>
      <c r="V242" s="298"/>
      <c r="W242" s="298"/>
      <c r="X242" s="298"/>
      <c r="Y242" s="298"/>
      <c r="Z242" s="298"/>
      <c r="AA242" s="298"/>
      <c r="AB242" s="298"/>
      <c r="AC242" s="298"/>
      <c r="AD242" s="298"/>
      <c r="AE242" s="298"/>
      <c r="AF242" s="298"/>
      <c r="AG242" s="298"/>
      <c r="AH242" s="298"/>
      <c r="AI242" s="298"/>
      <c r="AJ242" s="298"/>
      <c r="AK242" s="298"/>
      <c r="AL242" s="298"/>
      <c r="AM242" s="298"/>
      <c r="AN242" s="298"/>
      <c r="AO242" s="298"/>
      <c r="AP242" s="298"/>
      <c r="AQ242" s="298"/>
      <c r="AR242" s="298"/>
      <c r="AS242" s="298"/>
      <c r="AT242" s="298"/>
      <c r="AU242" s="298"/>
      <c r="AV242" s="298"/>
      <c r="AW242" s="298"/>
      <c r="AX242" s="298"/>
      <c r="AY242" s="298"/>
      <c r="AZ242" s="298"/>
      <c r="BA242" s="298"/>
      <c r="BB242" s="298"/>
      <c r="BC242" s="298"/>
      <c r="BD242" s="298"/>
      <c r="BE242" s="298"/>
      <c r="BF242" s="298"/>
      <c r="BG242" s="298"/>
      <c r="BH242" s="298"/>
      <c r="BI242" s="298"/>
      <c r="BJ242" s="298"/>
      <c r="BK242" s="298"/>
      <c r="BL242" s="298"/>
      <c r="BM242" s="298"/>
      <c r="BN242" s="298"/>
      <c r="BO242" s="298"/>
      <c r="BP242" s="298"/>
    </row>
    <row r="243" spans="1:68" s="529" customFormat="1" ht="12.75">
      <c r="A243" s="286"/>
      <c r="B243" s="373"/>
      <c r="C243" s="733"/>
      <c r="D243" s="733"/>
      <c r="E243" s="733"/>
      <c r="F243" s="733"/>
      <c r="G243" s="733"/>
      <c r="H243" s="734"/>
      <c r="I243" s="298"/>
      <c r="J243" s="634"/>
      <c r="K243" s="634"/>
      <c r="L243" s="634"/>
      <c r="M243" s="634"/>
      <c r="N243" s="298"/>
      <c r="O243" s="298"/>
      <c r="P243" s="298"/>
      <c r="Q243" s="298"/>
      <c r="R243" s="298"/>
      <c r="S243" s="536"/>
      <c r="T243" s="635"/>
      <c r="U243" s="298"/>
      <c r="V243" s="298"/>
      <c r="W243" s="298"/>
      <c r="X243" s="298"/>
      <c r="Y243" s="298"/>
      <c r="Z243" s="298"/>
      <c r="AA243" s="298"/>
      <c r="AB243" s="298"/>
      <c r="AC243" s="298"/>
      <c r="AD243" s="298"/>
      <c r="AE243" s="298"/>
      <c r="AF243" s="298"/>
      <c r="AG243" s="298"/>
      <c r="AH243" s="298"/>
      <c r="AI243" s="298"/>
      <c r="AJ243" s="298"/>
      <c r="AK243" s="298"/>
      <c r="AL243" s="298"/>
      <c r="AM243" s="298"/>
      <c r="AN243" s="298"/>
      <c r="AO243" s="298"/>
      <c r="AP243" s="298"/>
      <c r="AQ243" s="298"/>
      <c r="AR243" s="298"/>
      <c r="AS243" s="298"/>
      <c r="AT243" s="298"/>
      <c r="AU243" s="298"/>
      <c r="AV243" s="298"/>
      <c r="AW243" s="298"/>
      <c r="AX243" s="298"/>
      <c r="AY243" s="298"/>
      <c r="AZ243" s="298"/>
      <c r="BA243" s="298"/>
      <c r="BB243" s="298"/>
      <c r="BC243" s="298"/>
      <c r="BD243" s="298"/>
      <c r="BE243" s="298"/>
      <c r="BF243" s="298"/>
      <c r="BG243" s="298"/>
      <c r="BH243" s="298"/>
      <c r="BI243" s="298"/>
      <c r="BJ243" s="298"/>
      <c r="BK243" s="298"/>
      <c r="BL243" s="298"/>
      <c r="BM243" s="298"/>
      <c r="BN243" s="298"/>
      <c r="BO243" s="298"/>
      <c r="BP243" s="298"/>
    </row>
    <row r="244" spans="1:68" s="644" customFormat="1" ht="51">
      <c r="A244" s="555"/>
      <c r="B244" s="372" t="s">
        <v>17854</v>
      </c>
      <c r="C244" s="231" t="s">
        <v>24493</v>
      </c>
      <c r="D244" s="232" t="s">
        <v>103</v>
      </c>
      <c r="E244" s="232" t="s">
        <v>3244</v>
      </c>
      <c r="F244" s="233"/>
      <c r="G244" s="234"/>
      <c r="H244" s="235">
        <v>10.62</v>
      </c>
      <c r="I244" s="298"/>
      <c r="J244" s="634"/>
      <c r="K244" s="634"/>
      <c r="L244" s="634"/>
      <c r="M244" s="634"/>
      <c r="N244" s="298"/>
      <c r="O244" s="298"/>
      <c r="P244" s="298"/>
      <c r="Q244" s="298"/>
      <c r="R244" s="298"/>
      <c r="S244" s="536"/>
      <c r="T244" s="635"/>
      <c r="U244" s="298"/>
      <c r="V244" s="298"/>
      <c r="W244" s="298"/>
      <c r="X244" s="298"/>
      <c r="Y244" s="298"/>
      <c r="Z244" s="298"/>
      <c r="AA244" s="298"/>
      <c r="AB244" s="298"/>
      <c r="AC244" s="298"/>
      <c r="AD244" s="298"/>
      <c r="AE244" s="298"/>
      <c r="AF244" s="298"/>
      <c r="AG244" s="298"/>
      <c r="AH244" s="298"/>
      <c r="AI244" s="298"/>
      <c r="AJ244" s="298"/>
      <c r="AK244" s="298"/>
      <c r="AL244" s="298"/>
      <c r="AM244" s="298"/>
      <c r="AN244" s="298"/>
      <c r="AO244" s="298"/>
      <c r="AP244" s="298"/>
      <c r="AQ244" s="298"/>
      <c r="AR244" s="298"/>
      <c r="AS244" s="298"/>
      <c r="AT244" s="298"/>
      <c r="AU244" s="298"/>
      <c r="AV244" s="298"/>
      <c r="AW244" s="298"/>
      <c r="AX244" s="298"/>
      <c r="AY244" s="298"/>
      <c r="AZ244" s="298"/>
      <c r="BA244" s="298"/>
      <c r="BB244" s="298"/>
      <c r="BC244" s="298"/>
      <c r="BD244" s="298"/>
      <c r="BE244" s="298"/>
      <c r="BF244" s="298"/>
      <c r="BG244" s="298"/>
      <c r="BH244" s="298"/>
      <c r="BI244" s="298"/>
      <c r="BJ244" s="298"/>
      <c r="BK244" s="298"/>
      <c r="BL244" s="298"/>
      <c r="BM244" s="298"/>
      <c r="BN244" s="298"/>
      <c r="BO244" s="298"/>
      <c r="BP244" s="298"/>
    </row>
    <row r="245" spans="1:68" s="298" customFormat="1" ht="25.5">
      <c r="A245" s="256" t="s">
        <v>3261</v>
      </c>
      <c r="B245" s="288">
        <v>4777</v>
      </c>
      <c r="C245" s="289" t="s">
        <v>5372</v>
      </c>
      <c r="D245" s="290" t="s">
        <v>207</v>
      </c>
      <c r="E245" s="290" t="s">
        <v>3244</v>
      </c>
      <c r="F245" s="383">
        <v>1</v>
      </c>
      <c r="G245" s="292" t="s">
        <v>10513</v>
      </c>
      <c r="H245" s="255">
        <v>9.76</v>
      </c>
      <c r="J245" s="634"/>
      <c r="K245" s="634"/>
      <c r="L245" s="634"/>
      <c r="M245" s="634"/>
      <c r="S245" s="536"/>
      <c r="T245" s="635"/>
    </row>
    <row r="246" spans="1:68" s="298" customFormat="1" ht="25.5">
      <c r="A246" s="256" t="s">
        <v>3261</v>
      </c>
      <c r="B246" s="288">
        <v>10997</v>
      </c>
      <c r="C246" s="289" t="s">
        <v>6208</v>
      </c>
      <c r="D246" s="290" t="s">
        <v>207</v>
      </c>
      <c r="E246" s="290" t="s">
        <v>3244</v>
      </c>
      <c r="F246" s="383">
        <v>1.8E-3</v>
      </c>
      <c r="G246" s="292" t="s">
        <v>14318</v>
      </c>
      <c r="H246" s="255">
        <v>0.03</v>
      </c>
      <c r="J246" s="634"/>
      <c r="K246" s="634"/>
      <c r="L246" s="634"/>
      <c r="M246" s="634"/>
      <c r="S246" s="536"/>
      <c r="T246" s="635"/>
    </row>
    <row r="247" spans="1:68" s="298" customFormat="1" ht="25.5">
      <c r="A247" s="256" t="s">
        <v>3259</v>
      </c>
      <c r="B247" s="288">
        <v>88240</v>
      </c>
      <c r="C247" s="289" t="s">
        <v>3045</v>
      </c>
      <c r="D247" s="290" t="s">
        <v>9714</v>
      </c>
      <c r="E247" s="290" t="s">
        <v>206</v>
      </c>
      <c r="F247" s="383">
        <v>8.0000000000000004E-4</v>
      </c>
      <c r="G247" s="292" t="s">
        <v>14168</v>
      </c>
      <c r="H247" s="255">
        <v>0.01</v>
      </c>
      <c r="J247" s="634"/>
      <c r="K247" s="634"/>
      <c r="L247" s="634"/>
      <c r="M247" s="634"/>
      <c r="S247" s="536"/>
      <c r="T247" s="635"/>
    </row>
    <row r="248" spans="1:68" s="298" customFormat="1" ht="25.5">
      <c r="A248" s="256" t="s">
        <v>3259</v>
      </c>
      <c r="B248" s="288">
        <v>88278</v>
      </c>
      <c r="C248" s="289" t="s">
        <v>3066</v>
      </c>
      <c r="D248" s="290" t="s">
        <v>9714</v>
      </c>
      <c r="E248" s="290" t="s">
        <v>206</v>
      </c>
      <c r="F248" s="383">
        <v>2.3699999999999999E-2</v>
      </c>
      <c r="G248" s="292" t="s">
        <v>19155</v>
      </c>
      <c r="H248" s="255">
        <v>0.43</v>
      </c>
      <c r="J248" s="634"/>
      <c r="K248" s="634"/>
      <c r="L248" s="634"/>
      <c r="M248" s="634"/>
      <c r="S248" s="536"/>
      <c r="T248" s="635"/>
    </row>
    <row r="249" spans="1:68" s="298" customFormat="1" ht="25.5">
      <c r="A249" s="256" t="s">
        <v>3259</v>
      </c>
      <c r="B249" s="288">
        <v>88317</v>
      </c>
      <c r="C249" s="289" t="s">
        <v>3096</v>
      </c>
      <c r="D249" s="290" t="s">
        <v>9714</v>
      </c>
      <c r="E249" s="290" t="s">
        <v>206</v>
      </c>
      <c r="F249" s="383">
        <v>5.0000000000000001E-3</v>
      </c>
      <c r="G249" s="292" t="s">
        <v>18764</v>
      </c>
      <c r="H249" s="255">
        <v>0.12</v>
      </c>
      <c r="J249" s="634"/>
      <c r="K249" s="634"/>
      <c r="L249" s="634"/>
      <c r="M249" s="634"/>
      <c r="S249" s="536"/>
      <c r="T249" s="635"/>
    </row>
    <row r="250" spans="1:68" s="298" customFormat="1" ht="51">
      <c r="A250" s="256" t="s">
        <v>3259</v>
      </c>
      <c r="B250" s="288">
        <v>93287</v>
      </c>
      <c r="C250" s="289" t="s">
        <v>213</v>
      </c>
      <c r="D250" s="290" t="s">
        <v>8987</v>
      </c>
      <c r="E250" s="290" t="s">
        <v>212</v>
      </c>
      <c r="F250" s="383">
        <v>6.9999999999999999E-4</v>
      </c>
      <c r="G250" s="292" t="s">
        <v>21438</v>
      </c>
      <c r="H250" s="255">
        <v>0.23</v>
      </c>
      <c r="J250" s="634"/>
      <c r="K250" s="634"/>
      <c r="L250" s="634"/>
      <c r="M250" s="634"/>
      <c r="S250" s="536"/>
      <c r="T250" s="635"/>
    </row>
    <row r="251" spans="1:68" s="298" customFormat="1" ht="51">
      <c r="A251" s="256" t="s">
        <v>3259</v>
      </c>
      <c r="B251" s="288">
        <v>93288</v>
      </c>
      <c r="C251" s="289" t="s">
        <v>214</v>
      </c>
      <c r="D251" s="290" t="s">
        <v>8987</v>
      </c>
      <c r="E251" s="290" t="s">
        <v>215</v>
      </c>
      <c r="F251" s="383">
        <v>5.0000000000000001E-4</v>
      </c>
      <c r="G251" s="292" t="s">
        <v>21491</v>
      </c>
      <c r="H251" s="255">
        <v>0.04</v>
      </c>
      <c r="J251" s="634"/>
      <c r="K251" s="634"/>
      <c r="L251" s="634"/>
      <c r="M251" s="634"/>
      <c r="S251" s="536"/>
      <c r="T251" s="635"/>
    </row>
    <row r="252" spans="1:68" s="529" customFormat="1" ht="12.75">
      <c r="A252" s="286"/>
      <c r="B252" s="375" t="s">
        <v>143</v>
      </c>
      <c r="C252" s="816" t="s">
        <v>24489</v>
      </c>
      <c r="D252" s="817"/>
      <c r="E252" s="817"/>
      <c r="F252" s="817"/>
      <c r="G252" s="817"/>
      <c r="H252" s="818"/>
      <c r="I252" s="298"/>
      <c r="J252" s="634"/>
      <c r="K252" s="634"/>
      <c r="L252" s="634"/>
      <c r="M252" s="634"/>
      <c r="N252" s="298"/>
      <c r="O252" s="298"/>
      <c r="P252" s="298"/>
      <c r="Q252" s="298"/>
      <c r="R252" s="298"/>
      <c r="S252" s="536"/>
      <c r="T252" s="635"/>
      <c r="U252" s="298"/>
      <c r="V252" s="298"/>
      <c r="W252" s="298"/>
      <c r="X252" s="298"/>
      <c r="Y252" s="298"/>
      <c r="Z252" s="298"/>
      <c r="AA252" s="298"/>
      <c r="AB252" s="298"/>
      <c r="AC252" s="298"/>
      <c r="AD252" s="298"/>
      <c r="AE252" s="298"/>
      <c r="AF252" s="298"/>
      <c r="AG252" s="298"/>
      <c r="AH252" s="298"/>
      <c r="AI252" s="298"/>
      <c r="AJ252" s="298"/>
      <c r="AK252" s="298"/>
      <c r="AL252" s="298"/>
      <c r="AM252" s="298"/>
      <c r="AN252" s="298"/>
      <c r="AO252" s="298"/>
      <c r="AP252" s="298"/>
      <c r="AQ252" s="298"/>
      <c r="AR252" s="298"/>
      <c r="AS252" s="298"/>
      <c r="AT252" s="298"/>
      <c r="AU252" s="298"/>
      <c r="AV252" s="298"/>
      <c r="AW252" s="298"/>
      <c r="AX252" s="298"/>
      <c r="AY252" s="298"/>
      <c r="AZ252" s="298"/>
      <c r="BA252" s="298"/>
      <c r="BB252" s="298"/>
      <c r="BC252" s="298"/>
      <c r="BD252" s="298"/>
      <c r="BE252" s="298"/>
      <c r="BF252" s="298"/>
      <c r="BG252" s="298"/>
      <c r="BH252" s="298"/>
      <c r="BI252" s="298"/>
      <c r="BJ252" s="298"/>
      <c r="BK252" s="298"/>
      <c r="BL252" s="298"/>
      <c r="BM252" s="298"/>
      <c r="BN252" s="298"/>
      <c r="BO252" s="298"/>
      <c r="BP252" s="298"/>
    </row>
    <row r="253" spans="1:68" s="529" customFormat="1" ht="12.75">
      <c r="A253" s="286"/>
      <c r="B253" s="373"/>
      <c r="C253" s="733"/>
      <c r="D253" s="733"/>
      <c r="E253" s="733"/>
      <c r="F253" s="733"/>
      <c r="G253" s="733"/>
      <c r="H253" s="734"/>
      <c r="I253" s="298"/>
      <c r="J253" s="634"/>
      <c r="K253" s="634"/>
      <c r="L253" s="634"/>
      <c r="M253" s="634"/>
      <c r="N253" s="298"/>
      <c r="O253" s="298"/>
      <c r="P253" s="298"/>
      <c r="Q253" s="298"/>
      <c r="R253" s="298"/>
      <c r="S253" s="536"/>
      <c r="T253" s="635"/>
      <c r="U253" s="298"/>
      <c r="V253" s="298"/>
      <c r="W253" s="298"/>
      <c r="X253" s="298"/>
      <c r="Y253" s="298"/>
      <c r="Z253" s="298"/>
      <c r="AA253" s="298"/>
      <c r="AB253" s="298"/>
      <c r="AC253" s="298"/>
      <c r="AD253" s="298"/>
      <c r="AE253" s="298"/>
      <c r="AF253" s="298"/>
      <c r="AG253" s="298"/>
      <c r="AH253" s="298"/>
      <c r="AI253" s="298"/>
      <c r="AJ253" s="298"/>
      <c r="AK253" s="298"/>
      <c r="AL253" s="298"/>
      <c r="AM253" s="298"/>
      <c r="AN253" s="298"/>
      <c r="AO253" s="298"/>
      <c r="AP253" s="298"/>
      <c r="AQ253" s="298"/>
      <c r="AR253" s="298"/>
      <c r="AS253" s="298"/>
      <c r="AT253" s="298"/>
      <c r="AU253" s="298"/>
      <c r="AV253" s="298"/>
      <c r="AW253" s="298"/>
      <c r="AX253" s="298"/>
      <c r="AY253" s="298"/>
      <c r="AZ253" s="298"/>
      <c r="BA253" s="298"/>
      <c r="BB253" s="298"/>
      <c r="BC253" s="298"/>
      <c r="BD253" s="298"/>
      <c r="BE253" s="298"/>
      <c r="BF253" s="298"/>
      <c r="BG253" s="298"/>
      <c r="BH253" s="298"/>
      <c r="BI253" s="298"/>
      <c r="BJ253" s="298"/>
      <c r="BK253" s="298"/>
      <c r="BL253" s="298"/>
      <c r="BM253" s="298"/>
      <c r="BN253" s="298"/>
      <c r="BO253" s="298"/>
      <c r="BP253" s="298"/>
    </row>
    <row r="254" spans="1:68" s="644" customFormat="1" ht="51">
      <c r="A254" s="555"/>
      <c r="B254" s="372" t="s">
        <v>17855</v>
      </c>
      <c r="C254" s="231" t="s">
        <v>24494</v>
      </c>
      <c r="D254" s="232" t="s">
        <v>103</v>
      </c>
      <c r="E254" s="232" t="s">
        <v>3244</v>
      </c>
      <c r="F254" s="233"/>
      <c r="G254" s="234"/>
      <c r="H254" s="235">
        <v>11.96</v>
      </c>
      <c r="I254" s="298"/>
      <c r="J254" s="634"/>
      <c r="K254" s="634"/>
      <c r="L254" s="634"/>
      <c r="M254" s="634"/>
      <c r="N254" s="298"/>
      <c r="O254" s="298"/>
      <c r="P254" s="298"/>
      <c r="Q254" s="298"/>
      <c r="R254" s="298"/>
      <c r="S254" s="536"/>
      <c r="T254" s="635"/>
      <c r="U254" s="298"/>
      <c r="V254" s="298"/>
      <c r="W254" s="298"/>
      <c r="X254" s="298"/>
      <c r="Y254" s="298"/>
      <c r="Z254" s="298"/>
      <c r="AA254" s="298"/>
      <c r="AB254" s="298"/>
      <c r="AC254" s="298"/>
      <c r="AD254" s="298"/>
      <c r="AE254" s="298"/>
      <c r="AF254" s="298"/>
      <c r="AG254" s="298"/>
      <c r="AH254" s="298"/>
      <c r="AI254" s="298"/>
      <c r="AJ254" s="298"/>
      <c r="AK254" s="298"/>
      <c r="AL254" s="298"/>
      <c r="AM254" s="298"/>
      <c r="AN254" s="298"/>
      <c r="AO254" s="298"/>
      <c r="AP254" s="298"/>
      <c r="AQ254" s="298"/>
      <c r="AR254" s="298"/>
      <c r="AS254" s="298"/>
      <c r="AT254" s="298"/>
      <c r="AU254" s="298"/>
      <c r="AV254" s="298"/>
      <c r="AW254" s="298"/>
      <c r="AX254" s="298"/>
      <c r="AY254" s="298"/>
      <c r="AZ254" s="298"/>
      <c r="BA254" s="298"/>
      <c r="BB254" s="298"/>
      <c r="BC254" s="298"/>
      <c r="BD254" s="298"/>
      <c r="BE254" s="298"/>
      <c r="BF254" s="298"/>
      <c r="BG254" s="298"/>
      <c r="BH254" s="298"/>
      <c r="BI254" s="298"/>
      <c r="BJ254" s="298"/>
      <c r="BK254" s="298"/>
      <c r="BL254" s="298"/>
      <c r="BM254" s="298"/>
      <c r="BN254" s="298"/>
      <c r="BO254" s="298"/>
      <c r="BP254" s="298"/>
    </row>
    <row r="255" spans="1:68" s="298" customFormat="1" ht="25.5">
      <c r="A255" s="256" t="s">
        <v>3261</v>
      </c>
      <c r="B255" s="288">
        <v>43692</v>
      </c>
      <c r="C255" s="289" t="s">
        <v>9552</v>
      </c>
      <c r="D255" s="290" t="s">
        <v>207</v>
      </c>
      <c r="E255" s="290" t="s">
        <v>3244</v>
      </c>
      <c r="F255" s="383">
        <v>1</v>
      </c>
      <c r="G255" s="292" t="s">
        <v>11240</v>
      </c>
      <c r="H255" s="255">
        <v>11.1</v>
      </c>
      <c r="J255" s="634"/>
      <c r="K255" s="634"/>
      <c r="L255" s="634"/>
      <c r="M255" s="634"/>
      <c r="S255" s="536"/>
      <c r="T255" s="635"/>
    </row>
    <row r="256" spans="1:68" s="298" customFormat="1" ht="25.5">
      <c r="A256" s="256" t="s">
        <v>3261</v>
      </c>
      <c r="B256" s="288">
        <v>10997</v>
      </c>
      <c r="C256" s="289" t="s">
        <v>6208</v>
      </c>
      <c r="D256" s="290" t="s">
        <v>207</v>
      </c>
      <c r="E256" s="290" t="s">
        <v>3244</v>
      </c>
      <c r="F256" s="383">
        <v>1.8E-3</v>
      </c>
      <c r="G256" s="292" t="s">
        <v>14318</v>
      </c>
      <c r="H256" s="255">
        <v>0.03</v>
      </c>
      <c r="J256" s="634"/>
      <c r="K256" s="634"/>
      <c r="L256" s="634"/>
      <c r="M256" s="634"/>
      <c r="S256" s="536"/>
      <c r="T256" s="635"/>
    </row>
    <row r="257" spans="1:68" s="298" customFormat="1" ht="25.5">
      <c r="A257" s="256" t="s">
        <v>3259</v>
      </c>
      <c r="B257" s="288">
        <v>88240</v>
      </c>
      <c r="C257" s="289" t="s">
        <v>3045</v>
      </c>
      <c r="D257" s="290" t="s">
        <v>9714</v>
      </c>
      <c r="E257" s="290" t="s">
        <v>206</v>
      </c>
      <c r="F257" s="383">
        <v>8.0000000000000004E-4</v>
      </c>
      <c r="G257" s="292" t="s">
        <v>14168</v>
      </c>
      <c r="H257" s="255">
        <v>0.01</v>
      </c>
      <c r="J257" s="634"/>
      <c r="K257" s="634"/>
      <c r="L257" s="634"/>
      <c r="M257" s="634"/>
      <c r="S257" s="536"/>
      <c r="T257" s="635"/>
    </row>
    <row r="258" spans="1:68" s="298" customFormat="1" ht="25.5">
      <c r="A258" s="256" t="s">
        <v>3259</v>
      </c>
      <c r="B258" s="288">
        <v>88278</v>
      </c>
      <c r="C258" s="289" t="s">
        <v>3066</v>
      </c>
      <c r="D258" s="290" t="s">
        <v>9714</v>
      </c>
      <c r="E258" s="290" t="s">
        <v>206</v>
      </c>
      <c r="F258" s="383">
        <v>2.3699999999999999E-2</v>
      </c>
      <c r="G258" s="292" t="s">
        <v>19155</v>
      </c>
      <c r="H258" s="255">
        <v>0.43</v>
      </c>
      <c r="J258" s="634"/>
      <c r="K258" s="634"/>
      <c r="L258" s="634"/>
      <c r="M258" s="634"/>
      <c r="S258" s="536"/>
      <c r="T258" s="635"/>
    </row>
    <row r="259" spans="1:68" s="298" customFormat="1" ht="25.5">
      <c r="A259" s="256" t="s">
        <v>3259</v>
      </c>
      <c r="B259" s="288">
        <v>88317</v>
      </c>
      <c r="C259" s="289" t="s">
        <v>3096</v>
      </c>
      <c r="D259" s="290" t="s">
        <v>9714</v>
      </c>
      <c r="E259" s="290" t="s">
        <v>206</v>
      </c>
      <c r="F259" s="383">
        <v>5.0000000000000001E-3</v>
      </c>
      <c r="G259" s="292" t="s">
        <v>18764</v>
      </c>
      <c r="H259" s="255">
        <v>0.12</v>
      </c>
      <c r="J259" s="634"/>
      <c r="K259" s="634"/>
      <c r="L259" s="634"/>
      <c r="M259" s="634"/>
      <c r="S259" s="536"/>
      <c r="T259" s="635"/>
    </row>
    <row r="260" spans="1:68" s="298" customFormat="1" ht="51">
      <c r="A260" s="256" t="s">
        <v>3259</v>
      </c>
      <c r="B260" s="288">
        <v>93287</v>
      </c>
      <c r="C260" s="289" t="s">
        <v>213</v>
      </c>
      <c r="D260" s="290" t="s">
        <v>8987</v>
      </c>
      <c r="E260" s="290" t="s">
        <v>212</v>
      </c>
      <c r="F260" s="383">
        <v>6.9999999999999999E-4</v>
      </c>
      <c r="G260" s="292" t="s">
        <v>21438</v>
      </c>
      <c r="H260" s="255">
        <v>0.23</v>
      </c>
      <c r="J260" s="634"/>
      <c r="K260" s="634"/>
      <c r="L260" s="634"/>
      <c r="M260" s="634"/>
      <c r="S260" s="536"/>
      <c r="T260" s="635"/>
    </row>
    <row r="261" spans="1:68" s="298" customFormat="1" ht="51">
      <c r="A261" s="256" t="s">
        <v>3259</v>
      </c>
      <c r="B261" s="288">
        <v>93288</v>
      </c>
      <c r="C261" s="289" t="s">
        <v>214</v>
      </c>
      <c r="D261" s="290" t="s">
        <v>8987</v>
      </c>
      <c r="E261" s="290" t="s">
        <v>215</v>
      </c>
      <c r="F261" s="383">
        <v>5.0000000000000001E-4</v>
      </c>
      <c r="G261" s="292" t="s">
        <v>21491</v>
      </c>
      <c r="H261" s="255">
        <v>0.04</v>
      </c>
      <c r="J261" s="634"/>
      <c r="K261" s="634"/>
      <c r="L261" s="634"/>
      <c r="M261" s="634"/>
      <c r="S261" s="536"/>
      <c r="T261" s="635"/>
    </row>
    <row r="262" spans="1:68" s="529" customFormat="1" ht="12.75">
      <c r="A262" s="286"/>
      <c r="B262" s="375" t="s">
        <v>143</v>
      </c>
      <c r="C262" s="816" t="s">
        <v>24489</v>
      </c>
      <c r="D262" s="817"/>
      <c r="E262" s="817"/>
      <c r="F262" s="817"/>
      <c r="G262" s="817"/>
      <c r="H262" s="818"/>
      <c r="I262" s="298"/>
      <c r="J262" s="634"/>
      <c r="K262" s="634"/>
      <c r="L262" s="634"/>
      <c r="M262" s="634"/>
      <c r="N262" s="298"/>
      <c r="O262" s="298"/>
      <c r="P262" s="298"/>
      <c r="Q262" s="298"/>
      <c r="R262" s="298"/>
      <c r="S262" s="536"/>
      <c r="T262" s="635"/>
      <c r="U262" s="298"/>
      <c r="V262" s="298"/>
      <c r="W262" s="298"/>
      <c r="X262" s="298"/>
      <c r="Y262" s="298"/>
      <c r="Z262" s="298"/>
      <c r="AA262" s="298"/>
      <c r="AB262" s="298"/>
      <c r="AC262" s="298"/>
      <c r="AD262" s="298"/>
      <c r="AE262" s="298"/>
      <c r="AF262" s="298"/>
      <c r="AG262" s="298"/>
      <c r="AH262" s="298"/>
      <c r="AI262" s="298"/>
      <c r="AJ262" s="298"/>
      <c r="AK262" s="298"/>
      <c r="AL262" s="298"/>
      <c r="AM262" s="298"/>
      <c r="AN262" s="298"/>
      <c r="AO262" s="298"/>
      <c r="AP262" s="298"/>
      <c r="AQ262" s="298"/>
      <c r="AR262" s="298"/>
      <c r="AS262" s="298"/>
      <c r="AT262" s="298"/>
      <c r="AU262" s="298"/>
      <c r="AV262" s="298"/>
      <c r="AW262" s="298"/>
      <c r="AX262" s="298"/>
      <c r="AY262" s="298"/>
      <c r="AZ262" s="298"/>
      <c r="BA262" s="298"/>
      <c r="BB262" s="298"/>
      <c r="BC262" s="298"/>
      <c r="BD262" s="298"/>
      <c r="BE262" s="298"/>
      <c r="BF262" s="298"/>
      <c r="BG262" s="298"/>
      <c r="BH262" s="298"/>
      <c r="BI262" s="298"/>
      <c r="BJ262" s="298"/>
      <c r="BK262" s="298"/>
      <c r="BL262" s="298"/>
      <c r="BM262" s="298"/>
      <c r="BN262" s="298"/>
      <c r="BO262" s="298"/>
      <c r="BP262" s="298"/>
    </row>
    <row r="263" spans="1:68" s="529" customFormat="1" ht="12.75">
      <c r="A263" s="286"/>
      <c r="B263" s="373"/>
      <c r="C263" s="733"/>
      <c r="D263" s="733"/>
      <c r="E263" s="733"/>
      <c r="F263" s="733"/>
      <c r="G263" s="733"/>
      <c r="H263" s="734"/>
      <c r="I263" s="298"/>
      <c r="J263" s="634"/>
      <c r="K263" s="634"/>
      <c r="L263" s="634"/>
      <c r="M263" s="634"/>
      <c r="N263" s="298"/>
      <c r="O263" s="298"/>
      <c r="P263" s="298"/>
      <c r="Q263" s="298"/>
      <c r="R263" s="298"/>
      <c r="S263" s="536"/>
      <c r="T263" s="635"/>
      <c r="U263" s="298"/>
      <c r="V263" s="298"/>
      <c r="W263" s="298"/>
      <c r="X263" s="298"/>
      <c r="Y263" s="298"/>
      <c r="Z263" s="298"/>
      <c r="AA263" s="298"/>
      <c r="AB263" s="298"/>
      <c r="AC263" s="298"/>
      <c r="AD263" s="298"/>
      <c r="AE263" s="298"/>
      <c r="AF263" s="298"/>
      <c r="AG263" s="298"/>
      <c r="AH263" s="298"/>
      <c r="AI263" s="298"/>
      <c r="AJ263" s="298"/>
      <c r="AK263" s="298"/>
      <c r="AL263" s="298"/>
      <c r="AM263" s="298"/>
      <c r="AN263" s="298"/>
      <c r="AO263" s="298"/>
      <c r="AP263" s="298"/>
      <c r="AQ263" s="298"/>
      <c r="AR263" s="298"/>
      <c r="AS263" s="298"/>
      <c r="AT263" s="298"/>
      <c r="AU263" s="298"/>
      <c r="AV263" s="298"/>
      <c r="AW263" s="298"/>
      <c r="AX263" s="298"/>
      <c r="AY263" s="298"/>
      <c r="AZ263" s="298"/>
      <c r="BA263" s="298"/>
      <c r="BB263" s="298"/>
      <c r="BC263" s="298"/>
      <c r="BD263" s="298"/>
      <c r="BE263" s="298"/>
      <c r="BF263" s="298"/>
      <c r="BG263" s="298"/>
      <c r="BH263" s="298"/>
      <c r="BI263" s="298"/>
      <c r="BJ263" s="298"/>
      <c r="BK263" s="298"/>
      <c r="BL263" s="298"/>
      <c r="BM263" s="298"/>
      <c r="BN263" s="298"/>
      <c r="BO263" s="298"/>
      <c r="BP263" s="298"/>
    </row>
    <row r="264" spans="1:68" s="644" customFormat="1" ht="51">
      <c r="A264" s="555"/>
      <c r="B264" s="372" t="s">
        <v>17856</v>
      </c>
      <c r="C264" s="231" t="s">
        <v>24495</v>
      </c>
      <c r="D264" s="232" t="s">
        <v>103</v>
      </c>
      <c r="E264" s="232" t="s">
        <v>3244</v>
      </c>
      <c r="F264" s="233"/>
      <c r="G264" s="234"/>
      <c r="H264" s="235">
        <v>11.96</v>
      </c>
      <c r="I264" s="298"/>
      <c r="J264" s="634"/>
      <c r="K264" s="634"/>
      <c r="L264" s="634"/>
      <c r="M264" s="634"/>
      <c r="N264" s="298"/>
      <c r="O264" s="298"/>
      <c r="P264" s="298"/>
      <c r="Q264" s="298"/>
      <c r="R264" s="298"/>
      <c r="S264" s="536"/>
      <c r="T264" s="635"/>
      <c r="U264" s="298"/>
      <c r="V264" s="298"/>
      <c r="W264" s="298"/>
      <c r="X264" s="298"/>
      <c r="Y264" s="298"/>
      <c r="Z264" s="298"/>
      <c r="AA264" s="298"/>
      <c r="AB264" s="298"/>
      <c r="AC264" s="298"/>
      <c r="AD264" s="298"/>
      <c r="AE264" s="298"/>
      <c r="AF264" s="298"/>
      <c r="AG264" s="298"/>
      <c r="AH264" s="298"/>
      <c r="AI264" s="298"/>
      <c r="AJ264" s="298"/>
      <c r="AK264" s="298"/>
      <c r="AL264" s="298"/>
      <c r="AM264" s="298"/>
      <c r="AN264" s="298"/>
      <c r="AO264" s="298"/>
      <c r="AP264" s="298"/>
      <c r="AQ264" s="298"/>
      <c r="AR264" s="298"/>
      <c r="AS264" s="298"/>
      <c r="AT264" s="298"/>
      <c r="AU264" s="298"/>
      <c r="AV264" s="298"/>
      <c r="AW264" s="298"/>
      <c r="AX264" s="298"/>
      <c r="AY264" s="298"/>
      <c r="AZ264" s="298"/>
      <c r="BA264" s="298"/>
      <c r="BB264" s="298"/>
      <c r="BC264" s="298"/>
      <c r="BD264" s="298"/>
      <c r="BE264" s="298"/>
      <c r="BF264" s="298"/>
      <c r="BG264" s="298"/>
      <c r="BH264" s="298"/>
      <c r="BI264" s="298"/>
      <c r="BJ264" s="298"/>
      <c r="BK264" s="298"/>
      <c r="BL264" s="298"/>
      <c r="BM264" s="298"/>
      <c r="BN264" s="298"/>
      <c r="BO264" s="298"/>
      <c r="BP264" s="298"/>
    </row>
    <row r="265" spans="1:68" s="298" customFormat="1" ht="25.5">
      <c r="A265" s="256" t="s">
        <v>3261</v>
      </c>
      <c r="B265" s="288">
        <v>43692</v>
      </c>
      <c r="C265" s="289" t="s">
        <v>9552</v>
      </c>
      <c r="D265" s="290" t="s">
        <v>207</v>
      </c>
      <c r="E265" s="290" t="s">
        <v>3244</v>
      </c>
      <c r="F265" s="383">
        <v>1</v>
      </c>
      <c r="G265" s="292" t="s">
        <v>11240</v>
      </c>
      <c r="H265" s="255">
        <v>11.1</v>
      </c>
      <c r="J265" s="634"/>
      <c r="K265" s="634"/>
      <c r="L265" s="634"/>
      <c r="M265" s="634"/>
      <c r="S265" s="536"/>
      <c r="T265" s="635"/>
    </row>
    <row r="266" spans="1:68" s="298" customFormat="1" ht="25.5">
      <c r="A266" s="256" t="s">
        <v>3261</v>
      </c>
      <c r="B266" s="288">
        <v>10997</v>
      </c>
      <c r="C266" s="289" t="s">
        <v>6208</v>
      </c>
      <c r="D266" s="290" t="s">
        <v>207</v>
      </c>
      <c r="E266" s="290" t="s">
        <v>3244</v>
      </c>
      <c r="F266" s="383">
        <v>1.8E-3</v>
      </c>
      <c r="G266" s="292" t="s">
        <v>14318</v>
      </c>
      <c r="H266" s="255">
        <v>0.03</v>
      </c>
      <c r="J266" s="634"/>
      <c r="K266" s="634"/>
      <c r="L266" s="634"/>
      <c r="M266" s="634"/>
      <c r="S266" s="536"/>
      <c r="T266" s="635"/>
    </row>
    <row r="267" spans="1:68" s="298" customFormat="1" ht="25.5">
      <c r="A267" s="256" t="s">
        <v>3259</v>
      </c>
      <c r="B267" s="288">
        <v>88240</v>
      </c>
      <c r="C267" s="289" t="s">
        <v>3045</v>
      </c>
      <c r="D267" s="290" t="s">
        <v>9714</v>
      </c>
      <c r="E267" s="290" t="s">
        <v>206</v>
      </c>
      <c r="F267" s="383">
        <v>8.0000000000000004E-4</v>
      </c>
      <c r="G267" s="292" t="s">
        <v>14168</v>
      </c>
      <c r="H267" s="255">
        <v>0.01</v>
      </c>
      <c r="J267" s="634"/>
      <c r="K267" s="634"/>
      <c r="L267" s="634"/>
      <c r="M267" s="634"/>
      <c r="S267" s="536"/>
      <c r="T267" s="635"/>
    </row>
    <row r="268" spans="1:68" s="298" customFormat="1" ht="25.5">
      <c r="A268" s="256" t="s">
        <v>3259</v>
      </c>
      <c r="B268" s="288">
        <v>88278</v>
      </c>
      <c r="C268" s="289" t="s">
        <v>3066</v>
      </c>
      <c r="D268" s="290" t="s">
        <v>9714</v>
      </c>
      <c r="E268" s="290" t="s">
        <v>206</v>
      </c>
      <c r="F268" s="383">
        <v>2.3699999999999999E-2</v>
      </c>
      <c r="G268" s="292" t="s">
        <v>19155</v>
      </c>
      <c r="H268" s="255">
        <v>0.43</v>
      </c>
      <c r="J268" s="634"/>
      <c r="K268" s="634"/>
      <c r="L268" s="634"/>
      <c r="M268" s="634"/>
      <c r="S268" s="536"/>
      <c r="T268" s="635"/>
    </row>
    <row r="269" spans="1:68" s="298" customFormat="1" ht="25.5">
      <c r="A269" s="256" t="s">
        <v>3259</v>
      </c>
      <c r="B269" s="288">
        <v>88317</v>
      </c>
      <c r="C269" s="289" t="s">
        <v>3096</v>
      </c>
      <c r="D269" s="290" t="s">
        <v>9714</v>
      </c>
      <c r="E269" s="290" t="s">
        <v>206</v>
      </c>
      <c r="F269" s="383">
        <v>5.0000000000000001E-3</v>
      </c>
      <c r="G269" s="292" t="s">
        <v>18764</v>
      </c>
      <c r="H269" s="255">
        <v>0.12</v>
      </c>
      <c r="J269" s="634"/>
      <c r="K269" s="634"/>
      <c r="L269" s="634"/>
      <c r="M269" s="634"/>
      <c r="S269" s="536"/>
      <c r="T269" s="635"/>
    </row>
    <row r="270" spans="1:68" s="298" customFormat="1" ht="51">
      <c r="A270" s="256" t="s">
        <v>3259</v>
      </c>
      <c r="B270" s="288">
        <v>93287</v>
      </c>
      <c r="C270" s="289" t="s">
        <v>213</v>
      </c>
      <c r="D270" s="290" t="s">
        <v>8987</v>
      </c>
      <c r="E270" s="290" t="s">
        <v>212</v>
      </c>
      <c r="F270" s="383">
        <v>6.9999999999999999E-4</v>
      </c>
      <c r="G270" s="292" t="s">
        <v>21438</v>
      </c>
      <c r="H270" s="255">
        <v>0.23</v>
      </c>
      <c r="J270" s="634"/>
      <c r="K270" s="634"/>
      <c r="L270" s="634"/>
      <c r="M270" s="634"/>
      <c r="S270" s="536"/>
      <c r="T270" s="635"/>
    </row>
    <row r="271" spans="1:68" s="298" customFormat="1" ht="51">
      <c r="A271" s="256" t="s">
        <v>3259</v>
      </c>
      <c r="B271" s="288">
        <v>93288</v>
      </c>
      <c r="C271" s="289" t="s">
        <v>214</v>
      </c>
      <c r="D271" s="290" t="s">
        <v>8987</v>
      </c>
      <c r="E271" s="290" t="s">
        <v>215</v>
      </c>
      <c r="F271" s="383">
        <v>5.0000000000000001E-4</v>
      </c>
      <c r="G271" s="292" t="s">
        <v>21491</v>
      </c>
      <c r="H271" s="255">
        <v>0.04</v>
      </c>
      <c r="J271" s="634"/>
      <c r="K271" s="634"/>
      <c r="L271" s="634"/>
      <c r="M271" s="634"/>
      <c r="S271" s="536"/>
      <c r="T271" s="635"/>
    </row>
    <row r="272" spans="1:68" s="529" customFormat="1" ht="12.75">
      <c r="A272" s="286"/>
      <c r="B272" s="375" t="s">
        <v>143</v>
      </c>
      <c r="C272" s="816" t="s">
        <v>24489</v>
      </c>
      <c r="D272" s="817"/>
      <c r="E272" s="817"/>
      <c r="F272" s="817"/>
      <c r="G272" s="817"/>
      <c r="H272" s="818"/>
      <c r="I272" s="298"/>
      <c r="J272" s="634"/>
      <c r="K272" s="634"/>
      <c r="L272" s="634"/>
      <c r="M272" s="634"/>
      <c r="N272" s="298"/>
      <c r="O272" s="298"/>
      <c r="P272" s="298"/>
      <c r="Q272" s="298"/>
      <c r="R272" s="298"/>
      <c r="S272" s="536"/>
      <c r="T272" s="635"/>
      <c r="U272" s="298"/>
      <c r="V272" s="298"/>
      <c r="W272" s="298"/>
      <c r="X272" s="298"/>
      <c r="Y272" s="298"/>
      <c r="Z272" s="298"/>
      <c r="AA272" s="298"/>
      <c r="AB272" s="298"/>
      <c r="AC272" s="298"/>
      <c r="AD272" s="298"/>
      <c r="AE272" s="298"/>
      <c r="AF272" s="298"/>
      <c r="AG272" s="298"/>
      <c r="AH272" s="298"/>
      <c r="AI272" s="298"/>
      <c r="AJ272" s="298"/>
      <c r="AK272" s="298"/>
      <c r="AL272" s="298"/>
      <c r="AM272" s="298"/>
      <c r="AN272" s="298"/>
      <c r="AO272" s="298"/>
      <c r="AP272" s="298"/>
      <c r="AQ272" s="298"/>
      <c r="AR272" s="298"/>
      <c r="AS272" s="298"/>
      <c r="AT272" s="298"/>
      <c r="AU272" s="298"/>
      <c r="AV272" s="298"/>
      <c r="AW272" s="298"/>
      <c r="AX272" s="298"/>
      <c r="AY272" s="298"/>
      <c r="AZ272" s="298"/>
      <c r="BA272" s="298"/>
      <c r="BB272" s="298"/>
      <c r="BC272" s="298"/>
      <c r="BD272" s="298"/>
      <c r="BE272" s="298"/>
      <c r="BF272" s="298"/>
      <c r="BG272" s="298"/>
      <c r="BH272" s="298"/>
      <c r="BI272" s="298"/>
      <c r="BJ272" s="298"/>
      <c r="BK272" s="298"/>
      <c r="BL272" s="298"/>
      <c r="BM272" s="298"/>
      <c r="BN272" s="298"/>
      <c r="BO272" s="298"/>
      <c r="BP272" s="298"/>
    </row>
    <row r="273" spans="1:68" s="529" customFormat="1" ht="12.75">
      <c r="A273" s="286"/>
      <c r="B273" s="373"/>
      <c r="C273" s="733"/>
      <c r="D273" s="733"/>
      <c r="E273" s="733"/>
      <c r="F273" s="733"/>
      <c r="G273" s="733"/>
      <c r="H273" s="734"/>
      <c r="I273" s="298"/>
      <c r="J273" s="634"/>
      <c r="K273" s="634"/>
      <c r="L273" s="634"/>
      <c r="M273" s="634"/>
      <c r="N273" s="298"/>
      <c r="O273" s="298"/>
      <c r="P273" s="298"/>
      <c r="Q273" s="298"/>
      <c r="R273" s="298"/>
      <c r="S273" s="536"/>
      <c r="T273" s="635"/>
      <c r="U273" s="298"/>
      <c r="V273" s="298"/>
      <c r="W273" s="298"/>
      <c r="X273" s="298"/>
      <c r="Y273" s="298"/>
      <c r="Z273" s="298"/>
      <c r="AA273" s="298"/>
      <c r="AB273" s="298"/>
      <c r="AC273" s="298"/>
      <c r="AD273" s="298"/>
      <c r="AE273" s="298"/>
      <c r="AF273" s="298"/>
      <c r="AG273" s="298"/>
      <c r="AH273" s="298"/>
      <c r="AI273" s="298"/>
      <c r="AJ273" s="298"/>
      <c r="AK273" s="298"/>
      <c r="AL273" s="298"/>
      <c r="AM273" s="298"/>
      <c r="AN273" s="298"/>
      <c r="AO273" s="298"/>
      <c r="AP273" s="298"/>
      <c r="AQ273" s="298"/>
      <c r="AR273" s="298"/>
      <c r="AS273" s="298"/>
      <c r="AT273" s="298"/>
      <c r="AU273" s="298"/>
      <c r="AV273" s="298"/>
      <c r="AW273" s="298"/>
      <c r="AX273" s="298"/>
      <c r="AY273" s="298"/>
      <c r="AZ273" s="298"/>
      <c r="BA273" s="298"/>
      <c r="BB273" s="298"/>
      <c r="BC273" s="298"/>
      <c r="BD273" s="298"/>
      <c r="BE273" s="298"/>
      <c r="BF273" s="298"/>
      <c r="BG273" s="298"/>
      <c r="BH273" s="298"/>
      <c r="BI273" s="298"/>
      <c r="BJ273" s="298"/>
      <c r="BK273" s="298"/>
      <c r="BL273" s="298"/>
      <c r="BM273" s="298"/>
      <c r="BN273" s="298"/>
      <c r="BO273" s="298"/>
      <c r="BP273" s="298"/>
    </row>
    <row r="274" spans="1:68" s="644" customFormat="1" ht="51">
      <c r="A274" s="555"/>
      <c r="B274" s="372" t="s">
        <v>17857</v>
      </c>
      <c r="C274" s="231" t="s">
        <v>24754</v>
      </c>
      <c r="D274" s="232" t="s">
        <v>103</v>
      </c>
      <c r="E274" s="232" t="s">
        <v>3244</v>
      </c>
      <c r="F274" s="233"/>
      <c r="G274" s="234"/>
      <c r="H274" s="235">
        <v>12.54</v>
      </c>
      <c r="I274" s="298"/>
      <c r="J274" s="634"/>
      <c r="K274" s="634"/>
      <c r="L274" s="634"/>
      <c r="M274" s="634"/>
      <c r="N274" s="298"/>
      <c r="O274" s="298"/>
      <c r="P274" s="298"/>
      <c r="Q274" s="298"/>
      <c r="R274" s="298"/>
      <c r="S274" s="536"/>
      <c r="T274" s="635"/>
      <c r="U274" s="298"/>
      <c r="V274" s="298"/>
      <c r="W274" s="298"/>
      <c r="X274" s="298"/>
      <c r="Y274" s="298"/>
      <c r="Z274" s="298"/>
      <c r="AA274" s="298"/>
      <c r="AB274" s="298"/>
      <c r="AC274" s="298"/>
      <c r="AD274" s="298"/>
      <c r="AE274" s="298"/>
      <c r="AF274" s="298"/>
      <c r="AG274" s="298"/>
      <c r="AH274" s="298"/>
      <c r="AI274" s="298"/>
      <c r="AJ274" s="298"/>
      <c r="AK274" s="298"/>
      <c r="AL274" s="298"/>
      <c r="AM274" s="298"/>
      <c r="AN274" s="298"/>
      <c r="AO274" s="298"/>
      <c r="AP274" s="298"/>
      <c r="AQ274" s="298"/>
      <c r="AR274" s="298"/>
      <c r="AS274" s="298"/>
      <c r="AT274" s="298"/>
      <c r="AU274" s="298"/>
      <c r="AV274" s="298"/>
      <c r="AW274" s="298"/>
      <c r="AX274" s="298"/>
      <c r="AY274" s="298"/>
      <c r="AZ274" s="298"/>
      <c r="BA274" s="298"/>
      <c r="BB274" s="298"/>
      <c r="BC274" s="298"/>
      <c r="BD274" s="298"/>
      <c r="BE274" s="298"/>
      <c r="BF274" s="298"/>
      <c r="BG274" s="298"/>
      <c r="BH274" s="298"/>
      <c r="BI274" s="298"/>
      <c r="BJ274" s="298"/>
      <c r="BK274" s="298"/>
      <c r="BL274" s="298"/>
      <c r="BM274" s="298"/>
      <c r="BN274" s="298"/>
      <c r="BO274" s="298"/>
      <c r="BP274" s="298"/>
    </row>
    <row r="275" spans="1:68" s="298" customFormat="1" ht="25.5">
      <c r="A275" s="256" t="s">
        <v>3261</v>
      </c>
      <c r="B275" s="288">
        <v>43692</v>
      </c>
      <c r="C275" s="289" t="s">
        <v>9552</v>
      </c>
      <c r="D275" s="290" t="s">
        <v>207</v>
      </c>
      <c r="E275" s="290" t="s">
        <v>3244</v>
      </c>
      <c r="F275" s="383">
        <v>1</v>
      </c>
      <c r="G275" s="292" t="s">
        <v>11240</v>
      </c>
      <c r="H275" s="255">
        <v>11.1</v>
      </c>
      <c r="J275" s="634"/>
      <c r="K275" s="634"/>
      <c r="L275" s="634"/>
      <c r="M275" s="634"/>
      <c r="S275" s="536"/>
      <c r="T275" s="635"/>
    </row>
    <row r="276" spans="1:68" s="298" customFormat="1" ht="25.5">
      <c r="A276" s="256" t="s">
        <v>3261</v>
      </c>
      <c r="B276" s="288">
        <v>10997</v>
      </c>
      <c r="C276" s="289" t="s">
        <v>6208</v>
      </c>
      <c r="D276" s="290" t="s">
        <v>207</v>
      </c>
      <c r="E276" s="290" t="s">
        <v>3244</v>
      </c>
      <c r="F276" s="383">
        <v>1.6999999999999999E-3</v>
      </c>
      <c r="G276" s="292" t="s">
        <v>14318</v>
      </c>
      <c r="H276" s="255">
        <v>0.03</v>
      </c>
      <c r="J276" s="634"/>
      <c r="K276" s="634"/>
      <c r="L276" s="634"/>
      <c r="M276" s="634"/>
      <c r="S276" s="536"/>
      <c r="T276" s="635"/>
    </row>
    <row r="277" spans="1:68" s="298" customFormat="1" ht="25.5">
      <c r="A277" s="256" t="s">
        <v>3259</v>
      </c>
      <c r="B277" s="288">
        <v>88240</v>
      </c>
      <c r="C277" s="289" t="s">
        <v>3045</v>
      </c>
      <c r="D277" s="290" t="s">
        <v>9714</v>
      </c>
      <c r="E277" s="290" t="s">
        <v>206</v>
      </c>
      <c r="F277" s="383">
        <v>1.2999999999999999E-3</v>
      </c>
      <c r="G277" s="292" t="s">
        <v>14168</v>
      </c>
      <c r="H277" s="255">
        <v>0.01</v>
      </c>
      <c r="J277" s="634"/>
      <c r="K277" s="634"/>
      <c r="L277" s="634"/>
      <c r="M277" s="634"/>
      <c r="S277" s="536"/>
      <c r="T277" s="635"/>
    </row>
    <row r="278" spans="1:68" s="298" customFormat="1" ht="25.5">
      <c r="A278" s="256" t="s">
        <v>3259</v>
      </c>
      <c r="B278" s="288">
        <v>88278</v>
      </c>
      <c r="C278" s="289" t="s">
        <v>3066</v>
      </c>
      <c r="D278" s="290" t="s">
        <v>9714</v>
      </c>
      <c r="E278" s="290" t="s">
        <v>206</v>
      </c>
      <c r="F278" s="383">
        <v>5.0000000000000001E-3</v>
      </c>
      <c r="G278" s="292" t="s">
        <v>19155</v>
      </c>
      <c r="H278" s="255">
        <v>0.09</v>
      </c>
      <c r="J278" s="634"/>
      <c r="K278" s="634"/>
      <c r="L278" s="634"/>
      <c r="M278" s="634"/>
      <c r="S278" s="536"/>
      <c r="T278" s="635"/>
    </row>
    <row r="279" spans="1:68" s="298" customFormat="1" ht="25.5">
      <c r="A279" s="256" t="s">
        <v>3259</v>
      </c>
      <c r="B279" s="288">
        <v>88317</v>
      </c>
      <c r="C279" s="289" t="s">
        <v>3096</v>
      </c>
      <c r="D279" s="290" t="s">
        <v>9714</v>
      </c>
      <c r="E279" s="290" t="s">
        <v>206</v>
      </c>
      <c r="F279" s="383">
        <v>2.8299999999999999E-2</v>
      </c>
      <c r="G279" s="292" t="s">
        <v>18764</v>
      </c>
      <c r="H279" s="255">
        <v>0.69</v>
      </c>
      <c r="J279" s="634"/>
      <c r="K279" s="634"/>
      <c r="L279" s="634"/>
      <c r="M279" s="634"/>
      <c r="S279" s="536"/>
      <c r="T279" s="635"/>
    </row>
    <row r="280" spans="1:68" s="298" customFormat="1" ht="51">
      <c r="A280" s="256" t="s">
        <v>3259</v>
      </c>
      <c r="B280" s="288">
        <v>93287</v>
      </c>
      <c r="C280" s="289" t="s">
        <v>213</v>
      </c>
      <c r="D280" s="290" t="s">
        <v>8987</v>
      </c>
      <c r="E280" s="290" t="s">
        <v>212</v>
      </c>
      <c r="F280" s="383">
        <v>1.5E-3</v>
      </c>
      <c r="G280" s="292" t="s">
        <v>21438</v>
      </c>
      <c r="H280" s="255">
        <v>0.49</v>
      </c>
      <c r="J280" s="634"/>
      <c r="K280" s="634"/>
      <c r="L280" s="634"/>
      <c r="M280" s="634"/>
      <c r="S280" s="536"/>
      <c r="T280" s="635"/>
    </row>
    <row r="281" spans="1:68" s="298" customFormat="1" ht="51">
      <c r="A281" s="256" t="s">
        <v>3259</v>
      </c>
      <c r="B281" s="288">
        <v>93288</v>
      </c>
      <c r="C281" s="289" t="s">
        <v>214</v>
      </c>
      <c r="D281" s="290" t="s">
        <v>8987</v>
      </c>
      <c r="E281" s="290" t="s">
        <v>215</v>
      </c>
      <c r="F281" s="383">
        <v>1.4E-3</v>
      </c>
      <c r="G281" s="292" t="s">
        <v>21491</v>
      </c>
      <c r="H281" s="255">
        <v>0.13</v>
      </c>
      <c r="J281" s="634"/>
      <c r="K281" s="634"/>
      <c r="L281" s="634"/>
      <c r="M281" s="634"/>
      <c r="S281" s="536"/>
      <c r="T281" s="635"/>
    </row>
    <row r="282" spans="1:68" s="529" customFormat="1" ht="12.75">
      <c r="A282" s="286"/>
      <c r="B282" s="375" t="s">
        <v>143</v>
      </c>
      <c r="C282" s="816" t="s">
        <v>24496</v>
      </c>
      <c r="D282" s="817"/>
      <c r="E282" s="817"/>
      <c r="F282" s="817"/>
      <c r="G282" s="817"/>
      <c r="H282" s="818"/>
      <c r="I282" s="298"/>
      <c r="J282" s="634"/>
      <c r="K282" s="634"/>
      <c r="L282" s="634"/>
      <c r="M282" s="634"/>
      <c r="N282" s="298"/>
      <c r="O282" s="298"/>
      <c r="P282" s="298"/>
      <c r="Q282" s="298"/>
      <c r="R282" s="298"/>
      <c r="S282" s="536"/>
      <c r="T282" s="635"/>
      <c r="U282" s="298"/>
      <c r="V282" s="298"/>
      <c r="W282" s="298"/>
      <c r="X282" s="298"/>
      <c r="Y282" s="298"/>
      <c r="Z282" s="298"/>
      <c r="AA282" s="298"/>
      <c r="AB282" s="298"/>
      <c r="AC282" s="298"/>
      <c r="AD282" s="298"/>
      <c r="AE282" s="298"/>
      <c r="AF282" s="298"/>
      <c r="AG282" s="298"/>
      <c r="AH282" s="298"/>
      <c r="AI282" s="298"/>
      <c r="AJ282" s="298"/>
      <c r="AK282" s="298"/>
      <c r="AL282" s="298"/>
      <c r="AM282" s="298"/>
      <c r="AN282" s="298"/>
      <c r="AO282" s="298"/>
      <c r="AP282" s="298"/>
      <c r="AQ282" s="298"/>
      <c r="AR282" s="298"/>
      <c r="AS282" s="298"/>
      <c r="AT282" s="298"/>
      <c r="AU282" s="298"/>
      <c r="AV282" s="298"/>
      <c r="AW282" s="298"/>
      <c r="AX282" s="298"/>
      <c r="AY282" s="298"/>
      <c r="AZ282" s="298"/>
      <c r="BA282" s="298"/>
      <c r="BB282" s="298"/>
      <c r="BC282" s="298"/>
      <c r="BD282" s="298"/>
      <c r="BE282" s="298"/>
      <c r="BF282" s="298"/>
      <c r="BG282" s="298"/>
      <c r="BH282" s="298"/>
      <c r="BI282" s="298"/>
      <c r="BJ282" s="298"/>
      <c r="BK282" s="298"/>
      <c r="BL282" s="298"/>
      <c r="BM282" s="298"/>
      <c r="BN282" s="298"/>
      <c r="BO282" s="298"/>
      <c r="BP282" s="298"/>
    </row>
    <row r="283" spans="1:68" s="529" customFormat="1" ht="12.75">
      <c r="A283" s="286"/>
      <c r="B283" s="373"/>
      <c r="C283" s="733"/>
      <c r="D283" s="733"/>
      <c r="E283" s="733"/>
      <c r="F283" s="733"/>
      <c r="G283" s="733"/>
      <c r="H283" s="734"/>
      <c r="I283" s="298"/>
      <c r="J283" s="634"/>
      <c r="K283" s="634"/>
      <c r="L283" s="634"/>
      <c r="M283" s="634"/>
      <c r="N283" s="298"/>
      <c r="O283" s="298"/>
      <c r="P283" s="298"/>
      <c r="Q283" s="298"/>
      <c r="R283" s="298"/>
      <c r="S283" s="536"/>
      <c r="T283" s="635"/>
      <c r="U283" s="298"/>
      <c r="V283" s="298"/>
      <c r="W283" s="298"/>
      <c r="X283" s="298"/>
      <c r="Y283" s="298"/>
      <c r="Z283" s="298"/>
      <c r="AA283" s="298"/>
      <c r="AB283" s="298"/>
      <c r="AC283" s="298"/>
      <c r="AD283" s="298"/>
      <c r="AE283" s="298"/>
      <c r="AF283" s="298"/>
      <c r="AG283" s="298"/>
      <c r="AH283" s="298"/>
      <c r="AI283" s="298"/>
      <c r="AJ283" s="298"/>
      <c r="AK283" s="298"/>
      <c r="AL283" s="298"/>
      <c r="AM283" s="298"/>
      <c r="AN283" s="298"/>
      <c r="AO283" s="298"/>
      <c r="AP283" s="298"/>
      <c r="AQ283" s="298"/>
      <c r="AR283" s="298"/>
      <c r="AS283" s="298"/>
      <c r="AT283" s="298"/>
      <c r="AU283" s="298"/>
      <c r="AV283" s="298"/>
      <c r="AW283" s="298"/>
      <c r="AX283" s="298"/>
      <c r="AY283" s="298"/>
      <c r="AZ283" s="298"/>
      <c r="BA283" s="298"/>
      <c r="BB283" s="298"/>
      <c r="BC283" s="298"/>
      <c r="BD283" s="298"/>
      <c r="BE283" s="298"/>
      <c r="BF283" s="298"/>
      <c r="BG283" s="298"/>
      <c r="BH283" s="298"/>
      <c r="BI283" s="298"/>
      <c r="BJ283" s="298"/>
      <c r="BK283" s="298"/>
      <c r="BL283" s="298"/>
      <c r="BM283" s="298"/>
      <c r="BN283" s="298"/>
      <c r="BO283" s="298"/>
      <c r="BP283" s="298"/>
    </row>
    <row r="284" spans="1:68" s="529" customFormat="1" ht="25.5">
      <c r="A284" s="494"/>
      <c r="B284" s="372" t="s">
        <v>17858</v>
      </c>
      <c r="C284" s="231" t="s">
        <v>24751</v>
      </c>
      <c r="D284" s="232" t="s">
        <v>103</v>
      </c>
      <c r="E284" s="232" t="s">
        <v>3244</v>
      </c>
      <c r="F284" s="233"/>
      <c r="G284" s="234"/>
      <c r="H284" s="235">
        <v>15.28</v>
      </c>
      <c r="I284" s="298"/>
      <c r="J284" s="634"/>
      <c r="K284" s="634"/>
      <c r="L284" s="634"/>
      <c r="M284" s="634"/>
      <c r="N284" s="298"/>
      <c r="O284" s="298"/>
      <c r="P284" s="298"/>
      <c r="Q284" s="298"/>
      <c r="R284" s="298"/>
      <c r="S284" s="536"/>
      <c r="T284" s="635"/>
      <c r="U284" s="298"/>
      <c r="V284" s="298"/>
      <c r="W284" s="298"/>
      <c r="X284" s="298"/>
      <c r="Y284" s="298"/>
      <c r="Z284" s="298"/>
      <c r="AA284" s="298"/>
      <c r="AB284" s="298"/>
      <c r="AC284" s="298"/>
      <c r="AD284" s="298"/>
      <c r="AE284" s="298"/>
      <c r="AF284" s="298"/>
      <c r="AG284" s="298"/>
      <c r="AH284" s="298"/>
      <c r="AI284" s="298"/>
      <c r="AJ284" s="298"/>
      <c r="AK284" s="298"/>
      <c r="AL284" s="298"/>
      <c r="AM284" s="298"/>
      <c r="AN284" s="298"/>
      <c r="AO284" s="298"/>
      <c r="AP284" s="298"/>
      <c r="AQ284" s="298"/>
      <c r="AR284" s="298"/>
      <c r="AS284" s="298"/>
      <c r="AT284" s="298"/>
      <c r="AU284" s="298"/>
      <c r="AV284" s="298"/>
      <c r="AW284" s="298"/>
      <c r="AX284" s="298"/>
      <c r="AY284" s="298"/>
      <c r="AZ284" s="298"/>
      <c r="BA284" s="298"/>
      <c r="BB284" s="298"/>
      <c r="BC284" s="298"/>
      <c r="BD284" s="298"/>
      <c r="BE284" s="298"/>
      <c r="BF284" s="298"/>
      <c r="BG284" s="298"/>
      <c r="BH284" s="298"/>
      <c r="BI284" s="298"/>
      <c r="BJ284" s="298"/>
      <c r="BK284" s="298"/>
      <c r="BL284" s="298"/>
      <c r="BM284" s="298"/>
      <c r="BN284" s="298"/>
      <c r="BO284" s="298"/>
      <c r="BP284" s="298"/>
    </row>
    <row r="285" spans="1:68" s="298" customFormat="1" ht="25.5">
      <c r="A285" s="256" t="s">
        <v>3261</v>
      </c>
      <c r="B285" s="288">
        <v>43054</v>
      </c>
      <c r="C285" s="289" t="s">
        <v>9447</v>
      </c>
      <c r="D285" s="290" t="s">
        <v>207</v>
      </c>
      <c r="E285" s="290" t="s">
        <v>3244</v>
      </c>
      <c r="F285" s="383">
        <v>1</v>
      </c>
      <c r="G285" s="292" t="s">
        <v>10316</v>
      </c>
      <c r="H285" s="255">
        <v>10.38</v>
      </c>
      <c r="J285" s="634"/>
      <c r="K285" s="634"/>
      <c r="L285" s="634"/>
      <c r="M285" s="634"/>
      <c r="S285" s="536"/>
      <c r="T285" s="635"/>
    </row>
    <row r="286" spans="1:68" s="298" customFormat="1" ht="25.5">
      <c r="A286" s="256" t="s">
        <v>3259</v>
      </c>
      <c r="B286" s="288">
        <v>88240</v>
      </c>
      <c r="C286" s="289" t="s">
        <v>3045</v>
      </c>
      <c r="D286" s="290" t="s">
        <v>9714</v>
      </c>
      <c r="E286" s="290" t="s">
        <v>206</v>
      </c>
      <c r="F286" s="383">
        <v>0.15</v>
      </c>
      <c r="G286" s="292" t="s">
        <v>14168</v>
      </c>
      <c r="H286" s="255">
        <v>2.17</v>
      </c>
      <c r="J286" s="634"/>
      <c r="K286" s="634"/>
      <c r="L286" s="634"/>
      <c r="M286" s="634"/>
      <c r="S286" s="536"/>
      <c r="T286" s="635"/>
    </row>
    <row r="287" spans="1:68" s="298" customFormat="1" ht="25.5">
      <c r="A287" s="256" t="s">
        <v>3259</v>
      </c>
      <c r="B287" s="288">
        <v>88278</v>
      </c>
      <c r="C287" s="289" t="s">
        <v>3066</v>
      </c>
      <c r="D287" s="290" t="s">
        <v>9714</v>
      </c>
      <c r="E287" s="290" t="s">
        <v>206</v>
      </c>
      <c r="F287" s="383">
        <v>0.15</v>
      </c>
      <c r="G287" s="292" t="s">
        <v>19155</v>
      </c>
      <c r="H287" s="255">
        <v>2.73</v>
      </c>
      <c r="J287" s="634"/>
      <c r="K287" s="634"/>
      <c r="L287" s="634"/>
      <c r="M287" s="634"/>
      <c r="S287" s="536"/>
      <c r="T287" s="635"/>
    </row>
    <row r="288" spans="1:68" s="529" customFormat="1" ht="12.75">
      <c r="A288" s="286"/>
      <c r="B288" s="375" t="s">
        <v>143</v>
      </c>
      <c r="C288" s="816" t="s">
        <v>24500</v>
      </c>
      <c r="D288" s="817"/>
      <c r="E288" s="817"/>
      <c r="F288" s="817"/>
      <c r="G288" s="817"/>
      <c r="H288" s="818"/>
      <c r="I288" s="298"/>
      <c r="J288" s="634"/>
      <c r="K288" s="634"/>
      <c r="L288" s="634"/>
      <c r="M288" s="634"/>
      <c r="N288" s="298"/>
      <c r="O288" s="298"/>
      <c r="P288" s="298"/>
      <c r="Q288" s="298"/>
      <c r="R288" s="298"/>
      <c r="S288" s="536"/>
      <c r="T288" s="635"/>
      <c r="U288" s="298"/>
      <c r="V288" s="298"/>
      <c r="W288" s="298"/>
      <c r="X288" s="298"/>
      <c r="Y288" s="298"/>
      <c r="Z288" s="298"/>
      <c r="AA288" s="298"/>
      <c r="AB288" s="298"/>
      <c r="AC288" s="298"/>
      <c r="AD288" s="298"/>
      <c r="AE288" s="298"/>
      <c r="AF288" s="298"/>
      <c r="AG288" s="298"/>
      <c r="AH288" s="298"/>
      <c r="AI288" s="298"/>
      <c r="AJ288" s="298"/>
      <c r="AK288" s="298"/>
      <c r="AL288" s="298"/>
      <c r="AM288" s="298"/>
      <c r="AN288" s="298"/>
      <c r="AO288" s="298"/>
      <c r="AP288" s="298"/>
      <c r="AQ288" s="298"/>
      <c r="AR288" s="298"/>
      <c r="AS288" s="298"/>
      <c r="AT288" s="298"/>
      <c r="AU288" s="298"/>
      <c r="AV288" s="298"/>
      <c r="AW288" s="298"/>
      <c r="AX288" s="298"/>
      <c r="AY288" s="298"/>
      <c r="AZ288" s="298"/>
      <c r="BA288" s="298"/>
      <c r="BB288" s="298"/>
      <c r="BC288" s="298"/>
      <c r="BD288" s="298"/>
      <c r="BE288" s="298"/>
      <c r="BF288" s="298"/>
      <c r="BG288" s="298"/>
      <c r="BH288" s="298"/>
      <c r="BI288" s="298"/>
      <c r="BJ288" s="298"/>
      <c r="BK288" s="298"/>
      <c r="BL288" s="298"/>
      <c r="BM288" s="298"/>
      <c r="BN288" s="298"/>
      <c r="BO288" s="298"/>
      <c r="BP288" s="298"/>
    </row>
    <row r="289" spans="1:68" s="529" customFormat="1" ht="12.75">
      <c r="A289" s="286"/>
      <c r="B289" s="373"/>
      <c r="C289" s="733"/>
      <c r="D289" s="733"/>
      <c r="E289" s="733"/>
      <c r="F289" s="733"/>
      <c r="G289" s="733"/>
      <c r="H289" s="734"/>
      <c r="I289" s="298"/>
      <c r="J289" s="634"/>
      <c r="K289" s="634"/>
      <c r="L289" s="634"/>
      <c r="M289" s="634"/>
      <c r="N289" s="298"/>
      <c r="O289" s="298"/>
      <c r="P289" s="298"/>
      <c r="Q289" s="298"/>
      <c r="R289" s="298"/>
      <c r="S289" s="536"/>
      <c r="T289" s="635"/>
      <c r="U289" s="298"/>
      <c r="V289" s="298"/>
      <c r="W289" s="298"/>
      <c r="X289" s="298"/>
      <c r="Y289" s="298"/>
      <c r="Z289" s="298"/>
      <c r="AA289" s="298"/>
      <c r="AB289" s="298"/>
      <c r="AC289" s="298"/>
      <c r="AD289" s="298"/>
      <c r="AE289" s="298"/>
      <c r="AF289" s="298"/>
      <c r="AG289" s="298"/>
      <c r="AH289" s="298"/>
      <c r="AI289" s="298"/>
      <c r="AJ289" s="298"/>
      <c r="AK289" s="298"/>
      <c r="AL289" s="298"/>
      <c r="AM289" s="298"/>
      <c r="AN289" s="298"/>
      <c r="AO289" s="298"/>
      <c r="AP289" s="298"/>
      <c r="AQ289" s="298"/>
      <c r="AR289" s="298"/>
      <c r="AS289" s="298"/>
      <c r="AT289" s="298"/>
      <c r="AU289" s="298"/>
      <c r="AV289" s="298"/>
      <c r="AW289" s="298"/>
      <c r="AX289" s="298"/>
      <c r="AY289" s="298"/>
      <c r="AZ289" s="298"/>
      <c r="BA289" s="298"/>
      <c r="BB289" s="298"/>
      <c r="BC289" s="298"/>
      <c r="BD289" s="298"/>
      <c r="BE289" s="298"/>
      <c r="BF289" s="298"/>
      <c r="BG289" s="298"/>
      <c r="BH289" s="298"/>
      <c r="BI289" s="298"/>
      <c r="BJ289" s="298"/>
      <c r="BK289" s="298"/>
      <c r="BL289" s="298"/>
      <c r="BM289" s="298"/>
      <c r="BN289" s="298"/>
      <c r="BO289" s="298"/>
      <c r="BP289" s="298"/>
    </row>
    <row r="290" spans="1:68" s="529" customFormat="1" ht="51">
      <c r="A290" s="494"/>
      <c r="B290" s="372" t="s">
        <v>17859</v>
      </c>
      <c r="C290" s="231" t="s">
        <v>24497</v>
      </c>
      <c r="D290" s="232" t="s">
        <v>103</v>
      </c>
      <c r="E290" s="232" t="s">
        <v>3244</v>
      </c>
      <c r="F290" s="233"/>
      <c r="G290" s="234"/>
      <c r="H290" s="235">
        <v>12.42</v>
      </c>
      <c r="I290" s="298"/>
      <c r="J290" s="634"/>
      <c r="K290" s="634"/>
      <c r="L290" s="634"/>
      <c r="M290" s="634"/>
      <c r="N290" s="298"/>
      <c r="O290" s="298"/>
      <c r="P290" s="298"/>
      <c r="Q290" s="298"/>
      <c r="R290" s="298"/>
      <c r="S290" s="536"/>
      <c r="T290" s="635"/>
      <c r="U290" s="298"/>
      <c r="V290" s="298"/>
      <c r="W290" s="298"/>
      <c r="X290" s="298"/>
      <c r="Y290" s="298"/>
      <c r="Z290" s="298"/>
      <c r="AA290" s="298"/>
      <c r="AB290" s="298"/>
      <c r="AC290" s="298"/>
      <c r="AD290" s="298"/>
      <c r="AE290" s="298"/>
      <c r="AF290" s="298"/>
      <c r="AG290" s="298"/>
      <c r="AH290" s="298"/>
      <c r="AI290" s="298"/>
      <c r="AJ290" s="298"/>
      <c r="AK290" s="298"/>
      <c r="AL290" s="298"/>
      <c r="AM290" s="298"/>
      <c r="AN290" s="298"/>
      <c r="AO290" s="298"/>
      <c r="AP290" s="298"/>
      <c r="AQ290" s="298"/>
      <c r="AR290" s="298"/>
      <c r="AS290" s="298"/>
      <c r="AT290" s="298"/>
      <c r="AU290" s="298"/>
      <c r="AV290" s="298"/>
      <c r="AW290" s="298"/>
      <c r="AX290" s="298"/>
      <c r="AY290" s="298"/>
      <c r="AZ290" s="298"/>
      <c r="BA290" s="298"/>
      <c r="BB290" s="298"/>
      <c r="BC290" s="298"/>
      <c r="BD290" s="298"/>
      <c r="BE290" s="298"/>
      <c r="BF290" s="298"/>
      <c r="BG290" s="298"/>
      <c r="BH290" s="298"/>
      <c r="BI290" s="298"/>
      <c r="BJ290" s="298"/>
      <c r="BK290" s="298"/>
      <c r="BL290" s="298"/>
      <c r="BM290" s="298"/>
      <c r="BN290" s="298"/>
      <c r="BO290" s="298"/>
      <c r="BP290" s="298"/>
    </row>
    <row r="291" spans="1:68" s="298" customFormat="1" ht="25.5">
      <c r="A291" s="256" t="s">
        <v>3261</v>
      </c>
      <c r="B291" s="288">
        <v>1332</v>
      </c>
      <c r="C291" s="289" t="s">
        <v>5484</v>
      </c>
      <c r="D291" s="290" t="s">
        <v>207</v>
      </c>
      <c r="E291" s="290" t="s">
        <v>3244</v>
      </c>
      <c r="F291" s="383">
        <v>1</v>
      </c>
      <c r="G291" s="292" t="s">
        <v>14121</v>
      </c>
      <c r="H291" s="255">
        <v>11.56</v>
      </c>
      <c r="J291" s="634"/>
      <c r="K291" s="634"/>
      <c r="L291" s="634"/>
      <c r="M291" s="634"/>
      <c r="S291" s="536"/>
      <c r="T291" s="635"/>
    </row>
    <row r="292" spans="1:68" s="298" customFormat="1" ht="25.5">
      <c r="A292" s="256" t="s">
        <v>3261</v>
      </c>
      <c r="B292" s="288">
        <v>10997</v>
      </c>
      <c r="C292" s="289" t="s">
        <v>6208</v>
      </c>
      <c r="D292" s="290" t="s">
        <v>207</v>
      </c>
      <c r="E292" s="290" t="s">
        <v>3244</v>
      </c>
      <c r="F292" s="383">
        <v>1.8E-3</v>
      </c>
      <c r="G292" s="292" t="s">
        <v>14318</v>
      </c>
      <c r="H292" s="255">
        <v>0.03</v>
      </c>
      <c r="J292" s="634"/>
      <c r="K292" s="634"/>
      <c r="L292" s="634"/>
      <c r="M292" s="634"/>
      <c r="S292" s="536"/>
      <c r="T292" s="635"/>
    </row>
    <row r="293" spans="1:68" s="298" customFormat="1" ht="25.5">
      <c r="A293" s="256" t="s">
        <v>3259</v>
      </c>
      <c r="B293" s="288">
        <v>88240</v>
      </c>
      <c r="C293" s="289" t="s">
        <v>3045</v>
      </c>
      <c r="D293" s="290" t="s">
        <v>9714</v>
      </c>
      <c r="E293" s="290" t="s">
        <v>206</v>
      </c>
      <c r="F293" s="383">
        <v>8.0000000000000004E-4</v>
      </c>
      <c r="G293" s="292" t="s">
        <v>14168</v>
      </c>
      <c r="H293" s="255">
        <v>0.01</v>
      </c>
      <c r="J293" s="634"/>
      <c r="K293" s="634"/>
      <c r="L293" s="634"/>
      <c r="M293" s="634"/>
      <c r="S293" s="536"/>
      <c r="T293" s="635"/>
    </row>
    <row r="294" spans="1:68" s="298" customFormat="1" ht="25.5">
      <c r="A294" s="256" t="s">
        <v>3259</v>
      </c>
      <c r="B294" s="288">
        <v>88278</v>
      </c>
      <c r="C294" s="289" t="s">
        <v>3066</v>
      </c>
      <c r="D294" s="290" t="s">
        <v>9714</v>
      </c>
      <c r="E294" s="290" t="s">
        <v>206</v>
      </c>
      <c r="F294" s="383">
        <v>2.3699999999999999E-2</v>
      </c>
      <c r="G294" s="292" t="s">
        <v>19155</v>
      </c>
      <c r="H294" s="255">
        <v>0.43</v>
      </c>
      <c r="J294" s="634"/>
      <c r="K294" s="634"/>
      <c r="L294" s="634"/>
      <c r="M294" s="634"/>
      <c r="S294" s="536"/>
      <c r="T294" s="635"/>
    </row>
    <row r="295" spans="1:68" s="298" customFormat="1" ht="25.5">
      <c r="A295" s="256" t="s">
        <v>3259</v>
      </c>
      <c r="B295" s="288">
        <v>88317</v>
      </c>
      <c r="C295" s="289" t="s">
        <v>3096</v>
      </c>
      <c r="D295" s="290" t="s">
        <v>9714</v>
      </c>
      <c r="E295" s="290" t="s">
        <v>206</v>
      </c>
      <c r="F295" s="383">
        <v>5.0000000000000001E-3</v>
      </c>
      <c r="G295" s="292" t="s">
        <v>18764</v>
      </c>
      <c r="H295" s="255">
        <v>0.12</v>
      </c>
      <c r="J295" s="634"/>
      <c r="K295" s="634"/>
      <c r="L295" s="634"/>
      <c r="M295" s="634"/>
      <c r="S295" s="536"/>
      <c r="T295" s="635"/>
    </row>
    <row r="296" spans="1:68" s="298" customFormat="1" ht="51">
      <c r="A296" s="256" t="s">
        <v>3259</v>
      </c>
      <c r="B296" s="288">
        <v>93287</v>
      </c>
      <c r="C296" s="289" t="s">
        <v>213</v>
      </c>
      <c r="D296" s="290" t="s">
        <v>8987</v>
      </c>
      <c r="E296" s="290" t="s">
        <v>212</v>
      </c>
      <c r="F296" s="383">
        <v>6.9999999999999999E-4</v>
      </c>
      <c r="G296" s="292" t="s">
        <v>21438</v>
      </c>
      <c r="H296" s="255">
        <v>0.23</v>
      </c>
      <c r="J296" s="634"/>
      <c r="K296" s="634"/>
      <c r="L296" s="634"/>
      <c r="M296" s="634"/>
      <c r="S296" s="536"/>
      <c r="T296" s="635"/>
    </row>
    <row r="297" spans="1:68" s="298" customFormat="1" ht="51">
      <c r="A297" s="256" t="s">
        <v>3259</v>
      </c>
      <c r="B297" s="288">
        <v>93288</v>
      </c>
      <c r="C297" s="289" t="s">
        <v>214</v>
      </c>
      <c r="D297" s="290" t="s">
        <v>8987</v>
      </c>
      <c r="E297" s="290" t="s">
        <v>215</v>
      </c>
      <c r="F297" s="383">
        <v>5.0000000000000001E-4</v>
      </c>
      <c r="G297" s="292" t="s">
        <v>21491</v>
      </c>
      <c r="H297" s="255">
        <v>0.04</v>
      </c>
      <c r="J297" s="634"/>
      <c r="K297" s="634"/>
      <c r="L297" s="634"/>
      <c r="M297" s="634"/>
      <c r="S297" s="536"/>
      <c r="T297" s="635"/>
    </row>
    <row r="298" spans="1:68" s="529" customFormat="1" ht="12.75">
      <c r="A298" s="286"/>
      <c r="B298" s="375" t="s">
        <v>143</v>
      </c>
      <c r="C298" s="816" t="s">
        <v>24489</v>
      </c>
      <c r="D298" s="817"/>
      <c r="E298" s="817"/>
      <c r="F298" s="817"/>
      <c r="G298" s="817"/>
      <c r="H298" s="818"/>
      <c r="I298" s="298"/>
      <c r="J298" s="634"/>
      <c r="K298" s="634"/>
      <c r="L298" s="634"/>
      <c r="M298" s="634"/>
      <c r="N298" s="298"/>
      <c r="O298" s="298"/>
      <c r="P298" s="298"/>
      <c r="Q298" s="298"/>
      <c r="R298" s="298"/>
      <c r="S298" s="536"/>
      <c r="T298" s="635"/>
      <c r="U298" s="298"/>
      <c r="V298" s="298"/>
      <c r="W298" s="298"/>
      <c r="X298" s="298"/>
      <c r="Y298" s="298"/>
      <c r="Z298" s="298"/>
      <c r="AA298" s="298"/>
      <c r="AB298" s="298"/>
      <c r="AC298" s="298"/>
      <c r="AD298" s="298"/>
      <c r="AE298" s="298"/>
      <c r="AF298" s="298"/>
      <c r="AG298" s="298"/>
      <c r="AH298" s="298"/>
      <c r="AI298" s="298"/>
      <c r="AJ298" s="298"/>
      <c r="AK298" s="298"/>
      <c r="AL298" s="298"/>
      <c r="AM298" s="298"/>
      <c r="AN298" s="298"/>
      <c r="AO298" s="298"/>
      <c r="AP298" s="298"/>
      <c r="AQ298" s="298"/>
      <c r="AR298" s="298"/>
      <c r="AS298" s="298"/>
      <c r="AT298" s="298"/>
      <c r="AU298" s="298"/>
      <c r="AV298" s="298"/>
      <c r="AW298" s="298"/>
      <c r="AX298" s="298"/>
      <c r="AY298" s="298"/>
      <c r="AZ298" s="298"/>
      <c r="BA298" s="298"/>
      <c r="BB298" s="298"/>
      <c r="BC298" s="298"/>
      <c r="BD298" s="298"/>
      <c r="BE298" s="298"/>
      <c r="BF298" s="298"/>
      <c r="BG298" s="298"/>
      <c r="BH298" s="298"/>
      <c r="BI298" s="298"/>
      <c r="BJ298" s="298"/>
      <c r="BK298" s="298"/>
      <c r="BL298" s="298"/>
      <c r="BM298" s="298"/>
      <c r="BN298" s="298"/>
      <c r="BO298" s="298"/>
      <c r="BP298" s="298"/>
    </row>
    <row r="299" spans="1:68" s="529" customFormat="1" ht="12.75">
      <c r="A299" s="286"/>
      <c r="B299" s="373"/>
      <c r="C299" s="733"/>
      <c r="D299" s="733"/>
      <c r="E299" s="733"/>
      <c r="F299" s="733"/>
      <c r="G299" s="733"/>
      <c r="H299" s="734"/>
      <c r="I299" s="298"/>
      <c r="J299" s="634"/>
      <c r="K299" s="634"/>
      <c r="L299" s="634"/>
      <c r="M299" s="634"/>
      <c r="N299" s="298"/>
      <c r="O299" s="298"/>
      <c r="P299" s="298"/>
      <c r="Q299" s="298"/>
      <c r="R299" s="298"/>
      <c r="S299" s="536"/>
      <c r="T299" s="635"/>
      <c r="U299" s="298"/>
      <c r="V299" s="298"/>
      <c r="W299" s="298"/>
      <c r="X299" s="298"/>
      <c r="Y299" s="298"/>
      <c r="Z299" s="298"/>
      <c r="AA299" s="298"/>
      <c r="AB299" s="298"/>
      <c r="AC299" s="298"/>
      <c r="AD299" s="298"/>
      <c r="AE299" s="298"/>
      <c r="AF299" s="298"/>
      <c r="AG299" s="298"/>
      <c r="AH299" s="298"/>
      <c r="AI299" s="298"/>
      <c r="AJ299" s="298"/>
      <c r="AK299" s="298"/>
      <c r="AL299" s="298"/>
      <c r="AM299" s="298"/>
      <c r="AN299" s="298"/>
      <c r="AO299" s="298"/>
      <c r="AP299" s="298"/>
      <c r="AQ299" s="298"/>
      <c r="AR299" s="298"/>
      <c r="AS299" s="298"/>
      <c r="AT299" s="298"/>
      <c r="AU299" s="298"/>
      <c r="AV299" s="298"/>
      <c r="AW299" s="298"/>
      <c r="AX299" s="298"/>
      <c r="AY299" s="298"/>
      <c r="AZ299" s="298"/>
      <c r="BA299" s="298"/>
      <c r="BB299" s="298"/>
      <c r="BC299" s="298"/>
      <c r="BD299" s="298"/>
      <c r="BE299" s="298"/>
      <c r="BF299" s="298"/>
      <c r="BG299" s="298"/>
      <c r="BH299" s="298"/>
      <c r="BI299" s="298"/>
      <c r="BJ299" s="298"/>
      <c r="BK299" s="298"/>
      <c r="BL299" s="298"/>
      <c r="BM299" s="298"/>
      <c r="BN299" s="298"/>
      <c r="BO299" s="298"/>
      <c r="BP299" s="298"/>
    </row>
    <row r="300" spans="1:68" s="529" customFormat="1" ht="51">
      <c r="A300" s="494"/>
      <c r="B300" s="372" t="s">
        <v>17860</v>
      </c>
      <c r="C300" s="231" t="s">
        <v>24498</v>
      </c>
      <c r="D300" s="232" t="s">
        <v>103</v>
      </c>
      <c r="E300" s="232" t="s">
        <v>3244</v>
      </c>
      <c r="F300" s="233"/>
      <c r="G300" s="234"/>
      <c r="H300" s="235">
        <v>13.68</v>
      </c>
      <c r="I300" s="298"/>
      <c r="J300" s="634"/>
      <c r="K300" s="634"/>
      <c r="L300" s="634"/>
      <c r="M300" s="634"/>
      <c r="N300" s="298"/>
      <c r="O300" s="298"/>
      <c r="P300" s="298"/>
      <c r="Q300" s="298"/>
      <c r="R300" s="298"/>
      <c r="S300" s="536"/>
      <c r="T300" s="635"/>
      <c r="U300" s="298"/>
      <c r="V300" s="298"/>
      <c r="W300" s="298"/>
      <c r="X300" s="298"/>
      <c r="Y300" s="298"/>
      <c r="Z300" s="298"/>
      <c r="AA300" s="298"/>
      <c r="AB300" s="298"/>
      <c r="AC300" s="298"/>
      <c r="AD300" s="298"/>
      <c r="AE300" s="298"/>
      <c r="AF300" s="298"/>
      <c r="AG300" s="298"/>
      <c r="AH300" s="298"/>
      <c r="AI300" s="298"/>
      <c r="AJ300" s="298"/>
      <c r="AK300" s="298"/>
      <c r="AL300" s="298"/>
      <c r="AM300" s="298"/>
      <c r="AN300" s="298"/>
      <c r="AO300" s="298"/>
      <c r="AP300" s="298"/>
      <c r="AQ300" s="298"/>
      <c r="AR300" s="298"/>
      <c r="AS300" s="298"/>
      <c r="AT300" s="298"/>
      <c r="AU300" s="298"/>
      <c r="AV300" s="298"/>
      <c r="AW300" s="298"/>
      <c r="AX300" s="298"/>
      <c r="AY300" s="298"/>
      <c r="AZ300" s="298"/>
      <c r="BA300" s="298"/>
      <c r="BB300" s="298"/>
      <c r="BC300" s="298"/>
      <c r="BD300" s="298"/>
      <c r="BE300" s="298"/>
      <c r="BF300" s="298"/>
      <c r="BG300" s="298"/>
      <c r="BH300" s="298"/>
      <c r="BI300" s="298"/>
      <c r="BJ300" s="298"/>
      <c r="BK300" s="298"/>
      <c r="BL300" s="298"/>
      <c r="BM300" s="298"/>
      <c r="BN300" s="298"/>
      <c r="BO300" s="298"/>
      <c r="BP300" s="298"/>
    </row>
    <row r="301" spans="1:68" s="298" customFormat="1" ht="25.5">
      <c r="A301" s="256" t="s">
        <v>3261</v>
      </c>
      <c r="B301" s="288">
        <v>1334</v>
      </c>
      <c r="C301" s="289" t="s">
        <v>5485</v>
      </c>
      <c r="D301" s="290" t="s">
        <v>207</v>
      </c>
      <c r="E301" s="290" t="s">
        <v>3244</v>
      </c>
      <c r="F301" s="383">
        <v>1</v>
      </c>
      <c r="G301" s="292" t="s">
        <v>12256</v>
      </c>
      <c r="H301" s="255">
        <v>12.82</v>
      </c>
      <c r="J301" s="634"/>
      <c r="K301" s="634"/>
      <c r="L301" s="634"/>
      <c r="M301" s="634"/>
      <c r="S301" s="536"/>
      <c r="T301" s="635"/>
    </row>
    <row r="302" spans="1:68" s="298" customFormat="1" ht="25.5">
      <c r="A302" s="256" t="s">
        <v>3261</v>
      </c>
      <c r="B302" s="288">
        <v>10997</v>
      </c>
      <c r="C302" s="289" t="s">
        <v>6208</v>
      </c>
      <c r="D302" s="290" t="s">
        <v>207</v>
      </c>
      <c r="E302" s="290" t="s">
        <v>3244</v>
      </c>
      <c r="F302" s="383">
        <v>1.8E-3</v>
      </c>
      <c r="G302" s="292" t="s">
        <v>14318</v>
      </c>
      <c r="H302" s="255">
        <v>0.03</v>
      </c>
      <c r="J302" s="634"/>
      <c r="K302" s="634"/>
      <c r="L302" s="634"/>
      <c r="M302" s="634"/>
      <c r="S302" s="536"/>
      <c r="T302" s="635"/>
    </row>
    <row r="303" spans="1:68" s="298" customFormat="1" ht="25.5">
      <c r="A303" s="256" t="s">
        <v>3259</v>
      </c>
      <c r="B303" s="288">
        <v>88240</v>
      </c>
      <c r="C303" s="289" t="s">
        <v>3045</v>
      </c>
      <c r="D303" s="290" t="s">
        <v>9714</v>
      </c>
      <c r="E303" s="290" t="s">
        <v>206</v>
      </c>
      <c r="F303" s="383">
        <v>8.0000000000000004E-4</v>
      </c>
      <c r="G303" s="292" t="s">
        <v>14168</v>
      </c>
      <c r="H303" s="255">
        <v>0.01</v>
      </c>
      <c r="J303" s="634"/>
      <c r="K303" s="634"/>
      <c r="L303" s="634"/>
      <c r="M303" s="634"/>
      <c r="S303" s="536"/>
      <c r="T303" s="635"/>
    </row>
    <row r="304" spans="1:68" s="298" customFormat="1" ht="25.5">
      <c r="A304" s="256" t="s">
        <v>3259</v>
      </c>
      <c r="B304" s="288">
        <v>88278</v>
      </c>
      <c r="C304" s="289" t="s">
        <v>3066</v>
      </c>
      <c r="D304" s="290" t="s">
        <v>9714</v>
      </c>
      <c r="E304" s="290" t="s">
        <v>206</v>
      </c>
      <c r="F304" s="383">
        <v>2.3699999999999999E-2</v>
      </c>
      <c r="G304" s="292" t="s">
        <v>19155</v>
      </c>
      <c r="H304" s="255">
        <v>0.43</v>
      </c>
      <c r="J304" s="634"/>
      <c r="K304" s="634"/>
      <c r="L304" s="634"/>
      <c r="M304" s="634"/>
      <c r="S304" s="536"/>
      <c r="T304" s="635"/>
    </row>
    <row r="305" spans="1:68" s="298" customFormat="1" ht="25.5">
      <c r="A305" s="256" t="s">
        <v>3259</v>
      </c>
      <c r="B305" s="288">
        <v>88317</v>
      </c>
      <c r="C305" s="289" t="s">
        <v>3096</v>
      </c>
      <c r="D305" s="290" t="s">
        <v>9714</v>
      </c>
      <c r="E305" s="290" t="s">
        <v>206</v>
      </c>
      <c r="F305" s="383">
        <v>5.0000000000000001E-3</v>
      </c>
      <c r="G305" s="292" t="s">
        <v>18764</v>
      </c>
      <c r="H305" s="255">
        <v>0.12</v>
      </c>
      <c r="J305" s="634"/>
      <c r="K305" s="634"/>
      <c r="L305" s="634"/>
      <c r="M305" s="634"/>
      <c r="S305" s="536"/>
      <c r="T305" s="635"/>
    </row>
    <row r="306" spans="1:68" s="298" customFormat="1" ht="51">
      <c r="A306" s="256" t="s">
        <v>3259</v>
      </c>
      <c r="B306" s="288">
        <v>93287</v>
      </c>
      <c r="C306" s="289" t="s">
        <v>213</v>
      </c>
      <c r="D306" s="290" t="s">
        <v>8987</v>
      </c>
      <c r="E306" s="290" t="s">
        <v>212</v>
      </c>
      <c r="F306" s="383">
        <v>6.9999999999999999E-4</v>
      </c>
      <c r="G306" s="292" t="s">
        <v>21438</v>
      </c>
      <c r="H306" s="255">
        <v>0.23</v>
      </c>
      <c r="J306" s="634"/>
      <c r="K306" s="634"/>
      <c r="L306" s="634"/>
      <c r="M306" s="634"/>
      <c r="S306" s="536"/>
      <c r="T306" s="635"/>
    </row>
    <row r="307" spans="1:68" s="298" customFormat="1" ht="51">
      <c r="A307" s="256" t="s">
        <v>3259</v>
      </c>
      <c r="B307" s="288">
        <v>93288</v>
      </c>
      <c r="C307" s="289" t="s">
        <v>214</v>
      </c>
      <c r="D307" s="290" t="s">
        <v>8987</v>
      </c>
      <c r="E307" s="290" t="s">
        <v>215</v>
      </c>
      <c r="F307" s="383">
        <v>5.0000000000000001E-4</v>
      </c>
      <c r="G307" s="292" t="s">
        <v>21491</v>
      </c>
      <c r="H307" s="255">
        <v>0.04</v>
      </c>
      <c r="J307" s="634"/>
      <c r="K307" s="634"/>
      <c r="L307" s="634"/>
      <c r="M307" s="634"/>
      <c r="S307" s="536"/>
      <c r="T307" s="635"/>
    </row>
    <row r="308" spans="1:68" s="529" customFormat="1" ht="12.75">
      <c r="A308" s="286"/>
      <c r="B308" s="375" t="s">
        <v>143</v>
      </c>
      <c r="C308" s="816" t="s">
        <v>24489</v>
      </c>
      <c r="D308" s="817"/>
      <c r="E308" s="817"/>
      <c r="F308" s="817"/>
      <c r="G308" s="817"/>
      <c r="H308" s="818"/>
      <c r="I308" s="298"/>
      <c r="J308" s="634"/>
      <c r="K308" s="634"/>
      <c r="L308" s="634"/>
      <c r="M308" s="634"/>
      <c r="N308" s="298"/>
      <c r="O308" s="298"/>
      <c r="P308" s="298"/>
      <c r="Q308" s="298"/>
      <c r="R308" s="298"/>
      <c r="S308" s="536"/>
      <c r="T308" s="635"/>
      <c r="U308" s="298"/>
      <c r="V308" s="298"/>
      <c r="W308" s="298"/>
      <c r="X308" s="298"/>
      <c r="Y308" s="298"/>
      <c r="Z308" s="298"/>
      <c r="AA308" s="298"/>
      <c r="AB308" s="298"/>
      <c r="AC308" s="298"/>
      <c r="AD308" s="298"/>
      <c r="AE308" s="298"/>
      <c r="AF308" s="298"/>
      <c r="AG308" s="298"/>
      <c r="AH308" s="298"/>
      <c r="AI308" s="298"/>
      <c r="AJ308" s="298"/>
      <c r="AK308" s="298"/>
      <c r="AL308" s="298"/>
      <c r="AM308" s="298"/>
      <c r="AN308" s="298"/>
      <c r="AO308" s="298"/>
      <c r="AP308" s="298"/>
      <c r="AQ308" s="298"/>
      <c r="AR308" s="298"/>
      <c r="AS308" s="298"/>
      <c r="AT308" s="298"/>
      <c r="AU308" s="298"/>
      <c r="AV308" s="298"/>
      <c r="AW308" s="298"/>
      <c r="AX308" s="298"/>
      <c r="AY308" s="298"/>
      <c r="AZ308" s="298"/>
      <c r="BA308" s="298"/>
      <c r="BB308" s="298"/>
      <c r="BC308" s="298"/>
      <c r="BD308" s="298"/>
      <c r="BE308" s="298"/>
      <c r="BF308" s="298"/>
      <c r="BG308" s="298"/>
      <c r="BH308" s="298"/>
      <c r="BI308" s="298"/>
      <c r="BJ308" s="298"/>
      <c r="BK308" s="298"/>
      <c r="BL308" s="298"/>
      <c r="BM308" s="298"/>
      <c r="BN308" s="298"/>
      <c r="BO308" s="298"/>
      <c r="BP308" s="298"/>
    </row>
    <row r="309" spans="1:68" s="529" customFormat="1" ht="12.75">
      <c r="A309" s="286"/>
      <c r="B309" s="373"/>
      <c r="C309" s="735"/>
      <c r="D309" s="735"/>
      <c r="E309" s="735"/>
      <c r="F309" s="735"/>
      <c r="G309" s="735"/>
      <c r="H309" s="736"/>
      <c r="I309" s="298"/>
      <c r="J309" s="634"/>
      <c r="K309" s="634"/>
      <c r="L309" s="634"/>
      <c r="M309" s="634"/>
      <c r="N309" s="298"/>
      <c r="O309" s="298"/>
      <c r="P309" s="298"/>
      <c r="Q309" s="298"/>
      <c r="R309" s="298"/>
      <c r="S309" s="536"/>
      <c r="T309" s="635"/>
      <c r="U309" s="298"/>
      <c r="V309" s="298"/>
      <c r="W309" s="298"/>
      <c r="X309" s="298"/>
      <c r="Y309" s="298"/>
      <c r="Z309" s="298"/>
      <c r="AA309" s="298"/>
      <c r="AB309" s="298"/>
      <c r="AC309" s="298"/>
      <c r="AD309" s="298"/>
      <c r="AE309" s="298"/>
      <c r="AF309" s="298"/>
      <c r="AG309" s="298"/>
      <c r="AH309" s="298"/>
      <c r="AI309" s="298"/>
      <c r="AJ309" s="298"/>
      <c r="AK309" s="298"/>
      <c r="AL309" s="298"/>
      <c r="AM309" s="298"/>
      <c r="AN309" s="298"/>
      <c r="AO309" s="298"/>
      <c r="AP309" s="298"/>
      <c r="AQ309" s="298"/>
      <c r="AR309" s="298"/>
      <c r="AS309" s="298"/>
      <c r="AT309" s="298"/>
      <c r="AU309" s="298"/>
      <c r="AV309" s="298"/>
      <c r="AW309" s="298"/>
      <c r="AX309" s="298"/>
      <c r="AY309" s="298"/>
      <c r="AZ309" s="298"/>
      <c r="BA309" s="298"/>
      <c r="BB309" s="298"/>
      <c r="BC309" s="298"/>
      <c r="BD309" s="298"/>
      <c r="BE309" s="298"/>
      <c r="BF309" s="298"/>
      <c r="BG309" s="298"/>
      <c r="BH309" s="298"/>
      <c r="BI309" s="298"/>
      <c r="BJ309" s="298"/>
      <c r="BK309" s="298"/>
      <c r="BL309" s="298"/>
      <c r="BM309" s="298"/>
      <c r="BN309" s="298"/>
      <c r="BO309" s="298"/>
      <c r="BP309" s="298"/>
    </row>
    <row r="310" spans="1:68" s="529" customFormat="1" ht="51">
      <c r="A310" s="494"/>
      <c r="B310" s="372" t="s">
        <v>17861</v>
      </c>
      <c r="C310" s="231" t="s">
        <v>24513</v>
      </c>
      <c r="D310" s="232" t="s">
        <v>103</v>
      </c>
      <c r="E310" s="232" t="s">
        <v>3244</v>
      </c>
      <c r="F310" s="233"/>
      <c r="G310" s="234"/>
      <c r="H310" s="235">
        <v>11.3</v>
      </c>
      <c r="I310" s="298"/>
      <c r="J310" s="634"/>
      <c r="K310" s="634"/>
      <c r="L310" s="634"/>
      <c r="M310" s="634"/>
      <c r="N310" s="298"/>
      <c r="O310" s="298"/>
      <c r="P310" s="298"/>
      <c r="Q310" s="298"/>
      <c r="R310" s="298"/>
      <c r="S310" s="536"/>
      <c r="T310" s="635"/>
      <c r="U310" s="298"/>
      <c r="V310" s="298"/>
      <c r="W310" s="298"/>
      <c r="X310" s="298"/>
      <c r="Y310" s="298"/>
      <c r="Z310" s="298"/>
      <c r="AA310" s="298"/>
      <c r="AB310" s="298"/>
      <c r="AC310" s="298"/>
      <c r="AD310" s="298"/>
      <c r="AE310" s="298"/>
      <c r="AF310" s="298"/>
      <c r="AG310" s="298"/>
      <c r="AH310" s="298"/>
      <c r="AI310" s="298"/>
      <c r="AJ310" s="298"/>
      <c r="AK310" s="298"/>
      <c r="AL310" s="298"/>
      <c r="AM310" s="298"/>
      <c r="AN310" s="298"/>
      <c r="AO310" s="298"/>
      <c r="AP310" s="298"/>
      <c r="AQ310" s="298"/>
      <c r="AR310" s="298"/>
      <c r="AS310" s="298"/>
      <c r="AT310" s="298"/>
      <c r="AU310" s="298"/>
      <c r="AV310" s="298"/>
      <c r="AW310" s="298"/>
      <c r="AX310" s="298"/>
      <c r="AY310" s="298"/>
      <c r="AZ310" s="298"/>
      <c r="BA310" s="298"/>
      <c r="BB310" s="298"/>
      <c r="BC310" s="298"/>
      <c r="BD310" s="298"/>
      <c r="BE310" s="298"/>
      <c r="BF310" s="298"/>
      <c r="BG310" s="298"/>
      <c r="BH310" s="298"/>
      <c r="BI310" s="298"/>
      <c r="BJ310" s="298"/>
      <c r="BK310" s="298"/>
      <c r="BL310" s="298"/>
      <c r="BM310" s="298"/>
      <c r="BN310" s="298"/>
      <c r="BO310" s="298"/>
      <c r="BP310" s="298"/>
    </row>
    <row r="311" spans="1:68" s="298" customFormat="1" ht="25.5">
      <c r="A311" s="256" t="s">
        <v>3261</v>
      </c>
      <c r="B311" s="288">
        <v>1319</v>
      </c>
      <c r="C311" s="289" t="s">
        <v>5471</v>
      </c>
      <c r="D311" s="290" t="s">
        <v>207</v>
      </c>
      <c r="E311" s="290" t="s">
        <v>3244</v>
      </c>
      <c r="F311" s="383">
        <v>1</v>
      </c>
      <c r="G311" s="292" t="s">
        <v>10600</v>
      </c>
      <c r="H311" s="255">
        <v>10.44</v>
      </c>
      <c r="J311" s="634"/>
      <c r="K311" s="634"/>
      <c r="L311" s="634"/>
      <c r="M311" s="634"/>
      <c r="S311" s="536"/>
      <c r="T311" s="635"/>
    </row>
    <row r="312" spans="1:68" s="298" customFormat="1" ht="25.5">
      <c r="A312" s="256" t="s">
        <v>3261</v>
      </c>
      <c r="B312" s="288">
        <v>10997</v>
      </c>
      <c r="C312" s="289" t="s">
        <v>6208</v>
      </c>
      <c r="D312" s="290" t="s">
        <v>207</v>
      </c>
      <c r="E312" s="290" t="s">
        <v>3244</v>
      </c>
      <c r="F312" s="383">
        <v>1.8E-3</v>
      </c>
      <c r="G312" s="292" t="s">
        <v>14318</v>
      </c>
      <c r="H312" s="255">
        <v>0.03</v>
      </c>
      <c r="J312" s="634"/>
      <c r="K312" s="634"/>
      <c r="L312" s="634"/>
      <c r="M312" s="634"/>
      <c r="S312" s="536"/>
      <c r="T312" s="635"/>
    </row>
    <row r="313" spans="1:68" s="298" customFormat="1" ht="25.5">
      <c r="A313" s="256" t="s">
        <v>3259</v>
      </c>
      <c r="B313" s="288">
        <v>88240</v>
      </c>
      <c r="C313" s="289" t="s">
        <v>3045</v>
      </c>
      <c r="D313" s="290" t="s">
        <v>9714</v>
      </c>
      <c r="E313" s="290" t="s">
        <v>206</v>
      </c>
      <c r="F313" s="383">
        <v>8.0000000000000004E-4</v>
      </c>
      <c r="G313" s="292" t="s">
        <v>14168</v>
      </c>
      <c r="H313" s="255">
        <v>0.01</v>
      </c>
      <c r="J313" s="634"/>
      <c r="K313" s="634"/>
      <c r="L313" s="634"/>
      <c r="M313" s="634"/>
      <c r="S313" s="536"/>
      <c r="T313" s="635"/>
    </row>
    <row r="314" spans="1:68" s="298" customFormat="1" ht="25.5">
      <c r="A314" s="256" t="s">
        <v>3259</v>
      </c>
      <c r="B314" s="288">
        <v>88278</v>
      </c>
      <c r="C314" s="289" t="s">
        <v>3066</v>
      </c>
      <c r="D314" s="290" t="s">
        <v>9714</v>
      </c>
      <c r="E314" s="290" t="s">
        <v>206</v>
      </c>
      <c r="F314" s="383">
        <v>2.3699999999999999E-2</v>
      </c>
      <c r="G314" s="292" t="s">
        <v>19155</v>
      </c>
      <c r="H314" s="255">
        <v>0.43</v>
      </c>
      <c r="J314" s="634"/>
      <c r="K314" s="634"/>
      <c r="L314" s="634"/>
      <c r="M314" s="634"/>
      <c r="S314" s="536"/>
      <c r="T314" s="635"/>
    </row>
    <row r="315" spans="1:68" s="298" customFormat="1" ht="25.5">
      <c r="A315" s="256" t="s">
        <v>3259</v>
      </c>
      <c r="B315" s="288">
        <v>88317</v>
      </c>
      <c r="C315" s="289" t="s">
        <v>3096</v>
      </c>
      <c r="D315" s="290" t="s">
        <v>9714</v>
      </c>
      <c r="E315" s="290" t="s">
        <v>206</v>
      </c>
      <c r="F315" s="383">
        <v>5.0000000000000001E-3</v>
      </c>
      <c r="G315" s="292" t="s">
        <v>18764</v>
      </c>
      <c r="H315" s="255">
        <v>0.12</v>
      </c>
      <c r="J315" s="634"/>
      <c r="K315" s="634"/>
      <c r="L315" s="634"/>
      <c r="M315" s="634"/>
      <c r="S315" s="536"/>
      <c r="T315" s="635"/>
    </row>
    <row r="316" spans="1:68" s="298" customFormat="1" ht="51">
      <c r="A316" s="256" t="s">
        <v>3259</v>
      </c>
      <c r="B316" s="288">
        <v>93287</v>
      </c>
      <c r="C316" s="289" t="s">
        <v>213</v>
      </c>
      <c r="D316" s="290" t="s">
        <v>8987</v>
      </c>
      <c r="E316" s="290" t="s">
        <v>212</v>
      </c>
      <c r="F316" s="383">
        <v>6.9999999999999999E-4</v>
      </c>
      <c r="G316" s="292" t="s">
        <v>21438</v>
      </c>
      <c r="H316" s="255">
        <v>0.23</v>
      </c>
      <c r="J316" s="634"/>
      <c r="K316" s="634"/>
      <c r="L316" s="634"/>
      <c r="M316" s="634"/>
      <c r="S316" s="536"/>
      <c r="T316" s="635"/>
    </row>
    <row r="317" spans="1:68" s="298" customFormat="1" ht="51">
      <c r="A317" s="256" t="s">
        <v>3259</v>
      </c>
      <c r="B317" s="288">
        <v>93288</v>
      </c>
      <c r="C317" s="289" t="s">
        <v>214</v>
      </c>
      <c r="D317" s="290" t="s">
        <v>8987</v>
      </c>
      <c r="E317" s="290" t="s">
        <v>215</v>
      </c>
      <c r="F317" s="383">
        <v>5.0000000000000001E-4</v>
      </c>
      <c r="G317" s="292" t="s">
        <v>21491</v>
      </c>
      <c r="H317" s="255">
        <v>0.04</v>
      </c>
      <c r="J317" s="634"/>
      <c r="K317" s="634"/>
      <c r="L317" s="634"/>
      <c r="M317" s="634"/>
      <c r="S317" s="536"/>
      <c r="T317" s="635"/>
    </row>
    <row r="318" spans="1:68" s="529" customFormat="1" ht="18.75" customHeight="1">
      <c r="A318" s="286"/>
      <c r="B318" s="375" t="s">
        <v>143</v>
      </c>
      <c r="C318" s="816" t="s">
        <v>24489</v>
      </c>
      <c r="D318" s="817"/>
      <c r="E318" s="817"/>
      <c r="F318" s="817"/>
      <c r="G318" s="817"/>
      <c r="H318" s="818"/>
      <c r="I318" s="298"/>
      <c r="J318" s="634"/>
      <c r="K318" s="634"/>
      <c r="L318" s="634"/>
      <c r="M318" s="634"/>
      <c r="N318" s="298"/>
      <c r="O318" s="298"/>
      <c r="P318" s="298"/>
      <c r="Q318" s="298"/>
      <c r="R318" s="298"/>
      <c r="S318" s="536"/>
      <c r="T318" s="635"/>
      <c r="U318" s="298"/>
      <c r="V318" s="298"/>
      <c r="W318" s="298"/>
      <c r="X318" s="298"/>
      <c r="Y318" s="298"/>
      <c r="Z318" s="298"/>
      <c r="AA318" s="298"/>
      <c r="AB318" s="298"/>
      <c r="AC318" s="298"/>
      <c r="AD318" s="298"/>
      <c r="AE318" s="298"/>
      <c r="AF318" s="298"/>
      <c r="AG318" s="298"/>
      <c r="AH318" s="298"/>
      <c r="AI318" s="298"/>
      <c r="AJ318" s="298"/>
      <c r="AK318" s="298"/>
      <c r="AL318" s="298"/>
      <c r="AM318" s="298"/>
      <c r="AN318" s="298"/>
      <c r="AO318" s="298"/>
      <c r="AP318" s="298"/>
      <c r="AQ318" s="298"/>
      <c r="AR318" s="298"/>
      <c r="AS318" s="298"/>
      <c r="AT318" s="298"/>
      <c r="AU318" s="298"/>
      <c r="AV318" s="298"/>
      <c r="AW318" s="298"/>
      <c r="AX318" s="298"/>
      <c r="AY318" s="298"/>
      <c r="AZ318" s="298"/>
      <c r="BA318" s="298"/>
      <c r="BB318" s="298"/>
      <c r="BC318" s="298"/>
      <c r="BD318" s="298"/>
      <c r="BE318" s="298"/>
      <c r="BF318" s="298"/>
      <c r="BG318" s="298"/>
      <c r="BH318" s="298"/>
      <c r="BI318" s="298"/>
      <c r="BJ318" s="298"/>
      <c r="BK318" s="298"/>
      <c r="BL318" s="298"/>
      <c r="BM318" s="298"/>
      <c r="BN318" s="298"/>
      <c r="BO318" s="298"/>
      <c r="BP318" s="298"/>
    </row>
    <row r="319" spans="1:68" s="529" customFormat="1" ht="12.75">
      <c r="A319" s="286"/>
      <c r="B319" s="373"/>
      <c r="C319" s="735"/>
      <c r="D319" s="735"/>
      <c r="E319" s="735"/>
      <c r="F319" s="735"/>
      <c r="G319" s="735"/>
      <c r="H319" s="736"/>
      <c r="I319" s="298"/>
      <c r="J319" s="634"/>
      <c r="K319" s="634"/>
      <c r="L319" s="634"/>
      <c r="M319" s="634"/>
      <c r="N319" s="298"/>
      <c r="O319" s="298"/>
      <c r="P319" s="298"/>
      <c r="Q319" s="298"/>
      <c r="R319" s="298"/>
      <c r="S319" s="536"/>
      <c r="T319" s="635"/>
      <c r="U319" s="298"/>
      <c r="V319" s="298"/>
      <c r="W319" s="298"/>
      <c r="X319" s="298"/>
      <c r="Y319" s="298"/>
      <c r="Z319" s="298"/>
      <c r="AA319" s="298"/>
      <c r="AB319" s="298"/>
      <c r="AC319" s="298"/>
      <c r="AD319" s="298"/>
      <c r="AE319" s="298"/>
      <c r="AF319" s="298"/>
      <c r="AG319" s="298"/>
      <c r="AH319" s="298"/>
      <c r="AI319" s="298"/>
      <c r="AJ319" s="298"/>
      <c r="AK319" s="298"/>
      <c r="AL319" s="298"/>
      <c r="AM319" s="298"/>
      <c r="AN319" s="298"/>
      <c r="AO319" s="298"/>
      <c r="AP319" s="298"/>
      <c r="AQ319" s="298"/>
      <c r="AR319" s="298"/>
      <c r="AS319" s="298"/>
      <c r="AT319" s="298"/>
      <c r="AU319" s="298"/>
      <c r="AV319" s="298"/>
      <c r="AW319" s="298"/>
      <c r="AX319" s="298"/>
      <c r="AY319" s="298"/>
      <c r="AZ319" s="298"/>
      <c r="BA319" s="298"/>
      <c r="BB319" s="298"/>
      <c r="BC319" s="298"/>
      <c r="BD319" s="298"/>
      <c r="BE319" s="298"/>
      <c r="BF319" s="298"/>
      <c r="BG319" s="298"/>
      <c r="BH319" s="298"/>
      <c r="BI319" s="298"/>
      <c r="BJ319" s="298"/>
      <c r="BK319" s="298"/>
      <c r="BL319" s="298"/>
      <c r="BM319" s="298"/>
      <c r="BN319" s="298"/>
      <c r="BO319" s="298"/>
      <c r="BP319" s="298"/>
    </row>
    <row r="320" spans="1:68" s="529" customFormat="1" ht="38.25">
      <c r="A320" s="494"/>
      <c r="B320" s="372" t="s">
        <v>17862</v>
      </c>
      <c r="C320" s="231" t="s">
        <v>7555</v>
      </c>
      <c r="D320" s="232" t="s">
        <v>207</v>
      </c>
      <c r="E320" s="232" t="s">
        <v>109</v>
      </c>
      <c r="F320" s="233"/>
      <c r="G320" s="234"/>
      <c r="H320" s="235">
        <v>0.62</v>
      </c>
      <c r="I320" s="298"/>
      <c r="J320" s="634"/>
      <c r="K320" s="634"/>
      <c r="L320" s="634"/>
      <c r="M320" s="634"/>
      <c r="N320" s="298"/>
      <c r="O320" s="298"/>
      <c r="P320" s="298"/>
      <c r="Q320" s="298"/>
      <c r="R320" s="298"/>
      <c r="S320" s="536"/>
      <c r="T320" s="635"/>
      <c r="U320" s="298"/>
      <c r="V320" s="298"/>
      <c r="W320" s="298"/>
      <c r="X320" s="298"/>
      <c r="Y320" s="298"/>
      <c r="Z320" s="298"/>
      <c r="AA320" s="298"/>
      <c r="AB320" s="298"/>
      <c r="AC320" s="298"/>
      <c r="AD320" s="298"/>
      <c r="AE320" s="298"/>
      <c r="AF320" s="298"/>
      <c r="AG320" s="298"/>
      <c r="AH320" s="298"/>
      <c r="AI320" s="298"/>
      <c r="AJ320" s="298"/>
      <c r="AK320" s="298"/>
      <c r="AL320" s="298"/>
      <c r="AM320" s="298"/>
      <c r="AN320" s="298"/>
      <c r="AO320" s="298"/>
      <c r="AP320" s="298"/>
      <c r="AQ320" s="298"/>
      <c r="AR320" s="298"/>
      <c r="AS320" s="298"/>
      <c r="AT320" s="298"/>
      <c r="AU320" s="298"/>
      <c r="AV320" s="298"/>
      <c r="AW320" s="298"/>
      <c r="AX320" s="298"/>
      <c r="AY320" s="298"/>
      <c r="AZ320" s="298"/>
      <c r="BA320" s="298"/>
      <c r="BB320" s="298"/>
      <c r="BC320" s="298"/>
      <c r="BD320" s="298"/>
      <c r="BE320" s="298"/>
      <c r="BF320" s="298"/>
      <c r="BG320" s="298"/>
      <c r="BH320" s="298"/>
      <c r="BI320" s="298"/>
      <c r="BJ320" s="298"/>
      <c r="BK320" s="298"/>
      <c r="BL320" s="298"/>
      <c r="BM320" s="298"/>
      <c r="BN320" s="298"/>
      <c r="BO320" s="298"/>
      <c r="BP320" s="298"/>
    </row>
    <row r="321" spans="1:68" s="298" customFormat="1" ht="38.25">
      <c r="A321" s="256" t="s">
        <v>3261</v>
      </c>
      <c r="B321" s="288">
        <v>40839</v>
      </c>
      <c r="C321" s="289" t="s">
        <v>7555</v>
      </c>
      <c r="D321" s="290" t="s">
        <v>207</v>
      </c>
      <c r="E321" s="290" t="s">
        <v>3255</v>
      </c>
      <c r="F321" s="383">
        <v>0.01</v>
      </c>
      <c r="G321" s="292" t="s">
        <v>11535</v>
      </c>
      <c r="H321" s="255">
        <v>0.62</v>
      </c>
      <c r="J321" s="634"/>
      <c r="K321" s="634"/>
      <c r="L321" s="634"/>
      <c r="M321" s="634"/>
      <c r="S321" s="536"/>
      <c r="T321" s="635"/>
    </row>
    <row r="322" spans="1:68" s="529" customFormat="1" ht="12.75">
      <c r="A322" s="286"/>
      <c r="B322" s="375" t="s">
        <v>143</v>
      </c>
      <c r="C322" s="816" t="s">
        <v>24519</v>
      </c>
      <c r="D322" s="817"/>
      <c r="E322" s="817"/>
      <c r="F322" s="817"/>
      <c r="G322" s="817"/>
      <c r="H322" s="818"/>
      <c r="I322" s="298"/>
      <c r="J322" s="634"/>
      <c r="K322" s="634"/>
      <c r="L322" s="634"/>
      <c r="M322" s="634"/>
      <c r="N322" s="298"/>
      <c r="O322" s="298"/>
      <c r="P322" s="298"/>
      <c r="Q322" s="298"/>
      <c r="R322" s="298"/>
      <c r="S322" s="536"/>
      <c r="T322" s="635"/>
      <c r="U322" s="298"/>
      <c r="V322" s="298"/>
      <c r="W322" s="298"/>
      <c r="X322" s="298"/>
      <c r="Y322" s="298"/>
      <c r="Z322" s="298"/>
      <c r="AA322" s="298"/>
      <c r="AB322" s="298"/>
      <c r="AC322" s="298"/>
      <c r="AD322" s="298"/>
      <c r="AE322" s="298"/>
      <c r="AF322" s="298"/>
      <c r="AG322" s="298"/>
      <c r="AH322" s="298"/>
      <c r="AI322" s="298"/>
      <c r="AJ322" s="298"/>
      <c r="AK322" s="298"/>
      <c r="AL322" s="298"/>
      <c r="AM322" s="298"/>
      <c r="AN322" s="298"/>
      <c r="AO322" s="298"/>
      <c r="AP322" s="298"/>
      <c r="AQ322" s="298"/>
      <c r="AR322" s="298"/>
      <c r="AS322" s="298"/>
      <c r="AT322" s="298"/>
      <c r="AU322" s="298"/>
      <c r="AV322" s="298"/>
      <c r="AW322" s="298"/>
      <c r="AX322" s="298"/>
      <c r="AY322" s="298"/>
      <c r="AZ322" s="298"/>
      <c r="BA322" s="298"/>
      <c r="BB322" s="298"/>
      <c r="BC322" s="298"/>
      <c r="BD322" s="298"/>
      <c r="BE322" s="298"/>
      <c r="BF322" s="298"/>
      <c r="BG322" s="298"/>
      <c r="BH322" s="298"/>
      <c r="BI322" s="298"/>
      <c r="BJ322" s="298"/>
      <c r="BK322" s="298"/>
      <c r="BL322" s="298"/>
      <c r="BM322" s="298"/>
      <c r="BN322" s="298"/>
      <c r="BO322" s="298"/>
      <c r="BP322" s="298"/>
    </row>
    <row r="323" spans="1:68" s="529" customFormat="1" ht="12.75">
      <c r="A323" s="286"/>
      <c r="B323" s="373"/>
      <c r="C323" s="385"/>
      <c r="D323" s="385"/>
      <c r="E323" s="385"/>
      <c r="F323" s="385"/>
      <c r="G323" s="385"/>
      <c r="H323" s="641"/>
      <c r="I323" s="298"/>
      <c r="J323" s="634"/>
      <c r="K323" s="634"/>
      <c r="L323" s="634"/>
      <c r="M323" s="634"/>
      <c r="N323" s="298"/>
      <c r="O323" s="298"/>
      <c r="P323" s="298"/>
      <c r="Q323" s="298"/>
      <c r="R323" s="298"/>
      <c r="S323" s="536"/>
      <c r="T323" s="635"/>
      <c r="U323" s="298"/>
      <c r="V323" s="298"/>
      <c r="W323" s="298"/>
      <c r="X323" s="298"/>
      <c r="Y323" s="298"/>
      <c r="Z323" s="298"/>
      <c r="AA323" s="298"/>
      <c r="AB323" s="298"/>
      <c r="AC323" s="298"/>
      <c r="AD323" s="298"/>
      <c r="AE323" s="298"/>
      <c r="AF323" s="298"/>
      <c r="AG323" s="298"/>
      <c r="AH323" s="298"/>
      <c r="AI323" s="298"/>
      <c r="AJ323" s="298"/>
      <c r="AK323" s="298"/>
      <c r="AL323" s="298"/>
      <c r="AM323" s="298"/>
      <c r="AN323" s="298"/>
      <c r="AO323" s="298"/>
      <c r="AP323" s="298"/>
      <c r="AQ323" s="298"/>
      <c r="AR323" s="298"/>
      <c r="AS323" s="298"/>
      <c r="AT323" s="298"/>
      <c r="AU323" s="298"/>
      <c r="AV323" s="298"/>
      <c r="AW323" s="298"/>
      <c r="AX323" s="298"/>
      <c r="AY323" s="298"/>
      <c r="AZ323" s="298"/>
      <c r="BA323" s="298"/>
      <c r="BB323" s="298"/>
      <c r="BC323" s="298"/>
      <c r="BD323" s="298"/>
      <c r="BE323" s="298"/>
      <c r="BF323" s="298"/>
      <c r="BG323" s="298"/>
      <c r="BH323" s="298"/>
      <c r="BI323" s="298"/>
      <c r="BJ323" s="298"/>
      <c r="BK323" s="298"/>
      <c r="BL323" s="298"/>
      <c r="BM323" s="298"/>
      <c r="BN323" s="298"/>
      <c r="BO323" s="298"/>
      <c r="BP323" s="298"/>
    </row>
    <row r="324" spans="1:68" s="529" customFormat="1" ht="51">
      <c r="A324" s="494"/>
      <c r="B324" s="372" t="s">
        <v>17863</v>
      </c>
      <c r="C324" s="231" t="s">
        <v>17864</v>
      </c>
      <c r="D324" s="232" t="s">
        <v>103</v>
      </c>
      <c r="E324" s="232" t="s">
        <v>193</v>
      </c>
      <c r="F324" s="233"/>
      <c r="G324" s="234"/>
      <c r="H324" s="235">
        <v>16.18</v>
      </c>
      <c r="I324" s="298"/>
      <c r="J324" s="634"/>
      <c r="K324" s="634"/>
      <c r="L324" s="634"/>
      <c r="M324" s="634"/>
      <c r="N324" s="298"/>
      <c r="O324" s="298"/>
      <c r="P324" s="298"/>
      <c r="Q324" s="298"/>
      <c r="R324" s="298"/>
      <c r="S324" s="536"/>
      <c r="T324" s="635"/>
      <c r="U324" s="298"/>
      <c r="V324" s="298"/>
      <c r="W324" s="298"/>
      <c r="X324" s="298"/>
      <c r="Y324" s="298"/>
      <c r="Z324" s="298"/>
      <c r="AA324" s="298"/>
      <c r="AB324" s="298"/>
      <c r="AC324" s="298"/>
      <c r="AD324" s="298"/>
      <c r="AE324" s="298"/>
      <c r="AF324" s="298"/>
      <c r="AG324" s="298"/>
      <c r="AH324" s="298"/>
      <c r="AI324" s="298"/>
      <c r="AJ324" s="298"/>
      <c r="AK324" s="298"/>
      <c r="AL324" s="298"/>
      <c r="AM324" s="298"/>
      <c r="AN324" s="298"/>
      <c r="AO324" s="298"/>
      <c r="AP324" s="298"/>
      <c r="AQ324" s="298"/>
      <c r="AR324" s="298"/>
      <c r="AS324" s="298"/>
      <c r="AT324" s="298"/>
      <c r="AU324" s="298"/>
      <c r="AV324" s="298"/>
      <c r="AW324" s="298"/>
      <c r="AX324" s="298"/>
      <c r="AY324" s="298"/>
      <c r="AZ324" s="298"/>
      <c r="BA324" s="298"/>
      <c r="BB324" s="298"/>
      <c r="BC324" s="298"/>
      <c r="BD324" s="298"/>
      <c r="BE324" s="298"/>
      <c r="BF324" s="298"/>
      <c r="BG324" s="298"/>
      <c r="BH324" s="298"/>
      <c r="BI324" s="298"/>
      <c r="BJ324" s="298"/>
      <c r="BK324" s="298"/>
      <c r="BL324" s="298"/>
      <c r="BM324" s="298"/>
      <c r="BN324" s="298"/>
      <c r="BO324" s="298"/>
      <c r="BP324" s="298"/>
    </row>
    <row r="325" spans="1:68" s="298" customFormat="1" ht="12.75">
      <c r="A325" s="256" t="s">
        <v>3259</v>
      </c>
      <c r="B325" s="288">
        <v>88310</v>
      </c>
      <c r="C325" s="289" t="s">
        <v>226</v>
      </c>
      <c r="D325" s="290" t="s">
        <v>9714</v>
      </c>
      <c r="E325" s="290" t="s">
        <v>206</v>
      </c>
      <c r="F325" s="291">
        <v>0.127</v>
      </c>
      <c r="G325" s="292" t="s">
        <v>12276</v>
      </c>
      <c r="H325" s="255">
        <v>3.16</v>
      </c>
      <c r="J325" s="634"/>
      <c r="K325" s="634"/>
      <c r="L325" s="634"/>
      <c r="M325" s="634"/>
      <c r="S325" s="536"/>
      <c r="T325" s="635"/>
    </row>
    <row r="326" spans="1:68" s="298" customFormat="1" ht="25.5">
      <c r="A326" s="256" t="s">
        <v>3261</v>
      </c>
      <c r="B326" s="288">
        <v>7307</v>
      </c>
      <c r="C326" s="289" t="s">
        <v>6505</v>
      </c>
      <c r="D326" s="290" t="s">
        <v>207</v>
      </c>
      <c r="E326" s="290" t="s">
        <v>3245</v>
      </c>
      <c r="F326" s="291">
        <v>0.38159999999999999</v>
      </c>
      <c r="G326" s="292" t="s">
        <v>11120</v>
      </c>
      <c r="H326" s="255">
        <v>11.65</v>
      </c>
      <c r="J326" s="634"/>
      <c r="K326" s="634"/>
      <c r="L326" s="634"/>
      <c r="M326" s="634"/>
      <c r="S326" s="536"/>
      <c r="T326" s="635"/>
    </row>
    <row r="327" spans="1:68" s="298" customFormat="1" ht="12.75">
      <c r="A327" s="256" t="s">
        <v>3261</v>
      </c>
      <c r="B327" s="288">
        <v>5318</v>
      </c>
      <c r="C327" s="289" t="s">
        <v>8072</v>
      </c>
      <c r="D327" s="290" t="s">
        <v>207</v>
      </c>
      <c r="E327" s="290" t="s">
        <v>3245</v>
      </c>
      <c r="F327" s="291">
        <v>0.115</v>
      </c>
      <c r="G327" s="292" t="s">
        <v>11270</v>
      </c>
      <c r="H327" s="255">
        <v>1.37</v>
      </c>
      <c r="J327" s="634"/>
      <c r="K327" s="634"/>
      <c r="L327" s="634"/>
      <c r="M327" s="634"/>
      <c r="S327" s="536"/>
      <c r="T327" s="635"/>
    </row>
    <row r="328" spans="1:68" s="529" customFormat="1" ht="12.75">
      <c r="A328" s="286"/>
      <c r="B328" s="375" t="s">
        <v>143</v>
      </c>
      <c r="C328" s="816" t="s">
        <v>17865</v>
      </c>
      <c r="D328" s="817"/>
      <c r="E328" s="817"/>
      <c r="F328" s="817"/>
      <c r="G328" s="817"/>
      <c r="H328" s="818"/>
      <c r="I328" s="298"/>
      <c r="J328" s="634"/>
      <c r="K328" s="634"/>
      <c r="L328" s="634"/>
      <c r="M328" s="634"/>
      <c r="N328" s="298"/>
      <c r="O328" s="298"/>
      <c r="P328" s="298"/>
      <c r="Q328" s="298"/>
      <c r="R328" s="298"/>
      <c r="S328" s="536"/>
      <c r="T328" s="635"/>
      <c r="U328" s="298"/>
      <c r="V328" s="298"/>
      <c r="W328" s="298"/>
      <c r="X328" s="298"/>
      <c r="Y328" s="298"/>
      <c r="Z328" s="298"/>
      <c r="AA328" s="298"/>
      <c r="AB328" s="298"/>
      <c r="AC328" s="298"/>
      <c r="AD328" s="298"/>
      <c r="AE328" s="298"/>
      <c r="AF328" s="298"/>
      <c r="AG328" s="298"/>
      <c r="AH328" s="298"/>
      <c r="AI328" s="298"/>
      <c r="AJ328" s="298"/>
      <c r="AK328" s="298"/>
      <c r="AL328" s="298"/>
      <c r="AM328" s="298"/>
      <c r="AN328" s="298"/>
      <c r="AO328" s="298"/>
      <c r="AP328" s="298"/>
      <c r="AQ328" s="298"/>
      <c r="AR328" s="298"/>
      <c r="AS328" s="298"/>
      <c r="AT328" s="298"/>
      <c r="AU328" s="298"/>
      <c r="AV328" s="298"/>
      <c r="AW328" s="298"/>
      <c r="AX328" s="298"/>
      <c r="AY328" s="298"/>
      <c r="AZ328" s="298"/>
      <c r="BA328" s="298"/>
      <c r="BB328" s="298"/>
      <c r="BC328" s="298"/>
      <c r="BD328" s="298"/>
      <c r="BE328" s="298"/>
      <c r="BF328" s="298"/>
      <c r="BG328" s="298"/>
      <c r="BH328" s="298"/>
      <c r="BI328" s="298"/>
      <c r="BJ328" s="298"/>
      <c r="BK328" s="298"/>
      <c r="BL328" s="298"/>
      <c r="BM328" s="298"/>
      <c r="BN328" s="298"/>
      <c r="BO328" s="298"/>
      <c r="BP328" s="298"/>
    </row>
    <row r="329" spans="1:68" s="529" customFormat="1" ht="12.75">
      <c r="A329" s="286"/>
      <c r="B329" s="373"/>
      <c r="C329" s="385"/>
      <c r="D329" s="385"/>
      <c r="E329" s="385"/>
      <c r="F329" s="385"/>
      <c r="G329" s="385"/>
      <c r="H329" s="641"/>
      <c r="I329" s="298"/>
      <c r="J329" s="634"/>
      <c r="K329" s="634"/>
      <c r="L329" s="634"/>
      <c r="M329" s="634"/>
      <c r="N329" s="298"/>
      <c r="O329" s="298"/>
      <c r="P329" s="298"/>
      <c r="Q329" s="298"/>
      <c r="R329" s="298"/>
      <c r="S329" s="536"/>
      <c r="T329" s="635"/>
      <c r="U329" s="298"/>
      <c r="V329" s="298"/>
      <c r="W329" s="298"/>
      <c r="X329" s="298"/>
      <c r="Y329" s="298"/>
      <c r="Z329" s="298"/>
      <c r="AA329" s="298"/>
      <c r="AB329" s="298"/>
      <c r="AC329" s="298"/>
      <c r="AD329" s="298"/>
      <c r="AE329" s="298"/>
      <c r="AF329" s="298"/>
      <c r="AG329" s="298"/>
      <c r="AH329" s="298"/>
      <c r="AI329" s="298"/>
      <c r="AJ329" s="298"/>
      <c r="AK329" s="298"/>
      <c r="AL329" s="298"/>
      <c r="AM329" s="298"/>
      <c r="AN329" s="298"/>
      <c r="AO329" s="298"/>
      <c r="AP329" s="298"/>
      <c r="AQ329" s="298"/>
      <c r="AR329" s="298"/>
      <c r="AS329" s="298"/>
      <c r="AT329" s="298"/>
      <c r="AU329" s="298"/>
      <c r="AV329" s="298"/>
      <c r="AW329" s="298"/>
      <c r="AX329" s="298"/>
      <c r="AY329" s="298"/>
      <c r="AZ329" s="298"/>
      <c r="BA329" s="298"/>
      <c r="BB329" s="298"/>
      <c r="BC329" s="298"/>
      <c r="BD329" s="298"/>
      <c r="BE329" s="298"/>
      <c r="BF329" s="298"/>
      <c r="BG329" s="298"/>
      <c r="BH329" s="298"/>
      <c r="BI329" s="298"/>
      <c r="BJ329" s="298"/>
      <c r="BK329" s="298"/>
      <c r="BL329" s="298"/>
      <c r="BM329" s="298"/>
      <c r="BN329" s="298"/>
      <c r="BO329" s="298"/>
      <c r="BP329" s="298"/>
    </row>
    <row r="330" spans="1:68" s="529" customFormat="1" ht="63.75">
      <c r="A330" s="494"/>
      <c r="B330" s="372" t="s">
        <v>17866</v>
      </c>
      <c r="C330" s="231" t="s">
        <v>24511</v>
      </c>
      <c r="D330" s="232" t="s">
        <v>103</v>
      </c>
      <c r="E330" s="232" t="s">
        <v>193</v>
      </c>
      <c r="F330" s="233"/>
      <c r="G330" s="234"/>
      <c r="H330" s="235">
        <v>15.92</v>
      </c>
      <c r="I330" s="298"/>
      <c r="J330" s="634"/>
      <c r="K330" s="634"/>
      <c r="L330" s="634"/>
      <c r="M330" s="634"/>
      <c r="N330" s="298"/>
      <c r="O330" s="298"/>
      <c r="P330" s="298"/>
      <c r="Q330" s="298"/>
      <c r="R330" s="298"/>
      <c r="S330" s="536"/>
      <c r="T330" s="635"/>
      <c r="U330" s="298"/>
      <c r="V330" s="298"/>
      <c r="W330" s="298"/>
      <c r="X330" s="298"/>
      <c r="Y330" s="298"/>
      <c r="Z330" s="298"/>
      <c r="AA330" s="298"/>
      <c r="AB330" s="298"/>
      <c r="AC330" s="298"/>
      <c r="AD330" s="298"/>
      <c r="AE330" s="298"/>
      <c r="AF330" s="298"/>
      <c r="AG330" s="298"/>
      <c r="AH330" s="298"/>
      <c r="AI330" s="298"/>
      <c r="AJ330" s="298"/>
      <c r="AK330" s="298"/>
      <c r="AL330" s="298"/>
      <c r="AM330" s="298"/>
      <c r="AN330" s="298"/>
      <c r="AO330" s="298"/>
      <c r="AP330" s="298"/>
      <c r="AQ330" s="298"/>
      <c r="AR330" s="298"/>
      <c r="AS330" s="298"/>
      <c r="AT330" s="298"/>
      <c r="AU330" s="298"/>
      <c r="AV330" s="298"/>
      <c r="AW330" s="298"/>
      <c r="AX330" s="298"/>
      <c r="AY330" s="298"/>
      <c r="AZ330" s="298"/>
      <c r="BA330" s="298"/>
      <c r="BB330" s="298"/>
      <c r="BC330" s="298"/>
      <c r="BD330" s="298"/>
      <c r="BE330" s="298"/>
      <c r="BF330" s="298"/>
      <c r="BG330" s="298"/>
      <c r="BH330" s="298"/>
      <c r="BI330" s="298"/>
      <c r="BJ330" s="298"/>
      <c r="BK330" s="298"/>
      <c r="BL330" s="298"/>
      <c r="BM330" s="298"/>
      <c r="BN330" s="298"/>
      <c r="BO330" s="298"/>
      <c r="BP330" s="298"/>
    </row>
    <row r="331" spans="1:68" s="298" customFormat="1" ht="12.75">
      <c r="A331" s="256" t="s">
        <v>3261</v>
      </c>
      <c r="B331" s="288">
        <v>5318</v>
      </c>
      <c r="C331" s="289" t="s">
        <v>8072</v>
      </c>
      <c r="D331" s="290" t="s">
        <v>207</v>
      </c>
      <c r="E331" s="290" t="s">
        <v>3245</v>
      </c>
      <c r="F331" s="291">
        <v>0.1168</v>
      </c>
      <c r="G331" s="292" t="s">
        <v>11270</v>
      </c>
      <c r="H331" s="255">
        <v>1.39</v>
      </c>
      <c r="J331" s="634"/>
      <c r="K331" s="634"/>
      <c r="L331" s="634"/>
      <c r="M331" s="634"/>
      <c r="S331" s="536"/>
      <c r="T331" s="635"/>
    </row>
    <row r="332" spans="1:68" s="298" customFormat="1" ht="25.5">
      <c r="A332" s="256" t="s">
        <v>3261</v>
      </c>
      <c r="B332" s="288">
        <v>7311</v>
      </c>
      <c r="C332" s="289" t="s">
        <v>8475</v>
      </c>
      <c r="D332" s="290" t="s">
        <v>207</v>
      </c>
      <c r="E332" s="290" t="s">
        <v>3245</v>
      </c>
      <c r="F332" s="291">
        <v>0.38900000000000001</v>
      </c>
      <c r="G332" s="292" t="s">
        <v>14314</v>
      </c>
      <c r="H332" s="255">
        <v>11.37</v>
      </c>
      <c r="J332" s="634"/>
      <c r="K332" s="634"/>
      <c r="L332" s="634"/>
      <c r="M332" s="634"/>
      <c r="S332" s="536"/>
      <c r="T332" s="635"/>
    </row>
    <row r="333" spans="1:68" s="298" customFormat="1" ht="12.75">
      <c r="A333" s="256" t="s">
        <v>3259</v>
      </c>
      <c r="B333" s="288">
        <v>88310</v>
      </c>
      <c r="C333" s="289" t="s">
        <v>226</v>
      </c>
      <c r="D333" s="290" t="s">
        <v>9714</v>
      </c>
      <c r="E333" s="290" t="s">
        <v>206</v>
      </c>
      <c r="F333" s="291">
        <v>0.127</v>
      </c>
      <c r="G333" s="292" t="s">
        <v>12276</v>
      </c>
      <c r="H333" s="255">
        <v>3.16</v>
      </c>
      <c r="J333" s="634"/>
      <c r="K333" s="634"/>
      <c r="L333" s="634"/>
      <c r="M333" s="634"/>
      <c r="S333" s="536"/>
      <c r="T333" s="635"/>
    </row>
    <row r="334" spans="1:68" s="529" customFormat="1" ht="12.75">
      <c r="A334" s="286"/>
      <c r="B334" s="375" t="s">
        <v>143</v>
      </c>
      <c r="C334" s="816" t="s">
        <v>24512</v>
      </c>
      <c r="D334" s="817"/>
      <c r="E334" s="817"/>
      <c r="F334" s="817"/>
      <c r="G334" s="817"/>
      <c r="H334" s="818"/>
      <c r="I334" s="298"/>
      <c r="J334" s="634"/>
      <c r="K334" s="634"/>
      <c r="L334" s="634"/>
      <c r="M334" s="634"/>
      <c r="N334" s="298"/>
      <c r="O334" s="298"/>
      <c r="P334" s="298"/>
      <c r="Q334" s="298"/>
      <c r="R334" s="298"/>
      <c r="S334" s="536"/>
      <c r="T334" s="635"/>
      <c r="U334" s="298"/>
      <c r="V334" s="298"/>
      <c r="W334" s="298"/>
      <c r="X334" s="298"/>
      <c r="Y334" s="298"/>
      <c r="Z334" s="298"/>
      <c r="AA334" s="298"/>
      <c r="AB334" s="298"/>
      <c r="AC334" s="298"/>
      <c r="AD334" s="298"/>
      <c r="AE334" s="298"/>
      <c r="AF334" s="298"/>
      <c r="AG334" s="298"/>
      <c r="AH334" s="298"/>
      <c r="AI334" s="298"/>
      <c r="AJ334" s="298"/>
      <c r="AK334" s="298"/>
      <c r="AL334" s="298"/>
      <c r="AM334" s="298"/>
      <c r="AN334" s="298"/>
      <c r="AO334" s="298"/>
      <c r="AP334" s="298"/>
      <c r="AQ334" s="298"/>
      <c r="AR334" s="298"/>
      <c r="AS334" s="298"/>
      <c r="AT334" s="298"/>
      <c r="AU334" s="298"/>
      <c r="AV334" s="298"/>
      <c r="AW334" s="298"/>
      <c r="AX334" s="298"/>
      <c r="AY334" s="298"/>
      <c r="AZ334" s="298"/>
      <c r="BA334" s="298"/>
      <c r="BB334" s="298"/>
      <c r="BC334" s="298"/>
      <c r="BD334" s="298"/>
      <c r="BE334" s="298"/>
      <c r="BF334" s="298"/>
      <c r="BG334" s="298"/>
      <c r="BH334" s="298"/>
      <c r="BI334" s="298"/>
      <c r="BJ334" s="298"/>
      <c r="BK334" s="298"/>
      <c r="BL334" s="298"/>
      <c r="BM334" s="298"/>
      <c r="BN334" s="298"/>
      <c r="BO334" s="298"/>
      <c r="BP334" s="298"/>
    </row>
    <row r="335" spans="1:68" s="529" customFormat="1" ht="12.75">
      <c r="A335" s="286"/>
      <c r="B335" s="373"/>
      <c r="C335" s="745"/>
      <c r="D335" s="745"/>
      <c r="E335" s="745"/>
      <c r="F335" s="745"/>
      <c r="G335" s="745"/>
      <c r="H335" s="746"/>
      <c r="I335" s="298"/>
      <c r="J335" s="634"/>
      <c r="K335" s="634"/>
      <c r="L335" s="634"/>
      <c r="M335" s="634"/>
      <c r="N335" s="298"/>
      <c r="O335" s="298"/>
      <c r="P335" s="298"/>
      <c r="Q335" s="298"/>
      <c r="R335" s="298"/>
      <c r="S335" s="536"/>
      <c r="T335" s="635"/>
      <c r="U335" s="298"/>
      <c r="V335" s="298"/>
      <c r="W335" s="298"/>
      <c r="X335" s="298"/>
      <c r="Y335" s="298"/>
      <c r="Z335" s="298"/>
      <c r="AA335" s="298"/>
      <c r="AB335" s="298"/>
      <c r="AC335" s="298"/>
      <c r="AD335" s="298"/>
      <c r="AE335" s="298"/>
      <c r="AF335" s="298"/>
      <c r="AG335" s="298"/>
      <c r="AH335" s="298"/>
      <c r="AI335" s="298"/>
      <c r="AJ335" s="298"/>
      <c r="AK335" s="298"/>
      <c r="AL335" s="298"/>
      <c r="AM335" s="298"/>
      <c r="AN335" s="298"/>
      <c r="AO335" s="298"/>
      <c r="AP335" s="298"/>
      <c r="AQ335" s="298"/>
      <c r="AR335" s="298"/>
      <c r="AS335" s="298"/>
      <c r="AT335" s="298"/>
      <c r="AU335" s="298"/>
      <c r="AV335" s="298"/>
      <c r="AW335" s="298"/>
      <c r="AX335" s="298"/>
      <c r="AY335" s="298"/>
      <c r="AZ335" s="298"/>
      <c r="BA335" s="298"/>
      <c r="BB335" s="298"/>
      <c r="BC335" s="298"/>
      <c r="BD335" s="298"/>
      <c r="BE335" s="298"/>
      <c r="BF335" s="298"/>
      <c r="BG335" s="298"/>
      <c r="BH335" s="298"/>
      <c r="BI335" s="298"/>
      <c r="BJ335" s="298"/>
      <c r="BK335" s="298"/>
      <c r="BL335" s="298"/>
      <c r="BM335" s="298"/>
      <c r="BN335" s="298"/>
      <c r="BO335" s="298"/>
      <c r="BP335" s="298"/>
    </row>
    <row r="336" spans="1:68" s="644" customFormat="1" ht="63.75">
      <c r="A336" s="555"/>
      <c r="B336" s="372" t="s">
        <v>17867</v>
      </c>
      <c r="C336" s="231" t="s">
        <v>24758</v>
      </c>
      <c r="D336" s="232" t="s">
        <v>103</v>
      </c>
      <c r="E336" s="232" t="s">
        <v>3244</v>
      </c>
      <c r="F336" s="233"/>
      <c r="G336" s="234"/>
      <c r="H336" s="235">
        <v>11.48</v>
      </c>
      <c r="I336" s="298"/>
      <c r="J336" s="634"/>
      <c r="K336" s="634"/>
      <c r="L336" s="634"/>
      <c r="M336" s="634"/>
      <c r="N336" s="298"/>
      <c r="O336" s="298"/>
      <c r="P336" s="298"/>
      <c r="Q336" s="298"/>
      <c r="R336" s="298"/>
      <c r="S336" s="536"/>
      <c r="T336" s="635"/>
      <c r="U336" s="298"/>
      <c r="V336" s="298"/>
      <c r="W336" s="298"/>
      <c r="X336" s="298"/>
      <c r="Y336" s="298"/>
      <c r="Z336" s="298"/>
      <c r="AA336" s="298"/>
      <c r="AB336" s="298"/>
      <c r="AC336" s="298"/>
      <c r="AD336" s="298"/>
      <c r="AE336" s="298"/>
      <c r="AF336" s="298"/>
      <c r="AG336" s="298"/>
      <c r="AH336" s="298"/>
      <c r="AI336" s="298"/>
      <c r="AJ336" s="298"/>
      <c r="AK336" s="298"/>
      <c r="AL336" s="298"/>
      <c r="AM336" s="298"/>
      <c r="AN336" s="298"/>
      <c r="AO336" s="298"/>
      <c r="AP336" s="298"/>
      <c r="AQ336" s="298"/>
      <c r="AR336" s="298"/>
      <c r="AS336" s="298"/>
      <c r="AT336" s="298"/>
      <c r="AU336" s="298"/>
      <c r="AV336" s="298"/>
      <c r="AW336" s="298"/>
      <c r="AX336" s="298"/>
      <c r="AY336" s="298"/>
      <c r="AZ336" s="298"/>
      <c r="BA336" s="298"/>
      <c r="BB336" s="298"/>
      <c r="BC336" s="298"/>
      <c r="BD336" s="298"/>
      <c r="BE336" s="298"/>
      <c r="BF336" s="298"/>
      <c r="BG336" s="298"/>
      <c r="BH336" s="298"/>
      <c r="BI336" s="298"/>
      <c r="BJ336" s="298"/>
      <c r="BK336" s="298"/>
      <c r="BL336" s="298"/>
      <c r="BM336" s="298"/>
      <c r="BN336" s="298"/>
      <c r="BO336" s="298"/>
      <c r="BP336" s="298"/>
    </row>
    <row r="337" spans="1:68" s="298" customFormat="1" ht="25.5">
      <c r="A337" s="256" t="s">
        <v>3261</v>
      </c>
      <c r="B337" s="288">
        <v>43692</v>
      </c>
      <c r="C337" s="289" t="s">
        <v>9552</v>
      </c>
      <c r="D337" s="290" t="s">
        <v>207</v>
      </c>
      <c r="E337" s="290" t="s">
        <v>3244</v>
      </c>
      <c r="F337" s="383">
        <v>1</v>
      </c>
      <c r="G337" s="292" t="s">
        <v>11240</v>
      </c>
      <c r="H337" s="255">
        <v>11.1</v>
      </c>
      <c r="J337" s="634"/>
      <c r="K337" s="634"/>
      <c r="L337" s="634"/>
      <c r="M337" s="634"/>
      <c r="S337" s="536"/>
      <c r="T337" s="635"/>
    </row>
    <row r="338" spans="1:68" s="298" customFormat="1" ht="25.5">
      <c r="A338" s="256" t="s">
        <v>3259</v>
      </c>
      <c r="B338" s="288">
        <v>88240</v>
      </c>
      <c r="C338" s="289" t="s">
        <v>3045</v>
      </c>
      <c r="D338" s="290" t="s">
        <v>9714</v>
      </c>
      <c r="E338" s="290" t="s">
        <v>206</v>
      </c>
      <c r="F338" s="383">
        <v>8.9999999999999998E-4</v>
      </c>
      <c r="G338" s="292" t="s">
        <v>14168</v>
      </c>
      <c r="H338" s="255">
        <v>0.01</v>
      </c>
      <c r="J338" s="634"/>
      <c r="K338" s="634"/>
      <c r="L338" s="634"/>
      <c r="M338" s="634"/>
      <c r="S338" s="536"/>
      <c r="T338" s="635"/>
    </row>
    <row r="339" spans="1:68" s="298" customFormat="1" ht="25.5">
      <c r="A339" s="256" t="s">
        <v>3259</v>
      </c>
      <c r="B339" s="288">
        <v>88278</v>
      </c>
      <c r="C339" s="289" t="s">
        <v>3066</v>
      </c>
      <c r="D339" s="290" t="s">
        <v>9714</v>
      </c>
      <c r="E339" s="290" t="s">
        <v>206</v>
      </c>
      <c r="F339" s="383">
        <v>5.0000000000000001E-3</v>
      </c>
      <c r="G339" s="292" t="s">
        <v>19155</v>
      </c>
      <c r="H339" s="255">
        <v>0.09</v>
      </c>
      <c r="J339" s="634"/>
      <c r="K339" s="634"/>
      <c r="L339" s="634"/>
      <c r="M339" s="634"/>
      <c r="S339" s="536"/>
      <c r="T339" s="635"/>
    </row>
    <row r="340" spans="1:68" s="298" customFormat="1" ht="51">
      <c r="A340" s="256" t="s">
        <v>3259</v>
      </c>
      <c r="B340" s="288">
        <v>93287</v>
      </c>
      <c r="C340" s="289" t="s">
        <v>213</v>
      </c>
      <c r="D340" s="290" t="s">
        <v>8987</v>
      </c>
      <c r="E340" s="290" t="s">
        <v>212</v>
      </c>
      <c r="F340" s="383">
        <v>6.9999999999999999E-4</v>
      </c>
      <c r="G340" s="292" t="s">
        <v>21438</v>
      </c>
      <c r="H340" s="255">
        <v>0.23</v>
      </c>
      <c r="J340" s="634"/>
      <c r="K340" s="634"/>
      <c r="L340" s="634"/>
      <c r="M340" s="634"/>
      <c r="S340" s="536"/>
      <c r="T340" s="635"/>
    </row>
    <row r="341" spans="1:68" s="298" customFormat="1" ht="51">
      <c r="A341" s="256" t="s">
        <v>3259</v>
      </c>
      <c r="B341" s="288">
        <v>93288</v>
      </c>
      <c r="C341" s="289" t="s">
        <v>214</v>
      </c>
      <c r="D341" s="290" t="s">
        <v>8987</v>
      </c>
      <c r="E341" s="290" t="s">
        <v>215</v>
      </c>
      <c r="F341" s="383">
        <v>5.9999999999999995E-4</v>
      </c>
      <c r="G341" s="292" t="s">
        <v>21491</v>
      </c>
      <c r="H341" s="255">
        <v>0.05</v>
      </c>
      <c r="J341" s="634"/>
      <c r="K341" s="634"/>
      <c r="L341" s="634"/>
      <c r="M341" s="634"/>
      <c r="S341" s="536"/>
      <c r="T341" s="635"/>
    </row>
    <row r="342" spans="1:68" s="529" customFormat="1" ht="12.75">
      <c r="A342" s="286"/>
      <c r="B342" s="375" t="s">
        <v>143</v>
      </c>
      <c r="C342" s="816" t="s">
        <v>24759</v>
      </c>
      <c r="D342" s="817"/>
      <c r="E342" s="817"/>
      <c r="F342" s="817"/>
      <c r="G342" s="817"/>
      <c r="H342" s="818"/>
      <c r="I342" s="298"/>
      <c r="J342" s="634"/>
      <c r="K342" s="634"/>
      <c r="L342" s="634"/>
      <c r="M342" s="634"/>
      <c r="N342" s="298"/>
      <c r="O342" s="298"/>
      <c r="P342" s="298"/>
      <c r="Q342" s="298"/>
      <c r="R342" s="298"/>
      <c r="S342" s="536"/>
      <c r="T342" s="635"/>
      <c r="U342" s="298"/>
      <c r="V342" s="298"/>
      <c r="W342" s="298"/>
      <c r="X342" s="298"/>
      <c r="Y342" s="298"/>
      <c r="Z342" s="298"/>
      <c r="AA342" s="298"/>
      <c r="AB342" s="298"/>
      <c r="AC342" s="298"/>
      <c r="AD342" s="298"/>
      <c r="AE342" s="298"/>
      <c r="AF342" s="298"/>
      <c r="AG342" s="298"/>
      <c r="AH342" s="298"/>
      <c r="AI342" s="298"/>
      <c r="AJ342" s="298"/>
      <c r="AK342" s="298"/>
      <c r="AL342" s="298"/>
      <c r="AM342" s="298"/>
      <c r="AN342" s="298"/>
      <c r="AO342" s="298"/>
      <c r="AP342" s="298"/>
      <c r="AQ342" s="298"/>
      <c r="AR342" s="298"/>
      <c r="AS342" s="298"/>
      <c r="AT342" s="298"/>
      <c r="AU342" s="298"/>
      <c r="AV342" s="298"/>
      <c r="AW342" s="298"/>
      <c r="AX342" s="298"/>
      <c r="AY342" s="298"/>
      <c r="AZ342" s="298"/>
      <c r="BA342" s="298"/>
      <c r="BB342" s="298"/>
      <c r="BC342" s="298"/>
      <c r="BD342" s="298"/>
      <c r="BE342" s="298"/>
      <c r="BF342" s="298"/>
      <c r="BG342" s="298"/>
      <c r="BH342" s="298"/>
      <c r="BI342" s="298"/>
      <c r="BJ342" s="298"/>
      <c r="BK342" s="298"/>
      <c r="BL342" s="298"/>
      <c r="BM342" s="298"/>
      <c r="BN342" s="298"/>
      <c r="BO342" s="298"/>
      <c r="BP342" s="298"/>
    </row>
    <row r="343" spans="1:68" s="529" customFormat="1" ht="12.75">
      <c r="A343" s="286"/>
      <c r="B343" s="373"/>
      <c r="C343" s="745"/>
      <c r="D343" s="745"/>
      <c r="E343" s="745"/>
      <c r="F343" s="745"/>
      <c r="G343" s="745"/>
      <c r="H343" s="746"/>
      <c r="I343" s="298"/>
      <c r="J343" s="634"/>
      <c r="K343" s="634"/>
      <c r="L343" s="634"/>
      <c r="M343" s="634"/>
      <c r="N343" s="298"/>
      <c r="O343" s="298"/>
      <c r="P343" s="298"/>
      <c r="Q343" s="298"/>
      <c r="R343" s="298"/>
      <c r="S343" s="536"/>
      <c r="T343" s="635"/>
      <c r="U343" s="298"/>
      <c r="V343" s="298"/>
      <c r="W343" s="298"/>
      <c r="X343" s="298"/>
      <c r="Y343" s="298"/>
      <c r="Z343" s="298"/>
      <c r="AA343" s="298"/>
      <c r="AB343" s="298"/>
      <c r="AC343" s="298"/>
      <c r="AD343" s="298"/>
      <c r="AE343" s="298"/>
      <c r="AF343" s="298"/>
      <c r="AG343" s="298"/>
      <c r="AH343" s="298"/>
      <c r="AI343" s="298"/>
      <c r="AJ343" s="298"/>
      <c r="AK343" s="298"/>
      <c r="AL343" s="298"/>
      <c r="AM343" s="298"/>
      <c r="AN343" s="298"/>
      <c r="AO343" s="298"/>
      <c r="AP343" s="298"/>
      <c r="AQ343" s="298"/>
      <c r="AR343" s="298"/>
      <c r="AS343" s="298"/>
      <c r="AT343" s="298"/>
      <c r="AU343" s="298"/>
      <c r="AV343" s="298"/>
      <c r="AW343" s="298"/>
      <c r="AX343" s="298"/>
      <c r="AY343" s="298"/>
      <c r="AZ343" s="298"/>
      <c r="BA343" s="298"/>
      <c r="BB343" s="298"/>
      <c r="BC343" s="298"/>
      <c r="BD343" s="298"/>
      <c r="BE343" s="298"/>
      <c r="BF343" s="298"/>
      <c r="BG343" s="298"/>
      <c r="BH343" s="298"/>
      <c r="BI343" s="298"/>
      <c r="BJ343" s="298"/>
      <c r="BK343" s="298"/>
      <c r="BL343" s="298"/>
      <c r="BM343" s="298"/>
      <c r="BN343" s="298"/>
      <c r="BO343" s="298"/>
      <c r="BP343" s="298"/>
    </row>
    <row r="344" spans="1:68" s="644" customFormat="1" ht="63.75">
      <c r="A344" s="555"/>
      <c r="B344" s="372" t="s">
        <v>24753</v>
      </c>
      <c r="C344" s="231" t="s">
        <v>24760</v>
      </c>
      <c r="D344" s="232" t="s">
        <v>103</v>
      </c>
      <c r="E344" s="232" t="s">
        <v>3244</v>
      </c>
      <c r="F344" s="233"/>
      <c r="G344" s="234"/>
      <c r="H344" s="235">
        <v>11.48</v>
      </c>
      <c r="I344" s="298"/>
      <c r="J344" s="634"/>
      <c r="K344" s="634"/>
      <c r="L344" s="634"/>
      <c r="M344" s="634"/>
      <c r="N344" s="298"/>
      <c r="O344" s="298"/>
      <c r="P344" s="298"/>
      <c r="Q344" s="298"/>
      <c r="R344" s="298"/>
      <c r="S344" s="536"/>
      <c r="T344" s="635"/>
      <c r="U344" s="298"/>
      <c r="V344" s="298"/>
      <c r="W344" s="298"/>
      <c r="X344" s="298"/>
      <c r="Y344" s="298"/>
      <c r="Z344" s="298"/>
      <c r="AA344" s="298"/>
      <c r="AB344" s="298"/>
      <c r="AC344" s="298"/>
      <c r="AD344" s="298"/>
      <c r="AE344" s="298"/>
      <c r="AF344" s="298"/>
      <c r="AG344" s="298"/>
      <c r="AH344" s="298"/>
      <c r="AI344" s="298"/>
      <c r="AJ344" s="298"/>
      <c r="AK344" s="298"/>
      <c r="AL344" s="298"/>
      <c r="AM344" s="298"/>
      <c r="AN344" s="298"/>
      <c r="AO344" s="298"/>
      <c r="AP344" s="298"/>
      <c r="AQ344" s="298"/>
      <c r="AR344" s="298"/>
      <c r="AS344" s="298"/>
      <c r="AT344" s="298"/>
      <c r="AU344" s="298"/>
      <c r="AV344" s="298"/>
      <c r="AW344" s="298"/>
      <c r="AX344" s="298"/>
      <c r="AY344" s="298"/>
      <c r="AZ344" s="298"/>
      <c r="BA344" s="298"/>
      <c r="BB344" s="298"/>
      <c r="BC344" s="298"/>
      <c r="BD344" s="298"/>
      <c r="BE344" s="298"/>
      <c r="BF344" s="298"/>
      <c r="BG344" s="298"/>
      <c r="BH344" s="298"/>
      <c r="BI344" s="298"/>
      <c r="BJ344" s="298"/>
      <c r="BK344" s="298"/>
      <c r="BL344" s="298"/>
      <c r="BM344" s="298"/>
      <c r="BN344" s="298"/>
      <c r="BO344" s="298"/>
      <c r="BP344" s="298"/>
    </row>
    <row r="345" spans="1:68" s="298" customFormat="1" ht="25.5">
      <c r="A345" s="256" t="s">
        <v>3261</v>
      </c>
      <c r="B345" s="288">
        <v>43692</v>
      </c>
      <c r="C345" s="289" t="s">
        <v>9552</v>
      </c>
      <c r="D345" s="290" t="s">
        <v>207</v>
      </c>
      <c r="E345" s="290" t="s">
        <v>3244</v>
      </c>
      <c r="F345" s="383">
        <v>1</v>
      </c>
      <c r="G345" s="292" t="s">
        <v>11240</v>
      </c>
      <c r="H345" s="255">
        <v>11.1</v>
      </c>
      <c r="J345" s="634"/>
      <c r="K345" s="634"/>
      <c r="L345" s="634"/>
      <c r="M345" s="634"/>
      <c r="S345" s="536"/>
      <c r="T345" s="635"/>
    </row>
    <row r="346" spans="1:68" s="298" customFormat="1" ht="25.5">
      <c r="A346" s="256" t="s">
        <v>3259</v>
      </c>
      <c r="B346" s="288">
        <v>88240</v>
      </c>
      <c r="C346" s="289" t="s">
        <v>3045</v>
      </c>
      <c r="D346" s="290" t="s">
        <v>9714</v>
      </c>
      <c r="E346" s="290" t="s">
        <v>206</v>
      </c>
      <c r="F346" s="383">
        <v>8.9999999999999998E-4</v>
      </c>
      <c r="G346" s="292" t="s">
        <v>14168</v>
      </c>
      <c r="H346" s="255">
        <v>0.01</v>
      </c>
      <c r="J346" s="634"/>
      <c r="K346" s="634"/>
      <c r="L346" s="634"/>
      <c r="M346" s="634"/>
      <c r="S346" s="536"/>
      <c r="T346" s="635"/>
    </row>
    <row r="347" spans="1:68" s="298" customFormat="1" ht="25.5">
      <c r="A347" s="256" t="s">
        <v>3259</v>
      </c>
      <c r="B347" s="288">
        <v>88278</v>
      </c>
      <c r="C347" s="289" t="s">
        <v>3066</v>
      </c>
      <c r="D347" s="290" t="s">
        <v>9714</v>
      </c>
      <c r="E347" s="290" t="s">
        <v>206</v>
      </c>
      <c r="F347" s="383">
        <v>5.0000000000000001E-3</v>
      </c>
      <c r="G347" s="292" t="s">
        <v>19155</v>
      </c>
      <c r="H347" s="255">
        <v>0.09</v>
      </c>
      <c r="J347" s="634"/>
      <c r="K347" s="634"/>
      <c r="L347" s="634"/>
      <c r="M347" s="634"/>
      <c r="S347" s="536"/>
      <c r="T347" s="635"/>
    </row>
    <row r="348" spans="1:68" s="298" customFormat="1" ht="51">
      <c r="A348" s="256" t="s">
        <v>3259</v>
      </c>
      <c r="B348" s="288">
        <v>93287</v>
      </c>
      <c r="C348" s="289" t="s">
        <v>213</v>
      </c>
      <c r="D348" s="290" t="s">
        <v>8987</v>
      </c>
      <c r="E348" s="290" t="s">
        <v>212</v>
      </c>
      <c r="F348" s="383">
        <v>6.9999999999999999E-4</v>
      </c>
      <c r="G348" s="292" t="s">
        <v>21438</v>
      </c>
      <c r="H348" s="255">
        <v>0.23</v>
      </c>
      <c r="J348" s="634"/>
      <c r="K348" s="634"/>
      <c r="L348" s="634"/>
      <c r="M348" s="634"/>
      <c r="S348" s="536"/>
      <c r="T348" s="635"/>
    </row>
    <row r="349" spans="1:68" s="298" customFormat="1" ht="51">
      <c r="A349" s="256" t="s">
        <v>3259</v>
      </c>
      <c r="B349" s="288">
        <v>93288</v>
      </c>
      <c r="C349" s="289" t="s">
        <v>214</v>
      </c>
      <c r="D349" s="290" t="s">
        <v>8987</v>
      </c>
      <c r="E349" s="290" t="s">
        <v>215</v>
      </c>
      <c r="F349" s="383">
        <v>5.9999999999999995E-4</v>
      </c>
      <c r="G349" s="292" t="s">
        <v>21491</v>
      </c>
      <c r="H349" s="255">
        <v>0.05</v>
      </c>
      <c r="J349" s="634"/>
      <c r="K349" s="634"/>
      <c r="L349" s="634"/>
      <c r="M349" s="634"/>
      <c r="S349" s="536"/>
      <c r="T349" s="635"/>
    </row>
    <row r="350" spans="1:68" s="529" customFormat="1" ht="12.75">
      <c r="A350" s="286"/>
      <c r="B350" s="375" t="s">
        <v>143</v>
      </c>
      <c r="C350" s="816" t="s">
        <v>24759</v>
      </c>
      <c r="D350" s="817"/>
      <c r="E350" s="817"/>
      <c r="F350" s="817"/>
      <c r="G350" s="817"/>
      <c r="H350" s="818"/>
      <c r="I350" s="298"/>
      <c r="J350" s="634"/>
      <c r="K350" s="634"/>
      <c r="L350" s="634"/>
      <c r="M350" s="634"/>
      <c r="N350" s="298"/>
      <c r="O350" s="298"/>
      <c r="P350" s="298"/>
      <c r="Q350" s="298"/>
      <c r="R350" s="298"/>
      <c r="S350" s="536"/>
      <c r="T350" s="635"/>
      <c r="U350" s="298"/>
      <c r="V350" s="298"/>
      <c r="W350" s="298"/>
      <c r="X350" s="298"/>
      <c r="Y350" s="298"/>
      <c r="Z350" s="298"/>
      <c r="AA350" s="298"/>
      <c r="AB350" s="298"/>
      <c r="AC350" s="298"/>
      <c r="AD350" s="298"/>
      <c r="AE350" s="298"/>
      <c r="AF350" s="298"/>
      <c r="AG350" s="298"/>
      <c r="AH350" s="298"/>
      <c r="AI350" s="298"/>
      <c r="AJ350" s="298"/>
      <c r="AK350" s="298"/>
      <c r="AL350" s="298"/>
      <c r="AM350" s="298"/>
      <c r="AN350" s="298"/>
      <c r="AO350" s="298"/>
      <c r="AP350" s="298"/>
      <c r="AQ350" s="298"/>
      <c r="AR350" s="298"/>
      <c r="AS350" s="298"/>
      <c r="AT350" s="298"/>
      <c r="AU350" s="298"/>
      <c r="AV350" s="298"/>
      <c r="AW350" s="298"/>
      <c r="AX350" s="298"/>
      <c r="AY350" s="298"/>
      <c r="AZ350" s="298"/>
      <c r="BA350" s="298"/>
      <c r="BB350" s="298"/>
      <c r="BC350" s="298"/>
      <c r="BD350" s="298"/>
      <c r="BE350" s="298"/>
      <c r="BF350" s="298"/>
      <c r="BG350" s="298"/>
      <c r="BH350" s="298"/>
      <c r="BI350" s="298"/>
      <c r="BJ350" s="298"/>
      <c r="BK350" s="298"/>
      <c r="BL350" s="298"/>
      <c r="BM350" s="298"/>
      <c r="BN350" s="298"/>
      <c r="BO350" s="298"/>
      <c r="BP350" s="298"/>
    </row>
    <row r="351" spans="1:68" s="529" customFormat="1" ht="12.75">
      <c r="A351" s="286"/>
      <c r="B351" s="373"/>
      <c r="C351" s="745"/>
      <c r="D351" s="745"/>
      <c r="E351" s="745"/>
      <c r="F351" s="745"/>
      <c r="G351" s="745"/>
      <c r="H351" s="746"/>
      <c r="I351" s="298"/>
      <c r="J351" s="634"/>
      <c r="K351" s="634"/>
      <c r="L351" s="634"/>
      <c r="M351" s="634"/>
      <c r="N351" s="298"/>
      <c r="O351" s="298"/>
      <c r="P351" s="298"/>
      <c r="Q351" s="298"/>
      <c r="R351" s="298"/>
      <c r="S351" s="536"/>
      <c r="T351" s="635"/>
      <c r="U351" s="298"/>
      <c r="V351" s="298"/>
      <c r="W351" s="298"/>
      <c r="X351" s="298"/>
      <c r="Y351" s="298"/>
      <c r="Z351" s="298"/>
      <c r="AA351" s="298"/>
      <c r="AB351" s="298"/>
      <c r="AC351" s="298"/>
      <c r="AD351" s="298"/>
      <c r="AE351" s="298"/>
      <c r="AF351" s="298"/>
      <c r="AG351" s="298"/>
      <c r="AH351" s="298"/>
      <c r="AI351" s="298"/>
      <c r="AJ351" s="298"/>
      <c r="AK351" s="298"/>
      <c r="AL351" s="298"/>
      <c r="AM351" s="298"/>
      <c r="AN351" s="298"/>
      <c r="AO351" s="298"/>
      <c r="AP351" s="298"/>
      <c r="AQ351" s="298"/>
      <c r="AR351" s="298"/>
      <c r="AS351" s="298"/>
      <c r="AT351" s="298"/>
      <c r="AU351" s="298"/>
      <c r="AV351" s="298"/>
      <c r="AW351" s="298"/>
      <c r="AX351" s="298"/>
      <c r="AY351" s="298"/>
      <c r="AZ351" s="298"/>
      <c r="BA351" s="298"/>
      <c r="BB351" s="298"/>
      <c r="BC351" s="298"/>
      <c r="BD351" s="298"/>
      <c r="BE351" s="298"/>
      <c r="BF351" s="298"/>
      <c r="BG351" s="298"/>
      <c r="BH351" s="298"/>
      <c r="BI351" s="298"/>
      <c r="BJ351" s="298"/>
      <c r="BK351" s="298"/>
      <c r="BL351" s="298"/>
      <c r="BM351" s="298"/>
      <c r="BN351" s="298"/>
      <c r="BO351" s="298"/>
      <c r="BP351" s="298"/>
    </row>
    <row r="352" spans="1:68" s="529" customFormat="1" ht="25.5">
      <c r="A352" s="494"/>
      <c r="B352" s="372" t="s">
        <v>17869</v>
      </c>
      <c r="C352" s="231" t="s">
        <v>7750</v>
      </c>
      <c r="D352" s="232" t="s">
        <v>207</v>
      </c>
      <c r="E352" s="232" t="s">
        <v>109</v>
      </c>
      <c r="F352" s="233"/>
      <c r="G352" s="234"/>
      <c r="H352" s="235">
        <v>0.3</v>
      </c>
      <c r="I352" s="298"/>
      <c r="J352" s="634"/>
      <c r="K352" s="634"/>
      <c r="L352" s="634"/>
      <c r="M352" s="634"/>
      <c r="N352" s="298"/>
      <c r="O352" s="298"/>
      <c r="P352" s="298"/>
      <c r="Q352" s="298"/>
      <c r="R352" s="298"/>
      <c r="S352" s="536"/>
      <c r="T352" s="635"/>
      <c r="U352" s="298"/>
      <c r="V352" s="298"/>
      <c r="W352" s="298"/>
      <c r="X352" s="298"/>
      <c r="Y352" s="298"/>
      <c r="Z352" s="298"/>
      <c r="AA352" s="298"/>
      <c r="AB352" s="298"/>
      <c r="AC352" s="298"/>
      <c r="AD352" s="298"/>
      <c r="AE352" s="298"/>
      <c r="AF352" s="298"/>
      <c r="AG352" s="298"/>
      <c r="AH352" s="298"/>
      <c r="AI352" s="298"/>
      <c r="AJ352" s="298"/>
      <c r="AK352" s="298"/>
      <c r="AL352" s="298"/>
      <c r="AM352" s="298"/>
      <c r="AN352" s="298"/>
      <c r="AO352" s="298"/>
      <c r="AP352" s="298"/>
      <c r="AQ352" s="298"/>
      <c r="AR352" s="298"/>
      <c r="AS352" s="298"/>
      <c r="AT352" s="298"/>
      <c r="AU352" s="298"/>
      <c r="AV352" s="298"/>
      <c r="AW352" s="298"/>
      <c r="AX352" s="298"/>
      <c r="AY352" s="298"/>
      <c r="AZ352" s="298"/>
      <c r="BA352" s="298"/>
      <c r="BB352" s="298"/>
      <c r="BC352" s="298"/>
      <c r="BD352" s="298"/>
      <c r="BE352" s="298"/>
      <c r="BF352" s="298"/>
      <c r="BG352" s="298"/>
      <c r="BH352" s="298"/>
      <c r="BI352" s="298"/>
      <c r="BJ352" s="298"/>
      <c r="BK352" s="298"/>
      <c r="BL352" s="298"/>
      <c r="BM352" s="298"/>
      <c r="BN352" s="298"/>
      <c r="BO352" s="298"/>
      <c r="BP352" s="298"/>
    </row>
    <row r="353" spans="1:68" s="298" customFormat="1" ht="28.5" customHeight="1">
      <c r="A353" s="256" t="s">
        <v>3261</v>
      </c>
      <c r="B353" s="288">
        <v>4339</v>
      </c>
      <c r="C353" s="289" t="s">
        <v>7750</v>
      </c>
      <c r="D353" s="290" t="s">
        <v>207</v>
      </c>
      <c r="E353" s="290" t="s">
        <v>3240</v>
      </c>
      <c r="F353" s="383">
        <v>1</v>
      </c>
      <c r="G353" s="292" t="s">
        <v>9848</v>
      </c>
      <c r="H353" s="255">
        <v>0.3</v>
      </c>
      <c r="J353" s="634"/>
      <c r="K353" s="634"/>
      <c r="L353" s="634"/>
      <c r="M353" s="634"/>
      <c r="S353" s="536"/>
      <c r="T353" s="635"/>
    </row>
    <row r="354" spans="1:68" s="529" customFormat="1" ht="12.75">
      <c r="A354" s="286"/>
      <c r="B354" s="375" t="s">
        <v>143</v>
      </c>
      <c r="C354" s="816" t="s">
        <v>24519</v>
      </c>
      <c r="D354" s="817"/>
      <c r="E354" s="817"/>
      <c r="F354" s="817"/>
      <c r="G354" s="817"/>
      <c r="H354" s="818"/>
      <c r="I354" s="298"/>
      <c r="J354" s="634"/>
      <c r="K354" s="634"/>
      <c r="L354" s="634"/>
      <c r="M354" s="634"/>
      <c r="N354" s="298"/>
      <c r="O354" s="298"/>
      <c r="P354" s="298"/>
      <c r="Q354" s="298"/>
      <c r="R354" s="298"/>
      <c r="S354" s="536"/>
      <c r="T354" s="635"/>
      <c r="U354" s="298"/>
      <c r="V354" s="298"/>
      <c r="W354" s="298"/>
      <c r="X354" s="298"/>
      <c r="Y354" s="298"/>
      <c r="Z354" s="298"/>
      <c r="AA354" s="298"/>
      <c r="AB354" s="298"/>
      <c r="AC354" s="298"/>
      <c r="AD354" s="298"/>
      <c r="AE354" s="298"/>
      <c r="AF354" s="298"/>
      <c r="AG354" s="298"/>
      <c r="AH354" s="298"/>
      <c r="AI354" s="298"/>
      <c r="AJ354" s="298"/>
      <c r="AK354" s="298"/>
      <c r="AL354" s="298"/>
      <c r="AM354" s="298"/>
      <c r="AN354" s="298"/>
      <c r="AO354" s="298"/>
      <c r="AP354" s="298"/>
      <c r="AQ354" s="298"/>
      <c r="AR354" s="298"/>
      <c r="AS354" s="298"/>
      <c r="AT354" s="298"/>
      <c r="AU354" s="298"/>
      <c r="AV354" s="298"/>
      <c r="AW354" s="298"/>
      <c r="AX354" s="298"/>
      <c r="AY354" s="298"/>
      <c r="AZ354" s="298"/>
      <c r="BA354" s="298"/>
      <c r="BB354" s="298"/>
      <c r="BC354" s="298"/>
      <c r="BD354" s="298"/>
      <c r="BE354" s="298"/>
      <c r="BF354" s="298"/>
      <c r="BG354" s="298"/>
      <c r="BH354" s="298"/>
      <c r="BI354" s="298"/>
      <c r="BJ354" s="298"/>
      <c r="BK354" s="298"/>
      <c r="BL354" s="298"/>
      <c r="BM354" s="298"/>
      <c r="BN354" s="298"/>
      <c r="BO354" s="298"/>
      <c r="BP354" s="298"/>
    </row>
    <row r="355" spans="1:68" s="529" customFormat="1" ht="12.75">
      <c r="A355" s="286"/>
      <c r="B355" s="373"/>
      <c r="C355" s="745"/>
      <c r="D355" s="745"/>
      <c r="E355" s="745"/>
      <c r="F355" s="745"/>
      <c r="G355" s="745"/>
      <c r="H355" s="746"/>
      <c r="I355" s="298"/>
      <c r="J355" s="634"/>
      <c r="K355" s="634"/>
      <c r="L355" s="634"/>
      <c r="M355" s="634"/>
      <c r="N355" s="298"/>
      <c r="O355" s="298"/>
      <c r="P355" s="298"/>
      <c r="Q355" s="298"/>
      <c r="R355" s="298"/>
      <c r="S355" s="536"/>
      <c r="T355" s="635"/>
      <c r="U355" s="298"/>
      <c r="V355" s="298"/>
      <c r="W355" s="298"/>
      <c r="X355" s="298"/>
      <c r="Y355" s="298"/>
      <c r="Z355" s="298"/>
      <c r="AA355" s="298"/>
      <c r="AB355" s="298"/>
      <c r="AC355" s="298"/>
      <c r="AD355" s="298"/>
      <c r="AE355" s="298"/>
      <c r="AF355" s="298"/>
      <c r="AG355" s="298"/>
      <c r="AH355" s="298"/>
      <c r="AI355" s="298"/>
      <c r="AJ355" s="298"/>
      <c r="AK355" s="298"/>
      <c r="AL355" s="298"/>
      <c r="AM355" s="298"/>
      <c r="AN355" s="298"/>
      <c r="AO355" s="298"/>
      <c r="AP355" s="298"/>
      <c r="AQ355" s="298"/>
      <c r="AR355" s="298"/>
      <c r="AS355" s="298"/>
      <c r="AT355" s="298"/>
      <c r="AU355" s="298"/>
      <c r="AV355" s="298"/>
      <c r="AW355" s="298"/>
      <c r="AX355" s="298"/>
      <c r="AY355" s="298"/>
      <c r="AZ355" s="298"/>
      <c r="BA355" s="298"/>
      <c r="BB355" s="298"/>
      <c r="BC355" s="298"/>
      <c r="BD355" s="298"/>
      <c r="BE355" s="298"/>
      <c r="BF355" s="298"/>
      <c r="BG355" s="298"/>
      <c r="BH355" s="298"/>
      <c r="BI355" s="298"/>
      <c r="BJ355" s="298"/>
      <c r="BK355" s="298"/>
      <c r="BL355" s="298"/>
      <c r="BM355" s="298"/>
      <c r="BN355" s="298"/>
      <c r="BO355" s="298"/>
      <c r="BP355" s="298"/>
    </row>
    <row r="356" spans="1:68" s="644" customFormat="1" ht="63.75">
      <c r="A356" s="555"/>
      <c r="B356" s="372" t="s">
        <v>17871</v>
      </c>
      <c r="C356" s="231" t="s">
        <v>24761</v>
      </c>
      <c r="D356" s="232" t="s">
        <v>103</v>
      </c>
      <c r="E356" s="232" t="s">
        <v>3244</v>
      </c>
      <c r="F356" s="233"/>
      <c r="G356" s="234"/>
      <c r="H356" s="235">
        <v>11.48</v>
      </c>
      <c r="I356" s="298"/>
      <c r="J356" s="634"/>
      <c r="K356" s="634"/>
      <c r="L356" s="634"/>
      <c r="M356" s="634"/>
      <c r="N356" s="298"/>
      <c r="O356" s="298"/>
      <c r="P356" s="298"/>
      <c r="Q356" s="298"/>
      <c r="R356" s="298"/>
      <c r="S356" s="536"/>
      <c r="T356" s="635"/>
      <c r="U356" s="298"/>
      <c r="V356" s="298"/>
      <c r="W356" s="298"/>
      <c r="X356" s="298"/>
      <c r="Y356" s="298"/>
      <c r="Z356" s="298"/>
      <c r="AA356" s="298"/>
      <c r="AB356" s="298"/>
      <c r="AC356" s="298"/>
      <c r="AD356" s="298"/>
      <c r="AE356" s="298"/>
      <c r="AF356" s="298"/>
      <c r="AG356" s="298"/>
      <c r="AH356" s="298"/>
      <c r="AI356" s="298"/>
      <c r="AJ356" s="298"/>
      <c r="AK356" s="298"/>
      <c r="AL356" s="298"/>
      <c r="AM356" s="298"/>
      <c r="AN356" s="298"/>
      <c r="AO356" s="298"/>
      <c r="AP356" s="298"/>
      <c r="AQ356" s="298"/>
      <c r="AR356" s="298"/>
      <c r="AS356" s="298"/>
      <c r="AT356" s="298"/>
      <c r="AU356" s="298"/>
      <c r="AV356" s="298"/>
      <c r="AW356" s="298"/>
      <c r="AX356" s="298"/>
      <c r="AY356" s="298"/>
      <c r="AZ356" s="298"/>
      <c r="BA356" s="298"/>
      <c r="BB356" s="298"/>
      <c r="BC356" s="298"/>
      <c r="BD356" s="298"/>
      <c r="BE356" s="298"/>
      <c r="BF356" s="298"/>
      <c r="BG356" s="298"/>
      <c r="BH356" s="298"/>
      <c r="BI356" s="298"/>
      <c r="BJ356" s="298"/>
      <c r="BK356" s="298"/>
      <c r="BL356" s="298"/>
      <c r="BM356" s="298"/>
      <c r="BN356" s="298"/>
      <c r="BO356" s="298"/>
      <c r="BP356" s="298"/>
    </row>
    <row r="357" spans="1:68" s="298" customFormat="1" ht="25.5">
      <c r="A357" s="256" t="s">
        <v>3261</v>
      </c>
      <c r="B357" s="288">
        <v>43692</v>
      </c>
      <c r="C357" s="289" t="s">
        <v>9552</v>
      </c>
      <c r="D357" s="290" t="s">
        <v>207</v>
      </c>
      <c r="E357" s="290" t="s">
        <v>3244</v>
      </c>
      <c r="F357" s="383">
        <v>1</v>
      </c>
      <c r="G357" s="292" t="s">
        <v>11240</v>
      </c>
      <c r="H357" s="255">
        <v>11.1</v>
      </c>
      <c r="J357" s="634"/>
      <c r="K357" s="634"/>
      <c r="L357" s="634"/>
      <c r="M357" s="634"/>
      <c r="S357" s="536"/>
      <c r="T357" s="635"/>
    </row>
    <row r="358" spans="1:68" s="298" customFormat="1" ht="25.5">
      <c r="A358" s="256" t="s">
        <v>3259</v>
      </c>
      <c r="B358" s="288">
        <v>88240</v>
      </c>
      <c r="C358" s="289" t="s">
        <v>3045</v>
      </c>
      <c r="D358" s="290" t="s">
        <v>9714</v>
      </c>
      <c r="E358" s="290" t="s">
        <v>206</v>
      </c>
      <c r="F358" s="383">
        <v>8.9999999999999998E-4</v>
      </c>
      <c r="G358" s="292" t="s">
        <v>14168</v>
      </c>
      <c r="H358" s="255">
        <v>0.01</v>
      </c>
      <c r="J358" s="634"/>
      <c r="K358" s="634"/>
      <c r="L358" s="634"/>
      <c r="M358" s="634"/>
      <c r="S358" s="536"/>
      <c r="T358" s="635"/>
    </row>
    <row r="359" spans="1:68" s="298" customFormat="1" ht="25.5">
      <c r="A359" s="256" t="s">
        <v>3259</v>
      </c>
      <c r="B359" s="288">
        <v>88278</v>
      </c>
      <c r="C359" s="289" t="s">
        <v>3066</v>
      </c>
      <c r="D359" s="290" t="s">
        <v>9714</v>
      </c>
      <c r="E359" s="290" t="s">
        <v>206</v>
      </c>
      <c r="F359" s="383">
        <v>5.0000000000000001E-3</v>
      </c>
      <c r="G359" s="292" t="s">
        <v>19155</v>
      </c>
      <c r="H359" s="255">
        <v>0.09</v>
      </c>
      <c r="J359" s="634"/>
      <c r="K359" s="634"/>
      <c r="L359" s="634"/>
      <c r="M359" s="634"/>
      <c r="S359" s="536"/>
      <c r="T359" s="635"/>
    </row>
    <row r="360" spans="1:68" s="298" customFormat="1" ht="51">
      <c r="A360" s="256" t="s">
        <v>3259</v>
      </c>
      <c r="B360" s="288">
        <v>93287</v>
      </c>
      <c r="C360" s="289" t="s">
        <v>213</v>
      </c>
      <c r="D360" s="290" t="s">
        <v>8987</v>
      </c>
      <c r="E360" s="290" t="s">
        <v>212</v>
      </c>
      <c r="F360" s="383">
        <v>6.9999999999999999E-4</v>
      </c>
      <c r="G360" s="292" t="s">
        <v>21438</v>
      </c>
      <c r="H360" s="255">
        <v>0.23</v>
      </c>
      <c r="J360" s="634"/>
      <c r="K360" s="634"/>
      <c r="L360" s="634"/>
      <c r="M360" s="634"/>
      <c r="S360" s="536"/>
      <c r="T360" s="635"/>
    </row>
    <row r="361" spans="1:68" s="298" customFormat="1" ht="51">
      <c r="A361" s="256" t="s">
        <v>3259</v>
      </c>
      <c r="B361" s="288">
        <v>93288</v>
      </c>
      <c r="C361" s="289" t="s">
        <v>214</v>
      </c>
      <c r="D361" s="290" t="s">
        <v>8987</v>
      </c>
      <c r="E361" s="290" t="s">
        <v>215</v>
      </c>
      <c r="F361" s="383">
        <v>5.9999999999999995E-4</v>
      </c>
      <c r="G361" s="292" t="s">
        <v>21491</v>
      </c>
      <c r="H361" s="255">
        <v>0.05</v>
      </c>
      <c r="J361" s="634"/>
      <c r="K361" s="634"/>
      <c r="L361" s="634"/>
      <c r="M361" s="634"/>
      <c r="S361" s="536"/>
      <c r="T361" s="635"/>
    </row>
    <row r="362" spans="1:68" s="529" customFormat="1" ht="12.75">
      <c r="A362" s="286"/>
      <c r="B362" s="375" t="s">
        <v>143</v>
      </c>
      <c r="C362" s="816" t="s">
        <v>24759</v>
      </c>
      <c r="D362" s="817"/>
      <c r="E362" s="817"/>
      <c r="F362" s="817"/>
      <c r="G362" s="817"/>
      <c r="H362" s="818"/>
      <c r="I362" s="298"/>
      <c r="J362" s="634"/>
      <c r="K362" s="634"/>
      <c r="L362" s="634"/>
      <c r="M362" s="634"/>
      <c r="N362" s="298"/>
      <c r="O362" s="298"/>
      <c r="P362" s="298"/>
      <c r="Q362" s="298"/>
      <c r="R362" s="298"/>
      <c r="S362" s="536"/>
      <c r="T362" s="635"/>
      <c r="U362" s="298"/>
      <c r="V362" s="298"/>
      <c r="W362" s="298"/>
      <c r="X362" s="298"/>
      <c r="Y362" s="298"/>
      <c r="Z362" s="298"/>
      <c r="AA362" s="298"/>
      <c r="AB362" s="298"/>
      <c r="AC362" s="298"/>
      <c r="AD362" s="298"/>
      <c r="AE362" s="298"/>
      <c r="AF362" s="298"/>
      <c r="AG362" s="298"/>
      <c r="AH362" s="298"/>
      <c r="AI362" s="298"/>
      <c r="AJ362" s="298"/>
      <c r="AK362" s="298"/>
      <c r="AL362" s="298"/>
      <c r="AM362" s="298"/>
      <c r="AN362" s="298"/>
      <c r="AO362" s="298"/>
      <c r="AP362" s="298"/>
      <c r="AQ362" s="298"/>
      <c r="AR362" s="298"/>
      <c r="AS362" s="298"/>
      <c r="AT362" s="298"/>
      <c r="AU362" s="298"/>
      <c r="AV362" s="298"/>
      <c r="AW362" s="298"/>
      <c r="AX362" s="298"/>
      <c r="AY362" s="298"/>
      <c r="AZ362" s="298"/>
      <c r="BA362" s="298"/>
      <c r="BB362" s="298"/>
      <c r="BC362" s="298"/>
      <c r="BD362" s="298"/>
      <c r="BE362" s="298"/>
      <c r="BF362" s="298"/>
      <c r="BG362" s="298"/>
      <c r="BH362" s="298"/>
      <c r="BI362" s="298"/>
      <c r="BJ362" s="298"/>
      <c r="BK362" s="298"/>
      <c r="BL362" s="298"/>
      <c r="BM362" s="298"/>
      <c r="BN362" s="298"/>
      <c r="BO362" s="298"/>
      <c r="BP362" s="298"/>
    </row>
    <row r="363" spans="1:68" s="529" customFormat="1" ht="12.75">
      <c r="A363" s="286"/>
      <c r="B363" s="373"/>
      <c r="C363" s="385"/>
      <c r="D363" s="385"/>
      <c r="E363" s="385"/>
      <c r="F363" s="385"/>
      <c r="G363" s="385"/>
      <c r="H363" s="641"/>
      <c r="I363" s="298"/>
      <c r="J363" s="634"/>
      <c r="K363" s="634"/>
      <c r="L363" s="634"/>
      <c r="M363" s="634"/>
      <c r="N363" s="298"/>
      <c r="O363" s="298"/>
      <c r="P363" s="298"/>
      <c r="Q363" s="298"/>
      <c r="R363" s="298"/>
      <c r="S363" s="536"/>
      <c r="T363" s="635"/>
      <c r="U363" s="298"/>
      <c r="V363" s="298"/>
      <c r="W363" s="298"/>
      <c r="X363" s="298"/>
      <c r="Y363" s="298"/>
      <c r="Z363" s="298"/>
      <c r="AA363" s="298"/>
      <c r="AB363" s="298"/>
      <c r="AC363" s="298"/>
      <c r="AD363" s="298"/>
      <c r="AE363" s="298"/>
      <c r="AF363" s="298"/>
      <c r="AG363" s="298"/>
      <c r="AH363" s="298"/>
      <c r="AI363" s="298"/>
      <c r="AJ363" s="298"/>
      <c r="AK363" s="298"/>
      <c r="AL363" s="298"/>
      <c r="AM363" s="298"/>
      <c r="AN363" s="298"/>
      <c r="AO363" s="298"/>
      <c r="AP363" s="298"/>
      <c r="AQ363" s="298"/>
      <c r="AR363" s="298"/>
      <c r="AS363" s="298"/>
      <c r="AT363" s="298"/>
      <c r="AU363" s="298"/>
      <c r="AV363" s="298"/>
      <c r="AW363" s="298"/>
      <c r="AX363" s="298"/>
      <c r="AY363" s="298"/>
      <c r="AZ363" s="298"/>
      <c r="BA363" s="298"/>
      <c r="BB363" s="298"/>
      <c r="BC363" s="298"/>
      <c r="BD363" s="298"/>
      <c r="BE363" s="298"/>
      <c r="BF363" s="298"/>
      <c r="BG363" s="298"/>
      <c r="BH363" s="298"/>
      <c r="BI363" s="298"/>
      <c r="BJ363" s="298"/>
      <c r="BK363" s="298"/>
      <c r="BL363" s="298"/>
      <c r="BM363" s="298"/>
      <c r="BN363" s="298"/>
      <c r="BO363" s="298"/>
      <c r="BP363" s="298"/>
    </row>
    <row r="364" spans="1:68" s="529" customFormat="1" ht="63.75">
      <c r="A364" s="494"/>
      <c r="B364" s="372" t="s">
        <v>17872</v>
      </c>
      <c r="C364" s="231" t="s">
        <v>17873</v>
      </c>
      <c r="D364" s="232" t="s">
        <v>103</v>
      </c>
      <c r="E364" s="232" t="s">
        <v>193</v>
      </c>
      <c r="F364" s="233"/>
      <c r="G364" s="234"/>
      <c r="H364" s="235">
        <v>26.19</v>
      </c>
      <c r="I364" s="298"/>
      <c r="J364" s="634"/>
      <c r="K364" s="634"/>
      <c r="L364" s="634"/>
      <c r="M364" s="634"/>
      <c r="N364" s="298"/>
      <c r="O364" s="298"/>
      <c r="P364" s="298"/>
      <c r="Q364" s="298"/>
      <c r="R364" s="298"/>
      <c r="S364" s="536"/>
      <c r="T364" s="635"/>
      <c r="U364" s="298"/>
      <c r="V364" s="298"/>
      <c r="W364" s="298"/>
      <c r="X364" s="298"/>
      <c r="Y364" s="298"/>
      <c r="Z364" s="298"/>
      <c r="AA364" s="298"/>
      <c r="AB364" s="298"/>
      <c r="AC364" s="298"/>
      <c r="AD364" s="298"/>
      <c r="AE364" s="298"/>
      <c r="AF364" s="298"/>
      <c r="AG364" s="298"/>
      <c r="AH364" s="298"/>
      <c r="AI364" s="298"/>
      <c r="AJ364" s="298"/>
      <c r="AK364" s="298"/>
      <c r="AL364" s="298"/>
      <c r="AM364" s="298"/>
      <c r="AN364" s="298"/>
      <c r="AO364" s="298"/>
      <c r="AP364" s="298"/>
      <c r="AQ364" s="298"/>
      <c r="AR364" s="298"/>
      <c r="AS364" s="298"/>
      <c r="AT364" s="298"/>
      <c r="AU364" s="298"/>
      <c r="AV364" s="298"/>
      <c r="AW364" s="298"/>
      <c r="AX364" s="298"/>
      <c r="AY364" s="298"/>
      <c r="AZ364" s="298"/>
      <c r="BA364" s="298"/>
      <c r="BB364" s="298"/>
      <c r="BC364" s="298"/>
      <c r="BD364" s="298"/>
      <c r="BE364" s="298"/>
      <c r="BF364" s="298"/>
      <c r="BG364" s="298"/>
      <c r="BH364" s="298"/>
      <c r="BI364" s="298"/>
      <c r="BJ364" s="298"/>
      <c r="BK364" s="298"/>
      <c r="BL364" s="298"/>
      <c r="BM364" s="298"/>
      <c r="BN364" s="298"/>
      <c r="BO364" s="298"/>
      <c r="BP364" s="298"/>
    </row>
    <row r="365" spans="1:68" s="298" customFormat="1" ht="25.5">
      <c r="A365" s="256" t="s">
        <v>3259</v>
      </c>
      <c r="B365" s="288">
        <v>88309</v>
      </c>
      <c r="C365" s="289" t="s">
        <v>105</v>
      </c>
      <c r="D365" s="290" t="s">
        <v>9714</v>
      </c>
      <c r="E365" s="290" t="s">
        <v>206</v>
      </c>
      <c r="F365" s="291">
        <v>4.4999999999999998E-2</v>
      </c>
      <c r="G365" s="292" t="s">
        <v>11439</v>
      </c>
      <c r="H365" s="255">
        <v>1.07</v>
      </c>
      <c r="J365" s="634"/>
      <c r="K365" s="634"/>
      <c r="L365" s="634"/>
      <c r="M365" s="634"/>
      <c r="S365" s="536"/>
      <c r="T365" s="635"/>
    </row>
    <row r="366" spans="1:68" s="298" customFormat="1" ht="25.5">
      <c r="A366" s="256" t="s">
        <v>3259</v>
      </c>
      <c r="B366" s="288">
        <v>88316</v>
      </c>
      <c r="C366" s="289" t="s">
        <v>104</v>
      </c>
      <c r="D366" s="290" t="s">
        <v>9714</v>
      </c>
      <c r="E366" s="290" t="s">
        <v>206</v>
      </c>
      <c r="F366" s="291">
        <v>8.8999999999999996E-2</v>
      </c>
      <c r="G366" s="292" t="s">
        <v>10172</v>
      </c>
      <c r="H366" s="255">
        <v>1.56</v>
      </c>
      <c r="J366" s="634"/>
      <c r="K366" s="634"/>
      <c r="L366" s="634"/>
      <c r="M366" s="634"/>
      <c r="S366" s="536"/>
      <c r="T366" s="635"/>
    </row>
    <row r="367" spans="1:68" s="298" customFormat="1" ht="38.25">
      <c r="A367" s="256" t="s">
        <v>3259</v>
      </c>
      <c r="B367" s="288">
        <v>95264</v>
      </c>
      <c r="C367" s="289" t="s">
        <v>495</v>
      </c>
      <c r="D367" s="290" t="s">
        <v>8987</v>
      </c>
      <c r="E367" s="290" t="s">
        <v>212</v>
      </c>
      <c r="F367" s="291">
        <v>2.5000000000000001E-2</v>
      </c>
      <c r="G367" s="292" t="s">
        <v>19832</v>
      </c>
      <c r="H367" s="255">
        <v>0.15</v>
      </c>
      <c r="J367" s="634"/>
      <c r="K367" s="634"/>
      <c r="L367" s="634"/>
      <c r="M367" s="634"/>
      <c r="S367" s="536"/>
      <c r="T367" s="635"/>
    </row>
    <row r="368" spans="1:68" s="298" customFormat="1" ht="38.25">
      <c r="A368" s="256" t="s">
        <v>3259</v>
      </c>
      <c r="B368" s="288">
        <v>95265</v>
      </c>
      <c r="C368" s="289" t="s">
        <v>629</v>
      </c>
      <c r="D368" s="290" t="s">
        <v>8987</v>
      </c>
      <c r="E368" s="290" t="s">
        <v>215</v>
      </c>
      <c r="F368" s="291">
        <v>4.2000000000000003E-2</v>
      </c>
      <c r="G368" s="292" t="s">
        <v>9777</v>
      </c>
      <c r="H368" s="255">
        <v>0.02</v>
      </c>
      <c r="J368" s="634"/>
      <c r="K368" s="634"/>
      <c r="L368" s="634"/>
      <c r="M368" s="634"/>
      <c r="S368" s="536"/>
      <c r="T368" s="635"/>
    </row>
    <row r="369" spans="1:68" s="298" customFormat="1" ht="25.5">
      <c r="A369" s="256" t="s">
        <v>17868</v>
      </c>
      <c r="B369" s="288">
        <v>4722</v>
      </c>
      <c r="C369" s="289" t="s">
        <v>7582</v>
      </c>
      <c r="D369" s="290" t="s">
        <v>207</v>
      </c>
      <c r="E369" s="290" t="s">
        <v>3241</v>
      </c>
      <c r="F369" s="291">
        <v>0.2</v>
      </c>
      <c r="G369" s="292" t="s">
        <v>16600</v>
      </c>
      <c r="H369" s="255">
        <v>23.39</v>
      </c>
      <c r="J369" s="634"/>
      <c r="K369" s="634"/>
      <c r="L369" s="634"/>
      <c r="M369" s="634"/>
      <c r="S369" s="536"/>
      <c r="T369" s="635"/>
    </row>
    <row r="370" spans="1:68" s="529" customFormat="1" ht="12.75">
      <c r="A370" s="286"/>
      <c r="B370" s="375" t="s">
        <v>143</v>
      </c>
      <c r="C370" s="816" t="s">
        <v>17870</v>
      </c>
      <c r="D370" s="817"/>
      <c r="E370" s="817"/>
      <c r="F370" s="817"/>
      <c r="G370" s="817"/>
      <c r="H370" s="818"/>
      <c r="I370" s="298"/>
      <c r="J370" s="634"/>
      <c r="K370" s="634"/>
      <c r="L370" s="634"/>
      <c r="M370" s="634"/>
      <c r="N370" s="298"/>
      <c r="O370" s="298"/>
      <c r="P370" s="298"/>
      <c r="Q370" s="298"/>
      <c r="R370" s="298"/>
      <c r="S370" s="536"/>
      <c r="T370" s="635"/>
      <c r="U370" s="298"/>
      <c r="V370" s="298"/>
      <c r="W370" s="298"/>
      <c r="X370" s="298"/>
      <c r="Y370" s="298"/>
      <c r="Z370" s="298"/>
      <c r="AA370" s="298"/>
      <c r="AB370" s="298"/>
      <c r="AC370" s="298"/>
      <c r="AD370" s="298"/>
      <c r="AE370" s="298"/>
      <c r="AF370" s="298"/>
      <c r="AG370" s="298"/>
      <c r="AH370" s="298"/>
      <c r="AI370" s="298"/>
      <c r="AJ370" s="298"/>
      <c r="AK370" s="298"/>
      <c r="AL370" s="298"/>
      <c r="AM370" s="298"/>
      <c r="AN370" s="298"/>
      <c r="AO370" s="298"/>
      <c r="AP370" s="298"/>
      <c r="AQ370" s="298"/>
      <c r="AR370" s="298"/>
      <c r="AS370" s="298"/>
      <c r="AT370" s="298"/>
      <c r="AU370" s="298"/>
      <c r="AV370" s="298"/>
      <c r="AW370" s="298"/>
      <c r="AX370" s="298"/>
      <c r="AY370" s="298"/>
      <c r="AZ370" s="298"/>
      <c r="BA370" s="298"/>
      <c r="BB370" s="298"/>
      <c r="BC370" s="298"/>
      <c r="BD370" s="298"/>
      <c r="BE370" s="298"/>
      <c r="BF370" s="298"/>
      <c r="BG370" s="298"/>
      <c r="BH370" s="298"/>
      <c r="BI370" s="298"/>
      <c r="BJ370" s="298"/>
      <c r="BK370" s="298"/>
      <c r="BL370" s="298"/>
      <c r="BM370" s="298"/>
      <c r="BN370" s="298"/>
      <c r="BO370" s="298"/>
      <c r="BP370" s="298"/>
    </row>
    <row r="371" spans="1:68" s="529" customFormat="1" ht="12.75">
      <c r="A371" s="286"/>
      <c r="B371" s="373"/>
      <c r="C371" s="379"/>
      <c r="D371" s="379"/>
      <c r="E371" s="379"/>
      <c r="F371" s="379"/>
      <c r="G371" s="379"/>
      <c r="H371" s="379"/>
      <c r="I371" s="298"/>
      <c r="J371" s="634"/>
      <c r="K371" s="634"/>
      <c r="L371" s="634"/>
      <c r="M371" s="634"/>
      <c r="N371" s="298"/>
      <c r="O371" s="298"/>
      <c r="P371" s="298"/>
      <c r="Q371" s="298"/>
      <c r="R371" s="298"/>
      <c r="S371" s="536"/>
      <c r="T371" s="635"/>
      <c r="U371" s="298"/>
      <c r="V371" s="298"/>
      <c r="W371" s="298"/>
      <c r="X371" s="298"/>
      <c r="Y371" s="298"/>
      <c r="Z371" s="298"/>
      <c r="AA371" s="298"/>
      <c r="AB371" s="298"/>
      <c r="AC371" s="298"/>
      <c r="AD371" s="298"/>
      <c r="AE371" s="298"/>
      <c r="AF371" s="298"/>
      <c r="AG371" s="298"/>
      <c r="AH371" s="298"/>
      <c r="AI371" s="298"/>
      <c r="AJ371" s="298"/>
      <c r="AK371" s="298"/>
      <c r="AL371" s="298"/>
      <c r="AM371" s="298"/>
      <c r="AN371" s="298"/>
      <c r="AO371" s="298"/>
      <c r="AP371" s="298"/>
      <c r="AQ371" s="298"/>
      <c r="AR371" s="298"/>
      <c r="AS371" s="298"/>
      <c r="AT371" s="298"/>
      <c r="AU371" s="298"/>
      <c r="AV371" s="298"/>
      <c r="AW371" s="298"/>
      <c r="AX371" s="298"/>
      <c r="AY371" s="298"/>
      <c r="AZ371" s="298"/>
      <c r="BA371" s="298"/>
      <c r="BB371" s="298"/>
      <c r="BC371" s="298"/>
      <c r="BD371" s="298"/>
      <c r="BE371" s="298"/>
      <c r="BF371" s="298"/>
      <c r="BG371" s="298"/>
      <c r="BH371" s="298"/>
      <c r="BI371" s="298"/>
      <c r="BJ371" s="298"/>
      <c r="BK371" s="298"/>
      <c r="BL371" s="298"/>
      <c r="BM371" s="298"/>
      <c r="BN371" s="298"/>
      <c r="BO371" s="298"/>
      <c r="BP371" s="298"/>
    </row>
    <row r="372" spans="1:68" s="529" customFormat="1" ht="42.75" customHeight="1">
      <c r="A372" s="494"/>
      <c r="B372" s="372" t="s">
        <v>18724</v>
      </c>
      <c r="C372" s="231" t="s">
        <v>18741</v>
      </c>
      <c r="D372" s="232" t="s">
        <v>103</v>
      </c>
      <c r="E372" s="232" t="s">
        <v>5</v>
      </c>
      <c r="F372" s="233"/>
      <c r="G372" s="234"/>
      <c r="H372" s="235">
        <v>118.57</v>
      </c>
      <c r="I372" s="298"/>
      <c r="J372" s="634"/>
      <c r="K372" s="634"/>
      <c r="L372" s="719" t="s">
        <v>18739</v>
      </c>
      <c r="M372" s="720" t="s">
        <v>18740</v>
      </c>
      <c r="N372" s="298"/>
      <c r="O372" s="298"/>
      <c r="P372" s="298"/>
      <c r="Q372" s="298"/>
      <c r="R372" s="298"/>
      <c r="S372" s="536"/>
      <c r="T372" s="635"/>
      <c r="U372" s="298"/>
      <c r="V372" s="298"/>
      <c r="W372" s="298"/>
      <c r="X372" s="298"/>
      <c r="Y372" s="298"/>
      <c r="Z372" s="298"/>
      <c r="AA372" s="298"/>
      <c r="AB372" s="298"/>
      <c r="AC372" s="298"/>
      <c r="AD372" s="298"/>
      <c r="AE372" s="298"/>
      <c r="AF372" s="298"/>
      <c r="AG372" s="298"/>
      <c r="AH372" s="298"/>
      <c r="AI372" s="298"/>
      <c r="AJ372" s="298"/>
      <c r="AK372" s="298"/>
      <c r="AL372" s="298"/>
      <c r="AM372" s="298"/>
      <c r="AN372" s="298"/>
      <c r="AO372" s="298"/>
      <c r="AP372" s="298"/>
      <c r="AQ372" s="298"/>
      <c r="AR372" s="298"/>
      <c r="AS372" s="298"/>
      <c r="AT372" s="298"/>
      <c r="AU372" s="298"/>
      <c r="AV372" s="298"/>
      <c r="AW372" s="298"/>
      <c r="AX372" s="298"/>
      <c r="AY372" s="298"/>
      <c r="AZ372" s="298"/>
      <c r="BA372" s="298"/>
      <c r="BB372" s="298"/>
      <c r="BC372" s="298"/>
      <c r="BD372" s="298"/>
      <c r="BE372" s="298"/>
      <c r="BF372" s="298"/>
      <c r="BG372" s="298"/>
      <c r="BH372" s="298"/>
      <c r="BI372" s="298"/>
      <c r="BJ372" s="298"/>
      <c r="BK372" s="298"/>
      <c r="BL372" s="298"/>
      <c r="BM372" s="298"/>
      <c r="BN372" s="298"/>
      <c r="BO372" s="298"/>
      <c r="BP372" s="298"/>
    </row>
    <row r="373" spans="1:68" s="298" customFormat="1" ht="38.25">
      <c r="A373" s="256" t="s">
        <v>3259</v>
      </c>
      <c r="B373" s="288">
        <v>88298</v>
      </c>
      <c r="C373" s="289" t="s">
        <v>3082</v>
      </c>
      <c r="D373" s="290" t="s">
        <v>9714</v>
      </c>
      <c r="E373" s="290" t="s">
        <v>206</v>
      </c>
      <c r="F373" s="291">
        <v>5.4</v>
      </c>
      <c r="G373" s="292" t="s">
        <v>24386</v>
      </c>
      <c r="H373" s="255">
        <v>102.49</v>
      </c>
      <c r="J373" s="634"/>
      <c r="K373" s="634"/>
      <c r="L373" s="721">
        <v>0.81</v>
      </c>
      <c r="M373" s="722">
        <f>(L373*100)/15</f>
        <v>5.4</v>
      </c>
      <c r="S373" s="536"/>
      <c r="T373" s="635"/>
    </row>
    <row r="374" spans="1:68" s="298" customFormat="1" ht="12.75">
      <c r="A374" s="256" t="s">
        <v>3261</v>
      </c>
      <c r="B374" s="288" t="s">
        <v>18734</v>
      </c>
      <c r="C374" s="289" t="s">
        <v>18733</v>
      </c>
      <c r="D374" s="290" t="s">
        <v>8987</v>
      </c>
      <c r="E374" s="290" t="s">
        <v>206</v>
      </c>
      <c r="F374" s="291">
        <v>5.0666666666666664</v>
      </c>
      <c r="G374" s="292">
        <v>2.72</v>
      </c>
      <c r="H374" s="255">
        <v>13.78</v>
      </c>
      <c r="J374" s="634"/>
      <c r="K374" s="634"/>
      <c r="L374" s="721">
        <v>0.76</v>
      </c>
      <c r="M374" s="722">
        <f t="shared" ref="M374:M376" si="2">(L374*100)/15</f>
        <v>5.0666666666666664</v>
      </c>
      <c r="S374" s="536"/>
      <c r="T374" s="635"/>
    </row>
    <row r="375" spans="1:68" s="298" customFormat="1" ht="25.5">
      <c r="A375" s="256" t="s">
        <v>3261</v>
      </c>
      <c r="B375" s="288" t="s">
        <v>18735</v>
      </c>
      <c r="C375" s="289" t="s">
        <v>18736</v>
      </c>
      <c r="D375" s="290" t="s">
        <v>8987</v>
      </c>
      <c r="E375" s="290" t="s">
        <v>206</v>
      </c>
      <c r="F375" s="291">
        <v>0.33333333333333331</v>
      </c>
      <c r="G375" s="292">
        <v>0.34</v>
      </c>
      <c r="H375" s="255">
        <v>0.11</v>
      </c>
      <c r="J375" s="634"/>
      <c r="K375" s="634"/>
      <c r="L375" s="721">
        <v>0.05</v>
      </c>
      <c r="M375" s="722">
        <f t="shared" si="2"/>
        <v>0.33333333333333331</v>
      </c>
      <c r="S375" s="536"/>
      <c r="T375" s="635"/>
    </row>
    <row r="376" spans="1:68" s="298" customFormat="1" ht="12.75">
      <c r="A376" s="256" t="s">
        <v>3261</v>
      </c>
      <c r="B376" s="288" t="s">
        <v>18737</v>
      </c>
      <c r="C376" s="289" t="s">
        <v>18738</v>
      </c>
      <c r="D376" s="290" t="s">
        <v>207</v>
      </c>
      <c r="E376" s="290" t="s">
        <v>3240</v>
      </c>
      <c r="F376" s="291">
        <v>6.6666666666666666E-2</v>
      </c>
      <c r="G376" s="292">
        <v>32.9</v>
      </c>
      <c r="H376" s="255">
        <v>2.19</v>
      </c>
      <c r="J376" s="634"/>
      <c r="K376" s="634"/>
      <c r="L376" s="723">
        <v>0.01</v>
      </c>
      <c r="M376" s="724">
        <f t="shared" si="2"/>
        <v>6.6666666666666666E-2</v>
      </c>
      <c r="S376" s="536"/>
      <c r="T376" s="635"/>
    </row>
    <row r="377" spans="1:68" s="529" customFormat="1" ht="12.75">
      <c r="A377" s="286"/>
      <c r="B377" s="375" t="s">
        <v>143</v>
      </c>
      <c r="C377" s="816" t="s">
        <v>18748</v>
      </c>
      <c r="D377" s="817"/>
      <c r="E377" s="817"/>
      <c r="F377" s="817"/>
      <c r="G377" s="817"/>
      <c r="H377" s="818"/>
      <c r="I377" s="298"/>
      <c r="J377" s="634"/>
      <c r="K377" s="634"/>
      <c r="L377" s="634"/>
      <c r="M377" s="634"/>
      <c r="N377" s="298"/>
      <c r="O377" s="298"/>
      <c r="P377" s="298"/>
      <c r="Q377" s="298"/>
      <c r="R377" s="298"/>
      <c r="S377" s="536"/>
      <c r="T377" s="635"/>
      <c r="U377" s="298"/>
      <c r="V377" s="298"/>
      <c r="W377" s="298"/>
      <c r="X377" s="298"/>
      <c r="Y377" s="298"/>
      <c r="Z377" s="298"/>
      <c r="AA377" s="298"/>
      <c r="AB377" s="298"/>
      <c r="AC377" s="298"/>
      <c r="AD377" s="298"/>
      <c r="AE377" s="298"/>
      <c r="AF377" s="298"/>
      <c r="AG377" s="298"/>
      <c r="AH377" s="298"/>
      <c r="AI377" s="298"/>
      <c r="AJ377" s="298"/>
      <c r="AK377" s="298"/>
      <c r="AL377" s="298"/>
      <c r="AM377" s="298"/>
      <c r="AN377" s="298"/>
      <c r="AO377" s="298"/>
      <c r="AP377" s="298"/>
      <c r="AQ377" s="298"/>
      <c r="AR377" s="298"/>
      <c r="AS377" s="298"/>
      <c r="AT377" s="298"/>
      <c r="AU377" s="298"/>
      <c r="AV377" s="298"/>
      <c r="AW377" s="298"/>
      <c r="AX377" s="298"/>
      <c r="AY377" s="298"/>
      <c r="AZ377" s="298"/>
      <c r="BA377" s="298"/>
      <c r="BB377" s="298"/>
      <c r="BC377" s="298"/>
      <c r="BD377" s="298"/>
      <c r="BE377" s="298"/>
      <c r="BF377" s="298"/>
      <c r="BG377" s="298"/>
      <c r="BH377" s="298"/>
      <c r="BI377" s="298"/>
      <c r="BJ377" s="298"/>
      <c r="BK377" s="298"/>
      <c r="BL377" s="298"/>
      <c r="BM377" s="298"/>
      <c r="BN377" s="298"/>
      <c r="BO377" s="298"/>
      <c r="BP377" s="298"/>
    </row>
    <row r="378" spans="1:68" s="529" customFormat="1" ht="12.75">
      <c r="A378" s="286"/>
      <c r="B378" s="373"/>
      <c r="C378" s="379"/>
      <c r="D378" s="379"/>
      <c r="E378" s="379"/>
      <c r="F378" s="379"/>
      <c r="G378" s="379"/>
      <c r="H378" s="379"/>
      <c r="I378" s="298"/>
      <c r="J378" s="634"/>
      <c r="K378" s="634"/>
      <c r="L378" s="634"/>
      <c r="M378" s="634"/>
      <c r="N378" s="298"/>
      <c r="O378" s="298"/>
      <c r="P378" s="298"/>
      <c r="Q378" s="298"/>
      <c r="R378" s="298"/>
      <c r="S378" s="536"/>
      <c r="T378" s="635"/>
      <c r="U378" s="298"/>
      <c r="V378" s="298"/>
      <c r="W378" s="298"/>
      <c r="X378" s="298"/>
      <c r="Y378" s="298"/>
      <c r="Z378" s="298"/>
      <c r="AA378" s="298"/>
      <c r="AB378" s="298"/>
      <c r="AC378" s="298"/>
      <c r="AD378" s="298"/>
      <c r="AE378" s="298"/>
      <c r="AF378" s="298"/>
      <c r="AG378" s="298"/>
      <c r="AH378" s="298"/>
      <c r="AI378" s="298"/>
      <c r="AJ378" s="298"/>
      <c r="AK378" s="298"/>
      <c r="AL378" s="298"/>
      <c r="AM378" s="298"/>
      <c r="AN378" s="298"/>
      <c r="AO378" s="298"/>
      <c r="AP378" s="298"/>
      <c r="AQ378" s="298"/>
      <c r="AR378" s="298"/>
      <c r="AS378" s="298"/>
      <c r="AT378" s="298"/>
      <c r="AU378" s="298"/>
      <c r="AV378" s="298"/>
      <c r="AW378" s="298"/>
      <c r="AX378" s="298"/>
      <c r="AY378" s="298"/>
      <c r="AZ378" s="298"/>
      <c r="BA378" s="298"/>
      <c r="BB378" s="298"/>
      <c r="BC378" s="298"/>
      <c r="BD378" s="298"/>
      <c r="BE378" s="298"/>
      <c r="BF378" s="298"/>
      <c r="BG378" s="298"/>
      <c r="BH378" s="298"/>
      <c r="BI378" s="298"/>
      <c r="BJ378" s="298"/>
      <c r="BK378" s="298"/>
      <c r="BL378" s="298"/>
      <c r="BM378" s="298"/>
      <c r="BN378" s="298"/>
      <c r="BO378" s="298"/>
      <c r="BP378" s="298"/>
    </row>
    <row r="379" spans="1:68" s="529" customFormat="1" ht="25.5">
      <c r="A379" s="494"/>
      <c r="B379" s="372" t="s">
        <v>18732</v>
      </c>
      <c r="C379" s="231" t="s">
        <v>18726</v>
      </c>
      <c r="D379" s="232" t="s">
        <v>103</v>
      </c>
      <c r="E379" s="232" t="s">
        <v>4</v>
      </c>
      <c r="F379" s="233"/>
      <c r="G379" s="234"/>
      <c r="H379" s="235">
        <v>132.21</v>
      </c>
      <c r="I379" s="298"/>
      <c r="J379" s="634"/>
      <c r="K379" s="634"/>
      <c r="L379" s="719" t="s">
        <v>18744</v>
      </c>
      <c r="M379" s="720" t="s">
        <v>18745</v>
      </c>
      <c r="N379" s="298"/>
      <c r="O379" s="298"/>
      <c r="P379" s="298"/>
      <c r="Q379" s="298"/>
      <c r="R379" s="298"/>
      <c r="S379" s="536"/>
      <c r="T379" s="635"/>
      <c r="U379" s="298"/>
      <c r="V379" s="298"/>
      <c r="W379" s="298"/>
      <c r="X379" s="298"/>
      <c r="Y379" s="298"/>
      <c r="Z379" s="298"/>
      <c r="AA379" s="298"/>
      <c r="AB379" s="298"/>
      <c r="AC379" s="298"/>
      <c r="AD379" s="298"/>
      <c r="AE379" s="298"/>
      <c r="AF379" s="298"/>
      <c r="AG379" s="298"/>
      <c r="AH379" s="298"/>
      <c r="AI379" s="298"/>
      <c r="AJ379" s="298"/>
      <c r="AK379" s="298"/>
      <c r="AL379" s="298"/>
      <c r="AM379" s="298"/>
      <c r="AN379" s="298"/>
      <c r="AO379" s="298"/>
      <c r="AP379" s="298"/>
      <c r="AQ379" s="298"/>
      <c r="AR379" s="298"/>
      <c r="AS379" s="298"/>
      <c r="AT379" s="298"/>
      <c r="AU379" s="298"/>
      <c r="AV379" s="298"/>
      <c r="AW379" s="298"/>
      <c r="AX379" s="298"/>
      <c r="AY379" s="298"/>
      <c r="AZ379" s="298"/>
      <c r="BA379" s="298"/>
      <c r="BB379" s="298"/>
      <c r="BC379" s="298"/>
      <c r="BD379" s="298"/>
      <c r="BE379" s="298"/>
      <c r="BF379" s="298"/>
      <c r="BG379" s="298"/>
      <c r="BH379" s="298"/>
      <c r="BI379" s="298"/>
      <c r="BJ379" s="298"/>
      <c r="BK379" s="298"/>
      <c r="BL379" s="298"/>
      <c r="BM379" s="298"/>
      <c r="BN379" s="298"/>
      <c r="BO379" s="298"/>
      <c r="BP379" s="298"/>
    </row>
    <row r="380" spans="1:68" s="298" customFormat="1" ht="25.5">
      <c r="A380" s="256" t="s">
        <v>3259</v>
      </c>
      <c r="B380" s="288">
        <v>88309</v>
      </c>
      <c r="C380" s="289" t="s">
        <v>105</v>
      </c>
      <c r="D380" s="290" t="s">
        <v>9714</v>
      </c>
      <c r="E380" s="290" t="s">
        <v>206</v>
      </c>
      <c r="F380" s="291">
        <v>1.1333333333333333</v>
      </c>
      <c r="G380" s="292" t="s">
        <v>11439</v>
      </c>
      <c r="H380" s="255">
        <v>27.08</v>
      </c>
      <c r="J380" s="634"/>
      <c r="K380" s="634"/>
      <c r="L380" s="725">
        <v>1</v>
      </c>
      <c r="M380" s="726">
        <f>L380*1.7/1.5</f>
        <v>1.1333333333333333</v>
      </c>
      <c r="N380" s="718"/>
      <c r="S380" s="536"/>
      <c r="T380" s="635"/>
    </row>
    <row r="381" spans="1:68" s="298" customFormat="1" ht="25.5">
      <c r="A381" s="256" t="s">
        <v>3259</v>
      </c>
      <c r="B381" s="288">
        <v>88316</v>
      </c>
      <c r="C381" s="289" t="s">
        <v>104</v>
      </c>
      <c r="D381" s="290" t="s">
        <v>9714</v>
      </c>
      <c r="E381" s="290" t="s">
        <v>206</v>
      </c>
      <c r="F381" s="291">
        <v>1.1333333333333333</v>
      </c>
      <c r="G381" s="292" t="s">
        <v>10172</v>
      </c>
      <c r="H381" s="255">
        <v>19.95</v>
      </c>
      <c r="J381" s="634"/>
      <c r="K381" s="634"/>
      <c r="L381" s="725">
        <v>1</v>
      </c>
      <c r="M381" s="726">
        <f>L381*1.7/1.5</f>
        <v>1.1333333333333333</v>
      </c>
      <c r="N381" s="718"/>
      <c r="O381" s="256" t="s">
        <v>15372</v>
      </c>
      <c r="P381" s="256" t="s">
        <v>4</v>
      </c>
      <c r="Q381" s="298" t="s">
        <v>18746</v>
      </c>
      <c r="S381" s="536"/>
      <c r="T381" s="635"/>
    </row>
    <row r="382" spans="1:68" s="298" customFormat="1" ht="25.5">
      <c r="A382" s="256" t="s">
        <v>3261</v>
      </c>
      <c r="B382" s="288">
        <v>156</v>
      </c>
      <c r="C382" s="289" t="s">
        <v>4680</v>
      </c>
      <c r="D382" s="290" t="s">
        <v>207</v>
      </c>
      <c r="E382" s="290" t="s">
        <v>3244</v>
      </c>
      <c r="F382" s="291">
        <v>1.7</v>
      </c>
      <c r="G382" s="292" t="s">
        <v>18808</v>
      </c>
      <c r="H382" s="255">
        <v>80.37</v>
      </c>
      <c r="J382" s="634"/>
      <c r="K382" s="634"/>
      <c r="L382" s="725"/>
      <c r="M382" s="726"/>
      <c r="N382" s="718"/>
      <c r="O382" s="718">
        <v>1.7</v>
      </c>
      <c r="P382" s="718">
        <v>1</v>
      </c>
      <c r="Q382" s="298" t="s">
        <v>18742</v>
      </c>
      <c r="S382" s="536"/>
      <c r="T382" s="635"/>
    </row>
    <row r="383" spans="1:68" s="298" customFormat="1" ht="12.75">
      <c r="A383" s="256" t="s">
        <v>3261</v>
      </c>
      <c r="B383" s="288">
        <v>5330</v>
      </c>
      <c r="C383" s="289" t="s">
        <v>6091</v>
      </c>
      <c r="D383" s="290" t="s">
        <v>207</v>
      </c>
      <c r="E383" s="290" t="s">
        <v>3245</v>
      </c>
      <c r="F383" s="291">
        <v>0.13599999999999998</v>
      </c>
      <c r="G383" s="292" t="s">
        <v>9768</v>
      </c>
      <c r="H383" s="255">
        <v>4.8099999999999996</v>
      </c>
      <c r="J383" s="634"/>
      <c r="K383" s="634"/>
      <c r="L383" s="727">
        <v>0.12</v>
      </c>
      <c r="M383" s="728">
        <f>L383*1.7/1.5</f>
        <v>0.13599999999999998</v>
      </c>
      <c r="N383" s="718"/>
      <c r="O383" s="718">
        <v>1.5</v>
      </c>
      <c r="P383" s="718">
        <f>O383*P382/O382</f>
        <v>0.88235294117647056</v>
      </c>
      <c r="Q383" s="635" t="s">
        <v>18743</v>
      </c>
      <c r="S383" s="536"/>
      <c r="T383" s="635"/>
    </row>
    <row r="384" spans="1:68" s="529" customFormat="1" ht="12.75">
      <c r="A384" s="286"/>
      <c r="B384" s="375" t="s">
        <v>143</v>
      </c>
      <c r="C384" s="816" t="s">
        <v>18747</v>
      </c>
      <c r="D384" s="817"/>
      <c r="E384" s="817"/>
      <c r="F384" s="817"/>
      <c r="G384" s="817"/>
      <c r="H384" s="818"/>
      <c r="I384" s="298"/>
      <c r="J384" s="634"/>
      <c r="K384" s="634"/>
      <c r="L384" s="717"/>
      <c r="M384" s="717"/>
      <c r="N384" s="718"/>
      <c r="O384" s="256"/>
      <c r="P384" s="256"/>
      <c r="Q384" s="298"/>
      <c r="R384" s="298"/>
      <c r="S384" s="536"/>
      <c r="T384" s="635"/>
      <c r="U384" s="298"/>
      <c r="V384" s="298"/>
      <c r="W384" s="298"/>
      <c r="X384" s="298"/>
      <c r="Y384" s="298"/>
      <c r="Z384" s="298"/>
      <c r="AA384" s="298"/>
      <c r="AB384" s="298"/>
      <c r="AC384" s="298"/>
      <c r="AD384" s="298"/>
      <c r="AE384" s="298"/>
      <c r="AF384" s="298"/>
      <c r="AG384" s="298"/>
      <c r="AH384" s="298"/>
      <c r="AI384" s="298"/>
      <c r="AJ384" s="298"/>
      <c r="AK384" s="298"/>
      <c r="AL384" s="298"/>
      <c r="AM384" s="298"/>
      <c r="AN384" s="298"/>
      <c r="AO384" s="298"/>
      <c r="AP384" s="298"/>
      <c r="AQ384" s="298"/>
      <c r="AR384" s="298"/>
      <c r="AS384" s="298"/>
      <c r="AT384" s="298"/>
      <c r="AU384" s="298"/>
      <c r="AV384" s="298"/>
      <c r="AW384" s="298"/>
      <c r="AX384" s="298"/>
      <c r="AY384" s="298"/>
      <c r="AZ384" s="298"/>
      <c r="BA384" s="298"/>
      <c r="BB384" s="298"/>
      <c r="BC384" s="298"/>
      <c r="BD384" s="298"/>
      <c r="BE384" s="298"/>
      <c r="BF384" s="298"/>
      <c r="BG384" s="298"/>
      <c r="BH384" s="298"/>
      <c r="BI384" s="298"/>
      <c r="BJ384" s="298"/>
      <c r="BK384" s="298"/>
      <c r="BL384" s="298"/>
      <c r="BM384" s="298"/>
      <c r="BN384" s="298"/>
      <c r="BO384" s="298"/>
      <c r="BP384" s="298"/>
    </row>
    <row r="385" spans="1:68" s="529" customFormat="1" ht="12.75">
      <c r="A385" s="286"/>
      <c r="B385" s="373"/>
      <c r="C385" s="745"/>
      <c r="D385" s="745"/>
      <c r="E385" s="745"/>
      <c r="F385" s="745"/>
      <c r="G385" s="745"/>
      <c r="H385" s="746"/>
      <c r="I385" s="298"/>
      <c r="J385" s="634"/>
      <c r="K385" s="634"/>
      <c r="L385" s="634"/>
      <c r="M385" s="634"/>
      <c r="N385" s="298"/>
      <c r="O385" s="298"/>
      <c r="P385" s="298"/>
      <c r="Q385" s="298"/>
      <c r="R385" s="298"/>
      <c r="S385" s="536"/>
      <c r="T385" s="635"/>
      <c r="U385" s="298"/>
      <c r="V385" s="298"/>
      <c r="W385" s="298"/>
      <c r="X385" s="298"/>
      <c r="Y385" s="298"/>
      <c r="Z385" s="298"/>
      <c r="AA385" s="298"/>
      <c r="AB385" s="298"/>
      <c r="AC385" s="298"/>
      <c r="AD385" s="298"/>
      <c r="AE385" s="298"/>
      <c r="AF385" s="298"/>
      <c r="AG385" s="298"/>
      <c r="AH385" s="298"/>
      <c r="AI385" s="298"/>
      <c r="AJ385" s="298"/>
      <c r="AK385" s="298"/>
      <c r="AL385" s="298"/>
      <c r="AM385" s="298"/>
      <c r="AN385" s="298"/>
      <c r="AO385" s="298"/>
      <c r="AP385" s="298"/>
      <c r="AQ385" s="298"/>
      <c r="AR385" s="298"/>
      <c r="AS385" s="298"/>
      <c r="AT385" s="298"/>
      <c r="AU385" s="298"/>
      <c r="AV385" s="298"/>
      <c r="AW385" s="298"/>
      <c r="AX385" s="298"/>
      <c r="AY385" s="298"/>
      <c r="AZ385" s="298"/>
      <c r="BA385" s="298"/>
      <c r="BB385" s="298"/>
      <c r="BC385" s="298"/>
      <c r="BD385" s="298"/>
      <c r="BE385" s="298"/>
      <c r="BF385" s="298"/>
      <c r="BG385" s="298"/>
      <c r="BH385" s="298"/>
      <c r="BI385" s="298"/>
      <c r="BJ385" s="298"/>
      <c r="BK385" s="298"/>
      <c r="BL385" s="298"/>
      <c r="BM385" s="298"/>
      <c r="BN385" s="298"/>
      <c r="BO385" s="298"/>
      <c r="BP385" s="298"/>
    </row>
    <row r="386" spans="1:68" s="644" customFormat="1" ht="51">
      <c r="A386" s="555"/>
      <c r="B386" s="372" t="s">
        <v>24764</v>
      </c>
      <c r="C386" s="231" t="s">
        <v>24765</v>
      </c>
      <c r="D386" s="232" t="s">
        <v>103</v>
      </c>
      <c r="E386" s="232" t="s">
        <v>3244</v>
      </c>
      <c r="F386" s="233"/>
      <c r="G386" s="234"/>
      <c r="H386" s="235">
        <v>11.96</v>
      </c>
      <c r="I386" s="298"/>
      <c r="J386" s="634"/>
      <c r="K386" s="634"/>
      <c r="L386" s="634"/>
      <c r="M386" s="634"/>
      <c r="N386" s="298"/>
      <c r="O386" s="298"/>
      <c r="P386" s="298"/>
      <c r="Q386" s="298"/>
      <c r="R386" s="298"/>
      <c r="S386" s="536"/>
      <c r="T386" s="635"/>
      <c r="U386" s="298"/>
      <c r="V386" s="298"/>
      <c r="W386" s="298"/>
      <c r="X386" s="298"/>
      <c r="Y386" s="298"/>
      <c r="Z386" s="298"/>
      <c r="AA386" s="298"/>
      <c r="AB386" s="298"/>
      <c r="AC386" s="298"/>
      <c r="AD386" s="298"/>
      <c r="AE386" s="298"/>
      <c r="AF386" s="298"/>
      <c r="AG386" s="298"/>
      <c r="AH386" s="298"/>
      <c r="AI386" s="298"/>
      <c r="AJ386" s="298"/>
      <c r="AK386" s="298"/>
      <c r="AL386" s="298"/>
      <c r="AM386" s="298"/>
      <c r="AN386" s="298"/>
      <c r="AO386" s="298"/>
      <c r="AP386" s="298"/>
      <c r="AQ386" s="298"/>
      <c r="AR386" s="298"/>
      <c r="AS386" s="298"/>
      <c r="AT386" s="298"/>
      <c r="AU386" s="298"/>
      <c r="AV386" s="298"/>
      <c r="AW386" s="298"/>
      <c r="AX386" s="298"/>
      <c r="AY386" s="298"/>
      <c r="AZ386" s="298"/>
      <c r="BA386" s="298"/>
      <c r="BB386" s="298"/>
      <c r="BC386" s="298"/>
      <c r="BD386" s="298"/>
      <c r="BE386" s="298"/>
      <c r="BF386" s="298"/>
      <c r="BG386" s="298"/>
      <c r="BH386" s="298"/>
      <c r="BI386" s="298"/>
      <c r="BJ386" s="298"/>
      <c r="BK386" s="298"/>
      <c r="BL386" s="298"/>
      <c r="BM386" s="298"/>
      <c r="BN386" s="298"/>
      <c r="BO386" s="298"/>
      <c r="BP386" s="298"/>
    </row>
    <row r="387" spans="1:68" s="298" customFormat="1" ht="25.5">
      <c r="A387" s="256" t="s">
        <v>3261</v>
      </c>
      <c r="B387" s="288">
        <v>43692</v>
      </c>
      <c r="C387" s="289" t="s">
        <v>9552</v>
      </c>
      <c r="D387" s="290" t="s">
        <v>207</v>
      </c>
      <c r="E387" s="290" t="s">
        <v>3244</v>
      </c>
      <c r="F387" s="383">
        <v>1</v>
      </c>
      <c r="G387" s="292" t="s">
        <v>11240</v>
      </c>
      <c r="H387" s="255">
        <v>11.1</v>
      </c>
      <c r="J387" s="634"/>
      <c r="K387" s="634"/>
      <c r="L387" s="634"/>
      <c r="M387" s="634"/>
      <c r="S387" s="536"/>
      <c r="T387" s="635"/>
    </row>
    <row r="388" spans="1:68" s="298" customFormat="1" ht="25.5">
      <c r="A388" s="256" t="s">
        <v>3261</v>
      </c>
      <c r="B388" s="288">
        <v>10997</v>
      </c>
      <c r="C388" s="289" t="s">
        <v>6208</v>
      </c>
      <c r="D388" s="290" t="s">
        <v>207</v>
      </c>
      <c r="E388" s="290" t="s">
        <v>3244</v>
      </c>
      <c r="F388" s="383">
        <v>1.8E-3</v>
      </c>
      <c r="G388" s="292" t="s">
        <v>14318</v>
      </c>
      <c r="H388" s="255">
        <v>0.03</v>
      </c>
      <c r="J388" s="634"/>
      <c r="K388" s="634"/>
      <c r="L388" s="634"/>
      <c r="M388" s="634"/>
      <c r="S388" s="536"/>
      <c r="T388" s="635"/>
    </row>
    <row r="389" spans="1:68" s="298" customFormat="1" ht="25.5">
      <c r="A389" s="256" t="s">
        <v>3259</v>
      </c>
      <c r="B389" s="288">
        <v>88240</v>
      </c>
      <c r="C389" s="289" t="s">
        <v>3045</v>
      </c>
      <c r="D389" s="290" t="s">
        <v>9714</v>
      </c>
      <c r="E389" s="290" t="s">
        <v>206</v>
      </c>
      <c r="F389" s="383">
        <v>8.0000000000000004E-4</v>
      </c>
      <c r="G389" s="292" t="s">
        <v>14168</v>
      </c>
      <c r="H389" s="255">
        <v>0.01</v>
      </c>
      <c r="J389" s="634"/>
      <c r="K389" s="634"/>
      <c r="L389" s="634"/>
      <c r="M389" s="634"/>
      <c r="S389" s="536"/>
      <c r="T389" s="635"/>
    </row>
    <row r="390" spans="1:68" s="298" customFormat="1" ht="25.5">
      <c r="A390" s="256" t="s">
        <v>3259</v>
      </c>
      <c r="B390" s="288">
        <v>88278</v>
      </c>
      <c r="C390" s="289" t="s">
        <v>3066</v>
      </c>
      <c r="D390" s="290" t="s">
        <v>9714</v>
      </c>
      <c r="E390" s="290" t="s">
        <v>206</v>
      </c>
      <c r="F390" s="383">
        <v>2.3699999999999999E-2</v>
      </c>
      <c r="G390" s="292" t="s">
        <v>19155</v>
      </c>
      <c r="H390" s="255">
        <v>0.43</v>
      </c>
      <c r="J390" s="634"/>
      <c r="K390" s="634"/>
      <c r="L390" s="634"/>
      <c r="M390" s="634"/>
      <c r="S390" s="536"/>
      <c r="T390" s="635"/>
    </row>
    <row r="391" spans="1:68" s="298" customFormat="1" ht="25.5">
      <c r="A391" s="256" t="s">
        <v>3259</v>
      </c>
      <c r="B391" s="288">
        <v>88317</v>
      </c>
      <c r="C391" s="289" t="s">
        <v>3096</v>
      </c>
      <c r="D391" s="290" t="s">
        <v>9714</v>
      </c>
      <c r="E391" s="290" t="s">
        <v>206</v>
      </c>
      <c r="F391" s="383">
        <v>5.0000000000000001E-3</v>
      </c>
      <c r="G391" s="292" t="s">
        <v>18764</v>
      </c>
      <c r="H391" s="255">
        <v>0.12</v>
      </c>
      <c r="J391" s="634"/>
      <c r="K391" s="634"/>
      <c r="L391" s="634"/>
      <c r="M391" s="634"/>
      <c r="S391" s="536"/>
      <c r="T391" s="635"/>
    </row>
    <row r="392" spans="1:68" s="298" customFormat="1" ht="51">
      <c r="A392" s="256" t="s">
        <v>3259</v>
      </c>
      <c r="B392" s="288">
        <v>93287</v>
      </c>
      <c r="C392" s="289" t="s">
        <v>213</v>
      </c>
      <c r="D392" s="290" t="s">
        <v>8987</v>
      </c>
      <c r="E392" s="290" t="s">
        <v>212</v>
      </c>
      <c r="F392" s="383">
        <v>6.9999999999999999E-4</v>
      </c>
      <c r="G392" s="292" t="s">
        <v>21438</v>
      </c>
      <c r="H392" s="255">
        <v>0.23</v>
      </c>
      <c r="J392" s="634"/>
      <c r="K392" s="634"/>
      <c r="L392" s="634"/>
      <c r="M392" s="634"/>
      <c r="S392" s="536"/>
      <c r="T392" s="635"/>
    </row>
    <row r="393" spans="1:68" s="298" customFormat="1" ht="51">
      <c r="A393" s="256" t="s">
        <v>3259</v>
      </c>
      <c r="B393" s="288">
        <v>93288</v>
      </c>
      <c r="C393" s="289" t="s">
        <v>214</v>
      </c>
      <c r="D393" s="290" t="s">
        <v>8987</v>
      </c>
      <c r="E393" s="290" t="s">
        <v>215</v>
      </c>
      <c r="F393" s="383">
        <v>5.0000000000000001E-4</v>
      </c>
      <c r="G393" s="292" t="s">
        <v>21491</v>
      </c>
      <c r="H393" s="255">
        <v>0.04</v>
      </c>
      <c r="J393" s="634"/>
      <c r="K393" s="634"/>
      <c r="L393" s="634"/>
      <c r="M393" s="634"/>
      <c r="S393" s="536"/>
      <c r="T393" s="635"/>
    </row>
    <row r="394" spans="1:68" s="529" customFormat="1" ht="12.75">
      <c r="A394" s="286"/>
      <c r="B394" s="375" t="s">
        <v>143</v>
      </c>
      <c r="C394" s="816" t="s">
        <v>24489</v>
      </c>
      <c r="D394" s="817"/>
      <c r="E394" s="817"/>
      <c r="F394" s="817"/>
      <c r="G394" s="817"/>
      <c r="H394" s="818"/>
      <c r="I394" s="298"/>
      <c r="J394" s="634"/>
      <c r="K394" s="634"/>
      <c r="L394" s="634"/>
      <c r="M394" s="634"/>
      <c r="N394" s="298"/>
      <c r="O394" s="298"/>
      <c r="P394" s="298"/>
      <c r="Q394" s="298"/>
      <c r="R394" s="298"/>
      <c r="S394" s="536"/>
      <c r="T394" s="635"/>
      <c r="U394" s="298"/>
      <c r="V394" s="298"/>
      <c r="W394" s="298"/>
      <c r="X394" s="298"/>
      <c r="Y394" s="298"/>
      <c r="Z394" s="298"/>
      <c r="AA394" s="298"/>
      <c r="AB394" s="298"/>
      <c r="AC394" s="298"/>
      <c r="AD394" s="298"/>
      <c r="AE394" s="298"/>
      <c r="AF394" s="298"/>
      <c r="AG394" s="298"/>
      <c r="AH394" s="298"/>
      <c r="AI394" s="298"/>
      <c r="AJ394" s="298"/>
      <c r="AK394" s="298"/>
      <c r="AL394" s="298"/>
      <c r="AM394" s="298"/>
      <c r="AN394" s="298"/>
      <c r="AO394" s="298"/>
      <c r="AP394" s="298"/>
      <c r="AQ394" s="298"/>
      <c r="AR394" s="298"/>
      <c r="AS394" s="298"/>
      <c r="AT394" s="298"/>
      <c r="AU394" s="298"/>
      <c r="AV394" s="298"/>
      <c r="AW394" s="298"/>
      <c r="AX394" s="298"/>
      <c r="AY394" s="298"/>
      <c r="AZ394" s="298"/>
      <c r="BA394" s="298"/>
      <c r="BB394" s="298"/>
      <c r="BC394" s="298"/>
      <c r="BD394" s="298"/>
      <c r="BE394" s="298"/>
      <c r="BF394" s="298"/>
      <c r="BG394" s="298"/>
      <c r="BH394" s="298"/>
      <c r="BI394" s="298"/>
      <c r="BJ394" s="298"/>
      <c r="BK394" s="298"/>
      <c r="BL394" s="298"/>
      <c r="BM394" s="298"/>
      <c r="BN394" s="298"/>
      <c r="BO394" s="298"/>
      <c r="BP394" s="298"/>
    </row>
    <row r="395" spans="1:68" s="529" customFormat="1" ht="12.75">
      <c r="A395" s="286"/>
      <c r="B395" s="373"/>
      <c r="C395" s="745"/>
      <c r="D395" s="745"/>
      <c r="E395" s="745"/>
      <c r="F395" s="745"/>
      <c r="G395" s="745"/>
      <c r="H395" s="746"/>
      <c r="I395" s="298"/>
      <c r="J395" s="634"/>
      <c r="K395" s="634"/>
      <c r="L395" s="634"/>
      <c r="M395" s="634"/>
      <c r="N395" s="298"/>
      <c r="O395" s="298"/>
      <c r="P395" s="298"/>
      <c r="Q395" s="298"/>
      <c r="R395" s="298"/>
      <c r="S395" s="536"/>
      <c r="T395" s="635"/>
      <c r="U395" s="298"/>
      <c r="V395" s="298"/>
      <c r="W395" s="298"/>
      <c r="X395" s="298"/>
      <c r="Y395" s="298"/>
      <c r="Z395" s="298"/>
      <c r="AA395" s="298"/>
      <c r="AB395" s="298"/>
      <c r="AC395" s="298"/>
      <c r="AD395" s="298"/>
      <c r="AE395" s="298"/>
      <c r="AF395" s="298"/>
      <c r="AG395" s="298"/>
      <c r="AH395" s="298"/>
      <c r="AI395" s="298"/>
      <c r="AJ395" s="298"/>
      <c r="AK395" s="298"/>
      <c r="AL395" s="298"/>
      <c r="AM395" s="298"/>
      <c r="AN395" s="298"/>
      <c r="AO395" s="298"/>
      <c r="AP395" s="298"/>
      <c r="AQ395" s="298"/>
      <c r="AR395" s="298"/>
      <c r="AS395" s="298"/>
      <c r="AT395" s="298"/>
      <c r="AU395" s="298"/>
      <c r="AV395" s="298"/>
      <c r="AW395" s="298"/>
      <c r="AX395" s="298"/>
      <c r="AY395" s="298"/>
      <c r="AZ395" s="298"/>
      <c r="BA395" s="298"/>
      <c r="BB395" s="298"/>
      <c r="BC395" s="298"/>
      <c r="BD395" s="298"/>
      <c r="BE395" s="298"/>
      <c r="BF395" s="298"/>
      <c r="BG395" s="298"/>
      <c r="BH395" s="298"/>
      <c r="BI395" s="298"/>
      <c r="BJ395" s="298"/>
      <c r="BK395" s="298"/>
      <c r="BL395" s="298"/>
      <c r="BM395" s="298"/>
      <c r="BN395" s="298"/>
      <c r="BO395" s="298"/>
      <c r="BP395" s="298"/>
    </row>
    <row r="396" spans="1:68" s="529" customFormat="1" ht="51">
      <c r="A396" s="494"/>
      <c r="B396" s="372" t="s">
        <v>24768</v>
      </c>
      <c r="C396" s="231" t="s">
        <v>24776</v>
      </c>
      <c r="D396" s="232" t="s">
        <v>103</v>
      </c>
      <c r="E396" s="232" t="s">
        <v>3244</v>
      </c>
      <c r="F396" s="233"/>
      <c r="G396" s="234"/>
      <c r="H396" s="235">
        <v>12.58</v>
      </c>
      <c r="I396" s="298"/>
      <c r="J396" s="634"/>
      <c r="K396" s="634"/>
      <c r="L396" s="634"/>
      <c r="M396" s="634"/>
      <c r="N396" s="298"/>
      <c r="O396" s="298"/>
      <c r="P396" s="298"/>
      <c r="Q396" s="298"/>
      <c r="R396" s="298"/>
      <c r="S396" s="536"/>
      <c r="T396" s="635"/>
      <c r="U396" s="298"/>
      <c r="V396" s="298"/>
      <c r="W396" s="298"/>
      <c r="X396" s="298"/>
      <c r="Y396" s="298"/>
      <c r="Z396" s="298"/>
      <c r="AA396" s="298"/>
      <c r="AB396" s="298"/>
      <c r="AC396" s="298"/>
      <c r="AD396" s="298"/>
      <c r="AE396" s="298"/>
      <c r="AF396" s="298"/>
      <c r="AG396" s="298"/>
      <c r="AH396" s="298"/>
      <c r="AI396" s="298"/>
      <c r="AJ396" s="298"/>
      <c r="AK396" s="298"/>
      <c r="AL396" s="298"/>
      <c r="AM396" s="298"/>
      <c r="AN396" s="298"/>
      <c r="AO396" s="298"/>
      <c r="AP396" s="298"/>
      <c r="AQ396" s="298"/>
      <c r="AR396" s="298"/>
      <c r="AS396" s="298"/>
      <c r="AT396" s="298"/>
      <c r="AU396" s="298"/>
      <c r="AV396" s="298"/>
      <c r="AW396" s="298"/>
      <c r="AX396" s="298"/>
      <c r="AY396" s="298"/>
      <c r="AZ396" s="298"/>
      <c r="BA396" s="298"/>
      <c r="BB396" s="298"/>
      <c r="BC396" s="298"/>
      <c r="BD396" s="298"/>
      <c r="BE396" s="298"/>
      <c r="BF396" s="298"/>
      <c r="BG396" s="298"/>
      <c r="BH396" s="298"/>
      <c r="BI396" s="298"/>
      <c r="BJ396" s="298"/>
      <c r="BK396" s="298"/>
      <c r="BL396" s="298"/>
      <c r="BM396" s="298"/>
      <c r="BN396" s="298"/>
      <c r="BO396" s="298"/>
      <c r="BP396" s="298"/>
    </row>
    <row r="397" spans="1:68" s="298" customFormat="1" ht="25.5">
      <c r="A397" s="256" t="s">
        <v>3261</v>
      </c>
      <c r="B397" s="288">
        <v>1321</v>
      </c>
      <c r="C397" s="289" t="s">
        <v>5467</v>
      </c>
      <c r="D397" s="290" t="s">
        <v>207</v>
      </c>
      <c r="E397" s="290" t="s">
        <v>3244</v>
      </c>
      <c r="F397" s="383">
        <v>1</v>
      </c>
      <c r="G397" s="292" t="s">
        <v>10448</v>
      </c>
      <c r="H397" s="255">
        <v>11.72</v>
      </c>
      <c r="J397" s="634"/>
      <c r="K397" s="634"/>
      <c r="L397" s="634"/>
      <c r="M397" s="634"/>
      <c r="S397" s="536"/>
      <c r="T397" s="635"/>
    </row>
    <row r="398" spans="1:68" s="298" customFormat="1" ht="25.5">
      <c r="A398" s="256" t="s">
        <v>3261</v>
      </c>
      <c r="B398" s="288">
        <v>10997</v>
      </c>
      <c r="C398" s="289" t="s">
        <v>6208</v>
      </c>
      <c r="D398" s="290" t="s">
        <v>207</v>
      </c>
      <c r="E398" s="290" t="s">
        <v>3244</v>
      </c>
      <c r="F398" s="383">
        <v>1.8E-3</v>
      </c>
      <c r="G398" s="292" t="s">
        <v>14318</v>
      </c>
      <c r="H398" s="255">
        <v>0.03</v>
      </c>
      <c r="J398" s="634"/>
      <c r="K398" s="634"/>
      <c r="L398" s="634"/>
      <c r="M398" s="634"/>
      <c r="S398" s="536"/>
      <c r="T398" s="635"/>
    </row>
    <row r="399" spans="1:68" s="298" customFormat="1" ht="25.5">
      <c r="A399" s="256" t="s">
        <v>3259</v>
      </c>
      <c r="B399" s="288">
        <v>88240</v>
      </c>
      <c r="C399" s="289" t="s">
        <v>3045</v>
      </c>
      <c r="D399" s="290" t="s">
        <v>9714</v>
      </c>
      <c r="E399" s="290" t="s">
        <v>206</v>
      </c>
      <c r="F399" s="383">
        <v>8.0000000000000004E-4</v>
      </c>
      <c r="G399" s="292" t="s">
        <v>14168</v>
      </c>
      <c r="H399" s="255">
        <v>0.01</v>
      </c>
      <c r="J399" s="634"/>
      <c r="K399" s="634"/>
      <c r="L399" s="634"/>
      <c r="M399" s="634"/>
      <c r="S399" s="536"/>
      <c r="T399" s="635"/>
    </row>
    <row r="400" spans="1:68" s="298" customFormat="1" ht="25.5">
      <c r="A400" s="256" t="s">
        <v>3259</v>
      </c>
      <c r="B400" s="288">
        <v>88278</v>
      </c>
      <c r="C400" s="289" t="s">
        <v>3066</v>
      </c>
      <c r="D400" s="290" t="s">
        <v>9714</v>
      </c>
      <c r="E400" s="290" t="s">
        <v>206</v>
      </c>
      <c r="F400" s="383">
        <v>2.3699999999999999E-2</v>
      </c>
      <c r="G400" s="292" t="s">
        <v>19155</v>
      </c>
      <c r="H400" s="255">
        <v>0.43</v>
      </c>
      <c r="J400" s="634"/>
      <c r="K400" s="634"/>
      <c r="L400" s="634"/>
      <c r="M400" s="634"/>
      <c r="S400" s="536"/>
      <c r="T400" s="635"/>
    </row>
    <row r="401" spans="1:68" s="298" customFormat="1" ht="25.5">
      <c r="A401" s="256" t="s">
        <v>3259</v>
      </c>
      <c r="B401" s="288">
        <v>88317</v>
      </c>
      <c r="C401" s="289" t="s">
        <v>3096</v>
      </c>
      <c r="D401" s="290" t="s">
        <v>9714</v>
      </c>
      <c r="E401" s="290" t="s">
        <v>206</v>
      </c>
      <c r="F401" s="383">
        <v>5.0000000000000001E-3</v>
      </c>
      <c r="G401" s="292" t="s">
        <v>18764</v>
      </c>
      <c r="H401" s="255">
        <v>0.12</v>
      </c>
      <c r="J401" s="634"/>
      <c r="K401" s="634"/>
      <c r="L401" s="634"/>
      <c r="M401" s="634"/>
      <c r="S401" s="536"/>
      <c r="T401" s="635"/>
    </row>
    <row r="402" spans="1:68" s="298" customFormat="1" ht="51">
      <c r="A402" s="256" t="s">
        <v>3259</v>
      </c>
      <c r="B402" s="288">
        <v>93287</v>
      </c>
      <c r="C402" s="289" t="s">
        <v>213</v>
      </c>
      <c r="D402" s="290" t="s">
        <v>8987</v>
      </c>
      <c r="E402" s="290" t="s">
        <v>212</v>
      </c>
      <c r="F402" s="383">
        <v>6.9999999999999999E-4</v>
      </c>
      <c r="G402" s="292" t="s">
        <v>21438</v>
      </c>
      <c r="H402" s="255">
        <v>0.23</v>
      </c>
      <c r="J402" s="634"/>
      <c r="K402" s="634"/>
      <c r="L402" s="634"/>
      <c r="M402" s="634"/>
      <c r="S402" s="536"/>
      <c r="T402" s="635"/>
    </row>
    <row r="403" spans="1:68" s="298" customFormat="1" ht="51">
      <c r="A403" s="256" t="s">
        <v>3259</v>
      </c>
      <c r="B403" s="288">
        <v>93288</v>
      </c>
      <c r="C403" s="289" t="s">
        <v>214</v>
      </c>
      <c r="D403" s="290" t="s">
        <v>8987</v>
      </c>
      <c r="E403" s="290" t="s">
        <v>215</v>
      </c>
      <c r="F403" s="383">
        <v>5.0000000000000001E-4</v>
      </c>
      <c r="G403" s="292" t="s">
        <v>21491</v>
      </c>
      <c r="H403" s="255">
        <v>0.04</v>
      </c>
      <c r="J403" s="634"/>
      <c r="K403" s="634"/>
      <c r="L403" s="634"/>
      <c r="M403" s="634"/>
      <c r="S403" s="536"/>
      <c r="T403" s="635"/>
    </row>
    <row r="404" spans="1:68" s="529" customFormat="1" ht="18.75" customHeight="1">
      <c r="A404" s="286"/>
      <c r="B404" s="375" t="s">
        <v>143</v>
      </c>
      <c r="C404" s="816" t="s">
        <v>24489</v>
      </c>
      <c r="D404" s="817"/>
      <c r="E404" s="817"/>
      <c r="F404" s="817"/>
      <c r="G404" s="817"/>
      <c r="H404" s="818"/>
      <c r="I404" s="298"/>
      <c r="J404" s="634"/>
      <c r="K404" s="634"/>
      <c r="L404" s="634"/>
      <c r="M404" s="634"/>
      <c r="N404" s="298"/>
      <c r="O404" s="298"/>
      <c r="P404" s="298"/>
      <c r="Q404" s="298"/>
      <c r="R404" s="298"/>
      <c r="S404" s="536"/>
      <c r="T404" s="635"/>
      <c r="U404" s="298"/>
      <c r="V404" s="298"/>
      <c r="W404" s="298"/>
      <c r="X404" s="298"/>
      <c r="Y404" s="298"/>
      <c r="Z404" s="298"/>
      <c r="AA404" s="298"/>
      <c r="AB404" s="298"/>
      <c r="AC404" s="298"/>
      <c r="AD404" s="298"/>
      <c r="AE404" s="298"/>
      <c r="AF404" s="298"/>
      <c r="AG404" s="298"/>
      <c r="AH404" s="298"/>
      <c r="AI404" s="298"/>
      <c r="AJ404" s="298"/>
      <c r="AK404" s="298"/>
      <c r="AL404" s="298"/>
      <c r="AM404" s="298"/>
      <c r="AN404" s="298"/>
      <c r="AO404" s="298"/>
      <c r="AP404" s="298"/>
      <c r="AQ404" s="298"/>
      <c r="AR404" s="298"/>
      <c r="AS404" s="298"/>
      <c r="AT404" s="298"/>
      <c r="AU404" s="298"/>
      <c r="AV404" s="298"/>
      <c r="AW404" s="298"/>
      <c r="AX404" s="298"/>
      <c r="AY404" s="298"/>
      <c r="AZ404" s="298"/>
      <c r="BA404" s="298"/>
      <c r="BB404" s="298"/>
      <c r="BC404" s="298"/>
      <c r="BD404" s="298"/>
      <c r="BE404" s="298"/>
      <c r="BF404" s="298"/>
      <c r="BG404" s="298"/>
      <c r="BH404" s="298"/>
      <c r="BI404" s="298"/>
      <c r="BJ404" s="298"/>
      <c r="BK404" s="298"/>
      <c r="BL404" s="298"/>
      <c r="BM404" s="298"/>
      <c r="BN404" s="298"/>
      <c r="BO404" s="298"/>
      <c r="BP404" s="298"/>
    </row>
    <row r="405" spans="1:68" s="529" customFormat="1" ht="12.75">
      <c r="A405" s="286"/>
      <c r="B405" s="373"/>
      <c r="C405" s="747"/>
      <c r="D405" s="747"/>
      <c r="E405" s="747"/>
      <c r="F405" s="747"/>
      <c r="G405" s="747"/>
      <c r="H405" s="748"/>
      <c r="I405" s="298"/>
      <c r="J405" s="634"/>
      <c r="K405" s="634"/>
      <c r="L405" s="634"/>
      <c r="M405" s="634"/>
      <c r="N405" s="298"/>
      <c r="O405" s="298"/>
      <c r="P405" s="298"/>
      <c r="Q405" s="298"/>
      <c r="R405" s="298"/>
      <c r="S405" s="536"/>
      <c r="T405" s="635"/>
      <c r="U405" s="298"/>
      <c r="V405" s="298"/>
      <c r="W405" s="298"/>
      <c r="X405" s="298"/>
      <c r="Y405" s="298"/>
      <c r="Z405" s="298"/>
      <c r="AA405" s="298"/>
      <c r="AB405" s="298"/>
      <c r="AC405" s="298"/>
      <c r="AD405" s="298"/>
      <c r="AE405" s="298"/>
      <c r="AF405" s="298"/>
      <c r="AG405" s="298"/>
      <c r="AH405" s="298"/>
      <c r="AI405" s="298"/>
      <c r="AJ405" s="298"/>
      <c r="AK405" s="298"/>
      <c r="AL405" s="298"/>
      <c r="AM405" s="298"/>
      <c r="AN405" s="298"/>
      <c r="AO405" s="298"/>
      <c r="AP405" s="298"/>
      <c r="AQ405" s="298"/>
      <c r="AR405" s="298"/>
      <c r="AS405" s="298"/>
      <c r="AT405" s="298"/>
      <c r="AU405" s="298"/>
      <c r="AV405" s="298"/>
      <c r="AW405" s="298"/>
      <c r="AX405" s="298"/>
      <c r="AY405" s="298"/>
      <c r="AZ405" s="298"/>
      <c r="BA405" s="298"/>
      <c r="BB405" s="298"/>
      <c r="BC405" s="298"/>
      <c r="BD405" s="298"/>
      <c r="BE405" s="298"/>
      <c r="BF405" s="298"/>
      <c r="BG405" s="298"/>
      <c r="BH405" s="298"/>
      <c r="BI405" s="298"/>
      <c r="BJ405" s="298"/>
      <c r="BK405" s="298"/>
      <c r="BL405" s="298"/>
      <c r="BM405" s="298"/>
      <c r="BN405" s="298"/>
      <c r="BO405" s="298"/>
      <c r="BP405" s="298"/>
    </row>
    <row r="406" spans="1:68" s="529" customFormat="1" ht="25.5">
      <c r="A406" s="494"/>
      <c r="B406" s="372" t="s">
        <v>24780</v>
      </c>
      <c r="C406" s="231" t="s">
        <v>24782</v>
      </c>
      <c r="D406" s="232" t="s">
        <v>103</v>
      </c>
      <c r="E406" s="232" t="s">
        <v>3244</v>
      </c>
      <c r="F406" s="233"/>
      <c r="G406" s="234"/>
      <c r="H406" s="235">
        <v>1.8</v>
      </c>
      <c r="I406" s="298"/>
      <c r="J406" s="634"/>
      <c r="K406" s="634"/>
      <c r="L406" s="634"/>
      <c r="M406" s="634"/>
      <c r="N406" s="298"/>
      <c r="O406" s="298"/>
      <c r="P406" s="298"/>
      <c r="Q406" s="298"/>
      <c r="R406" s="298"/>
      <c r="S406" s="536"/>
      <c r="T406" s="635"/>
      <c r="U406" s="298"/>
      <c r="V406" s="298"/>
      <c r="W406" s="298"/>
      <c r="X406" s="298"/>
      <c r="Y406" s="298"/>
      <c r="Z406" s="298"/>
      <c r="AA406" s="298"/>
      <c r="AB406" s="298"/>
      <c r="AC406" s="298"/>
      <c r="AD406" s="298"/>
      <c r="AE406" s="298"/>
      <c r="AF406" s="298"/>
      <c r="AG406" s="298"/>
      <c r="AH406" s="298"/>
      <c r="AI406" s="298"/>
      <c r="AJ406" s="298"/>
      <c r="AK406" s="298"/>
      <c r="AL406" s="298"/>
      <c r="AM406" s="298"/>
      <c r="AN406" s="298"/>
      <c r="AO406" s="298"/>
      <c r="AP406" s="298"/>
      <c r="AQ406" s="298"/>
      <c r="AR406" s="298"/>
      <c r="AS406" s="298"/>
      <c r="AT406" s="298"/>
      <c r="AU406" s="298"/>
      <c r="AV406" s="298"/>
      <c r="AW406" s="298"/>
      <c r="AX406" s="298"/>
      <c r="AY406" s="298"/>
      <c r="AZ406" s="298"/>
      <c r="BA406" s="298"/>
      <c r="BB406" s="298"/>
      <c r="BC406" s="298"/>
      <c r="BD406" s="298"/>
      <c r="BE406" s="298"/>
      <c r="BF406" s="298"/>
      <c r="BG406" s="298"/>
      <c r="BH406" s="298"/>
      <c r="BI406" s="298"/>
      <c r="BJ406" s="298"/>
      <c r="BK406" s="298"/>
      <c r="BL406" s="298"/>
      <c r="BM406" s="298"/>
      <c r="BN406" s="298"/>
      <c r="BO406" s="298"/>
      <c r="BP406" s="298"/>
    </row>
    <row r="407" spans="1:68" s="298" customFormat="1" ht="25.5">
      <c r="A407" s="256" t="s">
        <v>3259</v>
      </c>
      <c r="B407" s="288">
        <v>88240</v>
      </c>
      <c r="C407" s="289" t="s">
        <v>3045</v>
      </c>
      <c r="D407" s="290" t="s">
        <v>9714</v>
      </c>
      <c r="E407" s="290" t="s">
        <v>206</v>
      </c>
      <c r="F407" s="383">
        <v>4.2000000000000003E-2</v>
      </c>
      <c r="G407" s="292" t="s">
        <v>14168</v>
      </c>
      <c r="H407" s="255">
        <v>0.61</v>
      </c>
      <c r="J407" s="634"/>
      <c r="K407" s="634"/>
      <c r="L407" s="634"/>
      <c r="M407" s="634"/>
      <c r="S407" s="536"/>
      <c r="T407" s="635"/>
    </row>
    <row r="408" spans="1:68" s="298" customFormat="1" ht="25.5">
      <c r="A408" s="256" t="s">
        <v>3259</v>
      </c>
      <c r="B408" s="288">
        <v>88278</v>
      </c>
      <c r="C408" s="289" t="s">
        <v>3066</v>
      </c>
      <c r="D408" s="290" t="s">
        <v>9714</v>
      </c>
      <c r="E408" s="290" t="s">
        <v>206</v>
      </c>
      <c r="F408" s="383">
        <v>1.4E-2</v>
      </c>
      <c r="G408" s="292" t="s">
        <v>19155</v>
      </c>
      <c r="H408" s="255">
        <v>0.25</v>
      </c>
      <c r="J408" s="634"/>
      <c r="K408" s="634"/>
      <c r="L408" s="634"/>
      <c r="M408" s="634"/>
      <c r="S408" s="536"/>
      <c r="T408" s="635"/>
    </row>
    <row r="409" spans="1:68" s="298" customFormat="1" ht="51">
      <c r="A409" s="256" t="s">
        <v>3259</v>
      </c>
      <c r="B409" s="288">
        <v>89272</v>
      </c>
      <c r="C409" s="289" t="s">
        <v>292</v>
      </c>
      <c r="D409" s="290" t="s">
        <v>8987</v>
      </c>
      <c r="E409" s="290" t="s">
        <v>212</v>
      </c>
      <c r="F409" s="383">
        <v>7.0000000000000001E-3</v>
      </c>
      <c r="G409" s="292" t="s">
        <v>21418</v>
      </c>
      <c r="H409" s="255">
        <v>0.94</v>
      </c>
      <c r="J409" s="634"/>
      <c r="K409" s="634"/>
      <c r="L409" s="634"/>
      <c r="M409" s="634"/>
      <c r="S409" s="536"/>
      <c r="T409" s="635"/>
    </row>
    <row r="410" spans="1:68" s="529" customFormat="1" ht="18.75" customHeight="1">
      <c r="A410" s="286"/>
      <c r="B410" s="375" t="s">
        <v>143</v>
      </c>
      <c r="C410" s="816" t="s">
        <v>24781</v>
      </c>
      <c r="D410" s="817"/>
      <c r="E410" s="817"/>
      <c r="F410" s="817"/>
      <c r="G410" s="817"/>
      <c r="H410" s="818"/>
      <c r="I410" s="298"/>
      <c r="J410" s="634"/>
      <c r="K410" s="634"/>
      <c r="L410" s="634"/>
      <c r="M410" s="634"/>
      <c r="N410" s="298"/>
      <c r="O410" s="298"/>
      <c r="P410" s="298"/>
      <c r="Q410" s="298"/>
      <c r="R410" s="298"/>
      <c r="S410" s="536"/>
      <c r="T410" s="635"/>
      <c r="U410" s="298"/>
      <c r="V410" s="298"/>
      <c r="W410" s="298"/>
      <c r="X410" s="298"/>
      <c r="Y410" s="298"/>
      <c r="Z410" s="298"/>
      <c r="AA410" s="298"/>
      <c r="AB410" s="298"/>
      <c r="AC410" s="298"/>
      <c r="AD410" s="298"/>
      <c r="AE410" s="298"/>
      <c r="AF410" s="298"/>
      <c r="AG410" s="298"/>
      <c r="AH410" s="298"/>
      <c r="AI410" s="298"/>
      <c r="AJ410" s="298"/>
      <c r="AK410" s="298"/>
      <c r="AL410" s="298"/>
      <c r="AM410" s="298"/>
      <c r="AN410" s="298"/>
      <c r="AO410" s="298"/>
      <c r="AP410" s="298"/>
      <c r="AQ410" s="298"/>
      <c r="AR410" s="298"/>
      <c r="AS410" s="298"/>
      <c r="AT410" s="298"/>
      <c r="AU410" s="298"/>
      <c r="AV410" s="298"/>
      <c r="AW410" s="298"/>
      <c r="AX410" s="298"/>
      <c r="AY410" s="298"/>
      <c r="AZ410" s="298"/>
      <c r="BA410" s="298"/>
      <c r="BB410" s="298"/>
      <c r="BC410" s="298"/>
      <c r="BD410" s="298"/>
      <c r="BE410" s="298"/>
      <c r="BF410" s="298"/>
      <c r="BG410" s="298"/>
      <c r="BH410" s="298"/>
      <c r="BI410" s="298"/>
      <c r="BJ410" s="298"/>
      <c r="BK410" s="298"/>
      <c r="BL410" s="298"/>
      <c r="BM410" s="298"/>
      <c r="BN410" s="298"/>
      <c r="BO410" s="298"/>
      <c r="BP410" s="298"/>
    </row>
    <row r="411" spans="1:68" s="529" customFormat="1" ht="12.75">
      <c r="A411" s="286"/>
      <c r="B411" s="373"/>
      <c r="C411" s="747"/>
      <c r="D411" s="747"/>
      <c r="E411" s="747"/>
      <c r="F411" s="747"/>
      <c r="G411" s="747"/>
      <c r="H411" s="748"/>
      <c r="I411" s="298"/>
      <c r="J411" s="634"/>
      <c r="K411" s="634"/>
      <c r="L411" s="634"/>
      <c r="M411" s="634"/>
      <c r="N411" s="298"/>
      <c r="O411" s="298"/>
      <c r="P411" s="298"/>
      <c r="Q411" s="298"/>
      <c r="R411" s="298"/>
      <c r="S411" s="536"/>
      <c r="T411" s="635"/>
      <c r="U411" s="298"/>
      <c r="V411" s="298"/>
      <c r="W411" s="298"/>
      <c r="X411" s="298"/>
      <c r="Y411" s="298"/>
      <c r="Z411" s="298"/>
      <c r="AA411" s="298"/>
      <c r="AB411" s="298"/>
      <c r="AC411" s="298"/>
      <c r="AD411" s="298"/>
      <c r="AE411" s="298"/>
      <c r="AF411" s="298"/>
      <c r="AG411" s="298"/>
      <c r="AH411" s="298"/>
      <c r="AI411" s="298"/>
      <c r="AJ411" s="298"/>
      <c r="AK411" s="298"/>
      <c r="AL411" s="298"/>
      <c r="AM411" s="298"/>
      <c r="AN411" s="298"/>
      <c r="AO411" s="298"/>
      <c r="AP411" s="298"/>
      <c r="AQ411" s="298"/>
      <c r="AR411" s="298"/>
      <c r="AS411" s="298"/>
      <c r="AT411" s="298"/>
      <c r="AU411" s="298"/>
      <c r="AV411" s="298"/>
      <c r="AW411" s="298"/>
      <c r="AX411" s="298"/>
      <c r="AY411" s="298"/>
      <c r="AZ411" s="298"/>
      <c r="BA411" s="298"/>
      <c r="BB411" s="298"/>
      <c r="BC411" s="298"/>
      <c r="BD411" s="298"/>
      <c r="BE411" s="298"/>
      <c r="BF411" s="298"/>
      <c r="BG411" s="298"/>
      <c r="BH411" s="298"/>
      <c r="BI411" s="298"/>
      <c r="BJ411" s="298"/>
      <c r="BK411" s="298"/>
      <c r="BL411" s="298"/>
      <c r="BM411" s="298"/>
      <c r="BN411" s="298"/>
      <c r="BO411" s="298"/>
      <c r="BP411" s="298"/>
    </row>
    <row r="412" spans="1:68" s="529" customFormat="1" ht="38.25">
      <c r="A412" s="494"/>
      <c r="B412" s="372" t="s">
        <v>24784</v>
      </c>
      <c r="C412" s="231" t="s">
        <v>24791</v>
      </c>
      <c r="D412" s="232" t="s">
        <v>103</v>
      </c>
      <c r="E412" s="232" t="s">
        <v>193</v>
      </c>
      <c r="F412" s="233"/>
      <c r="G412" s="234"/>
      <c r="H412" s="235">
        <v>1.97</v>
      </c>
      <c r="I412" s="298"/>
      <c r="J412" s="634"/>
      <c r="K412" s="634"/>
      <c r="L412" s="634"/>
      <c r="M412" s="634" t="s">
        <v>24788</v>
      </c>
      <c r="N412" s="298"/>
      <c r="O412" s="298"/>
      <c r="P412" s="298"/>
      <c r="Q412" s="298"/>
      <c r="R412" s="298"/>
      <c r="S412" s="536"/>
      <c r="T412" s="635"/>
      <c r="U412" s="298"/>
      <c r="V412" s="298"/>
      <c r="W412" s="298"/>
      <c r="X412" s="298"/>
      <c r="Y412" s="298"/>
      <c r="Z412" s="298"/>
      <c r="AA412" s="298"/>
      <c r="AB412" s="298"/>
      <c r="AC412" s="298"/>
      <c r="AD412" s="298"/>
      <c r="AE412" s="298"/>
      <c r="AF412" s="298"/>
      <c r="AG412" s="298"/>
      <c r="AH412" s="298"/>
      <c r="AI412" s="298"/>
      <c r="AJ412" s="298"/>
      <c r="AK412" s="298"/>
      <c r="AL412" s="298"/>
      <c r="AM412" s="298"/>
      <c r="AN412" s="298"/>
      <c r="AO412" s="298"/>
      <c r="AP412" s="298"/>
      <c r="AQ412" s="298"/>
      <c r="AR412" s="298"/>
      <c r="AS412" s="298"/>
      <c r="AT412" s="298"/>
      <c r="AU412" s="298"/>
      <c r="AV412" s="298"/>
      <c r="AW412" s="298"/>
      <c r="AX412" s="298"/>
      <c r="AY412" s="298"/>
      <c r="AZ412" s="298"/>
      <c r="BA412" s="298"/>
      <c r="BB412" s="298"/>
      <c r="BC412" s="298"/>
      <c r="BD412" s="298"/>
      <c r="BE412" s="298"/>
      <c r="BF412" s="298"/>
      <c r="BG412" s="298"/>
      <c r="BH412" s="298"/>
      <c r="BI412" s="298"/>
      <c r="BJ412" s="298"/>
      <c r="BK412" s="298"/>
      <c r="BL412" s="298"/>
      <c r="BM412" s="298"/>
      <c r="BN412" s="298"/>
      <c r="BO412" s="298"/>
      <c r="BP412" s="298"/>
    </row>
    <row r="413" spans="1:68" s="298" customFormat="1" ht="12.75">
      <c r="A413" s="256" t="s">
        <v>12</v>
      </c>
      <c r="B413" s="288" t="s">
        <v>24786</v>
      </c>
      <c r="C413" s="289" t="s">
        <v>24787</v>
      </c>
      <c r="D413" s="290" t="s">
        <v>207</v>
      </c>
      <c r="E413" s="290" t="s">
        <v>4</v>
      </c>
      <c r="F413" s="383">
        <v>4.3452500000000005E-2</v>
      </c>
      <c r="G413" s="292">
        <v>9</v>
      </c>
      <c r="H413" s="255">
        <v>0.39</v>
      </c>
      <c r="J413" s="634"/>
      <c r="K413" s="634"/>
      <c r="L413" s="634"/>
      <c r="M413" s="752">
        <f>0.0575+0.1908</f>
        <v>0.24829999999999999</v>
      </c>
      <c r="N413" s="298" t="s">
        <v>24789</v>
      </c>
      <c r="P413" s="298" t="s">
        <v>24796</v>
      </c>
      <c r="R413" s="298" t="s">
        <v>24795</v>
      </c>
      <c r="S413" s="536"/>
      <c r="T413" s="635"/>
    </row>
    <row r="414" spans="1:68" s="298" customFormat="1" ht="25.5">
      <c r="A414" s="256" t="s">
        <v>3261</v>
      </c>
      <c r="B414" s="288">
        <v>14583</v>
      </c>
      <c r="C414" s="289" t="s">
        <v>8160</v>
      </c>
      <c r="D414" s="290" t="s">
        <v>207</v>
      </c>
      <c r="E414" s="290" t="s">
        <v>3241</v>
      </c>
      <c r="F414" s="383">
        <v>2.0691666666666666E-4</v>
      </c>
      <c r="G414" s="292" t="s">
        <v>10553</v>
      </c>
      <c r="H414" s="255">
        <v>0</v>
      </c>
      <c r="J414" s="634"/>
      <c r="K414" s="647"/>
      <c r="L414" s="634"/>
      <c r="M414" s="634" t="s">
        <v>24790</v>
      </c>
      <c r="S414" s="536"/>
      <c r="T414" s="635"/>
    </row>
    <row r="415" spans="1:68" s="298" customFormat="1" ht="12.75">
      <c r="A415" s="256" t="s">
        <v>3259</v>
      </c>
      <c r="B415" s="288">
        <v>88310</v>
      </c>
      <c r="C415" s="289" t="s">
        <v>226</v>
      </c>
      <c r="D415" s="290" t="s">
        <v>9714</v>
      </c>
      <c r="E415" s="290" t="s">
        <v>206</v>
      </c>
      <c r="F415" s="383">
        <v>6.3500000000000001E-2</v>
      </c>
      <c r="G415" s="292" t="s">
        <v>12276</v>
      </c>
      <c r="H415" s="255">
        <v>1.58</v>
      </c>
      <c r="J415" s="634"/>
      <c r="K415" s="634"/>
      <c r="L415" s="634"/>
      <c r="M415" s="634"/>
      <c r="S415" s="536"/>
      <c r="T415" s="635"/>
    </row>
    <row r="416" spans="1:68" s="529" customFormat="1" ht="18.75" customHeight="1">
      <c r="A416" s="286"/>
      <c r="B416" s="375" t="s">
        <v>143</v>
      </c>
      <c r="C416" s="816" t="s">
        <v>24785</v>
      </c>
      <c r="D416" s="817"/>
      <c r="E416" s="817"/>
      <c r="F416" s="817"/>
      <c r="G416" s="817"/>
      <c r="H416" s="818"/>
      <c r="I416" s="298"/>
      <c r="J416" s="634"/>
      <c r="K416" s="634"/>
      <c r="L416" s="634"/>
      <c r="M416" s="634"/>
      <c r="N416" s="298"/>
      <c r="O416" s="298"/>
      <c r="P416" s="298"/>
      <c r="Q416" s="298"/>
      <c r="R416" s="298"/>
      <c r="S416" s="536"/>
      <c r="T416" s="635"/>
      <c r="U416" s="298"/>
      <c r="V416" s="298"/>
      <c r="W416" s="298"/>
      <c r="X416" s="298"/>
      <c r="Y416" s="298"/>
      <c r="Z416" s="298"/>
      <c r="AA416" s="298"/>
      <c r="AB416" s="298"/>
      <c r="AC416" s="298"/>
      <c r="AD416" s="298"/>
      <c r="AE416" s="298"/>
      <c r="AF416" s="298"/>
      <c r="AG416" s="298"/>
      <c r="AH416" s="298"/>
      <c r="AI416" s="298"/>
      <c r="AJ416" s="298"/>
      <c r="AK416" s="298"/>
      <c r="AL416" s="298"/>
      <c r="AM416" s="298"/>
      <c r="AN416" s="298"/>
      <c r="AO416" s="298"/>
      <c r="AP416" s="298"/>
      <c r="AQ416" s="298"/>
      <c r="AR416" s="298"/>
      <c r="AS416" s="298"/>
      <c r="AT416" s="298"/>
      <c r="AU416" s="298"/>
      <c r="AV416" s="298"/>
      <c r="AW416" s="298"/>
      <c r="AX416" s="298"/>
      <c r="AY416" s="298"/>
      <c r="AZ416" s="298"/>
      <c r="BA416" s="298"/>
      <c r="BB416" s="298"/>
      <c r="BC416" s="298"/>
      <c r="BD416" s="298"/>
      <c r="BE416" s="298"/>
      <c r="BF416" s="298"/>
      <c r="BG416" s="298"/>
      <c r="BH416" s="298"/>
      <c r="BI416" s="298"/>
      <c r="BJ416" s="298"/>
      <c r="BK416" s="298"/>
      <c r="BL416" s="298"/>
      <c r="BM416" s="298"/>
      <c r="BN416" s="298"/>
      <c r="BO416" s="298"/>
      <c r="BP416" s="298"/>
    </row>
    <row r="417" spans="1:68" s="529" customFormat="1" ht="12.75">
      <c r="A417" s="286"/>
      <c r="B417" s="373"/>
      <c r="C417" s="747"/>
      <c r="D417" s="747"/>
      <c r="E417" s="747"/>
      <c r="F417" s="747"/>
      <c r="G417" s="747"/>
      <c r="H417" s="748"/>
      <c r="I417" s="298"/>
      <c r="J417" s="634"/>
      <c r="K417" s="634"/>
      <c r="L417" s="634"/>
      <c r="M417" s="634"/>
      <c r="N417" s="298"/>
      <c r="O417" s="298"/>
      <c r="P417" s="298"/>
      <c r="Q417" s="298"/>
      <c r="R417" s="298"/>
      <c r="S417" s="536"/>
      <c r="T417" s="635"/>
      <c r="U417" s="298"/>
      <c r="V417" s="298"/>
      <c r="W417" s="298"/>
      <c r="X417" s="298"/>
      <c r="Y417" s="298"/>
      <c r="Z417" s="298"/>
      <c r="AA417" s="298"/>
      <c r="AB417" s="298"/>
      <c r="AC417" s="298"/>
      <c r="AD417" s="298"/>
      <c r="AE417" s="298"/>
      <c r="AF417" s="298"/>
      <c r="AG417" s="298"/>
      <c r="AH417" s="298"/>
      <c r="AI417" s="298"/>
      <c r="AJ417" s="298"/>
      <c r="AK417" s="298"/>
      <c r="AL417" s="298"/>
      <c r="AM417" s="298"/>
      <c r="AN417" s="298"/>
      <c r="AO417" s="298"/>
      <c r="AP417" s="298"/>
      <c r="AQ417" s="298"/>
      <c r="AR417" s="298"/>
      <c r="AS417" s="298"/>
      <c r="AT417" s="298"/>
      <c r="AU417" s="298"/>
      <c r="AV417" s="298"/>
      <c r="AW417" s="298"/>
      <c r="AX417" s="298"/>
      <c r="AY417" s="298"/>
      <c r="AZ417" s="298"/>
      <c r="BA417" s="298"/>
      <c r="BB417" s="298"/>
      <c r="BC417" s="298"/>
      <c r="BD417" s="298"/>
      <c r="BE417" s="298"/>
      <c r="BF417" s="298"/>
      <c r="BG417" s="298"/>
      <c r="BH417" s="298"/>
      <c r="BI417" s="298"/>
      <c r="BJ417" s="298"/>
      <c r="BK417" s="298"/>
      <c r="BL417" s="298"/>
      <c r="BM417" s="298"/>
      <c r="BN417" s="298"/>
      <c r="BO417" s="298"/>
      <c r="BP417" s="298"/>
    </row>
    <row r="418" spans="1:68" s="529" customFormat="1" ht="25.5">
      <c r="A418" s="494"/>
      <c r="B418" s="372" t="s">
        <v>24792</v>
      </c>
      <c r="C418" s="231" t="s">
        <v>24794</v>
      </c>
      <c r="D418" s="232" t="s">
        <v>103</v>
      </c>
      <c r="E418" s="232" t="s">
        <v>193</v>
      </c>
      <c r="F418" s="233"/>
      <c r="G418" s="234"/>
      <c r="H418" s="235">
        <v>1.73</v>
      </c>
      <c r="I418" s="298"/>
      <c r="J418" s="634"/>
      <c r="K418" s="634"/>
      <c r="L418" s="634"/>
      <c r="M418" s="634" t="s">
        <v>24788</v>
      </c>
      <c r="N418" s="298"/>
      <c r="O418" s="298"/>
      <c r="P418" s="298"/>
      <c r="Q418" s="298"/>
      <c r="R418" s="298"/>
      <c r="S418" s="536"/>
      <c r="T418" s="635"/>
      <c r="U418" s="298"/>
      <c r="V418" s="298"/>
      <c r="W418" s="298"/>
      <c r="X418" s="298"/>
      <c r="Y418" s="298"/>
      <c r="Z418" s="298"/>
      <c r="AA418" s="298"/>
      <c r="AB418" s="298"/>
      <c r="AC418" s="298"/>
      <c r="AD418" s="298"/>
      <c r="AE418" s="298"/>
      <c r="AF418" s="298"/>
      <c r="AG418" s="298"/>
      <c r="AH418" s="298"/>
      <c r="AI418" s="298"/>
      <c r="AJ418" s="298"/>
      <c r="AK418" s="298"/>
      <c r="AL418" s="298"/>
      <c r="AM418" s="298"/>
      <c r="AN418" s="298"/>
      <c r="AO418" s="298"/>
      <c r="AP418" s="298"/>
      <c r="AQ418" s="298"/>
      <c r="AR418" s="298"/>
      <c r="AS418" s="298"/>
      <c r="AT418" s="298"/>
      <c r="AU418" s="298"/>
      <c r="AV418" s="298"/>
      <c r="AW418" s="298"/>
      <c r="AX418" s="298"/>
      <c r="AY418" s="298"/>
      <c r="AZ418" s="298"/>
      <c r="BA418" s="298"/>
      <c r="BB418" s="298"/>
      <c r="BC418" s="298"/>
      <c r="BD418" s="298"/>
      <c r="BE418" s="298"/>
      <c r="BF418" s="298"/>
      <c r="BG418" s="298"/>
      <c r="BH418" s="298"/>
      <c r="BI418" s="298"/>
      <c r="BJ418" s="298"/>
      <c r="BK418" s="298"/>
      <c r="BL418" s="298"/>
      <c r="BM418" s="298"/>
      <c r="BN418" s="298"/>
      <c r="BO418" s="298"/>
      <c r="BP418" s="298"/>
    </row>
    <row r="419" spans="1:68" s="298" customFormat="1" ht="25.5">
      <c r="A419" s="256" t="s">
        <v>3261</v>
      </c>
      <c r="B419" s="288">
        <v>3</v>
      </c>
      <c r="C419" s="289" t="s">
        <v>4608</v>
      </c>
      <c r="D419" s="290" t="s">
        <v>207</v>
      </c>
      <c r="E419" s="290" t="s">
        <v>3245</v>
      </c>
      <c r="F419" s="383">
        <v>3.1285800000000002E-2</v>
      </c>
      <c r="G419" s="292" t="s">
        <v>11319</v>
      </c>
      <c r="H419" s="255">
        <v>0.15</v>
      </c>
      <c r="J419" s="753"/>
      <c r="K419" s="634"/>
      <c r="L419" s="634"/>
      <c r="M419" s="752">
        <f>0.0575+0.1908</f>
        <v>0.24829999999999999</v>
      </c>
      <c r="N419" s="298" t="s">
        <v>24789</v>
      </c>
      <c r="S419" s="536"/>
      <c r="T419" s="635"/>
    </row>
    <row r="420" spans="1:68" s="298" customFormat="1" ht="25.5">
      <c r="A420" s="256" t="s">
        <v>3261</v>
      </c>
      <c r="B420" s="288">
        <v>14583</v>
      </c>
      <c r="C420" s="289" t="s">
        <v>8160</v>
      </c>
      <c r="D420" s="290" t="s">
        <v>207</v>
      </c>
      <c r="E420" s="290" t="s">
        <v>3241</v>
      </c>
      <c r="F420" s="383">
        <v>2.1850400000000001E-4</v>
      </c>
      <c r="G420" s="292" t="s">
        <v>10553</v>
      </c>
      <c r="H420" s="255">
        <v>0</v>
      </c>
      <c r="J420" s="634"/>
      <c r="K420" s="647"/>
      <c r="L420" s="634"/>
      <c r="M420" s="634" t="s">
        <v>24798</v>
      </c>
      <c r="P420" s="298" t="s">
        <v>24796</v>
      </c>
      <c r="R420" s="298" t="s">
        <v>24797</v>
      </c>
      <c r="S420" s="536"/>
      <c r="T420" s="635"/>
    </row>
    <row r="421" spans="1:68" s="298" customFormat="1" ht="12.75">
      <c r="A421" s="256" t="s">
        <v>3259</v>
      </c>
      <c r="B421" s="288">
        <v>88310</v>
      </c>
      <c r="C421" s="289" t="s">
        <v>226</v>
      </c>
      <c r="D421" s="290" t="s">
        <v>9714</v>
      </c>
      <c r="E421" s="290" t="s">
        <v>206</v>
      </c>
      <c r="F421" s="383">
        <v>6.3500000000000001E-2</v>
      </c>
      <c r="G421" s="292" t="s">
        <v>12276</v>
      </c>
      <c r="H421" s="255">
        <v>1.58</v>
      </c>
      <c r="J421" s="647"/>
      <c r="K421" s="634"/>
      <c r="L421" s="634"/>
      <c r="M421" s="634"/>
      <c r="S421" s="536"/>
      <c r="T421" s="635"/>
    </row>
    <row r="422" spans="1:68" s="529" customFormat="1" ht="18.75" customHeight="1">
      <c r="A422" s="286"/>
      <c r="B422" s="375" t="s">
        <v>143</v>
      </c>
      <c r="C422" s="816" t="s">
        <v>24785</v>
      </c>
      <c r="D422" s="817"/>
      <c r="E422" s="817"/>
      <c r="F422" s="817"/>
      <c r="G422" s="817"/>
      <c r="H422" s="818"/>
      <c r="I422" s="298"/>
      <c r="J422" s="634"/>
      <c r="K422" s="634"/>
      <c r="L422" s="634"/>
      <c r="M422" s="634"/>
      <c r="N422" s="298"/>
      <c r="O422" s="298"/>
      <c r="P422" s="298"/>
      <c r="Q422" s="298"/>
      <c r="R422" s="298"/>
      <c r="S422" s="536"/>
      <c r="T422" s="635"/>
      <c r="U422" s="298"/>
      <c r="V422" s="298"/>
      <c r="W422" s="298"/>
      <c r="X422" s="298"/>
      <c r="Y422" s="298"/>
      <c r="Z422" s="298"/>
      <c r="AA422" s="298"/>
      <c r="AB422" s="298"/>
      <c r="AC422" s="298"/>
      <c r="AD422" s="298"/>
      <c r="AE422" s="298"/>
      <c r="AF422" s="298"/>
      <c r="AG422" s="298"/>
      <c r="AH422" s="298"/>
      <c r="AI422" s="298"/>
      <c r="AJ422" s="298"/>
      <c r="AK422" s="298"/>
      <c r="AL422" s="298"/>
      <c r="AM422" s="298"/>
      <c r="AN422" s="298"/>
      <c r="AO422" s="298"/>
      <c r="AP422" s="298"/>
      <c r="AQ422" s="298"/>
      <c r="AR422" s="298"/>
      <c r="AS422" s="298"/>
      <c r="AT422" s="298"/>
      <c r="AU422" s="298"/>
      <c r="AV422" s="298"/>
      <c r="AW422" s="298"/>
      <c r="AX422" s="298"/>
      <c r="AY422" s="298"/>
      <c r="AZ422" s="298"/>
      <c r="BA422" s="298"/>
      <c r="BB422" s="298"/>
      <c r="BC422" s="298"/>
      <c r="BD422" s="298"/>
      <c r="BE422" s="298"/>
      <c r="BF422" s="298"/>
      <c r="BG422" s="298"/>
      <c r="BH422" s="298"/>
      <c r="BI422" s="298"/>
      <c r="BJ422" s="298"/>
      <c r="BK422" s="298"/>
      <c r="BL422" s="298"/>
      <c r="BM422" s="298"/>
      <c r="BN422" s="298"/>
      <c r="BO422" s="298"/>
      <c r="BP422" s="298"/>
    </row>
    <row r="423" spans="1:68" s="529" customFormat="1" ht="12.75">
      <c r="A423" s="286"/>
      <c r="B423" s="373"/>
      <c r="C423" s="747"/>
      <c r="D423" s="747"/>
      <c r="E423" s="747"/>
      <c r="F423" s="747"/>
      <c r="G423" s="747"/>
      <c r="H423" s="748"/>
      <c r="I423" s="298"/>
      <c r="J423" s="634"/>
      <c r="K423" s="634"/>
      <c r="L423" s="634"/>
      <c r="M423" s="634"/>
      <c r="N423" s="298"/>
      <c r="O423" s="298"/>
      <c r="P423" s="298"/>
      <c r="Q423" s="298"/>
      <c r="R423" s="298"/>
      <c r="S423" s="536"/>
      <c r="T423" s="635"/>
      <c r="U423" s="298"/>
      <c r="V423" s="298"/>
      <c r="W423" s="298"/>
      <c r="X423" s="298"/>
      <c r="Y423" s="298"/>
      <c r="Z423" s="298"/>
      <c r="AA423" s="298"/>
      <c r="AB423" s="298"/>
      <c r="AC423" s="298"/>
      <c r="AD423" s="298"/>
      <c r="AE423" s="298"/>
      <c r="AF423" s="298"/>
      <c r="AG423" s="298"/>
      <c r="AH423" s="298"/>
      <c r="AI423" s="298"/>
      <c r="AJ423" s="298"/>
      <c r="AK423" s="298"/>
      <c r="AL423" s="298"/>
      <c r="AM423" s="298"/>
      <c r="AN423" s="298"/>
      <c r="AO423" s="298"/>
      <c r="AP423" s="298"/>
      <c r="AQ423" s="298"/>
      <c r="AR423" s="298"/>
      <c r="AS423" s="298"/>
      <c r="AT423" s="298"/>
      <c r="AU423" s="298"/>
      <c r="AV423" s="298"/>
      <c r="AW423" s="298"/>
      <c r="AX423" s="298"/>
      <c r="AY423" s="298"/>
      <c r="AZ423" s="298"/>
      <c r="BA423" s="298"/>
      <c r="BB423" s="298"/>
      <c r="BC423" s="298"/>
      <c r="BD423" s="298"/>
      <c r="BE423" s="298"/>
      <c r="BF423" s="298"/>
      <c r="BG423" s="298"/>
      <c r="BH423" s="298"/>
      <c r="BI423" s="298"/>
      <c r="BJ423" s="298"/>
      <c r="BK423" s="298"/>
      <c r="BL423" s="298"/>
      <c r="BM423" s="298"/>
      <c r="BN423" s="298"/>
      <c r="BO423" s="298"/>
      <c r="BP423" s="298"/>
    </row>
    <row r="424" spans="1:68" s="529" customFormat="1" ht="51">
      <c r="A424" s="494"/>
      <c r="B424" s="372" t="s">
        <v>24793</v>
      </c>
      <c r="C424" s="231" t="s">
        <v>24804</v>
      </c>
      <c r="D424" s="232" t="s">
        <v>103</v>
      </c>
      <c r="E424" s="232" t="s">
        <v>193</v>
      </c>
      <c r="F424" s="233"/>
      <c r="G424" s="234"/>
      <c r="H424" s="235">
        <v>13.02</v>
      </c>
      <c r="I424" s="298"/>
      <c r="J424" s="634"/>
      <c r="K424" s="634"/>
      <c r="L424" s="634"/>
      <c r="M424" s="634"/>
      <c r="N424" s="298"/>
      <c r="O424" s="298"/>
      <c r="P424" s="298"/>
      <c r="Q424" s="298"/>
      <c r="R424" s="298"/>
      <c r="S424" s="536"/>
      <c r="T424" s="635"/>
      <c r="U424" s="298"/>
      <c r="V424" s="298"/>
      <c r="W424" s="298"/>
      <c r="X424" s="298"/>
      <c r="Y424" s="298"/>
      <c r="Z424" s="298"/>
      <c r="AA424" s="298"/>
      <c r="AB424" s="298"/>
      <c r="AC424" s="298"/>
      <c r="AD424" s="298"/>
      <c r="AE424" s="298"/>
      <c r="AF424" s="298"/>
      <c r="AG424" s="298"/>
      <c r="AH424" s="298"/>
      <c r="AI424" s="298"/>
      <c r="AJ424" s="298"/>
      <c r="AK424" s="298"/>
      <c r="AL424" s="298"/>
      <c r="AM424" s="298"/>
      <c r="AN424" s="298"/>
      <c r="AO424" s="298"/>
      <c r="AP424" s="298"/>
      <c r="AQ424" s="298"/>
      <c r="AR424" s="298"/>
      <c r="AS424" s="298"/>
      <c r="AT424" s="298"/>
      <c r="AU424" s="298"/>
      <c r="AV424" s="298"/>
      <c r="AW424" s="298"/>
      <c r="AX424" s="298"/>
      <c r="AY424" s="298"/>
      <c r="AZ424" s="298"/>
      <c r="BA424" s="298"/>
      <c r="BB424" s="298"/>
      <c r="BC424" s="298"/>
      <c r="BD424" s="298"/>
      <c r="BE424" s="298"/>
      <c r="BF424" s="298"/>
      <c r="BG424" s="298"/>
      <c r="BH424" s="298"/>
      <c r="BI424" s="298"/>
      <c r="BJ424" s="298"/>
      <c r="BK424" s="298"/>
      <c r="BL424" s="298"/>
      <c r="BM424" s="298"/>
      <c r="BN424" s="298"/>
      <c r="BO424" s="298"/>
      <c r="BP424" s="298"/>
    </row>
    <row r="425" spans="1:68" s="298" customFormat="1" ht="12.75">
      <c r="A425" s="256" t="s">
        <v>3261</v>
      </c>
      <c r="B425" s="288">
        <v>5330</v>
      </c>
      <c r="C425" s="289" t="s">
        <v>6091</v>
      </c>
      <c r="D425" s="290" t="s">
        <v>207</v>
      </c>
      <c r="E425" s="290" t="s">
        <v>3245</v>
      </c>
      <c r="F425" s="291">
        <v>2.12E-2</v>
      </c>
      <c r="G425" s="292" t="s">
        <v>9768</v>
      </c>
      <c r="H425" s="255">
        <v>0.75</v>
      </c>
      <c r="J425" s="634"/>
      <c r="K425" s="634"/>
      <c r="L425" s="634"/>
      <c r="M425" s="634"/>
      <c r="S425" s="536"/>
      <c r="T425" s="635"/>
    </row>
    <row r="426" spans="1:68" s="298" customFormat="1" ht="12.75">
      <c r="A426" s="256" t="s">
        <v>3261</v>
      </c>
      <c r="B426" s="288">
        <v>11149</v>
      </c>
      <c r="C426" s="289" t="s">
        <v>7831</v>
      </c>
      <c r="D426" s="290" t="s">
        <v>207</v>
      </c>
      <c r="E426" s="290" t="s">
        <v>3256</v>
      </c>
      <c r="F426" s="291">
        <v>3.9199999999999999E-2</v>
      </c>
      <c r="G426" s="292" t="s">
        <v>20501</v>
      </c>
      <c r="H426" s="255">
        <v>6.64</v>
      </c>
      <c r="J426" s="634"/>
      <c r="K426" s="634"/>
      <c r="L426" s="634"/>
      <c r="M426" s="634"/>
      <c r="S426" s="536"/>
      <c r="T426" s="635"/>
    </row>
    <row r="427" spans="1:68" s="298" customFormat="1" ht="25.5">
      <c r="A427" s="256" t="s">
        <v>3259</v>
      </c>
      <c r="B427" s="288">
        <v>88312</v>
      </c>
      <c r="C427" s="289" t="s">
        <v>3093</v>
      </c>
      <c r="D427" s="290" t="s">
        <v>9714</v>
      </c>
      <c r="E427" s="290" t="s">
        <v>206</v>
      </c>
      <c r="F427" s="291">
        <v>0.21490000000000001</v>
      </c>
      <c r="G427" s="292" t="s">
        <v>12443</v>
      </c>
      <c r="H427" s="255">
        <v>5.63</v>
      </c>
      <c r="J427" s="634"/>
      <c r="K427" s="634"/>
      <c r="L427" s="634"/>
      <c r="M427" s="634"/>
      <c r="S427" s="536"/>
      <c r="T427" s="635"/>
    </row>
    <row r="428" spans="1:68" s="529" customFormat="1" ht="12.75">
      <c r="A428" s="286"/>
      <c r="B428" s="375" t="s">
        <v>143</v>
      </c>
      <c r="C428" s="816" t="s">
        <v>24803</v>
      </c>
      <c r="D428" s="817"/>
      <c r="E428" s="817"/>
      <c r="F428" s="817"/>
      <c r="G428" s="817"/>
      <c r="H428" s="818"/>
      <c r="I428" s="298"/>
      <c r="J428" s="634"/>
      <c r="K428" s="634"/>
      <c r="L428" s="634"/>
      <c r="M428" s="634"/>
      <c r="N428" s="298"/>
      <c r="O428" s="298"/>
      <c r="P428" s="298"/>
      <c r="Q428" s="298"/>
      <c r="R428" s="298"/>
      <c r="S428" s="536"/>
      <c r="T428" s="635"/>
      <c r="U428" s="298"/>
      <c r="V428" s="298"/>
      <c r="W428" s="298"/>
      <c r="X428" s="298"/>
      <c r="Y428" s="298"/>
      <c r="Z428" s="298"/>
      <c r="AA428" s="298"/>
      <c r="AB428" s="298"/>
      <c r="AC428" s="298"/>
      <c r="AD428" s="298"/>
      <c r="AE428" s="298"/>
      <c r="AF428" s="298"/>
      <c r="AG428" s="298"/>
      <c r="AH428" s="298"/>
      <c r="AI428" s="298"/>
      <c r="AJ428" s="298"/>
      <c r="AK428" s="298"/>
      <c r="AL428" s="298"/>
      <c r="AM428" s="298"/>
      <c r="AN428" s="298"/>
      <c r="AO428" s="298"/>
      <c r="AP428" s="298"/>
      <c r="AQ428" s="298"/>
      <c r="AR428" s="298"/>
      <c r="AS428" s="298"/>
      <c r="AT428" s="298"/>
      <c r="AU428" s="298"/>
      <c r="AV428" s="298"/>
      <c r="AW428" s="298"/>
      <c r="AX428" s="298"/>
      <c r="AY428" s="298"/>
      <c r="AZ428" s="298"/>
      <c r="BA428" s="298"/>
      <c r="BB428" s="298"/>
      <c r="BC428" s="298"/>
      <c r="BD428" s="298"/>
      <c r="BE428" s="298"/>
      <c r="BF428" s="298"/>
      <c r="BG428" s="298"/>
      <c r="BH428" s="298"/>
      <c r="BI428" s="298"/>
      <c r="BJ428" s="298"/>
      <c r="BK428" s="298"/>
      <c r="BL428" s="298"/>
      <c r="BM428" s="298"/>
      <c r="BN428" s="298"/>
      <c r="BO428" s="298"/>
      <c r="BP428" s="298"/>
    </row>
    <row r="429" spans="1:68" s="529" customFormat="1" ht="12.75">
      <c r="A429" s="286"/>
      <c r="B429" s="373"/>
      <c r="C429" s="747"/>
      <c r="D429" s="747"/>
      <c r="E429" s="747"/>
      <c r="F429" s="747"/>
      <c r="G429" s="747"/>
      <c r="H429" s="748"/>
      <c r="I429" s="298"/>
      <c r="J429" s="634"/>
      <c r="K429" s="634"/>
      <c r="L429" s="634"/>
      <c r="M429" s="634"/>
      <c r="N429" s="298"/>
      <c r="O429" s="298"/>
      <c r="P429" s="298"/>
      <c r="Q429" s="298"/>
      <c r="R429" s="298"/>
      <c r="S429" s="536"/>
      <c r="T429" s="635"/>
      <c r="U429" s="298"/>
      <c r="V429" s="298"/>
      <c r="W429" s="298"/>
      <c r="X429" s="298"/>
      <c r="Y429" s="298"/>
      <c r="Z429" s="298"/>
      <c r="AA429" s="298"/>
      <c r="AB429" s="298"/>
      <c r="AC429" s="298"/>
      <c r="AD429" s="298"/>
      <c r="AE429" s="298"/>
      <c r="AF429" s="298"/>
      <c r="AG429" s="298"/>
      <c r="AH429" s="298"/>
      <c r="AI429" s="298"/>
      <c r="AJ429" s="298"/>
      <c r="AK429" s="298"/>
      <c r="AL429" s="298"/>
      <c r="AM429" s="298"/>
      <c r="AN429" s="298"/>
      <c r="AO429" s="298"/>
      <c r="AP429" s="298"/>
      <c r="AQ429" s="298"/>
      <c r="AR429" s="298"/>
      <c r="AS429" s="298"/>
      <c r="AT429" s="298"/>
      <c r="AU429" s="298"/>
      <c r="AV429" s="298"/>
      <c r="AW429" s="298"/>
      <c r="AX429" s="298"/>
      <c r="AY429" s="298"/>
      <c r="AZ429" s="298"/>
      <c r="BA429" s="298"/>
      <c r="BB429" s="298"/>
      <c r="BC429" s="298"/>
      <c r="BD429" s="298"/>
      <c r="BE429" s="298"/>
      <c r="BF429" s="298"/>
      <c r="BG429" s="298"/>
      <c r="BH429" s="298"/>
      <c r="BI429" s="298"/>
      <c r="BJ429" s="298"/>
      <c r="BK429" s="298"/>
      <c r="BL429" s="298"/>
      <c r="BM429" s="298"/>
      <c r="BN429" s="298"/>
      <c r="BO429" s="298"/>
      <c r="BP429" s="298"/>
    </row>
    <row r="430" spans="1:68" s="529" customFormat="1" ht="12.75">
      <c r="A430" s="494"/>
      <c r="B430" s="372" t="s">
        <v>24861</v>
      </c>
      <c r="C430" s="231" t="s">
        <v>24863</v>
      </c>
      <c r="D430" s="232" t="s">
        <v>103</v>
      </c>
      <c r="E430" s="232" t="s">
        <v>193</v>
      </c>
      <c r="F430" s="233"/>
      <c r="G430" s="234"/>
      <c r="H430" s="235">
        <v>5.28</v>
      </c>
      <c r="I430" s="298"/>
      <c r="J430" s="634"/>
      <c r="K430" s="634"/>
      <c r="L430" s="634"/>
      <c r="M430" s="634"/>
      <c r="N430" s="298"/>
      <c r="O430" s="298"/>
      <c r="P430" s="298"/>
      <c r="Q430" s="298"/>
      <c r="R430" s="298"/>
      <c r="S430" s="536"/>
      <c r="T430" s="635"/>
      <c r="U430" s="298"/>
      <c r="V430" s="298"/>
      <c r="W430" s="298"/>
      <c r="X430" s="298"/>
      <c r="Y430" s="298"/>
      <c r="Z430" s="298"/>
      <c r="AA430" s="298"/>
      <c r="AB430" s="298"/>
      <c r="AC430" s="298"/>
      <c r="AD430" s="298"/>
      <c r="AE430" s="298"/>
      <c r="AF430" s="298"/>
      <c r="AG430" s="298"/>
      <c r="AH430" s="298"/>
      <c r="AI430" s="298"/>
      <c r="AJ430" s="298"/>
      <c r="AK430" s="298"/>
      <c r="AL430" s="298"/>
      <c r="AM430" s="298"/>
      <c r="AN430" s="298"/>
      <c r="AO430" s="298"/>
      <c r="AP430" s="298"/>
      <c r="AQ430" s="298"/>
      <c r="AR430" s="298"/>
      <c r="AS430" s="298"/>
      <c r="AT430" s="298"/>
      <c r="AU430" s="298"/>
      <c r="AV430" s="298"/>
      <c r="AW430" s="298"/>
      <c r="AX430" s="298"/>
      <c r="AY430" s="298"/>
      <c r="AZ430" s="298"/>
      <c r="BA430" s="298"/>
      <c r="BB430" s="298"/>
      <c r="BC430" s="298"/>
      <c r="BD430" s="298"/>
      <c r="BE430" s="298"/>
      <c r="BF430" s="298"/>
      <c r="BG430" s="298"/>
      <c r="BH430" s="298"/>
      <c r="BI430" s="298"/>
      <c r="BJ430" s="298"/>
      <c r="BK430" s="298"/>
      <c r="BL430" s="298"/>
      <c r="BM430" s="298"/>
      <c r="BN430" s="298"/>
      <c r="BO430" s="298"/>
      <c r="BP430" s="298"/>
    </row>
    <row r="431" spans="1:68" s="298" customFormat="1" ht="25.5">
      <c r="A431" s="256" t="s">
        <v>3259</v>
      </c>
      <c r="B431" s="288">
        <v>88316</v>
      </c>
      <c r="C431" s="289" t="s">
        <v>104</v>
      </c>
      <c r="D431" s="290" t="s">
        <v>9714</v>
      </c>
      <c r="E431" s="290" t="s">
        <v>206</v>
      </c>
      <c r="F431" s="291">
        <v>0.3</v>
      </c>
      <c r="G431" s="292" t="s">
        <v>10172</v>
      </c>
      <c r="H431" s="255">
        <v>5.28</v>
      </c>
      <c r="J431" s="634"/>
      <c r="K431" s="634"/>
      <c r="L431" s="634"/>
      <c r="M431" s="634"/>
      <c r="S431" s="536"/>
      <c r="T431" s="635"/>
    </row>
    <row r="432" spans="1:68" s="529" customFormat="1" ht="12.75">
      <c r="A432" s="286"/>
      <c r="B432" s="375" t="s">
        <v>143</v>
      </c>
      <c r="C432" s="816" t="s">
        <v>24862</v>
      </c>
      <c r="D432" s="817"/>
      <c r="E432" s="817"/>
      <c r="F432" s="817"/>
      <c r="G432" s="817"/>
      <c r="H432" s="818"/>
      <c r="I432" s="298"/>
      <c r="J432" s="634"/>
      <c r="K432" s="634"/>
      <c r="L432" s="634"/>
      <c r="M432" s="634"/>
      <c r="N432" s="298"/>
      <c r="O432" s="298"/>
      <c r="P432" s="298"/>
      <c r="Q432" s="298"/>
      <c r="R432" s="298"/>
      <c r="S432" s="536"/>
      <c r="T432" s="635"/>
      <c r="U432" s="298"/>
      <c r="V432" s="298"/>
      <c r="W432" s="298"/>
      <c r="X432" s="298"/>
      <c r="Y432" s="298"/>
      <c r="Z432" s="298"/>
      <c r="AA432" s="298"/>
      <c r="AB432" s="298"/>
      <c r="AC432" s="298"/>
      <c r="AD432" s="298"/>
      <c r="AE432" s="298"/>
      <c r="AF432" s="298"/>
      <c r="AG432" s="298"/>
      <c r="AH432" s="298"/>
      <c r="AI432" s="298"/>
      <c r="AJ432" s="298"/>
      <c r="AK432" s="298"/>
      <c r="AL432" s="298"/>
      <c r="AM432" s="298"/>
      <c r="AN432" s="298"/>
      <c r="AO432" s="298"/>
      <c r="AP432" s="298"/>
      <c r="AQ432" s="298"/>
      <c r="AR432" s="298"/>
      <c r="AS432" s="298"/>
      <c r="AT432" s="298"/>
      <c r="AU432" s="298"/>
      <c r="AV432" s="298"/>
      <c r="AW432" s="298"/>
      <c r="AX432" s="298"/>
      <c r="AY432" s="298"/>
      <c r="AZ432" s="298"/>
      <c r="BA432" s="298"/>
      <c r="BB432" s="298"/>
      <c r="BC432" s="298"/>
      <c r="BD432" s="298"/>
      <c r="BE432" s="298"/>
      <c r="BF432" s="298"/>
      <c r="BG432" s="298"/>
      <c r="BH432" s="298"/>
      <c r="BI432" s="298"/>
      <c r="BJ432" s="298"/>
      <c r="BK432" s="298"/>
      <c r="BL432" s="298"/>
      <c r="BM432" s="298"/>
      <c r="BN432" s="298"/>
      <c r="BO432" s="298"/>
      <c r="BP432" s="298"/>
    </row>
    <row r="433" spans="1:68" s="529" customFormat="1" ht="12.75">
      <c r="A433" s="286"/>
      <c r="B433" s="373"/>
      <c r="C433" s="379"/>
      <c r="D433" s="379"/>
      <c r="E433" s="379"/>
      <c r="F433" s="379"/>
      <c r="G433" s="379"/>
      <c r="H433" s="379"/>
      <c r="I433" s="298"/>
      <c r="J433" s="634"/>
      <c r="K433" s="634"/>
      <c r="L433" s="634"/>
      <c r="M433" s="634"/>
      <c r="N433" s="298"/>
      <c r="O433" s="298"/>
      <c r="P433" s="298"/>
      <c r="Q433" s="298"/>
      <c r="R433" s="298"/>
      <c r="S433" s="536"/>
      <c r="T433" s="635"/>
      <c r="U433" s="298"/>
      <c r="V433" s="298"/>
      <c r="W433" s="298"/>
      <c r="X433" s="298"/>
      <c r="Y433" s="298"/>
      <c r="Z433" s="298"/>
      <c r="AA433" s="298"/>
      <c r="AB433" s="298"/>
      <c r="AC433" s="298"/>
      <c r="AD433" s="298"/>
      <c r="AE433" s="298"/>
      <c r="AF433" s="298"/>
      <c r="AG433" s="298"/>
      <c r="AH433" s="298"/>
      <c r="AI433" s="298"/>
      <c r="AJ433" s="298"/>
      <c r="AK433" s="298"/>
      <c r="AL433" s="298"/>
      <c r="AM433" s="298"/>
      <c r="AN433" s="298"/>
      <c r="AO433" s="298"/>
      <c r="AP433" s="298"/>
      <c r="AQ433" s="298"/>
      <c r="AR433" s="298"/>
      <c r="AS433" s="298"/>
      <c r="AT433" s="298"/>
      <c r="AU433" s="298"/>
      <c r="AV433" s="298"/>
      <c r="AW433" s="298"/>
      <c r="AX433" s="298"/>
      <c r="AY433" s="298"/>
      <c r="AZ433" s="298"/>
      <c r="BA433" s="298"/>
      <c r="BB433" s="298"/>
      <c r="BC433" s="298"/>
      <c r="BD433" s="298"/>
      <c r="BE433" s="298"/>
      <c r="BF433" s="298"/>
      <c r="BG433" s="298"/>
      <c r="BH433" s="298"/>
      <c r="BI433" s="298"/>
      <c r="BJ433" s="298"/>
      <c r="BK433" s="298"/>
      <c r="BL433" s="298"/>
      <c r="BM433" s="298"/>
      <c r="BN433" s="298"/>
      <c r="BO433" s="298"/>
      <c r="BP433" s="298"/>
    </row>
    <row r="434" spans="1:68" s="529" customFormat="1" ht="25.5">
      <c r="A434" s="494"/>
      <c r="B434" s="372" t="s">
        <v>24864</v>
      </c>
      <c r="C434" s="231" t="s">
        <v>18726</v>
      </c>
      <c r="D434" s="232" t="s">
        <v>103</v>
      </c>
      <c r="E434" s="232" t="s">
        <v>109</v>
      </c>
      <c r="F434" s="233"/>
      <c r="G434" s="234"/>
      <c r="H434" s="235">
        <v>4.84</v>
      </c>
      <c r="I434" s="298"/>
      <c r="J434" s="634"/>
      <c r="K434" s="634"/>
      <c r="L434" s="634"/>
      <c r="M434" s="634"/>
      <c r="N434" s="298"/>
      <c r="O434" s="298"/>
      <c r="P434" s="298"/>
      <c r="Q434" s="298"/>
      <c r="R434" s="298"/>
      <c r="S434" s="536"/>
      <c r="T434" s="635"/>
      <c r="U434" s="298"/>
      <c r="V434" s="298"/>
      <c r="W434" s="298"/>
      <c r="X434" s="298"/>
      <c r="Y434" s="298"/>
      <c r="Z434" s="298"/>
      <c r="AA434" s="298"/>
      <c r="AB434" s="298"/>
      <c r="AC434" s="298"/>
      <c r="AD434" s="298"/>
      <c r="AE434" s="298"/>
      <c r="AF434" s="298"/>
      <c r="AG434" s="298"/>
      <c r="AH434" s="298"/>
      <c r="AI434" s="298"/>
      <c r="AJ434" s="298"/>
      <c r="AK434" s="298"/>
      <c r="AL434" s="298"/>
      <c r="AM434" s="298"/>
      <c r="AN434" s="298"/>
      <c r="AO434" s="298"/>
      <c r="AP434" s="298"/>
      <c r="AQ434" s="298"/>
      <c r="AR434" s="298"/>
      <c r="AS434" s="298"/>
      <c r="AT434" s="298"/>
      <c r="AU434" s="298"/>
      <c r="AV434" s="298"/>
      <c r="AW434" s="298"/>
      <c r="AX434" s="298"/>
      <c r="AY434" s="298"/>
      <c r="AZ434" s="298"/>
      <c r="BA434" s="298"/>
      <c r="BB434" s="298"/>
      <c r="BC434" s="298"/>
      <c r="BD434" s="298"/>
      <c r="BE434" s="298"/>
      <c r="BF434" s="298"/>
      <c r="BG434" s="298"/>
      <c r="BH434" s="298"/>
      <c r="BI434" s="298"/>
      <c r="BJ434" s="298"/>
      <c r="BK434" s="298"/>
      <c r="BL434" s="298"/>
      <c r="BM434" s="298"/>
      <c r="BN434" s="298"/>
      <c r="BO434" s="298"/>
      <c r="BP434" s="298"/>
    </row>
    <row r="435" spans="1:68" s="298" customFormat="1" ht="25.5">
      <c r="A435" s="256" t="s">
        <v>3259</v>
      </c>
      <c r="B435" s="288">
        <v>88309</v>
      </c>
      <c r="C435" s="289" t="s">
        <v>105</v>
      </c>
      <c r="D435" s="290" t="s">
        <v>9714</v>
      </c>
      <c r="E435" s="290" t="s">
        <v>206</v>
      </c>
      <c r="F435" s="291">
        <v>0.10349999999999999</v>
      </c>
      <c r="G435" s="292" t="s">
        <v>11439</v>
      </c>
      <c r="H435" s="255">
        <v>2.4700000000000002</v>
      </c>
      <c r="J435" s="634"/>
      <c r="K435" s="634"/>
      <c r="L435" s="634"/>
      <c r="M435" s="634"/>
      <c r="S435" s="536"/>
      <c r="T435" s="635"/>
    </row>
    <row r="436" spans="1:68" s="298" customFormat="1" ht="25.5">
      <c r="A436" s="256" t="s">
        <v>3259</v>
      </c>
      <c r="B436" s="288">
        <v>88316</v>
      </c>
      <c r="C436" s="289" t="s">
        <v>104</v>
      </c>
      <c r="D436" s="290" t="s">
        <v>9714</v>
      </c>
      <c r="E436" s="290" t="s">
        <v>206</v>
      </c>
      <c r="F436" s="291">
        <v>0.10349999999999999</v>
      </c>
      <c r="G436" s="292" t="s">
        <v>10172</v>
      </c>
      <c r="H436" s="255">
        <v>1.82</v>
      </c>
      <c r="J436" s="634"/>
      <c r="K436" s="634"/>
      <c r="L436" s="634"/>
      <c r="M436" s="634"/>
      <c r="S436" s="536"/>
      <c r="T436" s="635"/>
    </row>
    <row r="437" spans="1:68" s="298" customFormat="1" ht="25.5">
      <c r="A437" s="256" t="s">
        <v>3261</v>
      </c>
      <c r="B437" s="288">
        <v>156</v>
      </c>
      <c r="C437" s="289" t="s">
        <v>4680</v>
      </c>
      <c r="D437" s="290" t="s">
        <v>207</v>
      </c>
      <c r="E437" s="290" t="s">
        <v>3244</v>
      </c>
      <c r="F437" s="291">
        <v>1.0999999999999999E-2</v>
      </c>
      <c r="G437" s="292" t="s">
        <v>18808</v>
      </c>
      <c r="H437" s="255">
        <v>0.52</v>
      </c>
      <c r="J437" s="634"/>
      <c r="K437" s="634"/>
      <c r="L437" s="634"/>
      <c r="M437" s="634"/>
      <c r="S437" s="536"/>
      <c r="T437" s="635"/>
    </row>
    <row r="438" spans="1:68" s="298" customFormat="1" ht="12.75">
      <c r="A438" s="256" t="s">
        <v>3261</v>
      </c>
      <c r="B438" s="288">
        <v>5330</v>
      </c>
      <c r="C438" s="289" t="s">
        <v>6091</v>
      </c>
      <c r="D438" s="290" t="s">
        <v>207</v>
      </c>
      <c r="E438" s="290" t="s">
        <v>3245</v>
      </c>
      <c r="F438" s="291">
        <v>1E-3</v>
      </c>
      <c r="G438" s="292" t="s">
        <v>9768</v>
      </c>
      <c r="H438" s="255">
        <v>0.03</v>
      </c>
      <c r="J438" s="634"/>
      <c r="K438" s="634"/>
      <c r="L438" s="634"/>
      <c r="M438" s="634"/>
      <c r="S438" s="536"/>
      <c r="T438" s="635"/>
    </row>
    <row r="439" spans="1:68" s="529" customFormat="1" ht="12.75">
      <c r="A439" s="286"/>
      <c r="B439" s="375" t="s">
        <v>143</v>
      </c>
      <c r="C439" s="816" t="s">
        <v>24865</v>
      </c>
      <c r="D439" s="817"/>
      <c r="E439" s="817"/>
      <c r="F439" s="817"/>
      <c r="G439" s="817"/>
      <c r="H439" s="818"/>
      <c r="I439" s="298"/>
      <c r="J439" s="634"/>
      <c r="K439" s="634"/>
      <c r="L439" s="634"/>
      <c r="M439" s="634"/>
      <c r="N439" s="298"/>
      <c r="O439" s="298"/>
      <c r="P439" s="298"/>
      <c r="Q439" s="298"/>
      <c r="R439" s="298"/>
      <c r="S439" s="536"/>
      <c r="T439" s="635"/>
      <c r="U439" s="298"/>
      <c r="V439" s="298"/>
      <c r="W439" s="298"/>
      <c r="X439" s="298"/>
      <c r="Y439" s="298"/>
      <c r="Z439" s="298"/>
      <c r="AA439" s="298"/>
      <c r="AB439" s="298"/>
      <c r="AC439" s="298"/>
      <c r="AD439" s="298"/>
      <c r="AE439" s="298"/>
      <c r="AF439" s="298"/>
      <c r="AG439" s="298"/>
      <c r="AH439" s="298"/>
      <c r="AI439" s="298"/>
      <c r="AJ439" s="298"/>
      <c r="AK439" s="298"/>
      <c r="AL439" s="298"/>
      <c r="AM439" s="298"/>
      <c r="AN439" s="298"/>
      <c r="AO439" s="298"/>
      <c r="AP439" s="298"/>
      <c r="AQ439" s="298"/>
      <c r="AR439" s="298"/>
      <c r="AS439" s="298"/>
      <c r="AT439" s="298"/>
      <c r="AU439" s="298"/>
      <c r="AV439" s="298"/>
      <c r="AW439" s="298"/>
      <c r="AX439" s="298"/>
      <c r="AY439" s="298"/>
      <c r="AZ439" s="298"/>
      <c r="BA439" s="298"/>
      <c r="BB439" s="298"/>
      <c r="BC439" s="298"/>
      <c r="BD439" s="298"/>
      <c r="BE439" s="298"/>
      <c r="BF439" s="298"/>
      <c r="BG439" s="298"/>
      <c r="BH439" s="298"/>
      <c r="BI439" s="298"/>
      <c r="BJ439" s="298"/>
      <c r="BK439" s="298"/>
      <c r="BL439" s="298"/>
      <c r="BM439" s="298"/>
      <c r="BN439" s="298"/>
      <c r="BO439" s="298"/>
      <c r="BP439" s="298"/>
    </row>
    <row r="440" spans="1:68" s="529" customFormat="1" ht="12.75">
      <c r="A440" s="286"/>
      <c r="B440" s="293"/>
      <c r="C440" s="229"/>
      <c r="D440" s="230"/>
      <c r="E440" s="230"/>
      <c r="F440" s="230"/>
      <c r="G440" s="230"/>
      <c r="H440" s="230"/>
      <c r="I440" s="298"/>
      <c r="J440" s="521"/>
      <c r="K440" s="524"/>
      <c r="L440" s="718"/>
      <c r="M440" s="718"/>
      <c r="N440" s="718"/>
      <c r="O440" s="298"/>
      <c r="P440" s="298"/>
      <c r="Q440" s="298"/>
      <c r="R440" s="298"/>
      <c r="S440" s="536"/>
      <c r="T440" s="635"/>
      <c r="U440" s="298"/>
      <c r="V440" s="298"/>
      <c r="W440" s="298"/>
      <c r="X440" s="298"/>
      <c r="Y440" s="298"/>
      <c r="Z440" s="298"/>
      <c r="AA440" s="298"/>
      <c r="AB440" s="298"/>
      <c r="AC440" s="298"/>
      <c r="AD440" s="298"/>
      <c r="AE440" s="298"/>
      <c r="AF440" s="298"/>
      <c r="AG440" s="298"/>
      <c r="AH440" s="298"/>
      <c r="AI440" s="298"/>
      <c r="AJ440" s="298"/>
      <c r="AK440" s="298"/>
      <c r="AL440" s="298"/>
      <c r="AM440" s="298"/>
      <c r="AN440" s="298"/>
      <c r="AO440" s="298"/>
      <c r="AP440" s="298"/>
      <c r="AQ440" s="298"/>
      <c r="AR440" s="298"/>
      <c r="AS440" s="298"/>
      <c r="AT440" s="298"/>
      <c r="AU440" s="298"/>
      <c r="AV440" s="298"/>
      <c r="AW440" s="298"/>
      <c r="AX440" s="298"/>
      <c r="AY440" s="298"/>
      <c r="AZ440" s="298"/>
      <c r="BA440" s="298"/>
      <c r="BB440" s="298"/>
      <c r="BC440" s="298"/>
      <c r="BD440" s="298"/>
      <c r="BE440" s="298"/>
      <c r="BF440" s="298"/>
      <c r="BG440" s="298"/>
      <c r="BH440" s="298"/>
      <c r="BI440" s="298"/>
      <c r="BJ440" s="298"/>
      <c r="BK440" s="298"/>
      <c r="BL440" s="298"/>
      <c r="BM440" s="298"/>
      <c r="BN440" s="298"/>
      <c r="BO440" s="298"/>
      <c r="BP440" s="298"/>
    </row>
    <row r="441" spans="1:68" s="645" customFormat="1" ht="38.25">
      <c r="A441" s="376"/>
      <c r="B441" s="372" t="s">
        <v>15436</v>
      </c>
      <c r="C441" s="231" t="s">
        <v>17441</v>
      </c>
      <c r="D441" s="232" t="s">
        <v>103</v>
      </c>
      <c r="E441" s="232" t="s">
        <v>3240</v>
      </c>
      <c r="F441" s="233"/>
      <c r="G441" s="234"/>
      <c r="H441" s="235">
        <v>805.4899999999999</v>
      </c>
      <c r="I441" s="298"/>
      <c r="J441" s="521"/>
      <c r="K441" s="524"/>
      <c r="L441" s="298"/>
      <c r="M441" s="298"/>
      <c r="N441" s="298"/>
      <c r="O441" s="298"/>
      <c r="P441" s="298"/>
      <c r="Q441" s="298"/>
      <c r="R441" s="298"/>
      <c r="S441" s="536"/>
      <c r="T441" s="635"/>
      <c r="U441" s="298"/>
      <c r="V441" s="298"/>
      <c r="W441" s="298"/>
      <c r="X441" s="298"/>
      <c r="Y441" s="298"/>
      <c r="Z441" s="298"/>
      <c r="AA441" s="298"/>
      <c r="AB441" s="298"/>
      <c r="AC441" s="298"/>
      <c r="AD441" s="298"/>
      <c r="AE441" s="298"/>
      <c r="AF441" s="298"/>
      <c r="AG441" s="298"/>
      <c r="AH441" s="298"/>
      <c r="AI441" s="298"/>
      <c r="AJ441" s="298"/>
      <c r="AK441" s="298"/>
      <c r="AL441" s="298"/>
      <c r="AM441" s="298"/>
      <c r="AN441" s="298"/>
      <c r="AO441" s="298"/>
      <c r="AP441" s="298"/>
      <c r="AQ441" s="298"/>
      <c r="AR441" s="298"/>
      <c r="AS441" s="298"/>
      <c r="AT441" s="298"/>
      <c r="AU441" s="298"/>
      <c r="AV441" s="298"/>
      <c r="AW441" s="298"/>
      <c r="AX441" s="298"/>
      <c r="AY441" s="298"/>
      <c r="AZ441" s="298"/>
      <c r="BA441" s="298"/>
      <c r="BB441" s="298"/>
      <c r="BC441" s="298"/>
      <c r="BD441" s="298"/>
      <c r="BE441" s="298"/>
      <c r="BF441" s="298"/>
      <c r="BG441" s="298"/>
      <c r="BH441" s="298"/>
      <c r="BI441" s="298"/>
      <c r="BJ441" s="298"/>
      <c r="BK441" s="298"/>
      <c r="BL441" s="298"/>
      <c r="BM441" s="298"/>
      <c r="BN441" s="298"/>
      <c r="BO441" s="298"/>
      <c r="BP441" s="298"/>
    </row>
    <row r="442" spans="1:68" s="298" customFormat="1" ht="25.5">
      <c r="A442" s="256" t="s">
        <v>14338</v>
      </c>
      <c r="B442" s="374" t="s">
        <v>15382</v>
      </c>
      <c r="C442" s="289" t="s">
        <v>17440</v>
      </c>
      <c r="D442" s="290" t="s">
        <v>103</v>
      </c>
      <c r="E442" s="290" t="s">
        <v>3240</v>
      </c>
      <c r="F442" s="254">
        <v>1</v>
      </c>
      <c r="G442" s="292">
        <v>579.55000000000007</v>
      </c>
      <c r="H442" s="255">
        <v>579.54999999999995</v>
      </c>
      <c r="J442" s="521"/>
      <c r="K442" s="524"/>
      <c r="S442" s="536"/>
      <c r="T442" s="638"/>
    </row>
    <row r="443" spans="1:68" s="298" customFormat="1" ht="63.75">
      <c r="A443" s="256" t="s">
        <v>3259</v>
      </c>
      <c r="B443" s="374">
        <v>100721</v>
      </c>
      <c r="C443" s="289" t="s">
        <v>23989</v>
      </c>
      <c r="D443" s="290" t="s">
        <v>229</v>
      </c>
      <c r="E443" s="290" t="s">
        <v>193</v>
      </c>
      <c r="F443" s="254">
        <v>5.67</v>
      </c>
      <c r="G443" s="292" t="s">
        <v>12354</v>
      </c>
      <c r="H443" s="255">
        <v>114.3</v>
      </c>
      <c r="J443" s="521"/>
      <c r="K443" s="524"/>
      <c r="S443" s="536"/>
      <c r="T443" s="638"/>
    </row>
    <row r="444" spans="1:68" s="298" customFormat="1" ht="76.5">
      <c r="A444" s="256" t="s">
        <v>3259</v>
      </c>
      <c r="B444" s="374">
        <v>100745</v>
      </c>
      <c r="C444" s="289" t="s">
        <v>23999</v>
      </c>
      <c r="D444" s="290" t="s">
        <v>229</v>
      </c>
      <c r="E444" s="290" t="s">
        <v>193</v>
      </c>
      <c r="F444" s="254">
        <v>5.67</v>
      </c>
      <c r="G444" s="292" t="s">
        <v>10491</v>
      </c>
      <c r="H444" s="255">
        <v>111.64</v>
      </c>
      <c r="J444" s="521"/>
      <c r="K444" s="524"/>
      <c r="S444" s="536"/>
      <c r="T444" s="638"/>
    </row>
    <row r="445" spans="1:68" s="298" customFormat="1" ht="12.75">
      <c r="A445" s="256"/>
      <c r="B445" s="288" t="s">
        <v>143</v>
      </c>
      <c r="C445" s="603" t="s">
        <v>15438</v>
      </c>
      <c r="D445" s="386"/>
      <c r="E445" s="386"/>
      <c r="F445" s="386"/>
      <c r="G445" s="386"/>
      <c r="H445" s="387"/>
      <c r="J445" s="521"/>
      <c r="K445" s="524"/>
      <c r="S445" s="536"/>
      <c r="T445" s="635"/>
    </row>
    <row r="446" spans="1:68" s="529" customFormat="1" ht="12.75">
      <c r="A446" s="286"/>
      <c r="B446" s="293"/>
      <c r="C446" s="229"/>
      <c r="D446" s="230"/>
      <c r="E446" s="230"/>
      <c r="F446" s="230"/>
      <c r="G446" s="230"/>
      <c r="H446" s="230"/>
      <c r="I446" s="298"/>
      <c r="J446" s="521"/>
      <c r="K446" s="524"/>
      <c r="L446" s="298"/>
      <c r="M446" s="298"/>
      <c r="N446" s="298"/>
      <c r="O446" s="298"/>
      <c r="P446" s="298"/>
      <c r="Q446" s="298"/>
      <c r="R446" s="298"/>
      <c r="S446" s="536"/>
      <c r="T446" s="635"/>
      <c r="U446" s="298"/>
      <c r="V446" s="298"/>
      <c r="W446" s="298"/>
      <c r="X446" s="298"/>
      <c r="Y446" s="298"/>
      <c r="Z446" s="298"/>
      <c r="AA446" s="298"/>
      <c r="AB446" s="298"/>
      <c r="AC446" s="298"/>
      <c r="AD446" s="298"/>
      <c r="AE446" s="298"/>
      <c r="AF446" s="298"/>
      <c r="AG446" s="298"/>
      <c r="AH446" s="298"/>
      <c r="AI446" s="298"/>
      <c r="AJ446" s="298"/>
      <c r="AK446" s="298"/>
      <c r="AL446" s="298"/>
      <c r="AM446" s="298"/>
      <c r="AN446" s="298"/>
      <c r="AO446" s="298"/>
      <c r="AP446" s="298"/>
      <c r="AQ446" s="298"/>
      <c r="AR446" s="298"/>
      <c r="AS446" s="298"/>
      <c r="AT446" s="298"/>
      <c r="AU446" s="298"/>
      <c r="AV446" s="298"/>
      <c r="AW446" s="298"/>
      <c r="AX446" s="298"/>
      <c r="AY446" s="298"/>
      <c r="AZ446" s="298"/>
      <c r="BA446" s="298"/>
      <c r="BB446" s="298"/>
      <c r="BC446" s="298"/>
      <c r="BD446" s="298"/>
      <c r="BE446" s="298"/>
      <c r="BF446" s="298"/>
      <c r="BG446" s="298"/>
      <c r="BH446" s="298"/>
      <c r="BI446" s="298"/>
      <c r="BJ446" s="298"/>
      <c r="BK446" s="298"/>
      <c r="BL446" s="298"/>
      <c r="BM446" s="298"/>
      <c r="BN446" s="298"/>
      <c r="BO446" s="298"/>
      <c r="BP446" s="298"/>
    </row>
    <row r="447" spans="1:68" s="645" customFormat="1" ht="63.75">
      <c r="A447" s="376"/>
      <c r="B447" s="372" t="s">
        <v>15437</v>
      </c>
      <c r="C447" s="231" t="s">
        <v>24585</v>
      </c>
      <c r="D447" s="232" t="s">
        <v>103</v>
      </c>
      <c r="E447" s="232" t="s">
        <v>3240</v>
      </c>
      <c r="F447" s="233"/>
      <c r="G447" s="234"/>
      <c r="H447" s="235">
        <v>6111.9500000000007</v>
      </c>
      <c r="I447" s="298"/>
      <c r="J447" s="521"/>
      <c r="K447" s="524"/>
      <c r="L447" s="298"/>
      <c r="M447" s="298"/>
      <c r="N447" s="298"/>
      <c r="O447" s="298"/>
      <c r="P447" s="298"/>
      <c r="Q447" s="298"/>
      <c r="R447" s="298"/>
      <c r="S447" s="536"/>
      <c r="T447" s="635"/>
      <c r="U447" s="298"/>
      <c r="V447" s="298"/>
      <c r="W447" s="298"/>
      <c r="X447" s="298"/>
      <c r="Y447" s="298"/>
      <c r="Z447" s="298"/>
      <c r="AA447" s="298"/>
      <c r="AB447" s="298"/>
      <c r="AC447" s="298"/>
      <c r="AD447" s="298"/>
      <c r="AE447" s="298"/>
      <c r="AF447" s="298"/>
      <c r="AG447" s="298"/>
      <c r="AH447" s="298"/>
      <c r="AI447" s="298"/>
      <c r="AJ447" s="298"/>
      <c r="AK447" s="298"/>
      <c r="AL447" s="298"/>
      <c r="AM447" s="298"/>
      <c r="AN447" s="298"/>
      <c r="AO447" s="298"/>
      <c r="AP447" s="298"/>
      <c r="AQ447" s="298"/>
      <c r="AR447" s="298"/>
      <c r="AS447" s="298"/>
      <c r="AT447" s="298"/>
      <c r="AU447" s="298"/>
      <c r="AV447" s="298"/>
      <c r="AW447" s="298"/>
      <c r="AX447" s="298"/>
      <c r="AY447" s="298"/>
      <c r="AZ447" s="298"/>
      <c r="BA447" s="298"/>
      <c r="BB447" s="298"/>
      <c r="BC447" s="298"/>
      <c r="BD447" s="298"/>
      <c r="BE447" s="298"/>
      <c r="BF447" s="298"/>
      <c r="BG447" s="298"/>
      <c r="BH447" s="298"/>
      <c r="BI447" s="298"/>
      <c r="BJ447" s="298"/>
      <c r="BK447" s="298"/>
      <c r="BL447" s="298"/>
      <c r="BM447" s="298"/>
      <c r="BN447" s="298"/>
      <c r="BO447" s="298"/>
      <c r="BP447" s="298"/>
    </row>
    <row r="448" spans="1:68" s="298" customFormat="1" ht="63.75">
      <c r="A448" s="256" t="s">
        <v>14338</v>
      </c>
      <c r="B448" s="374" t="s">
        <v>15375</v>
      </c>
      <c r="C448" s="289" t="s">
        <v>15376</v>
      </c>
      <c r="D448" s="290" t="s">
        <v>103</v>
      </c>
      <c r="E448" s="290" t="s">
        <v>193</v>
      </c>
      <c r="F448" s="254">
        <v>7.3500000000000005</v>
      </c>
      <c r="G448" s="292">
        <v>791.71</v>
      </c>
      <c r="H448" s="255">
        <v>5819.06</v>
      </c>
      <c r="J448" s="521"/>
      <c r="K448" s="524"/>
      <c r="S448" s="536"/>
      <c r="T448" s="638"/>
    </row>
    <row r="449" spans="1:68" s="298" customFormat="1" ht="63.75">
      <c r="A449" s="256" t="s">
        <v>3259</v>
      </c>
      <c r="B449" s="374">
        <v>100721</v>
      </c>
      <c r="C449" s="289" t="s">
        <v>23989</v>
      </c>
      <c r="D449" s="290" t="s">
        <v>229</v>
      </c>
      <c r="E449" s="290" t="s">
        <v>193</v>
      </c>
      <c r="F449" s="254">
        <v>7.3500000000000005</v>
      </c>
      <c r="G449" s="292" t="s">
        <v>12354</v>
      </c>
      <c r="H449" s="255">
        <v>148.16999999999999</v>
      </c>
      <c r="J449" s="521"/>
      <c r="K449" s="524"/>
      <c r="S449" s="536"/>
      <c r="T449" s="638"/>
    </row>
    <row r="450" spans="1:68" s="298" customFormat="1" ht="76.5">
      <c r="A450" s="256" t="s">
        <v>3259</v>
      </c>
      <c r="B450" s="374">
        <v>100745</v>
      </c>
      <c r="C450" s="289" t="s">
        <v>23999</v>
      </c>
      <c r="D450" s="290" t="s">
        <v>229</v>
      </c>
      <c r="E450" s="290" t="s">
        <v>193</v>
      </c>
      <c r="F450" s="254">
        <v>7.3500000000000005</v>
      </c>
      <c r="G450" s="292" t="s">
        <v>10491</v>
      </c>
      <c r="H450" s="255">
        <v>144.72</v>
      </c>
      <c r="J450" s="521"/>
      <c r="K450" s="524"/>
      <c r="S450" s="536"/>
      <c r="T450" s="638"/>
    </row>
    <row r="451" spans="1:68" s="298" customFormat="1" ht="12.75">
      <c r="A451" s="256"/>
      <c r="B451" s="288" t="s">
        <v>143</v>
      </c>
      <c r="C451" s="603" t="s">
        <v>15438</v>
      </c>
      <c r="D451" s="386"/>
      <c r="E451" s="386"/>
      <c r="F451" s="386"/>
      <c r="G451" s="386"/>
      <c r="H451" s="387"/>
      <c r="J451" s="521"/>
      <c r="K451" s="524"/>
      <c r="S451" s="536"/>
      <c r="T451" s="635"/>
    </row>
    <row r="452" spans="1:68" s="529" customFormat="1" ht="12.75">
      <c r="A452" s="286"/>
      <c r="B452" s="293"/>
      <c r="C452" s="229"/>
      <c r="D452" s="230"/>
      <c r="E452" s="230"/>
      <c r="F452" s="230"/>
      <c r="G452" s="230"/>
      <c r="H452" s="230"/>
      <c r="I452" s="298"/>
      <c r="J452" s="521"/>
      <c r="K452" s="524"/>
      <c r="L452" s="298"/>
      <c r="M452" s="298"/>
      <c r="N452" s="298"/>
      <c r="O452" s="298"/>
      <c r="P452" s="298"/>
      <c r="Q452" s="298"/>
      <c r="R452" s="298"/>
      <c r="S452" s="536"/>
      <c r="T452" s="635"/>
      <c r="U452" s="298"/>
      <c r="V452" s="298"/>
      <c r="W452" s="298"/>
      <c r="X452" s="298"/>
      <c r="Y452" s="298"/>
      <c r="Z452" s="298"/>
      <c r="AA452" s="298"/>
      <c r="AB452" s="298"/>
      <c r="AC452" s="298"/>
      <c r="AD452" s="298"/>
      <c r="AE452" s="298"/>
      <c r="AF452" s="298"/>
      <c r="AG452" s="298"/>
      <c r="AH452" s="298"/>
      <c r="AI452" s="298"/>
      <c r="AJ452" s="298"/>
      <c r="AK452" s="298"/>
      <c r="AL452" s="298"/>
      <c r="AM452" s="298"/>
      <c r="AN452" s="298"/>
      <c r="AO452" s="298"/>
      <c r="AP452" s="298"/>
      <c r="AQ452" s="298"/>
      <c r="AR452" s="298"/>
      <c r="AS452" s="298"/>
      <c r="AT452" s="298"/>
      <c r="AU452" s="298"/>
      <c r="AV452" s="298"/>
      <c r="AW452" s="298"/>
      <c r="AX452" s="298"/>
      <c r="AY452" s="298"/>
      <c r="AZ452" s="298"/>
      <c r="BA452" s="298"/>
      <c r="BB452" s="298"/>
      <c r="BC452" s="298"/>
      <c r="BD452" s="298"/>
      <c r="BE452" s="298"/>
      <c r="BF452" s="298"/>
      <c r="BG452" s="298"/>
      <c r="BH452" s="298"/>
      <c r="BI452" s="298"/>
      <c r="BJ452" s="298"/>
      <c r="BK452" s="298"/>
      <c r="BL452" s="298"/>
      <c r="BM452" s="298"/>
      <c r="BN452" s="298"/>
      <c r="BO452" s="298"/>
      <c r="BP452" s="298"/>
    </row>
    <row r="453" spans="1:68" s="645" customFormat="1" ht="63.75">
      <c r="A453" s="376"/>
      <c r="B453" s="372" t="s">
        <v>15439</v>
      </c>
      <c r="C453" s="231" t="s">
        <v>24586</v>
      </c>
      <c r="D453" s="232" t="s">
        <v>103</v>
      </c>
      <c r="E453" s="232" t="s">
        <v>3240</v>
      </c>
      <c r="F453" s="233"/>
      <c r="G453" s="234"/>
      <c r="H453" s="235">
        <v>2954.09</v>
      </c>
      <c r="I453" s="298"/>
      <c r="J453" s="521"/>
      <c r="K453" s="524"/>
      <c r="L453" s="298"/>
      <c r="M453" s="298"/>
      <c r="N453" s="298"/>
      <c r="O453" s="298"/>
      <c r="P453" s="298"/>
      <c r="Q453" s="298"/>
      <c r="R453" s="298"/>
      <c r="S453" s="536"/>
      <c r="T453" s="635"/>
      <c r="U453" s="298"/>
      <c r="V453" s="298"/>
      <c r="W453" s="298"/>
      <c r="X453" s="298"/>
      <c r="Y453" s="298"/>
      <c r="Z453" s="298"/>
      <c r="AA453" s="298"/>
      <c r="AB453" s="298"/>
      <c r="AC453" s="298"/>
      <c r="AD453" s="298"/>
      <c r="AE453" s="298"/>
      <c r="AF453" s="298"/>
      <c r="AG453" s="298"/>
      <c r="AH453" s="298"/>
      <c r="AI453" s="298"/>
      <c r="AJ453" s="298"/>
      <c r="AK453" s="298"/>
      <c r="AL453" s="298"/>
      <c r="AM453" s="298"/>
      <c r="AN453" s="298"/>
      <c r="AO453" s="298"/>
      <c r="AP453" s="298"/>
      <c r="AQ453" s="298"/>
      <c r="AR453" s="298"/>
      <c r="AS453" s="298"/>
      <c r="AT453" s="298"/>
      <c r="AU453" s="298"/>
      <c r="AV453" s="298"/>
      <c r="AW453" s="298"/>
      <c r="AX453" s="298"/>
      <c r="AY453" s="298"/>
      <c r="AZ453" s="298"/>
      <c r="BA453" s="298"/>
      <c r="BB453" s="298"/>
      <c r="BC453" s="298"/>
      <c r="BD453" s="298"/>
      <c r="BE453" s="298"/>
      <c r="BF453" s="298"/>
      <c r="BG453" s="298"/>
      <c r="BH453" s="298"/>
      <c r="BI453" s="298"/>
      <c r="BJ453" s="298"/>
      <c r="BK453" s="298"/>
      <c r="BL453" s="298"/>
      <c r="BM453" s="298"/>
      <c r="BN453" s="298"/>
      <c r="BO453" s="298"/>
      <c r="BP453" s="298"/>
    </row>
    <row r="454" spans="1:68" s="298" customFormat="1" ht="63.75">
      <c r="A454" s="256" t="s">
        <v>14338</v>
      </c>
      <c r="B454" s="374" t="s">
        <v>15375</v>
      </c>
      <c r="C454" s="289" t="s">
        <v>15376</v>
      </c>
      <c r="D454" s="290" t="s">
        <v>103</v>
      </c>
      <c r="E454" s="290" t="s">
        <v>193</v>
      </c>
      <c r="F454" s="254">
        <v>3.5525000000000002</v>
      </c>
      <c r="G454" s="292">
        <v>791.71</v>
      </c>
      <c r="H454" s="255">
        <v>2812.54</v>
      </c>
      <c r="J454" s="521"/>
      <c r="K454" s="524"/>
      <c r="S454" s="536"/>
      <c r="T454" s="638"/>
    </row>
    <row r="455" spans="1:68" s="298" customFormat="1" ht="63.75">
      <c r="A455" s="256" t="s">
        <v>3259</v>
      </c>
      <c r="B455" s="374">
        <v>100721</v>
      </c>
      <c r="C455" s="289" t="s">
        <v>23989</v>
      </c>
      <c r="D455" s="290" t="s">
        <v>229</v>
      </c>
      <c r="E455" s="290" t="s">
        <v>193</v>
      </c>
      <c r="F455" s="254">
        <v>3.5525000000000002</v>
      </c>
      <c r="G455" s="292" t="s">
        <v>12354</v>
      </c>
      <c r="H455" s="255">
        <v>71.61</v>
      </c>
      <c r="J455" s="521"/>
      <c r="K455" s="524"/>
      <c r="S455" s="536"/>
      <c r="T455" s="638"/>
    </row>
    <row r="456" spans="1:68" s="298" customFormat="1" ht="76.5">
      <c r="A456" s="256" t="s">
        <v>3259</v>
      </c>
      <c r="B456" s="374">
        <v>100745</v>
      </c>
      <c r="C456" s="289" t="s">
        <v>23999</v>
      </c>
      <c r="D456" s="290" t="s">
        <v>229</v>
      </c>
      <c r="E456" s="290" t="s">
        <v>193</v>
      </c>
      <c r="F456" s="254">
        <v>3.5525000000000002</v>
      </c>
      <c r="G456" s="292" t="s">
        <v>10491</v>
      </c>
      <c r="H456" s="255">
        <v>69.94</v>
      </c>
      <c r="J456" s="521"/>
      <c r="K456" s="524"/>
      <c r="S456" s="536"/>
      <c r="T456" s="638"/>
    </row>
    <row r="457" spans="1:68" s="298" customFormat="1" ht="12.75">
      <c r="A457" s="256"/>
      <c r="B457" s="288" t="s">
        <v>143</v>
      </c>
      <c r="C457" s="603" t="s">
        <v>15438</v>
      </c>
      <c r="D457" s="386"/>
      <c r="E457" s="386"/>
      <c r="F457" s="386"/>
      <c r="G457" s="386"/>
      <c r="H457" s="387"/>
      <c r="J457" s="521"/>
      <c r="K457" s="524"/>
      <c r="S457" s="536"/>
      <c r="T457" s="635"/>
    </row>
    <row r="458" spans="1:68" s="529" customFormat="1" ht="12.75">
      <c r="A458" s="286"/>
      <c r="B458" s="293"/>
      <c r="C458" s="229"/>
      <c r="D458" s="230"/>
      <c r="E458" s="230"/>
      <c r="F458" s="230"/>
      <c r="G458" s="230"/>
      <c r="H458" s="230"/>
      <c r="I458" s="298"/>
      <c r="J458" s="521"/>
      <c r="K458" s="524"/>
      <c r="L458" s="298"/>
      <c r="M458" s="298"/>
      <c r="N458" s="298"/>
      <c r="O458" s="298"/>
      <c r="P458" s="298"/>
      <c r="Q458" s="298"/>
      <c r="R458" s="298"/>
      <c r="S458" s="536"/>
      <c r="T458" s="635"/>
      <c r="U458" s="298"/>
      <c r="V458" s="298"/>
      <c r="W458" s="298"/>
      <c r="X458" s="298"/>
      <c r="Y458" s="298"/>
      <c r="Z458" s="298"/>
      <c r="AA458" s="298"/>
      <c r="AB458" s="298"/>
      <c r="AC458" s="298"/>
      <c r="AD458" s="298"/>
      <c r="AE458" s="298"/>
      <c r="AF458" s="298"/>
      <c r="AG458" s="298"/>
      <c r="AH458" s="298"/>
      <c r="AI458" s="298"/>
      <c r="AJ458" s="298"/>
      <c r="AK458" s="298"/>
      <c r="AL458" s="298"/>
      <c r="AM458" s="298"/>
      <c r="AN458" s="298"/>
      <c r="AO458" s="298"/>
      <c r="AP458" s="298"/>
      <c r="AQ458" s="298"/>
      <c r="AR458" s="298"/>
      <c r="AS458" s="298"/>
      <c r="AT458" s="298"/>
      <c r="AU458" s="298"/>
      <c r="AV458" s="298"/>
      <c r="AW458" s="298"/>
      <c r="AX458" s="298"/>
      <c r="AY458" s="298"/>
      <c r="AZ458" s="298"/>
      <c r="BA458" s="298"/>
      <c r="BB458" s="298"/>
      <c r="BC458" s="298"/>
      <c r="BD458" s="298"/>
      <c r="BE458" s="298"/>
      <c r="BF458" s="298"/>
      <c r="BG458" s="298"/>
      <c r="BH458" s="298"/>
      <c r="BI458" s="298"/>
      <c r="BJ458" s="298"/>
      <c r="BK458" s="298"/>
      <c r="BL458" s="298"/>
      <c r="BM458" s="298"/>
      <c r="BN458" s="298"/>
      <c r="BO458" s="298"/>
      <c r="BP458" s="298"/>
    </row>
    <row r="459" spans="1:68" s="645" customFormat="1" ht="25.5">
      <c r="A459" s="376"/>
      <c r="B459" s="372" t="s">
        <v>15440</v>
      </c>
      <c r="C459" s="231" t="s">
        <v>17444</v>
      </c>
      <c r="D459" s="232" t="s">
        <v>103</v>
      </c>
      <c r="E459" s="232" t="s">
        <v>193</v>
      </c>
      <c r="F459" s="233"/>
      <c r="G459" s="234"/>
      <c r="H459" s="235">
        <v>5.3100000000000005</v>
      </c>
      <c r="I459" s="298"/>
      <c r="J459" s="521"/>
      <c r="K459" s="524"/>
      <c r="L459" s="298"/>
      <c r="M459" s="298"/>
      <c r="N459" s="298"/>
      <c r="O459" s="298"/>
      <c r="P459" s="298"/>
      <c r="Q459" s="298"/>
      <c r="R459" s="298"/>
      <c r="S459" s="536"/>
      <c r="T459" s="635"/>
      <c r="U459" s="298"/>
      <c r="V459" s="298"/>
      <c r="W459" s="298"/>
      <c r="X459" s="298"/>
      <c r="Y459" s="298"/>
      <c r="Z459" s="298"/>
      <c r="AA459" s="298"/>
      <c r="AB459" s="298"/>
      <c r="AC459" s="298"/>
      <c r="AD459" s="298"/>
      <c r="AE459" s="298"/>
      <c r="AF459" s="298"/>
      <c r="AG459" s="298"/>
      <c r="AH459" s="298"/>
      <c r="AI459" s="298"/>
      <c r="AJ459" s="298"/>
      <c r="AK459" s="298"/>
      <c r="AL459" s="298"/>
      <c r="AM459" s="298"/>
      <c r="AN459" s="298"/>
      <c r="AO459" s="298"/>
      <c r="AP459" s="298"/>
      <c r="AQ459" s="298"/>
      <c r="AR459" s="298"/>
      <c r="AS459" s="298"/>
      <c r="AT459" s="298"/>
      <c r="AU459" s="298"/>
      <c r="AV459" s="298"/>
      <c r="AW459" s="298"/>
      <c r="AX459" s="298"/>
      <c r="AY459" s="298"/>
      <c r="AZ459" s="298"/>
      <c r="BA459" s="298"/>
      <c r="BB459" s="298"/>
      <c r="BC459" s="298"/>
      <c r="BD459" s="298"/>
      <c r="BE459" s="298"/>
      <c r="BF459" s="298"/>
      <c r="BG459" s="298"/>
      <c r="BH459" s="298"/>
      <c r="BI459" s="298"/>
      <c r="BJ459" s="298"/>
      <c r="BK459" s="298"/>
      <c r="BL459" s="298"/>
      <c r="BM459" s="298"/>
      <c r="BN459" s="298"/>
      <c r="BO459" s="298"/>
      <c r="BP459" s="298"/>
    </row>
    <row r="460" spans="1:68" s="298" customFormat="1" ht="25.5">
      <c r="A460" s="256" t="s">
        <v>3259</v>
      </c>
      <c r="B460" s="288">
        <v>88316</v>
      </c>
      <c r="C460" s="289" t="s">
        <v>104</v>
      </c>
      <c r="D460" s="290" t="s">
        <v>9714</v>
      </c>
      <c r="E460" s="290" t="s">
        <v>206</v>
      </c>
      <c r="F460" s="254">
        <v>0.27500000000000002</v>
      </c>
      <c r="G460" s="292" t="s">
        <v>10172</v>
      </c>
      <c r="H460" s="255">
        <v>4.84</v>
      </c>
      <c r="J460" s="760"/>
      <c r="K460" s="524"/>
      <c r="S460" s="536"/>
      <c r="T460" s="638"/>
    </row>
    <row r="461" spans="1:68" s="298" customFormat="1" ht="38.25">
      <c r="A461" s="256" t="s">
        <v>3259</v>
      </c>
      <c r="B461" s="288">
        <v>95276</v>
      </c>
      <c r="C461" s="289" t="s">
        <v>287</v>
      </c>
      <c r="D461" s="290" t="s">
        <v>8987</v>
      </c>
      <c r="E461" s="290" t="s">
        <v>212</v>
      </c>
      <c r="F461" s="254">
        <v>0.123</v>
      </c>
      <c r="G461" s="292" t="s">
        <v>9825</v>
      </c>
      <c r="H461" s="255">
        <v>0.28000000000000003</v>
      </c>
      <c r="J461" s="760"/>
      <c r="K461" s="524"/>
      <c r="S461" s="536"/>
      <c r="T461" s="638"/>
    </row>
    <row r="462" spans="1:68" s="298" customFormat="1" ht="38.25">
      <c r="A462" s="256" t="s">
        <v>3259</v>
      </c>
      <c r="B462" s="288">
        <v>95277</v>
      </c>
      <c r="C462" s="289" t="s">
        <v>288</v>
      </c>
      <c r="D462" s="290" t="s">
        <v>8987</v>
      </c>
      <c r="E462" s="290" t="s">
        <v>215</v>
      </c>
      <c r="F462" s="254">
        <v>0.42799999999999999</v>
      </c>
      <c r="G462" s="292" t="s">
        <v>9876</v>
      </c>
      <c r="H462" s="255">
        <v>0.19</v>
      </c>
      <c r="J462" s="760"/>
      <c r="K462" s="524"/>
      <c r="S462" s="536"/>
      <c r="T462" s="638"/>
    </row>
    <row r="463" spans="1:68" s="298" customFormat="1" ht="12.75">
      <c r="A463" s="256"/>
      <c r="B463" s="288" t="s">
        <v>143</v>
      </c>
      <c r="C463" s="603" t="s">
        <v>15503</v>
      </c>
      <c r="D463" s="386"/>
      <c r="E463" s="386"/>
      <c r="F463" s="386"/>
      <c r="G463" s="386"/>
      <c r="H463" s="387"/>
      <c r="J463" s="521"/>
      <c r="K463" s="524"/>
      <c r="S463" s="536"/>
      <c r="T463" s="635"/>
    </row>
    <row r="464" spans="1:68" s="529" customFormat="1" ht="12.75">
      <c r="A464" s="286"/>
      <c r="B464" s="293"/>
      <c r="C464" s="229"/>
      <c r="D464" s="230"/>
      <c r="E464" s="230"/>
      <c r="F464" s="230"/>
      <c r="G464" s="230"/>
      <c r="H464" s="230"/>
      <c r="I464" s="298"/>
      <c r="J464" s="521"/>
      <c r="K464" s="524"/>
      <c r="L464" s="298"/>
      <c r="M464" s="298"/>
      <c r="N464" s="298"/>
      <c r="O464" s="298"/>
      <c r="P464" s="298"/>
      <c r="Q464" s="298"/>
      <c r="R464" s="298"/>
      <c r="S464" s="536"/>
      <c r="T464" s="635"/>
      <c r="U464" s="298"/>
      <c r="V464" s="298"/>
      <c r="W464" s="298"/>
      <c r="X464" s="298"/>
      <c r="Y464" s="298"/>
      <c r="Z464" s="298"/>
      <c r="AA464" s="298"/>
      <c r="AB464" s="298"/>
      <c r="AC464" s="298"/>
      <c r="AD464" s="298"/>
      <c r="AE464" s="298"/>
      <c r="AF464" s="298"/>
      <c r="AG464" s="298"/>
      <c r="AH464" s="298"/>
      <c r="AI464" s="298"/>
      <c r="AJ464" s="298"/>
      <c r="AK464" s="298"/>
      <c r="AL464" s="298"/>
      <c r="AM464" s="298"/>
      <c r="AN464" s="298"/>
      <c r="AO464" s="298"/>
      <c r="AP464" s="298"/>
      <c r="AQ464" s="298"/>
      <c r="AR464" s="298"/>
      <c r="AS464" s="298"/>
      <c r="AT464" s="298"/>
      <c r="AU464" s="298"/>
      <c r="AV464" s="298"/>
      <c r="AW464" s="298"/>
      <c r="AX464" s="298"/>
      <c r="AY464" s="298"/>
      <c r="AZ464" s="298"/>
      <c r="BA464" s="298"/>
      <c r="BB464" s="298"/>
      <c r="BC464" s="298"/>
      <c r="BD464" s="298"/>
      <c r="BE464" s="298"/>
      <c r="BF464" s="298"/>
      <c r="BG464" s="298"/>
      <c r="BH464" s="298"/>
      <c r="BI464" s="298"/>
      <c r="BJ464" s="298"/>
      <c r="BK464" s="298"/>
      <c r="BL464" s="298"/>
      <c r="BM464" s="298"/>
      <c r="BN464" s="298"/>
      <c r="BO464" s="298"/>
      <c r="BP464" s="298"/>
    </row>
    <row r="465" spans="1:68" s="645" customFormat="1" ht="25.5">
      <c r="A465" s="376"/>
      <c r="B465" s="372" t="s">
        <v>15441</v>
      </c>
      <c r="C465" s="231" t="s">
        <v>17445</v>
      </c>
      <c r="D465" s="232" t="s">
        <v>103</v>
      </c>
      <c r="E465" s="232" t="s">
        <v>193</v>
      </c>
      <c r="F465" s="233"/>
      <c r="G465" s="234"/>
      <c r="H465" s="235">
        <v>10.09</v>
      </c>
      <c r="I465" s="298"/>
      <c r="J465" s="521"/>
      <c r="K465" s="524"/>
      <c r="L465" s="298"/>
      <c r="M465" s="298"/>
      <c r="N465" s="298"/>
      <c r="O465" s="298"/>
      <c r="P465" s="298"/>
      <c r="Q465" s="298"/>
      <c r="R465" s="298"/>
      <c r="S465" s="536"/>
      <c r="T465" s="635"/>
      <c r="U465" s="298"/>
      <c r="V465" s="298"/>
      <c r="W465" s="298"/>
      <c r="X465" s="298"/>
      <c r="Y465" s="298"/>
      <c r="Z465" s="298"/>
      <c r="AA465" s="298"/>
      <c r="AB465" s="298"/>
      <c r="AC465" s="298"/>
      <c r="AD465" s="298"/>
      <c r="AE465" s="298"/>
      <c r="AF465" s="298"/>
      <c r="AG465" s="298"/>
      <c r="AH465" s="298"/>
      <c r="AI465" s="298"/>
      <c r="AJ465" s="298"/>
      <c r="AK465" s="298"/>
      <c r="AL465" s="298"/>
      <c r="AM465" s="298"/>
      <c r="AN465" s="298"/>
      <c r="AO465" s="298"/>
      <c r="AP465" s="298"/>
      <c r="AQ465" s="298"/>
      <c r="AR465" s="298"/>
      <c r="AS465" s="298"/>
      <c r="AT465" s="298"/>
      <c r="AU465" s="298"/>
      <c r="AV465" s="298"/>
      <c r="AW465" s="298"/>
      <c r="AX465" s="298"/>
      <c r="AY465" s="298"/>
      <c r="AZ465" s="298"/>
      <c r="BA465" s="298"/>
      <c r="BB465" s="298"/>
      <c r="BC465" s="298"/>
      <c r="BD465" s="298"/>
      <c r="BE465" s="298"/>
      <c r="BF465" s="298"/>
      <c r="BG465" s="298"/>
      <c r="BH465" s="298"/>
      <c r="BI465" s="298"/>
      <c r="BJ465" s="298"/>
      <c r="BK465" s="298"/>
      <c r="BL465" s="298"/>
      <c r="BM465" s="298"/>
      <c r="BN465" s="298"/>
      <c r="BO465" s="298"/>
      <c r="BP465" s="298"/>
    </row>
    <row r="466" spans="1:68" s="298" customFormat="1" ht="25.5">
      <c r="A466" s="256" t="s">
        <v>3261</v>
      </c>
      <c r="B466" s="288">
        <v>7343</v>
      </c>
      <c r="C466" s="289" t="s">
        <v>8466</v>
      </c>
      <c r="D466" s="290" t="s">
        <v>207</v>
      </c>
      <c r="E466" s="290" t="s">
        <v>3245</v>
      </c>
      <c r="F466" s="254">
        <v>8.5000000000000006E-2</v>
      </c>
      <c r="G466" s="292" t="s">
        <v>11296</v>
      </c>
      <c r="H466" s="255">
        <v>1.29</v>
      </c>
      <c r="J466" s="760"/>
      <c r="K466" s="524"/>
      <c r="S466" s="536"/>
      <c r="T466" s="638"/>
    </row>
    <row r="467" spans="1:68" s="298" customFormat="1" ht="25.5">
      <c r="A467" s="256" t="s">
        <v>3259</v>
      </c>
      <c r="B467" s="288">
        <v>88316</v>
      </c>
      <c r="C467" s="289" t="s">
        <v>104</v>
      </c>
      <c r="D467" s="290" t="s">
        <v>9714</v>
      </c>
      <c r="E467" s="290" t="s">
        <v>206</v>
      </c>
      <c r="F467" s="254">
        <v>0.5</v>
      </c>
      <c r="G467" s="292" t="s">
        <v>10172</v>
      </c>
      <c r="H467" s="255">
        <v>8.8000000000000007</v>
      </c>
      <c r="J467" s="760"/>
      <c r="K467" s="524"/>
      <c r="S467" s="536"/>
      <c r="T467" s="638"/>
    </row>
    <row r="468" spans="1:68" s="298" customFormat="1" ht="12.75">
      <c r="A468" s="256"/>
      <c r="B468" s="288" t="s">
        <v>143</v>
      </c>
      <c r="C468" s="603" t="s">
        <v>17446</v>
      </c>
      <c r="D468" s="386"/>
      <c r="E468" s="386"/>
      <c r="F468" s="386"/>
      <c r="G468" s="386"/>
      <c r="H468" s="387"/>
      <c r="J468" s="521"/>
      <c r="K468" s="524"/>
      <c r="S468" s="536"/>
      <c r="T468" s="635"/>
    </row>
    <row r="469" spans="1:68" s="529" customFormat="1" ht="12.75">
      <c r="A469" s="286"/>
      <c r="B469" s="384"/>
      <c r="C469" s="385"/>
      <c r="D469" s="388"/>
      <c r="E469" s="388"/>
      <c r="F469" s="388"/>
      <c r="G469" s="388"/>
      <c r="H469" s="389"/>
      <c r="I469" s="298"/>
      <c r="J469" s="634"/>
      <c r="K469" s="524"/>
      <c r="L469" s="298"/>
      <c r="M469" s="298"/>
      <c r="N469" s="298"/>
      <c r="O469" s="298"/>
      <c r="P469" s="298"/>
      <c r="Q469" s="298"/>
      <c r="R469" s="298"/>
      <c r="S469" s="536"/>
      <c r="T469" s="635"/>
      <c r="U469" s="298"/>
      <c r="V469" s="298"/>
      <c r="W469" s="298"/>
      <c r="X469" s="298"/>
      <c r="Y469" s="298"/>
      <c r="Z469" s="298"/>
      <c r="AA469" s="298"/>
      <c r="AB469" s="298"/>
      <c r="AC469" s="298"/>
      <c r="AD469" s="298"/>
      <c r="AE469" s="298"/>
      <c r="AF469" s="298"/>
      <c r="AG469" s="298"/>
      <c r="AH469" s="298"/>
      <c r="AI469" s="298"/>
      <c r="AJ469" s="298"/>
      <c r="AK469" s="298"/>
      <c r="AL469" s="298"/>
      <c r="AM469" s="298"/>
      <c r="AN469" s="298"/>
      <c r="AO469" s="298"/>
      <c r="AP469" s="298"/>
      <c r="AQ469" s="298"/>
      <c r="AR469" s="298"/>
      <c r="AS469" s="298"/>
      <c r="AT469" s="298"/>
      <c r="AU469" s="298"/>
      <c r="AV469" s="298"/>
      <c r="AW469" s="298"/>
      <c r="AX469" s="298"/>
      <c r="AY469" s="298"/>
      <c r="AZ469" s="298"/>
      <c r="BA469" s="298"/>
      <c r="BB469" s="298"/>
      <c r="BC469" s="298"/>
      <c r="BD469" s="298"/>
      <c r="BE469" s="298"/>
      <c r="BF469" s="298"/>
      <c r="BG469" s="298"/>
      <c r="BH469" s="298"/>
      <c r="BI469" s="298"/>
      <c r="BJ469" s="298"/>
      <c r="BK469" s="298"/>
      <c r="BL469" s="298"/>
      <c r="BM469" s="298"/>
      <c r="BN469" s="298"/>
      <c r="BO469" s="298"/>
      <c r="BP469" s="298"/>
    </row>
    <row r="470" spans="1:68" s="529" customFormat="1" ht="51">
      <c r="A470" s="286"/>
      <c r="B470" s="372" t="s">
        <v>15442</v>
      </c>
      <c r="C470" s="231" t="s">
        <v>15565</v>
      </c>
      <c r="D470" s="232" t="s">
        <v>103</v>
      </c>
      <c r="E470" s="232" t="s">
        <v>5</v>
      </c>
      <c r="F470" s="233"/>
      <c r="G470" s="234"/>
      <c r="H470" s="235">
        <v>8.2200000000000006</v>
      </c>
      <c r="I470" s="298"/>
      <c r="J470" s="634"/>
      <c r="K470" s="524"/>
      <c r="L470" s="298"/>
      <c r="M470" s="298"/>
      <c r="N470" s="298"/>
      <c r="O470" s="298"/>
      <c r="P470" s="298"/>
      <c r="Q470" s="298"/>
      <c r="R470" s="298"/>
      <c r="S470" s="536"/>
      <c r="T470" s="635"/>
      <c r="U470" s="298"/>
      <c r="V470" s="298"/>
      <c r="W470" s="298"/>
      <c r="X470" s="298"/>
      <c r="Y470" s="298"/>
      <c r="Z470" s="298"/>
      <c r="AA470" s="298"/>
      <c r="AB470" s="298"/>
      <c r="AC470" s="298"/>
      <c r="AD470" s="298"/>
      <c r="AE470" s="298"/>
      <c r="AF470" s="298"/>
      <c r="AG470" s="298"/>
      <c r="AH470" s="298"/>
      <c r="AI470" s="298"/>
      <c r="AJ470" s="298"/>
      <c r="AK470" s="298"/>
      <c r="AL470" s="298"/>
      <c r="AM470" s="298"/>
      <c r="AN470" s="298"/>
      <c r="AO470" s="298"/>
      <c r="AP470" s="298"/>
      <c r="AQ470" s="298"/>
      <c r="AR470" s="298"/>
      <c r="AS470" s="298"/>
      <c r="AT470" s="298"/>
      <c r="AU470" s="298"/>
      <c r="AV470" s="298"/>
      <c r="AW470" s="298"/>
      <c r="AX470" s="298"/>
      <c r="AY470" s="298"/>
      <c r="AZ470" s="298"/>
      <c r="BA470" s="298"/>
      <c r="BB470" s="298"/>
      <c r="BC470" s="298"/>
      <c r="BD470" s="298"/>
      <c r="BE470" s="298"/>
      <c r="BF470" s="298"/>
      <c r="BG470" s="298"/>
      <c r="BH470" s="298"/>
      <c r="BI470" s="298"/>
      <c r="BJ470" s="298"/>
      <c r="BK470" s="298"/>
      <c r="BL470" s="298"/>
      <c r="BM470" s="298"/>
      <c r="BN470" s="298"/>
      <c r="BO470" s="298"/>
      <c r="BP470" s="298"/>
    </row>
    <row r="471" spans="1:68" s="298" customFormat="1" ht="38.25">
      <c r="A471" s="256" t="s">
        <v>3259</v>
      </c>
      <c r="B471" s="374">
        <v>88298</v>
      </c>
      <c r="C471" s="289" t="s">
        <v>3082</v>
      </c>
      <c r="D471" s="290" t="s">
        <v>9714</v>
      </c>
      <c r="E471" s="290" t="s">
        <v>206</v>
      </c>
      <c r="F471" s="254">
        <v>0.125</v>
      </c>
      <c r="G471" s="292" t="s">
        <v>24386</v>
      </c>
      <c r="H471" s="255">
        <v>2.37</v>
      </c>
      <c r="J471" s="634"/>
      <c r="K471" s="524"/>
      <c r="S471" s="536"/>
      <c r="T471" s="638"/>
    </row>
    <row r="472" spans="1:68" s="298" customFormat="1" ht="63.75">
      <c r="A472" s="256" t="s">
        <v>3259</v>
      </c>
      <c r="B472" s="374">
        <v>91283</v>
      </c>
      <c r="C472" s="289" t="s">
        <v>463</v>
      </c>
      <c r="D472" s="290" t="s">
        <v>8987</v>
      </c>
      <c r="E472" s="290" t="s">
        <v>212</v>
      </c>
      <c r="F472" s="254">
        <v>0.125</v>
      </c>
      <c r="G472" s="292" t="s">
        <v>14179</v>
      </c>
      <c r="H472" s="255">
        <v>2.66</v>
      </c>
      <c r="J472" s="634"/>
      <c r="K472" s="524"/>
      <c r="S472" s="536"/>
      <c r="T472" s="638"/>
    </row>
    <row r="473" spans="1:68" s="298" customFormat="1" ht="38.25">
      <c r="A473" s="256" t="s">
        <v>3261</v>
      </c>
      <c r="B473" s="374">
        <v>13887</v>
      </c>
      <c r="C473" s="289" t="s">
        <v>6095</v>
      </c>
      <c r="D473" s="290" t="s">
        <v>207</v>
      </c>
      <c r="E473" s="290" t="s">
        <v>3240</v>
      </c>
      <c r="F473" s="254">
        <v>5.0000000000000001E-3</v>
      </c>
      <c r="G473" s="292" t="s">
        <v>19613</v>
      </c>
      <c r="H473" s="255">
        <v>3.19</v>
      </c>
      <c r="J473" s="634"/>
      <c r="K473" s="524"/>
      <c r="S473" s="536"/>
      <c r="T473" s="638"/>
    </row>
    <row r="474" spans="1:68" s="298" customFormat="1" ht="12.75">
      <c r="A474" s="256"/>
      <c r="B474" s="288" t="s">
        <v>143</v>
      </c>
      <c r="C474" s="819" t="s">
        <v>15566</v>
      </c>
      <c r="D474" s="820"/>
      <c r="E474" s="820"/>
      <c r="F474" s="820"/>
      <c r="G474" s="820"/>
      <c r="H474" s="821"/>
      <c r="J474" s="634"/>
      <c r="K474" s="524"/>
      <c r="S474" s="536"/>
      <c r="T474" s="635"/>
    </row>
    <row r="475" spans="1:68" s="529" customFormat="1" ht="12.75">
      <c r="A475" s="286"/>
      <c r="B475" s="373"/>
      <c r="C475" s="379"/>
      <c r="D475" s="382"/>
      <c r="E475" s="382"/>
      <c r="F475" s="382"/>
      <c r="G475" s="382"/>
      <c r="H475" s="382"/>
      <c r="I475" s="298"/>
      <c r="J475" s="634"/>
      <c r="K475" s="524"/>
      <c r="L475" s="524"/>
      <c r="M475" s="524"/>
      <c r="N475" s="524"/>
      <c r="O475" s="524"/>
      <c r="P475" s="298"/>
      <c r="Q475" s="298"/>
      <c r="R475" s="298"/>
      <c r="S475" s="536"/>
      <c r="T475" s="635"/>
      <c r="U475" s="298"/>
      <c r="V475" s="298"/>
      <c r="W475" s="298"/>
      <c r="X475" s="298"/>
      <c r="Y475" s="298"/>
      <c r="Z475" s="298"/>
      <c r="AA475" s="298"/>
      <c r="AB475" s="298"/>
      <c r="AC475" s="298"/>
      <c r="AD475" s="298"/>
      <c r="AE475" s="298"/>
      <c r="AF475" s="298"/>
      <c r="AG475" s="298"/>
      <c r="AH475" s="298"/>
      <c r="AI475" s="298"/>
      <c r="AJ475" s="298"/>
      <c r="AK475" s="298"/>
      <c r="AL475" s="298"/>
      <c r="AM475" s="298"/>
      <c r="AN475" s="298"/>
      <c r="AO475" s="298"/>
      <c r="AP475" s="298"/>
      <c r="AQ475" s="298"/>
      <c r="AR475" s="298"/>
      <c r="AS475" s="298"/>
      <c r="AT475" s="298"/>
      <c r="AU475" s="298"/>
      <c r="AV475" s="298"/>
      <c r="AW475" s="298"/>
      <c r="AX475" s="298"/>
      <c r="AY475" s="298"/>
      <c r="AZ475" s="298"/>
      <c r="BA475" s="298"/>
      <c r="BB475" s="298"/>
      <c r="BC475" s="298"/>
      <c r="BD475" s="298"/>
      <c r="BE475" s="298"/>
      <c r="BF475" s="298"/>
      <c r="BG475" s="298"/>
      <c r="BH475" s="298"/>
      <c r="BI475" s="298"/>
      <c r="BJ475" s="298"/>
      <c r="BK475" s="298"/>
      <c r="BL475" s="298"/>
      <c r="BM475" s="298"/>
      <c r="BN475" s="298"/>
      <c r="BO475" s="298"/>
      <c r="BP475" s="298"/>
    </row>
    <row r="476" spans="1:68" s="529" customFormat="1" ht="38.25">
      <c r="A476" s="286"/>
      <c r="B476" s="372" t="s">
        <v>15443</v>
      </c>
      <c r="C476" s="231" t="s">
        <v>24675</v>
      </c>
      <c r="D476" s="232" t="s">
        <v>103</v>
      </c>
      <c r="E476" s="232" t="s">
        <v>3240</v>
      </c>
      <c r="F476" s="233"/>
      <c r="G476" s="234"/>
      <c r="H476" s="235">
        <v>1353.83</v>
      </c>
      <c r="I476" s="298"/>
      <c r="J476" s="634"/>
      <c r="K476" s="524"/>
      <c r="L476" s="524"/>
      <c r="M476" s="524"/>
      <c r="N476" s="524"/>
      <c r="O476" s="524"/>
      <c r="P476" s="298"/>
      <c r="Q476" s="298"/>
      <c r="R476" s="298"/>
      <c r="S476" s="536"/>
      <c r="T476" s="635"/>
      <c r="U476" s="298"/>
      <c r="V476" s="298"/>
      <c r="W476" s="298"/>
      <c r="X476" s="298"/>
      <c r="Y476" s="298"/>
      <c r="Z476" s="298"/>
      <c r="AA476" s="298"/>
      <c r="AB476" s="298"/>
      <c r="AC476" s="298"/>
      <c r="AD476" s="298"/>
      <c r="AE476" s="298"/>
      <c r="AF476" s="298"/>
      <c r="AG476" s="298"/>
      <c r="AH476" s="298"/>
      <c r="AI476" s="298"/>
      <c r="AJ476" s="298"/>
      <c r="AK476" s="298"/>
      <c r="AL476" s="298"/>
      <c r="AM476" s="298"/>
      <c r="AN476" s="298"/>
      <c r="AO476" s="298"/>
      <c r="AP476" s="298"/>
      <c r="AQ476" s="298"/>
      <c r="AR476" s="298"/>
      <c r="AS476" s="298"/>
      <c r="AT476" s="298"/>
      <c r="AU476" s="298"/>
      <c r="AV476" s="298"/>
      <c r="AW476" s="298"/>
      <c r="AX476" s="298"/>
      <c r="AY476" s="298"/>
      <c r="AZ476" s="298"/>
      <c r="BA476" s="298"/>
      <c r="BB476" s="298"/>
      <c r="BC476" s="298"/>
      <c r="BD476" s="298"/>
      <c r="BE476" s="298"/>
      <c r="BF476" s="298"/>
      <c r="BG476" s="298"/>
      <c r="BH476" s="298"/>
      <c r="BI476" s="298"/>
      <c r="BJ476" s="298"/>
      <c r="BK476" s="298"/>
      <c r="BL476" s="298"/>
      <c r="BM476" s="298"/>
      <c r="BN476" s="298"/>
      <c r="BO476" s="298"/>
      <c r="BP476" s="298"/>
    </row>
    <row r="477" spans="1:68" s="298" customFormat="1" ht="25.5">
      <c r="A477" s="256" t="s">
        <v>14338</v>
      </c>
      <c r="B477" s="374" t="s">
        <v>15402</v>
      </c>
      <c r="C477" s="289" t="s">
        <v>17708</v>
      </c>
      <c r="D477" s="290" t="s">
        <v>103</v>
      </c>
      <c r="E477" s="290" t="s">
        <v>193</v>
      </c>
      <c r="F477" s="291">
        <v>2.1360000000000001</v>
      </c>
      <c r="G477" s="292">
        <v>633.82000000000005</v>
      </c>
      <c r="H477" s="255">
        <v>1353.83</v>
      </c>
      <c r="J477" s="634"/>
      <c r="S477" s="536"/>
      <c r="T477" s="638"/>
    </row>
    <row r="478" spans="1:68" s="298" customFormat="1" ht="12.75">
      <c r="A478" s="256"/>
      <c r="B478" s="288" t="s">
        <v>143</v>
      </c>
      <c r="C478" s="819" t="s">
        <v>15438</v>
      </c>
      <c r="D478" s="820"/>
      <c r="E478" s="820"/>
      <c r="F478" s="820"/>
      <c r="G478" s="820"/>
      <c r="H478" s="821"/>
      <c r="J478" s="634"/>
      <c r="K478" s="524"/>
      <c r="L478" s="524"/>
      <c r="M478" s="524"/>
      <c r="N478" s="524"/>
      <c r="O478" s="524"/>
      <c r="S478" s="536"/>
      <c r="T478" s="635"/>
    </row>
    <row r="479" spans="1:68" s="529" customFormat="1" ht="12.75">
      <c r="A479" s="286"/>
      <c r="B479" s="373"/>
      <c r="C479" s="379"/>
      <c r="D479" s="382"/>
      <c r="E479" s="382"/>
      <c r="F479" s="382"/>
      <c r="G479" s="382"/>
      <c r="H479" s="382"/>
      <c r="I479" s="298"/>
      <c r="J479" s="634"/>
      <c r="K479" s="524"/>
      <c r="L479" s="524"/>
      <c r="M479" s="524"/>
      <c r="N479" s="524"/>
      <c r="O479" s="524"/>
      <c r="P479" s="298"/>
      <c r="Q479" s="298"/>
      <c r="R479" s="298"/>
      <c r="S479" s="536"/>
      <c r="T479" s="635"/>
      <c r="U479" s="298"/>
      <c r="V479" s="298"/>
      <c r="W479" s="298"/>
      <c r="X479" s="298"/>
      <c r="Y479" s="298"/>
      <c r="Z479" s="298"/>
      <c r="AA479" s="298"/>
      <c r="AB479" s="298"/>
      <c r="AC479" s="298"/>
      <c r="AD479" s="298"/>
      <c r="AE479" s="298"/>
      <c r="AF479" s="298"/>
      <c r="AG479" s="298"/>
      <c r="AH479" s="298"/>
      <c r="AI479" s="298"/>
      <c r="AJ479" s="298"/>
      <c r="AK479" s="298"/>
      <c r="AL479" s="298"/>
      <c r="AM479" s="298"/>
      <c r="AN479" s="298"/>
      <c r="AO479" s="298"/>
      <c r="AP479" s="298"/>
      <c r="AQ479" s="298"/>
      <c r="AR479" s="298"/>
      <c r="AS479" s="298"/>
      <c r="AT479" s="298"/>
      <c r="AU479" s="298"/>
      <c r="AV479" s="298"/>
      <c r="AW479" s="298"/>
      <c r="AX479" s="298"/>
      <c r="AY479" s="298"/>
      <c r="AZ479" s="298"/>
      <c r="BA479" s="298"/>
      <c r="BB479" s="298"/>
      <c r="BC479" s="298"/>
      <c r="BD479" s="298"/>
      <c r="BE479" s="298"/>
      <c r="BF479" s="298"/>
      <c r="BG479" s="298"/>
      <c r="BH479" s="298"/>
      <c r="BI479" s="298"/>
      <c r="BJ479" s="298"/>
      <c r="BK479" s="298"/>
      <c r="BL479" s="298"/>
      <c r="BM479" s="298"/>
      <c r="BN479" s="298"/>
      <c r="BO479" s="298"/>
      <c r="BP479" s="298"/>
    </row>
    <row r="480" spans="1:68" s="529" customFormat="1" ht="38.25">
      <c r="A480" s="286"/>
      <c r="B480" s="372" t="s">
        <v>15444</v>
      </c>
      <c r="C480" s="231" t="s">
        <v>24676</v>
      </c>
      <c r="D480" s="232" t="s">
        <v>103</v>
      </c>
      <c r="E480" s="232" t="s">
        <v>3240</v>
      </c>
      <c r="F480" s="233"/>
      <c r="G480" s="234"/>
      <c r="H480" s="235">
        <v>1262.56</v>
      </c>
      <c r="I480" s="298"/>
      <c r="J480" s="634"/>
      <c r="K480" s="524"/>
      <c r="L480" s="524"/>
      <c r="M480" s="524"/>
      <c r="N480" s="524"/>
      <c r="O480" s="524"/>
      <c r="P480" s="298"/>
      <c r="Q480" s="298"/>
      <c r="R480" s="298"/>
      <c r="S480" s="536"/>
      <c r="T480" s="635"/>
      <c r="U480" s="298"/>
      <c r="V480" s="298"/>
      <c r="W480" s="298"/>
      <c r="X480" s="298"/>
      <c r="Y480" s="298"/>
      <c r="Z480" s="298"/>
      <c r="AA480" s="298"/>
      <c r="AB480" s="298"/>
      <c r="AC480" s="298"/>
      <c r="AD480" s="298"/>
      <c r="AE480" s="298"/>
      <c r="AF480" s="298"/>
      <c r="AG480" s="298"/>
      <c r="AH480" s="298"/>
      <c r="AI480" s="298"/>
      <c r="AJ480" s="298"/>
      <c r="AK480" s="298"/>
      <c r="AL480" s="298"/>
      <c r="AM480" s="298"/>
      <c r="AN480" s="298"/>
      <c r="AO480" s="298"/>
      <c r="AP480" s="298"/>
      <c r="AQ480" s="298"/>
      <c r="AR480" s="298"/>
      <c r="AS480" s="298"/>
      <c r="AT480" s="298"/>
      <c r="AU480" s="298"/>
      <c r="AV480" s="298"/>
      <c r="AW480" s="298"/>
      <c r="AX480" s="298"/>
      <c r="AY480" s="298"/>
      <c r="AZ480" s="298"/>
      <c r="BA480" s="298"/>
      <c r="BB480" s="298"/>
      <c r="BC480" s="298"/>
      <c r="BD480" s="298"/>
      <c r="BE480" s="298"/>
      <c r="BF480" s="298"/>
      <c r="BG480" s="298"/>
      <c r="BH480" s="298"/>
      <c r="BI480" s="298"/>
      <c r="BJ480" s="298"/>
      <c r="BK480" s="298"/>
      <c r="BL480" s="298"/>
      <c r="BM480" s="298"/>
      <c r="BN480" s="298"/>
      <c r="BO480" s="298"/>
      <c r="BP480" s="298"/>
    </row>
    <row r="481" spans="1:68" s="298" customFormat="1" ht="25.5">
      <c r="A481" s="256" t="s">
        <v>14338</v>
      </c>
      <c r="B481" s="374" t="s">
        <v>15402</v>
      </c>
      <c r="C481" s="289" t="s">
        <v>17708</v>
      </c>
      <c r="D481" s="290" t="s">
        <v>103</v>
      </c>
      <c r="E481" s="290" t="s">
        <v>193</v>
      </c>
      <c r="F481" s="291">
        <v>1.9919999999999998</v>
      </c>
      <c r="G481" s="292">
        <v>633.82000000000005</v>
      </c>
      <c r="H481" s="255">
        <v>1262.56</v>
      </c>
      <c r="J481" s="634"/>
      <c r="S481" s="536"/>
      <c r="T481" s="638"/>
    </row>
    <row r="482" spans="1:68" s="298" customFormat="1" ht="12.75">
      <c r="A482" s="256"/>
      <c r="B482" s="288" t="s">
        <v>143</v>
      </c>
      <c r="C482" s="819" t="s">
        <v>15438</v>
      </c>
      <c r="D482" s="820"/>
      <c r="E482" s="820"/>
      <c r="F482" s="820"/>
      <c r="G482" s="820"/>
      <c r="H482" s="821"/>
      <c r="J482" s="634"/>
      <c r="K482" s="524"/>
      <c r="L482" s="524"/>
      <c r="M482" s="524"/>
      <c r="N482" s="524"/>
      <c r="O482" s="524"/>
      <c r="S482" s="536"/>
      <c r="T482" s="635"/>
    </row>
    <row r="483" spans="1:68" s="529" customFormat="1" ht="12.75">
      <c r="A483" s="286"/>
      <c r="B483" s="373"/>
      <c r="C483" s="379"/>
      <c r="D483" s="382"/>
      <c r="E483" s="382"/>
      <c r="F483" s="382"/>
      <c r="G483" s="382"/>
      <c r="H483" s="382"/>
      <c r="I483" s="298"/>
      <c r="J483" s="634"/>
      <c r="K483" s="524"/>
      <c r="L483" s="524"/>
      <c r="M483" s="524"/>
      <c r="N483" s="524"/>
      <c r="O483" s="524"/>
      <c r="P483" s="298"/>
      <c r="Q483" s="298"/>
      <c r="R483" s="298"/>
      <c r="S483" s="536"/>
      <c r="T483" s="635"/>
      <c r="U483" s="298"/>
      <c r="V483" s="298"/>
      <c r="W483" s="298"/>
      <c r="X483" s="298"/>
      <c r="Y483" s="298"/>
      <c r="Z483" s="298"/>
      <c r="AA483" s="298"/>
      <c r="AB483" s="298"/>
      <c r="AC483" s="298"/>
      <c r="AD483" s="298"/>
      <c r="AE483" s="298"/>
      <c r="AF483" s="298"/>
      <c r="AG483" s="298"/>
      <c r="AH483" s="298"/>
      <c r="AI483" s="298"/>
      <c r="AJ483" s="298"/>
      <c r="AK483" s="298"/>
      <c r="AL483" s="298"/>
      <c r="AM483" s="298"/>
      <c r="AN483" s="298"/>
      <c r="AO483" s="298"/>
      <c r="AP483" s="298"/>
      <c r="AQ483" s="298"/>
      <c r="AR483" s="298"/>
      <c r="AS483" s="298"/>
      <c r="AT483" s="298"/>
      <c r="AU483" s="298"/>
      <c r="AV483" s="298"/>
      <c r="AW483" s="298"/>
      <c r="AX483" s="298"/>
      <c r="AY483" s="298"/>
      <c r="AZ483" s="298"/>
      <c r="BA483" s="298"/>
      <c r="BB483" s="298"/>
      <c r="BC483" s="298"/>
      <c r="BD483" s="298"/>
      <c r="BE483" s="298"/>
      <c r="BF483" s="298"/>
      <c r="BG483" s="298"/>
      <c r="BH483" s="298"/>
      <c r="BI483" s="298"/>
      <c r="BJ483" s="298"/>
      <c r="BK483" s="298"/>
      <c r="BL483" s="298"/>
      <c r="BM483" s="298"/>
      <c r="BN483" s="298"/>
      <c r="BO483" s="298"/>
      <c r="BP483" s="298"/>
    </row>
    <row r="484" spans="1:68" s="529" customFormat="1" ht="38.25">
      <c r="A484" s="286"/>
      <c r="B484" s="372" t="s">
        <v>15445</v>
      </c>
      <c r="C484" s="231" t="s">
        <v>24677</v>
      </c>
      <c r="D484" s="232" t="s">
        <v>103</v>
      </c>
      <c r="E484" s="232" t="s">
        <v>3240</v>
      </c>
      <c r="F484" s="233"/>
      <c r="G484" s="234"/>
      <c r="H484" s="235">
        <v>844.24</v>
      </c>
      <c r="I484" s="298"/>
      <c r="J484" s="634"/>
      <c r="K484" s="524"/>
      <c r="L484" s="524"/>
      <c r="M484" s="524"/>
      <c r="N484" s="524"/>
      <c r="O484" s="524"/>
      <c r="P484" s="298"/>
      <c r="Q484" s="298"/>
      <c r="R484" s="298"/>
      <c r="S484" s="536"/>
      <c r="T484" s="635"/>
      <c r="U484" s="298"/>
      <c r="V484" s="298"/>
      <c r="W484" s="298"/>
      <c r="X484" s="298"/>
      <c r="Y484" s="298"/>
      <c r="Z484" s="298"/>
      <c r="AA484" s="298"/>
      <c r="AB484" s="298"/>
      <c r="AC484" s="298"/>
      <c r="AD484" s="298"/>
      <c r="AE484" s="298"/>
      <c r="AF484" s="298"/>
      <c r="AG484" s="298"/>
      <c r="AH484" s="298"/>
      <c r="AI484" s="298"/>
      <c r="AJ484" s="298"/>
      <c r="AK484" s="298"/>
      <c r="AL484" s="298"/>
      <c r="AM484" s="298"/>
      <c r="AN484" s="298"/>
      <c r="AO484" s="298"/>
      <c r="AP484" s="298"/>
      <c r="AQ484" s="298"/>
      <c r="AR484" s="298"/>
      <c r="AS484" s="298"/>
      <c r="AT484" s="298"/>
      <c r="AU484" s="298"/>
      <c r="AV484" s="298"/>
      <c r="AW484" s="298"/>
      <c r="AX484" s="298"/>
      <c r="AY484" s="298"/>
      <c r="AZ484" s="298"/>
      <c r="BA484" s="298"/>
      <c r="BB484" s="298"/>
      <c r="BC484" s="298"/>
      <c r="BD484" s="298"/>
      <c r="BE484" s="298"/>
      <c r="BF484" s="298"/>
      <c r="BG484" s="298"/>
      <c r="BH484" s="298"/>
      <c r="BI484" s="298"/>
      <c r="BJ484" s="298"/>
      <c r="BK484" s="298"/>
      <c r="BL484" s="298"/>
      <c r="BM484" s="298"/>
      <c r="BN484" s="298"/>
      <c r="BO484" s="298"/>
      <c r="BP484" s="298"/>
    </row>
    <row r="485" spans="1:68" s="298" customFormat="1" ht="25.5">
      <c r="A485" s="256" t="s">
        <v>14338</v>
      </c>
      <c r="B485" s="374" t="s">
        <v>15402</v>
      </c>
      <c r="C485" s="289" t="s">
        <v>17708</v>
      </c>
      <c r="D485" s="290" t="s">
        <v>103</v>
      </c>
      <c r="E485" s="290" t="s">
        <v>193</v>
      </c>
      <c r="F485" s="291">
        <v>1.3320000000000001</v>
      </c>
      <c r="G485" s="292">
        <v>633.82000000000005</v>
      </c>
      <c r="H485" s="255">
        <v>844.24</v>
      </c>
      <c r="J485" s="634"/>
      <c r="S485" s="536"/>
      <c r="T485" s="638"/>
    </row>
    <row r="486" spans="1:68" s="298" customFormat="1" ht="12.75">
      <c r="A486" s="256"/>
      <c r="B486" s="288" t="s">
        <v>143</v>
      </c>
      <c r="C486" s="819" t="s">
        <v>15438</v>
      </c>
      <c r="D486" s="820"/>
      <c r="E486" s="820"/>
      <c r="F486" s="820"/>
      <c r="G486" s="820"/>
      <c r="H486" s="821"/>
      <c r="J486" s="634"/>
      <c r="K486" s="524"/>
      <c r="L486" s="524"/>
      <c r="M486" s="524"/>
      <c r="N486" s="524"/>
      <c r="O486" s="524"/>
      <c r="S486" s="536"/>
      <c r="T486" s="635"/>
    </row>
    <row r="487" spans="1:68" s="529" customFormat="1" ht="12.75">
      <c r="A487" s="286"/>
      <c r="B487" s="293"/>
      <c r="C487" s="229"/>
      <c r="D487" s="230"/>
      <c r="E487" s="230"/>
      <c r="F487" s="230"/>
      <c r="G487" s="230"/>
      <c r="H487" s="230"/>
      <c r="I487" s="298"/>
      <c r="J487" s="521"/>
      <c r="K487" s="524"/>
      <c r="L487" s="298"/>
      <c r="M487" s="298"/>
      <c r="N487" s="298"/>
      <c r="O487" s="298"/>
      <c r="P487" s="298"/>
      <c r="Q487" s="298"/>
      <c r="R487" s="298"/>
      <c r="S487" s="536"/>
      <c r="T487" s="635"/>
      <c r="U487" s="298"/>
      <c r="V487" s="298"/>
      <c r="W487" s="298"/>
      <c r="X487" s="298"/>
      <c r="Y487" s="298"/>
      <c r="Z487" s="298"/>
      <c r="AA487" s="298"/>
      <c r="AB487" s="298"/>
      <c r="AC487" s="298"/>
      <c r="AD487" s="298"/>
      <c r="AE487" s="298"/>
      <c r="AF487" s="298"/>
      <c r="AG487" s="298"/>
      <c r="AH487" s="298"/>
      <c r="AI487" s="298"/>
      <c r="AJ487" s="298"/>
      <c r="AK487" s="298"/>
      <c r="AL487" s="298"/>
      <c r="AM487" s="298"/>
      <c r="AN487" s="298"/>
      <c r="AO487" s="298"/>
      <c r="AP487" s="298"/>
      <c r="AQ487" s="298"/>
      <c r="AR487" s="298"/>
      <c r="AS487" s="298"/>
      <c r="AT487" s="298"/>
      <c r="AU487" s="298"/>
      <c r="AV487" s="298"/>
      <c r="AW487" s="298"/>
      <c r="AX487" s="298"/>
      <c r="AY487" s="298"/>
      <c r="AZ487" s="298"/>
      <c r="BA487" s="298"/>
      <c r="BB487" s="298"/>
      <c r="BC487" s="298"/>
      <c r="BD487" s="298"/>
      <c r="BE487" s="298"/>
      <c r="BF487" s="298"/>
      <c r="BG487" s="298"/>
      <c r="BH487" s="298"/>
      <c r="BI487" s="298"/>
      <c r="BJ487" s="298"/>
      <c r="BK487" s="298"/>
      <c r="BL487" s="298"/>
      <c r="BM487" s="298"/>
      <c r="BN487" s="298"/>
      <c r="BO487" s="298"/>
      <c r="BP487" s="298"/>
    </row>
    <row r="488" spans="1:68" s="645" customFormat="1" ht="76.5">
      <c r="A488" s="376"/>
      <c r="B488" s="372" t="s">
        <v>15446</v>
      </c>
      <c r="C488" s="231" t="s">
        <v>15510</v>
      </c>
      <c r="D488" s="232" t="s">
        <v>103</v>
      </c>
      <c r="E488" s="232" t="s">
        <v>193</v>
      </c>
      <c r="F488" s="233"/>
      <c r="G488" s="234"/>
      <c r="H488" s="235">
        <v>259.97000000000003</v>
      </c>
      <c r="I488" s="298"/>
      <c r="J488" s="521"/>
      <c r="K488" s="524"/>
      <c r="L488" s="298"/>
      <c r="M488" s="298"/>
      <c r="N488" s="298"/>
      <c r="O488" s="298"/>
      <c r="P488" s="298"/>
      <c r="Q488" s="298"/>
      <c r="R488" s="298"/>
      <c r="S488" s="536"/>
      <c r="T488" s="635"/>
      <c r="U488" s="298"/>
      <c r="V488" s="298"/>
      <c r="W488" s="298"/>
      <c r="X488" s="298"/>
      <c r="Y488" s="298"/>
      <c r="Z488" s="298"/>
      <c r="AA488" s="298"/>
      <c r="AB488" s="298"/>
      <c r="AC488" s="298"/>
      <c r="AD488" s="298"/>
      <c r="AE488" s="298"/>
      <c r="AF488" s="298"/>
      <c r="AG488" s="298"/>
      <c r="AH488" s="298"/>
      <c r="AI488" s="298"/>
      <c r="AJ488" s="298"/>
      <c r="AK488" s="298"/>
      <c r="AL488" s="298"/>
      <c r="AM488" s="298"/>
      <c r="AN488" s="298"/>
      <c r="AO488" s="298"/>
      <c r="AP488" s="298"/>
      <c r="AQ488" s="298"/>
      <c r="AR488" s="298"/>
      <c r="AS488" s="298"/>
      <c r="AT488" s="298"/>
      <c r="AU488" s="298"/>
      <c r="AV488" s="298"/>
      <c r="AW488" s="298"/>
      <c r="AX488" s="298"/>
      <c r="AY488" s="298"/>
      <c r="AZ488" s="298"/>
      <c r="BA488" s="298"/>
      <c r="BB488" s="298"/>
      <c r="BC488" s="298"/>
      <c r="BD488" s="298"/>
      <c r="BE488" s="298"/>
      <c r="BF488" s="298"/>
      <c r="BG488" s="298"/>
      <c r="BH488" s="298"/>
      <c r="BI488" s="298"/>
      <c r="BJ488" s="298"/>
      <c r="BK488" s="298"/>
      <c r="BL488" s="298"/>
      <c r="BM488" s="298"/>
      <c r="BN488" s="298"/>
      <c r="BO488" s="298"/>
      <c r="BP488" s="298"/>
    </row>
    <row r="489" spans="1:68" s="298" customFormat="1" ht="25.5">
      <c r="A489" s="256" t="s">
        <v>3261</v>
      </c>
      <c r="B489" s="374">
        <v>5075</v>
      </c>
      <c r="C489" s="289" t="s">
        <v>7825</v>
      </c>
      <c r="D489" s="290" t="s">
        <v>207</v>
      </c>
      <c r="E489" s="290" t="s">
        <v>3244</v>
      </c>
      <c r="F489" s="291" t="s">
        <v>15511</v>
      </c>
      <c r="G489" s="292" t="s">
        <v>14225</v>
      </c>
      <c r="H489" s="255">
        <v>0.78</v>
      </c>
      <c r="J489" s="634"/>
      <c r="K489" s="524"/>
      <c r="S489" s="536"/>
      <c r="T489" s="638"/>
    </row>
    <row r="490" spans="1:68" s="298" customFormat="1" ht="25.5">
      <c r="A490" s="256" t="s">
        <v>3261</v>
      </c>
      <c r="B490" s="374">
        <v>6212</v>
      </c>
      <c r="C490" s="289" t="s">
        <v>11981</v>
      </c>
      <c r="D490" s="290" t="s">
        <v>207</v>
      </c>
      <c r="E490" s="290" t="s">
        <v>3243</v>
      </c>
      <c r="F490" s="254" t="s">
        <v>15512</v>
      </c>
      <c r="G490" s="292" t="s">
        <v>20666</v>
      </c>
      <c r="H490" s="255">
        <v>0.47</v>
      </c>
      <c r="J490" s="521"/>
      <c r="K490" s="524"/>
      <c r="S490" s="536"/>
      <c r="T490" s="638"/>
    </row>
    <row r="491" spans="1:68" s="298" customFormat="1" ht="12.75">
      <c r="A491" s="256" t="s">
        <v>3261</v>
      </c>
      <c r="B491" s="374">
        <v>6298</v>
      </c>
      <c r="C491" s="289" t="s">
        <v>8183</v>
      </c>
      <c r="D491" s="290" t="s">
        <v>207</v>
      </c>
      <c r="E491" s="290" t="s">
        <v>3240</v>
      </c>
      <c r="F491" s="254" t="s">
        <v>15513</v>
      </c>
      <c r="G491" s="292" t="s">
        <v>20398</v>
      </c>
      <c r="H491" s="255">
        <v>17.63</v>
      </c>
      <c r="J491" s="521"/>
      <c r="K491" s="524"/>
      <c r="S491" s="536"/>
      <c r="T491" s="638"/>
    </row>
    <row r="492" spans="1:68" s="298" customFormat="1" ht="38.25">
      <c r="A492" s="256" t="s">
        <v>3261</v>
      </c>
      <c r="B492" s="374">
        <v>7696</v>
      </c>
      <c r="C492" s="289" t="s">
        <v>8602</v>
      </c>
      <c r="D492" s="290" t="s">
        <v>207</v>
      </c>
      <c r="E492" s="290" t="s">
        <v>3243</v>
      </c>
      <c r="F492" s="254" t="s">
        <v>15514</v>
      </c>
      <c r="G492" s="292" t="s">
        <v>20959</v>
      </c>
      <c r="H492" s="255">
        <v>64.34</v>
      </c>
      <c r="J492" s="521"/>
      <c r="K492" s="524"/>
      <c r="S492" s="536"/>
      <c r="T492" s="638"/>
    </row>
    <row r="493" spans="1:68" s="298" customFormat="1" ht="51">
      <c r="A493" s="256" t="s">
        <v>3261</v>
      </c>
      <c r="B493" s="374">
        <v>10935</v>
      </c>
      <c r="C493" s="289" t="s">
        <v>9592</v>
      </c>
      <c r="D493" s="290" t="s">
        <v>207</v>
      </c>
      <c r="E493" s="290" t="s">
        <v>3242</v>
      </c>
      <c r="F493" s="291" t="s">
        <v>15515</v>
      </c>
      <c r="G493" s="292" t="s">
        <v>20827</v>
      </c>
      <c r="H493" s="255">
        <v>50.44</v>
      </c>
      <c r="J493" s="634"/>
      <c r="K493" s="524"/>
      <c r="S493" s="536"/>
      <c r="T493" s="638"/>
    </row>
    <row r="494" spans="1:68" s="298" customFormat="1" ht="38.25">
      <c r="A494" s="256" t="s">
        <v>3261</v>
      </c>
      <c r="B494" s="374">
        <v>43130</v>
      </c>
      <c r="C494" s="289" t="s">
        <v>9486</v>
      </c>
      <c r="D494" s="290" t="s">
        <v>207</v>
      </c>
      <c r="E494" s="290" t="s">
        <v>3244</v>
      </c>
      <c r="F494" s="291" t="s">
        <v>15516</v>
      </c>
      <c r="G494" s="292" t="s">
        <v>12310</v>
      </c>
      <c r="H494" s="255">
        <v>0.63</v>
      </c>
      <c r="J494" s="634"/>
      <c r="K494" s="524"/>
      <c r="S494" s="536"/>
      <c r="T494" s="638"/>
    </row>
    <row r="495" spans="1:68" s="298" customFormat="1" ht="25.5">
      <c r="A495" s="256" t="s">
        <v>3259</v>
      </c>
      <c r="B495" s="374">
        <v>88261</v>
      </c>
      <c r="C495" s="289" t="s">
        <v>294</v>
      </c>
      <c r="D495" s="290" t="s">
        <v>9714</v>
      </c>
      <c r="E495" s="290" t="s">
        <v>206</v>
      </c>
      <c r="F495" s="254" t="s">
        <v>15420</v>
      </c>
      <c r="G495" s="292" t="s">
        <v>12381</v>
      </c>
      <c r="H495" s="255">
        <v>23.72</v>
      </c>
      <c r="J495" s="521"/>
      <c r="K495" s="524"/>
      <c r="S495" s="536"/>
      <c r="T495" s="638"/>
    </row>
    <row r="496" spans="1:68" s="298" customFormat="1" ht="25.5">
      <c r="A496" s="256" t="s">
        <v>3259</v>
      </c>
      <c r="B496" s="374">
        <v>88309</v>
      </c>
      <c r="C496" s="289" t="s">
        <v>105</v>
      </c>
      <c r="D496" s="290" t="s">
        <v>9714</v>
      </c>
      <c r="E496" s="290" t="s">
        <v>206</v>
      </c>
      <c r="F496" s="254" t="s">
        <v>15420</v>
      </c>
      <c r="G496" s="292" t="s">
        <v>11439</v>
      </c>
      <c r="H496" s="255">
        <v>23.9</v>
      </c>
      <c r="J496" s="521"/>
      <c r="K496" s="524"/>
      <c r="S496" s="536"/>
      <c r="T496" s="638"/>
    </row>
    <row r="497" spans="1:68" s="298" customFormat="1" ht="25.5">
      <c r="A497" s="256" t="s">
        <v>3259</v>
      </c>
      <c r="B497" s="374">
        <v>88315</v>
      </c>
      <c r="C497" s="289" t="s">
        <v>208</v>
      </c>
      <c r="D497" s="290" t="s">
        <v>9714</v>
      </c>
      <c r="E497" s="290" t="s">
        <v>206</v>
      </c>
      <c r="F497" s="254" t="s">
        <v>15517</v>
      </c>
      <c r="G497" s="292" t="s">
        <v>21052</v>
      </c>
      <c r="H497" s="255">
        <v>11.89</v>
      </c>
      <c r="J497" s="521"/>
      <c r="K497" s="524"/>
      <c r="S497" s="536"/>
      <c r="T497" s="638"/>
    </row>
    <row r="498" spans="1:68" s="298" customFormat="1" ht="25.5">
      <c r="A498" s="256" t="s">
        <v>3259</v>
      </c>
      <c r="B498" s="374">
        <v>88316</v>
      </c>
      <c r="C498" s="289" t="s">
        <v>104</v>
      </c>
      <c r="D498" s="290" t="s">
        <v>9714</v>
      </c>
      <c r="E498" s="290" t="s">
        <v>206</v>
      </c>
      <c r="F498" s="291" t="s">
        <v>15518</v>
      </c>
      <c r="G498" s="292" t="s">
        <v>10172</v>
      </c>
      <c r="H498" s="255">
        <v>59.52</v>
      </c>
      <c r="J498" s="634"/>
      <c r="K498" s="524"/>
      <c r="S498" s="536"/>
      <c r="T498" s="638"/>
    </row>
    <row r="499" spans="1:68" s="298" customFormat="1" ht="51">
      <c r="A499" s="256" t="s">
        <v>3259</v>
      </c>
      <c r="B499" s="374">
        <v>94970</v>
      </c>
      <c r="C499" s="289" t="s">
        <v>22453</v>
      </c>
      <c r="D499" s="290" t="s">
        <v>229</v>
      </c>
      <c r="E499" s="290" t="s">
        <v>209</v>
      </c>
      <c r="F499" s="254" t="s">
        <v>15519</v>
      </c>
      <c r="G499" s="292" t="s">
        <v>22454</v>
      </c>
      <c r="H499" s="255">
        <v>6.65</v>
      </c>
      <c r="J499" s="521"/>
      <c r="K499" s="524"/>
      <c r="S499" s="536"/>
      <c r="T499" s="638"/>
    </row>
    <row r="500" spans="1:68" s="298" customFormat="1" ht="12.75">
      <c r="A500" s="256"/>
      <c r="B500" s="288" t="s">
        <v>143</v>
      </c>
      <c r="C500" s="603" t="s">
        <v>15520</v>
      </c>
      <c r="D500" s="386"/>
      <c r="E500" s="386"/>
      <c r="F500" s="386"/>
      <c r="G500" s="386"/>
      <c r="H500" s="387"/>
      <c r="J500" s="521"/>
      <c r="K500" s="524"/>
      <c r="S500" s="536"/>
      <c r="T500" s="635"/>
    </row>
    <row r="501" spans="1:68" s="529" customFormat="1" ht="12.75">
      <c r="A501" s="286"/>
      <c r="B501" s="373"/>
      <c r="C501" s="379"/>
      <c r="D501" s="382"/>
      <c r="E501" s="382"/>
      <c r="F501" s="382"/>
      <c r="G501" s="382"/>
      <c r="H501" s="382"/>
      <c r="I501" s="298"/>
      <c r="J501" s="634"/>
      <c r="K501" s="524"/>
      <c r="L501" s="524"/>
      <c r="M501" s="524"/>
      <c r="N501" s="524"/>
      <c r="O501" s="524"/>
      <c r="P501" s="298"/>
      <c r="Q501" s="298"/>
      <c r="R501" s="298"/>
      <c r="S501" s="536"/>
      <c r="T501" s="635"/>
      <c r="U501" s="298"/>
      <c r="V501" s="298"/>
      <c r="W501" s="298"/>
      <c r="X501" s="298"/>
      <c r="Y501" s="298"/>
      <c r="Z501" s="298"/>
      <c r="AA501" s="298"/>
      <c r="AB501" s="298"/>
      <c r="AC501" s="298"/>
      <c r="AD501" s="298"/>
      <c r="AE501" s="298"/>
      <c r="AF501" s="298"/>
      <c r="AG501" s="298"/>
      <c r="AH501" s="298"/>
      <c r="AI501" s="298"/>
      <c r="AJ501" s="298"/>
      <c r="AK501" s="298"/>
      <c r="AL501" s="298"/>
      <c r="AM501" s="298"/>
      <c r="AN501" s="298"/>
      <c r="AO501" s="298"/>
      <c r="AP501" s="298"/>
      <c r="AQ501" s="298"/>
      <c r="AR501" s="298"/>
      <c r="AS501" s="298"/>
      <c r="AT501" s="298"/>
      <c r="AU501" s="298"/>
      <c r="AV501" s="298"/>
      <c r="AW501" s="298"/>
      <c r="AX501" s="298"/>
      <c r="AY501" s="298"/>
      <c r="AZ501" s="298"/>
      <c r="BA501" s="298"/>
      <c r="BB501" s="298"/>
      <c r="BC501" s="298"/>
      <c r="BD501" s="298"/>
      <c r="BE501" s="298"/>
      <c r="BF501" s="298"/>
      <c r="BG501" s="298"/>
      <c r="BH501" s="298"/>
      <c r="BI501" s="298"/>
      <c r="BJ501" s="298"/>
      <c r="BK501" s="298"/>
      <c r="BL501" s="298"/>
      <c r="BM501" s="298"/>
      <c r="BN501" s="298"/>
      <c r="BO501" s="298"/>
      <c r="BP501" s="298"/>
    </row>
    <row r="502" spans="1:68" s="529" customFormat="1" ht="25.5">
      <c r="A502" s="286"/>
      <c r="B502" s="372" t="s">
        <v>15447</v>
      </c>
      <c r="C502" s="231" t="s">
        <v>15554</v>
      </c>
      <c r="D502" s="232" t="s">
        <v>103</v>
      </c>
      <c r="E502" s="232" t="s">
        <v>209</v>
      </c>
      <c r="F502" s="233"/>
      <c r="G502" s="234"/>
      <c r="H502" s="235">
        <v>182.69</v>
      </c>
      <c r="I502" s="298"/>
      <c r="J502" s="634"/>
      <c r="K502" s="524"/>
      <c r="L502" s="524"/>
      <c r="M502" s="524"/>
      <c r="N502" s="524"/>
      <c r="O502" s="524"/>
      <c r="P502" s="298"/>
      <c r="Q502" s="298"/>
      <c r="R502" s="298"/>
      <c r="S502" s="536"/>
      <c r="T502" s="635"/>
      <c r="U502" s="298"/>
      <c r="V502" s="298"/>
      <c r="W502" s="298"/>
      <c r="X502" s="298"/>
      <c r="Y502" s="298"/>
      <c r="Z502" s="298"/>
      <c r="AA502" s="298"/>
      <c r="AB502" s="298"/>
      <c r="AC502" s="298"/>
      <c r="AD502" s="298"/>
      <c r="AE502" s="298"/>
      <c r="AF502" s="298"/>
      <c r="AG502" s="298"/>
      <c r="AH502" s="298"/>
      <c r="AI502" s="298"/>
      <c r="AJ502" s="298"/>
      <c r="AK502" s="298"/>
      <c r="AL502" s="298"/>
      <c r="AM502" s="298"/>
      <c r="AN502" s="298"/>
      <c r="AO502" s="298"/>
      <c r="AP502" s="298"/>
      <c r="AQ502" s="298"/>
      <c r="AR502" s="298"/>
      <c r="AS502" s="298"/>
      <c r="AT502" s="298"/>
      <c r="AU502" s="298"/>
      <c r="AV502" s="298"/>
      <c r="AW502" s="298"/>
      <c r="AX502" s="298"/>
      <c r="AY502" s="298"/>
      <c r="AZ502" s="298"/>
      <c r="BA502" s="298"/>
      <c r="BB502" s="298"/>
      <c r="BC502" s="298"/>
      <c r="BD502" s="298"/>
      <c r="BE502" s="298"/>
      <c r="BF502" s="298"/>
      <c r="BG502" s="298"/>
      <c r="BH502" s="298"/>
      <c r="BI502" s="298"/>
      <c r="BJ502" s="298"/>
      <c r="BK502" s="298"/>
      <c r="BL502" s="298"/>
      <c r="BM502" s="298"/>
      <c r="BN502" s="298"/>
      <c r="BO502" s="298"/>
      <c r="BP502" s="298"/>
    </row>
    <row r="503" spans="1:68" s="298" customFormat="1" ht="25.5">
      <c r="A503" s="256" t="s">
        <v>3259</v>
      </c>
      <c r="B503" s="374">
        <v>88316</v>
      </c>
      <c r="C503" s="289" t="s">
        <v>104</v>
      </c>
      <c r="D503" s="290" t="s">
        <v>9714</v>
      </c>
      <c r="E503" s="290" t="s">
        <v>206</v>
      </c>
      <c r="F503" s="254">
        <v>1.6</v>
      </c>
      <c r="G503" s="292" t="s">
        <v>10172</v>
      </c>
      <c r="H503" s="255">
        <v>28.17</v>
      </c>
      <c r="J503" s="634"/>
      <c r="K503" s="524"/>
      <c r="L503" s="524"/>
      <c r="M503" s="524"/>
      <c r="N503" s="524"/>
      <c r="O503" s="524"/>
      <c r="S503" s="536"/>
      <c r="T503" s="638"/>
    </row>
    <row r="504" spans="1:68" s="298" customFormat="1" ht="12.75">
      <c r="A504" s="256" t="s">
        <v>3261</v>
      </c>
      <c r="B504" s="374">
        <v>7253</v>
      </c>
      <c r="C504" s="289" t="s">
        <v>8461</v>
      </c>
      <c r="D504" s="290" t="s">
        <v>207</v>
      </c>
      <c r="E504" s="290" t="s">
        <v>3241</v>
      </c>
      <c r="F504" s="254">
        <v>0.9</v>
      </c>
      <c r="G504" s="292" t="s">
        <v>20870</v>
      </c>
      <c r="H504" s="255">
        <v>140.77000000000001</v>
      </c>
      <c r="J504" s="634"/>
      <c r="K504" s="524"/>
      <c r="L504" s="524"/>
      <c r="M504" s="524"/>
      <c r="N504" s="524"/>
      <c r="O504" s="524"/>
      <c r="S504" s="536"/>
      <c r="T504" s="638"/>
    </row>
    <row r="505" spans="1:68" s="298" customFormat="1" ht="25.5">
      <c r="A505" s="256" t="s">
        <v>3261</v>
      </c>
      <c r="B505" s="374">
        <v>38125</v>
      </c>
      <c r="C505" s="289" t="s">
        <v>6430</v>
      </c>
      <c r="D505" s="290" t="s">
        <v>207</v>
      </c>
      <c r="E505" s="290" t="s">
        <v>3244</v>
      </c>
      <c r="F505" s="254">
        <v>11</v>
      </c>
      <c r="G505" s="292" t="s">
        <v>10801</v>
      </c>
      <c r="H505" s="255">
        <v>13.75</v>
      </c>
      <c r="J505" s="634"/>
      <c r="K505" s="524"/>
      <c r="L505" s="524"/>
      <c r="M505" s="524"/>
      <c r="N505" s="524"/>
      <c r="O505" s="524"/>
      <c r="S505" s="536"/>
      <c r="T505" s="638"/>
    </row>
    <row r="506" spans="1:68" s="298" customFormat="1" ht="12.75">
      <c r="A506" s="256"/>
      <c r="B506" s="288" t="s">
        <v>143</v>
      </c>
      <c r="C506" s="819" t="s">
        <v>15555</v>
      </c>
      <c r="D506" s="820"/>
      <c r="E506" s="820"/>
      <c r="F506" s="820"/>
      <c r="G506" s="820"/>
      <c r="H506" s="821"/>
      <c r="J506" s="634"/>
      <c r="K506" s="524"/>
      <c r="L506" s="524"/>
      <c r="M506" s="524"/>
      <c r="N506" s="524"/>
      <c r="O506" s="524"/>
      <c r="S506" s="536"/>
      <c r="T506" s="635"/>
    </row>
    <row r="507" spans="1:68" s="529" customFormat="1" ht="12.75">
      <c r="A507" s="286"/>
      <c r="B507" s="293"/>
      <c r="C507" s="229"/>
      <c r="D507" s="230"/>
      <c r="E507" s="230"/>
      <c r="F507" s="230"/>
      <c r="G507" s="230"/>
      <c r="H507" s="230"/>
      <c r="I507" s="298"/>
      <c r="J507" s="521"/>
      <c r="K507" s="524"/>
      <c r="L507" s="298"/>
      <c r="M507" s="298"/>
      <c r="N507" s="298"/>
      <c r="O507" s="298"/>
      <c r="P507" s="298"/>
      <c r="Q507" s="298"/>
      <c r="R507" s="298"/>
      <c r="S507" s="536"/>
      <c r="T507" s="635"/>
      <c r="U507" s="298"/>
      <c r="V507" s="298"/>
      <c r="W507" s="298"/>
      <c r="X507" s="298"/>
      <c r="Y507" s="298"/>
      <c r="Z507" s="298"/>
      <c r="AA507" s="298"/>
      <c r="AB507" s="298"/>
      <c r="AC507" s="298"/>
      <c r="AD507" s="298"/>
      <c r="AE507" s="298"/>
      <c r="AF507" s="298"/>
      <c r="AG507" s="298"/>
      <c r="AH507" s="298"/>
      <c r="AI507" s="298"/>
      <c r="AJ507" s="298"/>
      <c r="AK507" s="298"/>
      <c r="AL507" s="298"/>
      <c r="AM507" s="298"/>
      <c r="AN507" s="298"/>
      <c r="AO507" s="298"/>
      <c r="AP507" s="298"/>
      <c r="AQ507" s="298"/>
      <c r="AR507" s="298"/>
      <c r="AS507" s="298"/>
      <c r="AT507" s="298"/>
      <c r="AU507" s="298"/>
      <c r="AV507" s="298"/>
      <c r="AW507" s="298"/>
      <c r="AX507" s="298"/>
      <c r="AY507" s="298"/>
      <c r="AZ507" s="298"/>
      <c r="BA507" s="298"/>
      <c r="BB507" s="298"/>
      <c r="BC507" s="298"/>
      <c r="BD507" s="298"/>
      <c r="BE507" s="298"/>
      <c r="BF507" s="298"/>
      <c r="BG507" s="298"/>
      <c r="BH507" s="298"/>
      <c r="BI507" s="298"/>
      <c r="BJ507" s="298"/>
      <c r="BK507" s="298"/>
      <c r="BL507" s="298"/>
      <c r="BM507" s="298"/>
      <c r="BN507" s="298"/>
      <c r="BO507" s="298"/>
      <c r="BP507" s="298"/>
    </row>
    <row r="508" spans="1:68" s="645" customFormat="1" ht="89.25">
      <c r="A508" s="376"/>
      <c r="B508" s="372" t="s">
        <v>15448</v>
      </c>
      <c r="C508" s="231" t="s">
        <v>24591</v>
      </c>
      <c r="D508" s="232" t="s">
        <v>103</v>
      </c>
      <c r="E508" s="232" t="s">
        <v>3240</v>
      </c>
      <c r="F508" s="233"/>
      <c r="G508" s="234"/>
      <c r="H508" s="235">
        <v>1492.15</v>
      </c>
      <c r="I508" s="298"/>
      <c r="J508" s="521"/>
      <c r="K508" s="524"/>
      <c r="L508" s="298"/>
      <c r="M508" s="298"/>
      <c r="N508" s="298"/>
      <c r="O508" s="298"/>
      <c r="P508" s="298"/>
      <c r="Q508" s="298"/>
      <c r="R508" s="298"/>
      <c r="S508" s="536"/>
      <c r="T508" s="635"/>
      <c r="U508" s="298"/>
      <c r="V508" s="298"/>
      <c r="W508" s="298"/>
      <c r="X508" s="298"/>
      <c r="Y508" s="298"/>
      <c r="Z508" s="298"/>
      <c r="AA508" s="298"/>
      <c r="AB508" s="298"/>
      <c r="AC508" s="298"/>
      <c r="AD508" s="298"/>
      <c r="AE508" s="298"/>
      <c r="AF508" s="298"/>
      <c r="AG508" s="298"/>
      <c r="AH508" s="298"/>
      <c r="AI508" s="298"/>
      <c r="AJ508" s="298"/>
      <c r="AK508" s="298"/>
      <c r="AL508" s="298"/>
      <c r="AM508" s="298"/>
      <c r="AN508" s="298"/>
      <c r="AO508" s="298"/>
      <c r="AP508" s="298"/>
      <c r="AQ508" s="298"/>
      <c r="AR508" s="298"/>
      <c r="AS508" s="298"/>
      <c r="AT508" s="298"/>
      <c r="AU508" s="298"/>
      <c r="AV508" s="298"/>
      <c r="AW508" s="298"/>
      <c r="AX508" s="298"/>
      <c r="AY508" s="298"/>
      <c r="AZ508" s="298"/>
      <c r="BA508" s="298"/>
      <c r="BB508" s="298"/>
      <c r="BC508" s="298"/>
      <c r="BD508" s="298"/>
      <c r="BE508" s="298"/>
      <c r="BF508" s="298"/>
      <c r="BG508" s="298"/>
      <c r="BH508" s="298"/>
      <c r="BI508" s="298"/>
      <c r="BJ508" s="298"/>
      <c r="BK508" s="298"/>
      <c r="BL508" s="298"/>
      <c r="BM508" s="298"/>
      <c r="BN508" s="298"/>
      <c r="BO508" s="298"/>
      <c r="BP508" s="298"/>
    </row>
    <row r="509" spans="1:68" s="298" customFormat="1" ht="51">
      <c r="A509" s="256" t="s">
        <v>14338</v>
      </c>
      <c r="B509" s="374" t="s">
        <v>24589</v>
      </c>
      <c r="C509" s="289" t="s">
        <v>24590</v>
      </c>
      <c r="D509" s="290" t="s">
        <v>103</v>
      </c>
      <c r="E509" s="290" t="s">
        <v>10</v>
      </c>
      <c r="F509" s="254">
        <v>1</v>
      </c>
      <c r="G509" s="292">
        <v>766.86999999999989</v>
      </c>
      <c r="H509" s="255">
        <v>766.87</v>
      </c>
      <c r="J509" s="521"/>
      <c r="K509" s="524"/>
      <c r="S509" s="536"/>
      <c r="T509" s="638"/>
    </row>
    <row r="510" spans="1:68" s="298" customFormat="1" ht="38.25">
      <c r="A510" s="256" t="s">
        <v>3259</v>
      </c>
      <c r="B510" s="374">
        <v>102159</v>
      </c>
      <c r="C510" s="289" t="s">
        <v>12774</v>
      </c>
      <c r="D510" s="290" t="s">
        <v>229</v>
      </c>
      <c r="E510" s="290" t="s">
        <v>193</v>
      </c>
      <c r="F510" s="254">
        <v>0.4</v>
      </c>
      <c r="G510" s="292" t="s">
        <v>22131</v>
      </c>
      <c r="H510" s="255">
        <v>105.37</v>
      </c>
      <c r="J510" s="521"/>
      <c r="K510" s="524"/>
      <c r="S510" s="536"/>
      <c r="T510" s="638"/>
    </row>
    <row r="511" spans="1:68" s="298" customFormat="1" ht="51">
      <c r="A511" s="256" t="s">
        <v>3259</v>
      </c>
      <c r="B511" s="374">
        <v>90830</v>
      </c>
      <c r="C511" s="289" t="s">
        <v>9063</v>
      </c>
      <c r="D511" s="290" t="s">
        <v>229</v>
      </c>
      <c r="E511" s="290" t="s">
        <v>109</v>
      </c>
      <c r="F511" s="254">
        <v>1</v>
      </c>
      <c r="G511" s="292" t="s">
        <v>16418</v>
      </c>
      <c r="H511" s="255">
        <v>151.09</v>
      </c>
      <c r="J511" s="521"/>
      <c r="K511" s="524"/>
      <c r="S511" s="536"/>
      <c r="T511" s="638"/>
    </row>
    <row r="512" spans="1:68" s="298" customFormat="1" ht="38.25">
      <c r="A512" s="256" t="s">
        <v>14338</v>
      </c>
      <c r="B512" s="374" t="s">
        <v>15381</v>
      </c>
      <c r="C512" s="289" t="s">
        <v>17470</v>
      </c>
      <c r="D512" s="290" t="s">
        <v>103</v>
      </c>
      <c r="E512" s="290" t="s">
        <v>193</v>
      </c>
      <c r="F512" s="254">
        <v>5.8719999999999999</v>
      </c>
      <c r="G512" s="292">
        <v>79.839999999999989</v>
      </c>
      <c r="H512" s="255">
        <v>468.82</v>
      </c>
      <c r="J512" s="521"/>
      <c r="K512" s="524"/>
      <c r="S512" s="536"/>
      <c r="T512" s="638"/>
    </row>
    <row r="513" spans="1:68" s="298" customFormat="1" ht="12.75">
      <c r="A513" s="256"/>
      <c r="B513" s="288" t="s">
        <v>143</v>
      </c>
      <c r="C513" s="737" t="s">
        <v>15438</v>
      </c>
      <c r="D513" s="386"/>
      <c r="E513" s="386"/>
      <c r="F513" s="386"/>
      <c r="G513" s="386"/>
      <c r="H513" s="387"/>
      <c r="J513" s="521"/>
      <c r="K513" s="524"/>
      <c r="S513" s="536"/>
      <c r="T513" s="635"/>
    </row>
    <row r="514" spans="1:68" s="529" customFormat="1" ht="12.75">
      <c r="A514" s="286"/>
      <c r="B514" s="293"/>
      <c r="C514" s="229"/>
      <c r="D514" s="230"/>
      <c r="E514" s="230"/>
      <c r="F514" s="230"/>
      <c r="G514" s="230"/>
      <c r="H514" s="230"/>
      <c r="I514" s="298"/>
      <c r="J514" s="521"/>
      <c r="K514" s="524"/>
      <c r="L514" s="298"/>
      <c r="M514" s="298"/>
      <c r="N514" s="298"/>
      <c r="O514" s="298"/>
      <c r="P514" s="298"/>
      <c r="Q514" s="298"/>
      <c r="R514" s="298"/>
      <c r="S514" s="536"/>
      <c r="T514" s="635"/>
      <c r="U514" s="298"/>
      <c r="V514" s="298"/>
      <c r="W514" s="298"/>
      <c r="X514" s="298"/>
      <c r="Y514" s="298"/>
      <c r="Z514" s="298"/>
      <c r="AA514" s="298"/>
      <c r="AB514" s="298"/>
      <c r="AC514" s="298"/>
      <c r="AD514" s="298"/>
      <c r="AE514" s="298"/>
      <c r="AF514" s="298"/>
      <c r="AG514" s="298"/>
      <c r="AH514" s="298"/>
      <c r="AI514" s="298"/>
      <c r="AJ514" s="298"/>
      <c r="AK514" s="298"/>
      <c r="AL514" s="298"/>
      <c r="AM514" s="298"/>
      <c r="AN514" s="298"/>
      <c r="AO514" s="298"/>
      <c r="AP514" s="298"/>
      <c r="AQ514" s="298"/>
      <c r="AR514" s="298"/>
      <c r="AS514" s="298"/>
      <c r="AT514" s="298"/>
      <c r="AU514" s="298"/>
      <c r="AV514" s="298"/>
      <c r="AW514" s="298"/>
      <c r="AX514" s="298"/>
      <c r="AY514" s="298"/>
      <c r="AZ514" s="298"/>
      <c r="BA514" s="298"/>
      <c r="BB514" s="298"/>
      <c r="BC514" s="298"/>
      <c r="BD514" s="298"/>
      <c r="BE514" s="298"/>
      <c r="BF514" s="298"/>
      <c r="BG514" s="298"/>
      <c r="BH514" s="298"/>
      <c r="BI514" s="298"/>
      <c r="BJ514" s="298"/>
      <c r="BK514" s="298"/>
      <c r="BL514" s="298"/>
      <c r="BM514" s="298"/>
      <c r="BN514" s="298"/>
      <c r="BO514" s="298"/>
      <c r="BP514" s="298"/>
    </row>
    <row r="515" spans="1:68" s="645" customFormat="1" ht="38.25">
      <c r="A515" s="376"/>
      <c r="B515" s="372" t="s">
        <v>15449</v>
      </c>
      <c r="C515" s="231" t="s">
        <v>24607</v>
      </c>
      <c r="D515" s="232" t="s">
        <v>103</v>
      </c>
      <c r="E515" s="232" t="s">
        <v>3240</v>
      </c>
      <c r="F515" s="233"/>
      <c r="G515" s="234"/>
      <c r="H515" s="235">
        <v>715.98</v>
      </c>
      <c r="I515" s="298"/>
      <c r="J515" s="521"/>
      <c r="K515" s="524"/>
      <c r="L515" s="298"/>
      <c r="M515" s="298"/>
      <c r="N515" s="298"/>
      <c r="O515" s="298"/>
      <c r="P515" s="298"/>
      <c r="Q515" s="298"/>
      <c r="R515" s="298"/>
      <c r="S515" s="536"/>
      <c r="T515" s="635"/>
      <c r="U515" s="298"/>
      <c r="V515" s="298"/>
      <c r="W515" s="298"/>
      <c r="X515" s="298"/>
      <c r="Y515" s="298"/>
      <c r="Z515" s="298"/>
      <c r="AA515" s="298"/>
      <c r="AB515" s="298"/>
      <c r="AC515" s="298"/>
      <c r="AD515" s="298"/>
      <c r="AE515" s="298"/>
      <c r="AF515" s="298"/>
      <c r="AG515" s="298"/>
      <c r="AH515" s="298"/>
      <c r="AI515" s="298"/>
      <c r="AJ515" s="298"/>
      <c r="AK515" s="298"/>
      <c r="AL515" s="298"/>
      <c r="AM515" s="298"/>
      <c r="AN515" s="298"/>
      <c r="AO515" s="298"/>
      <c r="AP515" s="298"/>
      <c r="AQ515" s="298"/>
      <c r="AR515" s="298"/>
      <c r="AS515" s="298"/>
      <c r="AT515" s="298"/>
      <c r="AU515" s="298"/>
      <c r="AV515" s="298"/>
      <c r="AW515" s="298"/>
      <c r="AX515" s="298"/>
      <c r="AY515" s="298"/>
      <c r="AZ515" s="298"/>
      <c r="BA515" s="298"/>
      <c r="BB515" s="298"/>
      <c r="BC515" s="298"/>
      <c r="BD515" s="298"/>
      <c r="BE515" s="298"/>
      <c r="BF515" s="298"/>
      <c r="BG515" s="298"/>
      <c r="BH515" s="298"/>
      <c r="BI515" s="298"/>
      <c r="BJ515" s="298"/>
      <c r="BK515" s="298"/>
      <c r="BL515" s="298"/>
      <c r="BM515" s="298"/>
      <c r="BN515" s="298"/>
      <c r="BO515" s="298"/>
      <c r="BP515" s="298"/>
    </row>
    <row r="516" spans="1:68" s="298" customFormat="1" ht="25.5">
      <c r="A516" s="256" t="s">
        <v>14338</v>
      </c>
      <c r="B516" s="374" t="s">
        <v>15382</v>
      </c>
      <c r="C516" s="289" t="s">
        <v>17440</v>
      </c>
      <c r="D516" s="290" t="s">
        <v>103</v>
      </c>
      <c r="E516" s="290" t="s">
        <v>3240</v>
      </c>
      <c r="F516" s="254">
        <v>0.88888888888888895</v>
      </c>
      <c r="G516" s="292">
        <v>579.55000000000007</v>
      </c>
      <c r="H516" s="255">
        <v>515.15</v>
      </c>
      <c r="J516" s="521">
        <f>0.9*2.1</f>
        <v>1.8900000000000001</v>
      </c>
      <c r="K516" s="761">
        <v>1</v>
      </c>
      <c r="S516" s="536"/>
      <c r="T516" s="638"/>
    </row>
    <row r="517" spans="1:68" s="298" customFormat="1" ht="63.75">
      <c r="A517" s="256" t="s">
        <v>3259</v>
      </c>
      <c r="B517" s="374">
        <v>100721</v>
      </c>
      <c r="C517" s="289" t="s">
        <v>23989</v>
      </c>
      <c r="D517" s="290" t="s">
        <v>229</v>
      </c>
      <c r="E517" s="290" t="s">
        <v>193</v>
      </c>
      <c r="F517" s="254">
        <v>5.0400000000000009</v>
      </c>
      <c r="G517" s="292" t="s">
        <v>12354</v>
      </c>
      <c r="H517" s="255">
        <v>101.6</v>
      </c>
      <c r="J517" s="521">
        <f>0.8*2.1</f>
        <v>1.6800000000000002</v>
      </c>
      <c r="K517" s="762" t="s">
        <v>15393</v>
      </c>
      <c r="L517" s="646" t="s">
        <v>17521</v>
      </c>
      <c r="M517" s="646">
        <f>(J517*K516)/J516</f>
        <v>0.88888888888888895</v>
      </c>
      <c r="S517" s="536"/>
      <c r="T517" s="638"/>
    </row>
    <row r="518" spans="1:68" s="298" customFormat="1" ht="76.5">
      <c r="A518" s="256" t="s">
        <v>3259</v>
      </c>
      <c r="B518" s="374">
        <v>100745</v>
      </c>
      <c r="C518" s="289" t="s">
        <v>23999</v>
      </c>
      <c r="D518" s="290" t="s">
        <v>229</v>
      </c>
      <c r="E518" s="290" t="s">
        <v>193</v>
      </c>
      <c r="F518" s="254">
        <v>5.0400000000000009</v>
      </c>
      <c r="G518" s="292" t="s">
        <v>10491</v>
      </c>
      <c r="H518" s="255">
        <v>99.23</v>
      </c>
      <c r="J518" s="521"/>
      <c r="K518" s="524"/>
      <c r="S518" s="536"/>
      <c r="T518" s="638"/>
    </row>
    <row r="519" spans="1:68" s="298" customFormat="1" ht="12.75">
      <c r="A519" s="256"/>
      <c r="B519" s="288" t="s">
        <v>143</v>
      </c>
      <c r="C519" s="737" t="s">
        <v>15438</v>
      </c>
      <c r="D519" s="386"/>
      <c r="E519" s="386"/>
      <c r="F519" s="386"/>
      <c r="G519" s="386"/>
      <c r="H519" s="387"/>
      <c r="J519" s="521"/>
      <c r="K519" s="524"/>
      <c r="S519" s="536"/>
      <c r="T519" s="635"/>
    </row>
    <row r="520" spans="1:68" s="529" customFormat="1" ht="12.75">
      <c r="A520" s="286"/>
      <c r="B520" s="293"/>
      <c r="C520" s="229"/>
      <c r="D520" s="230"/>
      <c r="E520" s="230"/>
      <c r="F520" s="230"/>
      <c r="G520" s="230"/>
      <c r="H520" s="230"/>
      <c r="I520" s="298"/>
      <c r="J520" s="521"/>
      <c r="K520" s="524"/>
      <c r="L520" s="298"/>
      <c r="M520" s="298"/>
      <c r="N520" s="298"/>
      <c r="O520" s="298"/>
      <c r="P520" s="298"/>
      <c r="Q520" s="298"/>
      <c r="R520" s="298"/>
      <c r="S520" s="536"/>
      <c r="T520" s="635"/>
      <c r="U520" s="298"/>
      <c r="V520" s="298"/>
      <c r="W520" s="298"/>
      <c r="X520" s="298"/>
      <c r="Y520" s="298"/>
      <c r="Z520" s="298"/>
      <c r="AA520" s="298"/>
      <c r="AB520" s="298"/>
      <c r="AC520" s="298"/>
      <c r="AD520" s="298"/>
      <c r="AE520" s="298"/>
      <c r="AF520" s="298"/>
      <c r="AG520" s="298"/>
      <c r="AH520" s="298"/>
      <c r="AI520" s="298"/>
      <c r="AJ520" s="298"/>
      <c r="AK520" s="298"/>
      <c r="AL520" s="298"/>
      <c r="AM520" s="298"/>
      <c r="AN520" s="298"/>
      <c r="AO520" s="298"/>
      <c r="AP520" s="298"/>
      <c r="AQ520" s="298"/>
      <c r="AR520" s="298"/>
      <c r="AS520" s="298"/>
      <c r="AT520" s="298"/>
      <c r="AU520" s="298"/>
      <c r="AV520" s="298"/>
      <c r="AW520" s="298"/>
      <c r="AX520" s="298"/>
      <c r="AY520" s="298"/>
      <c r="AZ520" s="298"/>
      <c r="BA520" s="298"/>
      <c r="BB520" s="298"/>
      <c r="BC520" s="298"/>
      <c r="BD520" s="298"/>
      <c r="BE520" s="298"/>
      <c r="BF520" s="298"/>
      <c r="BG520" s="298"/>
      <c r="BH520" s="298"/>
      <c r="BI520" s="298"/>
      <c r="BJ520" s="298"/>
      <c r="BK520" s="298"/>
      <c r="BL520" s="298"/>
      <c r="BM520" s="298"/>
      <c r="BN520" s="298"/>
      <c r="BO520" s="298"/>
      <c r="BP520" s="298"/>
    </row>
    <row r="521" spans="1:68" s="645" customFormat="1" ht="89.25">
      <c r="A521" s="376"/>
      <c r="B521" s="372" t="s">
        <v>15450</v>
      </c>
      <c r="C521" s="231" t="s">
        <v>24599</v>
      </c>
      <c r="D521" s="232" t="s">
        <v>103</v>
      </c>
      <c r="E521" s="232" t="s">
        <v>3240</v>
      </c>
      <c r="F521" s="233"/>
      <c r="G521" s="234"/>
      <c r="H521" s="235">
        <v>1762.87</v>
      </c>
      <c r="I521" s="298"/>
      <c r="J521" s="521"/>
      <c r="K521" s="524"/>
      <c r="L521" s="298"/>
      <c r="M521" s="298"/>
      <c r="N521" s="298"/>
      <c r="O521" s="298"/>
      <c r="P521" s="298"/>
      <c r="Q521" s="298"/>
      <c r="R521" s="298"/>
      <c r="S521" s="536"/>
      <c r="T521" s="635"/>
      <c r="U521" s="298"/>
      <c r="V521" s="298"/>
      <c r="W521" s="298"/>
      <c r="X521" s="298"/>
      <c r="Y521" s="298"/>
      <c r="Z521" s="298"/>
      <c r="AA521" s="298"/>
      <c r="AB521" s="298"/>
      <c r="AC521" s="298"/>
      <c r="AD521" s="298"/>
      <c r="AE521" s="298"/>
      <c r="AF521" s="298"/>
      <c r="AG521" s="298"/>
      <c r="AH521" s="298"/>
      <c r="AI521" s="298"/>
      <c r="AJ521" s="298"/>
      <c r="AK521" s="298"/>
      <c r="AL521" s="298"/>
      <c r="AM521" s="298"/>
      <c r="AN521" s="298"/>
      <c r="AO521" s="298"/>
      <c r="AP521" s="298"/>
      <c r="AQ521" s="298"/>
      <c r="AR521" s="298"/>
      <c r="AS521" s="298"/>
      <c r="AT521" s="298"/>
      <c r="AU521" s="298"/>
      <c r="AV521" s="298"/>
      <c r="AW521" s="298"/>
      <c r="AX521" s="298"/>
      <c r="AY521" s="298"/>
      <c r="AZ521" s="298"/>
      <c r="BA521" s="298"/>
      <c r="BB521" s="298"/>
      <c r="BC521" s="298"/>
      <c r="BD521" s="298"/>
      <c r="BE521" s="298"/>
      <c r="BF521" s="298"/>
      <c r="BG521" s="298"/>
      <c r="BH521" s="298"/>
      <c r="BI521" s="298"/>
      <c r="BJ521" s="298"/>
      <c r="BK521" s="298"/>
      <c r="BL521" s="298"/>
      <c r="BM521" s="298"/>
      <c r="BN521" s="298"/>
      <c r="BO521" s="298"/>
      <c r="BP521" s="298"/>
    </row>
    <row r="522" spans="1:68" s="298" customFormat="1" ht="51">
      <c r="A522" s="256" t="s">
        <v>14338</v>
      </c>
      <c r="B522" s="374" t="s">
        <v>24594</v>
      </c>
      <c r="C522" s="289" t="s">
        <v>24595</v>
      </c>
      <c r="D522" s="290" t="s">
        <v>103</v>
      </c>
      <c r="E522" s="290" t="s">
        <v>10</v>
      </c>
      <c r="F522" s="254">
        <v>1</v>
      </c>
      <c r="G522" s="292">
        <v>1003.5</v>
      </c>
      <c r="H522" s="255">
        <v>1003.5</v>
      </c>
      <c r="J522" s="521"/>
      <c r="K522" s="524"/>
      <c r="S522" s="536"/>
      <c r="T522" s="638"/>
    </row>
    <row r="523" spans="1:68" s="298" customFormat="1" ht="38.25">
      <c r="A523" s="256" t="s">
        <v>3259</v>
      </c>
      <c r="B523" s="374">
        <v>102159</v>
      </c>
      <c r="C523" s="289" t="s">
        <v>12774</v>
      </c>
      <c r="D523" s="290" t="s">
        <v>229</v>
      </c>
      <c r="E523" s="290" t="s">
        <v>193</v>
      </c>
      <c r="F523" s="254">
        <v>0.4</v>
      </c>
      <c r="G523" s="292" t="s">
        <v>22131</v>
      </c>
      <c r="H523" s="255">
        <v>105.37</v>
      </c>
      <c r="J523" s="521"/>
      <c r="K523" s="524"/>
      <c r="S523" s="536"/>
      <c r="T523" s="638"/>
    </row>
    <row r="524" spans="1:68" s="298" customFormat="1" ht="51">
      <c r="A524" s="256" t="s">
        <v>3259</v>
      </c>
      <c r="B524" s="374">
        <v>90830</v>
      </c>
      <c r="C524" s="289" t="s">
        <v>9063</v>
      </c>
      <c r="D524" s="290" t="s">
        <v>229</v>
      </c>
      <c r="E524" s="290" t="s">
        <v>109</v>
      </c>
      <c r="F524" s="254">
        <v>1</v>
      </c>
      <c r="G524" s="292" t="s">
        <v>16418</v>
      </c>
      <c r="H524" s="255">
        <v>151.09</v>
      </c>
      <c r="J524" s="521"/>
      <c r="K524" s="524"/>
      <c r="S524" s="536"/>
      <c r="T524" s="638"/>
    </row>
    <row r="525" spans="1:68" s="298" customFormat="1" ht="38.25">
      <c r="A525" s="256" t="s">
        <v>14338</v>
      </c>
      <c r="B525" s="374" t="s">
        <v>15381</v>
      </c>
      <c r="C525" s="289" t="s">
        <v>17470</v>
      </c>
      <c r="D525" s="290" t="s">
        <v>103</v>
      </c>
      <c r="E525" s="290" t="s">
        <v>193</v>
      </c>
      <c r="F525" s="254">
        <v>6.2990000000000004</v>
      </c>
      <c r="G525" s="292">
        <v>79.839999999999989</v>
      </c>
      <c r="H525" s="255">
        <v>502.91</v>
      </c>
      <c r="J525" s="521"/>
      <c r="K525" s="524"/>
      <c r="S525" s="536"/>
      <c r="T525" s="638"/>
    </row>
    <row r="526" spans="1:68" s="298" customFormat="1" ht="12.75">
      <c r="A526" s="256"/>
      <c r="B526" s="288" t="s">
        <v>143</v>
      </c>
      <c r="C526" s="737" t="s">
        <v>15438</v>
      </c>
      <c r="D526" s="386"/>
      <c r="E526" s="386"/>
      <c r="F526" s="386"/>
      <c r="G526" s="386"/>
      <c r="H526" s="387"/>
      <c r="J526" s="521"/>
      <c r="K526" s="524"/>
      <c r="S526" s="536"/>
      <c r="T526" s="635"/>
    </row>
    <row r="527" spans="1:68" s="529" customFormat="1" ht="12.75">
      <c r="A527" s="286"/>
      <c r="B527" s="293"/>
      <c r="C527" s="229"/>
      <c r="D527" s="230"/>
      <c r="E527" s="230"/>
      <c r="F527" s="230"/>
      <c r="G527" s="230"/>
      <c r="H527" s="230"/>
      <c r="I527" s="298"/>
      <c r="J527" s="521"/>
      <c r="K527" s="524"/>
      <c r="L527" s="298"/>
      <c r="M527" s="298"/>
      <c r="N527" s="298"/>
      <c r="O527" s="298"/>
      <c r="P527" s="298"/>
      <c r="Q527" s="298"/>
      <c r="R527" s="298"/>
      <c r="S527" s="536"/>
      <c r="T527" s="635"/>
      <c r="U527" s="298"/>
      <c r="V527" s="298"/>
      <c r="W527" s="298"/>
      <c r="X527" s="298"/>
      <c r="Y527" s="298"/>
      <c r="Z527" s="298"/>
      <c r="AA527" s="298"/>
      <c r="AB527" s="298"/>
      <c r="AC527" s="298"/>
      <c r="AD527" s="298"/>
      <c r="AE527" s="298"/>
      <c r="AF527" s="298"/>
      <c r="AG527" s="298"/>
      <c r="AH527" s="298"/>
      <c r="AI527" s="298"/>
      <c r="AJ527" s="298"/>
      <c r="AK527" s="298"/>
      <c r="AL527" s="298"/>
      <c r="AM527" s="298"/>
      <c r="AN527" s="298"/>
      <c r="AO527" s="298"/>
      <c r="AP527" s="298"/>
      <c r="AQ527" s="298"/>
      <c r="AR527" s="298"/>
      <c r="AS527" s="298"/>
      <c r="AT527" s="298"/>
      <c r="AU527" s="298"/>
      <c r="AV527" s="298"/>
      <c r="AW527" s="298"/>
      <c r="AX527" s="298"/>
      <c r="AY527" s="298"/>
      <c r="AZ527" s="298"/>
      <c r="BA527" s="298"/>
      <c r="BB527" s="298"/>
      <c r="BC527" s="298"/>
      <c r="BD527" s="298"/>
      <c r="BE527" s="298"/>
      <c r="BF527" s="298"/>
      <c r="BG527" s="298"/>
      <c r="BH527" s="298"/>
      <c r="BI527" s="298"/>
      <c r="BJ527" s="298"/>
      <c r="BK527" s="298"/>
      <c r="BL527" s="298"/>
      <c r="BM527" s="298"/>
      <c r="BN527" s="298"/>
      <c r="BO527" s="298"/>
      <c r="BP527" s="298"/>
    </row>
    <row r="528" spans="1:68" s="645" customFormat="1" ht="89.25">
      <c r="A528" s="376"/>
      <c r="B528" s="372" t="s">
        <v>15451</v>
      </c>
      <c r="C528" s="231" t="s">
        <v>24598</v>
      </c>
      <c r="D528" s="232" t="s">
        <v>103</v>
      </c>
      <c r="E528" s="232" t="s">
        <v>3240</v>
      </c>
      <c r="F528" s="233"/>
      <c r="G528" s="234"/>
      <c r="H528" s="235">
        <v>1762.87</v>
      </c>
      <c r="I528" s="298"/>
      <c r="J528" s="521"/>
      <c r="K528" s="524"/>
      <c r="L528" s="298"/>
      <c r="M528" s="298"/>
      <c r="N528" s="298"/>
      <c r="O528" s="298"/>
      <c r="P528" s="298"/>
      <c r="Q528" s="298"/>
      <c r="R528" s="298"/>
      <c r="S528" s="536"/>
      <c r="T528" s="635"/>
      <c r="U528" s="298"/>
      <c r="V528" s="298"/>
      <c r="W528" s="298"/>
      <c r="X528" s="298"/>
      <c r="Y528" s="298"/>
      <c r="Z528" s="298"/>
      <c r="AA528" s="298"/>
      <c r="AB528" s="298"/>
      <c r="AC528" s="298"/>
      <c r="AD528" s="298"/>
      <c r="AE528" s="298"/>
      <c r="AF528" s="298"/>
      <c r="AG528" s="298"/>
      <c r="AH528" s="298"/>
      <c r="AI528" s="298"/>
      <c r="AJ528" s="298"/>
      <c r="AK528" s="298"/>
      <c r="AL528" s="298"/>
      <c r="AM528" s="298"/>
      <c r="AN528" s="298"/>
      <c r="AO528" s="298"/>
      <c r="AP528" s="298"/>
      <c r="AQ528" s="298"/>
      <c r="AR528" s="298"/>
      <c r="AS528" s="298"/>
      <c r="AT528" s="298"/>
      <c r="AU528" s="298"/>
      <c r="AV528" s="298"/>
      <c r="AW528" s="298"/>
      <c r="AX528" s="298"/>
      <c r="AY528" s="298"/>
      <c r="AZ528" s="298"/>
      <c r="BA528" s="298"/>
      <c r="BB528" s="298"/>
      <c r="BC528" s="298"/>
      <c r="BD528" s="298"/>
      <c r="BE528" s="298"/>
      <c r="BF528" s="298"/>
      <c r="BG528" s="298"/>
      <c r="BH528" s="298"/>
      <c r="BI528" s="298"/>
      <c r="BJ528" s="298"/>
      <c r="BK528" s="298"/>
      <c r="BL528" s="298"/>
      <c r="BM528" s="298"/>
      <c r="BN528" s="298"/>
      <c r="BO528" s="298"/>
      <c r="BP528" s="298"/>
    </row>
    <row r="529" spans="1:68" s="298" customFormat="1" ht="51">
      <c r="A529" s="256" t="s">
        <v>14338</v>
      </c>
      <c r="B529" s="374" t="s">
        <v>24594</v>
      </c>
      <c r="C529" s="289" t="s">
        <v>24595</v>
      </c>
      <c r="D529" s="290" t="s">
        <v>103</v>
      </c>
      <c r="E529" s="290" t="s">
        <v>10</v>
      </c>
      <c r="F529" s="254">
        <v>1</v>
      </c>
      <c r="G529" s="292">
        <v>1003.5</v>
      </c>
      <c r="H529" s="255">
        <v>1003.5</v>
      </c>
      <c r="J529" s="521"/>
      <c r="K529" s="524"/>
      <c r="S529" s="536"/>
      <c r="T529" s="638"/>
    </row>
    <row r="530" spans="1:68" s="298" customFormat="1" ht="38.25">
      <c r="A530" s="256" t="s">
        <v>3259</v>
      </c>
      <c r="B530" s="374">
        <v>102159</v>
      </c>
      <c r="C530" s="289" t="s">
        <v>12774</v>
      </c>
      <c r="D530" s="290" t="s">
        <v>229</v>
      </c>
      <c r="E530" s="290" t="s">
        <v>193</v>
      </c>
      <c r="F530" s="254">
        <v>0.4</v>
      </c>
      <c r="G530" s="292" t="s">
        <v>22131</v>
      </c>
      <c r="H530" s="255">
        <v>105.37</v>
      </c>
      <c r="J530" s="521"/>
      <c r="K530" s="524"/>
      <c r="S530" s="536"/>
      <c r="T530" s="638"/>
    </row>
    <row r="531" spans="1:68" s="298" customFormat="1" ht="51">
      <c r="A531" s="256" t="s">
        <v>3259</v>
      </c>
      <c r="B531" s="374">
        <v>90830</v>
      </c>
      <c r="C531" s="289" t="s">
        <v>9063</v>
      </c>
      <c r="D531" s="290" t="s">
        <v>229</v>
      </c>
      <c r="E531" s="290" t="s">
        <v>109</v>
      </c>
      <c r="F531" s="254">
        <v>1</v>
      </c>
      <c r="G531" s="292" t="s">
        <v>16418</v>
      </c>
      <c r="H531" s="255">
        <v>151.09</v>
      </c>
      <c r="J531" s="521"/>
      <c r="K531" s="524"/>
      <c r="S531" s="536"/>
      <c r="T531" s="638"/>
    </row>
    <row r="532" spans="1:68" s="298" customFormat="1" ht="38.25">
      <c r="A532" s="256" t="s">
        <v>14338</v>
      </c>
      <c r="B532" s="374" t="s">
        <v>15381</v>
      </c>
      <c r="C532" s="289" t="s">
        <v>17470</v>
      </c>
      <c r="D532" s="290" t="s">
        <v>103</v>
      </c>
      <c r="E532" s="290" t="s">
        <v>193</v>
      </c>
      <c r="F532" s="254">
        <v>6.2990000000000004</v>
      </c>
      <c r="G532" s="292">
        <v>79.839999999999989</v>
      </c>
      <c r="H532" s="255">
        <v>502.91</v>
      </c>
      <c r="J532" s="521"/>
      <c r="K532" s="524"/>
      <c r="S532" s="536"/>
      <c r="T532" s="638"/>
    </row>
    <row r="533" spans="1:68" s="298" customFormat="1" ht="12.75">
      <c r="A533" s="256"/>
      <c r="B533" s="288" t="s">
        <v>143</v>
      </c>
      <c r="C533" s="737" t="s">
        <v>15438</v>
      </c>
      <c r="D533" s="386"/>
      <c r="E533" s="386"/>
      <c r="F533" s="386"/>
      <c r="G533" s="386"/>
      <c r="H533" s="387"/>
      <c r="J533" s="521"/>
      <c r="K533" s="524"/>
      <c r="S533" s="536"/>
      <c r="T533" s="635"/>
    </row>
    <row r="534" spans="1:68" s="529" customFormat="1" ht="12.75">
      <c r="A534" s="286"/>
      <c r="B534" s="293"/>
      <c r="C534" s="229"/>
      <c r="D534" s="230"/>
      <c r="E534" s="230"/>
      <c r="F534" s="230"/>
      <c r="G534" s="230"/>
      <c r="H534" s="230"/>
      <c r="I534" s="298"/>
      <c r="J534" s="521"/>
      <c r="K534" s="524"/>
      <c r="L534" s="298"/>
      <c r="M534" s="298"/>
      <c r="N534" s="298"/>
      <c r="O534" s="298"/>
      <c r="P534" s="298"/>
      <c r="Q534" s="298"/>
      <c r="R534" s="298"/>
      <c r="S534" s="536"/>
      <c r="T534" s="635"/>
      <c r="U534" s="298"/>
      <c r="V534" s="298"/>
      <c r="W534" s="298"/>
      <c r="X534" s="298"/>
      <c r="Y534" s="298"/>
      <c r="Z534" s="298"/>
      <c r="AA534" s="298"/>
      <c r="AB534" s="298"/>
      <c r="AC534" s="298"/>
      <c r="AD534" s="298"/>
      <c r="AE534" s="298"/>
      <c r="AF534" s="298"/>
      <c r="AG534" s="298"/>
      <c r="AH534" s="298"/>
      <c r="AI534" s="298"/>
      <c r="AJ534" s="298"/>
      <c r="AK534" s="298"/>
      <c r="AL534" s="298"/>
      <c r="AM534" s="298"/>
      <c r="AN534" s="298"/>
      <c r="AO534" s="298"/>
      <c r="AP534" s="298"/>
      <c r="AQ534" s="298"/>
      <c r="AR534" s="298"/>
      <c r="AS534" s="298"/>
      <c r="AT534" s="298"/>
      <c r="AU534" s="298"/>
      <c r="AV534" s="298"/>
      <c r="AW534" s="298"/>
      <c r="AX534" s="298"/>
      <c r="AY534" s="298"/>
      <c r="AZ534" s="298"/>
      <c r="BA534" s="298"/>
      <c r="BB534" s="298"/>
      <c r="BC534" s="298"/>
      <c r="BD534" s="298"/>
      <c r="BE534" s="298"/>
      <c r="BF534" s="298"/>
      <c r="BG534" s="298"/>
      <c r="BH534" s="298"/>
      <c r="BI534" s="298"/>
      <c r="BJ534" s="298"/>
      <c r="BK534" s="298"/>
      <c r="BL534" s="298"/>
      <c r="BM534" s="298"/>
      <c r="BN534" s="298"/>
      <c r="BO534" s="298"/>
      <c r="BP534" s="298"/>
    </row>
    <row r="535" spans="1:68" s="645" customFormat="1" ht="63.75">
      <c r="A535" s="376"/>
      <c r="B535" s="372" t="s">
        <v>15452</v>
      </c>
      <c r="C535" s="231" t="s">
        <v>24593</v>
      </c>
      <c r="D535" s="232" t="s">
        <v>103</v>
      </c>
      <c r="E535" s="232" t="s">
        <v>3240</v>
      </c>
      <c r="F535" s="233"/>
      <c r="G535" s="234"/>
      <c r="H535" s="235">
        <v>1139.43</v>
      </c>
      <c r="I535" s="298"/>
      <c r="J535" s="521"/>
      <c r="K535" s="524"/>
      <c r="L535" s="298"/>
      <c r="M535" s="298"/>
      <c r="N535" s="298"/>
      <c r="O535" s="298"/>
      <c r="P535" s="298"/>
      <c r="Q535" s="298"/>
      <c r="R535" s="298"/>
      <c r="S535" s="536"/>
      <c r="T535" s="635"/>
      <c r="U535" s="298"/>
      <c r="V535" s="298"/>
      <c r="W535" s="298"/>
      <c r="X535" s="298"/>
      <c r="Y535" s="298"/>
      <c r="Z535" s="298"/>
      <c r="AA535" s="298"/>
      <c r="AB535" s="298"/>
      <c r="AC535" s="298"/>
      <c r="AD535" s="298"/>
      <c r="AE535" s="298"/>
      <c r="AF535" s="298"/>
      <c r="AG535" s="298"/>
      <c r="AH535" s="298"/>
      <c r="AI535" s="298"/>
      <c r="AJ535" s="298"/>
      <c r="AK535" s="298"/>
      <c r="AL535" s="298"/>
      <c r="AM535" s="298"/>
      <c r="AN535" s="298"/>
      <c r="AO535" s="298"/>
      <c r="AP535" s="298"/>
      <c r="AQ535" s="298"/>
      <c r="AR535" s="298"/>
      <c r="AS535" s="298"/>
      <c r="AT535" s="298"/>
      <c r="AU535" s="298"/>
      <c r="AV535" s="298"/>
      <c r="AW535" s="298"/>
      <c r="AX535" s="298"/>
      <c r="AY535" s="298"/>
      <c r="AZ535" s="298"/>
      <c r="BA535" s="298"/>
      <c r="BB535" s="298"/>
      <c r="BC535" s="298"/>
      <c r="BD535" s="298"/>
      <c r="BE535" s="298"/>
      <c r="BF535" s="298"/>
      <c r="BG535" s="298"/>
      <c r="BH535" s="298"/>
      <c r="BI535" s="298"/>
      <c r="BJ535" s="298"/>
      <c r="BK535" s="298"/>
      <c r="BL535" s="298"/>
      <c r="BM535" s="298"/>
      <c r="BN535" s="298"/>
      <c r="BO535" s="298"/>
      <c r="BP535" s="298"/>
    </row>
    <row r="536" spans="1:68" s="298" customFormat="1" ht="89.25">
      <c r="A536" s="256" t="s">
        <v>3259</v>
      </c>
      <c r="B536" s="374">
        <v>91315</v>
      </c>
      <c r="C536" s="289" t="s">
        <v>9095</v>
      </c>
      <c r="D536" s="290" t="s">
        <v>229</v>
      </c>
      <c r="E536" s="290" t="s">
        <v>109</v>
      </c>
      <c r="F536" s="254">
        <v>1</v>
      </c>
      <c r="G536" s="292" t="s">
        <v>22044</v>
      </c>
      <c r="H536" s="255">
        <v>820.87</v>
      </c>
      <c r="J536" s="521"/>
      <c r="K536" s="524"/>
      <c r="S536" s="536"/>
      <c r="T536" s="638"/>
    </row>
    <row r="537" spans="1:68" s="298" customFormat="1" ht="38.25">
      <c r="A537" s="256" t="s">
        <v>14338</v>
      </c>
      <c r="B537" s="374" t="s">
        <v>15381</v>
      </c>
      <c r="C537" s="289" t="s">
        <v>17470</v>
      </c>
      <c r="D537" s="290" t="s">
        <v>103</v>
      </c>
      <c r="E537" s="290" t="s">
        <v>193</v>
      </c>
      <c r="F537" s="254">
        <v>3.99</v>
      </c>
      <c r="G537" s="292">
        <v>79.839999999999989</v>
      </c>
      <c r="H537" s="255">
        <v>318.56</v>
      </c>
      <c r="J537" s="521"/>
      <c r="K537" s="524"/>
      <c r="S537" s="536"/>
      <c r="T537" s="638"/>
    </row>
    <row r="538" spans="1:68" s="298" customFormat="1" ht="12.75">
      <c r="A538" s="256"/>
      <c r="B538" s="288" t="s">
        <v>143</v>
      </c>
      <c r="C538" s="737" t="s">
        <v>15438</v>
      </c>
      <c r="D538" s="386"/>
      <c r="E538" s="386"/>
      <c r="F538" s="386"/>
      <c r="G538" s="386"/>
      <c r="H538" s="387"/>
      <c r="J538" s="521"/>
      <c r="K538" s="524"/>
      <c r="S538" s="536"/>
      <c r="T538" s="635"/>
    </row>
    <row r="539" spans="1:68" s="529" customFormat="1" ht="12.75">
      <c r="A539" s="286"/>
      <c r="B539" s="293"/>
      <c r="C539" s="229"/>
      <c r="D539" s="230"/>
      <c r="E539" s="230"/>
      <c r="F539" s="230"/>
      <c r="G539" s="230"/>
      <c r="H539" s="230"/>
      <c r="I539" s="298"/>
      <c r="J539" s="521"/>
      <c r="K539" s="524"/>
      <c r="L539" s="298"/>
      <c r="M539" s="298"/>
      <c r="N539" s="298"/>
      <c r="O539" s="298"/>
      <c r="P539" s="298"/>
      <c r="Q539" s="298"/>
      <c r="R539" s="298"/>
      <c r="S539" s="536"/>
      <c r="T539" s="635"/>
      <c r="U539" s="298"/>
      <c r="V539" s="298"/>
      <c r="W539" s="298"/>
      <c r="X539" s="298"/>
      <c r="Y539" s="298"/>
      <c r="Z539" s="298"/>
      <c r="AA539" s="298"/>
      <c r="AB539" s="298"/>
      <c r="AC539" s="298"/>
      <c r="AD539" s="298"/>
      <c r="AE539" s="298"/>
      <c r="AF539" s="298"/>
      <c r="AG539" s="298"/>
      <c r="AH539" s="298"/>
      <c r="AI539" s="298"/>
      <c r="AJ539" s="298"/>
      <c r="AK539" s="298"/>
      <c r="AL539" s="298"/>
      <c r="AM539" s="298"/>
      <c r="AN539" s="298"/>
      <c r="AO539" s="298"/>
      <c r="AP539" s="298"/>
      <c r="AQ539" s="298"/>
      <c r="AR539" s="298"/>
      <c r="AS539" s="298"/>
      <c r="AT539" s="298"/>
      <c r="AU539" s="298"/>
      <c r="AV539" s="298"/>
      <c r="AW539" s="298"/>
      <c r="AX539" s="298"/>
      <c r="AY539" s="298"/>
      <c r="AZ539" s="298"/>
      <c r="BA539" s="298"/>
      <c r="BB539" s="298"/>
      <c r="BC539" s="298"/>
      <c r="BD539" s="298"/>
      <c r="BE539" s="298"/>
      <c r="BF539" s="298"/>
      <c r="BG539" s="298"/>
      <c r="BH539" s="298"/>
      <c r="BI539" s="298"/>
      <c r="BJ539" s="298"/>
      <c r="BK539" s="298"/>
      <c r="BL539" s="298"/>
      <c r="BM539" s="298"/>
      <c r="BN539" s="298"/>
      <c r="BO539" s="298"/>
      <c r="BP539" s="298"/>
    </row>
    <row r="540" spans="1:68" s="645" customFormat="1" ht="76.5">
      <c r="A540" s="376"/>
      <c r="B540" s="372" t="s">
        <v>15453</v>
      </c>
      <c r="C540" s="231" t="s">
        <v>17469</v>
      </c>
      <c r="D540" s="232" t="s">
        <v>103</v>
      </c>
      <c r="E540" s="232" t="s">
        <v>3240</v>
      </c>
      <c r="F540" s="233"/>
      <c r="G540" s="234"/>
      <c r="H540" s="235">
        <v>791.67000000000007</v>
      </c>
      <c r="I540" s="298"/>
      <c r="J540" s="521"/>
      <c r="K540" s="524"/>
      <c r="L540" s="298"/>
      <c r="M540" s="298"/>
      <c r="N540" s="298"/>
      <c r="O540" s="298"/>
      <c r="P540" s="298"/>
      <c r="Q540" s="298"/>
      <c r="R540" s="298"/>
      <c r="S540" s="536"/>
      <c r="T540" s="635"/>
      <c r="U540" s="298"/>
      <c r="V540" s="298"/>
      <c r="W540" s="298"/>
      <c r="X540" s="298"/>
      <c r="Y540" s="298"/>
      <c r="Z540" s="298"/>
      <c r="AA540" s="298"/>
      <c r="AB540" s="298"/>
      <c r="AC540" s="298"/>
      <c r="AD540" s="298"/>
      <c r="AE540" s="298"/>
      <c r="AF540" s="298"/>
      <c r="AG540" s="298"/>
      <c r="AH540" s="298"/>
      <c r="AI540" s="298"/>
      <c r="AJ540" s="298"/>
      <c r="AK540" s="298"/>
      <c r="AL540" s="298"/>
      <c r="AM540" s="298"/>
      <c r="AN540" s="298"/>
      <c r="AO540" s="298"/>
      <c r="AP540" s="298"/>
      <c r="AQ540" s="298"/>
      <c r="AR540" s="298"/>
      <c r="AS540" s="298"/>
      <c r="AT540" s="298"/>
      <c r="AU540" s="298"/>
      <c r="AV540" s="298"/>
      <c r="AW540" s="298"/>
      <c r="AX540" s="298"/>
      <c r="AY540" s="298"/>
      <c r="AZ540" s="298"/>
      <c r="BA540" s="298"/>
      <c r="BB540" s="298"/>
      <c r="BC540" s="298"/>
      <c r="BD540" s="298"/>
      <c r="BE540" s="298"/>
      <c r="BF540" s="298"/>
      <c r="BG540" s="298"/>
      <c r="BH540" s="298"/>
      <c r="BI540" s="298"/>
      <c r="BJ540" s="298"/>
      <c r="BK540" s="298"/>
      <c r="BL540" s="298"/>
      <c r="BM540" s="298"/>
      <c r="BN540" s="298"/>
      <c r="BO540" s="298"/>
      <c r="BP540" s="298"/>
    </row>
    <row r="541" spans="1:68" s="298" customFormat="1" ht="63.75">
      <c r="A541" s="256" t="s">
        <v>3261</v>
      </c>
      <c r="B541" s="374">
        <v>11366</v>
      </c>
      <c r="C541" s="289" t="s">
        <v>11934</v>
      </c>
      <c r="D541" s="290" t="s">
        <v>207</v>
      </c>
      <c r="E541" s="290" t="s">
        <v>3240</v>
      </c>
      <c r="F541" s="254">
        <v>1</v>
      </c>
      <c r="G541" s="292" t="s">
        <v>20450</v>
      </c>
      <c r="H541" s="255">
        <v>156.37</v>
      </c>
      <c r="J541" s="521"/>
      <c r="K541" s="524"/>
      <c r="S541" s="536"/>
      <c r="T541" s="638"/>
    </row>
    <row r="542" spans="1:68" s="298" customFormat="1" ht="38.25">
      <c r="A542" s="256" t="s">
        <v>14338</v>
      </c>
      <c r="B542" s="374" t="s">
        <v>15381</v>
      </c>
      <c r="C542" s="289" t="s">
        <v>17470</v>
      </c>
      <c r="D542" s="290" t="s">
        <v>103</v>
      </c>
      <c r="E542" s="290" t="s">
        <v>193</v>
      </c>
      <c r="F542" s="254">
        <v>2.7280000000000006</v>
      </c>
      <c r="G542" s="292">
        <v>79.839999999999989</v>
      </c>
      <c r="H542" s="255">
        <v>217.8</v>
      </c>
      <c r="J542" s="521"/>
      <c r="K542" s="524"/>
      <c r="S542" s="536"/>
      <c r="T542" s="638"/>
    </row>
    <row r="543" spans="1:68" s="298" customFormat="1" ht="12.75">
      <c r="A543" s="256" t="s">
        <v>12</v>
      </c>
      <c r="B543" s="374" t="s">
        <v>15283</v>
      </c>
      <c r="C543" s="289" t="s">
        <v>17482</v>
      </c>
      <c r="D543" s="290" t="s">
        <v>207</v>
      </c>
      <c r="E543" s="290" t="s">
        <v>109</v>
      </c>
      <c r="F543" s="254">
        <v>1</v>
      </c>
      <c r="G543" s="292">
        <v>47.88</v>
      </c>
      <c r="H543" s="255">
        <v>47.88</v>
      </c>
      <c r="J543" s="521"/>
      <c r="K543" s="524"/>
      <c r="S543" s="536"/>
      <c r="T543" s="638"/>
    </row>
    <row r="544" spans="1:68" s="298" customFormat="1" ht="38.25">
      <c r="A544" s="256" t="s">
        <v>3261</v>
      </c>
      <c r="B544" s="374">
        <v>11457</v>
      </c>
      <c r="C544" s="289" t="s">
        <v>12001</v>
      </c>
      <c r="D544" s="290" t="s">
        <v>207</v>
      </c>
      <c r="E544" s="290" t="s">
        <v>3240</v>
      </c>
      <c r="F544" s="254">
        <v>1</v>
      </c>
      <c r="G544" s="292" t="s">
        <v>20719</v>
      </c>
      <c r="H544" s="255">
        <v>40.869999999999997</v>
      </c>
      <c r="J544" s="521"/>
      <c r="K544" s="524"/>
      <c r="S544" s="536"/>
      <c r="T544" s="638"/>
    </row>
    <row r="545" spans="1:68" s="298" customFormat="1" ht="25.5">
      <c r="A545" s="256" t="s">
        <v>12</v>
      </c>
      <c r="B545" s="374" t="s">
        <v>15295</v>
      </c>
      <c r="C545" s="289" t="s">
        <v>17483</v>
      </c>
      <c r="D545" s="290" t="s">
        <v>207</v>
      </c>
      <c r="E545" s="290" t="s">
        <v>109</v>
      </c>
      <c r="F545" s="254">
        <v>2</v>
      </c>
      <c r="G545" s="292">
        <v>112.02</v>
      </c>
      <c r="H545" s="255">
        <v>224.04</v>
      </c>
      <c r="J545" s="521"/>
      <c r="K545" s="524"/>
      <c r="S545" s="536"/>
      <c r="T545" s="638"/>
    </row>
    <row r="546" spans="1:68" s="298" customFormat="1" ht="38.25">
      <c r="A546" s="256" t="s">
        <v>3261</v>
      </c>
      <c r="B546" s="374">
        <v>4333</v>
      </c>
      <c r="C546" s="289" t="s">
        <v>7498</v>
      </c>
      <c r="D546" s="290" t="s">
        <v>207</v>
      </c>
      <c r="E546" s="290" t="s">
        <v>3240</v>
      </c>
      <c r="F546" s="254">
        <v>10</v>
      </c>
      <c r="G546" s="292" t="s">
        <v>9942</v>
      </c>
      <c r="H546" s="255">
        <v>1.4</v>
      </c>
      <c r="J546" s="521"/>
      <c r="K546" s="524"/>
      <c r="S546" s="536"/>
      <c r="T546" s="638"/>
    </row>
    <row r="547" spans="1:68" s="298" customFormat="1" ht="25.5">
      <c r="A547" s="256" t="s">
        <v>12</v>
      </c>
      <c r="B547" s="374" t="s">
        <v>15301</v>
      </c>
      <c r="C547" s="289" t="s">
        <v>17486</v>
      </c>
      <c r="D547" s="290" t="s">
        <v>207</v>
      </c>
      <c r="E547" s="290" t="s">
        <v>109</v>
      </c>
      <c r="F547" s="254">
        <v>6</v>
      </c>
      <c r="G547" s="292">
        <v>6.52</v>
      </c>
      <c r="H547" s="255">
        <v>39.119999999999997</v>
      </c>
      <c r="J547" s="521"/>
      <c r="K547" s="524"/>
      <c r="S547" s="536"/>
      <c r="T547" s="638"/>
    </row>
    <row r="548" spans="1:68" s="298" customFormat="1" ht="63.75">
      <c r="A548" s="256" t="s">
        <v>3259</v>
      </c>
      <c r="B548" s="374">
        <v>100697</v>
      </c>
      <c r="C548" s="289" t="s">
        <v>9137</v>
      </c>
      <c r="D548" s="290" t="s">
        <v>229</v>
      </c>
      <c r="E548" s="290" t="s">
        <v>109</v>
      </c>
      <c r="F548" s="254">
        <v>1</v>
      </c>
      <c r="G548" s="292" t="s">
        <v>22087</v>
      </c>
      <c r="H548" s="255">
        <v>64.19</v>
      </c>
      <c r="J548" s="521"/>
      <c r="K548" s="524"/>
      <c r="S548" s="536"/>
      <c r="T548" s="638"/>
    </row>
    <row r="549" spans="1:68" s="298" customFormat="1" ht="12.75">
      <c r="A549" s="256"/>
      <c r="B549" s="288" t="s">
        <v>143</v>
      </c>
      <c r="C549" s="603" t="s">
        <v>15438</v>
      </c>
      <c r="D549" s="386"/>
      <c r="E549" s="386"/>
      <c r="F549" s="386"/>
      <c r="G549" s="386"/>
      <c r="H549" s="387"/>
      <c r="J549" s="521"/>
      <c r="K549" s="524"/>
      <c r="S549" s="536"/>
      <c r="T549" s="635"/>
    </row>
    <row r="550" spans="1:68" s="529" customFormat="1" ht="12.75">
      <c r="A550" s="286"/>
      <c r="B550" s="293"/>
      <c r="C550" s="229"/>
      <c r="D550" s="230"/>
      <c r="E550" s="230"/>
      <c r="F550" s="230"/>
      <c r="G550" s="230"/>
      <c r="H550" s="230"/>
      <c r="I550" s="298"/>
      <c r="J550" s="521"/>
      <c r="K550" s="524"/>
      <c r="L550" s="298"/>
      <c r="M550" s="298"/>
      <c r="N550" s="298"/>
      <c r="O550" s="298"/>
      <c r="P550" s="298"/>
      <c r="Q550" s="298"/>
      <c r="R550" s="298"/>
      <c r="S550" s="536"/>
      <c r="T550" s="635"/>
      <c r="U550" s="298"/>
      <c r="V550" s="298"/>
      <c r="W550" s="298"/>
      <c r="X550" s="298"/>
      <c r="Y550" s="298"/>
      <c r="Z550" s="298"/>
      <c r="AA550" s="298"/>
      <c r="AB550" s="298"/>
      <c r="AC550" s="298"/>
      <c r="AD550" s="298"/>
      <c r="AE550" s="298"/>
      <c r="AF550" s="298"/>
      <c r="AG550" s="298"/>
      <c r="AH550" s="298"/>
      <c r="AI550" s="298"/>
      <c r="AJ550" s="298"/>
      <c r="AK550" s="298"/>
      <c r="AL550" s="298"/>
      <c r="AM550" s="298"/>
      <c r="AN550" s="298"/>
      <c r="AO550" s="298"/>
      <c r="AP550" s="298"/>
      <c r="AQ550" s="298"/>
      <c r="AR550" s="298"/>
      <c r="AS550" s="298"/>
      <c r="AT550" s="298"/>
      <c r="AU550" s="298"/>
      <c r="AV550" s="298"/>
      <c r="AW550" s="298"/>
      <c r="AX550" s="298"/>
      <c r="AY550" s="298"/>
      <c r="AZ550" s="298"/>
      <c r="BA550" s="298"/>
      <c r="BB550" s="298"/>
      <c r="BC550" s="298"/>
      <c r="BD550" s="298"/>
      <c r="BE550" s="298"/>
      <c r="BF550" s="298"/>
      <c r="BG550" s="298"/>
      <c r="BH550" s="298"/>
      <c r="BI550" s="298"/>
      <c r="BJ550" s="298"/>
      <c r="BK550" s="298"/>
      <c r="BL550" s="298"/>
      <c r="BM550" s="298"/>
      <c r="BN550" s="298"/>
      <c r="BO550" s="298"/>
      <c r="BP550" s="298"/>
    </row>
    <row r="551" spans="1:68" s="645" customFormat="1" ht="63.75">
      <c r="A551" s="376"/>
      <c r="B551" s="372" t="s">
        <v>15454</v>
      </c>
      <c r="C551" s="231" t="s">
        <v>24592</v>
      </c>
      <c r="D551" s="232" t="s">
        <v>103</v>
      </c>
      <c r="E551" s="232" t="s">
        <v>3240</v>
      </c>
      <c r="F551" s="233"/>
      <c r="G551" s="234"/>
      <c r="H551" s="235">
        <v>1043.21</v>
      </c>
      <c r="I551" s="298"/>
      <c r="J551" s="521"/>
      <c r="K551" s="524"/>
      <c r="L551" s="298"/>
      <c r="M551" s="298"/>
      <c r="N551" s="298"/>
      <c r="O551" s="298"/>
      <c r="P551" s="298"/>
      <c r="Q551" s="298"/>
      <c r="R551" s="298"/>
      <c r="S551" s="536"/>
      <c r="T551" s="635"/>
      <c r="U551" s="298"/>
      <c r="V551" s="298"/>
      <c r="W551" s="298"/>
      <c r="X551" s="298"/>
      <c r="Y551" s="298"/>
      <c r="Z551" s="298"/>
      <c r="AA551" s="298"/>
      <c r="AB551" s="298"/>
      <c r="AC551" s="298"/>
      <c r="AD551" s="298"/>
      <c r="AE551" s="298"/>
      <c r="AF551" s="298"/>
      <c r="AG551" s="298"/>
      <c r="AH551" s="298"/>
      <c r="AI551" s="298"/>
      <c r="AJ551" s="298"/>
      <c r="AK551" s="298"/>
      <c r="AL551" s="298"/>
      <c r="AM551" s="298"/>
      <c r="AN551" s="298"/>
      <c r="AO551" s="298"/>
      <c r="AP551" s="298"/>
      <c r="AQ551" s="298"/>
      <c r="AR551" s="298"/>
      <c r="AS551" s="298"/>
      <c r="AT551" s="298"/>
      <c r="AU551" s="298"/>
      <c r="AV551" s="298"/>
      <c r="AW551" s="298"/>
      <c r="AX551" s="298"/>
      <c r="AY551" s="298"/>
      <c r="AZ551" s="298"/>
      <c r="BA551" s="298"/>
      <c r="BB551" s="298"/>
      <c r="BC551" s="298"/>
      <c r="BD551" s="298"/>
      <c r="BE551" s="298"/>
      <c r="BF551" s="298"/>
      <c r="BG551" s="298"/>
      <c r="BH551" s="298"/>
      <c r="BI551" s="298"/>
      <c r="BJ551" s="298"/>
      <c r="BK551" s="298"/>
      <c r="BL551" s="298"/>
      <c r="BM551" s="298"/>
      <c r="BN551" s="298"/>
      <c r="BO551" s="298"/>
      <c r="BP551" s="298"/>
    </row>
    <row r="552" spans="1:68" s="298" customFormat="1" ht="89.25">
      <c r="A552" s="256" t="s">
        <v>3259</v>
      </c>
      <c r="B552" s="374">
        <v>91314</v>
      </c>
      <c r="C552" s="289" t="s">
        <v>9094</v>
      </c>
      <c r="D552" s="290" t="s">
        <v>229</v>
      </c>
      <c r="E552" s="290" t="s">
        <v>109</v>
      </c>
      <c r="F552" s="254">
        <v>1</v>
      </c>
      <c r="G552" s="292" t="s">
        <v>22043</v>
      </c>
      <c r="H552" s="255">
        <v>758.75</v>
      </c>
      <c r="J552" s="521"/>
      <c r="K552" s="524"/>
      <c r="S552" s="536"/>
      <c r="T552" s="638"/>
    </row>
    <row r="553" spans="1:68" s="298" customFormat="1" ht="38.25">
      <c r="A553" s="256" t="s">
        <v>14338</v>
      </c>
      <c r="B553" s="374" t="s">
        <v>15381</v>
      </c>
      <c r="C553" s="289" t="s">
        <v>17470</v>
      </c>
      <c r="D553" s="290" t="s">
        <v>103</v>
      </c>
      <c r="E553" s="290" t="s">
        <v>193</v>
      </c>
      <c r="F553" s="254">
        <v>3.5630000000000002</v>
      </c>
      <c r="G553" s="292">
        <v>79.839999999999989</v>
      </c>
      <c r="H553" s="255">
        <v>284.45999999999998</v>
      </c>
      <c r="J553" s="521"/>
      <c r="K553" s="524"/>
      <c r="S553" s="536"/>
      <c r="T553" s="638"/>
    </row>
    <row r="554" spans="1:68" s="298" customFormat="1" ht="12.75">
      <c r="A554" s="256"/>
      <c r="B554" s="288" t="s">
        <v>143</v>
      </c>
      <c r="C554" s="603" t="s">
        <v>15438</v>
      </c>
      <c r="D554" s="386"/>
      <c r="E554" s="386"/>
      <c r="F554" s="386"/>
      <c r="G554" s="386"/>
      <c r="H554" s="387"/>
      <c r="J554" s="521"/>
      <c r="K554" s="524"/>
      <c r="S554" s="536"/>
      <c r="T554" s="635"/>
    </row>
    <row r="555" spans="1:68" s="529" customFormat="1" ht="12.75">
      <c r="A555" s="286"/>
      <c r="B555" s="293"/>
      <c r="C555" s="229"/>
      <c r="D555" s="230"/>
      <c r="E555" s="230"/>
      <c r="F555" s="230"/>
      <c r="G555" s="230"/>
      <c r="H555" s="230"/>
      <c r="I555" s="298"/>
      <c r="J555" s="521"/>
      <c r="K555" s="524"/>
      <c r="L555" s="298"/>
      <c r="M555" s="298"/>
      <c r="N555" s="298"/>
      <c r="O555" s="298"/>
      <c r="P555" s="298"/>
      <c r="Q555" s="298"/>
      <c r="R555" s="298"/>
      <c r="S555" s="536"/>
      <c r="T555" s="635"/>
      <c r="U555" s="298"/>
      <c r="V555" s="298"/>
      <c r="W555" s="298"/>
      <c r="X555" s="298"/>
      <c r="Y555" s="298"/>
      <c r="Z555" s="298"/>
      <c r="AA555" s="298"/>
      <c r="AB555" s="298"/>
      <c r="AC555" s="298"/>
      <c r="AD555" s="298"/>
      <c r="AE555" s="298"/>
      <c r="AF555" s="298"/>
      <c r="AG555" s="298"/>
      <c r="AH555" s="298"/>
      <c r="AI555" s="298"/>
      <c r="AJ555" s="298"/>
      <c r="AK555" s="298"/>
      <c r="AL555" s="298"/>
      <c r="AM555" s="298"/>
      <c r="AN555" s="298"/>
      <c r="AO555" s="298"/>
      <c r="AP555" s="298"/>
      <c r="AQ555" s="298"/>
      <c r="AR555" s="298"/>
      <c r="AS555" s="298"/>
      <c r="AT555" s="298"/>
      <c r="AU555" s="298"/>
      <c r="AV555" s="298"/>
      <c r="AW555" s="298"/>
      <c r="AX555" s="298"/>
      <c r="AY555" s="298"/>
      <c r="AZ555" s="298"/>
      <c r="BA555" s="298"/>
      <c r="BB555" s="298"/>
      <c r="BC555" s="298"/>
      <c r="BD555" s="298"/>
      <c r="BE555" s="298"/>
      <c r="BF555" s="298"/>
      <c r="BG555" s="298"/>
      <c r="BH555" s="298"/>
      <c r="BI555" s="298"/>
      <c r="BJ555" s="298"/>
      <c r="BK555" s="298"/>
      <c r="BL555" s="298"/>
      <c r="BM555" s="298"/>
      <c r="BN555" s="298"/>
      <c r="BO555" s="298"/>
      <c r="BP555" s="298"/>
    </row>
    <row r="556" spans="1:68" s="645" customFormat="1" ht="89.25">
      <c r="A556" s="376"/>
      <c r="B556" s="372" t="s">
        <v>15455</v>
      </c>
      <c r="C556" s="231" t="s">
        <v>24596</v>
      </c>
      <c r="D556" s="232" t="s">
        <v>103</v>
      </c>
      <c r="E556" s="232" t="s">
        <v>3240</v>
      </c>
      <c r="F556" s="233"/>
      <c r="G556" s="234"/>
      <c r="H556" s="235">
        <v>1714.6399999999999</v>
      </c>
      <c r="I556" s="298"/>
      <c r="J556" s="521"/>
      <c r="K556" s="524"/>
      <c r="L556" s="298"/>
      <c r="M556" s="298"/>
      <c r="N556" s="298"/>
      <c r="O556" s="298"/>
      <c r="P556" s="298"/>
      <c r="Q556" s="298"/>
      <c r="R556" s="298"/>
      <c r="S556" s="536"/>
      <c r="T556" s="635"/>
      <c r="U556" s="298"/>
      <c r="V556" s="298"/>
      <c r="W556" s="298"/>
      <c r="X556" s="298"/>
      <c r="Y556" s="298"/>
      <c r="Z556" s="298"/>
      <c r="AA556" s="298"/>
      <c r="AB556" s="298"/>
      <c r="AC556" s="298"/>
      <c r="AD556" s="298"/>
      <c r="AE556" s="298"/>
      <c r="AF556" s="298"/>
      <c r="AG556" s="298"/>
      <c r="AH556" s="298"/>
      <c r="AI556" s="298"/>
      <c r="AJ556" s="298"/>
      <c r="AK556" s="298"/>
      <c r="AL556" s="298"/>
      <c r="AM556" s="298"/>
      <c r="AN556" s="298"/>
      <c r="AO556" s="298"/>
      <c r="AP556" s="298"/>
      <c r="AQ556" s="298"/>
      <c r="AR556" s="298"/>
      <c r="AS556" s="298"/>
      <c r="AT556" s="298"/>
      <c r="AU556" s="298"/>
      <c r="AV556" s="298"/>
      <c r="AW556" s="298"/>
      <c r="AX556" s="298"/>
      <c r="AY556" s="298"/>
      <c r="AZ556" s="298"/>
      <c r="BA556" s="298"/>
      <c r="BB556" s="298"/>
      <c r="BC556" s="298"/>
      <c r="BD556" s="298"/>
      <c r="BE556" s="298"/>
      <c r="BF556" s="298"/>
      <c r="BG556" s="298"/>
      <c r="BH556" s="298"/>
      <c r="BI556" s="298"/>
      <c r="BJ556" s="298"/>
      <c r="BK556" s="298"/>
      <c r="BL556" s="298"/>
      <c r="BM556" s="298"/>
      <c r="BN556" s="298"/>
      <c r="BO556" s="298"/>
      <c r="BP556" s="298"/>
    </row>
    <row r="557" spans="1:68" s="298" customFormat="1" ht="51">
      <c r="A557" s="256" t="s">
        <v>14338</v>
      </c>
      <c r="B557" s="374" t="s">
        <v>15363</v>
      </c>
      <c r="C557" s="289" t="s">
        <v>24597</v>
      </c>
      <c r="D557" s="290" t="s">
        <v>103</v>
      </c>
      <c r="E557" s="290" t="s">
        <v>10</v>
      </c>
      <c r="F557" s="254">
        <v>1</v>
      </c>
      <c r="G557" s="292">
        <v>989.3599999999999</v>
      </c>
      <c r="H557" s="255">
        <v>989.36</v>
      </c>
      <c r="J557" s="521"/>
      <c r="K557" s="524"/>
      <c r="S557" s="536"/>
      <c r="T557" s="638"/>
    </row>
    <row r="558" spans="1:68" s="298" customFormat="1" ht="38.25">
      <c r="A558" s="256" t="s">
        <v>3259</v>
      </c>
      <c r="B558" s="374">
        <v>102159</v>
      </c>
      <c r="C558" s="289" t="s">
        <v>12774</v>
      </c>
      <c r="D558" s="290" t="s">
        <v>229</v>
      </c>
      <c r="E558" s="290" t="s">
        <v>193</v>
      </c>
      <c r="F558" s="254">
        <v>0.4</v>
      </c>
      <c r="G558" s="292" t="s">
        <v>22131</v>
      </c>
      <c r="H558" s="255">
        <v>105.37</v>
      </c>
      <c r="J558" s="521"/>
      <c r="K558" s="524"/>
      <c r="S558" s="536"/>
      <c r="T558" s="638"/>
    </row>
    <row r="559" spans="1:68" s="298" customFormat="1" ht="51">
      <c r="A559" s="256" t="s">
        <v>3259</v>
      </c>
      <c r="B559" s="374">
        <v>90830</v>
      </c>
      <c r="C559" s="289" t="s">
        <v>9063</v>
      </c>
      <c r="D559" s="290" t="s">
        <v>229</v>
      </c>
      <c r="E559" s="290" t="s">
        <v>109</v>
      </c>
      <c r="F559" s="254">
        <v>1</v>
      </c>
      <c r="G559" s="292" t="s">
        <v>16418</v>
      </c>
      <c r="H559" s="255">
        <v>151.09</v>
      </c>
      <c r="J559" s="521"/>
      <c r="K559" s="524"/>
      <c r="S559" s="536"/>
      <c r="T559" s="638"/>
    </row>
    <row r="560" spans="1:68" s="298" customFormat="1" ht="38.25">
      <c r="A560" s="256" t="s">
        <v>14338</v>
      </c>
      <c r="B560" s="374" t="s">
        <v>15381</v>
      </c>
      <c r="C560" s="289" t="s">
        <v>17470</v>
      </c>
      <c r="D560" s="290" t="s">
        <v>103</v>
      </c>
      <c r="E560" s="290" t="s">
        <v>193</v>
      </c>
      <c r="F560" s="254">
        <v>5.8719999999999999</v>
      </c>
      <c r="G560" s="292">
        <v>79.839999999999989</v>
      </c>
      <c r="H560" s="255">
        <v>468.82</v>
      </c>
      <c r="J560" s="521"/>
      <c r="K560" s="524"/>
      <c r="S560" s="536"/>
      <c r="T560" s="638"/>
    </row>
    <row r="561" spans="1:68" s="298" customFormat="1" ht="12.75">
      <c r="A561" s="256"/>
      <c r="B561" s="288" t="s">
        <v>143</v>
      </c>
      <c r="C561" s="603" t="s">
        <v>15438</v>
      </c>
      <c r="D561" s="386"/>
      <c r="E561" s="386"/>
      <c r="F561" s="386"/>
      <c r="G561" s="386"/>
      <c r="H561" s="387"/>
      <c r="J561" s="521"/>
      <c r="K561" s="524"/>
      <c r="S561" s="536"/>
      <c r="T561" s="635"/>
    </row>
    <row r="562" spans="1:68" s="529" customFormat="1" ht="12.75">
      <c r="A562" s="286"/>
      <c r="B562" s="293"/>
      <c r="C562" s="229"/>
      <c r="D562" s="230"/>
      <c r="E562" s="230"/>
      <c r="F562" s="230"/>
      <c r="G562" s="230"/>
      <c r="H562" s="230"/>
      <c r="I562" s="298"/>
      <c r="J562" s="521"/>
      <c r="K562" s="524"/>
      <c r="L562" s="298"/>
      <c r="M562" s="298"/>
      <c r="N562" s="298"/>
      <c r="O562" s="298"/>
      <c r="P562" s="298"/>
      <c r="Q562" s="298"/>
      <c r="R562" s="298"/>
      <c r="S562" s="536"/>
      <c r="T562" s="635"/>
      <c r="U562" s="298"/>
      <c r="V562" s="298"/>
      <c r="W562" s="298"/>
      <c r="X562" s="298"/>
      <c r="Y562" s="298"/>
      <c r="Z562" s="298"/>
      <c r="AA562" s="298"/>
      <c r="AB562" s="298"/>
      <c r="AC562" s="298"/>
      <c r="AD562" s="298"/>
      <c r="AE562" s="298"/>
      <c r="AF562" s="298"/>
      <c r="AG562" s="298"/>
      <c r="AH562" s="298"/>
      <c r="AI562" s="298"/>
      <c r="AJ562" s="298"/>
      <c r="AK562" s="298"/>
      <c r="AL562" s="298"/>
      <c r="AM562" s="298"/>
      <c r="AN562" s="298"/>
      <c r="AO562" s="298"/>
      <c r="AP562" s="298"/>
      <c r="AQ562" s="298"/>
      <c r="AR562" s="298"/>
      <c r="AS562" s="298"/>
      <c r="AT562" s="298"/>
      <c r="AU562" s="298"/>
      <c r="AV562" s="298"/>
      <c r="AW562" s="298"/>
      <c r="AX562" s="298"/>
      <c r="AY562" s="298"/>
      <c r="AZ562" s="298"/>
      <c r="BA562" s="298"/>
      <c r="BB562" s="298"/>
      <c r="BC562" s="298"/>
      <c r="BD562" s="298"/>
      <c r="BE562" s="298"/>
      <c r="BF562" s="298"/>
      <c r="BG562" s="298"/>
      <c r="BH562" s="298"/>
      <c r="BI562" s="298"/>
      <c r="BJ562" s="298"/>
      <c r="BK562" s="298"/>
      <c r="BL562" s="298"/>
      <c r="BM562" s="298"/>
      <c r="BN562" s="298"/>
      <c r="BO562" s="298"/>
      <c r="BP562" s="298"/>
    </row>
    <row r="563" spans="1:68" s="645" customFormat="1" ht="76.5">
      <c r="A563" s="376"/>
      <c r="B563" s="372" t="s">
        <v>15456</v>
      </c>
      <c r="C563" s="231" t="s">
        <v>24588</v>
      </c>
      <c r="D563" s="232" t="s">
        <v>103</v>
      </c>
      <c r="E563" s="232" t="s">
        <v>3240</v>
      </c>
      <c r="F563" s="233"/>
      <c r="G563" s="234"/>
      <c r="H563" s="235">
        <v>1356.68</v>
      </c>
      <c r="I563" s="298"/>
      <c r="J563" s="521"/>
      <c r="K563" s="524"/>
      <c r="L563" s="298"/>
      <c r="M563" s="298"/>
      <c r="N563" s="298"/>
      <c r="O563" s="298"/>
      <c r="P563" s="298"/>
      <c r="Q563" s="298"/>
      <c r="R563" s="298"/>
      <c r="S563" s="536"/>
      <c r="T563" s="635"/>
      <c r="U563" s="298"/>
      <c r="V563" s="298"/>
      <c r="W563" s="298"/>
      <c r="X563" s="298"/>
      <c r="Y563" s="298"/>
      <c r="Z563" s="298"/>
      <c r="AA563" s="298"/>
      <c r="AB563" s="298"/>
      <c r="AC563" s="298"/>
      <c r="AD563" s="298"/>
      <c r="AE563" s="298"/>
      <c r="AF563" s="298"/>
      <c r="AG563" s="298"/>
      <c r="AH563" s="298"/>
      <c r="AI563" s="298"/>
      <c r="AJ563" s="298"/>
      <c r="AK563" s="298"/>
      <c r="AL563" s="298"/>
      <c r="AM563" s="298"/>
      <c r="AN563" s="298"/>
      <c r="AO563" s="298"/>
      <c r="AP563" s="298"/>
      <c r="AQ563" s="298"/>
      <c r="AR563" s="298"/>
      <c r="AS563" s="298"/>
      <c r="AT563" s="298"/>
      <c r="AU563" s="298"/>
      <c r="AV563" s="298"/>
      <c r="AW563" s="298"/>
      <c r="AX563" s="298"/>
      <c r="AY563" s="298"/>
      <c r="AZ563" s="298"/>
      <c r="BA563" s="298"/>
      <c r="BB563" s="298"/>
      <c r="BC563" s="298"/>
      <c r="BD563" s="298"/>
      <c r="BE563" s="298"/>
      <c r="BF563" s="298"/>
      <c r="BG563" s="298"/>
      <c r="BH563" s="298"/>
      <c r="BI563" s="298"/>
      <c r="BJ563" s="298"/>
      <c r="BK563" s="298"/>
      <c r="BL563" s="298"/>
      <c r="BM563" s="298"/>
      <c r="BN563" s="298"/>
      <c r="BO563" s="298"/>
      <c r="BP563" s="298"/>
    </row>
    <row r="564" spans="1:68" s="298" customFormat="1" ht="89.25">
      <c r="A564" s="256" t="s">
        <v>3259</v>
      </c>
      <c r="B564" s="374">
        <v>91315</v>
      </c>
      <c r="C564" s="289" t="s">
        <v>9095</v>
      </c>
      <c r="D564" s="290" t="s">
        <v>229</v>
      </c>
      <c r="E564" s="290" t="s">
        <v>109</v>
      </c>
      <c r="F564" s="254">
        <v>1</v>
      </c>
      <c r="G564" s="292" t="s">
        <v>22044</v>
      </c>
      <c r="H564" s="255">
        <v>820.87</v>
      </c>
      <c r="J564" s="521"/>
      <c r="K564" s="524"/>
      <c r="S564" s="536"/>
      <c r="T564" s="638"/>
    </row>
    <row r="565" spans="1:68" s="298" customFormat="1" ht="38.25">
      <c r="A565" s="256" t="s">
        <v>14338</v>
      </c>
      <c r="B565" s="374" t="s">
        <v>15381</v>
      </c>
      <c r="C565" s="289" t="s">
        <v>17470</v>
      </c>
      <c r="D565" s="290" t="s">
        <v>103</v>
      </c>
      <c r="E565" s="290" t="s">
        <v>193</v>
      </c>
      <c r="F565" s="254">
        <v>3.99</v>
      </c>
      <c r="G565" s="292">
        <v>79.839999999999989</v>
      </c>
      <c r="H565" s="255">
        <v>318.56</v>
      </c>
      <c r="J565" s="521"/>
      <c r="K565" s="524"/>
      <c r="S565" s="536"/>
      <c r="T565" s="638"/>
    </row>
    <row r="566" spans="1:68" s="298" customFormat="1" ht="25.5">
      <c r="A566" s="256" t="s">
        <v>3259</v>
      </c>
      <c r="B566" s="374">
        <v>100874</v>
      </c>
      <c r="C566" s="289" t="s">
        <v>10775</v>
      </c>
      <c r="D566" s="290" t="s">
        <v>229</v>
      </c>
      <c r="E566" s="290" t="s">
        <v>109</v>
      </c>
      <c r="F566" s="254">
        <v>1</v>
      </c>
      <c r="G566" s="292" t="s">
        <v>23505</v>
      </c>
      <c r="H566" s="255">
        <v>217.25</v>
      </c>
      <c r="J566" s="521"/>
      <c r="K566" s="524"/>
      <c r="S566" s="536"/>
      <c r="T566" s="638"/>
    </row>
    <row r="567" spans="1:68" s="298" customFormat="1" ht="12.75">
      <c r="A567" s="256"/>
      <c r="B567" s="288" t="s">
        <v>143</v>
      </c>
      <c r="C567" s="603" t="s">
        <v>15438</v>
      </c>
      <c r="D567" s="386"/>
      <c r="E567" s="386"/>
      <c r="F567" s="386"/>
      <c r="G567" s="386"/>
      <c r="H567" s="387"/>
      <c r="J567" s="521"/>
      <c r="K567" s="524"/>
      <c r="S567" s="536"/>
      <c r="T567" s="635"/>
    </row>
    <row r="568" spans="1:68" s="529" customFormat="1" ht="12.75">
      <c r="A568" s="286"/>
      <c r="B568" s="293"/>
      <c r="C568" s="229"/>
      <c r="D568" s="230"/>
      <c r="E568" s="230"/>
      <c r="F568" s="230"/>
      <c r="G568" s="230"/>
      <c r="H568" s="230"/>
      <c r="I568" s="298"/>
      <c r="J568" s="521"/>
      <c r="K568" s="524"/>
      <c r="L568" s="298"/>
      <c r="M568" s="298"/>
      <c r="N568" s="298"/>
      <c r="O568" s="298"/>
      <c r="P568" s="298"/>
      <c r="Q568" s="298"/>
      <c r="R568" s="298"/>
      <c r="S568" s="536"/>
      <c r="T568" s="635"/>
      <c r="U568" s="298"/>
      <c r="V568" s="298"/>
      <c r="W568" s="298"/>
      <c r="X568" s="298"/>
      <c r="Y568" s="298"/>
      <c r="Z568" s="298"/>
      <c r="AA568" s="298"/>
      <c r="AB568" s="298"/>
      <c r="AC568" s="298"/>
      <c r="AD568" s="298"/>
      <c r="AE568" s="298"/>
      <c r="AF568" s="298"/>
      <c r="AG568" s="298"/>
      <c r="AH568" s="298"/>
      <c r="AI568" s="298"/>
      <c r="AJ568" s="298"/>
      <c r="AK568" s="298"/>
      <c r="AL568" s="298"/>
      <c r="AM568" s="298"/>
      <c r="AN568" s="298"/>
      <c r="AO568" s="298"/>
      <c r="AP568" s="298"/>
      <c r="AQ568" s="298"/>
      <c r="AR568" s="298"/>
      <c r="AS568" s="298"/>
      <c r="AT568" s="298"/>
      <c r="AU568" s="298"/>
      <c r="AV568" s="298"/>
      <c r="AW568" s="298"/>
      <c r="AX568" s="298"/>
      <c r="AY568" s="298"/>
      <c r="AZ568" s="298"/>
      <c r="BA568" s="298"/>
      <c r="BB568" s="298"/>
      <c r="BC568" s="298"/>
      <c r="BD568" s="298"/>
      <c r="BE568" s="298"/>
      <c r="BF568" s="298"/>
      <c r="BG568" s="298"/>
      <c r="BH568" s="298"/>
      <c r="BI568" s="298"/>
      <c r="BJ568" s="298"/>
      <c r="BK568" s="298"/>
      <c r="BL568" s="298"/>
      <c r="BM568" s="298"/>
      <c r="BN568" s="298"/>
      <c r="BO568" s="298"/>
      <c r="BP568" s="298"/>
    </row>
    <row r="569" spans="1:68" s="645" customFormat="1" ht="25.5">
      <c r="A569" s="376"/>
      <c r="B569" s="372" t="s">
        <v>15457</v>
      </c>
      <c r="C569" s="231" t="s">
        <v>24660</v>
      </c>
      <c r="D569" s="232" t="s">
        <v>103</v>
      </c>
      <c r="E569" s="232" t="s">
        <v>193</v>
      </c>
      <c r="F569" s="233"/>
      <c r="G569" s="234"/>
      <c r="H569" s="235">
        <v>318.83000000000004</v>
      </c>
      <c r="I569" s="298"/>
      <c r="J569" s="521"/>
      <c r="K569" s="524"/>
      <c r="L569" s="298"/>
      <c r="M569" s="298"/>
      <c r="N569" s="298"/>
      <c r="O569" s="298"/>
      <c r="P569" s="298"/>
      <c r="Q569" s="298"/>
      <c r="R569" s="298"/>
      <c r="S569" s="536"/>
      <c r="T569" s="635"/>
      <c r="U569" s="298"/>
      <c r="V569" s="298"/>
      <c r="W569" s="298"/>
      <c r="X569" s="298"/>
      <c r="Y569" s="298"/>
      <c r="Z569" s="298"/>
      <c r="AA569" s="298"/>
      <c r="AB569" s="298"/>
      <c r="AC569" s="298"/>
      <c r="AD569" s="298"/>
      <c r="AE569" s="298"/>
      <c r="AF569" s="298"/>
      <c r="AG569" s="298"/>
      <c r="AH569" s="298"/>
      <c r="AI569" s="298"/>
      <c r="AJ569" s="298"/>
      <c r="AK569" s="298"/>
      <c r="AL569" s="298"/>
      <c r="AM569" s="298"/>
      <c r="AN569" s="298"/>
      <c r="AO569" s="298"/>
      <c r="AP569" s="298"/>
      <c r="AQ569" s="298"/>
      <c r="AR569" s="298"/>
      <c r="AS569" s="298"/>
      <c r="AT569" s="298"/>
      <c r="AU569" s="298"/>
      <c r="AV569" s="298"/>
      <c r="AW569" s="298"/>
      <c r="AX569" s="298"/>
      <c r="AY569" s="298"/>
      <c r="AZ569" s="298"/>
      <c r="BA569" s="298"/>
      <c r="BB569" s="298"/>
      <c r="BC569" s="298"/>
      <c r="BD569" s="298"/>
      <c r="BE569" s="298"/>
      <c r="BF569" s="298"/>
      <c r="BG569" s="298"/>
      <c r="BH569" s="298"/>
      <c r="BI569" s="298"/>
      <c r="BJ569" s="298"/>
      <c r="BK569" s="298"/>
      <c r="BL569" s="298"/>
      <c r="BM569" s="298"/>
      <c r="BN569" s="298"/>
      <c r="BO569" s="298"/>
      <c r="BP569" s="298"/>
    </row>
    <row r="570" spans="1:68" s="298" customFormat="1" ht="51">
      <c r="A570" s="256" t="s">
        <v>3261</v>
      </c>
      <c r="B570" s="374">
        <v>10841</v>
      </c>
      <c r="C570" s="289" t="s">
        <v>7669</v>
      </c>
      <c r="D570" s="290" t="s">
        <v>207</v>
      </c>
      <c r="E570" s="290" t="s">
        <v>3242</v>
      </c>
      <c r="F570" s="254">
        <v>1.05</v>
      </c>
      <c r="G570" s="292" t="s">
        <v>20371</v>
      </c>
      <c r="H570" s="255">
        <v>301.12</v>
      </c>
      <c r="J570" s="521"/>
      <c r="K570" s="524"/>
      <c r="S570" s="536"/>
      <c r="T570" s="638"/>
    </row>
    <row r="571" spans="1:68" s="298" customFormat="1" ht="25.5">
      <c r="A571" s="256" t="s">
        <v>3259</v>
      </c>
      <c r="B571" s="374">
        <v>88309</v>
      </c>
      <c r="C571" s="289" t="s">
        <v>105</v>
      </c>
      <c r="D571" s="290" t="s">
        <v>9714</v>
      </c>
      <c r="E571" s="290" t="s">
        <v>206</v>
      </c>
      <c r="F571" s="254">
        <v>0.7</v>
      </c>
      <c r="G571" s="292" t="s">
        <v>11439</v>
      </c>
      <c r="H571" s="255">
        <v>16.73</v>
      </c>
      <c r="J571" s="521"/>
      <c r="K571" s="524"/>
      <c r="S571" s="536"/>
      <c r="T571" s="638"/>
    </row>
    <row r="572" spans="1:68" s="298" customFormat="1" ht="38.25">
      <c r="A572" s="256" t="s">
        <v>3259</v>
      </c>
      <c r="B572" s="374">
        <v>88629</v>
      </c>
      <c r="C572" s="289" t="s">
        <v>9416</v>
      </c>
      <c r="D572" s="290" t="s">
        <v>229</v>
      </c>
      <c r="E572" s="290" t="s">
        <v>209</v>
      </c>
      <c r="F572" s="254">
        <v>2E-3</v>
      </c>
      <c r="G572" s="292" t="s">
        <v>24289</v>
      </c>
      <c r="H572" s="255">
        <v>0.98</v>
      </c>
      <c r="J572" s="521"/>
      <c r="K572" s="524"/>
      <c r="S572" s="536"/>
      <c r="T572" s="638"/>
    </row>
    <row r="573" spans="1:68" s="298" customFormat="1" ht="12.75">
      <c r="A573" s="256"/>
      <c r="B573" s="288" t="s">
        <v>143</v>
      </c>
      <c r="C573" s="737" t="s">
        <v>24661</v>
      </c>
      <c r="D573" s="386"/>
      <c r="E573" s="386"/>
      <c r="F573" s="386"/>
      <c r="G573" s="386"/>
      <c r="H573" s="387"/>
      <c r="J573" s="521"/>
      <c r="K573" s="524"/>
      <c r="S573" s="536"/>
      <c r="T573" s="635"/>
    </row>
    <row r="574" spans="1:68" s="529" customFormat="1" ht="12.75">
      <c r="A574" s="286"/>
      <c r="B574" s="293"/>
      <c r="C574" s="229"/>
      <c r="D574" s="230"/>
      <c r="E574" s="230"/>
      <c r="F574" s="230"/>
      <c r="G574" s="230"/>
      <c r="H574" s="230"/>
      <c r="I574" s="298"/>
      <c r="J574" s="521"/>
      <c r="K574" s="524"/>
      <c r="L574" s="298"/>
      <c r="M574" s="298"/>
      <c r="N574" s="298"/>
      <c r="O574" s="298"/>
      <c r="P574" s="298"/>
      <c r="Q574" s="298"/>
      <c r="R574" s="298"/>
      <c r="S574" s="536"/>
      <c r="T574" s="635"/>
      <c r="U574" s="298"/>
      <c r="V574" s="298"/>
      <c r="W574" s="298"/>
      <c r="X574" s="298"/>
      <c r="Y574" s="298"/>
      <c r="Z574" s="298"/>
      <c r="AA574" s="298"/>
      <c r="AB574" s="298"/>
      <c r="AC574" s="298"/>
      <c r="AD574" s="298"/>
      <c r="AE574" s="298"/>
      <c r="AF574" s="298"/>
      <c r="AG574" s="298"/>
      <c r="AH574" s="298"/>
      <c r="AI574" s="298"/>
      <c r="AJ574" s="298"/>
      <c r="AK574" s="298"/>
      <c r="AL574" s="298"/>
      <c r="AM574" s="298"/>
      <c r="AN574" s="298"/>
      <c r="AO574" s="298"/>
      <c r="AP574" s="298"/>
      <c r="AQ574" s="298"/>
      <c r="AR574" s="298"/>
      <c r="AS574" s="298"/>
      <c r="AT574" s="298"/>
      <c r="AU574" s="298"/>
      <c r="AV574" s="298"/>
      <c r="AW574" s="298"/>
      <c r="AX574" s="298"/>
      <c r="AY574" s="298"/>
      <c r="AZ574" s="298"/>
      <c r="BA574" s="298"/>
      <c r="BB574" s="298"/>
      <c r="BC574" s="298"/>
      <c r="BD574" s="298"/>
      <c r="BE574" s="298"/>
      <c r="BF574" s="298"/>
      <c r="BG574" s="298"/>
      <c r="BH574" s="298"/>
      <c r="BI574" s="298"/>
      <c r="BJ574" s="298"/>
      <c r="BK574" s="298"/>
      <c r="BL574" s="298"/>
      <c r="BM574" s="298"/>
      <c r="BN574" s="298"/>
      <c r="BO574" s="298"/>
      <c r="BP574" s="298"/>
    </row>
    <row r="575" spans="1:68" s="645" customFormat="1" ht="63.75">
      <c r="A575" s="376"/>
      <c r="B575" s="372" t="s">
        <v>15458</v>
      </c>
      <c r="C575" s="231" t="s">
        <v>24604</v>
      </c>
      <c r="D575" s="232" t="s">
        <v>103</v>
      </c>
      <c r="E575" s="232" t="s">
        <v>3240</v>
      </c>
      <c r="F575" s="233"/>
      <c r="G575" s="234"/>
      <c r="H575" s="235">
        <v>3456.8199999999997</v>
      </c>
      <c r="I575" s="298"/>
      <c r="J575" s="521"/>
      <c r="K575" s="524"/>
      <c r="L575" s="298"/>
      <c r="M575" s="298"/>
      <c r="N575" s="298"/>
      <c r="O575" s="298"/>
      <c r="P575" s="298"/>
      <c r="Q575" s="298"/>
      <c r="R575" s="298"/>
      <c r="S575" s="536"/>
      <c r="T575" s="635"/>
      <c r="U575" s="298"/>
      <c r="V575" s="298"/>
      <c r="W575" s="298"/>
      <c r="X575" s="298"/>
      <c r="Y575" s="298"/>
      <c r="Z575" s="298"/>
      <c r="AA575" s="298"/>
      <c r="AB575" s="298"/>
      <c r="AC575" s="298"/>
      <c r="AD575" s="298"/>
      <c r="AE575" s="298"/>
      <c r="AF575" s="298"/>
      <c r="AG575" s="298"/>
      <c r="AH575" s="298"/>
      <c r="AI575" s="298"/>
      <c r="AJ575" s="298"/>
      <c r="AK575" s="298"/>
      <c r="AL575" s="298"/>
      <c r="AM575" s="298"/>
      <c r="AN575" s="298"/>
      <c r="AO575" s="298"/>
      <c r="AP575" s="298"/>
      <c r="AQ575" s="298"/>
      <c r="AR575" s="298"/>
      <c r="AS575" s="298"/>
      <c r="AT575" s="298"/>
      <c r="AU575" s="298"/>
      <c r="AV575" s="298"/>
      <c r="AW575" s="298"/>
      <c r="AX575" s="298"/>
      <c r="AY575" s="298"/>
      <c r="AZ575" s="298"/>
      <c r="BA575" s="298"/>
      <c r="BB575" s="298"/>
      <c r="BC575" s="298"/>
      <c r="BD575" s="298"/>
      <c r="BE575" s="298"/>
      <c r="BF575" s="298"/>
      <c r="BG575" s="298"/>
      <c r="BH575" s="298"/>
      <c r="BI575" s="298"/>
      <c r="BJ575" s="298"/>
      <c r="BK575" s="298"/>
      <c r="BL575" s="298"/>
      <c r="BM575" s="298"/>
      <c r="BN575" s="298"/>
      <c r="BO575" s="298"/>
      <c r="BP575" s="298"/>
    </row>
    <row r="576" spans="1:68" s="298" customFormat="1" ht="51">
      <c r="A576" s="256" t="s">
        <v>14338</v>
      </c>
      <c r="B576" s="374" t="s">
        <v>15364</v>
      </c>
      <c r="C576" s="289" t="s">
        <v>24605</v>
      </c>
      <c r="D576" s="290" t="s">
        <v>103</v>
      </c>
      <c r="E576" s="290" t="s">
        <v>10</v>
      </c>
      <c r="F576" s="254">
        <v>1</v>
      </c>
      <c r="G576" s="292">
        <v>1397.15</v>
      </c>
      <c r="H576" s="255">
        <v>1397.15</v>
      </c>
      <c r="J576" s="521"/>
      <c r="K576" s="524"/>
      <c r="S576" s="536"/>
      <c r="T576" s="638"/>
    </row>
    <row r="577" spans="1:68" s="298" customFormat="1" ht="38.25">
      <c r="A577" s="256" t="s">
        <v>14338</v>
      </c>
      <c r="B577" s="374" t="s">
        <v>15408</v>
      </c>
      <c r="C577" s="289" t="s">
        <v>17519</v>
      </c>
      <c r="D577" s="290" t="s">
        <v>103</v>
      </c>
      <c r="E577" s="290" t="s">
        <v>5</v>
      </c>
      <c r="F577" s="254">
        <v>6.2</v>
      </c>
      <c r="G577" s="292">
        <v>10.42</v>
      </c>
      <c r="H577" s="255">
        <v>64.599999999999994</v>
      </c>
      <c r="J577" s="521"/>
      <c r="K577" s="524"/>
      <c r="S577" s="536"/>
      <c r="T577" s="638"/>
    </row>
    <row r="578" spans="1:68" s="298" customFormat="1" ht="38.25">
      <c r="A578" s="256" t="s">
        <v>14338</v>
      </c>
      <c r="B578" s="374" t="s">
        <v>15378</v>
      </c>
      <c r="C578" s="289" t="s">
        <v>17507</v>
      </c>
      <c r="D578" s="290" t="s">
        <v>103</v>
      </c>
      <c r="E578" s="290" t="s">
        <v>10</v>
      </c>
      <c r="F578" s="254">
        <v>2</v>
      </c>
      <c r="G578" s="292">
        <v>715.51</v>
      </c>
      <c r="H578" s="255">
        <v>1431.02</v>
      </c>
      <c r="J578" s="521"/>
      <c r="K578" s="524"/>
      <c r="S578" s="536"/>
      <c r="T578" s="638"/>
    </row>
    <row r="579" spans="1:68" s="298" customFormat="1" ht="63.75">
      <c r="A579" s="256" t="s">
        <v>3259</v>
      </c>
      <c r="B579" s="374">
        <v>100721</v>
      </c>
      <c r="C579" s="289" t="s">
        <v>23989</v>
      </c>
      <c r="D579" s="290" t="s">
        <v>229</v>
      </c>
      <c r="E579" s="290" t="s">
        <v>193</v>
      </c>
      <c r="F579" s="254">
        <v>14.154399999999999</v>
      </c>
      <c r="G579" s="292" t="s">
        <v>12354</v>
      </c>
      <c r="H579" s="255">
        <v>285.35000000000002</v>
      </c>
      <c r="J579" s="521"/>
      <c r="K579" s="524"/>
      <c r="S579" s="536"/>
      <c r="T579" s="638"/>
    </row>
    <row r="580" spans="1:68" s="298" customFormat="1" ht="76.5">
      <c r="A580" s="256" t="s">
        <v>3259</v>
      </c>
      <c r="B580" s="374">
        <v>100745</v>
      </c>
      <c r="C580" s="289" t="s">
        <v>23999</v>
      </c>
      <c r="D580" s="290" t="s">
        <v>229</v>
      </c>
      <c r="E580" s="290" t="s">
        <v>193</v>
      </c>
      <c r="F580" s="254">
        <v>14.154399999999999</v>
      </c>
      <c r="G580" s="292" t="s">
        <v>10491</v>
      </c>
      <c r="H580" s="255">
        <v>278.7</v>
      </c>
      <c r="J580" s="521"/>
      <c r="K580" s="524"/>
      <c r="S580" s="536"/>
      <c r="T580" s="638"/>
    </row>
    <row r="581" spans="1:68" s="298" customFormat="1" ht="12.75">
      <c r="A581" s="256"/>
      <c r="B581" s="288" t="s">
        <v>143</v>
      </c>
      <c r="C581" s="603" t="s">
        <v>15438</v>
      </c>
      <c r="D581" s="386"/>
      <c r="E581" s="386"/>
      <c r="F581" s="386"/>
      <c r="G581" s="386"/>
      <c r="H581" s="387"/>
      <c r="J581" s="521"/>
      <c r="K581" s="524"/>
      <c r="S581" s="536"/>
      <c r="T581" s="635"/>
    </row>
    <row r="582" spans="1:68" s="529" customFormat="1" ht="12.75">
      <c r="A582" s="286"/>
      <c r="B582" s="293"/>
      <c r="C582" s="229"/>
      <c r="D582" s="230"/>
      <c r="E582" s="230"/>
      <c r="F582" s="230"/>
      <c r="G582" s="230"/>
      <c r="H582" s="230"/>
      <c r="I582" s="298"/>
      <c r="J582" s="521"/>
      <c r="K582" s="524"/>
      <c r="L582" s="298"/>
      <c r="M582" s="298"/>
      <c r="N582" s="298"/>
      <c r="O582" s="298"/>
      <c r="P582" s="298"/>
      <c r="Q582" s="298"/>
      <c r="R582" s="298"/>
      <c r="S582" s="536"/>
      <c r="T582" s="635"/>
      <c r="U582" s="298"/>
      <c r="V582" s="298"/>
      <c r="W582" s="298"/>
      <c r="X582" s="298"/>
      <c r="Y582" s="298"/>
      <c r="Z582" s="298"/>
      <c r="AA582" s="298"/>
      <c r="AB582" s="298"/>
      <c r="AC582" s="298"/>
      <c r="AD582" s="298"/>
      <c r="AE582" s="298"/>
      <c r="AF582" s="298"/>
      <c r="AG582" s="298"/>
      <c r="AH582" s="298"/>
      <c r="AI582" s="298"/>
      <c r="AJ582" s="298"/>
      <c r="AK582" s="298"/>
      <c r="AL582" s="298"/>
      <c r="AM582" s="298"/>
      <c r="AN582" s="298"/>
      <c r="AO582" s="298"/>
      <c r="AP582" s="298"/>
      <c r="AQ582" s="298"/>
      <c r="AR582" s="298"/>
      <c r="AS582" s="298"/>
      <c r="AT582" s="298"/>
      <c r="AU582" s="298"/>
      <c r="AV582" s="298"/>
      <c r="AW582" s="298"/>
      <c r="AX582" s="298"/>
      <c r="AY582" s="298"/>
      <c r="AZ582" s="298"/>
      <c r="BA582" s="298"/>
      <c r="BB582" s="298"/>
      <c r="BC582" s="298"/>
      <c r="BD582" s="298"/>
      <c r="BE582" s="298"/>
      <c r="BF582" s="298"/>
      <c r="BG582" s="298"/>
      <c r="BH582" s="298"/>
      <c r="BI582" s="298"/>
      <c r="BJ582" s="298"/>
      <c r="BK582" s="298"/>
      <c r="BL582" s="298"/>
      <c r="BM582" s="298"/>
      <c r="BN582" s="298"/>
      <c r="BO582" s="298"/>
      <c r="BP582" s="298"/>
    </row>
    <row r="583" spans="1:68" s="645" customFormat="1" ht="51">
      <c r="A583" s="376"/>
      <c r="B583" s="372" t="s">
        <v>15459</v>
      </c>
      <c r="C583" s="231" t="s">
        <v>24600</v>
      </c>
      <c r="D583" s="232" t="s">
        <v>103</v>
      </c>
      <c r="E583" s="232" t="s">
        <v>3240</v>
      </c>
      <c r="F583" s="233"/>
      <c r="G583" s="234"/>
      <c r="H583" s="235">
        <v>3407.49</v>
      </c>
      <c r="I583" s="298"/>
      <c r="J583" s="521"/>
      <c r="K583" s="524"/>
      <c r="L583" s="298"/>
      <c r="M583" s="298"/>
      <c r="N583" s="298"/>
      <c r="O583" s="298"/>
      <c r="P583" s="298"/>
      <c r="Q583" s="298"/>
      <c r="R583" s="298"/>
      <c r="S583" s="536"/>
      <c r="T583" s="635"/>
      <c r="U583" s="298"/>
      <c r="V583" s="298"/>
      <c r="W583" s="298"/>
      <c r="X583" s="298"/>
      <c r="Y583" s="298"/>
      <c r="Z583" s="298"/>
      <c r="AA583" s="298"/>
      <c r="AB583" s="298"/>
      <c r="AC583" s="298"/>
      <c r="AD583" s="298"/>
      <c r="AE583" s="298"/>
      <c r="AF583" s="298"/>
      <c r="AG583" s="298"/>
      <c r="AH583" s="298"/>
      <c r="AI583" s="298"/>
      <c r="AJ583" s="298"/>
      <c r="AK583" s="298"/>
      <c r="AL583" s="298"/>
      <c r="AM583" s="298"/>
      <c r="AN583" s="298"/>
      <c r="AO583" s="298"/>
      <c r="AP583" s="298"/>
      <c r="AQ583" s="298"/>
      <c r="AR583" s="298"/>
      <c r="AS583" s="298"/>
      <c r="AT583" s="298"/>
      <c r="AU583" s="298"/>
      <c r="AV583" s="298"/>
      <c r="AW583" s="298"/>
      <c r="AX583" s="298"/>
      <c r="AY583" s="298"/>
      <c r="AZ583" s="298"/>
      <c r="BA583" s="298"/>
      <c r="BB583" s="298"/>
      <c r="BC583" s="298"/>
      <c r="BD583" s="298"/>
      <c r="BE583" s="298"/>
      <c r="BF583" s="298"/>
      <c r="BG583" s="298"/>
      <c r="BH583" s="298"/>
      <c r="BI583" s="298"/>
      <c r="BJ583" s="298"/>
      <c r="BK583" s="298"/>
      <c r="BL583" s="298"/>
      <c r="BM583" s="298"/>
      <c r="BN583" s="298"/>
      <c r="BO583" s="298"/>
      <c r="BP583" s="298"/>
    </row>
    <row r="584" spans="1:68" s="298" customFormat="1" ht="38.25">
      <c r="A584" s="256" t="s">
        <v>14338</v>
      </c>
      <c r="B584" s="374" t="s">
        <v>15407</v>
      </c>
      <c r="C584" s="289" t="s">
        <v>24601</v>
      </c>
      <c r="D584" s="290" t="s">
        <v>103</v>
      </c>
      <c r="E584" s="290" t="s">
        <v>10</v>
      </c>
      <c r="F584" s="254">
        <v>1</v>
      </c>
      <c r="G584" s="292">
        <v>2307.5</v>
      </c>
      <c r="H584" s="255">
        <v>2307.5</v>
      </c>
      <c r="J584" s="521"/>
      <c r="K584" s="524"/>
      <c r="S584" s="536"/>
      <c r="T584" s="638"/>
    </row>
    <row r="585" spans="1:68" s="298" customFormat="1" ht="38.25">
      <c r="A585" s="256" t="s">
        <v>14338</v>
      </c>
      <c r="B585" s="374" t="s">
        <v>15408</v>
      </c>
      <c r="C585" s="289" t="s">
        <v>17519</v>
      </c>
      <c r="D585" s="290" t="s">
        <v>103</v>
      </c>
      <c r="E585" s="290" t="s">
        <v>5</v>
      </c>
      <c r="F585" s="254">
        <v>6</v>
      </c>
      <c r="G585" s="292">
        <v>10.42</v>
      </c>
      <c r="H585" s="255">
        <v>62.52</v>
      </c>
      <c r="J585" s="521"/>
      <c r="K585" s="524"/>
      <c r="S585" s="536"/>
      <c r="T585" s="638"/>
    </row>
    <row r="586" spans="1:68" s="298" customFormat="1" ht="63.75">
      <c r="A586" s="256" t="s">
        <v>3259</v>
      </c>
      <c r="B586" s="374">
        <v>100721</v>
      </c>
      <c r="C586" s="289" t="s">
        <v>23989</v>
      </c>
      <c r="D586" s="290" t="s">
        <v>229</v>
      </c>
      <c r="E586" s="290" t="s">
        <v>193</v>
      </c>
      <c r="F586" s="254">
        <v>26.034653077199099</v>
      </c>
      <c r="G586" s="292" t="s">
        <v>12354</v>
      </c>
      <c r="H586" s="255">
        <v>524.85</v>
      </c>
      <c r="J586" s="521"/>
      <c r="K586" s="524"/>
      <c r="S586" s="536"/>
      <c r="T586" s="638"/>
    </row>
    <row r="587" spans="1:68" s="298" customFormat="1" ht="76.5">
      <c r="A587" s="256" t="s">
        <v>3259</v>
      </c>
      <c r="B587" s="374">
        <v>100745</v>
      </c>
      <c r="C587" s="289" t="s">
        <v>23999</v>
      </c>
      <c r="D587" s="290" t="s">
        <v>229</v>
      </c>
      <c r="E587" s="290" t="s">
        <v>193</v>
      </c>
      <c r="F587" s="254">
        <v>26.034653077199099</v>
      </c>
      <c r="G587" s="292" t="s">
        <v>10491</v>
      </c>
      <c r="H587" s="255">
        <v>512.62</v>
      </c>
      <c r="J587" s="521"/>
      <c r="K587" s="524"/>
      <c r="S587" s="536"/>
      <c r="T587" s="638"/>
    </row>
    <row r="588" spans="1:68" s="298" customFormat="1" ht="12.75">
      <c r="A588" s="256"/>
      <c r="B588" s="288" t="s">
        <v>143</v>
      </c>
      <c r="C588" s="603" t="s">
        <v>15438</v>
      </c>
      <c r="D588" s="386"/>
      <c r="E588" s="386"/>
      <c r="F588" s="386"/>
      <c r="G588" s="386"/>
      <c r="H588" s="387"/>
      <c r="J588" s="521"/>
      <c r="K588" s="524"/>
      <c r="S588" s="536"/>
      <c r="T588" s="635"/>
    </row>
    <row r="589" spans="1:68" s="529" customFormat="1" ht="12.75">
      <c r="A589" s="286"/>
      <c r="B589" s="293"/>
      <c r="C589" s="229"/>
      <c r="D589" s="230"/>
      <c r="E589" s="230"/>
      <c r="F589" s="230"/>
      <c r="G589" s="230"/>
      <c r="H589" s="230"/>
      <c r="I589" s="298"/>
      <c r="J589" s="521"/>
      <c r="K589" s="524"/>
      <c r="L589" s="298"/>
      <c r="M589" s="298"/>
      <c r="N589" s="298"/>
      <c r="O589" s="298"/>
      <c r="P589" s="298"/>
      <c r="Q589" s="298"/>
      <c r="R589" s="298"/>
      <c r="S589" s="536"/>
      <c r="T589" s="635"/>
      <c r="U589" s="298"/>
      <c r="V589" s="298"/>
      <c r="W589" s="298"/>
      <c r="X589" s="298"/>
      <c r="Y589" s="298"/>
      <c r="Z589" s="298"/>
      <c r="AA589" s="298"/>
      <c r="AB589" s="298"/>
      <c r="AC589" s="298"/>
      <c r="AD589" s="298"/>
      <c r="AE589" s="298"/>
      <c r="AF589" s="298"/>
      <c r="AG589" s="298"/>
      <c r="AH589" s="298"/>
      <c r="AI589" s="298"/>
      <c r="AJ589" s="298"/>
      <c r="AK589" s="298"/>
      <c r="AL589" s="298"/>
      <c r="AM589" s="298"/>
      <c r="AN589" s="298"/>
      <c r="AO589" s="298"/>
      <c r="AP589" s="298"/>
      <c r="AQ589" s="298"/>
      <c r="AR589" s="298"/>
      <c r="AS589" s="298"/>
      <c r="AT589" s="298"/>
      <c r="AU589" s="298"/>
      <c r="AV589" s="298"/>
      <c r="AW589" s="298"/>
      <c r="AX589" s="298"/>
      <c r="AY589" s="298"/>
      <c r="AZ589" s="298"/>
      <c r="BA589" s="298"/>
      <c r="BB589" s="298"/>
      <c r="BC589" s="298"/>
      <c r="BD589" s="298"/>
      <c r="BE589" s="298"/>
      <c r="BF589" s="298"/>
      <c r="BG589" s="298"/>
      <c r="BH589" s="298"/>
      <c r="BI589" s="298"/>
      <c r="BJ589" s="298"/>
      <c r="BK589" s="298"/>
      <c r="BL589" s="298"/>
      <c r="BM589" s="298"/>
      <c r="BN589" s="298"/>
      <c r="BO589" s="298"/>
      <c r="BP589" s="298"/>
    </row>
    <row r="590" spans="1:68" s="645" customFormat="1" ht="51">
      <c r="A590" s="376"/>
      <c r="B590" s="372" t="s">
        <v>15460</v>
      </c>
      <c r="C590" s="231" t="s">
        <v>24608</v>
      </c>
      <c r="D590" s="232" t="s">
        <v>103</v>
      </c>
      <c r="E590" s="232" t="s">
        <v>3240</v>
      </c>
      <c r="F590" s="233"/>
      <c r="G590" s="234"/>
      <c r="H590" s="235">
        <v>1073.98</v>
      </c>
      <c r="I590" s="298"/>
      <c r="J590" s="521"/>
      <c r="K590" s="524"/>
      <c r="L590" s="298"/>
      <c r="M590" s="298"/>
      <c r="N590" s="298"/>
      <c r="O590" s="298"/>
      <c r="P590" s="298"/>
      <c r="Q590" s="298"/>
      <c r="R590" s="298"/>
      <c r="S590" s="536"/>
      <c r="T590" s="635"/>
      <c r="U590" s="298"/>
      <c r="V590" s="298"/>
      <c r="W590" s="298"/>
      <c r="X590" s="298"/>
      <c r="Y590" s="298"/>
      <c r="Z590" s="298"/>
      <c r="AA590" s="298"/>
      <c r="AB590" s="298"/>
      <c r="AC590" s="298"/>
      <c r="AD590" s="298"/>
      <c r="AE590" s="298"/>
      <c r="AF590" s="298"/>
      <c r="AG590" s="298"/>
      <c r="AH590" s="298"/>
      <c r="AI590" s="298"/>
      <c r="AJ590" s="298"/>
      <c r="AK590" s="298"/>
      <c r="AL590" s="298"/>
      <c r="AM590" s="298"/>
      <c r="AN590" s="298"/>
      <c r="AO590" s="298"/>
      <c r="AP590" s="298"/>
      <c r="AQ590" s="298"/>
      <c r="AR590" s="298"/>
      <c r="AS590" s="298"/>
      <c r="AT590" s="298"/>
      <c r="AU590" s="298"/>
      <c r="AV590" s="298"/>
      <c r="AW590" s="298"/>
      <c r="AX590" s="298"/>
      <c r="AY590" s="298"/>
      <c r="AZ590" s="298"/>
      <c r="BA590" s="298"/>
      <c r="BB590" s="298"/>
      <c r="BC590" s="298"/>
      <c r="BD590" s="298"/>
      <c r="BE590" s="298"/>
      <c r="BF590" s="298"/>
      <c r="BG590" s="298"/>
      <c r="BH590" s="298"/>
      <c r="BI590" s="298"/>
      <c r="BJ590" s="298"/>
      <c r="BK590" s="298"/>
      <c r="BL590" s="298"/>
      <c r="BM590" s="298"/>
      <c r="BN590" s="298"/>
      <c r="BO590" s="298"/>
      <c r="BP590" s="298"/>
    </row>
    <row r="591" spans="1:68" s="298" customFormat="1" ht="25.5">
      <c r="A591" s="256" t="s">
        <v>14338</v>
      </c>
      <c r="B591" s="374" t="s">
        <v>15382</v>
      </c>
      <c r="C591" s="289" t="s">
        <v>17440</v>
      </c>
      <c r="D591" s="290" t="s">
        <v>103</v>
      </c>
      <c r="E591" s="290" t="s">
        <v>3240</v>
      </c>
      <c r="F591" s="254">
        <v>1.3333330000000001</v>
      </c>
      <c r="G591" s="292">
        <v>579.55000000000007</v>
      </c>
      <c r="H591" s="255">
        <v>772.73</v>
      </c>
      <c r="J591" s="521">
        <f>0.9*2.1</f>
        <v>1.8900000000000001</v>
      </c>
      <c r="K591" s="761">
        <v>1</v>
      </c>
      <c r="S591" s="536"/>
      <c r="T591" s="638"/>
    </row>
    <row r="592" spans="1:68" s="298" customFormat="1" ht="63.75">
      <c r="A592" s="256" t="s">
        <v>3259</v>
      </c>
      <c r="B592" s="374">
        <v>100721</v>
      </c>
      <c r="C592" s="289" t="s">
        <v>23989</v>
      </c>
      <c r="D592" s="290" t="s">
        <v>229</v>
      </c>
      <c r="E592" s="290" t="s">
        <v>193</v>
      </c>
      <c r="F592" s="254">
        <v>7.5600000000000005</v>
      </c>
      <c r="G592" s="292" t="s">
        <v>12354</v>
      </c>
      <c r="H592" s="255">
        <v>152.4</v>
      </c>
      <c r="J592" s="521">
        <f>1.2*2.1</f>
        <v>2.52</v>
      </c>
      <c r="K592" s="762" t="s">
        <v>15393</v>
      </c>
      <c r="L592" s="646" t="s">
        <v>17521</v>
      </c>
      <c r="M592" s="646">
        <f>(J592*K591)/J591</f>
        <v>1.3333333333333333</v>
      </c>
      <c r="S592" s="536"/>
      <c r="T592" s="638"/>
    </row>
    <row r="593" spans="1:68" s="298" customFormat="1" ht="76.5">
      <c r="A593" s="256" t="s">
        <v>3259</v>
      </c>
      <c r="B593" s="374">
        <v>100745</v>
      </c>
      <c r="C593" s="289" t="s">
        <v>23999</v>
      </c>
      <c r="D593" s="290" t="s">
        <v>229</v>
      </c>
      <c r="E593" s="290" t="s">
        <v>193</v>
      </c>
      <c r="F593" s="254">
        <v>7.5600000000000005</v>
      </c>
      <c r="G593" s="292" t="s">
        <v>10491</v>
      </c>
      <c r="H593" s="255">
        <v>148.85</v>
      </c>
      <c r="J593" s="521"/>
      <c r="K593" s="524"/>
      <c r="S593" s="536"/>
      <c r="T593" s="638"/>
    </row>
    <row r="594" spans="1:68" s="298" customFormat="1" ht="12.75">
      <c r="A594" s="256"/>
      <c r="B594" s="288" t="s">
        <v>143</v>
      </c>
      <c r="C594" s="737" t="s">
        <v>15438</v>
      </c>
      <c r="D594" s="386"/>
      <c r="E594" s="386"/>
      <c r="F594" s="386"/>
      <c r="G594" s="386"/>
      <c r="H594" s="387"/>
      <c r="J594" s="521"/>
      <c r="K594" s="524"/>
      <c r="S594" s="536"/>
      <c r="T594" s="635"/>
    </row>
    <row r="595" spans="1:68" s="529" customFormat="1" ht="12.75">
      <c r="A595" s="286"/>
      <c r="B595" s="293"/>
      <c r="C595" s="229"/>
      <c r="D595" s="230"/>
      <c r="E595" s="230"/>
      <c r="F595" s="230"/>
      <c r="G595" s="230"/>
      <c r="H595" s="230"/>
      <c r="I595" s="298"/>
      <c r="J595" s="521"/>
      <c r="K595" s="524"/>
      <c r="L595" s="298"/>
      <c r="M595" s="298"/>
      <c r="N595" s="298"/>
      <c r="O595" s="298"/>
      <c r="P595" s="298"/>
      <c r="Q595" s="298"/>
      <c r="R595" s="298"/>
      <c r="S595" s="536"/>
      <c r="T595" s="635"/>
      <c r="U595" s="298"/>
      <c r="V595" s="298"/>
      <c r="W595" s="298"/>
      <c r="X595" s="298"/>
      <c r="Y595" s="298"/>
      <c r="Z595" s="298"/>
      <c r="AA595" s="298"/>
      <c r="AB595" s="298"/>
      <c r="AC595" s="298"/>
      <c r="AD595" s="298"/>
      <c r="AE595" s="298"/>
      <c r="AF595" s="298"/>
      <c r="AG595" s="298"/>
      <c r="AH595" s="298"/>
      <c r="AI595" s="298"/>
      <c r="AJ595" s="298"/>
      <c r="AK595" s="298"/>
      <c r="AL595" s="298"/>
      <c r="AM595" s="298"/>
      <c r="AN595" s="298"/>
      <c r="AO595" s="298"/>
      <c r="AP595" s="298"/>
      <c r="AQ595" s="298"/>
      <c r="AR595" s="298"/>
      <c r="AS595" s="298"/>
      <c r="AT595" s="298"/>
      <c r="AU595" s="298"/>
      <c r="AV595" s="298"/>
      <c r="AW595" s="298"/>
      <c r="AX595" s="298"/>
      <c r="AY595" s="298"/>
      <c r="AZ595" s="298"/>
      <c r="BA595" s="298"/>
      <c r="BB595" s="298"/>
      <c r="BC595" s="298"/>
      <c r="BD595" s="298"/>
      <c r="BE595" s="298"/>
      <c r="BF595" s="298"/>
      <c r="BG595" s="298"/>
      <c r="BH595" s="298"/>
      <c r="BI595" s="298"/>
      <c r="BJ595" s="298"/>
      <c r="BK595" s="298"/>
      <c r="BL595" s="298"/>
      <c r="BM595" s="298"/>
      <c r="BN595" s="298"/>
      <c r="BO595" s="298"/>
      <c r="BP595" s="298"/>
    </row>
    <row r="596" spans="1:68" s="645" customFormat="1" ht="51">
      <c r="A596" s="376"/>
      <c r="B596" s="372" t="s">
        <v>15461</v>
      </c>
      <c r="C596" s="231" t="s">
        <v>24611</v>
      </c>
      <c r="D596" s="232" t="s">
        <v>103</v>
      </c>
      <c r="E596" s="232" t="s">
        <v>3240</v>
      </c>
      <c r="F596" s="233"/>
      <c r="G596" s="234"/>
      <c r="H596" s="235">
        <v>2240.9</v>
      </c>
      <c r="I596" s="298"/>
      <c r="J596" s="521"/>
      <c r="K596" s="524"/>
      <c r="L596" s="298"/>
      <c r="M596" s="298"/>
      <c r="N596" s="298"/>
      <c r="O596" s="298"/>
      <c r="P596" s="298"/>
      <c r="Q596" s="298"/>
      <c r="R596" s="298"/>
      <c r="S596" s="536"/>
      <c r="T596" s="635"/>
      <c r="U596" s="298"/>
      <c r="V596" s="298"/>
      <c r="W596" s="298"/>
      <c r="X596" s="298"/>
      <c r="Y596" s="298"/>
      <c r="Z596" s="298"/>
      <c r="AA596" s="298"/>
      <c r="AB596" s="298"/>
      <c r="AC596" s="298"/>
      <c r="AD596" s="298"/>
      <c r="AE596" s="298"/>
      <c r="AF596" s="298"/>
      <c r="AG596" s="298"/>
      <c r="AH596" s="298"/>
      <c r="AI596" s="298"/>
      <c r="AJ596" s="298"/>
      <c r="AK596" s="298"/>
      <c r="AL596" s="298"/>
      <c r="AM596" s="298"/>
      <c r="AN596" s="298"/>
      <c r="AO596" s="298"/>
      <c r="AP596" s="298"/>
      <c r="AQ596" s="298"/>
      <c r="AR596" s="298"/>
      <c r="AS596" s="298"/>
      <c r="AT596" s="298"/>
      <c r="AU596" s="298"/>
      <c r="AV596" s="298"/>
      <c r="AW596" s="298"/>
      <c r="AX596" s="298"/>
      <c r="AY596" s="298"/>
      <c r="AZ596" s="298"/>
      <c r="BA596" s="298"/>
      <c r="BB596" s="298"/>
      <c r="BC596" s="298"/>
      <c r="BD596" s="298"/>
      <c r="BE596" s="298"/>
      <c r="BF596" s="298"/>
      <c r="BG596" s="298"/>
      <c r="BH596" s="298"/>
      <c r="BI596" s="298"/>
      <c r="BJ596" s="298"/>
      <c r="BK596" s="298"/>
      <c r="BL596" s="298"/>
      <c r="BM596" s="298"/>
      <c r="BN596" s="298"/>
      <c r="BO596" s="298"/>
      <c r="BP596" s="298"/>
    </row>
    <row r="597" spans="1:68" s="298" customFormat="1" ht="38.25">
      <c r="A597" s="256" t="s">
        <v>14338</v>
      </c>
      <c r="B597" s="374" t="s">
        <v>15384</v>
      </c>
      <c r="C597" s="289" t="s">
        <v>15385</v>
      </c>
      <c r="D597" s="290" t="s">
        <v>103</v>
      </c>
      <c r="E597" s="290" t="s">
        <v>193</v>
      </c>
      <c r="F597" s="254">
        <v>3.7800000000000002</v>
      </c>
      <c r="G597" s="292">
        <v>458.85999999999996</v>
      </c>
      <c r="H597" s="255">
        <v>1734.49</v>
      </c>
      <c r="J597" s="521"/>
      <c r="K597" s="524"/>
      <c r="S597" s="536"/>
      <c r="T597" s="638"/>
    </row>
    <row r="598" spans="1:68" s="298" customFormat="1" ht="25.5">
      <c r="A598" s="256" t="s">
        <v>14338</v>
      </c>
      <c r="B598" s="374" t="s">
        <v>15387</v>
      </c>
      <c r="C598" s="289" t="s">
        <v>15388</v>
      </c>
      <c r="D598" s="290" t="s">
        <v>103</v>
      </c>
      <c r="E598" s="290" t="s">
        <v>15285</v>
      </c>
      <c r="F598" s="254">
        <v>1</v>
      </c>
      <c r="G598" s="292">
        <v>94.539999999999992</v>
      </c>
      <c r="H598" s="255">
        <v>94.54</v>
      </c>
      <c r="J598" s="521"/>
      <c r="K598" s="524"/>
      <c r="S598" s="536"/>
      <c r="T598" s="638"/>
    </row>
    <row r="599" spans="1:68" s="298" customFormat="1" ht="25.5">
      <c r="A599" s="256" t="s">
        <v>14338</v>
      </c>
      <c r="B599" s="374" t="s">
        <v>15390</v>
      </c>
      <c r="C599" s="289" t="s">
        <v>15391</v>
      </c>
      <c r="D599" s="290" t="s">
        <v>103</v>
      </c>
      <c r="E599" s="290" t="s">
        <v>3240</v>
      </c>
      <c r="F599" s="254">
        <v>1</v>
      </c>
      <c r="G599" s="292">
        <v>110.61999999999999</v>
      </c>
      <c r="H599" s="255">
        <v>110.62</v>
      </c>
      <c r="J599" s="521"/>
      <c r="K599" s="524"/>
      <c r="S599" s="536"/>
      <c r="T599" s="638"/>
    </row>
    <row r="600" spans="1:68" s="298" customFormat="1" ht="63.75">
      <c r="A600" s="256" t="s">
        <v>3259</v>
      </c>
      <c r="B600" s="374">
        <v>100721</v>
      </c>
      <c r="C600" s="289" t="s">
        <v>23989</v>
      </c>
      <c r="D600" s="290" t="s">
        <v>229</v>
      </c>
      <c r="E600" s="290" t="s">
        <v>193</v>
      </c>
      <c r="F600" s="254">
        <v>7.5600000000000005</v>
      </c>
      <c r="G600" s="292" t="s">
        <v>12354</v>
      </c>
      <c r="H600" s="255">
        <v>152.4</v>
      </c>
      <c r="J600" s="521"/>
      <c r="K600" s="524"/>
      <c r="S600" s="536"/>
      <c r="T600" s="638"/>
    </row>
    <row r="601" spans="1:68" s="298" customFormat="1" ht="76.5">
      <c r="A601" s="256" t="s">
        <v>3259</v>
      </c>
      <c r="B601" s="374">
        <v>100745</v>
      </c>
      <c r="C601" s="289" t="s">
        <v>23999</v>
      </c>
      <c r="D601" s="290" t="s">
        <v>229</v>
      </c>
      <c r="E601" s="290" t="s">
        <v>193</v>
      </c>
      <c r="F601" s="254">
        <v>7.5600000000000005</v>
      </c>
      <c r="G601" s="292" t="s">
        <v>10491</v>
      </c>
      <c r="H601" s="255">
        <v>148.85</v>
      </c>
      <c r="J601" s="521"/>
      <c r="K601" s="524"/>
      <c r="S601" s="536"/>
      <c r="T601" s="638"/>
    </row>
    <row r="602" spans="1:68" s="298" customFormat="1" ht="12.75">
      <c r="A602" s="256"/>
      <c r="B602" s="288" t="s">
        <v>143</v>
      </c>
      <c r="C602" s="603" t="s">
        <v>15438</v>
      </c>
      <c r="D602" s="386"/>
      <c r="E602" s="386"/>
      <c r="F602" s="386"/>
      <c r="G602" s="386"/>
      <c r="H602" s="387"/>
      <c r="J602" s="521"/>
      <c r="K602" s="524"/>
      <c r="S602" s="536"/>
      <c r="T602" s="635"/>
    </row>
    <row r="603" spans="1:68" s="529" customFormat="1" ht="12.75">
      <c r="A603" s="286"/>
      <c r="B603" s="293"/>
      <c r="C603" s="229"/>
      <c r="D603" s="230"/>
      <c r="E603" s="230"/>
      <c r="F603" s="230"/>
      <c r="G603" s="230"/>
      <c r="H603" s="230"/>
      <c r="I603" s="298"/>
      <c r="J603" s="521"/>
      <c r="K603" s="524"/>
      <c r="L603" s="298"/>
      <c r="M603" s="298"/>
      <c r="N603" s="298"/>
      <c r="O603" s="298"/>
      <c r="P603" s="298"/>
      <c r="Q603" s="298"/>
      <c r="R603" s="298"/>
      <c r="S603" s="536"/>
      <c r="T603" s="635"/>
      <c r="U603" s="298"/>
      <c r="V603" s="298"/>
      <c r="W603" s="298"/>
      <c r="X603" s="298"/>
      <c r="Y603" s="298"/>
      <c r="Z603" s="298"/>
      <c r="AA603" s="298"/>
      <c r="AB603" s="298"/>
      <c r="AC603" s="298"/>
      <c r="AD603" s="298"/>
      <c r="AE603" s="298"/>
      <c r="AF603" s="298"/>
      <c r="AG603" s="298"/>
      <c r="AH603" s="298"/>
      <c r="AI603" s="298"/>
      <c r="AJ603" s="298"/>
      <c r="AK603" s="298"/>
      <c r="AL603" s="298"/>
      <c r="AM603" s="298"/>
      <c r="AN603" s="298"/>
      <c r="AO603" s="298"/>
      <c r="AP603" s="298"/>
      <c r="AQ603" s="298"/>
      <c r="AR603" s="298"/>
      <c r="AS603" s="298"/>
      <c r="AT603" s="298"/>
      <c r="AU603" s="298"/>
      <c r="AV603" s="298"/>
      <c r="AW603" s="298"/>
      <c r="AX603" s="298"/>
      <c r="AY603" s="298"/>
      <c r="AZ603" s="298"/>
      <c r="BA603" s="298"/>
      <c r="BB603" s="298"/>
      <c r="BC603" s="298"/>
      <c r="BD603" s="298"/>
      <c r="BE603" s="298"/>
      <c r="BF603" s="298"/>
      <c r="BG603" s="298"/>
      <c r="BH603" s="298"/>
      <c r="BI603" s="298"/>
      <c r="BJ603" s="298"/>
      <c r="BK603" s="298"/>
      <c r="BL603" s="298"/>
      <c r="BM603" s="298"/>
      <c r="BN603" s="298"/>
      <c r="BO603" s="298"/>
      <c r="BP603" s="298"/>
    </row>
    <row r="604" spans="1:68" s="645" customFormat="1" ht="51">
      <c r="A604" s="376"/>
      <c r="B604" s="372" t="s">
        <v>15462</v>
      </c>
      <c r="C604" s="231" t="s">
        <v>24603</v>
      </c>
      <c r="D604" s="232" t="s">
        <v>103</v>
      </c>
      <c r="E604" s="232" t="s">
        <v>3240</v>
      </c>
      <c r="F604" s="233"/>
      <c r="G604" s="234"/>
      <c r="H604" s="235">
        <v>1073.98</v>
      </c>
      <c r="I604" s="298"/>
      <c r="J604" s="521"/>
      <c r="K604" s="524"/>
      <c r="L604" s="298"/>
      <c r="M604" s="298"/>
      <c r="N604" s="298"/>
      <c r="O604" s="298"/>
      <c r="P604" s="298"/>
      <c r="Q604" s="298"/>
      <c r="R604" s="298"/>
      <c r="S604" s="536"/>
      <c r="T604" s="635"/>
      <c r="U604" s="298"/>
      <c r="V604" s="298"/>
      <c r="W604" s="298"/>
      <c r="X604" s="298"/>
      <c r="Y604" s="298"/>
      <c r="Z604" s="298"/>
      <c r="AA604" s="298"/>
      <c r="AB604" s="298"/>
      <c r="AC604" s="298"/>
      <c r="AD604" s="298"/>
      <c r="AE604" s="298"/>
      <c r="AF604" s="298"/>
      <c r="AG604" s="298"/>
      <c r="AH604" s="298"/>
      <c r="AI604" s="298"/>
      <c r="AJ604" s="298"/>
      <c r="AK604" s="298"/>
      <c r="AL604" s="298"/>
      <c r="AM604" s="298"/>
      <c r="AN604" s="298"/>
      <c r="AO604" s="298"/>
      <c r="AP604" s="298"/>
      <c r="AQ604" s="298"/>
      <c r="AR604" s="298"/>
      <c r="AS604" s="298"/>
      <c r="AT604" s="298"/>
      <c r="AU604" s="298"/>
      <c r="AV604" s="298"/>
      <c r="AW604" s="298"/>
      <c r="AX604" s="298"/>
      <c r="AY604" s="298"/>
      <c r="AZ604" s="298"/>
      <c r="BA604" s="298"/>
      <c r="BB604" s="298"/>
      <c r="BC604" s="298"/>
      <c r="BD604" s="298"/>
      <c r="BE604" s="298"/>
      <c r="BF604" s="298"/>
      <c r="BG604" s="298"/>
      <c r="BH604" s="298"/>
      <c r="BI604" s="298"/>
      <c r="BJ604" s="298"/>
      <c r="BK604" s="298"/>
      <c r="BL604" s="298"/>
      <c r="BM604" s="298"/>
      <c r="BN604" s="298"/>
      <c r="BO604" s="298"/>
      <c r="BP604" s="298"/>
    </row>
    <row r="605" spans="1:68" s="298" customFormat="1" ht="25.5">
      <c r="A605" s="256" t="s">
        <v>14338</v>
      </c>
      <c r="B605" s="374" t="s">
        <v>15382</v>
      </c>
      <c r="C605" s="289" t="s">
        <v>17440</v>
      </c>
      <c r="D605" s="290" t="s">
        <v>103</v>
      </c>
      <c r="E605" s="290" t="s">
        <v>3240</v>
      </c>
      <c r="F605" s="254">
        <v>1.3333330000000001</v>
      </c>
      <c r="G605" s="292">
        <v>579.55000000000007</v>
      </c>
      <c r="H605" s="255">
        <v>772.73</v>
      </c>
      <c r="J605" s="521">
        <f>0.9*2.1</f>
        <v>1.8900000000000001</v>
      </c>
      <c r="K605" s="761">
        <v>1</v>
      </c>
      <c r="S605" s="536"/>
      <c r="T605" s="638"/>
    </row>
    <row r="606" spans="1:68" s="298" customFormat="1" ht="63.75">
      <c r="A606" s="256" t="s">
        <v>3259</v>
      </c>
      <c r="B606" s="374">
        <v>100721</v>
      </c>
      <c r="C606" s="289" t="s">
        <v>23989</v>
      </c>
      <c r="D606" s="290" t="s">
        <v>229</v>
      </c>
      <c r="E606" s="290" t="s">
        <v>193</v>
      </c>
      <c r="F606" s="254">
        <v>7.5600000000000005</v>
      </c>
      <c r="G606" s="292" t="s">
        <v>12354</v>
      </c>
      <c r="H606" s="255">
        <v>152.4</v>
      </c>
      <c r="J606" s="521">
        <f>1.2*2.1</f>
        <v>2.52</v>
      </c>
      <c r="K606" s="762" t="s">
        <v>15393</v>
      </c>
      <c r="L606" s="646" t="s">
        <v>17521</v>
      </c>
      <c r="M606" s="646">
        <f>(J606*K605)/J605</f>
        <v>1.3333333333333333</v>
      </c>
      <c r="S606" s="536"/>
      <c r="T606" s="638"/>
    </row>
    <row r="607" spans="1:68" s="298" customFormat="1" ht="76.5">
      <c r="A607" s="256" t="s">
        <v>3259</v>
      </c>
      <c r="B607" s="374">
        <v>100745</v>
      </c>
      <c r="C607" s="289" t="s">
        <v>23999</v>
      </c>
      <c r="D607" s="290" t="s">
        <v>229</v>
      </c>
      <c r="E607" s="290" t="s">
        <v>193</v>
      </c>
      <c r="F607" s="254">
        <v>7.5600000000000005</v>
      </c>
      <c r="G607" s="292" t="s">
        <v>10491</v>
      </c>
      <c r="H607" s="255">
        <v>148.85</v>
      </c>
      <c r="J607" s="521"/>
      <c r="K607" s="524"/>
      <c r="S607" s="536"/>
      <c r="T607" s="638"/>
    </row>
    <row r="608" spans="1:68" s="298" customFormat="1" ht="12.75">
      <c r="A608" s="256"/>
      <c r="B608" s="288" t="s">
        <v>143</v>
      </c>
      <c r="C608" s="603" t="s">
        <v>15438</v>
      </c>
      <c r="D608" s="386"/>
      <c r="E608" s="386"/>
      <c r="F608" s="386"/>
      <c r="G608" s="386"/>
      <c r="H608" s="387"/>
      <c r="J608" s="521"/>
      <c r="K608" s="524"/>
      <c r="S608" s="536"/>
      <c r="T608" s="635"/>
    </row>
    <row r="609" spans="1:68" s="529" customFormat="1" ht="12.75">
      <c r="A609" s="286"/>
      <c r="B609" s="293"/>
      <c r="C609" s="229"/>
      <c r="D609" s="230"/>
      <c r="E609" s="230"/>
      <c r="F609" s="230"/>
      <c r="G609" s="230"/>
      <c r="H609" s="230"/>
      <c r="I609" s="298"/>
      <c r="J609" s="521"/>
      <c r="K609" s="524"/>
      <c r="L609" s="298"/>
      <c r="M609" s="298"/>
      <c r="N609" s="298"/>
      <c r="O609" s="298"/>
      <c r="P609" s="298"/>
      <c r="Q609" s="298"/>
      <c r="R609" s="298"/>
      <c r="S609" s="536"/>
      <c r="T609" s="635"/>
      <c r="U609" s="298"/>
      <c r="V609" s="298"/>
      <c r="W609" s="298"/>
      <c r="X609" s="298"/>
      <c r="Y609" s="298"/>
      <c r="Z609" s="298"/>
      <c r="AA609" s="298"/>
      <c r="AB609" s="298"/>
      <c r="AC609" s="298"/>
      <c r="AD609" s="298"/>
      <c r="AE609" s="298"/>
      <c r="AF609" s="298"/>
      <c r="AG609" s="298"/>
      <c r="AH609" s="298"/>
      <c r="AI609" s="298"/>
      <c r="AJ609" s="298"/>
      <c r="AK609" s="298"/>
      <c r="AL609" s="298"/>
      <c r="AM609" s="298"/>
      <c r="AN609" s="298"/>
      <c r="AO609" s="298"/>
      <c r="AP609" s="298"/>
      <c r="AQ609" s="298"/>
      <c r="AR609" s="298"/>
      <c r="AS609" s="298"/>
      <c r="AT609" s="298"/>
      <c r="AU609" s="298"/>
      <c r="AV609" s="298"/>
      <c r="AW609" s="298"/>
      <c r="AX609" s="298"/>
      <c r="AY609" s="298"/>
      <c r="AZ609" s="298"/>
      <c r="BA609" s="298"/>
      <c r="BB609" s="298"/>
      <c r="BC609" s="298"/>
      <c r="BD609" s="298"/>
      <c r="BE609" s="298"/>
      <c r="BF609" s="298"/>
      <c r="BG609" s="298"/>
      <c r="BH609" s="298"/>
      <c r="BI609" s="298"/>
      <c r="BJ609" s="298"/>
      <c r="BK609" s="298"/>
      <c r="BL609" s="298"/>
      <c r="BM609" s="298"/>
      <c r="BN609" s="298"/>
      <c r="BO609" s="298"/>
      <c r="BP609" s="298"/>
    </row>
    <row r="610" spans="1:68" s="645" customFormat="1" ht="63.75">
      <c r="A610" s="376"/>
      <c r="B610" s="372" t="s">
        <v>15463</v>
      </c>
      <c r="C610" s="231" t="s">
        <v>24609</v>
      </c>
      <c r="D610" s="232" t="s">
        <v>103</v>
      </c>
      <c r="E610" s="232" t="s">
        <v>3240</v>
      </c>
      <c r="F610" s="233"/>
      <c r="G610" s="234"/>
      <c r="H610" s="235">
        <v>2414.7800000000002</v>
      </c>
      <c r="I610" s="298"/>
      <c r="J610" s="521"/>
      <c r="K610" s="524"/>
      <c r="L610" s="298"/>
      <c r="M610" s="298"/>
      <c r="N610" s="298"/>
      <c r="O610" s="298"/>
      <c r="P610" s="298"/>
      <c r="Q610" s="298"/>
      <c r="R610" s="298"/>
      <c r="S610" s="536"/>
      <c r="T610" s="635"/>
      <c r="U610" s="298"/>
      <c r="V610" s="298"/>
      <c r="W610" s="298"/>
      <c r="X610" s="298"/>
      <c r="Y610" s="298"/>
      <c r="Z610" s="298"/>
      <c r="AA610" s="298"/>
      <c r="AB610" s="298"/>
      <c r="AC610" s="298"/>
      <c r="AD610" s="298"/>
      <c r="AE610" s="298"/>
      <c r="AF610" s="298"/>
      <c r="AG610" s="298"/>
      <c r="AH610" s="298"/>
      <c r="AI610" s="298"/>
      <c r="AJ610" s="298"/>
      <c r="AK610" s="298"/>
      <c r="AL610" s="298"/>
      <c r="AM610" s="298"/>
      <c r="AN610" s="298"/>
      <c r="AO610" s="298"/>
      <c r="AP610" s="298"/>
      <c r="AQ610" s="298"/>
      <c r="AR610" s="298"/>
      <c r="AS610" s="298"/>
      <c r="AT610" s="298"/>
      <c r="AU610" s="298"/>
      <c r="AV610" s="298"/>
      <c r="AW610" s="298"/>
      <c r="AX610" s="298"/>
      <c r="AY610" s="298"/>
      <c r="AZ610" s="298"/>
      <c r="BA610" s="298"/>
      <c r="BB610" s="298"/>
      <c r="BC610" s="298"/>
      <c r="BD610" s="298"/>
      <c r="BE610" s="298"/>
      <c r="BF610" s="298"/>
      <c r="BG610" s="298"/>
      <c r="BH610" s="298"/>
      <c r="BI610" s="298"/>
      <c r="BJ610" s="298"/>
      <c r="BK610" s="298"/>
      <c r="BL610" s="298"/>
      <c r="BM610" s="298"/>
      <c r="BN610" s="298"/>
      <c r="BO610" s="298"/>
      <c r="BP610" s="298"/>
    </row>
    <row r="611" spans="1:68" s="298" customFormat="1" ht="38.25">
      <c r="A611" s="256" t="s">
        <v>14338</v>
      </c>
      <c r="B611" s="374" t="s">
        <v>15410</v>
      </c>
      <c r="C611" s="289" t="s">
        <v>24610</v>
      </c>
      <c r="D611" s="290" t="s">
        <v>103</v>
      </c>
      <c r="E611" s="290" t="s">
        <v>10</v>
      </c>
      <c r="F611" s="254">
        <v>1</v>
      </c>
      <c r="G611" s="292">
        <v>1207.3599999999999</v>
      </c>
      <c r="H611" s="255">
        <v>1207.3599999999999</v>
      </c>
      <c r="J611" s="521"/>
      <c r="K611" s="761"/>
      <c r="S611" s="536"/>
      <c r="T611" s="638"/>
    </row>
    <row r="612" spans="1:68" s="298" customFormat="1" ht="25.5">
      <c r="A612" s="256" t="s">
        <v>14338</v>
      </c>
      <c r="B612" s="374" t="s">
        <v>15411</v>
      </c>
      <c r="C612" s="289" t="s">
        <v>17524</v>
      </c>
      <c r="D612" s="290" t="s">
        <v>103</v>
      </c>
      <c r="E612" s="290" t="s">
        <v>193</v>
      </c>
      <c r="F612" s="254">
        <v>2.52</v>
      </c>
      <c r="G612" s="292">
        <v>288.70999999999998</v>
      </c>
      <c r="H612" s="255">
        <v>727.54</v>
      </c>
      <c r="J612" s="521"/>
      <c r="K612" s="761"/>
      <c r="S612" s="536"/>
      <c r="T612" s="638"/>
    </row>
    <row r="613" spans="1:68" s="298" customFormat="1" ht="63.75">
      <c r="A613" s="256" t="s">
        <v>3259</v>
      </c>
      <c r="B613" s="374">
        <v>100721</v>
      </c>
      <c r="C613" s="289" t="s">
        <v>23989</v>
      </c>
      <c r="D613" s="290" t="s">
        <v>229</v>
      </c>
      <c r="E613" s="290" t="s">
        <v>193</v>
      </c>
      <c r="F613" s="254">
        <v>12.042637157897847</v>
      </c>
      <c r="G613" s="292" t="s">
        <v>12354</v>
      </c>
      <c r="H613" s="255">
        <v>242.77</v>
      </c>
      <c r="J613" s="521"/>
      <c r="K613" s="762"/>
      <c r="L613" s="646"/>
      <c r="M613" s="646"/>
      <c r="S613" s="536"/>
      <c r="T613" s="638"/>
    </row>
    <row r="614" spans="1:68" s="298" customFormat="1" ht="76.5">
      <c r="A614" s="256" t="s">
        <v>3259</v>
      </c>
      <c r="B614" s="374">
        <v>100745</v>
      </c>
      <c r="C614" s="289" t="s">
        <v>23999</v>
      </c>
      <c r="D614" s="290" t="s">
        <v>229</v>
      </c>
      <c r="E614" s="290" t="s">
        <v>193</v>
      </c>
      <c r="F614" s="254">
        <v>12.042637157897847</v>
      </c>
      <c r="G614" s="292" t="s">
        <v>10491</v>
      </c>
      <c r="H614" s="255">
        <v>237.11</v>
      </c>
      <c r="J614" s="521"/>
      <c r="K614" s="524"/>
      <c r="S614" s="536"/>
      <c r="T614" s="638"/>
    </row>
    <row r="615" spans="1:68" s="298" customFormat="1" ht="12.75">
      <c r="A615" s="256"/>
      <c r="B615" s="288" t="s">
        <v>143</v>
      </c>
      <c r="C615" s="603" t="s">
        <v>15438</v>
      </c>
      <c r="D615" s="386"/>
      <c r="E615" s="386"/>
      <c r="F615" s="386"/>
      <c r="G615" s="386"/>
      <c r="H615" s="387"/>
      <c r="J615" s="521"/>
      <c r="K615" s="524"/>
      <c r="S615" s="536"/>
      <c r="T615" s="635"/>
    </row>
    <row r="616" spans="1:68" s="529" customFormat="1" ht="12.75">
      <c r="A616" s="286"/>
      <c r="B616" s="293"/>
      <c r="C616" s="229"/>
      <c r="D616" s="230"/>
      <c r="E616" s="230"/>
      <c r="F616" s="230"/>
      <c r="G616" s="230"/>
      <c r="H616" s="230"/>
      <c r="I616" s="298"/>
      <c r="J616" s="521"/>
      <c r="K616" s="524"/>
      <c r="L616" s="298"/>
      <c r="M616" s="298"/>
      <c r="N616" s="298"/>
      <c r="O616" s="298"/>
      <c r="P616" s="298"/>
      <c r="Q616" s="298"/>
      <c r="R616" s="298"/>
      <c r="S616" s="536"/>
      <c r="T616" s="635"/>
      <c r="U616" s="298"/>
      <c r="V616" s="298"/>
      <c r="W616" s="298"/>
      <c r="X616" s="298"/>
      <c r="Y616" s="298"/>
      <c r="Z616" s="298"/>
      <c r="AA616" s="298"/>
      <c r="AB616" s="298"/>
      <c r="AC616" s="298"/>
      <c r="AD616" s="298"/>
      <c r="AE616" s="298"/>
      <c r="AF616" s="298"/>
      <c r="AG616" s="298"/>
      <c r="AH616" s="298"/>
      <c r="AI616" s="298"/>
      <c r="AJ616" s="298"/>
      <c r="AK616" s="298"/>
      <c r="AL616" s="298"/>
      <c r="AM616" s="298"/>
      <c r="AN616" s="298"/>
      <c r="AO616" s="298"/>
      <c r="AP616" s="298"/>
      <c r="AQ616" s="298"/>
      <c r="AR616" s="298"/>
      <c r="AS616" s="298"/>
      <c r="AT616" s="298"/>
      <c r="AU616" s="298"/>
      <c r="AV616" s="298"/>
      <c r="AW616" s="298"/>
      <c r="AX616" s="298"/>
      <c r="AY616" s="298"/>
      <c r="AZ616" s="298"/>
      <c r="BA616" s="298"/>
      <c r="BB616" s="298"/>
      <c r="BC616" s="298"/>
      <c r="BD616" s="298"/>
      <c r="BE616" s="298"/>
      <c r="BF616" s="298"/>
      <c r="BG616" s="298"/>
      <c r="BH616" s="298"/>
      <c r="BI616" s="298"/>
      <c r="BJ616" s="298"/>
      <c r="BK616" s="298"/>
      <c r="BL616" s="298"/>
      <c r="BM616" s="298"/>
      <c r="BN616" s="298"/>
      <c r="BO616" s="298"/>
      <c r="BP616" s="298"/>
    </row>
    <row r="617" spans="1:68" s="645" customFormat="1" ht="38.25">
      <c r="A617" s="376"/>
      <c r="B617" s="372" t="s">
        <v>15464</v>
      </c>
      <c r="C617" s="231" t="s">
        <v>24606</v>
      </c>
      <c r="D617" s="232" t="s">
        <v>103</v>
      </c>
      <c r="E617" s="232" t="s">
        <v>3240</v>
      </c>
      <c r="F617" s="233"/>
      <c r="G617" s="234"/>
      <c r="H617" s="235">
        <v>805.4899999999999</v>
      </c>
      <c r="I617" s="298"/>
      <c r="J617" s="521"/>
      <c r="K617" s="524"/>
      <c r="L617" s="298"/>
      <c r="M617" s="298"/>
      <c r="N617" s="298"/>
      <c r="O617" s="298"/>
      <c r="P617" s="298"/>
      <c r="Q617" s="298"/>
      <c r="R617" s="298"/>
      <c r="S617" s="536"/>
      <c r="T617" s="635"/>
      <c r="U617" s="298"/>
      <c r="V617" s="298"/>
      <c r="W617" s="298"/>
      <c r="X617" s="298"/>
      <c r="Y617" s="298"/>
      <c r="Z617" s="298"/>
      <c r="AA617" s="298"/>
      <c r="AB617" s="298"/>
      <c r="AC617" s="298"/>
      <c r="AD617" s="298"/>
      <c r="AE617" s="298"/>
      <c r="AF617" s="298"/>
      <c r="AG617" s="298"/>
      <c r="AH617" s="298"/>
      <c r="AI617" s="298"/>
      <c r="AJ617" s="298"/>
      <c r="AK617" s="298"/>
      <c r="AL617" s="298"/>
      <c r="AM617" s="298"/>
      <c r="AN617" s="298"/>
      <c r="AO617" s="298"/>
      <c r="AP617" s="298"/>
      <c r="AQ617" s="298"/>
      <c r="AR617" s="298"/>
      <c r="AS617" s="298"/>
      <c r="AT617" s="298"/>
      <c r="AU617" s="298"/>
      <c r="AV617" s="298"/>
      <c r="AW617" s="298"/>
      <c r="AX617" s="298"/>
      <c r="AY617" s="298"/>
      <c r="AZ617" s="298"/>
      <c r="BA617" s="298"/>
      <c r="BB617" s="298"/>
      <c r="BC617" s="298"/>
      <c r="BD617" s="298"/>
      <c r="BE617" s="298"/>
      <c r="BF617" s="298"/>
      <c r="BG617" s="298"/>
      <c r="BH617" s="298"/>
      <c r="BI617" s="298"/>
      <c r="BJ617" s="298"/>
      <c r="BK617" s="298"/>
      <c r="BL617" s="298"/>
      <c r="BM617" s="298"/>
      <c r="BN617" s="298"/>
      <c r="BO617" s="298"/>
      <c r="BP617" s="298"/>
    </row>
    <row r="618" spans="1:68" s="298" customFormat="1" ht="25.5">
      <c r="A618" s="256" t="s">
        <v>14338</v>
      </c>
      <c r="B618" s="374" t="s">
        <v>15382</v>
      </c>
      <c r="C618" s="289" t="s">
        <v>17440</v>
      </c>
      <c r="D618" s="290" t="s">
        <v>103</v>
      </c>
      <c r="E618" s="290" t="s">
        <v>3240</v>
      </c>
      <c r="F618" s="254">
        <v>1</v>
      </c>
      <c r="G618" s="292">
        <v>579.55000000000007</v>
      </c>
      <c r="H618" s="255">
        <v>579.54999999999995</v>
      </c>
      <c r="J618" s="521"/>
      <c r="K618" s="524"/>
      <c r="S618" s="536"/>
      <c r="T618" s="638"/>
    </row>
    <row r="619" spans="1:68" s="298" customFormat="1" ht="63.75">
      <c r="A619" s="256" t="s">
        <v>3259</v>
      </c>
      <c r="B619" s="374">
        <v>100721</v>
      </c>
      <c r="C619" s="289" t="s">
        <v>23989</v>
      </c>
      <c r="D619" s="290" t="s">
        <v>229</v>
      </c>
      <c r="E619" s="290" t="s">
        <v>193</v>
      </c>
      <c r="F619" s="254">
        <v>5.67</v>
      </c>
      <c r="G619" s="292" t="s">
        <v>12354</v>
      </c>
      <c r="H619" s="255">
        <v>114.3</v>
      </c>
      <c r="J619" s="521"/>
      <c r="K619" s="524"/>
      <c r="S619" s="536"/>
      <c r="T619" s="638"/>
    </row>
    <row r="620" spans="1:68" s="298" customFormat="1" ht="76.5">
      <c r="A620" s="256" t="s">
        <v>3259</v>
      </c>
      <c r="B620" s="374">
        <v>100745</v>
      </c>
      <c r="C620" s="289" t="s">
        <v>23999</v>
      </c>
      <c r="D620" s="290" t="s">
        <v>229</v>
      </c>
      <c r="E620" s="290" t="s">
        <v>193</v>
      </c>
      <c r="F620" s="254">
        <v>5.67</v>
      </c>
      <c r="G620" s="292" t="s">
        <v>10491</v>
      </c>
      <c r="H620" s="255">
        <v>111.64</v>
      </c>
      <c r="J620" s="521"/>
      <c r="K620" s="524"/>
      <c r="S620" s="536"/>
      <c r="T620" s="638"/>
    </row>
    <row r="621" spans="1:68" s="298" customFormat="1" ht="12.75">
      <c r="A621" s="256"/>
      <c r="B621" s="288" t="s">
        <v>143</v>
      </c>
      <c r="C621" s="603" t="s">
        <v>15438</v>
      </c>
      <c r="D621" s="386"/>
      <c r="E621" s="386"/>
      <c r="F621" s="386"/>
      <c r="G621" s="386"/>
      <c r="H621" s="387"/>
      <c r="J621" s="521"/>
      <c r="K621" s="524"/>
      <c r="S621" s="536"/>
      <c r="T621" s="635"/>
    </row>
    <row r="622" spans="1:68" s="529" customFormat="1" ht="12.75">
      <c r="A622" s="286"/>
      <c r="B622" s="293"/>
      <c r="C622" s="229"/>
      <c r="D622" s="230"/>
      <c r="E622" s="230"/>
      <c r="F622" s="230"/>
      <c r="G622" s="230"/>
      <c r="H622" s="230"/>
      <c r="I622" s="298"/>
      <c r="J622" s="521"/>
      <c r="K622" s="524"/>
      <c r="L622" s="298"/>
      <c r="M622" s="298"/>
      <c r="N622" s="298"/>
      <c r="O622" s="298"/>
      <c r="P622" s="298"/>
      <c r="Q622" s="298"/>
      <c r="R622" s="298"/>
      <c r="S622" s="536"/>
      <c r="T622" s="635"/>
      <c r="U622" s="298"/>
      <c r="V622" s="298"/>
      <c r="W622" s="298"/>
      <c r="X622" s="298"/>
      <c r="Y622" s="298"/>
      <c r="Z622" s="298"/>
      <c r="AA622" s="298"/>
      <c r="AB622" s="298"/>
      <c r="AC622" s="298"/>
      <c r="AD622" s="298"/>
      <c r="AE622" s="298"/>
      <c r="AF622" s="298"/>
      <c r="AG622" s="298"/>
      <c r="AH622" s="298"/>
      <c r="AI622" s="298"/>
      <c r="AJ622" s="298"/>
      <c r="AK622" s="298"/>
      <c r="AL622" s="298"/>
      <c r="AM622" s="298"/>
      <c r="AN622" s="298"/>
      <c r="AO622" s="298"/>
      <c r="AP622" s="298"/>
      <c r="AQ622" s="298"/>
      <c r="AR622" s="298"/>
      <c r="AS622" s="298"/>
      <c r="AT622" s="298"/>
      <c r="AU622" s="298"/>
      <c r="AV622" s="298"/>
      <c r="AW622" s="298"/>
      <c r="AX622" s="298"/>
      <c r="AY622" s="298"/>
      <c r="AZ622" s="298"/>
      <c r="BA622" s="298"/>
      <c r="BB622" s="298"/>
      <c r="BC622" s="298"/>
      <c r="BD622" s="298"/>
      <c r="BE622" s="298"/>
      <c r="BF622" s="298"/>
      <c r="BG622" s="298"/>
      <c r="BH622" s="298"/>
      <c r="BI622" s="298"/>
      <c r="BJ622" s="298"/>
      <c r="BK622" s="298"/>
      <c r="BL622" s="298"/>
      <c r="BM622" s="298"/>
      <c r="BN622" s="298"/>
      <c r="BO622" s="298"/>
      <c r="BP622" s="298"/>
    </row>
    <row r="623" spans="1:68" s="645" customFormat="1" ht="38.25">
      <c r="A623" s="376"/>
      <c r="B623" s="372" t="s">
        <v>15465</v>
      </c>
      <c r="C623" s="231" t="s">
        <v>17527</v>
      </c>
      <c r="D623" s="232" t="s">
        <v>103</v>
      </c>
      <c r="E623" s="232" t="s">
        <v>3240</v>
      </c>
      <c r="F623" s="233"/>
      <c r="G623" s="234"/>
      <c r="H623" s="235">
        <v>263.21999999999997</v>
      </c>
      <c r="I623" s="298"/>
      <c r="J623" s="521"/>
      <c r="K623" s="524"/>
      <c r="L623" s="298"/>
      <c r="M623" s="298"/>
      <c r="N623" s="298"/>
      <c r="O623" s="298"/>
      <c r="P623" s="298"/>
      <c r="Q623" s="298"/>
      <c r="R623" s="298"/>
      <c r="S623" s="536"/>
      <c r="T623" s="635"/>
      <c r="U623" s="298"/>
      <c r="V623" s="298"/>
      <c r="W623" s="298"/>
      <c r="X623" s="298"/>
      <c r="Y623" s="298"/>
      <c r="Z623" s="298"/>
      <c r="AA623" s="298"/>
      <c r="AB623" s="298"/>
      <c r="AC623" s="298"/>
      <c r="AD623" s="298"/>
      <c r="AE623" s="298"/>
      <c r="AF623" s="298"/>
      <c r="AG623" s="298"/>
      <c r="AH623" s="298"/>
      <c r="AI623" s="298"/>
      <c r="AJ623" s="298"/>
      <c r="AK623" s="298"/>
      <c r="AL623" s="298"/>
      <c r="AM623" s="298"/>
      <c r="AN623" s="298"/>
      <c r="AO623" s="298"/>
      <c r="AP623" s="298"/>
      <c r="AQ623" s="298"/>
      <c r="AR623" s="298"/>
      <c r="AS623" s="298"/>
      <c r="AT623" s="298"/>
      <c r="AU623" s="298"/>
      <c r="AV623" s="298"/>
      <c r="AW623" s="298"/>
      <c r="AX623" s="298"/>
      <c r="AY623" s="298"/>
      <c r="AZ623" s="298"/>
      <c r="BA623" s="298"/>
      <c r="BB623" s="298"/>
      <c r="BC623" s="298"/>
      <c r="BD623" s="298"/>
      <c r="BE623" s="298"/>
      <c r="BF623" s="298"/>
      <c r="BG623" s="298"/>
      <c r="BH623" s="298"/>
      <c r="BI623" s="298"/>
      <c r="BJ623" s="298"/>
      <c r="BK623" s="298"/>
      <c r="BL623" s="298"/>
      <c r="BM623" s="298"/>
      <c r="BN623" s="298"/>
      <c r="BO623" s="298"/>
      <c r="BP623" s="298"/>
    </row>
    <row r="624" spans="1:68" s="298" customFormat="1" ht="12.75">
      <c r="A624" s="256" t="s">
        <v>12</v>
      </c>
      <c r="B624" s="374" t="s">
        <v>15352</v>
      </c>
      <c r="C624" s="289" t="s">
        <v>24612</v>
      </c>
      <c r="D624" s="290" t="s">
        <v>207</v>
      </c>
      <c r="E624" s="290" t="s">
        <v>109</v>
      </c>
      <c r="F624" s="254">
        <v>1</v>
      </c>
      <c r="G624" s="292">
        <v>159.9</v>
      </c>
      <c r="H624" s="255">
        <v>159.9</v>
      </c>
      <c r="J624" s="521"/>
      <c r="K624" s="524"/>
      <c r="S624" s="536"/>
      <c r="T624" s="638"/>
    </row>
    <row r="625" spans="1:68" s="298" customFormat="1" ht="25.5">
      <c r="A625" s="256" t="s">
        <v>3259</v>
      </c>
      <c r="B625" s="288">
        <v>88261</v>
      </c>
      <c r="C625" s="289" t="s">
        <v>294</v>
      </c>
      <c r="D625" s="290" t="s">
        <v>9714</v>
      </c>
      <c r="E625" s="290" t="s">
        <v>206</v>
      </c>
      <c r="F625" s="254">
        <v>2.5</v>
      </c>
      <c r="G625" s="292" t="s">
        <v>12381</v>
      </c>
      <c r="H625" s="255">
        <v>59.3</v>
      </c>
      <c r="J625" s="521"/>
      <c r="K625" s="524"/>
      <c r="S625" s="536"/>
      <c r="T625" s="638"/>
    </row>
    <row r="626" spans="1:68" s="298" customFormat="1" ht="25.5">
      <c r="A626" s="256" t="s">
        <v>3259</v>
      </c>
      <c r="B626" s="288">
        <v>88316</v>
      </c>
      <c r="C626" s="289" t="s">
        <v>104</v>
      </c>
      <c r="D626" s="290" t="s">
        <v>9714</v>
      </c>
      <c r="E626" s="290" t="s">
        <v>206</v>
      </c>
      <c r="F626" s="254">
        <v>2.5</v>
      </c>
      <c r="G626" s="292" t="s">
        <v>10172</v>
      </c>
      <c r="H626" s="255">
        <v>44.02</v>
      </c>
      <c r="J626" s="521"/>
      <c r="K626" s="524"/>
      <c r="S626" s="536"/>
      <c r="T626" s="638"/>
    </row>
    <row r="627" spans="1:68" s="298" customFormat="1" ht="12.75">
      <c r="A627" s="256"/>
      <c r="B627" s="288" t="s">
        <v>143</v>
      </c>
      <c r="C627" s="603" t="s">
        <v>17525</v>
      </c>
      <c r="D627" s="386"/>
      <c r="E627" s="386"/>
      <c r="F627" s="386"/>
      <c r="G627" s="386"/>
      <c r="H627" s="387"/>
      <c r="J627" s="521"/>
      <c r="K627" s="524"/>
      <c r="S627" s="536"/>
      <c r="T627" s="635"/>
    </row>
    <row r="628" spans="1:68" s="529" customFormat="1" ht="12.75">
      <c r="A628" s="286"/>
      <c r="B628" s="293"/>
      <c r="C628" s="229"/>
      <c r="D628" s="230"/>
      <c r="E628" s="230"/>
      <c r="F628" s="230"/>
      <c r="G628" s="230"/>
      <c r="H628" s="230"/>
      <c r="I628" s="298"/>
      <c r="J628" s="521"/>
      <c r="K628" s="524"/>
      <c r="L628" s="298"/>
      <c r="M628" s="298"/>
      <c r="N628" s="298"/>
      <c r="O628" s="298"/>
      <c r="P628" s="298"/>
      <c r="Q628" s="298"/>
      <c r="R628" s="298"/>
      <c r="S628" s="536"/>
      <c r="T628" s="635"/>
      <c r="U628" s="298"/>
      <c r="V628" s="298"/>
      <c r="W628" s="298"/>
      <c r="X628" s="298"/>
      <c r="Y628" s="298"/>
      <c r="Z628" s="298"/>
      <c r="AA628" s="298"/>
      <c r="AB628" s="298"/>
      <c r="AC628" s="298"/>
      <c r="AD628" s="298"/>
      <c r="AE628" s="298"/>
      <c r="AF628" s="298"/>
      <c r="AG628" s="298"/>
      <c r="AH628" s="298"/>
      <c r="AI628" s="298"/>
      <c r="AJ628" s="298"/>
      <c r="AK628" s="298"/>
      <c r="AL628" s="298"/>
      <c r="AM628" s="298"/>
      <c r="AN628" s="298"/>
      <c r="AO628" s="298"/>
      <c r="AP628" s="298"/>
      <c r="AQ628" s="298"/>
      <c r="AR628" s="298"/>
      <c r="AS628" s="298"/>
      <c r="AT628" s="298"/>
      <c r="AU628" s="298"/>
      <c r="AV628" s="298"/>
      <c r="AW628" s="298"/>
      <c r="AX628" s="298"/>
      <c r="AY628" s="298"/>
      <c r="AZ628" s="298"/>
      <c r="BA628" s="298"/>
      <c r="BB628" s="298"/>
      <c r="BC628" s="298"/>
      <c r="BD628" s="298"/>
      <c r="BE628" s="298"/>
      <c r="BF628" s="298"/>
      <c r="BG628" s="298"/>
      <c r="BH628" s="298"/>
      <c r="BI628" s="298"/>
      <c r="BJ628" s="298"/>
      <c r="BK628" s="298"/>
      <c r="BL628" s="298"/>
      <c r="BM628" s="298"/>
      <c r="BN628" s="298"/>
      <c r="BO628" s="298"/>
      <c r="BP628" s="298"/>
    </row>
    <row r="629" spans="1:68" s="645" customFormat="1" ht="51">
      <c r="A629" s="376"/>
      <c r="B629" s="372" t="s">
        <v>15466</v>
      </c>
      <c r="C629" s="231" t="s">
        <v>24615</v>
      </c>
      <c r="D629" s="232" t="s">
        <v>103</v>
      </c>
      <c r="E629" s="232" t="s">
        <v>3240</v>
      </c>
      <c r="F629" s="233"/>
      <c r="G629" s="234"/>
      <c r="H629" s="235">
        <v>518.49</v>
      </c>
      <c r="I629" s="298"/>
      <c r="J629" s="521"/>
      <c r="K629" s="524"/>
      <c r="L629" s="298"/>
      <c r="M629" s="298"/>
      <c r="N629" s="298"/>
      <c r="O629" s="298"/>
      <c r="P629" s="298"/>
      <c r="Q629" s="298"/>
      <c r="R629" s="298"/>
      <c r="S629" s="536"/>
      <c r="T629" s="635"/>
      <c r="U629" s="298"/>
      <c r="V629" s="298"/>
      <c r="W629" s="298"/>
      <c r="X629" s="298"/>
      <c r="Y629" s="298"/>
      <c r="Z629" s="298"/>
      <c r="AA629" s="298"/>
      <c r="AB629" s="298"/>
      <c r="AC629" s="298"/>
      <c r="AD629" s="298"/>
      <c r="AE629" s="298"/>
      <c r="AF629" s="298"/>
      <c r="AG629" s="298"/>
      <c r="AH629" s="298"/>
      <c r="AI629" s="298"/>
      <c r="AJ629" s="298"/>
      <c r="AK629" s="298"/>
      <c r="AL629" s="298"/>
      <c r="AM629" s="298"/>
      <c r="AN629" s="298"/>
      <c r="AO629" s="298"/>
      <c r="AP629" s="298"/>
      <c r="AQ629" s="298"/>
      <c r="AR629" s="298"/>
      <c r="AS629" s="298"/>
      <c r="AT629" s="298"/>
      <c r="AU629" s="298"/>
      <c r="AV629" s="298"/>
      <c r="AW629" s="298"/>
      <c r="AX629" s="298"/>
      <c r="AY629" s="298"/>
      <c r="AZ629" s="298"/>
      <c r="BA629" s="298"/>
      <c r="BB629" s="298"/>
      <c r="BC629" s="298"/>
      <c r="BD629" s="298"/>
      <c r="BE629" s="298"/>
      <c r="BF629" s="298"/>
      <c r="BG629" s="298"/>
      <c r="BH629" s="298"/>
      <c r="BI629" s="298"/>
      <c r="BJ629" s="298"/>
      <c r="BK629" s="298"/>
      <c r="BL629" s="298"/>
      <c r="BM629" s="298"/>
      <c r="BN629" s="298"/>
      <c r="BO629" s="298"/>
      <c r="BP629" s="298"/>
    </row>
    <row r="630" spans="1:68" s="298" customFormat="1" ht="76.5">
      <c r="A630" s="256" t="s">
        <v>3259</v>
      </c>
      <c r="B630" s="374">
        <v>94559</v>
      </c>
      <c r="C630" s="289" t="s">
        <v>9151</v>
      </c>
      <c r="D630" s="290" t="s">
        <v>229</v>
      </c>
      <c r="E630" s="290" t="s">
        <v>193</v>
      </c>
      <c r="F630" s="254">
        <v>0.55999999999999994</v>
      </c>
      <c r="G630" s="292" t="s">
        <v>22101</v>
      </c>
      <c r="H630" s="255">
        <v>369.65</v>
      </c>
      <c r="J630" s="521"/>
      <c r="K630" s="524"/>
      <c r="S630" s="536"/>
      <c r="T630" s="638"/>
    </row>
    <row r="631" spans="1:68" s="298" customFormat="1" ht="38.25">
      <c r="A631" s="256" t="s">
        <v>3259</v>
      </c>
      <c r="B631" s="374">
        <v>102162</v>
      </c>
      <c r="C631" s="289" t="s">
        <v>12777</v>
      </c>
      <c r="D631" s="290" t="s">
        <v>229</v>
      </c>
      <c r="E631" s="290" t="s">
        <v>193</v>
      </c>
      <c r="F631" s="254">
        <v>0.55999999999999994</v>
      </c>
      <c r="G631" s="292" t="s">
        <v>22134</v>
      </c>
      <c r="H631" s="255">
        <v>126.79</v>
      </c>
      <c r="J631" s="760"/>
      <c r="K631" s="524"/>
      <c r="S631" s="536"/>
      <c r="T631" s="638"/>
    </row>
    <row r="632" spans="1:68" s="298" customFormat="1" ht="76.5">
      <c r="A632" s="256" t="s">
        <v>3259</v>
      </c>
      <c r="B632" s="374">
        <v>100745</v>
      </c>
      <c r="C632" s="289" t="s">
        <v>23999</v>
      </c>
      <c r="D632" s="290" t="s">
        <v>229</v>
      </c>
      <c r="E632" s="290" t="s">
        <v>193</v>
      </c>
      <c r="F632" s="254">
        <v>1.1199999999999999</v>
      </c>
      <c r="G632" s="292" t="s">
        <v>10491</v>
      </c>
      <c r="H632" s="255">
        <v>22.05</v>
      </c>
      <c r="J632" s="521"/>
      <c r="K632" s="524"/>
      <c r="S632" s="536"/>
      <c r="T632" s="638"/>
    </row>
    <row r="633" spans="1:68" s="298" customFormat="1" ht="12.75">
      <c r="A633" s="256"/>
      <c r="B633" s="288" t="s">
        <v>143</v>
      </c>
      <c r="C633" s="603" t="s">
        <v>15438</v>
      </c>
      <c r="D633" s="386"/>
      <c r="E633" s="386"/>
      <c r="F633" s="386"/>
      <c r="G633" s="386"/>
      <c r="H633" s="387"/>
      <c r="J633" s="521"/>
      <c r="K633" s="524"/>
      <c r="S633" s="536"/>
      <c r="T633" s="635"/>
    </row>
    <row r="634" spans="1:68" s="529" customFormat="1" ht="12.75">
      <c r="A634" s="286"/>
      <c r="B634" s="293"/>
      <c r="C634" s="229"/>
      <c r="D634" s="230"/>
      <c r="E634" s="230"/>
      <c r="F634" s="230"/>
      <c r="G634" s="230"/>
      <c r="H634" s="230"/>
      <c r="I634" s="298"/>
      <c r="J634" s="521"/>
      <c r="K634" s="524"/>
      <c r="L634" s="298"/>
      <c r="M634" s="298"/>
      <c r="N634" s="298"/>
      <c r="O634" s="298"/>
      <c r="P634" s="298"/>
      <c r="Q634" s="298"/>
      <c r="R634" s="298"/>
      <c r="S634" s="536"/>
      <c r="T634" s="635"/>
      <c r="U634" s="298"/>
      <c r="V634" s="298"/>
      <c r="W634" s="298"/>
      <c r="X634" s="298"/>
      <c r="Y634" s="298"/>
      <c r="Z634" s="298"/>
      <c r="AA634" s="298"/>
      <c r="AB634" s="298"/>
      <c r="AC634" s="298"/>
      <c r="AD634" s="298"/>
      <c r="AE634" s="298"/>
      <c r="AF634" s="298"/>
      <c r="AG634" s="298"/>
      <c r="AH634" s="298"/>
      <c r="AI634" s="298"/>
      <c r="AJ634" s="298"/>
      <c r="AK634" s="298"/>
      <c r="AL634" s="298"/>
      <c r="AM634" s="298"/>
      <c r="AN634" s="298"/>
      <c r="AO634" s="298"/>
      <c r="AP634" s="298"/>
      <c r="AQ634" s="298"/>
      <c r="AR634" s="298"/>
      <c r="AS634" s="298"/>
      <c r="AT634" s="298"/>
      <c r="AU634" s="298"/>
      <c r="AV634" s="298"/>
      <c r="AW634" s="298"/>
      <c r="AX634" s="298"/>
      <c r="AY634" s="298"/>
      <c r="AZ634" s="298"/>
      <c r="BA634" s="298"/>
      <c r="BB634" s="298"/>
      <c r="BC634" s="298"/>
      <c r="BD634" s="298"/>
      <c r="BE634" s="298"/>
      <c r="BF634" s="298"/>
      <c r="BG634" s="298"/>
      <c r="BH634" s="298"/>
      <c r="BI634" s="298"/>
      <c r="BJ634" s="298"/>
      <c r="BK634" s="298"/>
      <c r="BL634" s="298"/>
      <c r="BM634" s="298"/>
      <c r="BN634" s="298"/>
      <c r="BO634" s="298"/>
      <c r="BP634" s="298"/>
    </row>
    <row r="635" spans="1:68" s="645" customFormat="1" ht="51">
      <c r="A635" s="376"/>
      <c r="B635" s="372" t="s">
        <v>15467</v>
      </c>
      <c r="C635" s="231" t="s">
        <v>24616</v>
      </c>
      <c r="D635" s="232" t="s">
        <v>103</v>
      </c>
      <c r="E635" s="232" t="s">
        <v>3240</v>
      </c>
      <c r="F635" s="233"/>
      <c r="G635" s="234"/>
      <c r="H635" s="235">
        <v>777.73000000000013</v>
      </c>
      <c r="I635" s="298"/>
      <c r="J635" s="521"/>
      <c r="K635" s="524"/>
      <c r="L635" s="298"/>
      <c r="M635" s="298"/>
      <c r="N635" s="298"/>
      <c r="O635" s="298"/>
      <c r="P635" s="298"/>
      <c r="Q635" s="298"/>
      <c r="R635" s="298"/>
      <c r="S635" s="536"/>
      <c r="T635" s="635"/>
      <c r="U635" s="298"/>
      <c r="V635" s="298"/>
      <c r="W635" s="298"/>
      <c r="X635" s="298"/>
      <c r="Y635" s="298"/>
      <c r="Z635" s="298"/>
      <c r="AA635" s="298"/>
      <c r="AB635" s="298"/>
      <c r="AC635" s="298"/>
      <c r="AD635" s="298"/>
      <c r="AE635" s="298"/>
      <c r="AF635" s="298"/>
      <c r="AG635" s="298"/>
      <c r="AH635" s="298"/>
      <c r="AI635" s="298"/>
      <c r="AJ635" s="298"/>
      <c r="AK635" s="298"/>
      <c r="AL635" s="298"/>
      <c r="AM635" s="298"/>
      <c r="AN635" s="298"/>
      <c r="AO635" s="298"/>
      <c r="AP635" s="298"/>
      <c r="AQ635" s="298"/>
      <c r="AR635" s="298"/>
      <c r="AS635" s="298"/>
      <c r="AT635" s="298"/>
      <c r="AU635" s="298"/>
      <c r="AV635" s="298"/>
      <c r="AW635" s="298"/>
      <c r="AX635" s="298"/>
      <c r="AY635" s="298"/>
      <c r="AZ635" s="298"/>
      <c r="BA635" s="298"/>
      <c r="BB635" s="298"/>
      <c r="BC635" s="298"/>
      <c r="BD635" s="298"/>
      <c r="BE635" s="298"/>
      <c r="BF635" s="298"/>
      <c r="BG635" s="298"/>
      <c r="BH635" s="298"/>
      <c r="BI635" s="298"/>
      <c r="BJ635" s="298"/>
      <c r="BK635" s="298"/>
      <c r="BL635" s="298"/>
      <c r="BM635" s="298"/>
      <c r="BN635" s="298"/>
      <c r="BO635" s="298"/>
      <c r="BP635" s="298"/>
    </row>
    <row r="636" spans="1:68" s="298" customFormat="1" ht="76.5">
      <c r="A636" s="256" t="s">
        <v>3259</v>
      </c>
      <c r="B636" s="374">
        <v>94559</v>
      </c>
      <c r="C636" s="289" t="s">
        <v>9151</v>
      </c>
      <c r="D636" s="290" t="s">
        <v>229</v>
      </c>
      <c r="E636" s="290" t="s">
        <v>193</v>
      </c>
      <c r="F636" s="254">
        <v>0.84</v>
      </c>
      <c r="G636" s="292" t="s">
        <v>22101</v>
      </c>
      <c r="H636" s="255">
        <v>554.47</v>
      </c>
      <c r="J636" s="521"/>
      <c r="K636" s="524"/>
      <c r="S636" s="536"/>
      <c r="T636" s="638"/>
    </row>
    <row r="637" spans="1:68" s="298" customFormat="1" ht="38.25">
      <c r="A637" s="256" t="s">
        <v>3259</v>
      </c>
      <c r="B637" s="374">
        <v>102162</v>
      </c>
      <c r="C637" s="289" t="s">
        <v>12777</v>
      </c>
      <c r="D637" s="290" t="s">
        <v>229</v>
      </c>
      <c r="E637" s="290" t="s">
        <v>193</v>
      </c>
      <c r="F637" s="254">
        <v>0.84</v>
      </c>
      <c r="G637" s="292" t="s">
        <v>22134</v>
      </c>
      <c r="H637" s="255">
        <v>190.19</v>
      </c>
      <c r="J637" s="760"/>
      <c r="K637" s="524"/>
      <c r="S637" s="536"/>
      <c r="T637" s="638"/>
    </row>
    <row r="638" spans="1:68" s="298" customFormat="1" ht="76.5">
      <c r="A638" s="256" t="s">
        <v>3259</v>
      </c>
      <c r="B638" s="374">
        <v>100745</v>
      </c>
      <c r="C638" s="289" t="s">
        <v>23999</v>
      </c>
      <c r="D638" s="290" t="s">
        <v>229</v>
      </c>
      <c r="E638" s="290" t="s">
        <v>193</v>
      </c>
      <c r="F638" s="254">
        <v>1.68</v>
      </c>
      <c r="G638" s="292" t="s">
        <v>10491</v>
      </c>
      <c r="H638" s="255">
        <v>33.07</v>
      </c>
      <c r="J638" s="521"/>
      <c r="K638" s="524"/>
      <c r="S638" s="536"/>
      <c r="T638" s="638"/>
    </row>
    <row r="639" spans="1:68" s="298" customFormat="1" ht="12.75">
      <c r="A639" s="256"/>
      <c r="B639" s="288" t="s">
        <v>143</v>
      </c>
      <c r="C639" s="603" t="s">
        <v>15438</v>
      </c>
      <c r="D639" s="386"/>
      <c r="E639" s="386"/>
      <c r="F639" s="386"/>
      <c r="G639" s="386"/>
      <c r="H639" s="387"/>
      <c r="J639" s="521"/>
      <c r="K639" s="524"/>
      <c r="S639" s="536"/>
      <c r="T639" s="635"/>
    </row>
    <row r="640" spans="1:68" s="529" customFormat="1" ht="12.75">
      <c r="A640" s="286"/>
      <c r="B640" s="293"/>
      <c r="C640" s="229"/>
      <c r="D640" s="230"/>
      <c r="E640" s="230"/>
      <c r="F640" s="230"/>
      <c r="G640" s="230"/>
      <c r="H640" s="230"/>
      <c r="I640" s="298"/>
      <c r="J640" s="521"/>
      <c r="K640" s="524"/>
      <c r="L640" s="298"/>
      <c r="M640" s="298"/>
      <c r="N640" s="298"/>
      <c r="O640" s="298"/>
      <c r="P640" s="298"/>
      <c r="Q640" s="298"/>
      <c r="R640" s="298"/>
      <c r="S640" s="536"/>
      <c r="T640" s="635"/>
      <c r="U640" s="298"/>
      <c r="V640" s="298"/>
      <c r="W640" s="298"/>
      <c r="X640" s="298"/>
      <c r="Y640" s="298"/>
      <c r="Z640" s="298"/>
      <c r="AA640" s="298"/>
      <c r="AB640" s="298"/>
      <c r="AC640" s="298"/>
      <c r="AD640" s="298"/>
      <c r="AE640" s="298"/>
      <c r="AF640" s="298"/>
      <c r="AG640" s="298"/>
      <c r="AH640" s="298"/>
      <c r="AI640" s="298"/>
      <c r="AJ640" s="298"/>
      <c r="AK640" s="298"/>
      <c r="AL640" s="298"/>
      <c r="AM640" s="298"/>
      <c r="AN640" s="298"/>
      <c r="AO640" s="298"/>
      <c r="AP640" s="298"/>
      <c r="AQ640" s="298"/>
      <c r="AR640" s="298"/>
      <c r="AS640" s="298"/>
      <c r="AT640" s="298"/>
      <c r="AU640" s="298"/>
      <c r="AV640" s="298"/>
      <c r="AW640" s="298"/>
      <c r="AX640" s="298"/>
      <c r="AY640" s="298"/>
      <c r="AZ640" s="298"/>
      <c r="BA640" s="298"/>
      <c r="BB640" s="298"/>
      <c r="BC640" s="298"/>
      <c r="BD640" s="298"/>
      <c r="BE640" s="298"/>
      <c r="BF640" s="298"/>
      <c r="BG640" s="298"/>
      <c r="BH640" s="298"/>
      <c r="BI640" s="298"/>
      <c r="BJ640" s="298"/>
      <c r="BK640" s="298"/>
      <c r="BL640" s="298"/>
      <c r="BM640" s="298"/>
      <c r="BN640" s="298"/>
      <c r="BO640" s="298"/>
      <c r="BP640" s="298"/>
    </row>
    <row r="641" spans="1:68" s="645" customFormat="1" ht="51">
      <c r="A641" s="376"/>
      <c r="B641" s="372" t="s">
        <v>15468</v>
      </c>
      <c r="C641" s="231" t="s">
        <v>24617</v>
      </c>
      <c r="D641" s="232" t="s">
        <v>103</v>
      </c>
      <c r="E641" s="232" t="s">
        <v>3240</v>
      </c>
      <c r="F641" s="233"/>
      <c r="G641" s="234"/>
      <c r="H641" s="235">
        <v>1036.99</v>
      </c>
      <c r="I641" s="298"/>
      <c r="J641" s="521"/>
      <c r="K641" s="524"/>
      <c r="L641" s="298"/>
      <c r="M641" s="298"/>
      <c r="N641" s="298"/>
      <c r="O641" s="298"/>
      <c r="P641" s="298"/>
      <c r="Q641" s="298"/>
      <c r="R641" s="298"/>
      <c r="S641" s="536"/>
      <c r="T641" s="635"/>
      <c r="U641" s="298"/>
      <c r="V641" s="298"/>
      <c r="W641" s="298"/>
      <c r="X641" s="298"/>
      <c r="Y641" s="298"/>
      <c r="Z641" s="298"/>
      <c r="AA641" s="298"/>
      <c r="AB641" s="298"/>
      <c r="AC641" s="298"/>
      <c r="AD641" s="298"/>
      <c r="AE641" s="298"/>
      <c r="AF641" s="298"/>
      <c r="AG641" s="298"/>
      <c r="AH641" s="298"/>
      <c r="AI641" s="298"/>
      <c r="AJ641" s="298"/>
      <c r="AK641" s="298"/>
      <c r="AL641" s="298"/>
      <c r="AM641" s="298"/>
      <c r="AN641" s="298"/>
      <c r="AO641" s="298"/>
      <c r="AP641" s="298"/>
      <c r="AQ641" s="298"/>
      <c r="AR641" s="298"/>
      <c r="AS641" s="298"/>
      <c r="AT641" s="298"/>
      <c r="AU641" s="298"/>
      <c r="AV641" s="298"/>
      <c r="AW641" s="298"/>
      <c r="AX641" s="298"/>
      <c r="AY641" s="298"/>
      <c r="AZ641" s="298"/>
      <c r="BA641" s="298"/>
      <c r="BB641" s="298"/>
      <c r="BC641" s="298"/>
      <c r="BD641" s="298"/>
      <c r="BE641" s="298"/>
      <c r="BF641" s="298"/>
      <c r="BG641" s="298"/>
      <c r="BH641" s="298"/>
      <c r="BI641" s="298"/>
      <c r="BJ641" s="298"/>
      <c r="BK641" s="298"/>
      <c r="BL641" s="298"/>
      <c r="BM641" s="298"/>
      <c r="BN641" s="298"/>
      <c r="BO641" s="298"/>
      <c r="BP641" s="298"/>
    </row>
    <row r="642" spans="1:68" s="298" customFormat="1" ht="76.5">
      <c r="A642" s="256" t="s">
        <v>3259</v>
      </c>
      <c r="B642" s="374">
        <v>94559</v>
      </c>
      <c r="C642" s="289" t="s">
        <v>9151</v>
      </c>
      <c r="D642" s="290" t="s">
        <v>229</v>
      </c>
      <c r="E642" s="290" t="s">
        <v>193</v>
      </c>
      <c r="F642" s="254">
        <v>1.1199999999999999</v>
      </c>
      <c r="G642" s="292" t="s">
        <v>22101</v>
      </c>
      <c r="H642" s="255">
        <v>739.3</v>
      </c>
      <c r="J642" s="521"/>
      <c r="K642" s="524"/>
      <c r="S642" s="536"/>
      <c r="T642" s="638"/>
    </row>
    <row r="643" spans="1:68" s="298" customFormat="1" ht="38.25">
      <c r="A643" s="256" t="s">
        <v>3259</v>
      </c>
      <c r="B643" s="374">
        <v>102162</v>
      </c>
      <c r="C643" s="289" t="s">
        <v>12777</v>
      </c>
      <c r="D643" s="290" t="s">
        <v>229</v>
      </c>
      <c r="E643" s="290" t="s">
        <v>193</v>
      </c>
      <c r="F643" s="254">
        <v>1.1199999999999999</v>
      </c>
      <c r="G643" s="292" t="s">
        <v>22134</v>
      </c>
      <c r="H643" s="255">
        <v>253.59</v>
      </c>
      <c r="J643" s="760"/>
      <c r="K643" s="524"/>
      <c r="S643" s="536"/>
      <c r="T643" s="638"/>
    </row>
    <row r="644" spans="1:68" s="298" customFormat="1" ht="76.5">
      <c r="A644" s="256" t="s">
        <v>3259</v>
      </c>
      <c r="B644" s="374">
        <v>100745</v>
      </c>
      <c r="C644" s="289" t="s">
        <v>23999</v>
      </c>
      <c r="D644" s="290" t="s">
        <v>229</v>
      </c>
      <c r="E644" s="290" t="s">
        <v>193</v>
      </c>
      <c r="F644" s="254">
        <v>2.2399999999999998</v>
      </c>
      <c r="G644" s="292" t="s">
        <v>10491</v>
      </c>
      <c r="H644" s="255">
        <v>44.1</v>
      </c>
      <c r="J644" s="521"/>
      <c r="K644" s="524"/>
      <c r="S644" s="536"/>
      <c r="T644" s="638"/>
    </row>
    <row r="645" spans="1:68" s="298" customFormat="1" ht="12.75">
      <c r="A645" s="256"/>
      <c r="B645" s="288" t="s">
        <v>143</v>
      </c>
      <c r="C645" s="603" t="s">
        <v>15438</v>
      </c>
      <c r="D645" s="386"/>
      <c r="E645" s="386"/>
      <c r="F645" s="386"/>
      <c r="G645" s="386"/>
      <c r="H645" s="387"/>
      <c r="J645" s="521"/>
      <c r="K645" s="524"/>
      <c r="S645" s="536"/>
      <c r="T645" s="635"/>
    </row>
    <row r="646" spans="1:68" s="529" customFormat="1" ht="12.75">
      <c r="A646" s="286"/>
      <c r="B646" s="293"/>
      <c r="C646" s="229"/>
      <c r="D646" s="230"/>
      <c r="E646" s="230"/>
      <c r="F646" s="230"/>
      <c r="G646" s="230"/>
      <c r="H646" s="230"/>
      <c r="I646" s="298"/>
      <c r="J646" s="521"/>
      <c r="K646" s="524"/>
      <c r="L646" s="298"/>
      <c r="M646" s="298"/>
      <c r="N646" s="298"/>
      <c r="O646" s="298"/>
      <c r="P646" s="298"/>
      <c r="Q646" s="298"/>
      <c r="R646" s="298"/>
      <c r="S646" s="536"/>
      <c r="T646" s="635"/>
      <c r="U646" s="298"/>
      <c r="V646" s="298"/>
      <c r="W646" s="298"/>
      <c r="X646" s="298"/>
      <c r="Y646" s="298"/>
      <c r="Z646" s="298"/>
      <c r="AA646" s="298"/>
      <c r="AB646" s="298"/>
      <c r="AC646" s="298"/>
      <c r="AD646" s="298"/>
      <c r="AE646" s="298"/>
      <c r="AF646" s="298"/>
      <c r="AG646" s="298"/>
      <c r="AH646" s="298"/>
      <c r="AI646" s="298"/>
      <c r="AJ646" s="298"/>
      <c r="AK646" s="298"/>
      <c r="AL646" s="298"/>
      <c r="AM646" s="298"/>
      <c r="AN646" s="298"/>
      <c r="AO646" s="298"/>
      <c r="AP646" s="298"/>
      <c r="AQ646" s="298"/>
      <c r="AR646" s="298"/>
      <c r="AS646" s="298"/>
      <c r="AT646" s="298"/>
      <c r="AU646" s="298"/>
      <c r="AV646" s="298"/>
      <c r="AW646" s="298"/>
      <c r="AX646" s="298"/>
      <c r="AY646" s="298"/>
      <c r="AZ646" s="298"/>
      <c r="BA646" s="298"/>
      <c r="BB646" s="298"/>
      <c r="BC646" s="298"/>
      <c r="BD646" s="298"/>
      <c r="BE646" s="298"/>
      <c r="BF646" s="298"/>
      <c r="BG646" s="298"/>
      <c r="BH646" s="298"/>
      <c r="BI646" s="298"/>
      <c r="BJ646" s="298"/>
      <c r="BK646" s="298"/>
      <c r="BL646" s="298"/>
      <c r="BM646" s="298"/>
      <c r="BN646" s="298"/>
      <c r="BO646" s="298"/>
      <c r="BP646" s="298"/>
    </row>
    <row r="647" spans="1:68" s="645" customFormat="1" ht="51">
      <c r="A647" s="376"/>
      <c r="B647" s="372" t="s">
        <v>15469</v>
      </c>
      <c r="C647" s="231" t="s">
        <v>24629</v>
      </c>
      <c r="D647" s="232" t="s">
        <v>103</v>
      </c>
      <c r="E647" s="232" t="s">
        <v>3240</v>
      </c>
      <c r="F647" s="233"/>
      <c r="G647" s="234"/>
      <c r="H647" s="235">
        <v>3679.0699999999997</v>
      </c>
      <c r="I647" s="298"/>
      <c r="J647" s="521"/>
      <c r="K647" s="524"/>
      <c r="L647" s="298"/>
      <c r="M647" s="298"/>
      <c r="N647" s="298"/>
      <c r="O647" s="298"/>
      <c r="P647" s="298"/>
      <c r="Q647" s="298"/>
      <c r="R647" s="298"/>
      <c r="S647" s="536"/>
      <c r="T647" s="635"/>
      <c r="U647" s="298"/>
      <c r="V647" s="298"/>
      <c r="W647" s="298"/>
      <c r="X647" s="298"/>
      <c r="Y647" s="298"/>
      <c r="Z647" s="298"/>
      <c r="AA647" s="298"/>
      <c r="AB647" s="298"/>
      <c r="AC647" s="298"/>
      <c r="AD647" s="298"/>
      <c r="AE647" s="298"/>
      <c r="AF647" s="298"/>
      <c r="AG647" s="298"/>
      <c r="AH647" s="298"/>
      <c r="AI647" s="298"/>
      <c r="AJ647" s="298"/>
      <c r="AK647" s="298"/>
      <c r="AL647" s="298"/>
      <c r="AM647" s="298"/>
      <c r="AN647" s="298"/>
      <c r="AO647" s="298"/>
      <c r="AP647" s="298"/>
      <c r="AQ647" s="298"/>
      <c r="AR647" s="298"/>
      <c r="AS647" s="298"/>
      <c r="AT647" s="298"/>
      <c r="AU647" s="298"/>
      <c r="AV647" s="298"/>
      <c r="AW647" s="298"/>
      <c r="AX647" s="298"/>
      <c r="AY647" s="298"/>
      <c r="AZ647" s="298"/>
      <c r="BA647" s="298"/>
      <c r="BB647" s="298"/>
      <c r="BC647" s="298"/>
      <c r="BD647" s="298"/>
      <c r="BE647" s="298"/>
      <c r="BF647" s="298"/>
      <c r="BG647" s="298"/>
      <c r="BH647" s="298"/>
      <c r="BI647" s="298"/>
      <c r="BJ647" s="298"/>
      <c r="BK647" s="298"/>
      <c r="BL647" s="298"/>
      <c r="BM647" s="298"/>
      <c r="BN647" s="298"/>
      <c r="BO647" s="298"/>
      <c r="BP647" s="298"/>
    </row>
    <row r="648" spans="1:68" s="298" customFormat="1" ht="63.75">
      <c r="A648" s="256" t="s">
        <v>3259</v>
      </c>
      <c r="B648" s="374">
        <v>94562</v>
      </c>
      <c r="C648" s="289" t="s">
        <v>9152</v>
      </c>
      <c r="D648" s="290" t="s">
        <v>229</v>
      </c>
      <c r="E648" s="290" t="s">
        <v>193</v>
      </c>
      <c r="F648" s="254">
        <v>4.1580000000000004</v>
      </c>
      <c r="G648" s="292" t="s">
        <v>22102</v>
      </c>
      <c r="H648" s="255">
        <v>2598.54</v>
      </c>
      <c r="J648" s="521"/>
      <c r="K648" s="524"/>
      <c r="S648" s="536"/>
      <c r="T648" s="638"/>
    </row>
    <row r="649" spans="1:68" s="298" customFormat="1" ht="38.25">
      <c r="A649" s="256" t="s">
        <v>3259</v>
      </c>
      <c r="B649" s="374">
        <v>102166</v>
      </c>
      <c r="C649" s="289" t="s">
        <v>12781</v>
      </c>
      <c r="D649" s="290" t="s">
        <v>229</v>
      </c>
      <c r="E649" s="290" t="s">
        <v>193</v>
      </c>
      <c r="F649" s="254">
        <v>4.1580000000000004</v>
      </c>
      <c r="G649" s="292" t="s">
        <v>21000</v>
      </c>
      <c r="H649" s="255">
        <v>916.79</v>
      </c>
      <c r="J649" s="760"/>
      <c r="K649" s="524"/>
      <c r="S649" s="536"/>
      <c r="T649" s="638"/>
    </row>
    <row r="650" spans="1:68" s="298" customFormat="1" ht="76.5">
      <c r="A650" s="256" t="s">
        <v>3259</v>
      </c>
      <c r="B650" s="374">
        <v>100745</v>
      </c>
      <c r="C650" s="289" t="s">
        <v>23999</v>
      </c>
      <c r="D650" s="290" t="s">
        <v>229</v>
      </c>
      <c r="E650" s="290" t="s">
        <v>193</v>
      </c>
      <c r="F650" s="254">
        <v>8.3160000000000007</v>
      </c>
      <c r="G650" s="292" t="s">
        <v>10491</v>
      </c>
      <c r="H650" s="255">
        <v>163.74</v>
      </c>
      <c r="J650" s="521"/>
      <c r="K650" s="524"/>
      <c r="S650" s="536"/>
      <c r="T650" s="638"/>
    </row>
    <row r="651" spans="1:68" s="298" customFormat="1" ht="12.75">
      <c r="A651" s="256"/>
      <c r="B651" s="288" t="s">
        <v>143</v>
      </c>
      <c r="C651" s="603" t="s">
        <v>15438</v>
      </c>
      <c r="D651" s="386"/>
      <c r="E651" s="386"/>
      <c r="F651" s="386"/>
      <c r="G651" s="386"/>
      <c r="H651" s="387"/>
      <c r="J651" s="521"/>
      <c r="K651" s="524"/>
      <c r="S651" s="536"/>
      <c r="T651" s="635"/>
    </row>
    <row r="652" spans="1:68" s="529" customFormat="1" ht="12.75">
      <c r="A652" s="286"/>
      <c r="B652" s="293"/>
      <c r="C652" s="229"/>
      <c r="D652" s="230"/>
      <c r="E652" s="230"/>
      <c r="F652" s="230"/>
      <c r="G652" s="230"/>
      <c r="H652" s="230"/>
      <c r="I652" s="298"/>
      <c r="J652" s="521"/>
      <c r="K652" s="524"/>
      <c r="L652" s="298"/>
      <c r="M652" s="298"/>
      <c r="N652" s="298"/>
      <c r="O652" s="298"/>
      <c r="P652" s="298"/>
      <c r="Q652" s="298"/>
      <c r="R652" s="298"/>
      <c r="S652" s="536"/>
      <c r="T652" s="635"/>
      <c r="U652" s="298"/>
      <c r="V652" s="298"/>
      <c r="W652" s="298"/>
      <c r="X652" s="298"/>
      <c r="Y652" s="298"/>
      <c r="Z652" s="298"/>
      <c r="AA652" s="298"/>
      <c r="AB652" s="298"/>
      <c r="AC652" s="298"/>
      <c r="AD652" s="298"/>
      <c r="AE652" s="298"/>
      <c r="AF652" s="298"/>
      <c r="AG652" s="298"/>
      <c r="AH652" s="298"/>
      <c r="AI652" s="298"/>
      <c r="AJ652" s="298"/>
      <c r="AK652" s="298"/>
      <c r="AL652" s="298"/>
      <c r="AM652" s="298"/>
      <c r="AN652" s="298"/>
      <c r="AO652" s="298"/>
      <c r="AP652" s="298"/>
      <c r="AQ652" s="298"/>
      <c r="AR652" s="298"/>
      <c r="AS652" s="298"/>
      <c r="AT652" s="298"/>
      <c r="AU652" s="298"/>
      <c r="AV652" s="298"/>
      <c r="AW652" s="298"/>
      <c r="AX652" s="298"/>
      <c r="AY652" s="298"/>
      <c r="AZ652" s="298"/>
      <c r="BA652" s="298"/>
      <c r="BB652" s="298"/>
      <c r="BC652" s="298"/>
      <c r="BD652" s="298"/>
      <c r="BE652" s="298"/>
      <c r="BF652" s="298"/>
      <c r="BG652" s="298"/>
      <c r="BH652" s="298"/>
      <c r="BI652" s="298"/>
      <c r="BJ652" s="298"/>
      <c r="BK652" s="298"/>
      <c r="BL652" s="298"/>
      <c r="BM652" s="298"/>
      <c r="BN652" s="298"/>
      <c r="BO652" s="298"/>
      <c r="BP652" s="298"/>
    </row>
    <row r="653" spans="1:68" s="645" customFormat="1" ht="51">
      <c r="A653" s="376"/>
      <c r="B653" s="372" t="s">
        <v>15470</v>
      </c>
      <c r="C653" s="231" t="s">
        <v>24618</v>
      </c>
      <c r="D653" s="232" t="s">
        <v>103</v>
      </c>
      <c r="E653" s="232" t="s">
        <v>3240</v>
      </c>
      <c r="F653" s="233"/>
      <c r="G653" s="234"/>
      <c r="H653" s="235">
        <v>1166.5999999999999</v>
      </c>
      <c r="I653" s="298"/>
      <c r="J653" s="521"/>
      <c r="K653" s="524"/>
      <c r="L653" s="298"/>
      <c r="M653" s="298"/>
      <c r="N653" s="298"/>
      <c r="O653" s="298"/>
      <c r="P653" s="298"/>
      <c r="Q653" s="298"/>
      <c r="R653" s="298"/>
      <c r="S653" s="536"/>
      <c r="T653" s="635"/>
      <c r="U653" s="298"/>
      <c r="V653" s="298"/>
      <c r="W653" s="298"/>
      <c r="X653" s="298"/>
      <c r="Y653" s="298"/>
      <c r="Z653" s="298"/>
      <c r="AA653" s="298"/>
      <c r="AB653" s="298"/>
      <c r="AC653" s="298"/>
      <c r="AD653" s="298"/>
      <c r="AE653" s="298"/>
      <c r="AF653" s="298"/>
      <c r="AG653" s="298"/>
      <c r="AH653" s="298"/>
      <c r="AI653" s="298"/>
      <c r="AJ653" s="298"/>
      <c r="AK653" s="298"/>
      <c r="AL653" s="298"/>
      <c r="AM653" s="298"/>
      <c r="AN653" s="298"/>
      <c r="AO653" s="298"/>
      <c r="AP653" s="298"/>
      <c r="AQ653" s="298"/>
      <c r="AR653" s="298"/>
      <c r="AS653" s="298"/>
      <c r="AT653" s="298"/>
      <c r="AU653" s="298"/>
      <c r="AV653" s="298"/>
      <c r="AW653" s="298"/>
      <c r="AX653" s="298"/>
      <c r="AY653" s="298"/>
      <c r="AZ653" s="298"/>
      <c r="BA653" s="298"/>
      <c r="BB653" s="298"/>
      <c r="BC653" s="298"/>
      <c r="BD653" s="298"/>
      <c r="BE653" s="298"/>
      <c r="BF653" s="298"/>
      <c r="BG653" s="298"/>
      <c r="BH653" s="298"/>
      <c r="BI653" s="298"/>
      <c r="BJ653" s="298"/>
      <c r="BK653" s="298"/>
      <c r="BL653" s="298"/>
      <c r="BM653" s="298"/>
      <c r="BN653" s="298"/>
      <c r="BO653" s="298"/>
      <c r="BP653" s="298"/>
    </row>
    <row r="654" spans="1:68" s="298" customFormat="1" ht="76.5">
      <c r="A654" s="256" t="s">
        <v>3259</v>
      </c>
      <c r="B654" s="374">
        <v>94559</v>
      </c>
      <c r="C654" s="289" t="s">
        <v>9151</v>
      </c>
      <c r="D654" s="290" t="s">
        <v>229</v>
      </c>
      <c r="E654" s="290" t="s">
        <v>193</v>
      </c>
      <c r="F654" s="254">
        <v>1.26</v>
      </c>
      <c r="G654" s="292" t="s">
        <v>22101</v>
      </c>
      <c r="H654" s="255">
        <v>831.71</v>
      </c>
      <c r="J654" s="521"/>
      <c r="K654" s="524"/>
      <c r="S654" s="536"/>
      <c r="T654" s="638"/>
    </row>
    <row r="655" spans="1:68" s="298" customFormat="1" ht="38.25">
      <c r="A655" s="256" t="s">
        <v>3259</v>
      </c>
      <c r="B655" s="374">
        <v>102162</v>
      </c>
      <c r="C655" s="289" t="s">
        <v>12777</v>
      </c>
      <c r="D655" s="290" t="s">
        <v>229</v>
      </c>
      <c r="E655" s="290" t="s">
        <v>193</v>
      </c>
      <c r="F655" s="254">
        <v>1.26</v>
      </c>
      <c r="G655" s="292" t="s">
        <v>22134</v>
      </c>
      <c r="H655" s="255">
        <v>285.27999999999997</v>
      </c>
      <c r="J655" s="760"/>
      <c r="K655" s="524"/>
      <c r="S655" s="536"/>
      <c r="T655" s="638"/>
    </row>
    <row r="656" spans="1:68" s="298" customFormat="1" ht="76.5">
      <c r="A656" s="256" t="s">
        <v>3259</v>
      </c>
      <c r="B656" s="374">
        <v>100745</v>
      </c>
      <c r="C656" s="289" t="s">
        <v>23999</v>
      </c>
      <c r="D656" s="290" t="s">
        <v>229</v>
      </c>
      <c r="E656" s="290" t="s">
        <v>193</v>
      </c>
      <c r="F656" s="254">
        <v>2.52</v>
      </c>
      <c r="G656" s="292" t="s">
        <v>10491</v>
      </c>
      <c r="H656" s="255">
        <v>49.61</v>
      </c>
      <c r="J656" s="521"/>
      <c r="K656" s="524"/>
      <c r="S656" s="536"/>
      <c r="T656" s="638"/>
    </row>
    <row r="657" spans="1:68" s="298" customFormat="1" ht="12.75">
      <c r="A657" s="256"/>
      <c r="B657" s="288" t="s">
        <v>143</v>
      </c>
      <c r="C657" s="603" t="s">
        <v>15438</v>
      </c>
      <c r="D657" s="386"/>
      <c r="E657" s="386"/>
      <c r="F657" s="386"/>
      <c r="G657" s="386"/>
      <c r="H657" s="387"/>
      <c r="J657" s="521"/>
      <c r="K657" s="524"/>
      <c r="S657" s="536"/>
      <c r="T657" s="635"/>
    </row>
    <row r="658" spans="1:68" s="529" customFormat="1" ht="12.75">
      <c r="A658" s="286"/>
      <c r="B658" s="293"/>
      <c r="C658" s="229"/>
      <c r="D658" s="230"/>
      <c r="E658" s="230"/>
      <c r="F658" s="230"/>
      <c r="G658" s="230"/>
      <c r="H658" s="230"/>
      <c r="I658" s="298"/>
      <c r="J658" s="521"/>
      <c r="K658" s="524"/>
      <c r="L658" s="298"/>
      <c r="M658" s="298"/>
      <c r="N658" s="298"/>
      <c r="O658" s="298"/>
      <c r="P658" s="298"/>
      <c r="Q658" s="298"/>
      <c r="R658" s="298"/>
      <c r="S658" s="536"/>
      <c r="T658" s="635"/>
      <c r="U658" s="298"/>
      <c r="V658" s="298"/>
      <c r="W658" s="298"/>
      <c r="X658" s="298"/>
      <c r="Y658" s="298"/>
      <c r="Z658" s="298"/>
      <c r="AA658" s="298"/>
      <c r="AB658" s="298"/>
      <c r="AC658" s="298"/>
      <c r="AD658" s="298"/>
      <c r="AE658" s="298"/>
      <c r="AF658" s="298"/>
      <c r="AG658" s="298"/>
      <c r="AH658" s="298"/>
      <c r="AI658" s="298"/>
      <c r="AJ658" s="298"/>
      <c r="AK658" s="298"/>
      <c r="AL658" s="298"/>
      <c r="AM658" s="298"/>
      <c r="AN658" s="298"/>
      <c r="AO658" s="298"/>
      <c r="AP658" s="298"/>
      <c r="AQ658" s="298"/>
      <c r="AR658" s="298"/>
      <c r="AS658" s="298"/>
      <c r="AT658" s="298"/>
      <c r="AU658" s="298"/>
      <c r="AV658" s="298"/>
      <c r="AW658" s="298"/>
      <c r="AX658" s="298"/>
      <c r="AY658" s="298"/>
      <c r="AZ658" s="298"/>
      <c r="BA658" s="298"/>
      <c r="BB658" s="298"/>
      <c r="BC658" s="298"/>
      <c r="BD658" s="298"/>
      <c r="BE658" s="298"/>
      <c r="BF658" s="298"/>
      <c r="BG658" s="298"/>
      <c r="BH658" s="298"/>
      <c r="BI658" s="298"/>
      <c r="BJ658" s="298"/>
      <c r="BK658" s="298"/>
      <c r="BL658" s="298"/>
      <c r="BM658" s="298"/>
      <c r="BN658" s="298"/>
      <c r="BO658" s="298"/>
      <c r="BP658" s="298"/>
    </row>
    <row r="659" spans="1:68" s="645" customFormat="1" ht="51">
      <c r="A659" s="376"/>
      <c r="B659" s="372" t="s">
        <v>15471</v>
      </c>
      <c r="C659" s="231" t="s">
        <v>24619</v>
      </c>
      <c r="D659" s="232" t="s">
        <v>103</v>
      </c>
      <c r="E659" s="232" t="s">
        <v>3240</v>
      </c>
      <c r="F659" s="233"/>
      <c r="G659" s="234"/>
      <c r="H659" s="235">
        <v>1555.48</v>
      </c>
      <c r="I659" s="298"/>
      <c r="J659" s="521"/>
      <c r="K659" s="524"/>
      <c r="L659" s="298"/>
      <c r="M659" s="298"/>
      <c r="N659" s="298"/>
      <c r="O659" s="298"/>
      <c r="P659" s="298"/>
      <c r="Q659" s="298"/>
      <c r="R659" s="298"/>
      <c r="S659" s="536"/>
      <c r="T659" s="635"/>
      <c r="U659" s="298"/>
      <c r="V659" s="298"/>
      <c r="W659" s="298"/>
      <c r="X659" s="298"/>
      <c r="Y659" s="298"/>
      <c r="Z659" s="298"/>
      <c r="AA659" s="298"/>
      <c r="AB659" s="298"/>
      <c r="AC659" s="298"/>
      <c r="AD659" s="298"/>
      <c r="AE659" s="298"/>
      <c r="AF659" s="298"/>
      <c r="AG659" s="298"/>
      <c r="AH659" s="298"/>
      <c r="AI659" s="298"/>
      <c r="AJ659" s="298"/>
      <c r="AK659" s="298"/>
      <c r="AL659" s="298"/>
      <c r="AM659" s="298"/>
      <c r="AN659" s="298"/>
      <c r="AO659" s="298"/>
      <c r="AP659" s="298"/>
      <c r="AQ659" s="298"/>
      <c r="AR659" s="298"/>
      <c r="AS659" s="298"/>
      <c r="AT659" s="298"/>
      <c r="AU659" s="298"/>
      <c r="AV659" s="298"/>
      <c r="AW659" s="298"/>
      <c r="AX659" s="298"/>
      <c r="AY659" s="298"/>
      <c r="AZ659" s="298"/>
      <c r="BA659" s="298"/>
      <c r="BB659" s="298"/>
      <c r="BC659" s="298"/>
      <c r="BD659" s="298"/>
      <c r="BE659" s="298"/>
      <c r="BF659" s="298"/>
      <c r="BG659" s="298"/>
      <c r="BH659" s="298"/>
      <c r="BI659" s="298"/>
      <c r="BJ659" s="298"/>
      <c r="BK659" s="298"/>
      <c r="BL659" s="298"/>
      <c r="BM659" s="298"/>
      <c r="BN659" s="298"/>
      <c r="BO659" s="298"/>
      <c r="BP659" s="298"/>
    </row>
    <row r="660" spans="1:68" s="298" customFormat="1" ht="76.5">
      <c r="A660" s="256" t="s">
        <v>3259</v>
      </c>
      <c r="B660" s="374">
        <v>94559</v>
      </c>
      <c r="C660" s="289" t="s">
        <v>9151</v>
      </c>
      <c r="D660" s="290" t="s">
        <v>229</v>
      </c>
      <c r="E660" s="290" t="s">
        <v>193</v>
      </c>
      <c r="F660" s="254">
        <v>1.68</v>
      </c>
      <c r="G660" s="292" t="s">
        <v>22101</v>
      </c>
      <c r="H660" s="255">
        <v>1108.95</v>
      </c>
      <c r="J660" s="521"/>
      <c r="K660" s="524"/>
      <c r="S660" s="536"/>
      <c r="T660" s="638"/>
    </row>
    <row r="661" spans="1:68" s="298" customFormat="1" ht="38.25">
      <c r="A661" s="256" t="s">
        <v>3259</v>
      </c>
      <c r="B661" s="374">
        <v>102162</v>
      </c>
      <c r="C661" s="289" t="s">
        <v>12777</v>
      </c>
      <c r="D661" s="290" t="s">
        <v>229</v>
      </c>
      <c r="E661" s="290" t="s">
        <v>193</v>
      </c>
      <c r="F661" s="254">
        <v>1.68</v>
      </c>
      <c r="G661" s="292" t="s">
        <v>22134</v>
      </c>
      <c r="H661" s="255">
        <v>380.38</v>
      </c>
      <c r="J661" s="760"/>
      <c r="K661" s="524"/>
      <c r="S661" s="536"/>
      <c r="T661" s="638"/>
    </row>
    <row r="662" spans="1:68" s="298" customFormat="1" ht="76.5">
      <c r="A662" s="256" t="s">
        <v>3259</v>
      </c>
      <c r="B662" s="374">
        <v>100745</v>
      </c>
      <c r="C662" s="289" t="s">
        <v>23999</v>
      </c>
      <c r="D662" s="290" t="s">
        <v>229</v>
      </c>
      <c r="E662" s="290" t="s">
        <v>193</v>
      </c>
      <c r="F662" s="254">
        <v>3.36</v>
      </c>
      <c r="G662" s="292" t="s">
        <v>10491</v>
      </c>
      <c r="H662" s="255">
        <v>66.150000000000006</v>
      </c>
      <c r="J662" s="521"/>
      <c r="K662" s="524"/>
      <c r="S662" s="536"/>
      <c r="T662" s="638"/>
    </row>
    <row r="663" spans="1:68" s="298" customFormat="1" ht="12.75">
      <c r="A663" s="256"/>
      <c r="B663" s="288" t="s">
        <v>143</v>
      </c>
      <c r="C663" s="603" t="s">
        <v>15438</v>
      </c>
      <c r="D663" s="386"/>
      <c r="E663" s="386"/>
      <c r="F663" s="386"/>
      <c r="G663" s="386"/>
      <c r="H663" s="387"/>
      <c r="J663" s="521"/>
      <c r="K663" s="524"/>
      <c r="S663" s="536"/>
      <c r="T663" s="635"/>
    </row>
    <row r="664" spans="1:68" s="529" customFormat="1" ht="12.75">
      <c r="A664" s="286"/>
      <c r="B664" s="293"/>
      <c r="C664" s="229"/>
      <c r="D664" s="230"/>
      <c r="E664" s="230"/>
      <c r="F664" s="230"/>
      <c r="G664" s="230"/>
      <c r="H664" s="230"/>
      <c r="I664" s="298"/>
      <c r="J664" s="521"/>
      <c r="K664" s="524"/>
      <c r="L664" s="298"/>
      <c r="M664" s="298"/>
      <c r="N664" s="298"/>
      <c r="O664" s="298"/>
      <c r="P664" s="298"/>
      <c r="Q664" s="298"/>
      <c r="R664" s="298"/>
      <c r="S664" s="536"/>
      <c r="T664" s="635"/>
      <c r="U664" s="298"/>
      <c r="V664" s="298"/>
      <c r="W664" s="298"/>
      <c r="X664" s="298"/>
      <c r="Y664" s="298"/>
      <c r="Z664" s="298"/>
      <c r="AA664" s="298"/>
      <c r="AB664" s="298"/>
      <c r="AC664" s="298"/>
      <c r="AD664" s="298"/>
      <c r="AE664" s="298"/>
      <c r="AF664" s="298"/>
      <c r="AG664" s="298"/>
      <c r="AH664" s="298"/>
      <c r="AI664" s="298"/>
      <c r="AJ664" s="298"/>
      <c r="AK664" s="298"/>
      <c r="AL664" s="298"/>
      <c r="AM664" s="298"/>
      <c r="AN664" s="298"/>
      <c r="AO664" s="298"/>
      <c r="AP664" s="298"/>
      <c r="AQ664" s="298"/>
      <c r="AR664" s="298"/>
      <c r="AS664" s="298"/>
      <c r="AT664" s="298"/>
      <c r="AU664" s="298"/>
      <c r="AV664" s="298"/>
      <c r="AW664" s="298"/>
      <c r="AX664" s="298"/>
      <c r="AY664" s="298"/>
      <c r="AZ664" s="298"/>
      <c r="BA664" s="298"/>
      <c r="BB664" s="298"/>
      <c r="BC664" s="298"/>
      <c r="BD664" s="298"/>
      <c r="BE664" s="298"/>
      <c r="BF664" s="298"/>
      <c r="BG664" s="298"/>
      <c r="BH664" s="298"/>
      <c r="BI664" s="298"/>
      <c r="BJ664" s="298"/>
      <c r="BK664" s="298"/>
      <c r="BL664" s="298"/>
      <c r="BM664" s="298"/>
      <c r="BN664" s="298"/>
      <c r="BO664" s="298"/>
      <c r="BP664" s="298"/>
    </row>
    <row r="665" spans="1:68" s="645" customFormat="1" ht="51">
      <c r="A665" s="376"/>
      <c r="B665" s="372" t="s">
        <v>15472</v>
      </c>
      <c r="C665" s="231" t="s">
        <v>24620</v>
      </c>
      <c r="D665" s="232" t="s">
        <v>103</v>
      </c>
      <c r="E665" s="232" t="s">
        <v>3240</v>
      </c>
      <c r="F665" s="233"/>
      <c r="G665" s="234"/>
      <c r="H665" s="235">
        <v>1620.2900000000002</v>
      </c>
      <c r="I665" s="298"/>
      <c r="J665" s="521"/>
      <c r="K665" s="524"/>
      <c r="L665" s="298"/>
      <c r="M665" s="298"/>
      <c r="N665" s="298"/>
      <c r="O665" s="298"/>
      <c r="P665" s="298"/>
      <c r="Q665" s="298"/>
      <c r="R665" s="298"/>
      <c r="S665" s="536"/>
      <c r="T665" s="635"/>
      <c r="U665" s="298"/>
      <c r="V665" s="298"/>
      <c r="W665" s="298"/>
      <c r="X665" s="298"/>
      <c r="Y665" s="298"/>
      <c r="Z665" s="298"/>
      <c r="AA665" s="298"/>
      <c r="AB665" s="298"/>
      <c r="AC665" s="298"/>
      <c r="AD665" s="298"/>
      <c r="AE665" s="298"/>
      <c r="AF665" s="298"/>
      <c r="AG665" s="298"/>
      <c r="AH665" s="298"/>
      <c r="AI665" s="298"/>
      <c r="AJ665" s="298"/>
      <c r="AK665" s="298"/>
      <c r="AL665" s="298"/>
      <c r="AM665" s="298"/>
      <c r="AN665" s="298"/>
      <c r="AO665" s="298"/>
      <c r="AP665" s="298"/>
      <c r="AQ665" s="298"/>
      <c r="AR665" s="298"/>
      <c r="AS665" s="298"/>
      <c r="AT665" s="298"/>
      <c r="AU665" s="298"/>
      <c r="AV665" s="298"/>
      <c r="AW665" s="298"/>
      <c r="AX665" s="298"/>
      <c r="AY665" s="298"/>
      <c r="AZ665" s="298"/>
      <c r="BA665" s="298"/>
      <c r="BB665" s="298"/>
      <c r="BC665" s="298"/>
      <c r="BD665" s="298"/>
      <c r="BE665" s="298"/>
      <c r="BF665" s="298"/>
      <c r="BG665" s="298"/>
      <c r="BH665" s="298"/>
      <c r="BI665" s="298"/>
      <c r="BJ665" s="298"/>
      <c r="BK665" s="298"/>
      <c r="BL665" s="298"/>
      <c r="BM665" s="298"/>
      <c r="BN665" s="298"/>
      <c r="BO665" s="298"/>
      <c r="BP665" s="298"/>
    </row>
    <row r="666" spans="1:68" s="298" customFormat="1" ht="76.5">
      <c r="A666" s="256" t="s">
        <v>3259</v>
      </c>
      <c r="B666" s="374">
        <v>94559</v>
      </c>
      <c r="C666" s="289" t="s">
        <v>9151</v>
      </c>
      <c r="D666" s="290" t="s">
        <v>229</v>
      </c>
      <c r="E666" s="290" t="s">
        <v>193</v>
      </c>
      <c r="F666" s="254">
        <v>1.75</v>
      </c>
      <c r="G666" s="292" t="s">
        <v>22101</v>
      </c>
      <c r="H666" s="255">
        <v>1155.1500000000001</v>
      </c>
      <c r="J666" s="521"/>
      <c r="K666" s="524"/>
      <c r="S666" s="536"/>
      <c r="T666" s="638"/>
    </row>
    <row r="667" spans="1:68" s="298" customFormat="1" ht="38.25">
      <c r="A667" s="256" t="s">
        <v>3259</v>
      </c>
      <c r="B667" s="374">
        <v>102162</v>
      </c>
      <c r="C667" s="289" t="s">
        <v>12777</v>
      </c>
      <c r="D667" s="290" t="s">
        <v>229</v>
      </c>
      <c r="E667" s="290" t="s">
        <v>193</v>
      </c>
      <c r="F667" s="254">
        <v>1.75</v>
      </c>
      <c r="G667" s="292" t="s">
        <v>22134</v>
      </c>
      <c r="H667" s="255">
        <v>396.23</v>
      </c>
      <c r="J667" s="760"/>
      <c r="K667" s="524"/>
      <c r="S667" s="536"/>
      <c r="T667" s="638"/>
    </row>
    <row r="668" spans="1:68" s="298" customFormat="1" ht="76.5">
      <c r="A668" s="256" t="s">
        <v>3259</v>
      </c>
      <c r="B668" s="374">
        <v>100745</v>
      </c>
      <c r="C668" s="289" t="s">
        <v>23999</v>
      </c>
      <c r="D668" s="290" t="s">
        <v>229</v>
      </c>
      <c r="E668" s="290" t="s">
        <v>193</v>
      </c>
      <c r="F668" s="254">
        <v>3.5</v>
      </c>
      <c r="G668" s="292" t="s">
        <v>10491</v>
      </c>
      <c r="H668" s="255">
        <v>68.91</v>
      </c>
      <c r="J668" s="521"/>
      <c r="K668" s="524"/>
      <c r="S668" s="536"/>
      <c r="T668" s="638"/>
    </row>
    <row r="669" spans="1:68" s="298" customFormat="1" ht="12.75">
      <c r="A669" s="256"/>
      <c r="B669" s="288" t="s">
        <v>143</v>
      </c>
      <c r="C669" s="603" t="s">
        <v>15438</v>
      </c>
      <c r="D669" s="386"/>
      <c r="E669" s="386"/>
      <c r="F669" s="386"/>
      <c r="G669" s="386"/>
      <c r="H669" s="387"/>
      <c r="J669" s="521"/>
      <c r="K669" s="524"/>
      <c r="S669" s="536"/>
      <c r="T669" s="635"/>
    </row>
    <row r="670" spans="1:68" s="529" customFormat="1" ht="12.75">
      <c r="A670" s="286"/>
      <c r="B670" s="293"/>
      <c r="C670" s="229"/>
      <c r="D670" s="230"/>
      <c r="E670" s="230"/>
      <c r="F670" s="230"/>
      <c r="G670" s="230"/>
      <c r="H670" s="230"/>
      <c r="I670" s="298"/>
      <c r="J670" s="521"/>
      <c r="K670" s="524"/>
      <c r="L670" s="298"/>
      <c r="M670" s="298"/>
      <c r="N670" s="298"/>
      <c r="O670" s="298"/>
      <c r="P670" s="298"/>
      <c r="Q670" s="298"/>
      <c r="R670" s="298"/>
      <c r="S670" s="536"/>
      <c r="T670" s="635"/>
      <c r="U670" s="298"/>
      <c r="V670" s="298"/>
      <c r="W670" s="298"/>
      <c r="X670" s="298"/>
      <c r="Y670" s="298"/>
      <c r="Z670" s="298"/>
      <c r="AA670" s="298"/>
      <c r="AB670" s="298"/>
      <c r="AC670" s="298"/>
      <c r="AD670" s="298"/>
      <c r="AE670" s="298"/>
      <c r="AF670" s="298"/>
      <c r="AG670" s="298"/>
      <c r="AH670" s="298"/>
      <c r="AI670" s="298"/>
      <c r="AJ670" s="298"/>
      <c r="AK670" s="298"/>
      <c r="AL670" s="298"/>
      <c r="AM670" s="298"/>
      <c r="AN670" s="298"/>
      <c r="AO670" s="298"/>
      <c r="AP670" s="298"/>
      <c r="AQ670" s="298"/>
      <c r="AR670" s="298"/>
      <c r="AS670" s="298"/>
      <c r="AT670" s="298"/>
      <c r="AU670" s="298"/>
      <c r="AV670" s="298"/>
      <c r="AW670" s="298"/>
      <c r="AX670" s="298"/>
      <c r="AY670" s="298"/>
      <c r="AZ670" s="298"/>
      <c r="BA670" s="298"/>
      <c r="BB670" s="298"/>
      <c r="BC670" s="298"/>
      <c r="BD670" s="298"/>
      <c r="BE670" s="298"/>
      <c r="BF670" s="298"/>
      <c r="BG670" s="298"/>
      <c r="BH670" s="298"/>
      <c r="BI670" s="298"/>
      <c r="BJ670" s="298"/>
      <c r="BK670" s="298"/>
      <c r="BL670" s="298"/>
      <c r="BM670" s="298"/>
      <c r="BN670" s="298"/>
      <c r="BO670" s="298"/>
      <c r="BP670" s="298"/>
    </row>
    <row r="671" spans="1:68" s="645" customFormat="1" ht="51">
      <c r="A671" s="376"/>
      <c r="B671" s="372" t="s">
        <v>15473</v>
      </c>
      <c r="C671" s="231" t="s">
        <v>24621</v>
      </c>
      <c r="D671" s="232" t="s">
        <v>103</v>
      </c>
      <c r="E671" s="232" t="s">
        <v>3240</v>
      </c>
      <c r="F671" s="233"/>
      <c r="G671" s="234"/>
      <c r="H671" s="235">
        <v>1879.5500000000002</v>
      </c>
      <c r="I671" s="298"/>
      <c r="J671" s="521"/>
      <c r="K671" s="524"/>
      <c r="L671" s="298"/>
      <c r="M671" s="298"/>
      <c r="N671" s="298"/>
      <c r="O671" s="298"/>
      <c r="P671" s="298"/>
      <c r="Q671" s="298"/>
      <c r="R671" s="298"/>
      <c r="S671" s="536"/>
      <c r="T671" s="635"/>
      <c r="U671" s="298"/>
      <c r="V671" s="298"/>
      <c r="W671" s="298"/>
      <c r="X671" s="298"/>
      <c r="Y671" s="298"/>
      <c r="Z671" s="298"/>
      <c r="AA671" s="298"/>
      <c r="AB671" s="298"/>
      <c r="AC671" s="298"/>
      <c r="AD671" s="298"/>
      <c r="AE671" s="298"/>
      <c r="AF671" s="298"/>
      <c r="AG671" s="298"/>
      <c r="AH671" s="298"/>
      <c r="AI671" s="298"/>
      <c r="AJ671" s="298"/>
      <c r="AK671" s="298"/>
      <c r="AL671" s="298"/>
      <c r="AM671" s="298"/>
      <c r="AN671" s="298"/>
      <c r="AO671" s="298"/>
      <c r="AP671" s="298"/>
      <c r="AQ671" s="298"/>
      <c r="AR671" s="298"/>
      <c r="AS671" s="298"/>
      <c r="AT671" s="298"/>
      <c r="AU671" s="298"/>
      <c r="AV671" s="298"/>
      <c r="AW671" s="298"/>
      <c r="AX671" s="298"/>
      <c r="AY671" s="298"/>
      <c r="AZ671" s="298"/>
      <c r="BA671" s="298"/>
      <c r="BB671" s="298"/>
      <c r="BC671" s="298"/>
      <c r="BD671" s="298"/>
      <c r="BE671" s="298"/>
      <c r="BF671" s="298"/>
      <c r="BG671" s="298"/>
      <c r="BH671" s="298"/>
      <c r="BI671" s="298"/>
      <c r="BJ671" s="298"/>
      <c r="BK671" s="298"/>
      <c r="BL671" s="298"/>
      <c r="BM671" s="298"/>
      <c r="BN671" s="298"/>
      <c r="BO671" s="298"/>
      <c r="BP671" s="298"/>
    </row>
    <row r="672" spans="1:68" s="298" customFormat="1" ht="76.5">
      <c r="A672" s="256" t="s">
        <v>3259</v>
      </c>
      <c r="B672" s="374">
        <v>94559</v>
      </c>
      <c r="C672" s="289" t="s">
        <v>9151</v>
      </c>
      <c r="D672" s="290" t="s">
        <v>229</v>
      </c>
      <c r="E672" s="290" t="s">
        <v>193</v>
      </c>
      <c r="F672" s="254">
        <v>2.0299999999999998</v>
      </c>
      <c r="G672" s="292" t="s">
        <v>22101</v>
      </c>
      <c r="H672" s="255">
        <v>1339.98</v>
      </c>
      <c r="J672" s="521"/>
      <c r="K672" s="524"/>
      <c r="S672" s="536"/>
      <c r="T672" s="638"/>
    </row>
    <row r="673" spans="1:68" s="298" customFormat="1" ht="38.25">
      <c r="A673" s="256" t="s">
        <v>3259</v>
      </c>
      <c r="B673" s="374">
        <v>102162</v>
      </c>
      <c r="C673" s="289" t="s">
        <v>12777</v>
      </c>
      <c r="D673" s="290" t="s">
        <v>229</v>
      </c>
      <c r="E673" s="290" t="s">
        <v>193</v>
      </c>
      <c r="F673" s="254">
        <v>2.0299999999999998</v>
      </c>
      <c r="G673" s="292" t="s">
        <v>22134</v>
      </c>
      <c r="H673" s="255">
        <v>459.63</v>
      </c>
      <c r="J673" s="760"/>
      <c r="K673" s="524"/>
      <c r="S673" s="536"/>
      <c r="T673" s="638"/>
    </row>
    <row r="674" spans="1:68" s="298" customFormat="1" ht="76.5">
      <c r="A674" s="256" t="s">
        <v>3259</v>
      </c>
      <c r="B674" s="374">
        <v>100745</v>
      </c>
      <c r="C674" s="289" t="s">
        <v>23999</v>
      </c>
      <c r="D674" s="290" t="s">
        <v>229</v>
      </c>
      <c r="E674" s="290" t="s">
        <v>193</v>
      </c>
      <c r="F674" s="254">
        <v>4.0599999999999996</v>
      </c>
      <c r="G674" s="292" t="s">
        <v>10491</v>
      </c>
      <c r="H674" s="255">
        <v>79.94</v>
      </c>
      <c r="J674" s="521"/>
      <c r="K674" s="524"/>
      <c r="S674" s="536"/>
      <c r="T674" s="638"/>
    </row>
    <row r="675" spans="1:68" s="298" customFormat="1" ht="12.75">
      <c r="A675" s="256"/>
      <c r="B675" s="288" t="s">
        <v>143</v>
      </c>
      <c r="C675" s="603" t="s">
        <v>15438</v>
      </c>
      <c r="D675" s="386"/>
      <c r="E675" s="386"/>
      <c r="F675" s="386"/>
      <c r="G675" s="386"/>
      <c r="H675" s="387"/>
      <c r="J675" s="521"/>
      <c r="K675" s="524"/>
      <c r="S675" s="536"/>
      <c r="T675" s="635"/>
    </row>
    <row r="676" spans="1:68" s="529" customFormat="1" ht="12.75">
      <c r="A676" s="286"/>
      <c r="B676" s="293"/>
      <c r="C676" s="229"/>
      <c r="D676" s="230"/>
      <c r="E676" s="230"/>
      <c r="F676" s="230"/>
      <c r="G676" s="230"/>
      <c r="H676" s="230"/>
      <c r="I676" s="298"/>
      <c r="J676" s="521"/>
      <c r="K676" s="524"/>
      <c r="L676" s="298"/>
      <c r="M676" s="298"/>
      <c r="N676" s="298"/>
      <c r="O676" s="298"/>
      <c r="P676" s="298"/>
      <c r="Q676" s="298"/>
      <c r="R676" s="298"/>
      <c r="S676" s="536"/>
      <c r="T676" s="635"/>
      <c r="U676" s="298"/>
      <c r="V676" s="298"/>
      <c r="W676" s="298"/>
      <c r="X676" s="298"/>
      <c r="Y676" s="298"/>
      <c r="Z676" s="298"/>
      <c r="AA676" s="298"/>
      <c r="AB676" s="298"/>
      <c r="AC676" s="298"/>
      <c r="AD676" s="298"/>
      <c r="AE676" s="298"/>
      <c r="AF676" s="298"/>
      <c r="AG676" s="298"/>
      <c r="AH676" s="298"/>
      <c r="AI676" s="298"/>
      <c r="AJ676" s="298"/>
      <c r="AK676" s="298"/>
      <c r="AL676" s="298"/>
      <c r="AM676" s="298"/>
      <c r="AN676" s="298"/>
      <c r="AO676" s="298"/>
      <c r="AP676" s="298"/>
      <c r="AQ676" s="298"/>
      <c r="AR676" s="298"/>
      <c r="AS676" s="298"/>
      <c r="AT676" s="298"/>
      <c r="AU676" s="298"/>
      <c r="AV676" s="298"/>
      <c r="AW676" s="298"/>
      <c r="AX676" s="298"/>
      <c r="AY676" s="298"/>
      <c r="AZ676" s="298"/>
      <c r="BA676" s="298"/>
      <c r="BB676" s="298"/>
      <c r="BC676" s="298"/>
      <c r="BD676" s="298"/>
      <c r="BE676" s="298"/>
      <c r="BF676" s="298"/>
      <c r="BG676" s="298"/>
      <c r="BH676" s="298"/>
      <c r="BI676" s="298"/>
      <c r="BJ676" s="298"/>
      <c r="BK676" s="298"/>
      <c r="BL676" s="298"/>
      <c r="BM676" s="298"/>
      <c r="BN676" s="298"/>
      <c r="BO676" s="298"/>
      <c r="BP676" s="298"/>
    </row>
    <row r="677" spans="1:68" s="645" customFormat="1" ht="63.75">
      <c r="A677" s="376"/>
      <c r="B677" s="372" t="s">
        <v>15475</v>
      </c>
      <c r="C677" s="231" t="s">
        <v>24641</v>
      </c>
      <c r="D677" s="232" t="s">
        <v>103</v>
      </c>
      <c r="E677" s="232" t="s">
        <v>3240</v>
      </c>
      <c r="F677" s="233"/>
      <c r="G677" s="234"/>
      <c r="H677" s="235">
        <v>3804.75</v>
      </c>
      <c r="I677" s="298"/>
      <c r="J677" s="521"/>
      <c r="K677" s="524"/>
      <c r="L677" s="298"/>
      <c r="M677" s="298"/>
      <c r="N677" s="298"/>
      <c r="O677" s="298"/>
      <c r="P677" s="298"/>
      <c r="Q677" s="298"/>
      <c r="R677" s="298"/>
      <c r="S677" s="536"/>
      <c r="T677" s="635"/>
      <c r="U677" s="298"/>
      <c r="V677" s="298"/>
      <c r="W677" s="298"/>
      <c r="X677" s="298"/>
      <c r="Y677" s="298"/>
      <c r="Z677" s="298"/>
      <c r="AA677" s="298"/>
      <c r="AB677" s="298"/>
      <c r="AC677" s="298"/>
      <c r="AD677" s="298"/>
      <c r="AE677" s="298"/>
      <c r="AF677" s="298"/>
      <c r="AG677" s="298"/>
      <c r="AH677" s="298"/>
      <c r="AI677" s="298"/>
      <c r="AJ677" s="298"/>
      <c r="AK677" s="298"/>
      <c r="AL677" s="298"/>
      <c r="AM677" s="298"/>
      <c r="AN677" s="298"/>
      <c r="AO677" s="298"/>
      <c r="AP677" s="298"/>
      <c r="AQ677" s="298"/>
      <c r="AR677" s="298"/>
      <c r="AS677" s="298"/>
      <c r="AT677" s="298"/>
      <c r="AU677" s="298"/>
      <c r="AV677" s="298"/>
      <c r="AW677" s="298"/>
      <c r="AX677" s="298"/>
      <c r="AY677" s="298"/>
      <c r="AZ677" s="298"/>
      <c r="BA677" s="298"/>
      <c r="BB677" s="298"/>
      <c r="BC677" s="298"/>
      <c r="BD677" s="298"/>
      <c r="BE677" s="298"/>
      <c r="BF677" s="298"/>
      <c r="BG677" s="298"/>
      <c r="BH677" s="298"/>
      <c r="BI677" s="298"/>
      <c r="BJ677" s="298"/>
      <c r="BK677" s="298"/>
      <c r="BL677" s="298"/>
      <c r="BM677" s="298"/>
      <c r="BN677" s="298"/>
      <c r="BO677" s="298"/>
      <c r="BP677" s="298"/>
    </row>
    <row r="678" spans="1:68" s="298" customFormat="1" ht="63.75">
      <c r="A678" s="256" t="s">
        <v>3259</v>
      </c>
      <c r="B678" s="374">
        <v>94562</v>
      </c>
      <c r="C678" s="289" t="s">
        <v>9152</v>
      </c>
      <c r="D678" s="290" t="s">
        <v>229</v>
      </c>
      <c r="E678" s="290" t="s">
        <v>193</v>
      </c>
      <c r="F678" s="254">
        <v>3.24</v>
      </c>
      <c r="G678" s="292" t="s">
        <v>22102</v>
      </c>
      <c r="H678" s="255">
        <v>2024.83</v>
      </c>
      <c r="J678" s="521"/>
      <c r="K678" s="524"/>
      <c r="S678" s="536"/>
      <c r="T678" s="638"/>
    </row>
    <row r="679" spans="1:68" s="298" customFormat="1" ht="38.25">
      <c r="A679" s="256" t="s">
        <v>3259</v>
      </c>
      <c r="B679" s="374">
        <v>102166</v>
      </c>
      <c r="C679" s="289" t="s">
        <v>12781</v>
      </c>
      <c r="D679" s="290" t="s">
        <v>229</v>
      </c>
      <c r="E679" s="290" t="s">
        <v>193</v>
      </c>
      <c r="F679" s="254">
        <v>3.24</v>
      </c>
      <c r="G679" s="292" t="s">
        <v>21000</v>
      </c>
      <c r="H679" s="255">
        <v>714.38</v>
      </c>
      <c r="J679" s="760"/>
      <c r="K679" s="524"/>
      <c r="S679" s="536"/>
      <c r="T679" s="638"/>
    </row>
    <row r="680" spans="1:68" s="298" customFormat="1" ht="25.5">
      <c r="A680" s="256" t="s">
        <v>14338</v>
      </c>
      <c r="B680" s="374" t="s">
        <v>15394</v>
      </c>
      <c r="C680" s="289" t="s">
        <v>17532</v>
      </c>
      <c r="D680" s="290" t="s">
        <v>103</v>
      </c>
      <c r="E680" s="290" t="s">
        <v>193</v>
      </c>
      <c r="F680" s="254">
        <v>3.24</v>
      </c>
      <c r="G680" s="292">
        <v>294.72000000000003</v>
      </c>
      <c r="H680" s="255">
        <v>954.89</v>
      </c>
      <c r="J680" s="521"/>
      <c r="K680" s="524"/>
      <c r="S680" s="536"/>
      <c r="T680" s="638"/>
    </row>
    <row r="681" spans="1:68" s="298" customFormat="1" ht="76.5">
      <c r="A681" s="256" t="s">
        <v>3259</v>
      </c>
      <c r="B681" s="374">
        <v>100745</v>
      </c>
      <c r="C681" s="289" t="s">
        <v>23999</v>
      </c>
      <c r="D681" s="290" t="s">
        <v>229</v>
      </c>
      <c r="E681" s="290" t="s">
        <v>193</v>
      </c>
      <c r="F681" s="254">
        <v>5.620000000000001</v>
      </c>
      <c r="G681" s="292" t="s">
        <v>10491</v>
      </c>
      <c r="H681" s="255">
        <v>110.65</v>
      </c>
      <c r="J681" s="521"/>
      <c r="K681" s="524"/>
      <c r="S681" s="536"/>
      <c r="T681" s="638"/>
    </row>
    <row r="682" spans="1:68" s="298" customFormat="1" ht="12.75">
      <c r="A682" s="256"/>
      <c r="B682" s="288" t="s">
        <v>143</v>
      </c>
      <c r="C682" s="603" t="s">
        <v>15438</v>
      </c>
      <c r="D682" s="386"/>
      <c r="E682" s="386"/>
      <c r="F682" s="386"/>
      <c r="G682" s="386"/>
      <c r="H682" s="387"/>
      <c r="J682" s="521"/>
      <c r="K682" s="524"/>
      <c r="S682" s="536"/>
      <c r="T682" s="635"/>
    </row>
    <row r="683" spans="1:68" s="529" customFormat="1" ht="12.75">
      <c r="A683" s="286"/>
      <c r="B683" s="293"/>
      <c r="C683" s="229"/>
      <c r="D683" s="230"/>
      <c r="E683" s="230"/>
      <c r="F683" s="230"/>
      <c r="G683" s="230"/>
      <c r="H683" s="230"/>
      <c r="I683" s="298"/>
      <c r="J683" s="521"/>
      <c r="K683" s="524"/>
      <c r="L683" s="298"/>
      <c r="M683" s="298"/>
      <c r="N683" s="298"/>
      <c r="O683" s="298"/>
      <c r="P683" s="298"/>
      <c r="Q683" s="298"/>
      <c r="R683" s="298"/>
      <c r="S683" s="536"/>
      <c r="T683" s="635"/>
      <c r="U683" s="298"/>
      <c r="V683" s="298"/>
      <c r="W683" s="298"/>
      <c r="X683" s="298"/>
      <c r="Y683" s="298"/>
      <c r="Z683" s="298"/>
      <c r="AA683" s="298"/>
      <c r="AB683" s="298"/>
      <c r="AC683" s="298"/>
      <c r="AD683" s="298"/>
      <c r="AE683" s="298"/>
      <c r="AF683" s="298"/>
      <c r="AG683" s="298"/>
      <c r="AH683" s="298"/>
      <c r="AI683" s="298"/>
      <c r="AJ683" s="298"/>
      <c r="AK683" s="298"/>
      <c r="AL683" s="298"/>
      <c r="AM683" s="298"/>
      <c r="AN683" s="298"/>
      <c r="AO683" s="298"/>
      <c r="AP683" s="298"/>
      <c r="AQ683" s="298"/>
      <c r="AR683" s="298"/>
      <c r="AS683" s="298"/>
      <c r="AT683" s="298"/>
      <c r="AU683" s="298"/>
      <c r="AV683" s="298"/>
      <c r="AW683" s="298"/>
      <c r="AX683" s="298"/>
      <c r="AY683" s="298"/>
      <c r="AZ683" s="298"/>
      <c r="BA683" s="298"/>
      <c r="BB683" s="298"/>
      <c r="BC683" s="298"/>
      <c r="BD683" s="298"/>
      <c r="BE683" s="298"/>
      <c r="BF683" s="298"/>
      <c r="BG683" s="298"/>
      <c r="BH683" s="298"/>
      <c r="BI683" s="298"/>
      <c r="BJ683" s="298"/>
      <c r="BK683" s="298"/>
      <c r="BL683" s="298"/>
      <c r="BM683" s="298"/>
      <c r="BN683" s="298"/>
      <c r="BO683" s="298"/>
      <c r="BP683" s="298"/>
    </row>
    <row r="684" spans="1:68" s="645" customFormat="1" ht="51">
      <c r="A684" s="376"/>
      <c r="B684" s="372" t="s">
        <v>15476</v>
      </c>
      <c r="C684" s="231" t="s">
        <v>24622</v>
      </c>
      <c r="D684" s="232" t="s">
        <v>103</v>
      </c>
      <c r="E684" s="232" t="s">
        <v>3240</v>
      </c>
      <c r="F684" s="233"/>
      <c r="G684" s="234"/>
      <c r="H684" s="235">
        <v>2333.2200000000003</v>
      </c>
      <c r="I684" s="298"/>
      <c r="J684" s="521"/>
      <c r="K684" s="524"/>
      <c r="L684" s="298"/>
      <c r="M684" s="298"/>
      <c r="N684" s="298"/>
      <c r="O684" s="298"/>
      <c r="P684" s="298"/>
      <c r="Q684" s="298"/>
      <c r="R684" s="298"/>
      <c r="S684" s="536"/>
      <c r="T684" s="635"/>
      <c r="U684" s="298"/>
      <c r="V684" s="298"/>
      <c r="W684" s="298"/>
      <c r="X684" s="298"/>
      <c r="Y684" s="298"/>
      <c r="Z684" s="298"/>
      <c r="AA684" s="298"/>
      <c r="AB684" s="298"/>
      <c r="AC684" s="298"/>
      <c r="AD684" s="298"/>
      <c r="AE684" s="298"/>
      <c r="AF684" s="298"/>
      <c r="AG684" s="298"/>
      <c r="AH684" s="298"/>
      <c r="AI684" s="298"/>
      <c r="AJ684" s="298"/>
      <c r="AK684" s="298"/>
      <c r="AL684" s="298"/>
      <c r="AM684" s="298"/>
      <c r="AN684" s="298"/>
      <c r="AO684" s="298"/>
      <c r="AP684" s="298"/>
      <c r="AQ684" s="298"/>
      <c r="AR684" s="298"/>
      <c r="AS684" s="298"/>
      <c r="AT684" s="298"/>
      <c r="AU684" s="298"/>
      <c r="AV684" s="298"/>
      <c r="AW684" s="298"/>
      <c r="AX684" s="298"/>
      <c r="AY684" s="298"/>
      <c r="AZ684" s="298"/>
      <c r="BA684" s="298"/>
      <c r="BB684" s="298"/>
      <c r="BC684" s="298"/>
      <c r="BD684" s="298"/>
      <c r="BE684" s="298"/>
      <c r="BF684" s="298"/>
      <c r="BG684" s="298"/>
      <c r="BH684" s="298"/>
      <c r="BI684" s="298"/>
      <c r="BJ684" s="298"/>
      <c r="BK684" s="298"/>
      <c r="BL684" s="298"/>
      <c r="BM684" s="298"/>
      <c r="BN684" s="298"/>
      <c r="BO684" s="298"/>
      <c r="BP684" s="298"/>
    </row>
    <row r="685" spans="1:68" s="298" customFormat="1" ht="76.5">
      <c r="A685" s="256" t="s">
        <v>3259</v>
      </c>
      <c r="B685" s="374">
        <v>94559</v>
      </c>
      <c r="C685" s="289" t="s">
        <v>9151</v>
      </c>
      <c r="D685" s="290" t="s">
        <v>229</v>
      </c>
      <c r="E685" s="290" t="s">
        <v>193</v>
      </c>
      <c r="F685" s="254">
        <v>2.52</v>
      </c>
      <c r="G685" s="292" t="s">
        <v>22101</v>
      </c>
      <c r="H685" s="255">
        <v>1663.42</v>
      </c>
      <c r="J685" s="521"/>
      <c r="K685" s="524"/>
      <c r="S685" s="536"/>
      <c r="T685" s="638"/>
    </row>
    <row r="686" spans="1:68" s="298" customFormat="1" ht="38.25">
      <c r="A686" s="256" t="s">
        <v>3259</v>
      </c>
      <c r="B686" s="374">
        <v>102162</v>
      </c>
      <c r="C686" s="289" t="s">
        <v>12777</v>
      </c>
      <c r="D686" s="290" t="s">
        <v>229</v>
      </c>
      <c r="E686" s="290" t="s">
        <v>193</v>
      </c>
      <c r="F686" s="254">
        <v>2.52</v>
      </c>
      <c r="G686" s="292" t="s">
        <v>22134</v>
      </c>
      <c r="H686" s="255">
        <v>570.57000000000005</v>
      </c>
      <c r="J686" s="760"/>
      <c r="K686" s="524"/>
      <c r="S686" s="536"/>
      <c r="T686" s="638"/>
    </row>
    <row r="687" spans="1:68" s="298" customFormat="1" ht="76.5">
      <c r="A687" s="256" t="s">
        <v>3259</v>
      </c>
      <c r="B687" s="374">
        <v>100745</v>
      </c>
      <c r="C687" s="289" t="s">
        <v>23999</v>
      </c>
      <c r="D687" s="290" t="s">
        <v>229</v>
      </c>
      <c r="E687" s="290" t="s">
        <v>193</v>
      </c>
      <c r="F687" s="254">
        <v>5.04</v>
      </c>
      <c r="G687" s="292" t="s">
        <v>10491</v>
      </c>
      <c r="H687" s="255">
        <v>99.23</v>
      </c>
      <c r="J687" s="521"/>
      <c r="K687" s="524"/>
      <c r="S687" s="536"/>
      <c r="T687" s="638"/>
    </row>
    <row r="688" spans="1:68" s="298" customFormat="1" ht="12.75">
      <c r="A688" s="256"/>
      <c r="B688" s="288" t="s">
        <v>143</v>
      </c>
      <c r="C688" s="603" t="s">
        <v>15438</v>
      </c>
      <c r="D688" s="386"/>
      <c r="E688" s="386"/>
      <c r="F688" s="386"/>
      <c r="G688" s="386"/>
      <c r="H688" s="387"/>
      <c r="J688" s="521"/>
      <c r="K688" s="524"/>
      <c r="S688" s="536"/>
      <c r="T688" s="635"/>
    </row>
    <row r="689" spans="1:68" s="529" customFormat="1" ht="12.75">
      <c r="A689" s="286"/>
      <c r="B689" s="293"/>
      <c r="C689" s="229"/>
      <c r="D689" s="230"/>
      <c r="E689" s="230"/>
      <c r="F689" s="230"/>
      <c r="G689" s="230"/>
      <c r="H689" s="230"/>
      <c r="I689" s="298"/>
      <c r="J689" s="521"/>
      <c r="K689" s="524"/>
      <c r="L689" s="298"/>
      <c r="M689" s="298"/>
      <c r="N689" s="298"/>
      <c r="O689" s="298"/>
      <c r="P689" s="298"/>
      <c r="Q689" s="298"/>
      <c r="R689" s="298"/>
      <c r="S689" s="536"/>
      <c r="T689" s="635"/>
      <c r="U689" s="298"/>
      <c r="V689" s="298"/>
      <c r="W689" s="298"/>
      <c r="X689" s="298"/>
      <c r="Y689" s="298"/>
      <c r="Z689" s="298"/>
      <c r="AA689" s="298"/>
      <c r="AB689" s="298"/>
      <c r="AC689" s="298"/>
      <c r="AD689" s="298"/>
      <c r="AE689" s="298"/>
      <c r="AF689" s="298"/>
      <c r="AG689" s="298"/>
      <c r="AH689" s="298"/>
      <c r="AI689" s="298"/>
      <c r="AJ689" s="298"/>
      <c r="AK689" s="298"/>
      <c r="AL689" s="298"/>
      <c r="AM689" s="298"/>
      <c r="AN689" s="298"/>
      <c r="AO689" s="298"/>
      <c r="AP689" s="298"/>
      <c r="AQ689" s="298"/>
      <c r="AR689" s="298"/>
      <c r="AS689" s="298"/>
      <c r="AT689" s="298"/>
      <c r="AU689" s="298"/>
      <c r="AV689" s="298"/>
      <c r="AW689" s="298"/>
      <c r="AX689" s="298"/>
      <c r="AY689" s="298"/>
      <c r="AZ689" s="298"/>
      <c r="BA689" s="298"/>
      <c r="BB689" s="298"/>
      <c r="BC689" s="298"/>
      <c r="BD689" s="298"/>
      <c r="BE689" s="298"/>
      <c r="BF689" s="298"/>
      <c r="BG689" s="298"/>
      <c r="BH689" s="298"/>
      <c r="BI689" s="298"/>
      <c r="BJ689" s="298"/>
      <c r="BK689" s="298"/>
      <c r="BL689" s="298"/>
      <c r="BM689" s="298"/>
      <c r="BN689" s="298"/>
      <c r="BO689" s="298"/>
      <c r="BP689" s="298"/>
    </row>
    <row r="690" spans="1:68" s="645" customFormat="1" ht="51">
      <c r="A690" s="376"/>
      <c r="B690" s="372" t="s">
        <v>15477</v>
      </c>
      <c r="C690" s="231" t="s">
        <v>24623</v>
      </c>
      <c r="D690" s="232" t="s">
        <v>103</v>
      </c>
      <c r="E690" s="232" t="s">
        <v>3240</v>
      </c>
      <c r="F690" s="233"/>
      <c r="G690" s="234"/>
      <c r="H690" s="235">
        <v>2073.9899999999998</v>
      </c>
      <c r="I690" s="298"/>
      <c r="J690" s="521"/>
      <c r="K690" s="524"/>
      <c r="L690" s="298"/>
      <c r="M690" s="298"/>
      <c r="N690" s="298"/>
      <c r="O690" s="298"/>
      <c r="P690" s="298"/>
      <c r="Q690" s="298"/>
      <c r="R690" s="298"/>
      <c r="S690" s="536"/>
      <c r="T690" s="635"/>
      <c r="U690" s="298"/>
      <c r="V690" s="298"/>
      <c r="W690" s="298"/>
      <c r="X690" s="298"/>
      <c r="Y690" s="298"/>
      <c r="Z690" s="298"/>
      <c r="AA690" s="298"/>
      <c r="AB690" s="298"/>
      <c r="AC690" s="298"/>
      <c r="AD690" s="298"/>
      <c r="AE690" s="298"/>
      <c r="AF690" s="298"/>
      <c r="AG690" s="298"/>
      <c r="AH690" s="298"/>
      <c r="AI690" s="298"/>
      <c r="AJ690" s="298"/>
      <c r="AK690" s="298"/>
      <c r="AL690" s="298"/>
      <c r="AM690" s="298"/>
      <c r="AN690" s="298"/>
      <c r="AO690" s="298"/>
      <c r="AP690" s="298"/>
      <c r="AQ690" s="298"/>
      <c r="AR690" s="298"/>
      <c r="AS690" s="298"/>
      <c r="AT690" s="298"/>
      <c r="AU690" s="298"/>
      <c r="AV690" s="298"/>
      <c r="AW690" s="298"/>
      <c r="AX690" s="298"/>
      <c r="AY690" s="298"/>
      <c r="AZ690" s="298"/>
      <c r="BA690" s="298"/>
      <c r="BB690" s="298"/>
      <c r="BC690" s="298"/>
      <c r="BD690" s="298"/>
      <c r="BE690" s="298"/>
      <c r="BF690" s="298"/>
      <c r="BG690" s="298"/>
      <c r="BH690" s="298"/>
      <c r="BI690" s="298"/>
      <c r="BJ690" s="298"/>
      <c r="BK690" s="298"/>
      <c r="BL690" s="298"/>
      <c r="BM690" s="298"/>
      <c r="BN690" s="298"/>
      <c r="BO690" s="298"/>
      <c r="BP690" s="298"/>
    </row>
    <row r="691" spans="1:68" s="298" customFormat="1" ht="76.5">
      <c r="A691" s="256" t="s">
        <v>3259</v>
      </c>
      <c r="B691" s="374">
        <v>94559</v>
      </c>
      <c r="C691" s="289" t="s">
        <v>9151</v>
      </c>
      <c r="D691" s="290" t="s">
        <v>229</v>
      </c>
      <c r="E691" s="290" t="s">
        <v>193</v>
      </c>
      <c r="F691" s="254">
        <v>2.2399999999999998</v>
      </c>
      <c r="G691" s="292" t="s">
        <v>22101</v>
      </c>
      <c r="H691" s="255">
        <v>1478.6</v>
      </c>
      <c r="J691" s="521"/>
      <c r="K691" s="524"/>
      <c r="S691" s="536"/>
      <c r="T691" s="638"/>
    </row>
    <row r="692" spans="1:68" s="298" customFormat="1" ht="38.25">
      <c r="A692" s="256" t="s">
        <v>3259</v>
      </c>
      <c r="B692" s="374">
        <v>102162</v>
      </c>
      <c r="C692" s="289" t="s">
        <v>12777</v>
      </c>
      <c r="D692" s="290" t="s">
        <v>229</v>
      </c>
      <c r="E692" s="290" t="s">
        <v>193</v>
      </c>
      <c r="F692" s="254">
        <v>2.2399999999999998</v>
      </c>
      <c r="G692" s="292" t="s">
        <v>22134</v>
      </c>
      <c r="H692" s="255">
        <v>507.18</v>
      </c>
      <c r="J692" s="760"/>
      <c r="K692" s="524"/>
      <c r="S692" s="536"/>
      <c r="T692" s="638"/>
    </row>
    <row r="693" spans="1:68" s="298" customFormat="1" ht="76.5">
      <c r="A693" s="256" t="s">
        <v>3259</v>
      </c>
      <c r="B693" s="374">
        <v>100745</v>
      </c>
      <c r="C693" s="289" t="s">
        <v>23999</v>
      </c>
      <c r="D693" s="290" t="s">
        <v>229</v>
      </c>
      <c r="E693" s="290" t="s">
        <v>193</v>
      </c>
      <c r="F693" s="254">
        <v>4.4799999999999995</v>
      </c>
      <c r="G693" s="292" t="s">
        <v>10491</v>
      </c>
      <c r="H693" s="255">
        <v>88.21</v>
      </c>
      <c r="J693" s="521"/>
      <c r="K693" s="524"/>
      <c r="S693" s="536"/>
      <c r="T693" s="638"/>
    </row>
    <row r="694" spans="1:68" s="298" customFormat="1" ht="12.75">
      <c r="A694" s="256"/>
      <c r="B694" s="288" t="s">
        <v>143</v>
      </c>
      <c r="C694" s="603" t="s">
        <v>15438</v>
      </c>
      <c r="D694" s="386"/>
      <c r="E694" s="386"/>
      <c r="F694" s="386"/>
      <c r="G694" s="386"/>
      <c r="H694" s="387"/>
      <c r="J694" s="521"/>
      <c r="K694" s="524"/>
      <c r="S694" s="536"/>
      <c r="T694" s="635"/>
    </row>
    <row r="695" spans="1:68" s="529" customFormat="1" ht="12.75">
      <c r="A695" s="286"/>
      <c r="B695" s="293"/>
      <c r="C695" s="229"/>
      <c r="D695" s="230"/>
      <c r="E695" s="230"/>
      <c r="F695" s="230"/>
      <c r="G695" s="230"/>
      <c r="H695" s="230"/>
      <c r="I695" s="298"/>
      <c r="J695" s="521"/>
      <c r="K695" s="524"/>
      <c r="L695" s="298"/>
      <c r="M695" s="298"/>
      <c r="N695" s="298"/>
      <c r="O695" s="298"/>
      <c r="P695" s="298"/>
      <c r="Q695" s="298"/>
      <c r="R695" s="298"/>
      <c r="S695" s="536"/>
      <c r="T695" s="635"/>
      <c r="U695" s="298"/>
      <c r="V695" s="298"/>
      <c r="W695" s="298"/>
      <c r="X695" s="298"/>
      <c r="Y695" s="298"/>
      <c r="Z695" s="298"/>
      <c r="AA695" s="298"/>
      <c r="AB695" s="298"/>
      <c r="AC695" s="298"/>
      <c r="AD695" s="298"/>
      <c r="AE695" s="298"/>
      <c r="AF695" s="298"/>
      <c r="AG695" s="298"/>
      <c r="AH695" s="298"/>
      <c r="AI695" s="298"/>
      <c r="AJ695" s="298"/>
      <c r="AK695" s="298"/>
      <c r="AL695" s="298"/>
      <c r="AM695" s="298"/>
      <c r="AN695" s="298"/>
      <c r="AO695" s="298"/>
      <c r="AP695" s="298"/>
      <c r="AQ695" s="298"/>
      <c r="AR695" s="298"/>
      <c r="AS695" s="298"/>
      <c r="AT695" s="298"/>
      <c r="AU695" s="298"/>
      <c r="AV695" s="298"/>
      <c r="AW695" s="298"/>
      <c r="AX695" s="298"/>
      <c r="AY695" s="298"/>
      <c r="AZ695" s="298"/>
      <c r="BA695" s="298"/>
      <c r="BB695" s="298"/>
      <c r="BC695" s="298"/>
      <c r="BD695" s="298"/>
      <c r="BE695" s="298"/>
      <c r="BF695" s="298"/>
      <c r="BG695" s="298"/>
      <c r="BH695" s="298"/>
      <c r="BI695" s="298"/>
      <c r="BJ695" s="298"/>
      <c r="BK695" s="298"/>
      <c r="BL695" s="298"/>
      <c r="BM695" s="298"/>
      <c r="BN695" s="298"/>
      <c r="BO695" s="298"/>
      <c r="BP695" s="298"/>
    </row>
    <row r="696" spans="1:68" s="645" customFormat="1" ht="51">
      <c r="A696" s="376"/>
      <c r="B696" s="372" t="s">
        <v>15478</v>
      </c>
      <c r="C696" s="231" t="s">
        <v>24624</v>
      </c>
      <c r="D696" s="232" t="s">
        <v>103</v>
      </c>
      <c r="E696" s="232" t="s">
        <v>3240</v>
      </c>
      <c r="F696" s="233"/>
      <c r="G696" s="234"/>
      <c r="H696" s="235">
        <v>2366.69</v>
      </c>
      <c r="I696" s="298"/>
      <c r="J696" s="521"/>
      <c r="K696" s="524"/>
      <c r="L696" s="298"/>
      <c r="M696" s="298"/>
      <c r="N696" s="298"/>
      <c r="O696" s="298"/>
      <c r="P696" s="298"/>
      <c r="Q696" s="298"/>
      <c r="R696" s="298"/>
      <c r="S696" s="536"/>
      <c r="T696" s="635"/>
      <c r="U696" s="298"/>
      <c r="V696" s="298"/>
      <c r="W696" s="298"/>
      <c r="X696" s="298"/>
      <c r="Y696" s="298"/>
      <c r="Z696" s="298"/>
      <c r="AA696" s="298"/>
      <c r="AB696" s="298"/>
      <c r="AC696" s="298"/>
      <c r="AD696" s="298"/>
      <c r="AE696" s="298"/>
      <c r="AF696" s="298"/>
      <c r="AG696" s="298"/>
      <c r="AH696" s="298"/>
      <c r="AI696" s="298"/>
      <c r="AJ696" s="298"/>
      <c r="AK696" s="298"/>
      <c r="AL696" s="298"/>
      <c r="AM696" s="298"/>
      <c r="AN696" s="298"/>
      <c r="AO696" s="298"/>
      <c r="AP696" s="298"/>
      <c r="AQ696" s="298"/>
      <c r="AR696" s="298"/>
      <c r="AS696" s="298"/>
      <c r="AT696" s="298"/>
      <c r="AU696" s="298"/>
      <c r="AV696" s="298"/>
      <c r="AW696" s="298"/>
      <c r="AX696" s="298"/>
      <c r="AY696" s="298"/>
      <c r="AZ696" s="298"/>
      <c r="BA696" s="298"/>
      <c r="BB696" s="298"/>
      <c r="BC696" s="298"/>
      <c r="BD696" s="298"/>
      <c r="BE696" s="298"/>
      <c r="BF696" s="298"/>
      <c r="BG696" s="298"/>
      <c r="BH696" s="298"/>
      <c r="BI696" s="298"/>
      <c r="BJ696" s="298"/>
      <c r="BK696" s="298"/>
      <c r="BL696" s="298"/>
      <c r="BM696" s="298"/>
      <c r="BN696" s="298"/>
      <c r="BO696" s="298"/>
      <c r="BP696" s="298"/>
    </row>
    <row r="697" spans="1:68" s="298" customFormat="1" ht="76.5">
      <c r="A697" s="256" t="s">
        <v>3259</v>
      </c>
      <c r="B697" s="374">
        <v>94559</v>
      </c>
      <c r="C697" s="289" t="s">
        <v>9151</v>
      </c>
      <c r="D697" s="290" t="s">
        <v>229</v>
      </c>
      <c r="E697" s="290" t="s">
        <v>193</v>
      </c>
      <c r="F697" s="254">
        <v>2.3099999999999996</v>
      </c>
      <c r="G697" s="292" t="s">
        <v>22101</v>
      </c>
      <c r="H697" s="255">
        <v>1524.8</v>
      </c>
      <c r="J697" s="521"/>
      <c r="K697" s="524"/>
      <c r="S697" s="536"/>
      <c r="T697" s="638"/>
    </row>
    <row r="698" spans="1:68" s="298" customFormat="1" ht="38.25">
      <c r="A698" s="256" t="s">
        <v>3259</v>
      </c>
      <c r="B698" s="374">
        <v>102162</v>
      </c>
      <c r="C698" s="289" t="s">
        <v>12777</v>
      </c>
      <c r="D698" s="290" t="s">
        <v>229</v>
      </c>
      <c r="E698" s="290" t="s">
        <v>193</v>
      </c>
      <c r="F698" s="254">
        <v>2.3099999999999996</v>
      </c>
      <c r="G698" s="292" t="s">
        <v>22134</v>
      </c>
      <c r="H698" s="255">
        <v>523.03</v>
      </c>
      <c r="J698" s="760"/>
      <c r="K698" s="524"/>
      <c r="S698" s="536"/>
      <c r="T698" s="638"/>
    </row>
    <row r="699" spans="1:68" s="298" customFormat="1" ht="38.25">
      <c r="A699" s="256" t="s">
        <v>14338</v>
      </c>
      <c r="B699" s="374" t="s">
        <v>15392</v>
      </c>
      <c r="C699" s="289" t="s">
        <v>17529</v>
      </c>
      <c r="D699" s="290" t="s">
        <v>103</v>
      </c>
      <c r="E699" s="290" t="s">
        <v>193</v>
      </c>
      <c r="F699" s="254">
        <v>2.3099999999999996</v>
      </c>
      <c r="G699" s="292">
        <v>98.66</v>
      </c>
      <c r="H699" s="255">
        <v>227.9</v>
      </c>
      <c r="J699" s="521"/>
      <c r="K699" s="524"/>
      <c r="S699" s="536"/>
      <c r="T699" s="638"/>
    </row>
    <row r="700" spans="1:68" s="298" customFormat="1" ht="76.5">
      <c r="A700" s="256" t="s">
        <v>3259</v>
      </c>
      <c r="B700" s="374">
        <v>100745</v>
      </c>
      <c r="C700" s="289" t="s">
        <v>23999</v>
      </c>
      <c r="D700" s="290" t="s">
        <v>229</v>
      </c>
      <c r="E700" s="290" t="s">
        <v>193</v>
      </c>
      <c r="F700" s="254">
        <v>4.6199999999999992</v>
      </c>
      <c r="G700" s="292" t="s">
        <v>10491</v>
      </c>
      <c r="H700" s="255">
        <v>90.96</v>
      </c>
      <c r="J700" s="521"/>
      <c r="K700" s="524"/>
      <c r="S700" s="536"/>
      <c r="T700" s="638"/>
    </row>
    <row r="701" spans="1:68" s="298" customFormat="1" ht="12.75">
      <c r="A701" s="256"/>
      <c r="B701" s="288" t="s">
        <v>143</v>
      </c>
      <c r="C701" s="603" t="s">
        <v>15438</v>
      </c>
      <c r="D701" s="386"/>
      <c r="E701" s="386"/>
      <c r="F701" s="386"/>
      <c r="G701" s="386"/>
      <c r="H701" s="387"/>
      <c r="J701" s="521"/>
      <c r="K701" s="524"/>
      <c r="S701" s="536"/>
      <c r="T701" s="635"/>
    </row>
    <row r="702" spans="1:68" s="529" customFormat="1" ht="12.75">
      <c r="A702" s="286"/>
      <c r="B702" s="293"/>
      <c r="C702" s="229"/>
      <c r="D702" s="230"/>
      <c r="E702" s="230"/>
      <c r="F702" s="230"/>
      <c r="G702" s="230"/>
      <c r="H702" s="230"/>
      <c r="I702" s="298"/>
      <c r="J702" s="521"/>
      <c r="K702" s="524"/>
      <c r="L702" s="298"/>
      <c r="M702" s="298"/>
      <c r="N702" s="298"/>
      <c r="O702" s="298"/>
      <c r="P702" s="298"/>
      <c r="Q702" s="298"/>
      <c r="R702" s="298"/>
      <c r="S702" s="536"/>
      <c r="T702" s="635"/>
      <c r="U702" s="298"/>
      <c r="V702" s="298"/>
      <c r="W702" s="298"/>
      <c r="X702" s="298"/>
      <c r="Y702" s="298"/>
      <c r="Z702" s="298"/>
      <c r="AA702" s="298"/>
      <c r="AB702" s="298"/>
      <c r="AC702" s="298"/>
      <c r="AD702" s="298"/>
      <c r="AE702" s="298"/>
      <c r="AF702" s="298"/>
      <c r="AG702" s="298"/>
      <c r="AH702" s="298"/>
      <c r="AI702" s="298"/>
      <c r="AJ702" s="298"/>
      <c r="AK702" s="298"/>
      <c r="AL702" s="298"/>
      <c r="AM702" s="298"/>
      <c r="AN702" s="298"/>
      <c r="AO702" s="298"/>
      <c r="AP702" s="298"/>
      <c r="AQ702" s="298"/>
      <c r="AR702" s="298"/>
      <c r="AS702" s="298"/>
      <c r="AT702" s="298"/>
      <c r="AU702" s="298"/>
      <c r="AV702" s="298"/>
      <c r="AW702" s="298"/>
      <c r="AX702" s="298"/>
      <c r="AY702" s="298"/>
      <c r="AZ702" s="298"/>
      <c r="BA702" s="298"/>
      <c r="BB702" s="298"/>
      <c r="BC702" s="298"/>
      <c r="BD702" s="298"/>
      <c r="BE702" s="298"/>
      <c r="BF702" s="298"/>
      <c r="BG702" s="298"/>
      <c r="BH702" s="298"/>
      <c r="BI702" s="298"/>
      <c r="BJ702" s="298"/>
      <c r="BK702" s="298"/>
      <c r="BL702" s="298"/>
      <c r="BM702" s="298"/>
      <c r="BN702" s="298"/>
      <c r="BO702" s="298"/>
      <c r="BP702" s="298"/>
    </row>
    <row r="703" spans="1:68" s="645" customFormat="1" ht="51">
      <c r="A703" s="376"/>
      <c r="B703" s="372" t="s">
        <v>15485</v>
      </c>
      <c r="C703" s="231" t="s">
        <v>24643</v>
      </c>
      <c r="D703" s="232" t="s">
        <v>103</v>
      </c>
      <c r="E703" s="232" t="s">
        <v>3240</v>
      </c>
      <c r="F703" s="233"/>
      <c r="G703" s="234"/>
      <c r="H703" s="235">
        <v>743.8</v>
      </c>
      <c r="I703" s="298"/>
      <c r="J703" s="521"/>
      <c r="K703" s="524"/>
      <c r="L703" s="298"/>
      <c r="M703" s="298"/>
      <c r="N703" s="298"/>
      <c r="O703" s="298"/>
      <c r="P703" s="298"/>
      <c r="Q703" s="298"/>
      <c r="R703" s="298"/>
      <c r="S703" s="536"/>
      <c r="T703" s="635"/>
      <c r="U703" s="298"/>
      <c r="V703" s="298"/>
      <c r="W703" s="298"/>
      <c r="X703" s="298"/>
      <c r="Y703" s="298"/>
      <c r="Z703" s="298"/>
      <c r="AA703" s="298"/>
      <c r="AB703" s="298"/>
      <c r="AC703" s="298"/>
      <c r="AD703" s="298"/>
      <c r="AE703" s="298"/>
      <c r="AF703" s="298"/>
      <c r="AG703" s="298"/>
      <c r="AH703" s="298"/>
      <c r="AI703" s="298"/>
      <c r="AJ703" s="298"/>
      <c r="AK703" s="298"/>
      <c r="AL703" s="298"/>
      <c r="AM703" s="298"/>
      <c r="AN703" s="298"/>
      <c r="AO703" s="298"/>
      <c r="AP703" s="298"/>
      <c r="AQ703" s="298"/>
      <c r="AR703" s="298"/>
      <c r="AS703" s="298"/>
      <c r="AT703" s="298"/>
      <c r="AU703" s="298"/>
      <c r="AV703" s="298"/>
      <c r="AW703" s="298"/>
      <c r="AX703" s="298"/>
      <c r="AY703" s="298"/>
      <c r="AZ703" s="298"/>
      <c r="BA703" s="298"/>
      <c r="BB703" s="298"/>
      <c r="BC703" s="298"/>
      <c r="BD703" s="298"/>
      <c r="BE703" s="298"/>
      <c r="BF703" s="298"/>
      <c r="BG703" s="298"/>
      <c r="BH703" s="298"/>
      <c r="BI703" s="298"/>
      <c r="BJ703" s="298"/>
      <c r="BK703" s="298"/>
      <c r="BL703" s="298"/>
      <c r="BM703" s="298"/>
      <c r="BN703" s="298"/>
      <c r="BO703" s="298"/>
      <c r="BP703" s="298"/>
    </row>
    <row r="704" spans="1:68" s="298" customFormat="1" ht="25.5">
      <c r="A704" s="256" t="s">
        <v>3259</v>
      </c>
      <c r="B704" s="374">
        <v>102181</v>
      </c>
      <c r="C704" s="289" t="s">
        <v>12793</v>
      </c>
      <c r="D704" s="290" t="s">
        <v>229</v>
      </c>
      <c r="E704" s="290" t="s">
        <v>193</v>
      </c>
      <c r="F704" s="254">
        <v>2.0350000000000001</v>
      </c>
      <c r="G704" s="292" t="s">
        <v>22149</v>
      </c>
      <c r="H704" s="255">
        <v>581.62</v>
      </c>
      <c r="J704" s="760"/>
      <c r="K704" s="524"/>
      <c r="S704" s="536"/>
      <c r="T704" s="638"/>
    </row>
    <row r="705" spans="1:68" s="298" customFormat="1" ht="63.75">
      <c r="A705" s="256" t="s">
        <v>3259</v>
      </c>
      <c r="B705" s="374">
        <v>100721</v>
      </c>
      <c r="C705" s="289" t="s">
        <v>23989</v>
      </c>
      <c r="D705" s="290" t="s">
        <v>229</v>
      </c>
      <c r="E705" s="290" t="s">
        <v>193</v>
      </c>
      <c r="F705" s="254">
        <v>4.07</v>
      </c>
      <c r="G705" s="292" t="s">
        <v>12354</v>
      </c>
      <c r="H705" s="255">
        <v>82.05</v>
      </c>
      <c r="J705" s="521"/>
      <c r="K705" s="524"/>
      <c r="S705" s="536"/>
      <c r="T705" s="638"/>
    </row>
    <row r="706" spans="1:68" s="298" customFormat="1" ht="76.5">
      <c r="A706" s="256" t="s">
        <v>3259</v>
      </c>
      <c r="B706" s="374">
        <v>100745</v>
      </c>
      <c r="C706" s="289" t="s">
        <v>23999</v>
      </c>
      <c r="D706" s="290" t="s">
        <v>229</v>
      </c>
      <c r="E706" s="290" t="s">
        <v>193</v>
      </c>
      <c r="F706" s="254">
        <v>4.07</v>
      </c>
      <c r="G706" s="292" t="s">
        <v>10491</v>
      </c>
      <c r="H706" s="255">
        <v>80.13</v>
      </c>
      <c r="J706" s="521"/>
      <c r="K706" s="524"/>
      <c r="S706" s="536"/>
      <c r="T706" s="638"/>
    </row>
    <row r="707" spans="1:68" s="298" customFormat="1" ht="12.75">
      <c r="A707" s="256"/>
      <c r="B707" s="288" t="s">
        <v>143</v>
      </c>
      <c r="C707" s="603" t="s">
        <v>15438</v>
      </c>
      <c r="D707" s="386"/>
      <c r="E707" s="386"/>
      <c r="F707" s="386"/>
      <c r="G707" s="386"/>
      <c r="H707" s="387"/>
      <c r="J707" s="521"/>
      <c r="K707" s="524"/>
      <c r="S707" s="536"/>
      <c r="T707" s="635"/>
    </row>
    <row r="708" spans="1:68" s="529" customFormat="1" ht="12.75">
      <c r="A708" s="286"/>
      <c r="B708" s="293"/>
      <c r="C708" s="229"/>
      <c r="D708" s="230"/>
      <c r="E708" s="230"/>
      <c r="F708" s="230"/>
      <c r="G708" s="230"/>
      <c r="H708" s="230"/>
      <c r="I708" s="298"/>
      <c r="J708" s="521"/>
      <c r="K708" s="524"/>
      <c r="L708" s="298"/>
      <c r="M708" s="298"/>
      <c r="N708" s="298"/>
      <c r="O708" s="298"/>
      <c r="P708" s="298"/>
      <c r="Q708" s="298"/>
      <c r="R708" s="298"/>
      <c r="S708" s="536"/>
      <c r="T708" s="635"/>
      <c r="U708" s="298"/>
      <c r="V708" s="298"/>
      <c r="W708" s="298"/>
      <c r="X708" s="298"/>
      <c r="Y708" s="298"/>
      <c r="Z708" s="298"/>
      <c r="AA708" s="298"/>
      <c r="AB708" s="298"/>
      <c r="AC708" s="298"/>
      <c r="AD708" s="298"/>
      <c r="AE708" s="298"/>
      <c r="AF708" s="298"/>
      <c r="AG708" s="298"/>
      <c r="AH708" s="298"/>
      <c r="AI708" s="298"/>
      <c r="AJ708" s="298"/>
      <c r="AK708" s="298"/>
      <c r="AL708" s="298"/>
      <c r="AM708" s="298"/>
      <c r="AN708" s="298"/>
      <c r="AO708" s="298"/>
      <c r="AP708" s="298"/>
      <c r="AQ708" s="298"/>
      <c r="AR708" s="298"/>
      <c r="AS708" s="298"/>
      <c r="AT708" s="298"/>
      <c r="AU708" s="298"/>
      <c r="AV708" s="298"/>
      <c r="AW708" s="298"/>
      <c r="AX708" s="298"/>
      <c r="AY708" s="298"/>
      <c r="AZ708" s="298"/>
      <c r="BA708" s="298"/>
      <c r="BB708" s="298"/>
      <c r="BC708" s="298"/>
      <c r="BD708" s="298"/>
      <c r="BE708" s="298"/>
      <c r="BF708" s="298"/>
      <c r="BG708" s="298"/>
      <c r="BH708" s="298"/>
      <c r="BI708" s="298"/>
      <c r="BJ708" s="298"/>
      <c r="BK708" s="298"/>
      <c r="BL708" s="298"/>
      <c r="BM708" s="298"/>
      <c r="BN708" s="298"/>
      <c r="BO708" s="298"/>
      <c r="BP708" s="298"/>
    </row>
    <row r="709" spans="1:68" s="645" customFormat="1" ht="25.5">
      <c r="A709" s="376"/>
      <c r="B709" s="372" t="s">
        <v>15494</v>
      </c>
      <c r="C709" s="231" t="s">
        <v>15474</v>
      </c>
      <c r="D709" s="232" t="s">
        <v>103</v>
      </c>
      <c r="E709" s="232" t="s">
        <v>193</v>
      </c>
      <c r="F709" s="233"/>
      <c r="G709" s="234"/>
      <c r="H709" s="235">
        <v>361.03</v>
      </c>
      <c r="I709" s="298"/>
      <c r="J709" s="521"/>
      <c r="K709" s="524"/>
      <c r="L709" s="298"/>
      <c r="M709" s="298"/>
      <c r="N709" s="298"/>
      <c r="O709" s="298"/>
      <c r="P709" s="298"/>
      <c r="Q709" s="298"/>
      <c r="R709" s="298"/>
      <c r="S709" s="536"/>
      <c r="T709" s="635"/>
      <c r="U709" s="298"/>
      <c r="V709" s="298"/>
      <c r="W709" s="298"/>
      <c r="X709" s="298"/>
      <c r="Y709" s="298"/>
      <c r="Z709" s="298"/>
      <c r="AA709" s="298"/>
      <c r="AB709" s="298"/>
      <c r="AC709" s="298"/>
      <c r="AD709" s="298"/>
      <c r="AE709" s="298"/>
      <c r="AF709" s="298"/>
      <c r="AG709" s="298"/>
      <c r="AH709" s="298"/>
      <c r="AI709" s="298"/>
      <c r="AJ709" s="298"/>
      <c r="AK709" s="298"/>
      <c r="AL709" s="298"/>
      <c r="AM709" s="298"/>
      <c r="AN709" s="298"/>
      <c r="AO709" s="298"/>
      <c r="AP709" s="298"/>
      <c r="AQ709" s="298"/>
      <c r="AR709" s="298"/>
      <c r="AS709" s="298"/>
      <c r="AT709" s="298"/>
      <c r="AU709" s="298"/>
      <c r="AV709" s="298"/>
      <c r="AW709" s="298"/>
      <c r="AX709" s="298"/>
      <c r="AY709" s="298"/>
      <c r="AZ709" s="298"/>
      <c r="BA709" s="298"/>
      <c r="BB709" s="298"/>
      <c r="BC709" s="298"/>
      <c r="BD709" s="298"/>
      <c r="BE709" s="298"/>
      <c r="BF709" s="298"/>
      <c r="BG709" s="298"/>
      <c r="BH709" s="298"/>
      <c r="BI709" s="298"/>
      <c r="BJ709" s="298"/>
      <c r="BK709" s="298"/>
      <c r="BL709" s="298"/>
      <c r="BM709" s="298"/>
      <c r="BN709" s="298"/>
      <c r="BO709" s="298"/>
      <c r="BP709" s="298"/>
    </row>
    <row r="710" spans="1:68" s="298" customFormat="1" ht="25.5">
      <c r="A710" s="256" t="s">
        <v>3261</v>
      </c>
      <c r="B710" s="374">
        <v>370</v>
      </c>
      <c r="C710" s="289" t="s">
        <v>4815</v>
      </c>
      <c r="D710" s="290" t="s">
        <v>207</v>
      </c>
      <c r="E710" s="290" t="s">
        <v>3241</v>
      </c>
      <c r="F710" s="254">
        <v>3.0000000000000001E-3</v>
      </c>
      <c r="G710" s="292" t="s">
        <v>12154</v>
      </c>
      <c r="H710" s="255">
        <v>0.28000000000000003</v>
      </c>
      <c r="J710" s="521"/>
      <c r="K710" s="524"/>
      <c r="S710" s="536"/>
      <c r="T710" s="638"/>
    </row>
    <row r="711" spans="1:68" s="298" customFormat="1" ht="12.75">
      <c r="A711" s="256" t="s">
        <v>3261</v>
      </c>
      <c r="B711" s="374">
        <v>1379</v>
      </c>
      <c r="C711" s="289" t="s">
        <v>5546</v>
      </c>
      <c r="D711" s="290" t="s">
        <v>207</v>
      </c>
      <c r="E711" s="290" t="s">
        <v>3244</v>
      </c>
      <c r="F711" s="254">
        <v>1.17</v>
      </c>
      <c r="G711" s="292" t="s">
        <v>18937</v>
      </c>
      <c r="H711" s="255">
        <v>0.57999999999999996</v>
      </c>
      <c r="J711" s="521"/>
      <c r="K711" s="524"/>
      <c r="S711" s="536"/>
      <c r="T711" s="638"/>
    </row>
    <row r="712" spans="1:68" s="298" customFormat="1" ht="25.5">
      <c r="A712" s="256" t="s">
        <v>3259</v>
      </c>
      <c r="B712" s="374">
        <v>88309</v>
      </c>
      <c r="C712" s="289" t="s">
        <v>105</v>
      </c>
      <c r="D712" s="290" t="s">
        <v>9714</v>
      </c>
      <c r="E712" s="290" t="s">
        <v>206</v>
      </c>
      <c r="F712" s="254">
        <v>1</v>
      </c>
      <c r="G712" s="292" t="s">
        <v>11439</v>
      </c>
      <c r="H712" s="255">
        <v>23.9</v>
      </c>
      <c r="J712" s="521"/>
      <c r="K712" s="763"/>
      <c r="S712" s="536"/>
      <c r="T712" s="638"/>
    </row>
    <row r="713" spans="1:68" s="298" customFormat="1" ht="25.5">
      <c r="A713" s="256" t="s">
        <v>3259</v>
      </c>
      <c r="B713" s="374">
        <v>88316</v>
      </c>
      <c r="C713" s="289" t="s">
        <v>104</v>
      </c>
      <c r="D713" s="290" t="s">
        <v>9714</v>
      </c>
      <c r="E713" s="290" t="s">
        <v>206</v>
      </c>
      <c r="F713" s="254">
        <v>0.64</v>
      </c>
      <c r="G713" s="292" t="s">
        <v>10172</v>
      </c>
      <c r="H713" s="255">
        <v>11.27</v>
      </c>
      <c r="J713" s="521"/>
      <c r="K713" s="524"/>
      <c r="S713" s="536"/>
      <c r="T713" s="638"/>
    </row>
    <row r="714" spans="1:68" s="298" customFormat="1" ht="25.5">
      <c r="A714" s="256" t="s">
        <v>3261</v>
      </c>
      <c r="B714" s="374">
        <v>1337</v>
      </c>
      <c r="C714" s="289" t="s">
        <v>5488</v>
      </c>
      <c r="D714" s="290" t="s">
        <v>207</v>
      </c>
      <c r="E714" s="290" t="s">
        <v>3244</v>
      </c>
      <c r="F714" s="254">
        <v>25</v>
      </c>
      <c r="G714" s="292" t="s">
        <v>16150</v>
      </c>
      <c r="H714" s="255">
        <v>325</v>
      </c>
      <c r="J714" s="521"/>
      <c r="K714" s="524"/>
      <c r="S714" s="536"/>
      <c r="T714" s="638"/>
    </row>
    <row r="715" spans="1:68" s="298" customFormat="1" ht="12.75">
      <c r="A715" s="256"/>
      <c r="B715" s="288" t="s">
        <v>143</v>
      </c>
      <c r="C715" s="603" t="s">
        <v>17533</v>
      </c>
      <c r="D715" s="386"/>
      <c r="E715" s="386"/>
      <c r="F715" s="386"/>
      <c r="G715" s="386"/>
      <c r="H715" s="387"/>
      <c r="J715" s="521"/>
      <c r="K715" s="524"/>
      <c r="S715" s="536"/>
      <c r="T715" s="635"/>
    </row>
    <row r="716" spans="1:68" s="529" customFormat="1" ht="12.75">
      <c r="A716" s="286"/>
      <c r="B716" s="293"/>
      <c r="C716" s="229"/>
      <c r="D716" s="230"/>
      <c r="E716" s="230"/>
      <c r="F716" s="230"/>
      <c r="G716" s="230"/>
      <c r="H716" s="230"/>
      <c r="I716" s="298"/>
      <c r="J716" s="521"/>
      <c r="K716" s="524"/>
      <c r="L716" s="298"/>
      <c r="M716" s="298"/>
      <c r="N716" s="298"/>
      <c r="O716" s="298"/>
      <c r="P716" s="298"/>
      <c r="Q716" s="298"/>
      <c r="R716" s="298"/>
      <c r="S716" s="536"/>
      <c r="T716" s="635"/>
      <c r="U716" s="298"/>
      <c r="V716" s="298"/>
      <c r="W716" s="298"/>
      <c r="X716" s="298"/>
      <c r="Y716" s="298"/>
      <c r="Z716" s="298"/>
      <c r="AA716" s="298"/>
      <c r="AB716" s="298"/>
      <c r="AC716" s="298"/>
      <c r="AD716" s="298"/>
      <c r="AE716" s="298"/>
      <c r="AF716" s="298"/>
      <c r="AG716" s="298"/>
      <c r="AH716" s="298"/>
      <c r="AI716" s="298"/>
      <c r="AJ716" s="298"/>
      <c r="AK716" s="298"/>
      <c r="AL716" s="298"/>
      <c r="AM716" s="298"/>
      <c r="AN716" s="298"/>
      <c r="AO716" s="298"/>
      <c r="AP716" s="298"/>
      <c r="AQ716" s="298"/>
      <c r="AR716" s="298"/>
      <c r="AS716" s="298"/>
      <c r="AT716" s="298"/>
      <c r="AU716" s="298"/>
      <c r="AV716" s="298"/>
      <c r="AW716" s="298"/>
      <c r="AX716" s="298"/>
      <c r="AY716" s="298"/>
      <c r="AZ716" s="298"/>
      <c r="BA716" s="298"/>
      <c r="BB716" s="298"/>
      <c r="BC716" s="298"/>
      <c r="BD716" s="298"/>
      <c r="BE716" s="298"/>
      <c r="BF716" s="298"/>
      <c r="BG716" s="298"/>
      <c r="BH716" s="298"/>
      <c r="BI716" s="298"/>
      <c r="BJ716" s="298"/>
      <c r="BK716" s="298"/>
      <c r="BL716" s="298"/>
      <c r="BM716" s="298"/>
      <c r="BN716" s="298"/>
      <c r="BO716" s="298"/>
      <c r="BP716" s="298"/>
    </row>
    <row r="717" spans="1:68" s="645" customFormat="1" ht="51">
      <c r="A717" s="376"/>
      <c r="B717" s="372" t="s">
        <v>15497</v>
      </c>
      <c r="C717" s="231" t="s">
        <v>15495</v>
      </c>
      <c r="D717" s="232" t="s">
        <v>103</v>
      </c>
      <c r="E717" s="232" t="s">
        <v>193</v>
      </c>
      <c r="F717" s="233"/>
      <c r="G717" s="234"/>
      <c r="H717" s="235">
        <v>449.47</v>
      </c>
      <c r="I717" s="298"/>
      <c r="J717" s="521"/>
      <c r="K717" s="524"/>
      <c r="L717" s="298"/>
      <c r="M717" s="298"/>
      <c r="N717" s="298"/>
      <c r="O717" s="298"/>
      <c r="P717" s="298"/>
      <c r="Q717" s="298"/>
      <c r="R717" s="298"/>
      <c r="S717" s="536"/>
      <c r="T717" s="635"/>
      <c r="U717" s="298"/>
      <c r="V717" s="298"/>
      <c r="W717" s="298"/>
      <c r="X717" s="298"/>
      <c r="Y717" s="298"/>
      <c r="Z717" s="298"/>
      <c r="AA717" s="298"/>
      <c r="AB717" s="298"/>
      <c r="AC717" s="298"/>
      <c r="AD717" s="298"/>
      <c r="AE717" s="298"/>
      <c r="AF717" s="298"/>
      <c r="AG717" s="298"/>
      <c r="AH717" s="298"/>
      <c r="AI717" s="298"/>
      <c r="AJ717" s="298"/>
      <c r="AK717" s="298"/>
      <c r="AL717" s="298"/>
      <c r="AM717" s="298"/>
      <c r="AN717" s="298"/>
      <c r="AO717" s="298"/>
      <c r="AP717" s="298"/>
      <c r="AQ717" s="298"/>
      <c r="AR717" s="298"/>
      <c r="AS717" s="298"/>
      <c r="AT717" s="298"/>
      <c r="AU717" s="298"/>
      <c r="AV717" s="298"/>
      <c r="AW717" s="298"/>
      <c r="AX717" s="298"/>
      <c r="AY717" s="298"/>
      <c r="AZ717" s="298"/>
      <c r="BA717" s="298"/>
      <c r="BB717" s="298"/>
      <c r="BC717" s="298"/>
      <c r="BD717" s="298"/>
      <c r="BE717" s="298"/>
      <c r="BF717" s="298"/>
      <c r="BG717" s="298"/>
      <c r="BH717" s="298"/>
      <c r="BI717" s="298"/>
      <c r="BJ717" s="298"/>
      <c r="BK717" s="298"/>
      <c r="BL717" s="298"/>
      <c r="BM717" s="298"/>
      <c r="BN717" s="298"/>
      <c r="BO717" s="298"/>
      <c r="BP717" s="298"/>
    </row>
    <row r="718" spans="1:68" s="298" customFormat="1" ht="25.5">
      <c r="A718" s="256" t="s">
        <v>3261</v>
      </c>
      <c r="B718" s="374">
        <v>587</v>
      </c>
      <c r="C718" s="289" t="s">
        <v>5373</v>
      </c>
      <c r="D718" s="290" t="s">
        <v>207</v>
      </c>
      <c r="E718" s="290" t="s">
        <v>3244</v>
      </c>
      <c r="F718" s="254">
        <v>1.54</v>
      </c>
      <c r="G718" s="292" t="s">
        <v>12429</v>
      </c>
      <c r="H718" s="255">
        <v>53.28</v>
      </c>
      <c r="J718" s="521"/>
      <c r="K718" s="524"/>
      <c r="S718" s="536"/>
      <c r="T718" s="638"/>
    </row>
    <row r="719" spans="1:68" s="298" customFormat="1" ht="38.25">
      <c r="A719" s="256" t="s">
        <v>3261</v>
      </c>
      <c r="B719" s="374">
        <v>1360</v>
      </c>
      <c r="C719" s="289" t="s">
        <v>5499</v>
      </c>
      <c r="D719" s="290" t="s">
        <v>207</v>
      </c>
      <c r="E719" s="290" t="s">
        <v>3242</v>
      </c>
      <c r="F719" s="254">
        <v>1.05</v>
      </c>
      <c r="G719" s="292" t="s">
        <v>9839</v>
      </c>
      <c r="H719" s="255">
        <v>33.1</v>
      </c>
      <c r="J719" s="521"/>
      <c r="K719" s="524"/>
      <c r="S719" s="536"/>
      <c r="T719" s="638"/>
    </row>
    <row r="720" spans="1:68" s="298" customFormat="1" ht="38.25">
      <c r="A720" s="256" t="s">
        <v>3261</v>
      </c>
      <c r="B720" s="374">
        <v>7334</v>
      </c>
      <c r="C720" s="289" t="s">
        <v>4688</v>
      </c>
      <c r="D720" s="290" t="s">
        <v>207</v>
      </c>
      <c r="E720" s="290" t="s">
        <v>3245</v>
      </c>
      <c r="F720" s="254">
        <v>0.18</v>
      </c>
      <c r="G720" s="292" t="s">
        <v>18812</v>
      </c>
      <c r="H720" s="255">
        <v>2.4</v>
      </c>
      <c r="J720" s="521"/>
      <c r="K720" s="763"/>
      <c r="S720" s="536"/>
      <c r="T720" s="638"/>
    </row>
    <row r="721" spans="1:68" s="298" customFormat="1" ht="12.75">
      <c r="A721" s="256" t="s">
        <v>3261</v>
      </c>
      <c r="B721" s="374">
        <v>11186</v>
      </c>
      <c r="C721" s="289" t="s">
        <v>6363</v>
      </c>
      <c r="D721" s="290" t="s">
        <v>207</v>
      </c>
      <c r="E721" s="290" t="s">
        <v>3242</v>
      </c>
      <c r="F721" s="254">
        <v>1</v>
      </c>
      <c r="G721" s="292" t="s">
        <v>19735</v>
      </c>
      <c r="H721" s="255">
        <v>284.83</v>
      </c>
      <c r="J721" s="521"/>
      <c r="K721" s="524"/>
      <c r="S721" s="536"/>
      <c r="T721" s="638"/>
    </row>
    <row r="722" spans="1:68" s="298" customFormat="1" ht="25.5">
      <c r="A722" s="256" t="s">
        <v>3259</v>
      </c>
      <c r="B722" s="374">
        <v>88239</v>
      </c>
      <c r="C722" s="289" t="s">
        <v>293</v>
      </c>
      <c r="D722" s="290" t="s">
        <v>9714</v>
      </c>
      <c r="E722" s="290" t="s">
        <v>206</v>
      </c>
      <c r="F722" s="254">
        <v>1.8</v>
      </c>
      <c r="G722" s="292" t="s">
        <v>24382</v>
      </c>
      <c r="H722" s="255">
        <v>35.92</v>
      </c>
      <c r="J722" s="521"/>
      <c r="K722" s="524"/>
      <c r="S722" s="536"/>
      <c r="T722" s="638"/>
    </row>
    <row r="723" spans="1:68" s="298" customFormat="1" ht="25.5">
      <c r="A723" s="256" t="s">
        <v>3259</v>
      </c>
      <c r="B723" s="374">
        <v>88325</v>
      </c>
      <c r="C723" s="289" t="s">
        <v>3102</v>
      </c>
      <c r="D723" s="290" t="s">
        <v>9714</v>
      </c>
      <c r="E723" s="290" t="s">
        <v>206</v>
      </c>
      <c r="F723" s="254">
        <v>1.8</v>
      </c>
      <c r="G723" s="292" t="s">
        <v>21076</v>
      </c>
      <c r="H723" s="255">
        <v>39.94</v>
      </c>
      <c r="J723" s="521"/>
      <c r="K723" s="524"/>
      <c r="S723" s="536"/>
      <c r="T723" s="638"/>
    </row>
    <row r="724" spans="1:68" s="298" customFormat="1" ht="12.75">
      <c r="A724" s="256"/>
      <c r="B724" s="288" t="s">
        <v>143</v>
      </c>
      <c r="C724" s="603" t="s">
        <v>15496</v>
      </c>
      <c r="D724" s="386"/>
      <c r="E724" s="386"/>
      <c r="F724" s="386"/>
      <c r="G724" s="386"/>
      <c r="H724" s="387"/>
      <c r="J724" s="521"/>
      <c r="K724" s="524"/>
      <c r="S724" s="536"/>
      <c r="T724" s="635"/>
    </row>
    <row r="725" spans="1:68" s="529" customFormat="1" ht="12.75">
      <c r="A725" s="286"/>
      <c r="B725" s="293"/>
      <c r="C725" s="229"/>
      <c r="D725" s="230"/>
      <c r="E725" s="230"/>
      <c r="F725" s="230"/>
      <c r="G725" s="230"/>
      <c r="H725" s="230"/>
      <c r="I725" s="298"/>
      <c r="J725" s="521"/>
      <c r="K725" s="524"/>
      <c r="L725" s="298"/>
      <c r="M725" s="298"/>
      <c r="N725" s="298"/>
      <c r="O725" s="298"/>
      <c r="P725" s="298"/>
      <c r="Q725" s="298"/>
      <c r="R725" s="298"/>
      <c r="S725" s="536"/>
      <c r="T725" s="635"/>
      <c r="U725" s="298"/>
      <c r="V725" s="298"/>
      <c r="W725" s="298"/>
      <c r="X725" s="298"/>
      <c r="Y725" s="298"/>
      <c r="Z725" s="298"/>
      <c r="AA725" s="298"/>
      <c r="AB725" s="298"/>
      <c r="AC725" s="298"/>
      <c r="AD725" s="298"/>
      <c r="AE725" s="298"/>
      <c r="AF725" s="298"/>
      <c r="AG725" s="298"/>
      <c r="AH725" s="298"/>
      <c r="AI725" s="298"/>
      <c r="AJ725" s="298"/>
      <c r="AK725" s="298"/>
      <c r="AL725" s="298"/>
      <c r="AM725" s="298"/>
      <c r="AN725" s="298"/>
      <c r="AO725" s="298"/>
      <c r="AP725" s="298"/>
      <c r="AQ725" s="298"/>
      <c r="AR725" s="298"/>
      <c r="AS725" s="298"/>
      <c r="AT725" s="298"/>
      <c r="AU725" s="298"/>
      <c r="AV725" s="298"/>
      <c r="AW725" s="298"/>
      <c r="AX725" s="298"/>
      <c r="AY725" s="298"/>
      <c r="AZ725" s="298"/>
      <c r="BA725" s="298"/>
      <c r="BB725" s="298"/>
      <c r="BC725" s="298"/>
      <c r="BD725" s="298"/>
      <c r="BE725" s="298"/>
      <c r="BF725" s="298"/>
      <c r="BG725" s="298"/>
      <c r="BH725" s="298"/>
      <c r="BI725" s="298"/>
      <c r="BJ725" s="298"/>
      <c r="BK725" s="298"/>
      <c r="BL725" s="298"/>
      <c r="BM725" s="298"/>
      <c r="BN725" s="298"/>
      <c r="BO725" s="298"/>
      <c r="BP725" s="298"/>
    </row>
    <row r="726" spans="1:68" s="645" customFormat="1" ht="51">
      <c r="A726" s="376"/>
      <c r="B726" s="372" t="s">
        <v>15498</v>
      </c>
      <c r="C726" s="231" t="s">
        <v>17540</v>
      </c>
      <c r="D726" s="232" t="s">
        <v>103</v>
      </c>
      <c r="E726" s="232" t="s">
        <v>193</v>
      </c>
      <c r="F726" s="233"/>
      <c r="G726" s="234"/>
      <c r="H726" s="235">
        <v>230.73</v>
      </c>
      <c r="I726" s="298"/>
      <c r="J726" s="521"/>
      <c r="K726" s="524"/>
      <c r="L726" s="298"/>
      <c r="M726" s="298"/>
      <c r="N726" s="298"/>
      <c r="O726" s="298"/>
      <c r="P726" s="298"/>
      <c r="Q726" s="298"/>
      <c r="R726" s="298"/>
      <c r="S726" s="536"/>
      <c r="T726" s="635"/>
      <c r="U726" s="298"/>
      <c r="V726" s="298"/>
      <c r="W726" s="298"/>
      <c r="X726" s="298"/>
      <c r="Y726" s="298"/>
      <c r="Z726" s="298"/>
      <c r="AA726" s="298"/>
      <c r="AB726" s="298"/>
      <c r="AC726" s="298"/>
      <c r="AD726" s="298"/>
      <c r="AE726" s="298"/>
      <c r="AF726" s="298"/>
      <c r="AG726" s="298"/>
      <c r="AH726" s="298"/>
      <c r="AI726" s="298"/>
      <c r="AJ726" s="298"/>
      <c r="AK726" s="298"/>
      <c r="AL726" s="298"/>
      <c r="AM726" s="298"/>
      <c r="AN726" s="298"/>
      <c r="AO726" s="298"/>
      <c r="AP726" s="298"/>
      <c r="AQ726" s="298"/>
      <c r="AR726" s="298"/>
      <c r="AS726" s="298"/>
      <c r="AT726" s="298"/>
      <c r="AU726" s="298"/>
      <c r="AV726" s="298"/>
      <c r="AW726" s="298"/>
      <c r="AX726" s="298"/>
      <c r="AY726" s="298"/>
      <c r="AZ726" s="298"/>
      <c r="BA726" s="298"/>
      <c r="BB726" s="298"/>
      <c r="BC726" s="298"/>
      <c r="BD726" s="298"/>
      <c r="BE726" s="298"/>
      <c r="BF726" s="298"/>
      <c r="BG726" s="298"/>
      <c r="BH726" s="298"/>
      <c r="BI726" s="298"/>
      <c r="BJ726" s="298"/>
      <c r="BK726" s="298"/>
      <c r="BL726" s="298"/>
      <c r="BM726" s="298"/>
      <c r="BN726" s="298"/>
      <c r="BO726" s="298"/>
      <c r="BP726" s="298"/>
    </row>
    <row r="727" spans="1:68" s="298" customFormat="1" ht="89.25">
      <c r="A727" s="256" t="s">
        <v>3261</v>
      </c>
      <c r="B727" s="374">
        <v>39520</v>
      </c>
      <c r="C727" s="289" t="s">
        <v>9595</v>
      </c>
      <c r="D727" s="290" t="s">
        <v>207</v>
      </c>
      <c r="E727" s="290" t="s">
        <v>3242</v>
      </c>
      <c r="F727" s="291">
        <v>1.1659999999999999</v>
      </c>
      <c r="G727" s="292" t="s">
        <v>20857</v>
      </c>
      <c r="H727" s="255">
        <v>220.85</v>
      </c>
      <c r="J727" s="634"/>
      <c r="K727" s="524"/>
      <c r="S727" s="536"/>
      <c r="T727" s="638"/>
    </row>
    <row r="728" spans="1:68" s="298" customFormat="1" ht="51">
      <c r="A728" s="256" t="s">
        <v>3261</v>
      </c>
      <c r="B728" s="374">
        <v>11029</v>
      </c>
      <c r="C728" s="289" t="s">
        <v>6626</v>
      </c>
      <c r="D728" s="290" t="s">
        <v>207</v>
      </c>
      <c r="E728" s="290" t="s">
        <v>3252</v>
      </c>
      <c r="F728" s="254" t="s">
        <v>15479</v>
      </c>
      <c r="G728" s="292" t="s">
        <v>19883</v>
      </c>
      <c r="H728" s="255">
        <v>5.85</v>
      </c>
      <c r="J728" s="521"/>
      <c r="K728" s="524"/>
      <c r="S728" s="536"/>
      <c r="T728" s="638"/>
    </row>
    <row r="729" spans="1:68" s="298" customFormat="1" ht="25.5">
      <c r="A729" s="256" t="s">
        <v>3259</v>
      </c>
      <c r="B729" s="374">
        <v>88316</v>
      </c>
      <c r="C729" s="289" t="s">
        <v>104</v>
      </c>
      <c r="D729" s="290" t="s">
        <v>9714</v>
      </c>
      <c r="E729" s="290" t="s">
        <v>206</v>
      </c>
      <c r="F729" s="254" t="s">
        <v>15480</v>
      </c>
      <c r="G729" s="292" t="s">
        <v>10172</v>
      </c>
      <c r="H729" s="255">
        <v>1.7</v>
      </c>
      <c r="J729" s="521"/>
      <c r="K729" s="524"/>
      <c r="S729" s="536"/>
      <c r="T729" s="638"/>
    </row>
    <row r="730" spans="1:68" s="298" customFormat="1" ht="25.5">
      <c r="A730" s="256" t="s">
        <v>3259</v>
      </c>
      <c r="B730" s="374">
        <v>88323</v>
      </c>
      <c r="C730" s="289" t="s">
        <v>211</v>
      </c>
      <c r="D730" s="290" t="s">
        <v>9714</v>
      </c>
      <c r="E730" s="290" t="s">
        <v>206</v>
      </c>
      <c r="F730" s="254" t="s">
        <v>15481</v>
      </c>
      <c r="G730" s="292" t="s">
        <v>16553</v>
      </c>
      <c r="H730" s="255">
        <v>2.2999999999999998</v>
      </c>
      <c r="J730" s="521"/>
      <c r="K730" s="763"/>
      <c r="S730" s="536"/>
      <c r="T730" s="638"/>
    </row>
    <row r="731" spans="1:68" s="298" customFormat="1" ht="51">
      <c r="A731" s="256" t="s">
        <v>3259</v>
      </c>
      <c r="B731" s="374">
        <v>93281</v>
      </c>
      <c r="C731" s="289" t="s">
        <v>216</v>
      </c>
      <c r="D731" s="290" t="s">
        <v>8987</v>
      </c>
      <c r="E731" s="290" t="s">
        <v>212</v>
      </c>
      <c r="F731" s="254" t="s">
        <v>15482</v>
      </c>
      <c r="G731" s="292" t="s">
        <v>10607</v>
      </c>
      <c r="H731" s="255">
        <v>0.01</v>
      </c>
      <c r="J731" s="521"/>
      <c r="K731" s="524"/>
      <c r="S731" s="536"/>
      <c r="T731" s="638"/>
    </row>
    <row r="732" spans="1:68" s="298" customFormat="1" ht="51">
      <c r="A732" s="256" t="s">
        <v>3259</v>
      </c>
      <c r="B732" s="374">
        <v>93282</v>
      </c>
      <c r="C732" s="289" t="s">
        <v>217</v>
      </c>
      <c r="D732" s="290" t="s">
        <v>8987</v>
      </c>
      <c r="E732" s="290" t="s">
        <v>215</v>
      </c>
      <c r="F732" s="254" t="s">
        <v>15483</v>
      </c>
      <c r="G732" s="292" t="s">
        <v>9738</v>
      </c>
      <c r="H732" s="255">
        <v>0.02</v>
      </c>
      <c r="J732" s="521"/>
      <c r="K732" s="524"/>
      <c r="S732" s="536"/>
      <c r="T732" s="638"/>
    </row>
    <row r="733" spans="1:68" s="298" customFormat="1" ht="12.75">
      <c r="A733" s="256"/>
      <c r="B733" s="288" t="s">
        <v>143</v>
      </c>
      <c r="C733" s="603" t="s">
        <v>15484</v>
      </c>
      <c r="D733" s="386"/>
      <c r="E733" s="386"/>
      <c r="F733" s="386"/>
      <c r="G733" s="386"/>
      <c r="H733" s="387"/>
      <c r="J733" s="521"/>
      <c r="K733" s="524"/>
      <c r="S733" s="536"/>
      <c r="T733" s="635"/>
    </row>
    <row r="734" spans="1:68" s="529" customFormat="1" ht="12.75">
      <c r="A734" s="286"/>
      <c r="B734" s="293"/>
      <c r="C734" s="229"/>
      <c r="D734" s="230"/>
      <c r="E734" s="230"/>
      <c r="F734" s="230"/>
      <c r="G734" s="230"/>
      <c r="H734" s="230"/>
      <c r="I734" s="298"/>
      <c r="J734" s="521"/>
      <c r="K734" s="524"/>
      <c r="L734" s="298"/>
      <c r="M734" s="298"/>
      <c r="N734" s="298"/>
      <c r="O734" s="298"/>
      <c r="P734" s="298"/>
      <c r="Q734" s="298"/>
      <c r="R734" s="298"/>
      <c r="S734" s="536"/>
      <c r="T734" s="635"/>
      <c r="U734" s="298"/>
      <c r="V734" s="298"/>
      <c r="W734" s="298"/>
      <c r="X734" s="298"/>
      <c r="Y734" s="298"/>
      <c r="Z734" s="298"/>
      <c r="AA734" s="298"/>
      <c r="AB734" s="298"/>
      <c r="AC734" s="298"/>
      <c r="AD734" s="298"/>
      <c r="AE734" s="298"/>
      <c r="AF734" s="298"/>
      <c r="AG734" s="298"/>
      <c r="AH734" s="298"/>
      <c r="AI734" s="298"/>
      <c r="AJ734" s="298"/>
      <c r="AK734" s="298"/>
      <c r="AL734" s="298"/>
      <c r="AM734" s="298"/>
      <c r="AN734" s="298"/>
      <c r="AO734" s="298"/>
      <c r="AP734" s="298"/>
      <c r="AQ734" s="298"/>
      <c r="AR734" s="298"/>
      <c r="AS734" s="298"/>
      <c r="AT734" s="298"/>
      <c r="AU734" s="298"/>
      <c r="AV734" s="298"/>
      <c r="AW734" s="298"/>
      <c r="AX734" s="298"/>
      <c r="AY734" s="298"/>
      <c r="AZ734" s="298"/>
      <c r="BA734" s="298"/>
      <c r="BB734" s="298"/>
      <c r="BC734" s="298"/>
      <c r="BD734" s="298"/>
      <c r="BE734" s="298"/>
      <c r="BF734" s="298"/>
      <c r="BG734" s="298"/>
      <c r="BH734" s="298"/>
      <c r="BI734" s="298"/>
      <c r="BJ734" s="298"/>
      <c r="BK734" s="298"/>
      <c r="BL734" s="298"/>
      <c r="BM734" s="298"/>
      <c r="BN734" s="298"/>
      <c r="BO734" s="298"/>
      <c r="BP734" s="298"/>
    </row>
    <row r="735" spans="1:68" s="645" customFormat="1" ht="38.25">
      <c r="A735" s="376"/>
      <c r="B735" s="372" t="s">
        <v>15500</v>
      </c>
      <c r="C735" s="231" t="s">
        <v>15486</v>
      </c>
      <c r="D735" s="232" t="s">
        <v>103</v>
      </c>
      <c r="E735" s="232" t="s">
        <v>5</v>
      </c>
      <c r="F735" s="233"/>
      <c r="G735" s="234"/>
      <c r="H735" s="235">
        <v>54.150000000000006</v>
      </c>
      <c r="I735" s="298"/>
      <c r="J735" s="521"/>
      <c r="K735" s="524"/>
      <c r="L735" s="298"/>
      <c r="M735" s="298"/>
      <c r="N735" s="298"/>
      <c r="O735" s="298"/>
      <c r="P735" s="298"/>
      <c r="Q735" s="298"/>
      <c r="R735" s="298"/>
      <c r="S735" s="536"/>
      <c r="T735" s="635"/>
      <c r="U735" s="298"/>
      <c r="V735" s="298"/>
      <c r="W735" s="298"/>
      <c r="X735" s="298"/>
      <c r="Y735" s="298"/>
      <c r="Z735" s="298"/>
      <c r="AA735" s="298"/>
      <c r="AB735" s="298"/>
      <c r="AC735" s="298"/>
      <c r="AD735" s="298"/>
      <c r="AE735" s="298"/>
      <c r="AF735" s="298"/>
      <c r="AG735" s="298"/>
      <c r="AH735" s="298"/>
      <c r="AI735" s="298"/>
      <c r="AJ735" s="298"/>
      <c r="AK735" s="298"/>
      <c r="AL735" s="298"/>
      <c r="AM735" s="298"/>
      <c r="AN735" s="298"/>
      <c r="AO735" s="298"/>
      <c r="AP735" s="298"/>
      <c r="AQ735" s="298"/>
      <c r="AR735" s="298"/>
      <c r="AS735" s="298"/>
      <c r="AT735" s="298"/>
      <c r="AU735" s="298"/>
      <c r="AV735" s="298"/>
      <c r="AW735" s="298"/>
      <c r="AX735" s="298"/>
      <c r="AY735" s="298"/>
      <c r="AZ735" s="298"/>
      <c r="BA735" s="298"/>
      <c r="BB735" s="298"/>
      <c r="BC735" s="298"/>
      <c r="BD735" s="298"/>
      <c r="BE735" s="298"/>
      <c r="BF735" s="298"/>
      <c r="BG735" s="298"/>
      <c r="BH735" s="298"/>
      <c r="BI735" s="298"/>
      <c r="BJ735" s="298"/>
      <c r="BK735" s="298"/>
      <c r="BL735" s="298"/>
      <c r="BM735" s="298"/>
      <c r="BN735" s="298"/>
      <c r="BO735" s="298"/>
      <c r="BP735" s="298"/>
    </row>
    <row r="736" spans="1:68" s="298" customFormat="1" ht="38.25">
      <c r="A736" s="256" t="s">
        <v>3261</v>
      </c>
      <c r="B736" s="374">
        <v>1607</v>
      </c>
      <c r="C736" s="289" t="s">
        <v>5764</v>
      </c>
      <c r="D736" s="290" t="s">
        <v>207</v>
      </c>
      <c r="E736" s="290" t="s">
        <v>3252</v>
      </c>
      <c r="F736" s="254" t="s">
        <v>15487</v>
      </c>
      <c r="G736" s="292" t="s">
        <v>9841</v>
      </c>
      <c r="H736" s="255">
        <v>0.79</v>
      </c>
      <c r="J736" s="521"/>
      <c r="K736" s="524"/>
      <c r="S736" s="536"/>
      <c r="T736" s="638"/>
    </row>
    <row r="737" spans="1:68" s="298" customFormat="1" ht="38.25">
      <c r="A737" s="256" t="s">
        <v>3261</v>
      </c>
      <c r="B737" s="374">
        <v>4302</v>
      </c>
      <c r="C737" s="289" t="s">
        <v>7541</v>
      </c>
      <c r="D737" s="290" t="s">
        <v>207</v>
      </c>
      <c r="E737" s="290" t="s">
        <v>3240</v>
      </c>
      <c r="F737" s="254" t="s">
        <v>15487</v>
      </c>
      <c r="G737" s="292" t="s">
        <v>9932</v>
      </c>
      <c r="H737" s="255">
        <v>11.97</v>
      </c>
      <c r="J737" s="521"/>
      <c r="K737" s="524"/>
      <c r="S737" s="536"/>
      <c r="T737" s="638"/>
    </row>
    <row r="738" spans="1:68" s="298" customFormat="1" ht="25.5">
      <c r="A738" s="256" t="s">
        <v>12</v>
      </c>
      <c r="B738" s="374" t="s">
        <v>15353</v>
      </c>
      <c r="C738" s="289" t="s">
        <v>15302</v>
      </c>
      <c r="D738" s="290" t="s">
        <v>207</v>
      </c>
      <c r="E738" s="290" t="s">
        <v>5</v>
      </c>
      <c r="F738" s="254" t="s">
        <v>15488</v>
      </c>
      <c r="G738" s="292">
        <v>38.229999999999997</v>
      </c>
      <c r="H738" s="255">
        <v>39.33</v>
      </c>
      <c r="J738" s="521"/>
      <c r="K738" s="524"/>
      <c r="S738" s="536"/>
      <c r="T738" s="638"/>
    </row>
    <row r="739" spans="1:68" s="298" customFormat="1" ht="25.5">
      <c r="A739" s="256" t="s">
        <v>3259</v>
      </c>
      <c r="B739" s="374">
        <v>88316</v>
      </c>
      <c r="C739" s="289" t="s">
        <v>104</v>
      </c>
      <c r="D739" s="290" t="s">
        <v>9714</v>
      </c>
      <c r="E739" s="290" t="s">
        <v>206</v>
      </c>
      <c r="F739" s="254" t="s">
        <v>15489</v>
      </c>
      <c r="G739" s="292" t="s">
        <v>10172</v>
      </c>
      <c r="H739" s="255">
        <v>0.96</v>
      </c>
      <c r="J739" s="521"/>
      <c r="K739" s="763"/>
      <c r="S739" s="536"/>
      <c r="T739" s="638"/>
    </row>
    <row r="740" spans="1:68" s="298" customFormat="1" ht="25.5">
      <c r="A740" s="256" t="s">
        <v>3259</v>
      </c>
      <c r="B740" s="374">
        <v>88323</v>
      </c>
      <c r="C740" s="289" t="s">
        <v>211</v>
      </c>
      <c r="D740" s="290" t="s">
        <v>9714</v>
      </c>
      <c r="E740" s="290" t="s">
        <v>206</v>
      </c>
      <c r="F740" s="254" t="s">
        <v>15490</v>
      </c>
      <c r="G740" s="292" t="s">
        <v>16553</v>
      </c>
      <c r="H740" s="255">
        <v>1.03</v>
      </c>
      <c r="J740" s="521"/>
      <c r="K740" s="524"/>
      <c r="S740" s="536"/>
      <c r="T740" s="638"/>
    </row>
    <row r="741" spans="1:68" s="298" customFormat="1" ht="51">
      <c r="A741" s="256" t="s">
        <v>3259</v>
      </c>
      <c r="B741" s="374">
        <v>93281</v>
      </c>
      <c r="C741" s="289" t="s">
        <v>216</v>
      </c>
      <c r="D741" s="290" t="s">
        <v>8987</v>
      </c>
      <c r="E741" s="290" t="s">
        <v>212</v>
      </c>
      <c r="F741" s="254" t="s">
        <v>15491</v>
      </c>
      <c r="G741" s="292" t="s">
        <v>10607</v>
      </c>
      <c r="H741" s="255">
        <v>0.03</v>
      </c>
      <c r="J741" s="521"/>
      <c r="K741" s="524"/>
      <c r="S741" s="536"/>
      <c r="T741" s="638"/>
    </row>
    <row r="742" spans="1:68" s="298" customFormat="1" ht="51">
      <c r="A742" s="256" t="s">
        <v>3259</v>
      </c>
      <c r="B742" s="374">
        <v>93282</v>
      </c>
      <c r="C742" s="289" t="s">
        <v>217</v>
      </c>
      <c r="D742" s="290" t="s">
        <v>8987</v>
      </c>
      <c r="E742" s="290" t="s">
        <v>215</v>
      </c>
      <c r="F742" s="254" t="s">
        <v>15492</v>
      </c>
      <c r="G742" s="292" t="s">
        <v>9738</v>
      </c>
      <c r="H742" s="255">
        <v>0.04</v>
      </c>
      <c r="J742" s="521"/>
      <c r="K742" s="524"/>
      <c r="S742" s="536"/>
      <c r="T742" s="638"/>
    </row>
    <row r="743" spans="1:68" s="298" customFormat="1" ht="12.75">
      <c r="A743" s="256"/>
      <c r="B743" s="288" t="s">
        <v>143</v>
      </c>
      <c r="C743" s="603" t="s">
        <v>15493</v>
      </c>
      <c r="D743" s="386"/>
      <c r="E743" s="386"/>
      <c r="F743" s="386"/>
      <c r="G743" s="386"/>
      <c r="H743" s="387"/>
      <c r="J743" s="521"/>
      <c r="K743" s="524"/>
      <c r="S743" s="536"/>
      <c r="T743" s="635"/>
    </row>
    <row r="744" spans="1:68" s="529" customFormat="1" ht="12.75">
      <c r="A744" s="286"/>
      <c r="B744" s="293"/>
      <c r="C744" s="229"/>
      <c r="D744" s="230"/>
      <c r="E744" s="230"/>
      <c r="F744" s="230"/>
      <c r="G744" s="230"/>
      <c r="H744" s="230"/>
      <c r="I744" s="298"/>
      <c r="J744" s="521"/>
      <c r="K744" s="524"/>
      <c r="L744" s="298"/>
      <c r="M744" s="298"/>
      <c r="N744" s="298"/>
      <c r="O744" s="298"/>
      <c r="P744" s="298"/>
      <c r="Q744" s="298"/>
      <c r="R744" s="298"/>
      <c r="S744" s="536"/>
      <c r="T744" s="635"/>
      <c r="U744" s="298"/>
      <c r="V744" s="298"/>
      <c r="W744" s="298"/>
      <c r="X744" s="298"/>
      <c r="Y744" s="298"/>
      <c r="Z744" s="298"/>
      <c r="AA744" s="298"/>
      <c r="AB744" s="298"/>
      <c r="AC744" s="298"/>
      <c r="AD744" s="298"/>
      <c r="AE744" s="298"/>
      <c r="AF744" s="298"/>
      <c r="AG744" s="298"/>
      <c r="AH744" s="298"/>
      <c r="AI744" s="298"/>
      <c r="AJ744" s="298"/>
      <c r="AK744" s="298"/>
      <c r="AL744" s="298"/>
      <c r="AM744" s="298"/>
      <c r="AN744" s="298"/>
      <c r="AO744" s="298"/>
      <c r="AP744" s="298"/>
      <c r="AQ744" s="298"/>
      <c r="AR744" s="298"/>
      <c r="AS744" s="298"/>
      <c r="AT744" s="298"/>
      <c r="AU744" s="298"/>
      <c r="AV744" s="298"/>
      <c r="AW744" s="298"/>
      <c r="AX744" s="298"/>
      <c r="AY744" s="298"/>
      <c r="AZ744" s="298"/>
      <c r="BA744" s="298"/>
      <c r="BB744" s="298"/>
      <c r="BC744" s="298"/>
      <c r="BD744" s="298"/>
      <c r="BE744" s="298"/>
      <c r="BF744" s="298"/>
      <c r="BG744" s="298"/>
      <c r="BH744" s="298"/>
      <c r="BI744" s="298"/>
      <c r="BJ744" s="298"/>
      <c r="BK744" s="298"/>
      <c r="BL744" s="298"/>
      <c r="BM744" s="298"/>
      <c r="BN744" s="298"/>
      <c r="BO744" s="298"/>
      <c r="BP744" s="298"/>
    </row>
    <row r="745" spans="1:68" s="645" customFormat="1" ht="51">
      <c r="A745" s="376"/>
      <c r="B745" s="372" t="s">
        <v>15501</v>
      </c>
      <c r="C745" s="231" t="s">
        <v>17541</v>
      </c>
      <c r="D745" s="232" t="s">
        <v>103</v>
      </c>
      <c r="E745" s="232" t="s">
        <v>193</v>
      </c>
      <c r="F745" s="233"/>
      <c r="G745" s="234"/>
      <c r="H745" s="235">
        <v>81.759999999999991</v>
      </c>
      <c r="I745" s="298"/>
      <c r="J745" s="521"/>
      <c r="K745" s="524"/>
      <c r="L745" s="298"/>
      <c r="M745" s="298"/>
      <c r="N745" s="298"/>
      <c r="O745" s="298"/>
      <c r="P745" s="298"/>
      <c r="Q745" s="298"/>
      <c r="R745" s="298"/>
      <c r="S745" s="536"/>
      <c r="T745" s="635"/>
      <c r="U745" s="298"/>
      <c r="V745" s="298"/>
      <c r="W745" s="298"/>
      <c r="X745" s="298"/>
      <c r="Y745" s="298"/>
      <c r="Z745" s="298"/>
      <c r="AA745" s="298"/>
      <c r="AB745" s="298"/>
      <c r="AC745" s="298"/>
      <c r="AD745" s="298"/>
      <c r="AE745" s="298"/>
      <c r="AF745" s="298"/>
      <c r="AG745" s="298"/>
      <c r="AH745" s="298"/>
      <c r="AI745" s="298"/>
      <c r="AJ745" s="298"/>
      <c r="AK745" s="298"/>
      <c r="AL745" s="298"/>
      <c r="AM745" s="298"/>
      <c r="AN745" s="298"/>
      <c r="AO745" s="298"/>
      <c r="AP745" s="298"/>
      <c r="AQ745" s="298"/>
      <c r="AR745" s="298"/>
      <c r="AS745" s="298"/>
      <c r="AT745" s="298"/>
      <c r="AU745" s="298"/>
      <c r="AV745" s="298"/>
      <c r="AW745" s="298"/>
      <c r="AX745" s="298"/>
      <c r="AY745" s="298"/>
      <c r="AZ745" s="298"/>
      <c r="BA745" s="298"/>
      <c r="BB745" s="298"/>
      <c r="BC745" s="298"/>
      <c r="BD745" s="298"/>
      <c r="BE745" s="298"/>
      <c r="BF745" s="298"/>
      <c r="BG745" s="298"/>
      <c r="BH745" s="298"/>
      <c r="BI745" s="298"/>
      <c r="BJ745" s="298"/>
      <c r="BK745" s="298"/>
      <c r="BL745" s="298"/>
      <c r="BM745" s="298"/>
      <c r="BN745" s="298"/>
      <c r="BO745" s="298"/>
      <c r="BP745" s="298"/>
    </row>
    <row r="746" spans="1:68" s="298" customFormat="1" ht="51">
      <c r="A746" s="256" t="s">
        <v>3261</v>
      </c>
      <c r="B746" s="374">
        <v>7243</v>
      </c>
      <c r="C746" s="289" t="s">
        <v>9598</v>
      </c>
      <c r="D746" s="290" t="s">
        <v>207</v>
      </c>
      <c r="E746" s="290" t="s">
        <v>3242</v>
      </c>
      <c r="F746" s="291">
        <v>1.1659999999999999</v>
      </c>
      <c r="G746" s="292" t="s">
        <v>20860</v>
      </c>
      <c r="H746" s="255">
        <v>71.88</v>
      </c>
      <c r="J746" s="634"/>
      <c r="K746" s="524"/>
      <c r="S746" s="536"/>
      <c r="T746" s="638"/>
    </row>
    <row r="747" spans="1:68" s="298" customFormat="1" ht="51">
      <c r="A747" s="256" t="s">
        <v>3261</v>
      </c>
      <c r="B747" s="374">
        <v>11029</v>
      </c>
      <c r="C747" s="289" t="s">
        <v>6626</v>
      </c>
      <c r="D747" s="290" t="s">
        <v>207</v>
      </c>
      <c r="E747" s="290" t="s">
        <v>3252</v>
      </c>
      <c r="F747" s="254" t="s">
        <v>15479</v>
      </c>
      <c r="G747" s="292" t="s">
        <v>19883</v>
      </c>
      <c r="H747" s="255">
        <v>5.85</v>
      </c>
      <c r="J747" s="521"/>
      <c r="K747" s="524"/>
      <c r="S747" s="536"/>
      <c r="T747" s="638"/>
    </row>
    <row r="748" spans="1:68" s="298" customFormat="1" ht="25.5">
      <c r="A748" s="256" t="s">
        <v>3259</v>
      </c>
      <c r="B748" s="374">
        <v>88316</v>
      </c>
      <c r="C748" s="289" t="s">
        <v>104</v>
      </c>
      <c r="D748" s="290" t="s">
        <v>9714</v>
      </c>
      <c r="E748" s="290" t="s">
        <v>206</v>
      </c>
      <c r="F748" s="254" t="s">
        <v>15480</v>
      </c>
      <c r="G748" s="292" t="s">
        <v>10172</v>
      </c>
      <c r="H748" s="255">
        <v>1.7</v>
      </c>
      <c r="J748" s="521"/>
      <c r="K748" s="524"/>
      <c r="S748" s="536"/>
      <c r="T748" s="638"/>
    </row>
    <row r="749" spans="1:68" s="298" customFormat="1" ht="25.5">
      <c r="A749" s="256" t="s">
        <v>3259</v>
      </c>
      <c r="B749" s="374">
        <v>88323</v>
      </c>
      <c r="C749" s="289" t="s">
        <v>211</v>
      </c>
      <c r="D749" s="290" t="s">
        <v>9714</v>
      </c>
      <c r="E749" s="290" t="s">
        <v>206</v>
      </c>
      <c r="F749" s="254" t="s">
        <v>15481</v>
      </c>
      <c r="G749" s="292" t="s">
        <v>16553</v>
      </c>
      <c r="H749" s="255">
        <v>2.2999999999999998</v>
      </c>
      <c r="J749" s="521"/>
      <c r="K749" s="763"/>
      <c r="S749" s="536"/>
      <c r="T749" s="638"/>
    </row>
    <row r="750" spans="1:68" s="298" customFormat="1" ht="51">
      <c r="A750" s="256" t="s">
        <v>3259</v>
      </c>
      <c r="B750" s="374">
        <v>93281</v>
      </c>
      <c r="C750" s="289" t="s">
        <v>216</v>
      </c>
      <c r="D750" s="290" t="s">
        <v>8987</v>
      </c>
      <c r="E750" s="290" t="s">
        <v>212</v>
      </c>
      <c r="F750" s="254" t="s">
        <v>15482</v>
      </c>
      <c r="G750" s="292" t="s">
        <v>10607</v>
      </c>
      <c r="H750" s="255">
        <v>0.01</v>
      </c>
      <c r="J750" s="521"/>
      <c r="K750" s="524"/>
      <c r="S750" s="536"/>
      <c r="T750" s="638"/>
    </row>
    <row r="751" spans="1:68" s="298" customFormat="1" ht="51">
      <c r="A751" s="256" t="s">
        <v>3259</v>
      </c>
      <c r="B751" s="374">
        <v>93282</v>
      </c>
      <c r="C751" s="289" t="s">
        <v>217</v>
      </c>
      <c r="D751" s="290" t="s">
        <v>8987</v>
      </c>
      <c r="E751" s="290" t="s">
        <v>215</v>
      </c>
      <c r="F751" s="254" t="s">
        <v>15483</v>
      </c>
      <c r="G751" s="292" t="s">
        <v>9738</v>
      </c>
      <c r="H751" s="255">
        <v>0.02</v>
      </c>
      <c r="J751" s="521"/>
      <c r="K751" s="524"/>
      <c r="S751" s="536"/>
      <c r="T751" s="638"/>
    </row>
    <row r="752" spans="1:68" s="298" customFormat="1" ht="12.75">
      <c r="A752" s="256"/>
      <c r="B752" s="288" t="s">
        <v>143</v>
      </c>
      <c r="C752" s="603" t="s">
        <v>15484</v>
      </c>
      <c r="D752" s="386"/>
      <c r="E752" s="386"/>
      <c r="F752" s="386"/>
      <c r="G752" s="386"/>
      <c r="H752" s="387"/>
      <c r="J752" s="521"/>
      <c r="K752" s="524"/>
      <c r="S752" s="536"/>
      <c r="T752" s="635"/>
    </row>
    <row r="753" spans="1:68" s="529" customFormat="1" ht="12.75">
      <c r="A753" s="286"/>
      <c r="B753" s="293"/>
      <c r="C753" s="229"/>
      <c r="D753" s="230"/>
      <c r="E753" s="230"/>
      <c r="F753" s="230"/>
      <c r="G753" s="230"/>
      <c r="H753" s="230"/>
      <c r="I753" s="298"/>
      <c r="J753" s="521"/>
      <c r="K753" s="524"/>
      <c r="L753" s="298"/>
      <c r="M753" s="298"/>
      <c r="N753" s="298"/>
      <c r="O753" s="298"/>
      <c r="P753" s="298"/>
      <c r="Q753" s="298"/>
      <c r="R753" s="298"/>
      <c r="S753" s="536"/>
      <c r="T753" s="635"/>
      <c r="U753" s="298"/>
      <c r="V753" s="298"/>
      <c r="W753" s="298"/>
      <c r="X753" s="298"/>
      <c r="Y753" s="298"/>
      <c r="Z753" s="298"/>
      <c r="AA753" s="298"/>
      <c r="AB753" s="298"/>
      <c r="AC753" s="298"/>
      <c r="AD753" s="298"/>
      <c r="AE753" s="298"/>
      <c r="AF753" s="298"/>
      <c r="AG753" s="298"/>
      <c r="AH753" s="298"/>
      <c r="AI753" s="298"/>
      <c r="AJ753" s="298"/>
      <c r="AK753" s="298"/>
      <c r="AL753" s="298"/>
      <c r="AM753" s="298"/>
      <c r="AN753" s="298"/>
      <c r="AO753" s="298"/>
      <c r="AP753" s="298"/>
      <c r="AQ753" s="298"/>
      <c r="AR753" s="298"/>
      <c r="AS753" s="298"/>
      <c r="AT753" s="298"/>
      <c r="AU753" s="298"/>
      <c r="AV753" s="298"/>
      <c r="AW753" s="298"/>
      <c r="AX753" s="298"/>
      <c r="AY753" s="298"/>
      <c r="AZ753" s="298"/>
      <c r="BA753" s="298"/>
      <c r="BB753" s="298"/>
      <c r="BC753" s="298"/>
      <c r="BD753" s="298"/>
      <c r="BE753" s="298"/>
      <c r="BF753" s="298"/>
      <c r="BG753" s="298"/>
      <c r="BH753" s="298"/>
      <c r="BI753" s="298"/>
      <c r="BJ753" s="298"/>
      <c r="BK753" s="298"/>
      <c r="BL753" s="298"/>
      <c r="BM753" s="298"/>
      <c r="BN753" s="298"/>
      <c r="BO753" s="298"/>
      <c r="BP753" s="298"/>
    </row>
    <row r="754" spans="1:68" s="645" customFormat="1" ht="38.25">
      <c r="A754" s="376"/>
      <c r="B754" s="372" t="s">
        <v>15502</v>
      </c>
      <c r="C754" s="231" t="s">
        <v>17545</v>
      </c>
      <c r="D754" s="232" t="s">
        <v>103</v>
      </c>
      <c r="E754" s="232" t="s">
        <v>193</v>
      </c>
      <c r="F754" s="233"/>
      <c r="G754" s="234"/>
      <c r="H754" s="235">
        <v>150.46</v>
      </c>
      <c r="I754" s="298"/>
      <c r="J754" s="521"/>
      <c r="K754" s="524"/>
      <c r="L754" s="298"/>
      <c r="M754" s="298"/>
      <c r="N754" s="298"/>
      <c r="O754" s="298"/>
      <c r="P754" s="298"/>
      <c r="Q754" s="298"/>
      <c r="R754" s="298"/>
      <c r="S754" s="536"/>
      <c r="T754" s="635"/>
      <c r="U754" s="298"/>
      <c r="V754" s="298"/>
      <c r="W754" s="298"/>
      <c r="X754" s="298"/>
      <c r="Y754" s="298"/>
      <c r="Z754" s="298"/>
      <c r="AA754" s="298"/>
      <c r="AB754" s="298"/>
      <c r="AC754" s="298"/>
      <c r="AD754" s="298"/>
      <c r="AE754" s="298"/>
      <c r="AF754" s="298"/>
      <c r="AG754" s="298"/>
      <c r="AH754" s="298"/>
      <c r="AI754" s="298"/>
      <c r="AJ754" s="298"/>
      <c r="AK754" s="298"/>
      <c r="AL754" s="298"/>
      <c r="AM754" s="298"/>
      <c r="AN754" s="298"/>
      <c r="AO754" s="298"/>
      <c r="AP754" s="298"/>
      <c r="AQ754" s="298"/>
      <c r="AR754" s="298"/>
      <c r="AS754" s="298"/>
      <c r="AT754" s="298"/>
      <c r="AU754" s="298"/>
      <c r="AV754" s="298"/>
      <c r="AW754" s="298"/>
      <c r="AX754" s="298"/>
      <c r="AY754" s="298"/>
      <c r="AZ754" s="298"/>
      <c r="BA754" s="298"/>
      <c r="BB754" s="298"/>
      <c r="BC754" s="298"/>
      <c r="BD754" s="298"/>
      <c r="BE754" s="298"/>
      <c r="BF754" s="298"/>
      <c r="BG754" s="298"/>
      <c r="BH754" s="298"/>
      <c r="BI754" s="298"/>
      <c r="BJ754" s="298"/>
      <c r="BK754" s="298"/>
      <c r="BL754" s="298"/>
      <c r="BM754" s="298"/>
      <c r="BN754" s="298"/>
      <c r="BO754" s="298"/>
      <c r="BP754" s="298"/>
    </row>
    <row r="755" spans="1:68" s="298" customFormat="1" ht="25.5">
      <c r="A755" s="256" t="s">
        <v>12</v>
      </c>
      <c r="B755" s="374" t="s">
        <v>15355</v>
      </c>
      <c r="C755" s="289" t="s">
        <v>17546</v>
      </c>
      <c r="D755" s="290" t="s">
        <v>207</v>
      </c>
      <c r="E755" s="290" t="s">
        <v>193</v>
      </c>
      <c r="F755" s="291">
        <v>1.1000000000000001</v>
      </c>
      <c r="G755" s="292">
        <v>53.952380952380942</v>
      </c>
      <c r="H755" s="255">
        <v>59.34</v>
      </c>
      <c r="J755" s="634"/>
      <c r="K755" s="524"/>
      <c r="S755" s="536"/>
      <c r="T755" s="638"/>
    </row>
    <row r="756" spans="1:68" s="298" customFormat="1" ht="25.5">
      <c r="A756" s="256" t="s">
        <v>12</v>
      </c>
      <c r="B756" s="374" t="s">
        <v>15356</v>
      </c>
      <c r="C756" s="289" t="s">
        <v>17551</v>
      </c>
      <c r="D756" s="290" t="s">
        <v>207</v>
      </c>
      <c r="E756" s="290" t="s">
        <v>5</v>
      </c>
      <c r="F756" s="254">
        <v>1.6</v>
      </c>
      <c r="G756" s="292">
        <v>16.166666666666668</v>
      </c>
      <c r="H756" s="255">
        <v>25.86</v>
      </c>
      <c r="J756" s="521"/>
      <c r="K756" s="524"/>
      <c r="S756" s="536"/>
      <c r="T756" s="638"/>
    </row>
    <row r="757" spans="1:68" s="298" customFormat="1" ht="25.5">
      <c r="A757" s="256" t="s">
        <v>12</v>
      </c>
      <c r="B757" s="374" t="s">
        <v>15357</v>
      </c>
      <c r="C757" s="289" t="s">
        <v>17556</v>
      </c>
      <c r="D757" s="290" t="s">
        <v>207</v>
      </c>
      <c r="E757" s="290" t="s">
        <v>5</v>
      </c>
      <c r="F757" s="254">
        <v>1.2</v>
      </c>
      <c r="G757" s="292">
        <v>7.916666666666667</v>
      </c>
      <c r="H757" s="255">
        <v>9.5</v>
      </c>
      <c r="J757" s="521"/>
      <c r="K757" s="524"/>
      <c r="S757" s="536"/>
      <c r="T757" s="638"/>
    </row>
    <row r="758" spans="1:68" s="298" customFormat="1" ht="25.5">
      <c r="A758" s="256" t="s">
        <v>3259</v>
      </c>
      <c r="B758" s="374">
        <v>88316</v>
      </c>
      <c r="C758" s="289" t="s">
        <v>104</v>
      </c>
      <c r="D758" s="290" t="s">
        <v>9714</v>
      </c>
      <c r="E758" s="290" t="s">
        <v>206</v>
      </c>
      <c r="F758" s="254">
        <v>1.3</v>
      </c>
      <c r="G758" s="292" t="s">
        <v>10172</v>
      </c>
      <c r="H758" s="255">
        <v>22.89</v>
      </c>
      <c r="J758" s="521"/>
      <c r="K758" s="763"/>
      <c r="S758" s="536"/>
      <c r="T758" s="638"/>
    </row>
    <row r="759" spans="1:68" s="298" customFormat="1" ht="25.5">
      <c r="A759" s="256" t="s">
        <v>3259</v>
      </c>
      <c r="B759" s="374">
        <v>88323</v>
      </c>
      <c r="C759" s="289" t="s">
        <v>211</v>
      </c>
      <c r="D759" s="290" t="s">
        <v>9714</v>
      </c>
      <c r="E759" s="290" t="s">
        <v>206</v>
      </c>
      <c r="F759" s="254">
        <v>1.3</v>
      </c>
      <c r="G759" s="292" t="s">
        <v>16553</v>
      </c>
      <c r="H759" s="255">
        <v>32.869999999999997</v>
      </c>
      <c r="J759" s="521"/>
      <c r="K759" s="524"/>
      <c r="S759" s="536"/>
      <c r="T759" s="638"/>
    </row>
    <row r="760" spans="1:68" s="298" customFormat="1" ht="12.75">
      <c r="A760" s="256"/>
      <c r="B760" s="288" t="s">
        <v>143</v>
      </c>
      <c r="C760" s="603" t="s">
        <v>17542</v>
      </c>
      <c r="D760" s="386"/>
      <c r="E760" s="386"/>
      <c r="F760" s="386"/>
      <c r="G760" s="386"/>
      <c r="H760" s="387"/>
      <c r="J760" s="521"/>
      <c r="K760" s="524"/>
      <c r="S760" s="536"/>
      <c r="T760" s="635"/>
    </row>
    <row r="761" spans="1:68" s="529" customFormat="1" ht="12.75">
      <c r="A761" s="286"/>
      <c r="B761" s="293"/>
      <c r="C761" s="229"/>
      <c r="D761" s="230"/>
      <c r="E761" s="230"/>
      <c r="F761" s="230"/>
      <c r="G761" s="230"/>
      <c r="H761" s="230"/>
      <c r="I761" s="298"/>
      <c r="J761" s="521"/>
      <c r="K761" s="524"/>
      <c r="L761" s="298"/>
      <c r="M761" s="298"/>
      <c r="N761" s="298"/>
      <c r="O761" s="298"/>
      <c r="P761" s="298"/>
      <c r="Q761" s="298"/>
      <c r="R761" s="298"/>
      <c r="S761" s="536"/>
      <c r="T761" s="635"/>
      <c r="U761" s="298"/>
      <c r="V761" s="298"/>
      <c r="W761" s="298"/>
      <c r="X761" s="298"/>
      <c r="Y761" s="298"/>
      <c r="Z761" s="298"/>
      <c r="AA761" s="298"/>
      <c r="AB761" s="298"/>
      <c r="AC761" s="298"/>
      <c r="AD761" s="298"/>
      <c r="AE761" s="298"/>
      <c r="AF761" s="298"/>
      <c r="AG761" s="298"/>
      <c r="AH761" s="298"/>
      <c r="AI761" s="298"/>
      <c r="AJ761" s="298"/>
      <c r="AK761" s="298"/>
      <c r="AL761" s="298"/>
      <c r="AM761" s="298"/>
      <c r="AN761" s="298"/>
      <c r="AO761" s="298"/>
      <c r="AP761" s="298"/>
      <c r="AQ761" s="298"/>
      <c r="AR761" s="298"/>
      <c r="AS761" s="298"/>
      <c r="AT761" s="298"/>
      <c r="AU761" s="298"/>
      <c r="AV761" s="298"/>
      <c r="AW761" s="298"/>
      <c r="AX761" s="298"/>
      <c r="AY761" s="298"/>
      <c r="AZ761" s="298"/>
      <c r="BA761" s="298"/>
      <c r="BB761" s="298"/>
      <c r="BC761" s="298"/>
      <c r="BD761" s="298"/>
      <c r="BE761" s="298"/>
      <c r="BF761" s="298"/>
      <c r="BG761" s="298"/>
      <c r="BH761" s="298"/>
      <c r="BI761" s="298"/>
      <c r="BJ761" s="298"/>
      <c r="BK761" s="298"/>
      <c r="BL761" s="298"/>
      <c r="BM761" s="298"/>
      <c r="BN761" s="298"/>
      <c r="BO761" s="298"/>
      <c r="BP761" s="298"/>
    </row>
    <row r="762" spans="1:68" s="645" customFormat="1" ht="38.25">
      <c r="A762" s="376"/>
      <c r="B762" s="372" t="s">
        <v>15504</v>
      </c>
      <c r="C762" s="231" t="s">
        <v>17566</v>
      </c>
      <c r="D762" s="232" t="s">
        <v>103</v>
      </c>
      <c r="E762" s="232" t="s">
        <v>193</v>
      </c>
      <c r="F762" s="233"/>
      <c r="G762" s="234"/>
      <c r="H762" s="235">
        <v>109.56</v>
      </c>
      <c r="I762" s="298"/>
      <c r="J762" s="521"/>
      <c r="K762" s="628"/>
      <c r="L762" s="298"/>
      <c r="M762" s="298"/>
      <c r="N762" s="298"/>
      <c r="O762" s="298"/>
      <c r="P762" s="298"/>
      <c r="Q762" s="298"/>
      <c r="R762" s="298"/>
      <c r="S762" s="536"/>
      <c r="T762" s="635"/>
      <c r="U762" s="298"/>
      <c r="V762" s="298"/>
      <c r="W762" s="298"/>
      <c r="X762" s="298"/>
      <c r="Y762" s="298"/>
      <c r="Z762" s="298"/>
      <c r="AA762" s="298"/>
      <c r="AB762" s="298"/>
      <c r="AC762" s="298"/>
      <c r="AD762" s="298"/>
      <c r="AE762" s="298"/>
      <c r="AF762" s="298"/>
      <c r="AG762" s="298"/>
      <c r="AH762" s="298"/>
      <c r="AI762" s="298"/>
      <c r="AJ762" s="298"/>
      <c r="AK762" s="298"/>
      <c r="AL762" s="298"/>
      <c r="AM762" s="298"/>
      <c r="AN762" s="298"/>
      <c r="AO762" s="298"/>
      <c r="AP762" s="298"/>
      <c r="AQ762" s="298"/>
      <c r="AR762" s="298"/>
      <c r="AS762" s="298"/>
      <c r="AT762" s="298"/>
      <c r="AU762" s="298"/>
      <c r="AV762" s="298"/>
      <c r="AW762" s="298"/>
      <c r="AX762" s="298"/>
      <c r="AY762" s="298"/>
      <c r="AZ762" s="298"/>
      <c r="BA762" s="298"/>
      <c r="BB762" s="298"/>
      <c r="BC762" s="298"/>
      <c r="BD762" s="298"/>
      <c r="BE762" s="298"/>
      <c r="BF762" s="298"/>
      <c r="BG762" s="298"/>
      <c r="BH762" s="298"/>
      <c r="BI762" s="298"/>
      <c r="BJ762" s="298"/>
      <c r="BK762" s="298"/>
      <c r="BL762" s="298"/>
      <c r="BM762" s="298"/>
      <c r="BN762" s="298"/>
      <c r="BO762" s="298"/>
      <c r="BP762" s="298"/>
    </row>
    <row r="763" spans="1:68" s="298" customFormat="1" ht="12.75">
      <c r="A763" s="256" t="s">
        <v>3261</v>
      </c>
      <c r="B763" s="374">
        <v>34357</v>
      </c>
      <c r="C763" s="289" t="s">
        <v>11963</v>
      </c>
      <c r="D763" s="290" t="s">
        <v>207</v>
      </c>
      <c r="E763" s="290" t="s">
        <v>3244</v>
      </c>
      <c r="F763" s="254">
        <v>0.14000000000000001</v>
      </c>
      <c r="G763" s="292" t="s">
        <v>11340</v>
      </c>
      <c r="H763" s="255">
        <v>0.36</v>
      </c>
      <c r="J763" s="521"/>
      <c r="K763" s="524"/>
      <c r="S763" s="536"/>
      <c r="T763" s="638"/>
    </row>
    <row r="764" spans="1:68" s="298" customFormat="1" ht="12.75">
      <c r="A764" s="256" t="s">
        <v>3261</v>
      </c>
      <c r="B764" s="374">
        <v>37595</v>
      </c>
      <c r="C764" s="289" t="s">
        <v>11643</v>
      </c>
      <c r="D764" s="290" t="s">
        <v>207</v>
      </c>
      <c r="E764" s="290" t="s">
        <v>3244</v>
      </c>
      <c r="F764" s="254">
        <v>8.6199999999999992</v>
      </c>
      <c r="G764" s="292" t="s">
        <v>9906</v>
      </c>
      <c r="H764" s="255">
        <v>11.89</v>
      </c>
      <c r="J764" s="521"/>
      <c r="K764" s="524"/>
      <c r="S764" s="536"/>
      <c r="T764" s="638"/>
    </row>
    <row r="765" spans="1:68" s="298" customFormat="1" ht="25.5">
      <c r="A765" s="256" t="s">
        <v>3261</v>
      </c>
      <c r="B765" s="374">
        <v>38195</v>
      </c>
      <c r="C765" s="289" t="s">
        <v>7682</v>
      </c>
      <c r="D765" s="290" t="s">
        <v>207</v>
      </c>
      <c r="E765" s="290" t="s">
        <v>3242</v>
      </c>
      <c r="F765" s="254">
        <v>1.08</v>
      </c>
      <c r="G765" s="292" t="s">
        <v>20381</v>
      </c>
      <c r="H765" s="255">
        <v>75.89</v>
      </c>
      <c r="J765" s="521"/>
      <c r="K765" s="763"/>
      <c r="S765" s="536"/>
      <c r="T765" s="638"/>
    </row>
    <row r="766" spans="1:68" s="298" customFormat="1" ht="25.5">
      <c r="A766" s="256" t="s">
        <v>3259</v>
      </c>
      <c r="B766" s="374">
        <v>88256</v>
      </c>
      <c r="C766" s="289" t="s">
        <v>219</v>
      </c>
      <c r="D766" s="290" t="s">
        <v>9714</v>
      </c>
      <c r="E766" s="290" t="s">
        <v>206</v>
      </c>
      <c r="F766" s="254">
        <v>0.7</v>
      </c>
      <c r="G766" s="292" t="s">
        <v>10495</v>
      </c>
      <c r="H766" s="255">
        <v>16.670000000000002</v>
      </c>
      <c r="J766" s="521"/>
      <c r="K766" s="524"/>
      <c r="S766" s="536"/>
      <c r="T766" s="638"/>
    </row>
    <row r="767" spans="1:68" s="298" customFormat="1" ht="25.5">
      <c r="A767" s="256" t="s">
        <v>3259</v>
      </c>
      <c r="B767" s="374">
        <v>88316</v>
      </c>
      <c r="C767" s="289" t="s">
        <v>104</v>
      </c>
      <c r="D767" s="290" t="s">
        <v>9714</v>
      </c>
      <c r="E767" s="290" t="s">
        <v>206</v>
      </c>
      <c r="F767" s="254">
        <v>0.27</v>
      </c>
      <c r="G767" s="292" t="s">
        <v>10172</v>
      </c>
      <c r="H767" s="255">
        <v>4.75</v>
      </c>
      <c r="J767" s="521"/>
      <c r="K767" s="524"/>
      <c r="S767" s="536"/>
      <c r="T767" s="638"/>
    </row>
    <row r="768" spans="1:68" s="298" customFormat="1" ht="12.75">
      <c r="A768" s="256"/>
      <c r="B768" s="288" t="s">
        <v>143</v>
      </c>
      <c r="C768" s="603" t="s">
        <v>15499</v>
      </c>
      <c r="D768" s="386"/>
      <c r="E768" s="386"/>
      <c r="F768" s="386"/>
      <c r="G768" s="386"/>
      <c r="H768" s="387"/>
      <c r="J768" s="521"/>
      <c r="K768" s="524"/>
      <c r="S768" s="536"/>
      <c r="T768" s="635"/>
    </row>
    <row r="769" spans="1:68" s="529" customFormat="1" ht="12.75">
      <c r="A769" s="286"/>
      <c r="B769" s="293"/>
      <c r="C769" s="229"/>
      <c r="D769" s="230"/>
      <c r="E769" s="230"/>
      <c r="F769" s="230"/>
      <c r="G769" s="230"/>
      <c r="H769" s="230"/>
      <c r="I769" s="298"/>
      <c r="J769" s="521"/>
      <c r="K769" s="524"/>
      <c r="L769" s="298"/>
      <c r="M769" s="298"/>
      <c r="N769" s="298"/>
      <c r="O769" s="298"/>
      <c r="P769" s="298"/>
      <c r="Q769" s="298"/>
      <c r="R769" s="298"/>
      <c r="S769" s="536"/>
      <c r="T769" s="635"/>
      <c r="U769" s="298"/>
      <c r="V769" s="298"/>
      <c r="W769" s="298"/>
      <c r="X769" s="298"/>
      <c r="Y769" s="298"/>
      <c r="Z769" s="298"/>
      <c r="AA769" s="298"/>
      <c r="AB769" s="298"/>
      <c r="AC769" s="298"/>
      <c r="AD769" s="298"/>
      <c r="AE769" s="298"/>
      <c r="AF769" s="298"/>
      <c r="AG769" s="298"/>
      <c r="AH769" s="298"/>
      <c r="AI769" s="298"/>
      <c r="AJ769" s="298"/>
      <c r="AK769" s="298"/>
      <c r="AL769" s="298"/>
      <c r="AM769" s="298"/>
      <c r="AN769" s="298"/>
      <c r="AO769" s="298"/>
      <c r="AP769" s="298"/>
      <c r="AQ769" s="298"/>
      <c r="AR769" s="298"/>
      <c r="AS769" s="298"/>
      <c r="AT769" s="298"/>
      <c r="AU769" s="298"/>
      <c r="AV769" s="298"/>
      <c r="AW769" s="298"/>
      <c r="AX769" s="298"/>
      <c r="AY769" s="298"/>
      <c r="AZ769" s="298"/>
      <c r="BA769" s="298"/>
      <c r="BB769" s="298"/>
      <c r="BC769" s="298"/>
      <c r="BD769" s="298"/>
      <c r="BE769" s="298"/>
      <c r="BF769" s="298"/>
      <c r="BG769" s="298"/>
      <c r="BH769" s="298"/>
      <c r="BI769" s="298"/>
      <c r="BJ769" s="298"/>
      <c r="BK769" s="298"/>
      <c r="BL769" s="298"/>
      <c r="BM769" s="298"/>
      <c r="BN769" s="298"/>
      <c r="BO769" s="298"/>
      <c r="BP769" s="298"/>
    </row>
    <row r="770" spans="1:68" s="645" customFormat="1" ht="38.25">
      <c r="A770" s="376"/>
      <c r="B770" s="372" t="s">
        <v>15505</v>
      </c>
      <c r="C770" s="231" t="s">
        <v>17567</v>
      </c>
      <c r="D770" s="232" t="s">
        <v>103</v>
      </c>
      <c r="E770" s="232" t="s">
        <v>193</v>
      </c>
      <c r="F770" s="233"/>
      <c r="G770" s="234"/>
      <c r="H770" s="235">
        <v>107.42999999999998</v>
      </c>
      <c r="I770" s="298"/>
      <c r="J770" s="521"/>
      <c r="K770" s="524"/>
      <c r="L770" s="298"/>
      <c r="M770" s="298"/>
      <c r="N770" s="298"/>
      <c r="O770" s="298"/>
      <c r="P770" s="298"/>
      <c r="Q770" s="298"/>
      <c r="R770" s="298"/>
      <c r="S770" s="536"/>
      <c r="T770" s="635"/>
      <c r="U770" s="298"/>
      <c r="V770" s="298"/>
      <c r="W770" s="298"/>
      <c r="X770" s="298"/>
      <c r="Y770" s="298"/>
      <c r="Z770" s="298"/>
      <c r="AA770" s="298"/>
      <c r="AB770" s="298"/>
      <c r="AC770" s="298"/>
      <c r="AD770" s="298"/>
      <c r="AE770" s="298"/>
      <c r="AF770" s="298"/>
      <c r="AG770" s="298"/>
      <c r="AH770" s="298"/>
      <c r="AI770" s="298"/>
      <c r="AJ770" s="298"/>
      <c r="AK770" s="298"/>
      <c r="AL770" s="298"/>
      <c r="AM770" s="298"/>
      <c r="AN770" s="298"/>
      <c r="AO770" s="298"/>
      <c r="AP770" s="298"/>
      <c r="AQ770" s="298"/>
      <c r="AR770" s="298"/>
      <c r="AS770" s="298"/>
      <c r="AT770" s="298"/>
      <c r="AU770" s="298"/>
      <c r="AV770" s="298"/>
      <c r="AW770" s="298"/>
      <c r="AX770" s="298"/>
      <c r="AY770" s="298"/>
      <c r="AZ770" s="298"/>
      <c r="BA770" s="298"/>
      <c r="BB770" s="298"/>
      <c r="BC770" s="298"/>
      <c r="BD770" s="298"/>
      <c r="BE770" s="298"/>
      <c r="BF770" s="298"/>
      <c r="BG770" s="298"/>
      <c r="BH770" s="298"/>
      <c r="BI770" s="298"/>
      <c r="BJ770" s="298"/>
      <c r="BK770" s="298"/>
      <c r="BL770" s="298"/>
      <c r="BM770" s="298"/>
      <c r="BN770" s="298"/>
      <c r="BO770" s="298"/>
      <c r="BP770" s="298"/>
    </row>
    <row r="771" spans="1:68" s="298" customFormat="1" ht="25.5">
      <c r="A771" s="256" t="s">
        <v>3261</v>
      </c>
      <c r="B771" s="374">
        <v>11063</v>
      </c>
      <c r="C771" s="289" t="s">
        <v>7692</v>
      </c>
      <c r="D771" s="290" t="s">
        <v>207</v>
      </c>
      <c r="E771" s="290" t="s">
        <v>3242</v>
      </c>
      <c r="F771" s="291">
        <v>1.0966</v>
      </c>
      <c r="G771" s="292" t="s">
        <v>20392</v>
      </c>
      <c r="H771" s="255">
        <v>62.55</v>
      </c>
      <c r="J771" s="634"/>
      <c r="K771" s="524"/>
      <c r="S771" s="536"/>
      <c r="T771" s="638"/>
    </row>
    <row r="772" spans="1:68" s="298" customFormat="1" ht="51">
      <c r="A772" s="256" t="s">
        <v>3261</v>
      </c>
      <c r="B772" s="374">
        <v>39427</v>
      </c>
      <c r="C772" s="289" t="s">
        <v>7607</v>
      </c>
      <c r="D772" s="290" t="s">
        <v>207</v>
      </c>
      <c r="E772" s="290" t="s">
        <v>3243</v>
      </c>
      <c r="F772" s="254">
        <v>3.851</v>
      </c>
      <c r="G772" s="292" t="s">
        <v>10327</v>
      </c>
      <c r="H772" s="255">
        <v>22.91</v>
      </c>
      <c r="J772" s="521"/>
      <c r="K772" s="524"/>
      <c r="S772" s="536"/>
      <c r="T772" s="638"/>
    </row>
    <row r="773" spans="1:68" s="298" customFormat="1" ht="51">
      <c r="A773" s="256" t="s">
        <v>3261</v>
      </c>
      <c r="B773" s="374">
        <v>39430</v>
      </c>
      <c r="C773" s="289" t="s">
        <v>7601</v>
      </c>
      <c r="D773" s="290" t="s">
        <v>207</v>
      </c>
      <c r="E773" s="290" t="s">
        <v>3240</v>
      </c>
      <c r="F773" s="254">
        <v>1.3265</v>
      </c>
      <c r="G773" s="292" t="s">
        <v>11162</v>
      </c>
      <c r="H773" s="255">
        <v>2.97</v>
      </c>
      <c r="J773" s="521"/>
      <c r="K773" s="524"/>
      <c r="S773" s="536"/>
      <c r="T773" s="638"/>
    </row>
    <row r="774" spans="1:68" s="298" customFormat="1" ht="38.25">
      <c r="A774" s="256" t="s">
        <v>3261</v>
      </c>
      <c r="B774" s="374">
        <v>39432</v>
      </c>
      <c r="C774" s="289" t="s">
        <v>6454</v>
      </c>
      <c r="D774" s="290" t="s">
        <v>207</v>
      </c>
      <c r="E774" s="290" t="s">
        <v>3243</v>
      </c>
      <c r="F774" s="254">
        <v>1.4395</v>
      </c>
      <c r="G774" s="292" t="s">
        <v>19525</v>
      </c>
      <c r="H774" s="255">
        <v>2.82</v>
      </c>
      <c r="J774" s="521"/>
      <c r="K774" s="763"/>
      <c r="S774" s="536"/>
      <c r="T774" s="638"/>
    </row>
    <row r="775" spans="1:68" s="298" customFormat="1" ht="51">
      <c r="A775" s="256" t="s">
        <v>3261</v>
      </c>
      <c r="B775" s="374">
        <v>39434</v>
      </c>
      <c r="C775" s="289" t="s">
        <v>11872</v>
      </c>
      <c r="D775" s="290" t="s">
        <v>207</v>
      </c>
      <c r="E775" s="290" t="s">
        <v>3244</v>
      </c>
      <c r="F775" s="254">
        <v>0.5202</v>
      </c>
      <c r="G775" s="292" t="s">
        <v>19273</v>
      </c>
      <c r="H775" s="255">
        <v>1.36</v>
      </c>
      <c r="J775" s="521"/>
      <c r="K775" s="524"/>
      <c r="S775" s="536"/>
      <c r="T775" s="638"/>
    </row>
    <row r="776" spans="1:68" s="298" customFormat="1" ht="38.25">
      <c r="A776" s="256" t="s">
        <v>3261</v>
      </c>
      <c r="B776" s="374">
        <v>39435</v>
      </c>
      <c r="C776" s="289" t="s">
        <v>7500</v>
      </c>
      <c r="D776" s="290" t="s">
        <v>207</v>
      </c>
      <c r="E776" s="290" t="s">
        <v>3240</v>
      </c>
      <c r="F776" s="291">
        <v>7.9740000000000002</v>
      </c>
      <c r="G776" s="292" t="s">
        <v>9982</v>
      </c>
      <c r="H776" s="255">
        <v>0.39</v>
      </c>
      <c r="J776" s="634"/>
      <c r="K776" s="524"/>
      <c r="S776" s="536"/>
      <c r="T776" s="638"/>
    </row>
    <row r="777" spans="1:68" s="298" customFormat="1" ht="38.25">
      <c r="A777" s="256" t="s">
        <v>3261</v>
      </c>
      <c r="B777" s="374">
        <v>39443</v>
      </c>
      <c r="C777" s="289" t="s">
        <v>7507</v>
      </c>
      <c r="D777" s="290" t="s">
        <v>207</v>
      </c>
      <c r="E777" s="290" t="s">
        <v>3240</v>
      </c>
      <c r="F777" s="254">
        <v>2.1911999999999998</v>
      </c>
      <c r="G777" s="292" t="s">
        <v>9880</v>
      </c>
      <c r="H777" s="255">
        <v>0.28000000000000003</v>
      </c>
      <c r="J777" s="521"/>
      <c r="K777" s="524"/>
      <c r="S777" s="536"/>
      <c r="T777" s="638"/>
    </row>
    <row r="778" spans="1:68" s="298" customFormat="1" ht="25.5">
      <c r="A778" s="256" t="s">
        <v>3261</v>
      </c>
      <c r="B778" s="374">
        <v>40547</v>
      </c>
      <c r="C778" s="289" t="s">
        <v>7546</v>
      </c>
      <c r="D778" s="290" t="s">
        <v>207</v>
      </c>
      <c r="E778" s="290" t="s">
        <v>3255</v>
      </c>
      <c r="F778" s="254">
        <v>1.32E-2</v>
      </c>
      <c r="G778" s="292" t="s">
        <v>9816</v>
      </c>
      <c r="H778" s="255">
        <v>0.19</v>
      </c>
      <c r="J778" s="521"/>
      <c r="K778" s="524"/>
      <c r="S778" s="536"/>
      <c r="T778" s="638"/>
    </row>
    <row r="779" spans="1:68" s="298" customFormat="1" ht="38.25">
      <c r="A779" s="256" t="s">
        <v>3261</v>
      </c>
      <c r="B779" s="374">
        <v>43131</v>
      </c>
      <c r="C779" s="289" t="s">
        <v>9489</v>
      </c>
      <c r="D779" s="290" t="s">
        <v>207</v>
      </c>
      <c r="E779" s="290" t="s">
        <v>3244</v>
      </c>
      <c r="F779" s="254">
        <v>4.2599999999999999E-2</v>
      </c>
      <c r="G779" s="292" t="s">
        <v>11253</v>
      </c>
      <c r="H779" s="255">
        <v>0.98</v>
      </c>
      <c r="J779" s="521"/>
      <c r="K779" s="763"/>
      <c r="S779" s="536"/>
      <c r="T779" s="638"/>
    </row>
    <row r="780" spans="1:68" s="298" customFormat="1" ht="25.5">
      <c r="A780" s="256" t="s">
        <v>3259</v>
      </c>
      <c r="B780" s="374">
        <v>88278</v>
      </c>
      <c r="C780" s="289" t="s">
        <v>3066</v>
      </c>
      <c r="D780" s="290" t="s">
        <v>9714</v>
      </c>
      <c r="E780" s="290" t="s">
        <v>206</v>
      </c>
      <c r="F780" s="254">
        <v>0.36280000000000001</v>
      </c>
      <c r="G780" s="292" t="s">
        <v>19155</v>
      </c>
      <c r="H780" s="255">
        <v>6.6</v>
      </c>
      <c r="J780" s="521"/>
      <c r="K780" s="524"/>
      <c r="S780" s="536"/>
      <c r="T780" s="638"/>
    </row>
    <row r="781" spans="1:68" s="298" customFormat="1" ht="25.5">
      <c r="A781" s="256" t="s">
        <v>3259</v>
      </c>
      <c r="B781" s="374">
        <v>88316</v>
      </c>
      <c r="C781" s="289" t="s">
        <v>104</v>
      </c>
      <c r="D781" s="290" t="s">
        <v>9714</v>
      </c>
      <c r="E781" s="290" t="s">
        <v>206</v>
      </c>
      <c r="F781" s="254">
        <v>0.36280000000000001</v>
      </c>
      <c r="G781" s="292" t="s">
        <v>10172</v>
      </c>
      <c r="H781" s="255">
        <v>6.38</v>
      </c>
      <c r="J781" s="521"/>
      <c r="K781" s="524"/>
      <c r="S781" s="536"/>
      <c r="T781" s="638"/>
    </row>
    <row r="782" spans="1:68" s="298" customFormat="1" ht="12.75">
      <c r="A782" s="256"/>
      <c r="B782" s="288" t="s">
        <v>143</v>
      </c>
      <c r="C782" s="603" t="s">
        <v>17568</v>
      </c>
      <c r="D782" s="386"/>
      <c r="E782" s="386"/>
      <c r="F782" s="386"/>
      <c r="G782" s="386"/>
      <c r="H782" s="387"/>
      <c r="J782" s="521"/>
      <c r="K782" s="524"/>
      <c r="S782" s="536"/>
      <c r="T782" s="635"/>
    </row>
    <row r="783" spans="1:68" s="529" customFormat="1" ht="12.75">
      <c r="A783" s="286"/>
      <c r="B783" s="293"/>
      <c r="C783" s="229"/>
      <c r="D783" s="230"/>
      <c r="E783" s="230"/>
      <c r="F783" s="230"/>
      <c r="G783" s="230"/>
      <c r="H783" s="230"/>
      <c r="I783" s="298"/>
      <c r="J783" s="521"/>
      <c r="K783" s="524"/>
      <c r="L783" s="298"/>
      <c r="M783" s="298"/>
      <c r="N783" s="298"/>
      <c r="O783" s="298"/>
      <c r="P783" s="298"/>
      <c r="Q783" s="298"/>
      <c r="R783" s="298"/>
      <c r="S783" s="536"/>
      <c r="T783" s="635"/>
      <c r="U783" s="298"/>
      <c r="V783" s="298"/>
      <c r="W783" s="298"/>
      <c r="X783" s="298"/>
      <c r="Y783" s="298"/>
      <c r="Z783" s="298"/>
      <c r="AA783" s="298"/>
      <c r="AB783" s="298"/>
      <c r="AC783" s="298"/>
      <c r="AD783" s="298"/>
      <c r="AE783" s="298"/>
      <c r="AF783" s="298"/>
      <c r="AG783" s="298"/>
      <c r="AH783" s="298"/>
      <c r="AI783" s="298"/>
      <c r="AJ783" s="298"/>
      <c r="AK783" s="298"/>
      <c r="AL783" s="298"/>
      <c r="AM783" s="298"/>
      <c r="AN783" s="298"/>
      <c r="AO783" s="298"/>
      <c r="AP783" s="298"/>
      <c r="AQ783" s="298"/>
      <c r="AR783" s="298"/>
      <c r="AS783" s="298"/>
      <c r="AT783" s="298"/>
      <c r="AU783" s="298"/>
      <c r="AV783" s="298"/>
      <c r="AW783" s="298"/>
      <c r="AX783" s="298"/>
      <c r="AY783" s="298"/>
      <c r="AZ783" s="298"/>
      <c r="BA783" s="298"/>
      <c r="BB783" s="298"/>
      <c r="BC783" s="298"/>
      <c r="BD783" s="298"/>
      <c r="BE783" s="298"/>
      <c r="BF783" s="298"/>
      <c r="BG783" s="298"/>
      <c r="BH783" s="298"/>
      <c r="BI783" s="298"/>
      <c r="BJ783" s="298"/>
      <c r="BK783" s="298"/>
      <c r="BL783" s="298"/>
      <c r="BM783" s="298"/>
      <c r="BN783" s="298"/>
      <c r="BO783" s="298"/>
      <c r="BP783" s="298"/>
    </row>
    <row r="784" spans="1:68" s="645" customFormat="1" ht="38.25">
      <c r="A784" s="376"/>
      <c r="B784" s="372" t="s">
        <v>15506</v>
      </c>
      <c r="C784" s="231" t="s">
        <v>17569</v>
      </c>
      <c r="D784" s="232" t="s">
        <v>103</v>
      </c>
      <c r="E784" s="232" t="s">
        <v>193</v>
      </c>
      <c r="F784" s="233"/>
      <c r="G784" s="234"/>
      <c r="H784" s="235">
        <v>95.11</v>
      </c>
      <c r="I784" s="298"/>
      <c r="J784" s="521"/>
      <c r="K784" s="524"/>
      <c r="L784" s="298"/>
      <c r="M784" s="298"/>
      <c r="N784" s="298"/>
      <c r="O784" s="298"/>
      <c r="P784" s="298"/>
      <c r="Q784" s="298"/>
      <c r="R784" s="298"/>
      <c r="S784" s="536"/>
      <c r="T784" s="635"/>
      <c r="U784" s="298"/>
      <c r="V784" s="298"/>
      <c r="W784" s="298"/>
      <c r="X784" s="298"/>
      <c r="Y784" s="298"/>
      <c r="Z784" s="298"/>
      <c r="AA784" s="298"/>
      <c r="AB784" s="298"/>
      <c r="AC784" s="298"/>
      <c r="AD784" s="298"/>
      <c r="AE784" s="298"/>
      <c r="AF784" s="298"/>
      <c r="AG784" s="298"/>
      <c r="AH784" s="298"/>
      <c r="AI784" s="298"/>
      <c r="AJ784" s="298"/>
      <c r="AK784" s="298"/>
      <c r="AL784" s="298"/>
      <c r="AM784" s="298"/>
      <c r="AN784" s="298"/>
      <c r="AO784" s="298"/>
      <c r="AP784" s="298"/>
      <c r="AQ784" s="298"/>
      <c r="AR784" s="298"/>
      <c r="AS784" s="298"/>
      <c r="AT784" s="298"/>
      <c r="AU784" s="298"/>
      <c r="AV784" s="298"/>
      <c r="AW784" s="298"/>
      <c r="AX784" s="298"/>
      <c r="AY784" s="298"/>
      <c r="AZ784" s="298"/>
      <c r="BA784" s="298"/>
      <c r="BB784" s="298"/>
      <c r="BC784" s="298"/>
      <c r="BD784" s="298"/>
      <c r="BE784" s="298"/>
      <c r="BF784" s="298"/>
      <c r="BG784" s="298"/>
      <c r="BH784" s="298"/>
      <c r="BI784" s="298"/>
      <c r="BJ784" s="298"/>
      <c r="BK784" s="298"/>
      <c r="BL784" s="298"/>
      <c r="BM784" s="298"/>
      <c r="BN784" s="298"/>
      <c r="BO784" s="298"/>
      <c r="BP784" s="298"/>
    </row>
    <row r="785" spans="1:68" s="298" customFormat="1" ht="25.5">
      <c r="A785" s="256" t="s">
        <v>3261</v>
      </c>
      <c r="B785" s="374">
        <v>21108</v>
      </c>
      <c r="C785" s="289" t="s">
        <v>7672</v>
      </c>
      <c r="D785" s="290" t="s">
        <v>207</v>
      </c>
      <c r="E785" s="290" t="s">
        <v>3242</v>
      </c>
      <c r="F785" s="254">
        <v>1.07</v>
      </c>
      <c r="G785" s="292" t="s">
        <v>20373</v>
      </c>
      <c r="H785" s="255">
        <v>63.66</v>
      </c>
      <c r="J785" s="521"/>
      <c r="K785" s="524"/>
      <c r="S785" s="536"/>
      <c r="T785" s="638"/>
    </row>
    <row r="786" spans="1:68" s="298" customFormat="1" ht="12.75">
      <c r="A786" s="256" t="s">
        <v>3261</v>
      </c>
      <c r="B786" s="374">
        <v>37595</v>
      </c>
      <c r="C786" s="289" t="s">
        <v>11643</v>
      </c>
      <c r="D786" s="290" t="s">
        <v>207</v>
      </c>
      <c r="E786" s="290" t="s">
        <v>3244</v>
      </c>
      <c r="F786" s="254">
        <v>8.6199999999999992</v>
      </c>
      <c r="G786" s="292" t="s">
        <v>9906</v>
      </c>
      <c r="H786" s="255">
        <v>11.89</v>
      </c>
      <c r="J786" s="521"/>
      <c r="K786" s="524"/>
      <c r="S786" s="536"/>
      <c r="T786" s="638"/>
    </row>
    <row r="787" spans="1:68" s="298" customFormat="1" ht="12.75">
      <c r="A787" s="256" t="s">
        <v>3261</v>
      </c>
      <c r="B787" s="374">
        <v>34357</v>
      </c>
      <c r="C787" s="289" t="s">
        <v>11963</v>
      </c>
      <c r="D787" s="290" t="s">
        <v>207</v>
      </c>
      <c r="E787" s="290" t="s">
        <v>3244</v>
      </c>
      <c r="F787" s="254">
        <v>0.24</v>
      </c>
      <c r="G787" s="292" t="s">
        <v>11340</v>
      </c>
      <c r="H787" s="255">
        <v>0.63</v>
      </c>
      <c r="J787" s="521">
        <f>30*60</f>
        <v>1800</v>
      </c>
      <c r="K787" s="763"/>
      <c r="S787" s="536"/>
      <c r="T787" s="638"/>
    </row>
    <row r="788" spans="1:68" s="298" customFormat="1" ht="25.5">
      <c r="A788" s="256" t="s">
        <v>3259</v>
      </c>
      <c r="B788" s="374">
        <v>88256</v>
      </c>
      <c r="C788" s="289" t="s">
        <v>219</v>
      </c>
      <c r="D788" s="290" t="s">
        <v>9714</v>
      </c>
      <c r="E788" s="290" t="s">
        <v>206</v>
      </c>
      <c r="F788" s="254">
        <v>0.61</v>
      </c>
      <c r="G788" s="292" t="s">
        <v>10495</v>
      </c>
      <c r="H788" s="255">
        <v>14.53</v>
      </c>
      <c r="J788" s="521"/>
      <c r="S788" s="536"/>
      <c r="T788" s="638"/>
    </row>
    <row r="789" spans="1:68" s="298" customFormat="1" ht="25.5">
      <c r="A789" s="256" t="s">
        <v>3259</v>
      </c>
      <c r="B789" s="374">
        <v>88316</v>
      </c>
      <c r="C789" s="289" t="s">
        <v>104</v>
      </c>
      <c r="D789" s="290" t="s">
        <v>9714</v>
      </c>
      <c r="E789" s="290" t="s">
        <v>206</v>
      </c>
      <c r="F789" s="254">
        <v>0.25</v>
      </c>
      <c r="G789" s="292" t="s">
        <v>10172</v>
      </c>
      <c r="H789" s="255">
        <v>4.4000000000000004</v>
      </c>
      <c r="J789" s="521"/>
      <c r="S789" s="536"/>
      <c r="T789" s="638"/>
    </row>
    <row r="790" spans="1:68" s="298" customFormat="1" ht="12.75">
      <c r="A790" s="256"/>
      <c r="B790" s="288" t="s">
        <v>143</v>
      </c>
      <c r="C790" s="603" t="s">
        <v>17570</v>
      </c>
      <c r="D790" s="386"/>
      <c r="E790" s="386"/>
      <c r="F790" s="386"/>
      <c r="G790" s="386"/>
      <c r="H790" s="387"/>
      <c r="J790" s="521"/>
      <c r="S790" s="536"/>
      <c r="T790" s="635"/>
    </row>
    <row r="791" spans="1:68" s="529" customFormat="1" ht="12.75">
      <c r="A791" s="286"/>
      <c r="B791" s="293"/>
      <c r="C791" s="229"/>
      <c r="D791" s="230"/>
      <c r="E791" s="230"/>
      <c r="F791" s="230"/>
      <c r="G791" s="230"/>
      <c r="H791" s="230"/>
      <c r="I791" s="298"/>
      <c r="J791" s="521"/>
      <c r="K791" s="298"/>
      <c r="L791" s="298"/>
      <c r="M791" s="298"/>
      <c r="N791" s="298"/>
      <c r="O791" s="298"/>
      <c r="P791" s="298"/>
      <c r="Q791" s="298"/>
      <c r="R791" s="298"/>
      <c r="S791" s="536"/>
      <c r="T791" s="635"/>
      <c r="U791" s="298"/>
      <c r="V791" s="298"/>
      <c r="W791" s="298"/>
      <c r="X791" s="298"/>
      <c r="Y791" s="298"/>
      <c r="Z791" s="298"/>
      <c r="AA791" s="298"/>
      <c r="AB791" s="298"/>
      <c r="AC791" s="298"/>
      <c r="AD791" s="298"/>
      <c r="AE791" s="298"/>
      <c r="AF791" s="298"/>
      <c r="AG791" s="298"/>
      <c r="AH791" s="298"/>
      <c r="AI791" s="298"/>
      <c r="AJ791" s="298"/>
      <c r="AK791" s="298"/>
      <c r="AL791" s="298"/>
      <c r="AM791" s="298"/>
      <c r="AN791" s="298"/>
      <c r="AO791" s="298"/>
      <c r="AP791" s="298"/>
      <c r="AQ791" s="298"/>
      <c r="AR791" s="298"/>
      <c r="AS791" s="298"/>
      <c r="AT791" s="298"/>
      <c r="AU791" s="298"/>
      <c r="AV791" s="298"/>
      <c r="AW791" s="298"/>
      <c r="AX791" s="298"/>
      <c r="AY791" s="298"/>
      <c r="AZ791" s="298"/>
      <c r="BA791" s="298"/>
      <c r="BB791" s="298"/>
      <c r="BC791" s="298"/>
      <c r="BD791" s="298"/>
      <c r="BE791" s="298"/>
      <c r="BF791" s="298"/>
      <c r="BG791" s="298"/>
      <c r="BH791" s="298"/>
      <c r="BI791" s="298"/>
      <c r="BJ791" s="298"/>
      <c r="BK791" s="298"/>
      <c r="BL791" s="298"/>
      <c r="BM791" s="298"/>
      <c r="BN791" s="298"/>
      <c r="BO791" s="298"/>
      <c r="BP791" s="298"/>
    </row>
    <row r="792" spans="1:68" s="645" customFormat="1" ht="51">
      <c r="A792" s="376"/>
      <c r="B792" s="372" t="s">
        <v>15507</v>
      </c>
      <c r="C792" s="231" t="s">
        <v>17576</v>
      </c>
      <c r="D792" s="232" t="s">
        <v>103</v>
      </c>
      <c r="E792" s="232" t="s">
        <v>193</v>
      </c>
      <c r="F792" s="233"/>
      <c r="G792" s="234"/>
      <c r="H792" s="235">
        <v>109.12</v>
      </c>
      <c r="I792" s="298"/>
      <c r="J792" s="521"/>
      <c r="K792" s="298"/>
      <c r="L792" s="298"/>
      <c r="M792" s="298"/>
      <c r="N792" s="298"/>
      <c r="O792" s="298"/>
      <c r="P792" s="298"/>
      <c r="Q792" s="298"/>
      <c r="R792" s="298"/>
      <c r="S792" s="536"/>
      <c r="T792" s="635"/>
      <c r="U792" s="298"/>
      <c r="V792" s="298"/>
      <c r="W792" s="298"/>
      <c r="X792" s="298"/>
      <c r="Y792" s="298"/>
      <c r="Z792" s="298"/>
      <c r="AA792" s="298"/>
      <c r="AB792" s="298"/>
      <c r="AC792" s="298"/>
      <c r="AD792" s="298"/>
      <c r="AE792" s="298"/>
      <c r="AF792" s="298"/>
      <c r="AG792" s="298"/>
      <c r="AH792" s="298"/>
      <c r="AI792" s="298"/>
      <c r="AJ792" s="298"/>
      <c r="AK792" s="298"/>
      <c r="AL792" s="298"/>
      <c r="AM792" s="298"/>
      <c r="AN792" s="298"/>
      <c r="AO792" s="298"/>
      <c r="AP792" s="298"/>
      <c r="AQ792" s="298"/>
      <c r="AR792" s="298"/>
      <c r="AS792" s="298"/>
      <c r="AT792" s="298"/>
      <c r="AU792" s="298"/>
      <c r="AV792" s="298"/>
      <c r="AW792" s="298"/>
      <c r="AX792" s="298"/>
      <c r="AY792" s="298"/>
      <c r="AZ792" s="298"/>
      <c r="BA792" s="298"/>
      <c r="BB792" s="298"/>
      <c r="BC792" s="298"/>
      <c r="BD792" s="298"/>
      <c r="BE792" s="298"/>
      <c r="BF792" s="298"/>
      <c r="BG792" s="298"/>
      <c r="BH792" s="298"/>
      <c r="BI792" s="298"/>
      <c r="BJ792" s="298"/>
      <c r="BK792" s="298"/>
      <c r="BL792" s="298"/>
      <c r="BM792" s="298"/>
      <c r="BN792" s="298"/>
      <c r="BO792" s="298"/>
      <c r="BP792" s="298"/>
    </row>
    <row r="793" spans="1:68" s="298" customFormat="1" ht="12.75">
      <c r="A793" s="256" t="s">
        <v>3261</v>
      </c>
      <c r="B793" s="374">
        <v>7304</v>
      </c>
      <c r="C793" s="289" t="s">
        <v>12019</v>
      </c>
      <c r="D793" s="290" t="s">
        <v>207</v>
      </c>
      <c r="E793" s="290" t="s">
        <v>3245</v>
      </c>
      <c r="F793" s="254">
        <v>0.2</v>
      </c>
      <c r="G793" s="292" t="s">
        <v>16017</v>
      </c>
      <c r="H793" s="255">
        <v>11.68</v>
      </c>
      <c r="J793" s="521"/>
      <c r="S793" s="536"/>
      <c r="T793" s="638"/>
    </row>
    <row r="794" spans="1:68" s="298" customFormat="1" ht="25.5">
      <c r="A794" s="256" t="s">
        <v>3261</v>
      </c>
      <c r="B794" s="374">
        <v>3767</v>
      </c>
      <c r="C794" s="289" t="s">
        <v>6952</v>
      </c>
      <c r="D794" s="290" t="s">
        <v>207</v>
      </c>
      <c r="E794" s="290" t="s">
        <v>3240</v>
      </c>
      <c r="F794" s="254">
        <v>1</v>
      </c>
      <c r="G794" s="292" t="s">
        <v>10054</v>
      </c>
      <c r="H794" s="255">
        <v>0.7</v>
      </c>
      <c r="J794" s="521"/>
      <c r="S794" s="536"/>
      <c r="T794" s="638"/>
    </row>
    <row r="795" spans="1:68" s="298" customFormat="1" ht="25.5">
      <c r="A795" s="256" t="s">
        <v>3261</v>
      </c>
      <c r="B795" s="374">
        <v>4049</v>
      </c>
      <c r="C795" s="289" t="s">
        <v>7304</v>
      </c>
      <c r="D795" s="290" t="s">
        <v>207</v>
      </c>
      <c r="E795" s="290" t="s">
        <v>3245</v>
      </c>
      <c r="F795" s="254">
        <v>0.8</v>
      </c>
      <c r="G795" s="292" t="s">
        <v>20195</v>
      </c>
      <c r="H795" s="255">
        <v>40.04</v>
      </c>
      <c r="J795" s="521"/>
      <c r="K795" s="763"/>
      <c r="S795" s="536"/>
      <c r="T795" s="638"/>
    </row>
    <row r="796" spans="1:68" s="298" customFormat="1" ht="12.75">
      <c r="A796" s="256" t="s">
        <v>3261</v>
      </c>
      <c r="B796" s="374">
        <v>5330</v>
      </c>
      <c r="C796" s="289" t="s">
        <v>6091</v>
      </c>
      <c r="D796" s="290" t="s">
        <v>207</v>
      </c>
      <c r="E796" s="290" t="s">
        <v>3245</v>
      </c>
      <c r="F796" s="254">
        <v>0.02</v>
      </c>
      <c r="G796" s="292" t="s">
        <v>9768</v>
      </c>
      <c r="H796" s="255">
        <v>0.7</v>
      </c>
      <c r="J796" s="521"/>
      <c r="K796" s="763"/>
      <c r="S796" s="536"/>
      <c r="T796" s="638"/>
    </row>
    <row r="797" spans="1:68" s="298" customFormat="1" ht="25.5">
      <c r="A797" s="256" t="s">
        <v>3259</v>
      </c>
      <c r="B797" s="374">
        <v>88312</v>
      </c>
      <c r="C797" s="289" t="s">
        <v>3093</v>
      </c>
      <c r="D797" s="290" t="s">
        <v>9714</v>
      </c>
      <c r="E797" s="290" t="s">
        <v>206</v>
      </c>
      <c r="F797" s="254">
        <v>1.6</v>
      </c>
      <c r="G797" s="292" t="s">
        <v>12443</v>
      </c>
      <c r="H797" s="255">
        <v>41.92</v>
      </c>
      <c r="J797" s="521"/>
      <c r="S797" s="536"/>
      <c r="T797" s="638"/>
    </row>
    <row r="798" spans="1:68" s="298" customFormat="1" ht="25.5">
      <c r="A798" s="256" t="s">
        <v>3259</v>
      </c>
      <c r="B798" s="374">
        <v>88316</v>
      </c>
      <c r="C798" s="289" t="s">
        <v>104</v>
      </c>
      <c r="D798" s="290" t="s">
        <v>9714</v>
      </c>
      <c r="E798" s="290" t="s">
        <v>206</v>
      </c>
      <c r="F798" s="254">
        <v>0.8</v>
      </c>
      <c r="G798" s="292" t="s">
        <v>10172</v>
      </c>
      <c r="H798" s="255">
        <v>14.08</v>
      </c>
      <c r="J798" s="521"/>
      <c r="S798" s="536"/>
      <c r="T798" s="638"/>
    </row>
    <row r="799" spans="1:68" s="298" customFormat="1" ht="12.75">
      <c r="A799" s="256"/>
      <c r="B799" s="288" t="s">
        <v>143</v>
      </c>
      <c r="C799" s="749" t="s">
        <v>17577</v>
      </c>
      <c r="D799" s="386"/>
      <c r="E799" s="386"/>
      <c r="F799" s="386"/>
      <c r="G799" s="386"/>
      <c r="H799" s="387"/>
      <c r="J799" s="521"/>
      <c r="S799" s="536"/>
      <c r="T799" s="638"/>
    </row>
    <row r="800" spans="1:68" s="529" customFormat="1" ht="12.75">
      <c r="A800" s="286"/>
      <c r="B800" s="293"/>
      <c r="C800" s="229"/>
      <c r="D800" s="230"/>
      <c r="E800" s="230"/>
      <c r="F800" s="230"/>
      <c r="G800" s="230"/>
      <c r="H800" s="230"/>
      <c r="I800" s="298"/>
      <c r="J800" s="521"/>
      <c r="K800" s="298"/>
      <c r="L800" s="298"/>
      <c r="M800" s="298"/>
      <c r="N800" s="298"/>
      <c r="O800" s="298"/>
      <c r="P800" s="298"/>
      <c r="Q800" s="298"/>
      <c r="R800" s="298"/>
      <c r="S800" s="536"/>
      <c r="T800" s="635"/>
      <c r="U800" s="298"/>
      <c r="V800" s="298"/>
      <c r="W800" s="298"/>
      <c r="X800" s="298"/>
      <c r="Y800" s="298"/>
      <c r="Z800" s="298"/>
      <c r="AA800" s="298"/>
      <c r="AB800" s="298"/>
      <c r="AC800" s="298"/>
      <c r="AD800" s="298"/>
      <c r="AE800" s="298"/>
      <c r="AF800" s="298"/>
      <c r="AG800" s="298"/>
      <c r="AH800" s="298"/>
      <c r="AI800" s="298"/>
      <c r="AJ800" s="298"/>
      <c r="AK800" s="298"/>
      <c r="AL800" s="298"/>
      <c r="AM800" s="298"/>
      <c r="AN800" s="298"/>
      <c r="AO800" s="298"/>
      <c r="AP800" s="298"/>
      <c r="AQ800" s="298"/>
      <c r="AR800" s="298"/>
      <c r="AS800" s="298"/>
      <c r="AT800" s="298"/>
      <c r="AU800" s="298"/>
      <c r="AV800" s="298"/>
      <c r="AW800" s="298"/>
      <c r="AX800" s="298"/>
      <c r="AY800" s="298"/>
      <c r="AZ800" s="298"/>
      <c r="BA800" s="298"/>
      <c r="BB800" s="298"/>
      <c r="BC800" s="298"/>
      <c r="BD800" s="298"/>
      <c r="BE800" s="298"/>
      <c r="BF800" s="298"/>
      <c r="BG800" s="298"/>
      <c r="BH800" s="298"/>
      <c r="BI800" s="298"/>
      <c r="BJ800" s="298"/>
      <c r="BK800" s="298"/>
      <c r="BL800" s="298"/>
      <c r="BM800" s="298"/>
      <c r="BN800" s="298"/>
      <c r="BO800" s="298"/>
      <c r="BP800" s="298"/>
    </row>
    <row r="801" spans="1:68" s="645" customFormat="1" ht="38.25">
      <c r="A801" s="376"/>
      <c r="B801" s="372" t="s">
        <v>15508</v>
      </c>
      <c r="C801" s="231" t="s">
        <v>17581</v>
      </c>
      <c r="D801" s="232" t="s">
        <v>103</v>
      </c>
      <c r="E801" s="232" t="s">
        <v>3240</v>
      </c>
      <c r="F801" s="233"/>
      <c r="G801" s="234"/>
      <c r="H801" s="235">
        <v>3639.6400000000003</v>
      </c>
      <c r="I801" s="298"/>
      <c r="J801" s="521"/>
      <c r="K801" s="298"/>
      <c r="L801" s="298"/>
      <c r="M801" s="298"/>
      <c r="N801" s="298"/>
      <c r="O801" s="298"/>
      <c r="P801" s="298"/>
      <c r="Q801" s="298"/>
      <c r="R801" s="298"/>
      <c r="S801" s="536"/>
      <c r="T801" s="635"/>
      <c r="U801" s="298"/>
      <c r="V801" s="298"/>
      <c r="W801" s="298"/>
      <c r="X801" s="298"/>
      <c r="Y801" s="298"/>
      <c r="Z801" s="298"/>
      <c r="AA801" s="298"/>
      <c r="AB801" s="298"/>
      <c r="AC801" s="298"/>
      <c r="AD801" s="298"/>
      <c r="AE801" s="298"/>
      <c r="AF801" s="298"/>
      <c r="AG801" s="298"/>
      <c r="AH801" s="298"/>
      <c r="AI801" s="298"/>
      <c r="AJ801" s="298"/>
      <c r="AK801" s="298"/>
      <c r="AL801" s="298"/>
      <c r="AM801" s="298"/>
      <c r="AN801" s="298"/>
      <c r="AO801" s="298"/>
      <c r="AP801" s="298"/>
      <c r="AQ801" s="298"/>
      <c r="AR801" s="298"/>
      <c r="AS801" s="298"/>
      <c r="AT801" s="298"/>
      <c r="AU801" s="298"/>
      <c r="AV801" s="298"/>
      <c r="AW801" s="298"/>
      <c r="AX801" s="298"/>
      <c r="AY801" s="298"/>
      <c r="AZ801" s="298"/>
      <c r="BA801" s="298"/>
      <c r="BB801" s="298"/>
      <c r="BC801" s="298"/>
      <c r="BD801" s="298"/>
      <c r="BE801" s="298"/>
      <c r="BF801" s="298"/>
      <c r="BG801" s="298"/>
      <c r="BH801" s="298"/>
      <c r="BI801" s="298"/>
      <c r="BJ801" s="298"/>
      <c r="BK801" s="298"/>
      <c r="BL801" s="298"/>
      <c r="BM801" s="298"/>
      <c r="BN801" s="298"/>
      <c r="BO801" s="298"/>
      <c r="BP801" s="298"/>
    </row>
    <row r="802" spans="1:68" s="298" customFormat="1" ht="51">
      <c r="A802" s="256" t="s">
        <v>3261</v>
      </c>
      <c r="B802" s="374">
        <v>11955</v>
      </c>
      <c r="C802" s="289" t="s">
        <v>7496</v>
      </c>
      <c r="D802" s="290" t="s">
        <v>207</v>
      </c>
      <c r="E802" s="290" t="s">
        <v>3240</v>
      </c>
      <c r="F802" s="254">
        <v>4</v>
      </c>
      <c r="G802" s="292" t="s">
        <v>9935</v>
      </c>
      <c r="H802" s="255">
        <v>9.84</v>
      </c>
      <c r="J802" s="521"/>
      <c r="S802" s="536"/>
      <c r="T802" s="638"/>
    </row>
    <row r="803" spans="1:68" s="298" customFormat="1" ht="25.5">
      <c r="A803" s="256" t="s">
        <v>12</v>
      </c>
      <c r="B803" s="374" t="s">
        <v>15358</v>
      </c>
      <c r="C803" s="289" t="s">
        <v>17583</v>
      </c>
      <c r="D803" s="290" t="s">
        <v>207</v>
      </c>
      <c r="E803" s="290" t="s">
        <v>109</v>
      </c>
      <c r="F803" s="254">
        <v>1</v>
      </c>
      <c r="G803" s="292">
        <v>3609.05</v>
      </c>
      <c r="H803" s="255">
        <v>3609.05</v>
      </c>
      <c r="J803" s="521"/>
      <c r="S803" s="536"/>
      <c r="T803" s="638"/>
    </row>
    <row r="804" spans="1:68" s="298" customFormat="1" ht="25.5">
      <c r="A804" s="256" t="s">
        <v>3259</v>
      </c>
      <c r="B804" s="374">
        <v>88309</v>
      </c>
      <c r="C804" s="289" t="s">
        <v>105</v>
      </c>
      <c r="D804" s="290" t="s">
        <v>9714</v>
      </c>
      <c r="E804" s="290" t="s">
        <v>206</v>
      </c>
      <c r="F804" s="254">
        <v>0.5</v>
      </c>
      <c r="G804" s="292" t="s">
        <v>11439</v>
      </c>
      <c r="H804" s="255">
        <v>11.95</v>
      </c>
      <c r="J804" s="521"/>
      <c r="S804" s="536"/>
      <c r="T804" s="638"/>
    </row>
    <row r="805" spans="1:68" s="298" customFormat="1" ht="25.5">
      <c r="A805" s="256" t="s">
        <v>3259</v>
      </c>
      <c r="B805" s="374">
        <v>88316</v>
      </c>
      <c r="C805" s="289" t="s">
        <v>104</v>
      </c>
      <c r="D805" s="290" t="s">
        <v>9714</v>
      </c>
      <c r="E805" s="290" t="s">
        <v>206</v>
      </c>
      <c r="F805" s="254">
        <v>0.5</v>
      </c>
      <c r="G805" s="292" t="s">
        <v>10172</v>
      </c>
      <c r="H805" s="255">
        <v>8.8000000000000007</v>
      </c>
      <c r="J805" s="521"/>
      <c r="S805" s="536"/>
      <c r="T805" s="638"/>
    </row>
    <row r="806" spans="1:68" s="298" customFormat="1" ht="12.75">
      <c r="A806" s="256"/>
      <c r="B806" s="288" t="s">
        <v>143</v>
      </c>
      <c r="C806" s="603" t="s">
        <v>17580</v>
      </c>
      <c r="D806" s="386"/>
      <c r="E806" s="386"/>
      <c r="F806" s="386"/>
      <c r="G806" s="386"/>
      <c r="H806" s="387"/>
      <c r="J806" s="521"/>
      <c r="S806" s="536"/>
      <c r="T806" s="635"/>
    </row>
    <row r="807" spans="1:68" s="529" customFormat="1" ht="12.75">
      <c r="A807" s="286"/>
      <c r="B807" s="293"/>
      <c r="C807" s="229"/>
      <c r="D807" s="230"/>
      <c r="E807" s="230"/>
      <c r="F807" s="230"/>
      <c r="G807" s="230"/>
      <c r="H807" s="230"/>
      <c r="I807" s="298"/>
      <c r="J807" s="521"/>
      <c r="K807" s="524"/>
      <c r="L807" s="298"/>
      <c r="M807" s="298"/>
      <c r="N807" s="298"/>
      <c r="O807" s="298"/>
      <c r="P807" s="298"/>
      <c r="Q807" s="298"/>
      <c r="R807" s="298"/>
      <c r="S807" s="536"/>
      <c r="T807" s="635"/>
      <c r="U807" s="298"/>
      <c r="V807" s="298"/>
      <c r="W807" s="298"/>
      <c r="X807" s="298"/>
      <c r="Y807" s="298"/>
      <c r="Z807" s="298"/>
      <c r="AA807" s="298"/>
      <c r="AB807" s="298"/>
      <c r="AC807" s="298"/>
      <c r="AD807" s="298"/>
      <c r="AE807" s="298"/>
      <c r="AF807" s="298"/>
      <c r="AG807" s="298"/>
      <c r="AH807" s="298"/>
      <c r="AI807" s="298"/>
      <c r="AJ807" s="298"/>
      <c r="AK807" s="298"/>
      <c r="AL807" s="298"/>
      <c r="AM807" s="298"/>
      <c r="AN807" s="298"/>
      <c r="AO807" s="298"/>
      <c r="AP807" s="298"/>
      <c r="AQ807" s="298"/>
      <c r="AR807" s="298"/>
      <c r="AS807" s="298"/>
      <c r="AT807" s="298"/>
      <c r="AU807" s="298"/>
      <c r="AV807" s="298"/>
      <c r="AW807" s="298"/>
      <c r="AX807" s="298"/>
      <c r="AY807" s="298"/>
      <c r="AZ807" s="298"/>
      <c r="BA807" s="298"/>
      <c r="BB807" s="298"/>
      <c r="BC807" s="298"/>
      <c r="BD807" s="298"/>
      <c r="BE807" s="298"/>
      <c r="BF807" s="298"/>
      <c r="BG807" s="298"/>
      <c r="BH807" s="298"/>
      <c r="BI807" s="298"/>
      <c r="BJ807" s="298"/>
      <c r="BK807" s="298"/>
      <c r="BL807" s="298"/>
      <c r="BM807" s="298"/>
      <c r="BN807" s="298"/>
      <c r="BO807" s="298"/>
      <c r="BP807" s="298"/>
    </row>
    <row r="808" spans="1:68" s="645" customFormat="1" ht="51">
      <c r="A808" s="376"/>
      <c r="B808" s="372" t="s">
        <v>15509</v>
      </c>
      <c r="C808" s="231" t="s">
        <v>17586</v>
      </c>
      <c r="D808" s="232" t="s">
        <v>103</v>
      </c>
      <c r="E808" s="232" t="s">
        <v>5</v>
      </c>
      <c r="F808" s="233"/>
      <c r="G808" s="234"/>
      <c r="H808" s="235">
        <v>222.35</v>
      </c>
      <c r="I808" s="298"/>
      <c r="J808" s="521"/>
      <c r="K808" s="524"/>
      <c r="L808" s="298"/>
      <c r="M808" s="298"/>
      <c r="N808" s="298"/>
      <c r="O808" s="298"/>
      <c r="P808" s="298"/>
      <c r="Q808" s="298"/>
      <c r="R808" s="298"/>
      <c r="S808" s="536"/>
      <c r="T808" s="635"/>
      <c r="U808" s="298"/>
      <c r="V808" s="298"/>
      <c r="W808" s="298"/>
      <c r="X808" s="298"/>
      <c r="Y808" s="298"/>
      <c r="Z808" s="298"/>
      <c r="AA808" s="298"/>
      <c r="AB808" s="298"/>
      <c r="AC808" s="298"/>
      <c r="AD808" s="298"/>
      <c r="AE808" s="298"/>
      <c r="AF808" s="298"/>
      <c r="AG808" s="298"/>
      <c r="AH808" s="298"/>
      <c r="AI808" s="298"/>
      <c r="AJ808" s="298"/>
      <c r="AK808" s="298"/>
      <c r="AL808" s="298"/>
      <c r="AM808" s="298"/>
      <c r="AN808" s="298"/>
      <c r="AO808" s="298"/>
      <c r="AP808" s="298"/>
      <c r="AQ808" s="298"/>
      <c r="AR808" s="298"/>
      <c r="AS808" s="298"/>
      <c r="AT808" s="298"/>
      <c r="AU808" s="298"/>
      <c r="AV808" s="298"/>
      <c r="AW808" s="298"/>
      <c r="AX808" s="298"/>
      <c r="AY808" s="298"/>
      <c r="AZ808" s="298"/>
      <c r="BA808" s="298"/>
      <c r="BB808" s="298"/>
      <c r="BC808" s="298"/>
      <c r="BD808" s="298"/>
      <c r="BE808" s="298"/>
      <c r="BF808" s="298"/>
      <c r="BG808" s="298"/>
      <c r="BH808" s="298"/>
      <c r="BI808" s="298"/>
      <c r="BJ808" s="298"/>
      <c r="BK808" s="298"/>
      <c r="BL808" s="298"/>
      <c r="BM808" s="298"/>
      <c r="BN808" s="298"/>
      <c r="BO808" s="298"/>
      <c r="BP808" s="298"/>
    </row>
    <row r="809" spans="1:68" s="298" customFormat="1" ht="25.5">
      <c r="A809" s="256" t="s">
        <v>14338</v>
      </c>
      <c r="B809" s="374" t="s">
        <v>17584</v>
      </c>
      <c r="C809" s="289" t="s">
        <v>17585</v>
      </c>
      <c r="D809" s="290" t="s">
        <v>103</v>
      </c>
      <c r="E809" s="290" t="s">
        <v>17463</v>
      </c>
      <c r="F809" s="291">
        <v>1</v>
      </c>
      <c r="G809" s="292">
        <v>206.35</v>
      </c>
      <c r="H809" s="255">
        <v>206.35</v>
      </c>
      <c r="J809" s="634"/>
      <c r="K809" s="524"/>
      <c r="S809" s="536"/>
      <c r="T809" s="638"/>
    </row>
    <row r="810" spans="1:68" s="298" customFormat="1" ht="51">
      <c r="A810" s="256" t="s">
        <v>3259</v>
      </c>
      <c r="B810" s="374">
        <v>100727</v>
      </c>
      <c r="C810" s="289" t="s">
        <v>23992</v>
      </c>
      <c r="D810" s="290" t="s">
        <v>229</v>
      </c>
      <c r="E810" s="290" t="s">
        <v>193</v>
      </c>
      <c r="F810" s="254">
        <v>0.37699111843077515</v>
      </c>
      <c r="G810" s="292" t="s">
        <v>11270</v>
      </c>
      <c r="H810" s="255">
        <v>4.51</v>
      </c>
      <c r="J810" s="521"/>
      <c r="K810" s="524"/>
      <c r="S810" s="536"/>
      <c r="T810" s="638"/>
    </row>
    <row r="811" spans="1:68" s="298" customFormat="1" ht="51">
      <c r="A811" s="256" t="s">
        <v>3259</v>
      </c>
      <c r="B811" s="374">
        <v>100751</v>
      </c>
      <c r="C811" s="289" t="s">
        <v>24002</v>
      </c>
      <c r="D811" s="290" t="s">
        <v>229</v>
      </c>
      <c r="E811" s="290" t="s">
        <v>193</v>
      </c>
      <c r="F811" s="254">
        <v>0.37699111843077515</v>
      </c>
      <c r="G811" s="292" t="s">
        <v>11016</v>
      </c>
      <c r="H811" s="255">
        <v>11.49</v>
      </c>
      <c r="J811" s="521"/>
      <c r="K811" s="763"/>
      <c r="S811" s="536"/>
      <c r="T811" s="638"/>
    </row>
    <row r="812" spans="1:68" s="298" customFormat="1" ht="12.75">
      <c r="A812" s="256"/>
      <c r="B812" s="288" t="s">
        <v>143</v>
      </c>
      <c r="C812" s="603" t="s">
        <v>15438</v>
      </c>
      <c r="D812" s="386"/>
      <c r="E812" s="386"/>
      <c r="F812" s="386"/>
      <c r="G812" s="386"/>
      <c r="H812" s="387"/>
      <c r="J812" s="521"/>
      <c r="K812" s="524"/>
      <c r="S812" s="536"/>
      <c r="T812" s="635"/>
    </row>
    <row r="813" spans="1:68" s="529" customFormat="1" ht="12.75">
      <c r="A813" s="286"/>
      <c r="B813" s="293"/>
      <c r="C813" s="229"/>
      <c r="D813" s="230"/>
      <c r="E813" s="230"/>
      <c r="F813" s="230"/>
      <c r="G813" s="230"/>
      <c r="H813" s="230"/>
      <c r="I813" s="298"/>
      <c r="J813" s="521"/>
      <c r="K813" s="524"/>
      <c r="L813" s="298"/>
      <c r="M813" s="298"/>
      <c r="N813" s="298"/>
      <c r="O813" s="298"/>
      <c r="P813" s="298"/>
      <c r="Q813" s="298"/>
      <c r="R813" s="298"/>
      <c r="S813" s="536"/>
      <c r="T813" s="635"/>
      <c r="U813" s="298"/>
      <c r="V813" s="298"/>
      <c r="W813" s="298"/>
      <c r="X813" s="298"/>
      <c r="Y813" s="298"/>
      <c r="Z813" s="298"/>
      <c r="AA813" s="298"/>
      <c r="AB813" s="298"/>
      <c r="AC813" s="298"/>
      <c r="AD813" s="298"/>
      <c r="AE813" s="298"/>
      <c r="AF813" s="298"/>
      <c r="AG813" s="298"/>
      <c r="AH813" s="298"/>
      <c r="AI813" s="298"/>
      <c r="AJ813" s="298"/>
      <c r="AK813" s="298"/>
      <c r="AL813" s="298"/>
      <c r="AM813" s="298"/>
      <c r="AN813" s="298"/>
      <c r="AO813" s="298"/>
      <c r="AP813" s="298"/>
      <c r="AQ813" s="298"/>
      <c r="AR813" s="298"/>
      <c r="AS813" s="298"/>
      <c r="AT813" s="298"/>
      <c r="AU813" s="298"/>
      <c r="AV813" s="298"/>
      <c r="AW813" s="298"/>
      <c r="AX813" s="298"/>
      <c r="AY813" s="298"/>
      <c r="AZ813" s="298"/>
      <c r="BA813" s="298"/>
      <c r="BB813" s="298"/>
      <c r="BC813" s="298"/>
      <c r="BD813" s="298"/>
      <c r="BE813" s="298"/>
      <c r="BF813" s="298"/>
      <c r="BG813" s="298"/>
      <c r="BH813" s="298"/>
      <c r="BI813" s="298"/>
      <c r="BJ813" s="298"/>
      <c r="BK813" s="298"/>
      <c r="BL813" s="298"/>
      <c r="BM813" s="298"/>
      <c r="BN813" s="298"/>
      <c r="BO813" s="298"/>
      <c r="BP813" s="298"/>
    </row>
    <row r="814" spans="1:68" s="645" customFormat="1" ht="38.25">
      <c r="A814" s="376"/>
      <c r="B814" s="372" t="s">
        <v>15521</v>
      </c>
      <c r="C814" s="231" t="s">
        <v>17587</v>
      </c>
      <c r="D814" s="232" t="s">
        <v>103</v>
      </c>
      <c r="E814" s="232" t="s">
        <v>5</v>
      </c>
      <c r="F814" s="233"/>
      <c r="G814" s="234"/>
      <c r="H814" s="235">
        <v>23</v>
      </c>
      <c r="I814" s="298"/>
      <c r="J814" s="521"/>
      <c r="K814" s="524"/>
      <c r="L814" s="298"/>
      <c r="M814" s="298"/>
      <c r="N814" s="298"/>
      <c r="O814" s="298"/>
      <c r="P814" s="298"/>
      <c r="Q814" s="298"/>
      <c r="R814" s="298"/>
      <c r="S814" s="536"/>
      <c r="T814" s="635"/>
      <c r="U814" s="298"/>
      <c r="V814" s="298"/>
      <c r="W814" s="298"/>
      <c r="X814" s="298"/>
      <c r="Y814" s="298"/>
      <c r="Z814" s="298"/>
      <c r="AA814" s="298"/>
      <c r="AB814" s="298"/>
      <c r="AC814" s="298"/>
      <c r="AD814" s="298"/>
      <c r="AE814" s="298"/>
      <c r="AF814" s="298"/>
      <c r="AG814" s="298"/>
      <c r="AH814" s="298"/>
      <c r="AI814" s="298"/>
      <c r="AJ814" s="298"/>
      <c r="AK814" s="298"/>
      <c r="AL814" s="298"/>
      <c r="AM814" s="298"/>
      <c r="AN814" s="298"/>
      <c r="AO814" s="298"/>
      <c r="AP814" s="298"/>
      <c r="AQ814" s="298"/>
      <c r="AR814" s="298"/>
      <c r="AS814" s="298"/>
      <c r="AT814" s="298"/>
      <c r="AU814" s="298"/>
      <c r="AV814" s="298"/>
      <c r="AW814" s="298"/>
      <c r="AX814" s="298"/>
      <c r="AY814" s="298"/>
      <c r="AZ814" s="298"/>
      <c r="BA814" s="298"/>
      <c r="BB814" s="298"/>
      <c r="BC814" s="298"/>
      <c r="BD814" s="298"/>
      <c r="BE814" s="298"/>
      <c r="BF814" s="298"/>
      <c r="BG814" s="298"/>
      <c r="BH814" s="298"/>
      <c r="BI814" s="298"/>
      <c r="BJ814" s="298"/>
      <c r="BK814" s="298"/>
      <c r="BL814" s="298"/>
      <c r="BM814" s="298"/>
      <c r="BN814" s="298"/>
      <c r="BO814" s="298"/>
      <c r="BP814" s="298"/>
    </row>
    <row r="815" spans="1:68" s="298" customFormat="1" ht="25.5">
      <c r="A815" s="256" t="s">
        <v>3261</v>
      </c>
      <c r="B815" s="374">
        <v>4777</v>
      </c>
      <c r="C815" s="289" t="s">
        <v>5372</v>
      </c>
      <c r="D815" s="290" t="s">
        <v>207</v>
      </c>
      <c r="E815" s="290" t="s">
        <v>3244</v>
      </c>
      <c r="F815" s="291">
        <v>1.165</v>
      </c>
      <c r="G815" s="292" t="s">
        <v>10513</v>
      </c>
      <c r="H815" s="255">
        <v>11.37</v>
      </c>
      <c r="J815" s="634"/>
      <c r="K815" s="524"/>
      <c r="S815" s="536"/>
      <c r="T815" s="638"/>
    </row>
    <row r="816" spans="1:68" s="298" customFormat="1" ht="38.25">
      <c r="A816" s="256" t="s">
        <v>3259</v>
      </c>
      <c r="B816" s="374">
        <v>90466</v>
      </c>
      <c r="C816" s="289" t="s">
        <v>132</v>
      </c>
      <c r="D816" s="290" t="s">
        <v>229</v>
      </c>
      <c r="E816" s="290" t="s">
        <v>5</v>
      </c>
      <c r="F816" s="254">
        <v>1</v>
      </c>
      <c r="G816" s="292" t="s">
        <v>19074</v>
      </c>
      <c r="H816" s="255">
        <v>11.63</v>
      </c>
      <c r="J816" s="521"/>
      <c r="K816" s="524"/>
      <c r="S816" s="536"/>
      <c r="T816" s="638"/>
    </row>
    <row r="817" spans="1:68" s="298" customFormat="1" ht="12.75">
      <c r="A817" s="256"/>
      <c r="B817" s="288" t="s">
        <v>143</v>
      </c>
      <c r="C817" s="603" t="s">
        <v>15438</v>
      </c>
      <c r="D817" s="386"/>
      <c r="E817" s="386"/>
      <c r="F817" s="386"/>
      <c r="G817" s="386"/>
      <c r="H817" s="387"/>
      <c r="J817" s="521"/>
      <c r="K817" s="524"/>
      <c r="S817" s="536"/>
      <c r="T817" s="635"/>
    </row>
    <row r="818" spans="1:68" s="529" customFormat="1" ht="12.75">
      <c r="A818" s="286"/>
      <c r="B818" s="822"/>
      <c r="C818" s="817"/>
      <c r="D818" s="817"/>
      <c r="E818" s="817"/>
      <c r="F818" s="817"/>
      <c r="G818" s="817"/>
      <c r="H818" s="818"/>
      <c r="I818" s="298"/>
      <c r="J818" s="298"/>
      <c r="K818" s="298"/>
      <c r="L818" s="298"/>
      <c r="M818" s="298"/>
      <c r="N818" s="298"/>
      <c r="O818" s="298"/>
      <c r="P818" s="298"/>
      <c r="Q818" s="298"/>
      <c r="R818" s="298"/>
      <c r="S818" s="536"/>
      <c r="T818" s="635"/>
      <c r="U818" s="298"/>
      <c r="V818" s="298"/>
      <c r="W818" s="298"/>
      <c r="X818" s="298"/>
      <c r="Y818" s="298"/>
      <c r="Z818" s="298"/>
      <c r="AA818" s="298"/>
      <c r="AB818" s="298"/>
      <c r="AC818" s="298"/>
      <c r="AD818" s="298"/>
      <c r="AE818" s="298"/>
      <c r="AF818" s="298"/>
      <c r="AG818" s="298"/>
      <c r="AH818" s="298"/>
      <c r="AI818" s="298"/>
      <c r="AJ818" s="298"/>
      <c r="AK818" s="298"/>
      <c r="AL818" s="298"/>
      <c r="AM818" s="298"/>
      <c r="AN818" s="298"/>
      <c r="AO818" s="298"/>
      <c r="AP818" s="298"/>
      <c r="AQ818" s="298"/>
      <c r="AR818" s="298"/>
      <c r="AS818" s="298"/>
      <c r="AT818" s="298"/>
      <c r="AU818" s="298"/>
      <c r="AV818" s="298"/>
      <c r="AW818" s="298"/>
      <c r="AX818" s="298"/>
      <c r="AY818" s="298"/>
      <c r="AZ818" s="298"/>
      <c r="BA818" s="298"/>
      <c r="BB818" s="298"/>
      <c r="BC818" s="298"/>
      <c r="BD818" s="298"/>
      <c r="BE818" s="298"/>
      <c r="BF818" s="298"/>
      <c r="BG818" s="298"/>
      <c r="BH818" s="298"/>
      <c r="BI818" s="298"/>
      <c r="BJ818" s="298"/>
      <c r="BK818" s="298"/>
      <c r="BL818" s="298"/>
      <c r="BM818" s="298"/>
      <c r="BN818" s="298"/>
      <c r="BO818" s="298"/>
      <c r="BP818" s="298"/>
    </row>
    <row r="819" spans="1:68" s="529" customFormat="1" ht="25.5">
      <c r="A819" s="286"/>
      <c r="B819" s="372" t="s">
        <v>15522</v>
      </c>
      <c r="C819" s="231" t="s">
        <v>15379</v>
      </c>
      <c r="D819" s="232" t="s">
        <v>103</v>
      </c>
      <c r="E819" s="232" t="s">
        <v>10</v>
      </c>
      <c r="F819" s="233"/>
      <c r="G819" s="234"/>
      <c r="H819" s="235">
        <v>149.89999999999998</v>
      </c>
      <c r="I819" s="298"/>
      <c r="J819" s="298"/>
      <c r="K819" s="298"/>
      <c r="L819" s="298"/>
      <c r="M819" s="298"/>
      <c r="N819" s="298"/>
      <c r="O819" s="298"/>
      <c r="P819" s="298"/>
      <c r="Q819" s="298"/>
      <c r="R819" s="298"/>
      <c r="S819" s="536"/>
      <c r="T819" s="635"/>
      <c r="U819" s="298"/>
      <c r="V819" s="298"/>
      <c r="W819" s="298"/>
      <c r="X819" s="298"/>
      <c r="Y819" s="298"/>
      <c r="Z819" s="298"/>
      <c r="AA819" s="298"/>
      <c r="AB819" s="298"/>
      <c r="AC819" s="298"/>
      <c r="AD819" s="298"/>
      <c r="AE819" s="298"/>
      <c r="AF819" s="298"/>
      <c r="AG819" s="298"/>
      <c r="AH819" s="298"/>
      <c r="AI819" s="298"/>
      <c r="AJ819" s="298"/>
      <c r="AK819" s="298"/>
      <c r="AL819" s="298"/>
      <c r="AM819" s="298"/>
      <c r="AN819" s="298"/>
      <c r="AO819" s="298"/>
      <c r="AP819" s="298"/>
      <c r="AQ819" s="298"/>
      <c r="AR819" s="298"/>
      <c r="AS819" s="298"/>
      <c r="AT819" s="298"/>
      <c r="AU819" s="298"/>
      <c r="AV819" s="298"/>
      <c r="AW819" s="298"/>
      <c r="AX819" s="298"/>
      <c r="AY819" s="298"/>
      <c r="AZ819" s="298"/>
      <c r="BA819" s="298"/>
      <c r="BB819" s="298"/>
      <c r="BC819" s="298"/>
      <c r="BD819" s="298"/>
      <c r="BE819" s="298"/>
      <c r="BF819" s="298"/>
      <c r="BG819" s="298"/>
      <c r="BH819" s="298"/>
      <c r="BI819" s="298"/>
      <c r="BJ819" s="298"/>
      <c r="BK819" s="298"/>
      <c r="BL819" s="298"/>
      <c r="BM819" s="298"/>
      <c r="BN819" s="298"/>
      <c r="BO819" s="298"/>
      <c r="BP819" s="298"/>
    </row>
    <row r="820" spans="1:68" s="298" customFormat="1" ht="51">
      <c r="A820" s="256" t="s">
        <v>3261</v>
      </c>
      <c r="B820" s="374">
        <v>4351</v>
      </c>
      <c r="C820" s="289" t="s">
        <v>7528</v>
      </c>
      <c r="D820" s="290" t="s">
        <v>207</v>
      </c>
      <c r="E820" s="290" t="s">
        <v>3240</v>
      </c>
      <c r="F820" s="254">
        <v>6</v>
      </c>
      <c r="G820" s="292" t="s">
        <v>16691</v>
      </c>
      <c r="H820" s="255">
        <v>55.44</v>
      </c>
      <c r="J820" s="521"/>
      <c r="S820" s="536"/>
      <c r="T820" s="638"/>
    </row>
    <row r="821" spans="1:68" s="298" customFormat="1" ht="12.75">
      <c r="A821" s="256" t="s">
        <v>12</v>
      </c>
      <c r="B821" s="374" t="s">
        <v>15359</v>
      </c>
      <c r="C821" s="289" t="s">
        <v>15325</v>
      </c>
      <c r="D821" s="290" t="s">
        <v>207</v>
      </c>
      <c r="E821" s="290" t="s">
        <v>109</v>
      </c>
      <c r="F821" s="254">
        <v>1</v>
      </c>
      <c r="G821" s="292">
        <v>67</v>
      </c>
      <c r="H821" s="255">
        <v>67</v>
      </c>
      <c r="J821" s="521"/>
      <c r="S821" s="536"/>
      <c r="T821" s="638"/>
    </row>
    <row r="822" spans="1:68" s="298" customFormat="1" ht="25.5">
      <c r="A822" s="256" t="s">
        <v>3259</v>
      </c>
      <c r="B822" s="374">
        <v>88267</v>
      </c>
      <c r="C822" s="289" t="s">
        <v>107</v>
      </c>
      <c r="D822" s="290" t="s">
        <v>9714</v>
      </c>
      <c r="E822" s="290" t="s">
        <v>206</v>
      </c>
      <c r="F822" s="383">
        <v>0.94850000000000001</v>
      </c>
      <c r="G822" s="292" t="s">
        <v>10792</v>
      </c>
      <c r="H822" s="255">
        <v>22.2</v>
      </c>
      <c r="S822" s="536"/>
      <c r="T822" s="638"/>
    </row>
    <row r="823" spans="1:68" s="298" customFormat="1" ht="25.5">
      <c r="A823" s="256" t="s">
        <v>3259</v>
      </c>
      <c r="B823" s="374">
        <v>88316</v>
      </c>
      <c r="C823" s="289" t="s">
        <v>104</v>
      </c>
      <c r="D823" s="290" t="s">
        <v>9714</v>
      </c>
      <c r="E823" s="290" t="s">
        <v>206</v>
      </c>
      <c r="F823" s="383">
        <v>0.29880000000000001</v>
      </c>
      <c r="G823" s="292" t="s">
        <v>10172</v>
      </c>
      <c r="H823" s="255">
        <v>5.26</v>
      </c>
      <c r="S823" s="536"/>
      <c r="T823" s="638"/>
    </row>
    <row r="824" spans="1:68" s="529" customFormat="1" ht="12.75">
      <c r="A824" s="286"/>
      <c r="B824" s="375" t="s">
        <v>143</v>
      </c>
      <c r="C824" s="816" t="s">
        <v>15380</v>
      </c>
      <c r="D824" s="817"/>
      <c r="E824" s="817"/>
      <c r="F824" s="817"/>
      <c r="G824" s="817"/>
      <c r="H824" s="818"/>
      <c r="I824" s="298"/>
      <c r="J824" s="298"/>
      <c r="K824" s="298"/>
      <c r="L824" s="298"/>
      <c r="M824" s="298"/>
      <c r="N824" s="298"/>
      <c r="O824" s="298"/>
      <c r="P824" s="298"/>
      <c r="Q824" s="298"/>
      <c r="R824" s="298"/>
      <c r="S824" s="536"/>
      <c r="T824" s="635"/>
      <c r="U824" s="298"/>
      <c r="V824" s="298"/>
      <c r="W824" s="298"/>
      <c r="X824" s="298"/>
      <c r="Y824" s="298"/>
      <c r="Z824" s="298"/>
      <c r="AA824" s="298"/>
      <c r="AB824" s="298"/>
      <c r="AC824" s="298"/>
      <c r="AD824" s="298"/>
      <c r="AE824" s="298"/>
      <c r="AF824" s="298"/>
      <c r="AG824" s="298"/>
      <c r="AH824" s="298"/>
      <c r="AI824" s="298"/>
      <c r="AJ824" s="298"/>
      <c r="AK824" s="298"/>
      <c r="AL824" s="298"/>
      <c r="AM824" s="298"/>
      <c r="AN824" s="298"/>
      <c r="AO824" s="298"/>
      <c r="AP824" s="298"/>
      <c r="AQ824" s="298"/>
      <c r="AR824" s="298"/>
      <c r="AS824" s="298"/>
      <c r="AT824" s="298"/>
      <c r="AU824" s="298"/>
      <c r="AV824" s="298"/>
      <c r="AW824" s="298"/>
      <c r="AX824" s="298"/>
      <c r="AY824" s="298"/>
      <c r="AZ824" s="298"/>
      <c r="BA824" s="298"/>
      <c r="BB824" s="298"/>
      <c r="BC824" s="298"/>
      <c r="BD824" s="298"/>
      <c r="BE824" s="298"/>
      <c r="BF824" s="298"/>
      <c r="BG824" s="298"/>
      <c r="BH824" s="298"/>
      <c r="BI824" s="298"/>
      <c r="BJ824" s="298"/>
      <c r="BK824" s="298"/>
      <c r="BL824" s="298"/>
      <c r="BM824" s="298"/>
      <c r="BN824" s="298"/>
      <c r="BO824" s="298"/>
      <c r="BP824" s="298"/>
    </row>
    <row r="825" spans="1:68" s="529" customFormat="1" ht="12.75">
      <c r="A825" s="286"/>
      <c r="B825" s="373"/>
      <c r="C825" s="379"/>
      <c r="D825" s="382"/>
      <c r="E825" s="382"/>
      <c r="F825" s="382"/>
      <c r="G825" s="382"/>
      <c r="H825" s="382"/>
      <c r="I825" s="298"/>
      <c r="J825" s="634"/>
      <c r="K825" s="524"/>
      <c r="L825" s="524"/>
      <c r="M825" s="524"/>
      <c r="N825" s="524"/>
      <c r="O825" s="524"/>
      <c r="P825" s="298"/>
      <c r="Q825" s="298"/>
      <c r="R825" s="298"/>
      <c r="S825" s="536"/>
      <c r="T825" s="635"/>
      <c r="U825" s="298"/>
      <c r="V825" s="298"/>
      <c r="W825" s="298"/>
      <c r="X825" s="298"/>
      <c r="Y825" s="298"/>
      <c r="Z825" s="298"/>
      <c r="AA825" s="298"/>
      <c r="AB825" s="298"/>
      <c r="AC825" s="298"/>
      <c r="AD825" s="298"/>
      <c r="AE825" s="298"/>
      <c r="AF825" s="298"/>
      <c r="AG825" s="298"/>
      <c r="AH825" s="298"/>
      <c r="AI825" s="298"/>
      <c r="AJ825" s="298"/>
      <c r="AK825" s="298"/>
      <c r="AL825" s="298"/>
      <c r="AM825" s="298"/>
      <c r="AN825" s="298"/>
      <c r="AO825" s="298"/>
      <c r="AP825" s="298"/>
      <c r="AQ825" s="298"/>
      <c r="AR825" s="298"/>
      <c r="AS825" s="298"/>
      <c r="AT825" s="298"/>
      <c r="AU825" s="298"/>
      <c r="AV825" s="298"/>
      <c r="AW825" s="298"/>
      <c r="AX825" s="298"/>
      <c r="AY825" s="298"/>
      <c r="AZ825" s="298"/>
      <c r="BA825" s="298"/>
      <c r="BB825" s="298"/>
      <c r="BC825" s="298"/>
      <c r="BD825" s="298"/>
      <c r="BE825" s="298"/>
      <c r="BF825" s="298"/>
      <c r="BG825" s="298"/>
      <c r="BH825" s="298"/>
      <c r="BI825" s="298"/>
      <c r="BJ825" s="298"/>
      <c r="BK825" s="298"/>
      <c r="BL825" s="298"/>
      <c r="BM825" s="298"/>
      <c r="BN825" s="298"/>
      <c r="BO825" s="298"/>
      <c r="BP825" s="298"/>
    </row>
    <row r="826" spans="1:68" s="529" customFormat="1" ht="25.5">
      <c r="A826" s="286"/>
      <c r="B826" s="372" t="s">
        <v>15523</v>
      </c>
      <c r="C826" s="231" t="s">
        <v>15538</v>
      </c>
      <c r="D826" s="232" t="s">
        <v>103</v>
      </c>
      <c r="E826" s="232" t="s">
        <v>3240</v>
      </c>
      <c r="F826" s="233"/>
      <c r="G826" s="234"/>
      <c r="H826" s="235">
        <v>55.43</v>
      </c>
      <c r="I826" s="298"/>
      <c r="J826" s="634"/>
      <c r="K826" s="524"/>
      <c r="L826" s="524"/>
      <c r="M826" s="524"/>
      <c r="N826" s="524"/>
      <c r="O826" s="524"/>
      <c r="P826" s="298"/>
      <c r="Q826" s="298"/>
      <c r="R826" s="298"/>
      <c r="S826" s="536"/>
      <c r="T826" s="635"/>
      <c r="U826" s="298"/>
      <c r="V826" s="298"/>
      <c r="W826" s="298"/>
      <c r="X826" s="298"/>
      <c r="Y826" s="298"/>
      <c r="Z826" s="298"/>
      <c r="AA826" s="298"/>
      <c r="AB826" s="298"/>
      <c r="AC826" s="298"/>
      <c r="AD826" s="298"/>
      <c r="AE826" s="298"/>
      <c r="AF826" s="298"/>
      <c r="AG826" s="298"/>
      <c r="AH826" s="298"/>
      <c r="AI826" s="298"/>
      <c r="AJ826" s="298"/>
      <c r="AK826" s="298"/>
      <c r="AL826" s="298"/>
      <c r="AM826" s="298"/>
      <c r="AN826" s="298"/>
      <c r="AO826" s="298"/>
      <c r="AP826" s="298"/>
      <c r="AQ826" s="298"/>
      <c r="AR826" s="298"/>
      <c r="AS826" s="298"/>
      <c r="AT826" s="298"/>
      <c r="AU826" s="298"/>
      <c r="AV826" s="298"/>
      <c r="AW826" s="298"/>
      <c r="AX826" s="298"/>
      <c r="AY826" s="298"/>
      <c r="AZ826" s="298"/>
      <c r="BA826" s="298"/>
      <c r="BB826" s="298"/>
      <c r="BC826" s="298"/>
      <c r="BD826" s="298"/>
      <c r="BE826" s="298"/>
      <c r="BF826" s="298"/>
      <c r="BG826" s="298"/>
      <c r="BH826" s="298"/>
      <c r="BI826" s="298"/>
      <c r="BJ826" s="298"/>
      <c r="BK826" s="298"/>
      <c r="BL826" s="298"/>
      <c r="BM826" s="298"/>
      <c r="BN826" s="298"/>
      <c r="BO826" s="298"/>
      <c r="BP826" s="298"/>
    </row>
    <row r="827" spans="1:68" s="298" customFormat="1" ht="25.5">
      <c r="A827" s="256" t="s">
        <v>3261</v>
      </c>
      <c r="B827" s="374">
        <v>37401</v>
      </c>
      <c r="C827" s="289" t="s">
        <v>8483</v>
      </c>
      <c r="D827" s="290" t="s">
        <v>207</v>
      </c>
      <c r="E827" s="290" t="s">
        <v>3240</v>
      </c>
      <c r="F827" s="291">
        <v>1</v>
      </c>
      <c r="G827" s="292" t="s">
        <v>20312</v>
      </c>
      <c r="H827" s="255">
        <v>46.28</v>
      </c>
      <c r="J827" s="634"/>
      <c r="S827" s="536"/>
      <c r="T827" s="638"/>
    </row>
    <row r="828" spans="1:68" s="298" customFormat="1" ht="25.5">
      <c r="A828" s="256" t="s">
        <v>3259</v>
      </c>
      <c r="B828" s="374">
        <v>88267</v>
      </c>
      <c r="C828" s="289" t="s">
        <v>107</v>
      </c>
      <c r="D828" s="290" t="s">
        <v>9714</v>
      </c>
      <c r="E828" s="290" t="s">
        <v>206</v>
      </c>
      <c r="F828" s="254">
        <v>0.31619999999999998</v>
      </c>
      <c r="G828" s="292" t="s">
        <v>10792</v>
      </c>
      <c r="H828" s="255">
        <v>7.4</v>
      </c>
      <c r="J828" s="634"/>
      <c r="K828" s="524"/>
      <c r="L828" s="524"/>
      <c r="M828" s="524"/>
      <c r="N828" s="524"/>
      <c r="O828" s="524"/>
      <c r="S828" s="536"/>
      <c r="T828" s="638"/>
    </row>
    <row r="829" spans="1:68" s="298" customFormat="1" ht="25.5">
      <c r="A829" s="256" t="s">
        <v>3259</v>
      </c>
      <c r="B829" s="374">
        <v>88316</v>
      </c>
      <c r="C829" s="289" t="s">
        <v>104</v>
      </c>
      <c r="D829" s="290" t="s">
        <v>9714</v>
      </c>
      <c r="E829" s="290" t="s">
        <v>206</v>
      </c>
      <c r="F829" s="254">
        <v>9.9599999999999994E-2</v>
      </c>
      <c r="G829" s="292" t="s">
        <v>10172</v>
      </c>
      <c r="H829" s="255">
        <v>1.75</v>
      </c>
      <c r="J829" s="634"/>
      <c r="K829" s="524"/>
      <c r="L829" s="524"/>
      <c r="M829" s="524"/>
      <c r="N829" s="524"/>
      <c r="O829" s="524"/>
      <c r="S829" s="536"/>
      <c r="T829" s="638"/>
    </row>
    <row r="830" spans="1:68" s="298" customFormat="1" ht="12.75">
      <c r="A830" s="256"/>
      <c r="B830" s="288" t="s">
        <v>143</v>
      </c>
      <c r="C830" s="819" t="s">
        <v>15536</v>
      </c>
      <c r="D830" s="820"/>
      <c r="E830" s="820"/>
      <c r="F830" s="820"/>
      <c r="G830" s="820"/>
      <c r="H830" s="821"/>
      <c r="J830" s="634"/>
      <c r="K830" s="524"/>
      <c r="L830" s="524"/>
      <c r="M830" s="524"/>
      <c r="N830" s="524"/>
      <c r="O830" s="524"/>
      <c r="S830" s="536"/>
      <c r="T830" s="635"/>
    </row>
    <row r="831" spans="1:68" s="529" customFormat="1" ht="12.75">
      <c r="A831" s="286"/>
      <c r="B831" s="373"/>
      <c r="C831" s="379"/>
      <c r="D831" s="382"/>
      <c r="E831" s="382"/>
      <c r="F831" s="382"/>
      <c r="G831" s="382"/>
      <c r="H831" s="382"/>
      <c r="I831" s="298"/>
      <c r="J831" s="634"/>
      <c r="K831" s="524"/>
      <c r="L831" s="524"/>
      <c r="M831" s="524"/>
      <c r="N831" s="524"/>
      <c r="O831" s="524"/>
      <c r="P831" s="298"/>
      <c r="Q831" s="298"/>
      <c r="R831" s="298"/>
      <c r="S831" s="536"/>
      <c r="T831" s="635"/>
      <c r="U831" s="298"/>
      <c r="V831" s="298"/>
      <c r="W831" s="298"/>
      <c r="X831" s="298"/>
      <c r="Y831" s="298"/>
      <c r="Z831" s="298"/>
      <c r="AA831" s="298"/>
      <c r="AB831" s="298"/>
      <c r="AC831" s="298"/>
      <c r="AD831" s="298"/>
      <c r="AE831" s="298"/>
      <c r="AF831" s="298"/>
      <c r="AG831" s="298"/>
      <c r="AH831" s="298"/>
      <c r="AI831" s="298"/>
      <c r="AJ831" s="298"/>
      <c r="AK831" s="298"/>
      <c r="AL831" s="298"/>
      <c r="AM831" s="298"/>
      <c r="AN831" s="298"/>
      <c r="AO831" s="298"/>
      <c r="AP831" s="298"/>
      <c r="AQ831" s="298"/>
      <c r="AR831" s="298"/>
      <c r="AS831" s="298"/>
      <c r="AT831" s="298"/>
      <c r="AU831" s="298"/>
      <c r="AV831" s="298"/>
      <c r="AW831" s="298"/>
      <c r="AX831" s="298"/>
      <c r="AY831" s="298"/>
      <c r="AZ831" s="298"/>
      <c r="BA831" s="298"/>
      <c r="BB831" s="298"/>
      <c r="BC831" s="298"/>
      <c r="BD831" s="298"/>
      <c r="BE831" s="298"/>
      <c r="BF831" s="298"/>
      <c r="BG831" s="298"/>
      <c r="BH831" s="298"/>
      <c r="BI831" s="298"/>
      <c r="BJ831" s="298"/>
      <c r="BK831" s="298"/>
      <c r="BL831" s="298"/>
      <c r="BM831" s="298"/>
      <c r="BN831" s="298"/>
      <c r="BO831" s="298"/>
      <c r="BP831" s="298"/>
    </row>
    <row r="832" spans="1:68" s="529" customFormat="1" ht="25.5">
      <c r="A832" s="286"/>
      <c r="B832" s="372" t="s">
        <v>15526</v>
      </c>
      <c r="C832" s="231" t="s">
        <v>15535</v>
      </c>
      <c r="D832" s="232" t="s">
        <v>103</v>
      </c>
      <c r="E832" s="232" t="s">
        <v>3240</v>
      </c>
      <c r="F832" s="233"/>
      <c r="G832" s="234"/>
      <c r="H832" s="235">
        <v>55.43</v>
      </c>
      <c r="I832" s="298"/>
      <c r="J832" s="634"/>
      <c r="K832" s="524"/>
      <c r="L832" s="524"/>
      <c r="M832" s="524"/>
      <c r="N832" s="524"/>
      <c r="O832" s="524"/>
      <c r="P832" s="298"/>
      <c r="Q832" s="298"/>
      <c r="R832" s="298"/>
      <c r="S832" s="536"/>
      <c r="T832" s="635"/>
      <c r="U832" s="298"/>
      <c r="V832" s="298"/>
      <c r="W832" s="298"/>
      <c r="X832" s="298"/>
      <c r="Y832" s="298"/>
      <c r="Z832" s="298"/>
      <c r="AA832" s="298"/>
      <c r="AB832" s="298"/>
      <c r="AC832" s="298"/>
      <c r="AD832" s="298"/>
      <c r="AE832" s="298"/>
      <c r="AF832" s="298"/>
      <c r="AG832" s="298"/>
      <c r="AH832" s="298"/>
      <c r="AI832" s="298"/>
      <c r="AJ832" s="298"/>
      <c r="AK832" s="298"/>
      <c r="AL832" s="298"/>
      <c r="AM832" s="298"/>
      <c r="AN832" s="298"/>
      <c r="AO832" s="298"/>
      <c r="AP832" s="298"/>
      <c r="AQ832" s="298"/>
      <c r="AR832" s="298"/>
      <c r="AS832" s="298"/>
      <c r="AT832" s="298"/>
      <c r="AU832" s="298"/>
      <c r="AV832" s="298"/>
      <c r="AW832" s="298"/>
      <c r="AX832" s="298"/>
      <c r="AY832" s="298"/>
      <c r="AZ832" s="298"/>
      <c r="BA832" s="298"/>
      <c r="BB832" s="298"/>
      <c r="BC832" s="298"/>
      <c r="BD832" s="298"/>
      <c r="BE832" s="298"/>
      <c r="BF832" s="298"/>
      <c r="BG832" s="298"/>
      <c r="BH832" s="298"/>
      <c r="BI832" s="298"/>
      <c r="BJ832" s="298"/>
      <c r="BK832" s="298"/>
      <c r="BL832" s="298"/>
      <c r="BM832" s="298"/>
      <c r="BN832" s="298"/>
      <c r="BO832" s="298"/>
      <c r="BP832" s="298"/>
    </row>
    <row r="833" spans="1:68" s="298" customFormat="1" ht="25.5">
      <c r="A833" s="256" t="s">
        <v>3261</v>
      </c>
      <c r="B833" s="374">
        <v>37400</v>
      </c>
      <c r="C833" s="289" t="s">
        <v>7483</v>
      </c>
      <c r="D833" s="290" t="s">
        <v>207</v>
      </c>
      <c r="E833" s="290" t="s">
        <v>3240</v>
      </c>
      <c r="F833" s="291">
        <v>1</v>
      </c>
      <c r="G833" s="292" t="s">
        <v>20312</v>
      </c>
      <c r="H833" s="255">
        <v>46.28</v>
      </c>
      <c r="J833" s="634"/>
      <c r="S833" s="536"/>
      <c r="T833" s="638"/>
    </row>
    <row r="834" spans="1:68" s="298" customFormat="1" ht="25.5">
      <c r="A834" s="256" t="s">
        <v>3259</v>
      </c>
      <c r="B834" s="374">
        <v>88267</v>
      </c>
      <c r="C834" s="289" t="s">
        <v>107</v>
      </c>
      <c r="D834" s="290" t="s">
        <v>9714</v>
      </c>
      <c r="E834" s="290" t="s">
        <v>206</v>
      </c>
      <c r="F834" s="254">
        <v>0.31619999999999998</v>
      </c>
      <c r="G834" s="292" t="s">
        <v>10792</v>
      </c>
      <c r="H834" s="255">
        <v>7.4</v>
      </c>
      <c r="J834" s="634"/>
      <c r="K834" s="524"/>
      <c r="L834" s="524"/>
      <c r="M834" s="524"/>
      <c r="N834" s="524"/>
      <c r="O834" s="524"/>
      <c r="S834" s="536"/>
      <c r="T834" s="638"/>
    </row>
    <row r="835" spans="1:68" s="298" customFormat="1" ht="25.5">
      <c r="A835" s="256" t="s">
        <v>3259</v>
      </c>
      <c r="B835" s="374">
        <v>88316</v>
      </c>
      <c r="C835" s="289" t="s">
        <v>104</v>
      </c>
      <c r="D835" s="290" t="s">
        <v>9714</v>
      </c>
      <c r="E835" s="290" t="s">
        <v>206</v>
      </c>
      <c r="F835" s="254">
        <v>9.9599999999999994E-2</v>
      </c>
      <c r="G835" s="292" t="s">
        <v>10172</v>
      </c>
      <c r="H835" s="255">
        <v>1.75</v>
      </c>
      <c r="J835" s="634"/>
      <c r="K835" s="524"/>
      <c r="L835" s="524"/>
      <c r="M835" s="524"/>
      <c r="N835" s="524"/>
      <c r="O835" s="524"/>
      <c r="S835" s="536"/>
      <c r="T835" s="638"/>
    </row>
    <row r="836" spans="1:68" s="298" customFormat="1" ht="12.75">
      <c r="A836" s="256"/>
      <c r="B836" s="288" t="s">
        <v>143</v>
      </c>
      <c r="C836" s="819" t="s">
        <v>15536</v>
      </c>
      <c r="D836" s="820"/>
      <c r="E836" s="820"/>
      <c r="F836" s="820"/>
      <c r="G836" s="820"/>
      <c r="H836" s="821"/>
      <c r="J836" s="634"/>
      <c r="K836" s="524"/>
      <c r="L836" s="524"/>
      <c r="M836" s="524"/>
      <c r="N836" s="524"/>
      <c r="O836" s="524"/>
      <c r="S836" s="536"/>
      <c r="T836" s="635"/>
    </row>
    <row r="837" spans="1:68" s="529" customFormat="1" ht="12.75">
      <c r="A837" s="286"/>
      <c r="B837" s="373"/>
      <c r="C837" s="379"/>
      <c r="D837" s="382"/>
      <c r="E837" s="382"/>
      <c r="F837" s="382"/>
      <c r="G837" s="382"/>
      <c r="H837" s="382"/>
      <c r="I837" s="298"/>
      <c r="J837" s="634"/>
      <c r="K837" s="524"/>
      <c r="L837" s="524"/>
      <c r="M837" s="524"/>
      <c r="N837" s="524"/>
      <c r="O837" s="524"/>
      <c r="P837" s="298"/>
      <c r="Q837" s="298"/>
      <c r="R837" s="298"/>
      <c r="S837" s="536"/>
      <c r="T837" s="635"/>
      <c r="U837" s="298"/>
      <c r="V837" s="298"/>
      <c r="W837" s="298"/>
      <c r="X837" s="298"/>
      <c r="Y837" s="298"/>
      <c r="Z837" s="298"/>
      <c r="AA837" s="298"/>
      <c r="AB837" s="298"/>
      <c r="AC837" s="298"/>
      <c r="AD837" s="298"/>
      <c r="AE837" s="298"/>
      <c r="AF837" s="298"/>
      <c r="AG837" s="298"/>
      <c r="AH837" s="298"/>
      <c r="AI837" s="298"/>
      <c r="AJ837" s="298"/>
      <c r="AK837" s="298"/>
      <c r="AL837" s="298"/>
      <c r="AM837" s="298"/>
      <c r="AN837" s="298"/>
      <c r="AO837" s="298"/>
      <c r="AP837" s="298"/>
      <c r="AQ837" s="298"/>
      <c r="AR837" s="298"/>
      <c r="AS837" s="298"/>
      <c r="AT837" s="298"/>
      <c r="AU837" s="298"/>
      <c r="AV837" s="298"/>
      <c r="AW837" s="298"/>
      <c r="AX837" s="298"/>
      <c r="AY837" s="298"/>
      <c r="AZ837" s="298"/>
      <c r="BA837" s="298"/>
      <c r="BB837" s="298"/>
      <c r="BC837" s="298"/>
      <c r="BD837" s="298"/>
      <c r="BE837" s="298"/>
      <c r="BF837" s="298"/>
      <c r="BG837" s="298"/>
      <c r="BH837" s="298"/>
      <c r="BI837" s="298"/>
      <c r="BJ837" s="298"/>
      <c r="BK837" s="298"/>
      <c r="BL837" s="298"/>
      <c r="BM837" s="298"/>
      <c r="BN837" s="298"/>
      <c r="BO837" s="298"/>
      <c r="BP837" s="298"/>
    </row>
    <row r="838" spans="1:68" s="529" customFormat="1" ht="25.5">
      <c r="A838" s="286"/>
      <c r="B838" s="372" t="s">
        <v>15528</v>
      </c>
      <c r="C838" s="231" t="s">
        <v>17599</v>
      </c>
      <c r="D838" s="232" t="s">
        <v>103</v>
      </c>
      <c r="E838" s="232" t="s">
        <v>3240</v>
      </c>
      <c r="F838" s="233"/>
      <c r="G838" s="234"/>
      <c r="H838" s="235">
        <v>22.66</v>
      </c>
      <c r="I838" s="298"/>
      <c r="J838" s="634"/>
      <c r="K838" s="524"/>
      <c r="L838" s="524"/>
      <c r="M838" s="524"/>
      <c r="N838" s="524"/>
      <c r="O838" s="524"/>
      <c r="P838" s="298"/>
      <c r="Q838" s="298"/>
      <c r="R838" s="298"/>
      <c r="S838" s="536"/>
      <c r="T838" s="635"/>
      <c r="U838" s="298"/>
      <c r="V838" s="298"/>
      <c r="W838" s="298"/>
      <c r="X838" s="298"/>
      <c r="Y838" s="298"/>
      <c r="Z838" s="298"/>
      <c r="AA838" s="298"/>
      <c r="AB838" s="298"/>
      <c r="AC838" s="298"/>
      <c r="AD838" s="298"/>
      <c r="AE838" s="298"/>
      <c r="AF838" s="298"/>
      <c r="AG838" s="298"/>
      <c r="AH838" s="298"/>
      <c r="AI838" s="298"/>
      <c r="AJ838" s="298"/>
      <c r="AK838" s="298"/>
      <c r="AL838" s="298"/>
      <c r="AM838" s="298"/>
      <c r="AN838" s="298"/>
      <c r="AO838" s="298"/>
      <c r="AP838" s="298"/>
      <c r="AQ838" s="298"/>
      <c r="AR838" s="298"/>
      <c r="AS838" s="298"/>
      <c r="AT838" s="298"/>
      <c r="AU838" s="298"/>
      <c r="AV838" s="298"/>
      <c r="AW838" s="298"/>
      <c r="AX838" s="298"/>
      <c r="AY838" s="298"/>
      <c r="AZ838" s="298"/>
      <c r="BA838" s="298"/>
      <c r="BB838" s="298"/>
      <c r="BC838" s="298"/>
      <c r="BD838" s="298"/>
      <c r="BE838" s="298"/>
      <c r="BF838" s="298"/>
      <c r="BG838" s="298"/>
      <c r="BH838" s="298"/>
      <c r="BI838" s="298"/>
      <c r="BJ838" s="298"/>
      <c r="BK838" s="298"/>
      <c r="BL838" s="298"/>
      <c r="BM838" s="298"/>
      <c r="BN838" s="298"/>
      <c r="BO838" s="298"/>
      <c r="BP838" s="298"/>
    </row>
    <row r="839" spans="1:68" s="298" customFormat="1" ht="25.5">
      <c r="A839" s="256" t="s">
        <v>3261</v>
      </c>
      <c r="B839" s="374">
        <v>37399</v>
      </c>
      <c r="C839" s="289" t="s">
        <v>5140</v>
      </c>
      <c r="D839" s="290" t="s">
        <v>207</v>
      </c>
      <c r="E839" s="290" t="s">
        <v>3240</v>
      </c>
      <c r="F839" s="291">
        <v>1</v>
      </c>
      <c r="G839" s="292" t="s">
        <v>11554</v>
      </c>
      <c r="H839" s="255">
        <v>13.51</v>
      </c>
      <c r="J839" s="634"/>
      <c r="S839" s="536"/>
      <c r="T839" s="638"/>
    </row>
    <row r="840" spans="1:68" s="298" customFormat="1" ht="25.5">
      <c r="A840" s="256" t="s">
        <v>3259</v>
      </c>
      <c r="B840" s="374">
        <v>88267</v>
      </c>
      <c r="C840" s="289" t="s">
        <v>107</v>
      </c>
      <c r="D840" s="290" t="s">
        <v>9714</v>
      </c>
      <c r="E840" s="290" t="s">
        <v>206</v>
      </c>
      <c r="F840" s="254">
        <v>0.31619999999999998</v>
      </c>
      <c r="G840" s="292" t="s">
        <v>10792</v>
      </c>
      <c r="H840" s="255">
        <v>7.4</v>
      </c>
      <c r="J840" s="634"/>
      <c r="K840" s="524"/>
      <c r="L840" s="524"/>
      <c r="M840" s="524"/>
      <c r="N840" s="524"/>
      <c r="O840" s="524"/>
      <c r="S840" s="536"/>
      <c r="T840" s="638"/>
    </row>
    <row r="841" spans="1:68" s="298" customFormat="1" ht="25.5">
      <c r="A841" s="256" t="s">
        <v>3259</v>
      </c>
      <c r="B841" s="374">
        <v>88316</v>
      </c>
      <c r="C841" s="289" t="s">
        <v>104</v>
      </c>
      <c r="D841" s="290" t="s">
        <v>9714</v>
      </c>
      <c r="E841" s="290" t="s">
        <v>206</v>
      </c>
      <c r="F841" s="254">
        <v>9.9599999999999994E-2</v>
      </c>
      <c r="G841" s="292" t="s">
        <v>10172</v>
      </c>
      <c r="H841" s="255">
        <v>1.75</v>
      </c>
      <c r="J841" s="634"/>
      <c r="K841" s="524"/>
      <c r="L841" s="524"/>
      <c r="M841" s="524"/>
      <c r="N841" s="524"/>
      <c r="O841" s="524"/>
      <c r="S841" s="536"/>
      <c r="T841" s="638"/>
    </row>
    <row r="842" spans="1:68" s="298" customFormat="1" ht="12.75">
      <c r="A842" s="256"/>
      <c r="B842" s="288" t="s">
        <v>143</v>
      </c>
      <c r="C842" s="819" t="s">
        <v>17600</v>
      </c>
      <c r="D842" s="820"/>
      <c r="E842" s="820"/>
      <c r="F842" s="820"/>
      <c r="G842" s="820"/>
      <c r="H842" s="821"/>
      <c r="J842" s="634"/>
      <c r="K842" s="524"/>
      <c r="L842" s="524"/>
      <c r="M842" s="524"/>
      <c r="N842" s="524"/>
      <c r="O842" s="524"/>
      <c r="S842" s="536"/>
      <c r="T842" s="635"/>
    </row>
    <row r="843" spans="1:68" s="529" customFormat="1" ht="12.75">
      <c r="A843" s="286"/>
      <c r="B843" s="293"/>
      <c r="C843" s="229"/>
      <c r="D843" s="230"/>
      <c r="E843" s="230"/>
      <c r="F843" s="230"/>
      <c r="G843" s="230"/>
      <c r="H843" s="230"/>
      <c r="I843" s="298"/>
      <c r="J843" s="521"/>
      <c r="K843" s="298"/>
      <c r="L843" s="298"/>
      <c r="M843" s="298"/>
      <c r="N843" s="298"/>
      <c r="O843" s="298"/>
      <c r="P843" s="298"/>
      <c r="Q843" s="298"/>
      <c r="R843" s="298"/>
      <c r="S843" s="536"/>
      <c r="T843" s="635"/>
      <c r="U843" s="298"/>
      <c r="V843" s="298"/>
      <c r="W843" s="298"/>
      <c r="X843" s="298"/>
      <c r="Y843" s="298"/>
      <c r="Z843" s="298"/>
      <c r="AA843" s="298"/>
      <c r="AB843" s="298"/>
      <c r="AC843" s="298"/>
      <c r="AD843" s="298"/>
      <c r="AE843" s="298"/>
      <c r="AF843" s="298"/>
      <c r="AG843" s="298"/>
      <c r="AH843" s="298"/>
      <c r="AI843" s="298"/>
      <c r="AJ843" s="298"/>
      <c r="AK843" s="298"/>
      <c r="AL843" s="298"/>
      <c r="AM843" s="298"/>
      <c r="AN843" s="298"/>
      <c r="AO843" s="298"/>
      <c r="AP843" s="298"/>
      <c r="AQ843" s="298"/>
      <c r="AR843" s="298"/>
      <c r="AS843" s="298"/>
      <c r="AT843" s="298"/>
      <c r="AU843" s="298"/>
      <c r="AV843" s="298"/>
      <c r="AW843" s="298"/>
      <c r="AX843" s="298"/>
      <c r="AY843" s="298"/>
      <c r="AZ843" s="298"/>
      <c r="BA843" s="298"/>
      <c r="BB843" s="298"/>
      <c r="BC843" s="298"/>
      <c r="BD843" s="298"/>
      <c r="BE843" s="298"/>
      <c r="BF843" s="298"/>
      <c r="BG843" s="298"/>
      <c r="BH843" s="298"/>
      <c r="BI843" s="298"/>
      <c r="BJ843" s="298"/>
      <c r="BK843" s="298"/>
      <c r="BL843" s="298"/>
      <c r="BM843" s="298"/>
      <c r="BN843" s="298"/>
      <c r="BO843" s="298"/>
      <c r="BP843" s="298"/>
    </row>
    <row r="844" spans="1:68" s="645" customFormat="1" ht="25.5">
      <c r="A844" s="376"/>
      <c r="B844" s="372" t="s">
        <v>15531</v>
      </c>
      <c r="C844" s="231" t="s">
        <v>17609</v>
      </c>
      <c r="D844" s="232" t="s">
        <v>103</v>
      </c>
      <c r="E844" s="232" t="s">
        <v>3240</v>
      </c>
      <c r="F844" s="233"/>
      <c r="G844" s="234"/>
      <c r="H844" s="235">
        <v>66.509999999999991</v>
      </c>
      <c r="I844" s="298"/>
      <c r="J844" s="521"/>
      <c r="K844" s="298"/>
      <c r="L844" s="298"/>
      <c r="M844" s="298"/>
      <c r="N844" s="298"/>
      <c r="O844" s="298"/>
      <c r="P844" s="298"/>
      <c r="Q844" s="298"/>
      <c r="R844" s="298"/>
      <c r="S844" s="536"/>
      <c r="T844" s="635"/>
      <c r="U844" s="298"/>
      <c r="V844" s="298"/>
      <c r="W844" s="298"/>
      <c r="X844" s="298"/>
      <c r="Y844" s="298"/>
      <c r="Z844" s="298"/>
      <c r="AA844" s="298"/>
      <c r="AB844" s="298"/>
      <c r="AC844" s="298"/>
      <c r="AD844" s="298"/>
      <c r="AE844" s="298"/>
      <c r="AF844" s="298"/>
      <c r="AG844" s="298"/>
      <c r="AH844" s="298"/>
      <c r="AI844" s="298"/>
      <c r="AJ844" s="298"/>
      <c r="AK844" s="298"/>
      <c r="AL844" s="298"/>
      <c r="AM844" s="298"/>
      <c r="AN844" s="298"/>
      <c r="AO844" s="298"/>
      <c r="AP844" s="298"/>
      <c r="AQ844" s="298"/>
      <c r="AR844" s="298"/>
      <c r="AS844" s="298"/>
      <c r="AT844" s="298"/>
      <c r="AU844" s="298"/>
      <c r="AV844" s="298"/>
      <c r="AW844" s="298"/>
      <c r="AX844" s="298"/>
      <c r="AY844" s="298"/>
      <c r="AZ844" s="298"/>
      <c r="BA844" s="298"/>
      <c r="BB844" s="298"/>
      <c r="BC844" s="298"/>
      <c r="BD844" s="298"/>
      <c r="BE844" s="298"/>
      <c r="BF844" s="298"/>
      <c r="BG844" s="298"/>
      <c r="BH844" s="298"/>
      <c r="BI844" s="298"/>
      <c r="BJ844" s="298"/>
      <c r="BK844" s="298"/>
      <c r="BL844" s="298"/>
      <c r="BM844" s="298"/>
      <c r="BN844" s="298"/>
      <c r="BO844" s="298"/>
      <c r="BP844" s="298"/>
    </row>
    <row r="845" spans="1:68" s="298" customFormat="1" ht="12.75">
      <c r="A845" s="256" t="s">
        <v>12</v>
      </c>
      <c r="B845" s="374" t="s">
        <v>17601</v>
      </c>
      <c r="C845" s="289" t="s">
        <v>17602</v>
      </c>
      <c r="D845" s="290" t="s">
        <v>207</v>
      </c>
      <c r="E845" s="290" t="s">
        <v>109</v>
      </c>
      <c r="F845" s="254">
        <v>1</v>
      </c>
      <c r="G845" s="292">
        <v>41.12</v>
      </c>
      <c r="H845" s="255">
        <v>41.12</v>
      </c>
      <c r="J845" s="521"/>
      <c r="S845" s="536"/>
      <c r="T845" s="638"/>
    </row>
    <row r="846" spans="1:68" s="298" customFormat="1" ht="25.5">
      <c r="A846" s="256" t="s">
        <v>3259</v>
      </c>
      <c r="B846" s="374">
        <v>88309</v>
      </c>
      <c r="C846" s="289" t="s">
        <v>105</v>
      </c>
      <c r="D846" s="290" t="s">
        <v>9714</v>
      </c>
      <c r="E846" s="290" t="s">
        <v>206</v>
      </c>
      <c r="F846" s="254">
        <v>0.6</v>
      </c>
      <c r="G846" s="292" t="s">
        <v>11439</v>
      </c>
      <c r="H846" s="255">
        <v>14.34</v>
      </c>
      <c r="J846" s="521"/>
      <c r="K846" s="501"/>
      <c r="S846" s="536"/>
      <c r="T846" s="638"/>
    </row>
    <row r="847" spans="1:68" s="298" customFormat="1" ht="25.5">
      <c r="A847" s="256" t="s">
        <v>3259</v>
      </c>
      <c r="B847" s="374">
        <v>88316</v>
      </c>
      <c r="C847" s="289" t="s">
        <v>104</v>
      </c>
      <c r="D847" s="290" t="s">
        <v>9714</v>
      </c>
      <c r="E847" s="290" t="s">
        <v>206</v>
      </c>
      <c r="F847" s="254">
        <v>0.6</v>
      </c>
      <c r="G847" s="292" t="s">
        <v>10172</v>
      </c>
      <c r="H847" s="255">
        <v>10.56</v>
      </c>
      <c r="J847" s="521"/>
      <c r="S847" s="536"/>
      <c r="T847" s="638"/>
    </row>
    <row r="848" spans="1:68" s="298" customFormat="1" ht="38.25">
      <c r="A848" s="256" t="s">
        <v>3259</v>
      </c>
      <c r="B848" s="374">
        <v>88629</v>
      </c>
      <c r="C848" s="289" t="s">
        <v>9416</v>
      </c>
      <c r="D848" s="290" t="s">
        <v>229</v>
      </c>
      <c r="E848" s="290" t="s">
        <v>209</v>
      </c>
      <c r="F848" s="254">
        <v>1E-3</v>
      </c>
      <c r="G848" s="292" t="s">
        <v>24289</v>
      </c>
      <c r="H848" s="255">
        <v>0.49</v>
      </c>
      <c r="J848" s="521"/>
      <c r="S848" s="536"/>
      <c r="T848" s="638"/>
    </row>
    <row r="849" spans="1:68" s="298" customFormat="1" ht="12.75">
      <c r="A849" s="256"/>
      <c r="B849" s="288" t="s">
        <v>143</v>
      </c>
      <c r="C849" s="603" t="s">
        <v>17608</v>
      </c>
      <c r="D849" s="386"/>
      <c r="E849" s="386"/>
      <c r="F849" s="386"/>
      <c r="G849" s="386"/>
      <c r="H849" s="387"/>
      <c r="J849" s="521"/>
      <c r="S849" s="536"/>
      <c r="T849" s="635"/>
    </row>
    <row r="850" spans="1:68" s="529" customFormat="1" ht="12.75">
      <c r="A850" s="286"/>
      <c r="B850" s="373"/>
      <c r="C850" s="379"/>
      <c r="D850" s="382"/>
      <c r="E850" s="382"/>
      <c r="F850" s="382"/>
      <c r="G850" s="382"/>
      <c r="H850" s="382"/>
      <c r="I850" s="298"/>
      <c r="J850" s="634"/>
      <c r="K850" s="524"/>
      <c r="L850" s="524"/>
      <c r="M850" s="524"/>
      <c r="N850" s="524"/>
      <c r="O850" s="524"/>
      <c r="P850" s="298"/>
      <c r="Q850" s="298"/>
      <c r="R850" s="298"/>
      <c r="S850" s="536"/>
      <c r="T850" s="635"/>
      <c r="U850" s="298"/>
      <c r="V850" s="298"/>
      <c r="W850" s="298"/>
      <c r="X850" s="298"/>
      <c r="Y850" s="298"/>
      <c r="Z850" s="298"/>
      <c r="AA850" s="298"/>
      <c r="AB850" s="298"/>
      <c r="AC850" s="298"/>
      <c r="AD850" s="298"/>
      <c r="AE850" s="298"/>
      <c r="AF850" s="298"/>
      <c r="AG850" s="298"/>
      <c r="AH850" s="298"/>
      <c r="AI850" s="298"/>
      <c r="AJ850" s="298"/>
      <c r="AK850" s="298"/>
      <c r="AL850" s="298"/>
      <c r="AM850" s="298"/>
      <c r="AN850" s="298"/>
      <c r="AO850" s="298"/>
      <c r="AP850" s="298"/>
      <c r="AQ850" s="298"/>
      <c r="AR850" s="298"/>
      <c r="AS850" s="298"/>
      <c r="AT850" s="298"/>
      <c r="AU850" s="298"/>
      <c r="AV850" s="298"/>
      <c r="AW850" s="298"/>
      <c r="AX850" s="298"/>
      <c r="AY850" s="298"/>
      <c r="AZ850" s="298"/>
      <c r="BA850" s="298"/>
      <c r="BB850" s="298"/>
      <c r="BC850" s="298"/>
      <c r="BD850" s="298"/>
      <c r="BE850" s="298"/>
      <c r="BF850" s="298"/>
      <c r="BG850" s="298"/>
      <c r="BH850" s="298"/>
      <c r="BI850" s="298"/>
      <c r="BJ850" s="298"/>
      <c r="BK850" s="298"/>
      <c r="BL850" s="298"/>
      <c r="BM850" s="298"/>
      <c r="BN850" s="298"/>
      <c r="BO850" s="298"/>
      <c r="BP850" s="298"/>
    </row>
    <row r="851" spans="1:68" s="529" customFormat="1" ht="38.25">
      <c r="A851" s="286"/>
      <c r="B851" s="372" t="s">
        <v>15534</v>
      </c>
      <c r="C851" s="231" t="s">
        <v>17610</v>
      </c>
      <c r="D851" s="232" t="s">
        <v>103</v>
      </c>
      <c r="E851" s="232" t="s">
        <v>3240</v>
      </c>
      <c r="F851" s="233"/>
      <c r="G851" s="234"/>
      <c r="H851" s="235">
        <v>2076.5100000000002</v>
      </c>
      <c r="I851" s="298"/>
      <c r="J851" s="634"/>
      <c r="K851" s="524"/>
      <c r="L851" s="524"/>
      <c r="M851" s="524"/>
      <c r="N851" s="524"/>
      <c r="O851" s="524"/>
      <c r="P851" s="298"/>
      <c r="Q851" s="298"/>
      <c r="R851" s="298"/>
      <c r="S851" s="536"/>
      <c r="T851" s="635"/>
      <c r="U851" s="298"/>
      <c r="V851" s="298"/>
      <c r="W851" s="298"/>
      <c r="X851" s="298"/>
      <c r="Y851" s="298"/>
      <c r="Z851" s="298"/>
      <c r="AA851" s="298"/>
      <c r="AB851" s="298"/>
      <c r="AC851" s="298"/>
      <c r="AD851" s="298"/>
      <c r="AE851" s="298"/>
      <c r="AF851" s="298"/>
      <c r="AG851" s="298"/>
      <c r="AH851" s="298"/>
      <c r="AI851" s="298"/>
      <c r="AJ851" s="298"/>
      <c r="AK851" s="298"/>
      <c r="AL851" s="298"/>
      <c r="AM851" s="298"/>
      <c r="AN851" s="298"/>
      <c r="AO851" s="298"/>
      <c r="AP851" s="298"/>
      <c r="AQ851" s="298"/>
      <c r="AR851" s="298"/>
      <c r="AS851" s="298"/>
      <c r="AT851" s="298"/>
      <c r="AU851" s="298"/>
      <c r="AV851" s="298"/>
      <c r="AW851" s="298"/>
      <c r="AX851" s="298"/>
      <c r="AY851" s="298"/>
      <c r="AZ851" s="298"/>
      <c r="BA851" s="298"/>
      <c r="BB851" s="298"/>
      <c r="BC851" s="298"/>
      <c r="BD851" s="298"/>
      <c r="BE851" s="298"/>
      <c r="BF851" s="298"/>
      <c r="BG851" s="298"/>
      <c r="BH851" s="298"/>
      <c r="BI851" s="298"/>
      <c r="BJ851" s="298"/>
      <c r="BK851" s="298"/>
      <c r="BL851" s="298"/>
      <c r="BM851" s="298"/>
      <c r="BN851" s="298"/>
      <c r="BO851" s="298"/>
      <c r="BP851" s="298"/>
    </row>
    <row r="852" spans="1:68" s="298" customFormat="1" ht="25.5">
      <c r="A852" s="256" t="s">
        <v>12</v>
      </c>
      <c r="B852" s="374" t="s">
        <v>17611</v>
      </c>
      <c r="C852" s="289" t="s">
        <v>17612</v>
      </c>
      <c r="D852" s="290" t="s">
        <v>207</v>
      </c>
      <c r="E852" s="290" t="s">
        <v>109</v>
      </c>
      <c r="F852" s="291">
        <v>1</v>
      </c>
      <c r="G852" s="292">
        <v>2058.21</v>
      </c>
      <c r="H852" s="255">
        <v>2058.21</v>
      </c>
      <c r="J852" s="634"/>
      <c r="S852" s="536"/>
      <c r="T852" s="638"/>
    </row>
    <row r="853" spans="1:68" s="298" customFormat="1" ht="25.5">
      <c r="A853" s="256" t="s">
        <v>3259</v>
      </c>
      <c r="B853" s="374">
        <v>88267</v>
      </c>
      <c r="C853" s="289" t="s">
        <v>107</v>
      </c>
      <c r="D853" s="290" t="s">
        <v>9714</v>
      </c>
      <c r="E853" s="290" t="s">
        <v>206</v>
      </c>
      <c r="F853" s="254">
        <v>0.63229999999999997</v>
      </c>
      <c r="G853" s="292" t="s">
        <v>10792</v>
      </c>
      <c r="H853" s="255">
        <v>14.8</v>
      </c>
      <c r="J853" s="634"/>
      <c r="K853" s="524"/>
      <c r="L853" s="524"/>
      <c r="M853" s="524"/>
      <c r="N853" s="524"/>
      <c r="O853" s="524"/>
      <c r="S853" s="536"/>
      <c r="T853" s="638"/>
    </row>
    <row r="854" spans="1:68" s="298" customFormat="1" ht="25.5">
      <c r="A854" s="256" t="s">
        <v>3259</v>
      </c>
      <c r="B854" s="374">
        <v>88316</v>
      </c>
      <c r="C854" s="289" t="s">
        <v>104</v>
      </c>
      <c r="D854" s="290" t="s">
        <v>9714</v>
      </c>
      <c r="E854" s="290" t="s">
        <v>206</v>
      </c>
      <c r="F854" s="254">
        <v>0.19919999999999999</v>
      </c>
      <c r="G854" s="292" t="s">
        <v>10172</v>
      </c>
      <c r="H854" s="255">
        <v>3.5</v>
      </c>
      <c r="J854" s="634"/>
      <c r="K854" s="524"/>
      <c r="L854" s="524"/>
      <c r="M854" s="524"/>
      <c r="N854" s="524"/>
      <c r="O854" s="524"/>
      <c r="S854" s="536"/>
      <c r="T854" s="638"/>
    </row>
    <row r="855" spans="1:68" s="298" customFormat="1" ht="12.75">
      <c r="A855" s="256"/>
      <c r="B855" s="288" t="s">
        <v>143</v>
      </c>
      <c r="C855" s="819" t="s">
        <v>17622</v>
      </c>
      <c r="D855" s="820"/>
      <c r="E855" s="820"/>
      <c r="F855" s="820"/>
      <c r="G855" s="820"/>
      <c r="H855" s="821"/>
      <c r="J855" s="634"/>
      <c r="K855" s="524"/>
      <c r="L855" s="524"/>
      <c r="M855" s="524"/>
      <c r="N855" s="524"/>
      <c r="O855" s="524"/>
      <c r="S855" s="536"/>
      <c r="T855" s="635"/>
    </row>
    <row r="856" spans="1:68" s="529" customFormat="1" ht="12.75">
      <c r="A856" s="286"/>
      <c r="B856" s="373"/>
      <c r="C856" s="379"/>
      <c r="D856" s="382"/>
      <c r="E856" s="382"/>
      <c r="F856" s="382"/>
      <c r="G856" s="382"/>
      <c r="H856" s="382"/>
      <c r="I856" s="298"/>
      <c r="J856" s="634"/>
      <c r="K856" s="524"/>
      <c r="L856" s="524"/>
      <c r="M856" s="524"/>
      <c r="N856" s="524"/>
      <c r="O856" s="524"/>
      <c r="P856" s="298"/>
      <c r="Q856" s="298"/>
      <c r="R856" s="298"/>
      <c r="S856" s="536"/>
      <c r="T856" s="635"/>
      <c r="U856" s="298"/>
      <c r="V856" s="298"/>
      <c r="W856" s="298"/>
      <c r="X856" s="298"/>
      <c r="Y856" s="298"/>
      <c r="Z856" s="298"/>
      <c r="AA856" s="298"/>
      <c r="AB856" s="298"/>
      <c r="AC856" s="298"/>
      <c r="AD856" s="298"/>
      <c r="AE856" s="298"/>
      <c r="AF856" s="298"/>
      <c r="AG856" s="298"/>
      <c r="AH856" s="298"/>
      <c r="AI856" s="298"/>
      <c r="AJ856" s="298"/>
      <c r="AK856" s="298"/>
      <c r="AL856" s="298"/>
      <c r="AM856" s="298"/>
      <c r="AN856" s="298"/>
      <c r="AO856" s="298"/>
      <c r="AP856" s="298"/>
      <c r="AQ856" s="298"/>
      <c r="AR856" s="298"/>
      <c r="AS856" s="298"/>
      <c r="AT856" s="298"/>
      <c r="AU856" s="298"/>
      <c r="AV856" s="298"/>
      <c r="AW856" s="298"/>
      <c r="AX856" s="298"/>
      <c r="AY856" s="298"/>
      <c r="AZ856" s="298"/>
      <c r="BA856" s="298"/>
      <c r="BB856" s="298"/>
      <c r="BC856" s="298"/>
      <c r="BD856" s="298"/>
      <c r="BE856" s="298"/>
      <c r="BF856" s="298"/>
      <c r="BG856" s="298"/>
      <c r="BH856" s="298"/>
      <c r="BI856" s="298"/>
      <c r="BJ856" s="298"/>
      <c r="BK856" s="298"/>
      <c r="BL856" s="298"/>
      <c r="BM856" s="298"/>
      <c r="BN856" s="298"/>
      <c r="BO856" s="298"/>
      <c r="BP856" s="298"/>
    </row>
    <row r="857" spans="1:68" s="529" customFormat="1" ht="38.25">
      <c r="A857" s="286"/>
      <c r="B857" s="372" t="s">
        <v>15537</v>
      </c>
      <c r="C857" s="231" t="s">
        <v>17624</v>
      </c>
      <c r="D857" s="232" t="s">
        <v>103</v>
      </c>
      <c r="E857" s="232" t="s">
        <v>3240</v>
      </c>
      <c r="F857" s="233"/>
      <c r="G857" s="234"/>
      <c r="H857" s="235">
        <v>393.7</v>
      </c>
      <c r="I857" s="298"/>
      <c r="J857" s="634"/>
      <c r="K857" s="524"/>
      <c r="L857" s="524"/>
      <c r="M857" s="524"/>
      <c r="N857" s="524"/>
      <c r="O857" s="524"/>
      <c r="P857" s="298"/>
      <c r="Q857" s="298"/>
      <c r="R857" s="298"/>
      <c r="S857" s="536"/>
      <c r="T857" s="635"/>
      <c r="U857" s="298"/>
      <c r="V857" s="298"/>
      <c r="W857" s="298"/>
      <c r="X857" s="298"/>
      <c r="Y857" s="298"/>
      <c r="Z857" s="298"/>
      <c r="AA857" s="298"/>
      <c r="AB857" s="298"/>
      <c r="AC857" s="298"/>
      <c r="AD857" s="298"/>
      <c r="AE857" s="298"/>
      <c r="AF857" s="298"/>
      <c r="AG857" s="298"/>
      <c r="AH857" s="298"/>
      <c r="AI857" s="298"/>
      <c r="AJ857" s="298"/>
      <c r="AK857" s="298"/>
      <c r="AL857" s="298"/>
      <c r="AM857" s="298"/>
      <c r="AN857" s="298"/>
      <c r="AO857" s="298"/>
      <c r="AP857" s="298"/>
      <c r="AQ857" s="298"/>
      <c r="AR857" s="298"/>
      <c r="AS857" s="298"/>
      <c r="AT857" s="298"/>
      <c r="AU857" s="298"/>
      <c r="AV857" s="298"/>
      <c r="AW857" s="298"/>
      <c r="AX857" s="298"/>
      <c r="AY857" s="298"/>
      <c r="AZ857" s="298"/>
      <c r="BA857" s="298"/>
      <c r="BB857" s="298"/>
      <c r="BC857" s="298"/>
      <c r="BD857" s="298"/>
      <c r="BE857" s="298"/>
      <c r="BF857" s="298"/>
      <c r="BG857" s="298"/>
      <c r="BH857" s="298"/>
      <c r="BI857" s="298"/>
      <c r="BJ857" s="298"/>
      <c r="BK857" s="298"/>
      <c r="BL857" s="298"/>
      <c r="BM857" s="298"/>
      <c r="BN857" s="298"/>
      <c r="BO857" s="298"/>
      <c r="BP857" s="298"/>
    </row>
    <row r="858" spans="1:68" s="298" customFormat="1" ht="25.5">
      <c r="A858" s="256" t="s">
        <v>12</v>
      </c>
      <c r="B858" s="374" t="s">
        <v>17626</v>
      </c>
      <c r="C858" s="289" t="s">
        <v>17623</v>
      </c>
      <c r="D858" s="290" t="s">
        <v>207</v>
      </c>
      <c r="E858" s="290" t="s">
        <v>109</v>
      </c>
      <c r="F858" s="291">
        <v>1</v>
      </c>
      <c r="G858" s="292">
        <v>365</v>
      </c>
      <c r="H858" s="255">
        <v>365</v>
      </c>
      <c r="J858" s="634"/>
      <c r="S858" s="536"/>
      <c r="T858" s="638"/>
    </row>
    <row r="859" spans="1:68" s="298" customFormat="1" ht="25.5">
      <c r="A859" s="256" t="s">
        <v>3259</v>
      </c>
      <c r="B859" s="374">
        <v>88267</v>
      </c>
      <c r="C859" s="289" t="s">
        <v>107</v>
      </c>
      <c r="D859" s="290" t="s">
        <v>9714</v>
      </c>
      <c r="E859" s="290" t="s">
        <v>206</v>
      </c>
      <c r="F859" s="254">
        <v>0.7</v>
      </c>
      <c r="G859" s="292" t="s">
        <v>10792</v>
      </c>
      <c r="H859" s="255">
        <v>16.38</v>
      </c>
      <c r="J859" s="634"/>
      <c r="K859" s="524"/>
      <c r="L859" s="524"/>
      <c r="M859" s="524"/>
      <c r="N859" s="524"/>
      <c r="O859" s="524"/>
      <c r="S859" s="536"/>
      <c r="T859" s="638"/>
    </row>
    <row r="860" spans="1:68" s="298" customFormat="1" ht="25.5">
      <c r="A860" s="256" t="s">
        <v>3259</v>
      </c>
      <c r="B860" s="374">
        <v>88316</v>
      </c>
      <c r="C860" s="289" t="s">
        <v>104</v>
      </c>
      <c r="D860" s="290" t="s">
        <v>9714</v>
      </c>
      <c r="E860" s="290" t="s">
        <v>206</v>
      </c>
      <c r="F860" s="254">
        <v>0.7</v>
      </c>
      <c r="G860" s="292" t="s">
        <v>10172</v>
      </c>
      <c r="H860" s="255">
        <v>12.32</v>
      </c>
      <c r="J860" s="634"/>
      <c r="K860" s="524"/>
      <c r="L860" s="524"/>
      <c r="M860" s="524"/>
      <c r="N860" s="524"/>
      <c r="O860" s="524"/>
      <c r="S860" s="536"/>
      <c r="T860" s="638"/>
    </row>
    <row r="861" spans="1:68" s="298" customFormat="1" ht="12.75">
      <c r="A861" s="256"/>
      <c r="B861" s="288" t="s">
        <v>143</v>
      </c>
      <c r="C861" s="819" t="s">
        <v>17625</v>
      </c>
      <c r="D861" s="820"/>
      <c r="E861" s="820"/>
      <c r="F861" s="820"/>
      <c r="G861" s="820"/>
      <c r="H861" s="821"/>
      <c r="J861" s="634"/>
      <c r="K861" s="524"/>
      <c r="L861" s="524"/>
      <c r="M861" s="524"/>
      <c r="N861" s="524"/>
      <c r="O861" s="524"/>
      <c r="S861" s="536"/>
      <c r="T861" s="635"/>
    </row>
    <row r="862" spans="1:68" s="529" customFormat="1" ht="12.75">
      <c r="A862" s="286"/>
      <c r="B862" s="373"/>
      <c r="C862" s="379"/>
      <c r="D862" s="382"/>
      <c r="E862" s="382"/>
      <c r="F862" s="382"/>
      <c r="G862" s="382"/>
      <c r="H862" s="382"/>
      <c r="I862" s="298"/>
      <c r="J862" s="634"/>
      <c r="K862" s="524"/>
      <c r="L862" s="524"/>
      <c r="M862" s="524"/>
      <c r="N862" s="524"/>
      <c r="O862" s="524"/>
      <c r="P862" s="298"/>
      <c r="Q862" s="298"/>
      <c r="R862" s="298"/>
      <c r="S862" s="536"/>
      <c r="T862" s="635"/>
      <c r="U862" s="298"/>
      <c r="V862" s="298"/>
      <c r="W862" s="298"/>
      <c r="X862" s="298"/>
      <c r="Y862" s="298"/>
      <c r="Z862" s="298"/>
      <c r="AA862" s="298"/>
      <c r="AB862" s="298"/>
      <c r="AC862" s="298"/>
      <c r="AD862" s="298"/>
      <c r="AE862" s="298"/>
      <c r="AF862" s="298"/>
      <c r="AG862" s="298"/>
      <c r="AH862" s="298"/>
      <c r="AI862" s="298"/>
      <c r="AJ862" s="298"/>
      <c r="AK862" s="298"/>
      <c r="AL862" s="298"/>
      <c r="AM862" s="298"/>
      <c r="AN862" s="298"/>
      <c r="AO862" s="298"/>
      <c r="AP862" s="298"/>
      <c r="AQ862" s="298"/>
      <c r="AR862" s="298"/>
      <c r="AS862" s="298"/>
      <c r="AT862" s="298"/>
      <c r="AU862" s="298"/>
      <c r="AV862" s="298"/>
      <c r="AW862" s="298"/>
      <c r="AX862" s="298"/>
      <c r="AY862" s="298"/>
      <c r="AZ862" s="298"/>
      <c r="BA862" s="298"/>
      <c r="BB862" s="298"/>
      <c r="BC862" s="298"/>
      <c r="BD862" s="298"/>
      <c r="BE862" s="298"/>
      <c r="BF862" s="298"/>
      <c r="BG862" s="298"/>
      <c r="BH862" s="298"/>
      <c r="BI862" s="298"/>
      <c r="BJ862" s="298"/>
      <c r="BK862" s="298"/>
      <c r="BL862" s="298"/>
      <c r="BM862" s="298"/>
      <c r="BN862" s="298"/>
      <c r="BO862" s="298"/>
      <c r="BP862" s="298"/>
    </row>
    <row r="863" spans="1:68" s="529" customFormat="1" ht="38.25">
      <c r="A863" s="286"/>
      <c r="B863" s="372" t="s">
        <v>15539</v>
      </c>
      <c r="C863" s="231" t="s">
        <v>15529</v>
      </c>
      <c r="D863" s="232" t="s">
        <v>103</v>
      </c>
      <c r="E863" s="232" t="s">
        <v>3240</v>
      </c>
      <c r="F863" s="233"/>
      <c r="G863" s="234"/>
      <c r="H863" s="235">
        <v>630.12</v>
      </c>
      <c r="I863" s="298"/>
      <c r="J863" s="634"/>
      <c r="K863" s="524"/>
      <c r="L863" s="524"/>
      <c r="M863" s="524"/>
      <c r="N863" s="524"/>
      <c r="O863" s="524"/>
      <c r="P863" s="298"/>
      <c r="Q863" s="298"/>
      <c r="R863" s="298"/>
      <c r="S863" s="536"/>
      <c r="T863" s="635"/>
      <c r="U863" s="298"/>
      <c r="V863" s="298"/>
      <c r="W863" s="298"/>
      <c r="X863" s="298"/>
      <c r="Y863" s="298"/>
      <c r="Z863" s="298"/>
      <c r="AA863" s="298"/>
      <c r="AB863" s="298"/>
      <c r="AC863" s="298"/>
      <c r="AD863" s="298"/>
      <c r="AE863" s="298"/>
      <c r="AF863" s="298"/>
      <c r="AG863" s="298"/>
      <c r="AH863" s="298"/>
      <c r="AI863" s="298"/>
      <c r="AJ863" s="298"/>
      <c r="AK863" s="298"/>
      <c r="AL863" s="298"/>
      <c r="AM863" s="298"/>
      <c r="AN863" s="298"/>
      <c r="AO863" s="298"/>
      <c r="AP863" s="298"/>
      <c r="AQ863" s="298"/>
      <c r="AR863" s="298"/>
      <c r="AS863" s="298"/>
      <c r="AT863" s="298"/>
      <c r="AU863" s="298"/>
      <c r="AV863" s="298"/>
      <c r="AW863" s="298"/>
      <c r="AX863" s="298"/>
      <c r="AY863" s="298"/>
      <c r="AZ863" s="298"/>
      <c r="BA863" s="298"/>
      <c r="BB863" s="298"/>
      <c r="BC863" s="298"/>
      <c r="BD863" s="298"/>
      <c r="BE863" s="298"/>
      <c r="BF863" s="298"/>
      <c r="BG863" s="298"/>
      <c r="BH863" s="298"/>
      <c r="BI863" s="298"/>
      <c r="BJ863" s="298"/>
      <c r="BK863" s="298"/>
      <c r="BL863" s="298"/>
      <c r="BM863" s="298"/>
      <c r="BN863" s="298"/>
      <c r="BO863" s="298"/>
      <c r="BP863" s="298"/>
    </row>
    <row r="864" spans="1:68" s="298" customFormat="1" ht="51">
      <c r="A864" s="256" t="s">
        <v>3261</v>
      </c>
      <c r="B864" s="374">
        <v>4351</v>
      </c>
      <c r="C864" s="289" t="s">
        <v>7528</v>
      </c>
      <c r="D864" s="290" t="s">
        <v>207</v>
      </c>
      <c r="E864" s="290" t="s">
        <v>3240</v>
      </c>
      <c r="F864" s="291">
        <v>6</v>
      </c>
      <c r="G864" s="292" t="s">
        <v>16691</v>
      </c>
      <c r="H864" s="255">
        <v>55.44</v>
      </c>
      <c r="J864" s="634"/>
      <c r="S864" s="536"/>
      <c r="T864" s="638"/>
    </row>
    <row r="865" spans="1:68" s="298" customFormat="1" ht="25.5">
      <c r="A865" s="256" t="s">
        <v>12</v>
      </c>
      <c r="B865" s="374" t="s">
        <v>17640</v>
      </c>
      <c r="C865" s="289" t="s">
        <v>15312</v>
      </c>
      <c r="D865" s="290" t="s">
        <v>207</v>
      </c>
      <c r="E865" s="290" t="s">
        <v>109</v>
      </c>
      <c r="F865" s="254">
        <v>1</v>
      </c>
      <c r="G865" s="292">
        <v>524.07000000000005</v>
      </c>
      <c r="H865" s="255">
        <v>524.07000000000005</v>
      </c>
      <c r="J865" s="634"/>
      <c r="K865" s="524"/>
      <c r="L865" s="524"/>
      <c r="M865" s="524"/>
      <c r="N865" s="524"/>
      <c r="O865" s="524"/>
      <c r="S865" s="536"/>
      <c r="T865" s="638"/>
    </row>
    <row r="866" spans="1:68" s="298" customFormat="1" ht="12.75">
      <c r="A866" s="256" t="s">
        <v>3261</v>
      </c>
      <c r="B866" s="374">
        <v>37329</v>
      </c>
      <c r="C866" s="289" t="s">
        <v>11964</v>
      </c>
      <c r="D866" s="290" t="s">
        <v>207</v>
      </c>
      <c r="E866" s="290" t="s">
        <v>3244</v>
      </c>
      <c r="F866" s="291">
        <v>8.6599999999999996E-2</v>
      </c>
      <c r="G866" s="292" t="s">
        <v>12414</v>
      </c>
      <c r="H866" s="255">
        <v>4.8099999999999996</v>
      </c>
      <c r="J866" s="634"/>
      <c r="S866" s="536"/>
      <c r="T866" s="638"/>
    </row>
    <row r="867" spans="1:68" s="298" customFormat="1" ht="25.5">
      <c r="A867" s="256" t="s">
        <v>3259</v>
      </c>
      <c r="B867" s="374">
        <v>88267</v>
      </c>
      <c r="C867" s="289" t="s">
        <v>107</v>
      </c>
      <c r="D867" s="290" t="s">
        <v>9714</v>
      </c>
      <c r="E867" s="290" t="s">
        <v>206</v>
      </c>
      <c r="F867" s="254">
        <v>1.4666999999999999</v>
      </c>
      <c r="G867" s="292" t="s">
        <v>10792</v>
      </c>
      <c r="H867" s="255">
        <v>34.33</v>
      </c>
      <c r="J867" s="634"/>
      <c r="K867" s="524"/>
      <c r="L867" s="524"/>
      <c r="M867" s="524"/>
      <c r="N867" s="524"/>
      <c r="O867" s="524"/>
      <c r="S867" s="536"/>
      <c r="T867" s="638"/>
    </row>
    <row r="868" spans="1:68" s="298" customFormat="1" ht="25.5">
      <c r="A868" s="256" t="s">
        <v>3259</v>
      </c>
      <c r="B868" s="374">
        <v>88316</v>
      </c>
      <c r="C868" s="289" t="s">
        <v>104</v>
      </c>
      <c r="D868" s="290" t="s">
        <v>9714</v>
      </c>
      <c r="E868" s="290" t="s">
        <v>206</v>
      </c>
      <c r="F868" s="254">
        <v>0.65169999999999995</v>
      </c>
      <c r="G868" s="292" t="s">
        <v>10172</v>
      </c>
      <c r="H868" s="255">
        <v>11.47</v>
      </c>
      <c r="J868" s="634"/>
      <c r="K868" s="524"/>
      <c r="L868" s="524"/>
      <c r="M868" s="524"/>
      <c r="N868" s="524"/>
      <c r="O868" s="524"/>
      <c r="S868" s="536"/>
      <c r="T868" s="638"/>
    </row>
    <row r="869" spans="1:68" s="298" customFormat="1" ht="12.75">
      <c r="A869" s="256"/>
      <c r="B869" s="288" t="s">
        <v>143</v>
      </c>
      <c r="C869" s="819" t="s">
        <v>15530</v>
      </c>
      <c r="D869" s="820"/>
      <c r="E869" s="820"/>
      <c r="F869" s="820"/>
      <c r="G869" s="820"/>
      <c r="H869" s="821"/>
      <c r="J869" s="634"/>
      <c r="K869" s="524"/>
      <c r="L869" s="524"/>
      <c r="M869" s="524"/>
      <c r="N869" s="524"/>
      <c r="O869" s="524"/>
      <c r="S869" s="536"/>
      <c r="T869" s="635"/>
    </row>
    <row r="870" spans="1:68" s="529" customFormat="1" ht="12.75">
      <c r="A870" s="286"/>
      <c r="B870" s="373"/>
      <c r="C870" s="379"/>
      <c r="D870" s="382"/>
      <c r="E870" s="382"/>
      <c r="F870" s="382"/>
      <c r="G870" s="382"/>
      <c r="H870" s="382"/>
      <c r="I870" s="298"/>
      <c r="J870" s="634"/>
      <c r="K870" s="524"/>
      <c r="L870" s="524"/>
      <c r="M870" s="524"/>
      <c r="N870" s="524"/>
      <c r="O870" s="524"/>
      <c r="P870" s="298"/>
      <c r="Q870" s="298"/>
      <c r="R870" s="298"/>
      <c r="S870" s="536"/>
      <c r="T870" s="635"/>
      <c r="U870" s="298"/>
      <c r="V870" s="298"/>
      <c r="W870" s="298"/>
      <c r="X870" s="298"/>
      <c r="Y870" s="298"/>
      <c r="Z870" s="298"/>
      <c r="AA870" s="298"/>
      <c r="AB870" s="298"/>
      <c r="AC870" s="298"/>
      <c r="AD870" s="298"/>
      <c r="AE870" s="298"/>
      <c r="AF870" s="298"/>
      <c r="AG870" s="298"/>
      <c r="AH870" s="298"/>
      <c r="AI870" s="298"/>
      <c r="AJ870" s="298"/>
      <c r="AK870" s="298"/>
      <c r="AL870" s="298"/>
      <c r="AM870" s="298"/>
      <c r="AN870" s="298"/>
      <c r="AO870" s="298"/>
      <c r="AP870" s="298"/>
      <c r="AQ870" s="298"/>
      <c r="AR870" s="298"/>
      <c r="AS870" s="298"/>
      <c r="AT870" s="298"/>
      <c r="AU870" s="298"/>
      <c r="AV870" s="298"/>
      <c r="AW870" s="298"/>
      <c r="AX870" s="298"/>
      <c r="AY870" s="298"/>
      <c r="AZ870" s="298"/>
      <c r="BA870" s="298"/>
      <c r="BB870" s="298"/>
      <c r="BC870" s="298"/>
      <c r="BD870" s="298"/>
      <c r="BE870" s="298"/>
      <c r="BF870" s="298"/>
      <c r="BG870" s="298"/>
      <c r="BH870" s="298"/>
      <c r="BI870" s="298"/>
      <c r="BJ870" s="298"/>
      <c r="BK870" s="298"/>
      <c r="BL870" s="298"/>
      <c r="BM870" s="298"/>
      <c r="BN870" s="298"/>
      <c r="BO870" s="298"/>
      <c r="BP870" s="298"/>
    </row>
    <row r="871" spans="1:68" s="529" customFormat="1" ht="38.25">
      <c r="A871" s="286"/>
      <c r="B871" s="372" t="s">
        <v>15540</v>
      </c>
      <c r="C871" s="231" t="s">
        <v>17653</v>
      </c>
      <c r="D871" s="232" t="s">
        <v>103</v>
      </c>
      <c r="E871" s="232" t="s">
        <v>3240</v>
      </c>
      <c r="F871" s="233"/>
      <c r="G871" s="234"/>
      <c r="H871" s="235">
        <v>2068.15</v>
      </c>
      <c r="I871" s="298"/>
      <c r="J871" s="634"/>
      <c r="K871" s="524"/>
      <c r="L871" s="524"/>
      <c r="M871" s="524"/>
      <c r="N871" s="524"/>
      <c r="O871" s="524"/>
      <c r="P871" s="298"/>
      <c r="Q871" s="298"/>
      <c r="R871" s="298"/>
      <c r="S871" s="536"/>
      <c r="T871" s="635"/>
      <c r="U871" s="298"/>
      <c r="V871" s="298"/>
      <c r="W871" s="298"/>
      <c r="X871" s="298"/>
      <c r="Y871" s="298"/>
      <c r="Z871" s="298"/>
      <c r="AA871" s="298"/>
      <c r="AB871" s="298"/>
      <c r="AC871" s="298"/>
      <c r="AD871" s="298"/>
      <c r="AE871" s="298"/>
      <c r="AF871" s="298"/>
      <c r="AG871" s="298"/>
      <c r="AH871" s="298"/>
      <c r="AI871" s="298"/>
      <c r="AJ871" s="298"/>
      <c r="AK871" s="298"/>
      <c r="AL871" s="298"/>
      <c r="AM871" s="298"/>
      <c r="AN871" s="298"/>
      <c r="AO871" s="298"/>
      <c r="AP871" s="298"/>
      <c r="AQ871" s="298"/>
      <c r="AR871" s="298"/>
      <c r="AS871" s="298"/>
      <c r="AT871" s="298"/>
      <c r="AU871" s="298"/>
      <c r="AV871" s="298"/>
      <c r="AW871" s="298"/>
      <c r="AX871" s="298"/>
      <c r="AY871" s="298"/>
      <c r="AZ871" s="298"/>
      <c r="BA871" s="298"/>
      <c r="BB871" s="298"/>
      <c r="BC871" s="298"/>
      <c r="BD871" s="298"/>
      <c r="BE871" s="298"/>
      <c r="BF871" s="298"/>
      <c r="BG871" s="298"/>
      <c r="BH871" s="298"/>
      <c r="BI871" s="298"/>
      <c r="BJ871" s="298"/>
      <c r="BK871" s="298"/>
      <c r="BL871" s="298"/>
      <c r="BM871" s="298"/>
      <c r="BN871" s="298"/>
      <c r="BO871" s="298"/>
      <c r="BP871" s="298"/>
    </row>
    <row r="872" spans="1:68" s="298" customFormat="1" ht="25.5">
      <c r="A872" s="256" t="s">
        <v>12</v>
      </c>
      <c r="B872" s="374" t="s">
        <v>17642</v>
      </c>
      <c r="C872" s="289" t="s">
        <v>17654</v>
      </c>
      <c r="D872" s="290" t="s">
        <v>207</v>
      </c>
      <c r="E872" s="290" t="s">
        <v>109</v>
      </c>
      <c r="F872" s="254">
        <v>1</v>
      </c>
      <c r="G872" s="292">
        <v>2046.3</v>
      </c>
      <c r="H872" s="255">
        <v>2046.3</v>
      </c>
      <c r="J872" s="634"/>
      <c r="K872" s="524"/>
      <c r="L872" s="524"/>
      <c r="M872" s="524"/>
      <c r="N872" s="524"/>
      <c r="O872" s="524"/>
      <c r="S872" s="536"/>
      <c r="T872" s="638"/>
    </row>
    <row r="873" spans="1:68" s="298" customFormat="1" ht="12.75">
      <c r="A873" s="256" t="s">
        <v>3261</v>
      </c>
      <c r="B873" s="374">
        <v>4823</v>
      </c>
      <c r="C873" s="289" t="s">
        <v>7309</v>
      </c>
      <c r="D873" s="290" t="s">
        <v>207</v>
      </c>
      <c r="E873" s="290" t="s">
        <v>3244</v>
      </c>
      <c r="F873" s="291">
        <v>0.34599999999999997</v>
      </c>
      <c r="G873" s="292" t="s">
        <v>16023</v>
      </c>
      <c r="H873" s="255">
        <v>9.7100000000000009</v>
      </c>
      <c r="J873" s="634"/>
      <c r="S873" s="536"/>
      <c r="T873" s="638"/>
    </row>
    <row r="874" spans="1:68" s="298" customFormat="1" ht="25.5">
      <c r="A874" s="256" t="s">
        <v>3259</v>
      </c>
      <c r="B874" s="374">
        <v>88274</v>
      </c>
      <c r="C874" s="289" t="s">
        <v>205</v>
      </c>
      <c r="D874" s="290" t="s">
        <v>9714</v>
      </c>
      <c r="E874" s="290" t="s">
        <v>206</v>
      </c>
      <c r="F874" s="254">
        <v>0.47739999999999999</v>
      </c>
      <c r="G874" s="292" t="s">
        <v>24384</v>
      </c>
      <c r="H874" s="255">
        <v>9.5</v>
      </c>
      <c r="J874" s="634"/>
      <c r="K874" s="524"/>
      <c r="L874" s="524"/>
      <c r="M874" s="524"/>
      <c r="N874" s="524"/>
      <c r="O874" s="524"/>
      <c r="S874" s="536"/>
      <c r="T874" s="638"/>
    </row>
    <row r="875" spans="1:68" s="298" customFormat="1" ht="25.5">
      <c r="A875" s="256" t="s">
        <v>3259</v>
      </c>
      <c r="B875" s="374">
        <v>88316</v>
      </c>
      <c r="C875" s="289" t="s">
        <v>104</v>
      </c>
      <c r="D875" s="290" t="s">
        <v>9714</v>
      </c>
      <c r="E875" s="290" t="s">
        <v>206</v>
      </c>
      <c r="F875" s="254">
        <v>0.15040000000000001</v>
      </c>
      <c r="G875" s="292" t="s">
        <v>10172</v>
      </c>
      <c r="H875" s="255">
        <v>2.64</v>
      </c>
      <c r="J875" s="634"/>
      <c r="K875" s="524"/>
      <c r="L875" s="524"/>
      <c r="M875" s="524"/>
      <c r="N875" s="524"/>
      <c r="O875" s="524"/>
      <c r="S875" s="536"/>
      <c r="T875" s="638"/>
    </row>
    <row r="876" spans="1:68" s="298" customFormat="1" ht="12.75">
      <c r="A876" s="256"/>
      <c r="B876" s="288" t="s">
        <v>143</v>
      </c>
      <c r="C876" s="819" t="s">
        <v>17652</v>
      </c>
      <c r="D876" s="820"/>
      <c r="E876" s="820"/>
      <c r="F876" s="820"/>
      <c r="G876" s="820"/>
      <c r="H876" s="821"/>
      <c r="J876" s="634"/>
      <c r="K876" s="524"/>
      <c r="L876" s="524"/>
      <c r="M876" s="524"/>
      <c r="N876" s="524"/>
      <c r="O876" s="524"/>
      <c r="S876" s="536"/>
      <c r="T876" s="635"/>
    </row>
    <row r="877" spans="1:68" s="529" customFormat="1" ht="12.75">
      <c r="A877" s="286"/>
      <c r="B877" s="373"/>
      <c r="C877" s="379"/>
      <c r="D877" s="382"/>
      <c r="E877" s="382"/>
      <c r="F877" s="382"/>
      <c r="G877" s="382"/>
      <c r="H877" s="382"/>
      <c r="I877" s="298"/>
      <c r="J877" s="634"/>
      <c r="K877" s="524"/>
      <c r="L877" s="524"/>
      <c r="M877" s="524"/>
      <c r="N877" s="524"/>
      <c r="O877" s="524"/>
      <c r="P877" s="298"/>
      <c r="Q877" s="298"/>
      <c r="R877" s="298"/>
      <c r="S877" s="536"/>
      <c r="T877" s="635"/>
      <c r="U877" s="298"/>
      <c r="V877" s="298"/>
      <c r="W877" s="298"/>
      <c r="X877" s="298"/>
      <c r="Y877" s="298"/>
      <c r="Z877" s="298"/>
      <c r="AA877" s="298"/>
      <c r="AB877" s="298"/>
      <c r="AC877" s="298"/>
      <c r="AD877" s="298"/>
      <c r="AE877" s="298"/>
      <c r="AF877" s="298"/>
      <c r="AG877" s="298"/>
      <c r="AH877" s="298"/>
      <c r="AI877" s="298"/>
      <c r="AJ877" s="298"/>
      <c r="AK877" s="298"/>
      <c r="AL877" s="298"/>
      <c r="AM877" s="298"/>
      <c r="AN877" s="298"/>
      <c r="AO877" s="298"/>
      <c r="AP877" s="298"/>
      <c r="AQ877" s="298"/>
      <c r="AR877" s="298"/>
      <c r="AS877" s="298"/>
      <c r="AT877" s="298"/>
      <c r="AU877" s="298"/>
      <c r="AV877" s="298"/>
      <c r="AW877" s="298"/>
      <c r="AX877" s="298"/>
      <c r="AY877" s="298"/>
      <c r="AZ877" s="298"/>
      <c r="BA877" s="298"/>
      <c r="BB877" s="298"/>
      <c r="BC877" s="298"/>
      <c r="BD877" s="298"/>
      <c r="BE877" s="298"/>
      <c r="BF877" s="298"/>
      <c r="BG877" s="298"/>
      <c r="BH877" s="298"/>
      <c r="BI877" s="298"/>
      <c r="BJ877" s="298"/>
      <c r="BK877" s="298"/>
      <c r="BL877" s="298"/>
      <c r="BM877" s="298"/>
      <c r="BN877" s="298"/>
      <c r="BO877" s="298"/>
      <c r="BP877" s="298"/>
    </row>
    <row r="878" spans="1:68" s="529" customFormat="1" ht="38.25">
      <c r="A878" s="286"/>
      <c r="B878" s="372" t="s">
        <v>15543</v>
      </c>
      <c r="C878" s="231" t="s">
        <v>17655</v>
      </c>
      <c r="D878" s="232" t="s">
        <v>103</v>
      </c>
      <c r="E878" s="232" t="s">
        <v>3240</v>
      </c>
      <c r="F878" s="233"/>
      <c r="G878" s="234"/>
      <c r="H878" s="235">
        <v>195.98</v>
      </c>
      <c r="I878" s="298"/>
      <c r="J878" s="634"/>
      <c r="K878" s="524"/>
      <c r="L878" s="524"/>
      <c r="M878" s="524"/>
      <c r="N878" s="524"/>
      <c r="O878" s="524"/>
      <c r="P878" s="298"/>
      <c r="Q878" s="298"/>
      <c r="R878" s="298"/>
      <c r="S878" s="536"/>
      <c r="T878" s="635"/>
      <c r="U878" s="298"/>
      <c r="V878" s="298"/>
      <c r="W878" s="298"/>
      <c r="X878" s="298"/>
      <c r="Y878" s="298"/>
      <c r="Z878" s="298"/>
      <c r="AA878" s="298"/>
      <c r="AB878" s="298"/>
      <c r="AC878" s="298"/>
      <c r="AD878" s="298"/>
      <c r="AE878" s="298"/>
      <c r="AF878" s="298"/>
      <c r="AG878" s="298"/>
      <c r="AH878" s="298"/>
      <c r="AI878" s="298"/>
      <c r="AJ878" s="298"/>
      <c r="AK878" s="298"/>
      <c r="AL878" s="298"/>
      <c r="AM878" s="298"/>
      <c r="AN878" s="298"/>
      <c r="AO878" s="298"/>
      <c r="AP878" s="298"/>
      <c r="AQ878" s="298"/>
      <c r="AR878" s="298"/>
      <c r="AS878" s="298"/>
      <c r="AT878" s="298"/>
      <c r="AU878" s="298"/>
      <c r="AV878" s="298"/>
      <c r="AW878" s="298"/>
      <c r="AX878" s="298"/>
      <c r="AY878" s="298"/>
      <c r="AZ878" s="298"/>
      <c r="BA878" s="298"/>
      <c r="BB878" s="298"/>
      <c r="BC878" s="298"/>
      <c r="BD878" s="298"/>
      <c r="BE878" s="298"/>
      <c r="BF878" s="298"/>
      <c r="BG878" s="298"/>
      <c r="BH878" s="298"/>
      <c r="BI878" s="298"/>
      <c r="BJ878" s="298"/>
      <c r="BK878" s="298"/>
      <c r="BL878" s="298"/>
      <c r="BM878" s="298"/>
      <c r="BN878" s="298"/>
      <c r="BO878" s="298"/>
      <c r="BP878" s="298"/>
    </row>
    <row r="879" spans="1:68" s="298" customFormat="1" ht="25.5">
      <c r="A879" s="256" t="s">
        <v>3261</v>
      </c>
      <c r="B879" s="374">
        <v>3146</v>
      </c>
      <c r="C879" s="289" t="s">
        <v>6463</v>
      </c>
      <c r="D879" s="290" t="s">
        <v>207</v>
      </c>
      <c r="E879" s="290" t="s">
        <v>3240</v>
      </c>
      <c r="F879" s="254">
        <v>3.32E-2</v>
      </c>
      <c r="G879" s="292" t="s">
        <v>11333</v>
      </c>
      <c r="H879" s="255">
        <v>0.12</v>
      </c>
      <c r="J879" s="634"/>
      <c r="K879" s="524"/>
      <c r="L879" s="524"/>
      <c r="M879" s="524"/>
      <c r="N879" s="524"/>
      <c r="O879" s="524"/>
      <c r="S879" s="536"/>
      <c r="T879" s="638"/>
    </row>
    <row r="880" spans="1:68" s="298" customFormat="1" ht="25.5">
      <c r="A880" s="256" t="s">
        <v>3261</v>
      </c>
      <c r="B880" s="374">
        <v>6150</v>
      </c>
      <c r="C880" s="289" t="s">
        <v>8042</v>
      </c>
      <c r="D880" s="290" t="s">
        <v>207</v>
      </c>
      <c r="E880" s="290" t="s">
        <v>3240</v>
      </c>
      <c r="F880" s="291">
        <v>1</v>
      </c>
      <c r="G880" s="292" t="s">
        <v>20644</v>
      </c>
      <c r="H880" s="255">
        <v>187.95</v>
      </c>
      <c r="J880" s="634"/>
      <c r="S880" s="536"/>
      <c r="T880" s="638"/>
    </row>
    <row r="881" spans="1:68" s="298" customFormat="1" ht="25.5">
      <c r="A881" s="256" t="s">
        <v>3259</v>
      </c>
      <c r="B881" s="374">
        <v>88267</v>
      </c>
      <c r="C881" s="289" t="s">
        <v>107</v>
      </c>
      <c r="D881" s="290" t="s">
        <v>9714</v>
      </c>
      <c r="E881" s="290" t="s">
        <v>206</v>
      </c>
      <c r="F881" s="254">
        <v>0.27339999999999998</v>
      </c>
      <c r="G881" s="292" t="s">
        <v>10792</v>
      </c>
      <c r="H881" s="255">
        <v>6.4</v>
      </c>
      <c r="J881" s="634"/>
      <c r="K881" s="524"/>
      <c r="L881" s="524"/>
      <c r="M881" s="524"/>
      <c r="N881" s="524"/>
      <c r="O881" s="524"/>
      <c r="S881" s="536"/>
      <c r="T881" s="638"/>
    </row>
    <row r="882" spans="1:68" s="298" customFormat="1" ht="25.5">
      <c r="A882" s="256" t="s">
        <v>3259</v>
      </c>
      <c r="B882" s="374">
        <v>88316</v>
      </c>
      <c r="C882" s="289" t="s">
        <v>104</v>
      </c>
      <c r="D882" s="290" t="s">
        <v>9714</v>
      </c>
      <c r="E882" s="290" t="s">
        <v>206</v>
      </c>
      <c r="F882" s="254">
        <v>8.6199999999999999E-2</v>
      </c>
      <c r="G882" s="292" t="s">
        <v>10172</v>
      </c>
      <c r="H882" s="255">
        <v>1.51</v>
      </c>
      <c r="J882" s="634"/>
      <c r="K882" s="524"/>
      <c r="L882" s="524"/>
      <c r="M882" s="524"/>
      <c r="N882" s="524"/>
      <c r="O882" s="524"/>
      <c r="S882" s="536"/>
      <c r="T882" s="638"/>
    </row>
    <row r="883" spans="1:68" s="298" customFormat="1" ht="12.75">
      <c r="A883" s="256"/>
      <c r="B883" s="288" t="s">
        <v>143</v>
      </c>
      <c r="C883" s="819" t="s">
        <v>17656</v>
      </c>
      <c r="D883" s="820"/>
      <c r="E883" s="820"/>
      <c r="F883" s="820"/>
      <c r="G883" s="820"/>
      <c r="H883" s="821"/>
      <c r="J883" s="634"/>
      <c r="K883" s="524"/>
      <c r="L883" s="524"/>
      <c r="M883" s="524"/>
      <c r="N883" s="524"/>
      <c r="O883" s="524"/>
      <c r="S883" s="536"/>
      <c r="T883" s="635"/>
    </row>
    <row r="884" spans="1:68" s="529" customFormat="1" ht="12.75">
      <c r="A884" s="286"/>
      <c r="B884" s="373"/>
      <c r="C884" s="379"/>
      <c r="D884" s="382"/>
      <c r="E884" s="382"/>
      <c r="F884" s="382"/>
      <c r="G884" s="382"/>
      <c r="H884" s="382"/>
      <c r="I884" s="298"/>
      <c r="J884" s="634"/>
      <c r="K884" s="524"/>
      <c r="L884" s="524"/>
      <c r="M884" s="524"/>
      <c r="N884" s="524"/>
      <c r="O884" s="524"/>
      <c r="P884" s="298"/>
      <c r="Q884" s="298"/>
      <c r="R884" s="298"/>
      <c r="S884" s="536"/>
      <c r="T884" s="635"/>
      <c r="U884" s="298"/>
      <c r="V884" s="298"/>
      <c r="W884" s="298"/>
      <c r="X884" s="298"/>
      <c r="Y884" s="298"/>
      <c r="Z884" s="298"/>
      <c r="AA884" s="298"/>
      <c r="AB884" s="298"/>
      <c r="AC884" s="298"/>
      <c r="AD884" s="298"/>
      <c r="AE884" s="298"/>
      <c r="AF884" s="298"/>
      <c r="AG884" s="298"/>
      <c r="AH884" s="298"/>
      <c r="AI884" s="298"/>
      <c r="AJ884" s="298"/>
      <c r="AK884" s="298"/>
      <c r="AL884" s="298"/>
      <c r="AM884" s="298"/>
      <c r="AN884" s="298"/>
      <c r="AO884" s="298"/>
      <c r="AP884" s="298"/>
      <c r="AQ884" s="298"/>
      <c r="AR884" s="298"/>
      <c r="AS884" s="298"/>
      <c r="AT884" s="298"/>
      <c r="AU884" s="298"/>
      <c r="AV884" s="298"/>
      <c r="AW884" s="298"/>
      <c r="AX884" s="298"/>
      <c r="AY884" s="298"/>
      <c r="AZ884" s="298"/>
      <c r="BA884" s="298"/>
      <c r="BB884" s="298"/>
      <c r="BC884" s="298"/>
      <c r="BD884" s="298"/>
      <c r="BE884" s="298"/>
      <c r="BF884" s="298"/>
      <c r="BG884" s="298"/>
      <c r="BH884" s="298"/>
      <c r="BI884" s="298"/>
      <c r="BJ884" s="298"/>
      <c r="BK884" s="298"/>
      <c r="BL884" s="298"/>
      <c r="BM884" s="298"/>
      <c r="BN884" s="298"/>
      <c r="BO884" s="298"/>
      <c r="BP884" s="298"/>
    </row>
    <row r="885" spans="1:68" s="529" customFormat="1" ht="38.25">
      <c r="A885" s="286"/>
      <c r="B885" s="372" t="s">
        <v>15544</v>
      </c>
      <c r="C885" s="231" t="s">
        <v>17657</v>
      </c>
      <c r="D885" s="232" t="s">
        <v>103</v>
      </c>
      <c r="E885" s="232" t="s">
        <v>3240</v>
      </c>
      <c r="F885" s="233"/>
      <c r="G885" s="234"/>
      <c r="H885" s="235">
        <v>630.63</v>
      </c>
      <c r="I885" s="298"/>
      <c r="J885" s="634"/>
      <c r="K885" s="524"/>
      <c r="L885" s="524"/>
      <c r="M885" s="524"/>
      <c r="N885" s="524"/>
      <c r="O885" s="524"/>
      <c r="P885" s="298"/>
      <c r="Q885" s="298"/>
      <c r="R885" s="298"/>
      <c r="S885" s="536"/>
      <c r="T885" s="635"/>
      <c r="U885" s="298"/>
      <c r="V885" s="298"/>
      <c r="W885" s="298"/>
      <c r="X885" s="298"/>
      <c r="Y885" s="298"/>
      <c r="Z885" s="298"/>
      <c r="AA885" s="298"/>
      <c r="AB885" s="298"/>
      <c r="AC885" s="298"/>
      <c r="AD885" s="298"/>
      <c r="AE885" s="298"/>
      <c r="AF885" s="298"/>
      <c r="AG885" s="298"/>
      <c r="AH885" s="298"/>
      <c r="AI885" s="298"/>
      <c r="AJ885" s="298"/>
      <c r="AK885" s="298"/>
      <c r="AL885" s="298"/>
      <c r="AM885" s="298"/>
      <c r="AN885" s="298"/>
      <c r="AO885" s="298"/>
      <c r="AP885" s="298"/>
      <c r="AQ885" s="298"/>
      <c r="AR885" s="298"/>
      <c r="AS885" s="298"/>
      <c r="AT885" s="298"/>
      <c r="AU885" s="298"/>
      <c r="AV885" s="298"/>
      <c r="AW885" s="298"/>
      <c r="AX885" s="298"/>
      <c r="AY885" s="298"/>
      <c r="AZ885" s="298"/>
      <c r="BA885" s="298"/>
      <c r="BB885" s="298"/>
      <c r="BC885" s="298"/>
      <c r="BD885" s="298"/>
      <c r="BE885" s="298"/>
      <c r="BF885" s="298"/>
      <c r="BG885" s="298"/>
      <c r="BH885" s="298"/>
      <c r="BI885" s="298"/>
      <c r="BJ885" s="298"/>
      <c r="BK885" s="298"/>
      <c r="BL885" s="298"/>
      <c r="BM885" s="298"/>
      <c r="BN885" s="298"/>
      <c r="BO885" s="298"/>
      <c r="BP885" s="298"/>
    </row>
    <row r="886" spans="1:68" s="298" customFormat="1" ht="25.5">
      <c r="A886" s="256" t="s">
        <v>3261</v>
      </c>
      <c r="B886" s="374">
        <v>3146</v>
      </c>
      <c r="C886" s="289" t="s">
        <v>6463</v>
      </c>
      <c r="D886" s="290" t="s">
        <v>207</v>
      </c>
      <c r="E886" s="290" t="s">
        <v>3240</v>
      </c>
      <c r="F886" s="291">
        <v>4.2000000000000003E-2</v>
      </c>
      <c r="G886" s="292" t="s">
        <v>11333</v>
      </c>
      <c r="H886" s="255">
        <v>0.16</v>
      </c>
      <c r="J886" s="634"/>
      <c r="S886" s="536"/>
      <c r="T886" s="638"/>
    </row>
    <row r="887" spans="1:68" s="298" customFormat="1" ht="25.5">
      <c r="A887" s="256" t="s">
        <v>12</v>
      </c>
      <c r="B887" s="374" t="s">
        <v>17659</v>
      </c>
      <c r="C887" s="289" t="s">
        <v>17660</v>
      </c>
      <c r="D887" s="290" t="s">
        <v>207</v>
      </c>
      <c r="E887" s="290" t="s">
        <v>109</v>
      </c>
      <c r="F887" s="254">
        <v>1</v>
      </c>
      <c r="G887" s="292">
        <v>628.69000000000005</v>
      </c>
      <c r="H887" s="255">
        <v>628.69000000000005</v>
      </c>
      <c r="J887" s="634"/>
      <c r="K887" s="524"/>
      <c r="L887" s="524"/>
      <c r="M887" s="524"/>
      <c r="N887" s="524"/>
      <c r="O887" s="524"/>
      <c r="S887" s="536"/>
      <c r="T887" s="638"/>
    </row>
    <row r="888" spans="1:68" s="298" customFormat="1" ht="25.5">
      <c r="A888" s="256" t="s">
        <v>3259</v>
      </c>
      <c r="B888" s="374">
        <v>88267</v>
      </c>
      <c r="C888" s="289" t="s">
        <v>107</v>
      </c>
      <c r="D888" s="290" t="s">
        <v>9714</v>
      </c>
      <c r="E888" s="290" t="s">
        <v>206</v>
      </c>
      <c r="F888" s="254">
        <v>2.266E-2</v>
      </c>
      <c r="G888" s="292" t="s">
        <v>10792</v>
      </c>
      <c r="H888" s="255">
        <v>0.53</v>
      </c>
      <c r="J888" s="634"/>
      <c r="K888" s="524"/>
      <c r="L888" s="524"/>
      <c r="M888" s="524"/>
      <c r="N888" s="524"/>
      <c r="O888" s="524"/>
      <c r="S888" s="536"/>
      <c r="T888" s="638"/>
    </row>
    <row r="889" spans="1:68" s="298" customFormat="1" ht="25.5">
      <c r="A889" s="256" t="s">
        <v>3259</v>
      </c>
      <c r="B889" s="374">
        <v>88316</v>
      </c>
      <c r="C889" s="289" t="s">
        <v>104</v>
      </c>
      <c r="D889" s="290" t="s">
        <v>9714</v>
      </c>
      <c r="E889" s="290" t="s">
        <v>206</v>
      </c>
      <c r="F889" s="254">
        <v>7.1400000000000005E-2</v>
      </c>
      <c r="G889" s="292" t="s">
        <v>10172</v>
      </c>
      <c r="H889" s="255">
        <v>1.25</v>
      </c>
      <c r="J889" s="634"/>
      <c r="K889" s="524"/>
      <c r="L889" s="524"/>
      <c r="M889" s="524"/>
      <c r="N889" s="524"/>
      <c r="O889" s="524"/>
      <c r="S889" s="536"/>
      <c r="T889" s="638"/>
    </row>
    <row r="890" spans="1:68" s="298" customFormat="1" ht="12.75">
      <c r="A890" s="256"/>
      <c r="B890" s="288" t="s">
        <v>143</v>
      </c>
      <c r="C890" s="819" t="s">
        <v>17658</v>
      </c>
      <c r="D890" s="820"/>
      <c r="E890" s="820"/>
      <c r="F890" s="820"/>
      <c r="G890" s="820"/>
      <c r="H890" s="821"/>
      <c r="J890" s="634"/>
      <c r="K890" s="524"/>
      <c r="L890" s="524"/>
      <c r="M890" s="524"/>
      <c r="N890" s="524"/>
      <c r="O890" s="524"/>
      <c r="S890" s="536"/>
      <c r="T890" s="635"/>
    </row>
    <row r="891" spans="1:68" s="529" customFormat="1" ht="12.75">
      <c r="A891" s="286"/>
      <c r="B891" s="373"/>
      <c r="C891" s="379"/>
      <c r="D891" s="382"/>
      <c r="E891" s="382"/>
      <c r="F891" s="382"/>
      <c r="G891" s="382"/>
      <c r="H891" s="382"/>
      <c r="I891" s="298"/>
      <c r="J891" s="634"/>
      <c r="K891" s="524"/>
      <c r="L891" s="524"/>
      <c r="M891" s="524"/>
      <c r="N891" s="524"/>
      <c r="O891" s="524"/>
      <c r="P891" s="298"/>
      <c r="Q891" s="298"/>
      <c r="R891" s="298"/>
      <c r="S891" s="536"/>
      <c r="T891" s="635"/>
      <c r="U891" s="298"/>
      <c r="V891" s="298"/>
      <c r="W891" s="298"/>
      <c r="X891" s="298"/>
      <c r="Y891" s="298"/>
      <c r="Z891" s="298"/>
      <c r="AA891" s="298"/>
      <c r="AB891" s="298"/>
      <c r="AC891" s="298"/>
      <c r="AD891" s="298"/>
      <c r="AE891" s="298"/>
      <c r="AF891" s="298"/>
      <c r="AG891" s="298"/>
      <c r="AH891" s="298"/>
      <c r="AI891" s="298"/>
      <c r="AJ891" s="298"/>
      <c r="AK891" s="298"/>
      <c r="AL891" s="298"/>
      <c r="AM891" s="298"/>
      <c r="AN891" s="298"/>
      <c r="AO891" s="298"/>
      <c r="AP891" s="298"/>
      <c r="AQ891" s="298"/>
      <c r="AR891" s="298"/>
      <c r="AS891" s="298"/>
      <c r="AT891" s="298"/>
      <c r="AU891" s="298"/>
      <c r="AV891" s="298"/>
      <c r="AW891" s="298"/>
      <c r="AX891" s="298"/>
      <c r="AY891" s="298"/>
      <c r="AZ891" s="298"/>
      <c r="BA891" s="298"/>
      <c r="BB891" s="298"/>
      <c r="BC891" s="298"/>
      <c r="BD891" s="298"/>
      <c r="BE891" s="298"/>
      <c r="BF891" s="298"/>
      <c r="BG891" s="298"/>
      <c r="BH891" s="298"/>
      <c r="BI891" s="298"/>
      <c r="BJ891" s="298"/>
      <c r="BK891" s="298"/>
      <c r="BL891" s="298"/>
      <c r="BM891" s="298"/>
      <c r="BN891" s="298"/>
      <c r="BO891" s="298"/>
      <c r="BP891" s="298"/>
    </row>
    <row r="892" spans="1:68" s="529" customFormat="1" ht="38.25">
      <c r="A892" s="286"/>
      <c r="B892" s="372" t="s">
        <v>15546</v>
      </c>
      <c r="C892" s="231" t="s">
        <v>15524</v>
      </c>
      <c r="D892" s="232" t="s">
        <v>103</v>
      </c>
      <c r="E892" s="232" t="s">
        <v>3240</v>
      </c>
      <c r="F892" s="233"/>
      <c r="G892" s="234"/>
      <c r="H892" s="235">
        <v>169.8</v>
      </c>
      <c r="I892" s="298"/>
      <c r="J892" s="634"/>
      <c r="K892" s="524"/>
      <c r="L892" s="524"/>
      <c r="M892" s="524"/>
      <c r="N892" s="524"/>
      <c r="O892" s="524"/>
      <c r="P892" s="298"/>
      <c r="Q892" s="298"/>
      <c r="R892" s="298"/>
      <c r="S892" s="536"/>
      <c r="T892" s="635"/>
      <c r="U892" s="298"/>
      <c r="V892" s="298"/>
      <c r="W892" s="298"/>
      <c r="X892" s="298"/>
      <c r="Y892" s="298"/>
      <c r="Z892" s="298"/>
      <c r="AA892" s="298"/>
      <c r="AB892" s="298"/>
      <c r="AC892" s="298"/>
      <c r="AD892" s="298"/>
      <c r="AE892" s="298"/>
      <c r="AF892" s="298"/>
      <c r="AG892" s="298"/>
      <c r="AH892" s="298"/>
      <c r="AI892" s="298"/>
      <c r="AJ892" s="298"/>
      <c r="AK892" s="298"/>
      <c r="AL892" s="298"/>
      <c r="AM892" s="298"/>
      <c r="AN892" s="298"/>
      <c r="AO892" s="298"/>
      <c r="AP892" s="298"/>
      <c r="AQ892" s="298"/>
      <c r="AR892" s="298"/>
      <c r="AS892" s="298"/>
      <c r="AT892" s="298"/>
      <c r="AU892" s="298"/>
      <c r="AV892" s="298"/>
      <c r="AW892" s="298"/>
      <c r="AX892" s="298"/>
      <c r="AY892" s="298"/>
      <c r="AZ892" s="298"/>
      <c r="BA892" s="298"/>
      <c r="BB892" s="298"/>
      <c r="BC892" s="298"/>
      <c r="BD892" s="298"/>
      <c r="BE892" s="298"/>
      <c r="BF892" s="298"/>
      <c r="BG892" s="298"/>
      <c r="BH892" s="298"/>
      <c r="BI892" s="298"/>
      <c r="BJ892" s="298"/>
      <c r="BK892" s="298"/>
      <c r="BL892" s="298"/>
      <c r="BM892" s="298"/>
      <c r="BN892" s="298"/>
      <c r="BO892" s="298"/>
      <c r="BP892" s="298"/>
    </row>
    <row r="893" spans="1:68" s="298" customFormat="1" ht="25.5">
      <c r="A893" s="256" t="s">
        <v>3261</v>
      </c>
      <c r="B893" s="374">
        <v>3146</v>
      </c>
      <c r="C893" s="289" t="s">
        <v>6463</v>
      </c>
      <c r="D893" s="290" t="s">
        <v>207</v>
      </c>
      <c r="E893" s="290" t="s">
        <v>3240</v>
      </c>
      <c r="F893" s="291">
        <v>2.1000000000000001E-2</v>
      </c>
      <c r="G893" s="292" t="s">
        <v>11333</v>
      </c>
      <c r="H893" s="255">
        <v>0.08</v>
      </c>
      <c r="J893" s="634"/>
      <c r="S893" s="536"/>
      <c r="T893" s="638"/>
    </row>
    <row r="894" spans="1:68" s="298" customFormat="1" ht="38.25">
      <c r="A894" s="256" t="s">
        <v>3261</v>
      </c>
      <c r="B894" s="374">
        <v>36796</v>
      </c>
      <c r="C894" s="289" t="s">
        <v>8504</v>
      </c>
      <c r="D894" s="290" t="s">
        <v>207</v>
      </c>
      <c r="E894" s="290" t="s">
        <v>3240</v>
      </c>
      <c r="F894" s="254">
        <v>1</v>
      </c>
      <c r="G894" s="292" t="s">
        <v>20884</v>
      </c>
      <c r="H894" s="255">
        <v>166.95</v>
      </c>
      <c r="J894" s="634"/>
      <c r="K894" s="524"/>
      <c r="L894" s="524"/>
      <c r="M894" s="524"/>
      <c r="N894" s="524"/>
      <c r="O894" s="524"/>
      <c r="S894" s="536"/>
      <c r="T894" s="638"/>
    </row>
    <row r="895" spans="1:68" s="298" customFormat="1" ht="25.5">
      <c r="A895" s="256" t="s">
        <v>3259</v>
      </c>
      <c r="B895" s="374">
        <v>88267</v>
      </c>
      <c r="C895" s="289" t="s">
        <v>107</v>
      </c>
      <c r="D895" s="290" t="s">
        <v>9714</v>
      </c>
      <c r="E895" s="290" t="s">
        <v>206</v>
      </c>
      <c r="F895" s="254">
        <v>9.6000000000000002E-2</v>
      </c>
      <c r="G895" s="292" t="s">
        <v>10792</v>
      </c>
      <c r="H895" s="255">
        <v>2.2400000000000002</v>
      </c>
      <c r="J895" s="634"/>
      <c r="K895" s="524"/>
      <c r="L895" s="524"/>
      <c r="M895" s="524"/>
      <c r="N895" s="524"/>
      <c r="O895" s="524"/>
      <c r="S895" s="536"/>
      <c r="T895" s="638"/>
    </row>
    <row r="896" spans="1:68" s="298" customFormat="1" ht="25.5">
      <c r="A896" s="256" t="s">
        <v>3259</v>
      </c>
      <c r="B896" s="374">
        <v>88316</v>
      </c>
      <c r="C896" s="289" t="s">
        <v>104</v>
      </c>
      <c r="D896" s="290" t="s">
        <v>9714</v>
      </c>
      <c r="E896" s="290" t="s">
        <v>206</v>
      </c>
      <c r="F896" s="254">
        <v>3.0300000000000001E-2</v>
      </c>
      <c r="G896" s="292" t="s">
        <v>10172</v>
      </c>
      <c r="H896" s="255">
        <v>0.53</v>
      </c>
      <c r="J896" s="634"/>
      <c r="K896" s="524"/>
      <c r="L896" s="524"/>
      <c r="M896" s="524"/>
      <c r="N896" s="524"/>
      <c r="O896" s="524"/>
      <c r="S896" s="536"/>
      <c r="T896" s="638"/>
    </row>
    <row r="897" spans="1:68" s="298" customFormat="1" ht="12.75">
      <c r="A897" s="256"/>
      <c r="B897" s="288" t="s">
        <v>143</v>
      </c>
      <c r="C897" s="819" t="s">
        <v>15525</v>
      </c>
      <c r="D897" s="820"/>
      <c r="E897" s="820"/>
      <c r="F897" s="820"/>
      <c r="G897" s="820"/>
      <c r="H897" s="821"/>
      <c r="J897" s="634"/>
      <c r="K897" s="524"/>
      <c r="L897" s="524"/>
      <c r="M897" s="524"/>
      <c r="N897" s="524"/>
      <c r="O897" s="524"/>
      <c r="S897" s="536"/>
      <c r="T897" s="635"/>
    </row>
    <row r="898" spans="1:68" s="529" customFormat="1" ht="12.75">
      <c r="A898" s="286"/>
      <c r="B898" s="373"/>
      <c r="C898" s="379"/>
      <c r="D898" s="382"/>
      <c r="E898" s="382"/>
      <c r="F898" s="382"/>
      <c r="G898" s="382"/>
      <c r="H898" s="382"/>
      <c r="I898" s="298"/>
      <c r="J898" s="634"/>
      <c r="K898" s="524"/>
      <c r="L898" s="524"/>
      <c r="M898" s="524"/>
      <c r="N898" s="524"/>
      <c r="O898" s="524"/>
      <c r="P898" s="298"/>
      <c r="Q898" s="298"/>
      <c r="R898" s="298"/>
      <c r="S898" s="536"/>
      <c r="T898" s="635"/>
      <c r="U898" s="298"/>
      <c r="V898" s="298"/>
      <c r="W898" s="298"/>
      <c r="X898" s="298"/>
      <c r="Y898" s="298"/>
      <c r="Z898" s="298"/>
      <c r="AA898" s="298"/>
      <c r="AB898" s="298"/>
      <c r="AC898" s="298"/>
      <c r="AD898" s="298"/>
      <c r="AE898" s="298"/>
      <c r="AF898" s="298"/>
      <c r="AG898" s="298"/>
      <c r="AH898" s="298"/>
      <c r="AI898" s="298"/>
      <c r="AJ898" s="298"/>
      <c r="AK898" s="298"/>
      <c r="AL898" s="298"/>
      <c r="AM898" s="298"/>
      <c r="AN898" s="298"/>
      <c r="AO898" s="298"/>
      <c r="AP898" s="298"/>
      <c r="AQ898" s="298"/>
      <c r="AR898" s="298"/>
      <c r="AS898" s="298"/>
      <c r="AT898" s="298"/>
      <c r="AU898" s="298"/>
      <c r="AV898" s="298"/>
      <c r="AW898" s="298"/>
      <c r="AX898" s="298"/>
      <c r="AY898" s="298"/>
      <c r="AZ898" s="298"/>
      <c r="BA898" s="298"/>
      <c r="BB898" s="298"/>
      <c r="BC898" s="298"/>
      <c r="BD898" s="298"/>
      <c r="BE898" s="298"/>
      <c r="BF898" s="298"/>
      <c r="BG898" s="298"/>
      <c r="BH898" s="298"/>
      <c r="BI898" s="298"/>
      <c r="BJ898" s="298"/>
      <c r="BK898" s="298"/>
      <c r="BL898" s="298"/>
      <c r="BM898" s="298"/>
      <c r="BN898" s="298"/>
      <c r="BO898" s="298"/>
      <c r="BP898" s="298"/>
    </row>
    <row r="899" spans="1:68" s="529" customFormat="1" ht="38.25">
      <c r="A899" s="286"/>
      <c r="B899" s="372" t="s">
        <v>15547</v>
      </c>
      <c r="C899" s="231" t="s">
        <v>15532</v>
      </c>
      <c r="D899" s="232" t="s">
        <v>103</v>
      </c>
      <c r="E899" s="232" t="s">
        <v>3240</v>
      </c>
      <c r="F899" s="233"/>
      <c r="G899" s="234"/>
      <c r="H899" s="235">
        <v>205.91</v>
      </c>
      <c r="I899" s="298"/>
      <c r="J899" s="634"/>
      <c r="K899" s="524"/>
      <c r="L899" s="524"/>
      <c r="M899" s="524"/>
      <c r="N899" s="524"/>
      <c r="O899" s="524"/>
      <c r="P899" s="298"/>
      <c r="Q899" s="298"/>
      <c r="R899" s="298"/>
      <c r="S899" s="536"/>
      <c r="T899" s="635"/>
      <c r="U899" s="298"/>
      <c r="V899" s="298"/>
      <c r="W899" s="298"/>
      <c r="X899" s="298"/>
      <c r="Y899" s="298"/>
      <c r="Z899" s="298"/>
      <c r="AA899" s="298"/>
      <c r="AB899" s="298"/>
      <c r="AC899" s="298"/>
      <c r="AD899" s="298"/>
      <c r="AE899" s="298"/>
      <c r="AF899" s="298"/>
      <c r="AG899" s="298"/>
      <c r="AH899" s="298"/>
      <c r="AI899" s="298"/>
      <c r="AJ899" s="298"/>
      <c r="AK899" s="298"/>
      <c r="AL899" s="298"/>
      <c r="AM899" s="298"/>
      <c r="AN899" s="298"/>
      <c r="AO899" s="298"/>
      <c r="AP899" s="298"/>
      <c r="AQ899" s="298"/>
      <c r="AR899" s="298"/>
      <c r="AS899" s="298"/>
      <c r="AT899" s="298"/>
      <c r="AU899" s="298"/>
      <c r="AV899" s="298"/>
      <c r="AW899" s="298"/>
      <c r="AX899" s="298"/>
      <c r="AY899" s="298"/>
      <c r="AZ899" s="298"/>
      <c r="BA899" s="298"/>
      <c r="BB899" s="298"/>
      <c r="BC899" s="298"/>
      <c r="BD899" s="298"/>
      <c r="BE899" s="298"/>
      <c r="BF899" s="298"/>
      <c r="BG899" s="298"/>
      <c r="BH899" s="298"/>
      <c r="BI899" s="298"/>
      <c r="BJ899" s="298"/>
      <c r="BK899" s="298"/>
      <c r="BL899" s="298"/>
      <c r="BM899" s="298"/>
      <c r="BN899" s="298"/>
      <c r="BO899" s="298"/>
      <c r="BP899" s="298"/>
    </row>
    <row r="900" spans="1:68" s="298" customFormat="1" ht="25.5">
      <c r="A900" s="256" t="s">
        <v>3261</v>
      </c>
      <c r="B900" s="374">
        <v>3146</v>
      </c>
      <c r="C900" s="289" t="s">
        <v>6463</v>
      </c>
      <c r="D900" s="290" t="s">
        <v>207</v>
      </c>
      <c r="E900" s="290" t="s">
        <v>3240</v>
      </c>
      <c r="F900" s="291">
        <v>4.2000000000000003E-2</v>
      </c>
      <c r="G900" s="292" t="s">
        <v>11333</v>
      </c>
      <c r="H900" s="255">
        <v>0.16</v>
      </c>
      <c r="J900" s="634"/>
      <c r="S900" s="536"/>
      <c r="T900" s="638"/>
    </row>
    <row r="901" spans="1:68" s="298" customFormat="1" ht="25.5">
      <c r="A901" s="256" t="s">
        <v>3261</v>
      </c>
      <c r="B901" s="374">
        <v>38189</v>
      </c>
      <c r="C901" s="289" t="s">
        <v>6187</v>
      </c>
      <c r="D901" s="290" t="s">
        <v>207</v>
      </c>
      <c r="E901" s="290" t="s">
        <v>3240</v>
      </c>
      <c r="F901" s="254">
        <v>1</v>
      </c>
      <c r="G901" s="292" t="s">
        <v>19683</v>
      </c>
      <c r="H901" s="255">
        <v>194.05</v>
      </c>
      <c r="J901" s="634"/>
      <c r="K901" s="524"/>
      <c r="L901" s="524"/>
      <c r="M901" s="524"/>
      <c r="N901" s="524"/>
      <c r="O901" s="524"/>
      <c r="S901" s="536"/>
      <c r="T901" s="638"/>
    </row>
    <row r="902" spans="1:68" s="298" customFormat="1" ht="25.5">
      <c r="A902" s="256" t="s">
        <v>3259</v>
      </c>
      <c r="B902" s="374">
        <v>88267</v>
      </c>
      <c r="C902" s="289" t="s">
        <v>107</v>
      </c>
      <c r="D902" s="290" t="s">
        <v>9714</v>
      </c>
      <c r="E902" s="290" t="s">
        <v>206</v>
      </c>
      <c r="F902" s="254">
        <v>0.5</v>
      </c>
      <c r="G902" s="292" t="s">
        <v>10792</v>
      </c>
      <c r="H902" s="255">
        <v>11.7</v>
      </c>
      <c r="J902" s="634"/>
      <c r="K902" s="524"/>
      <c r="L902" s="524"/>
      <c r="M902" s="524"/>
      <c r="N902" s="524"/>
      <c r="O902" s="524"/>
      <c r="S902" s="536"/>
      <c r="T902" s="638"/>
    </row>
    <row r="903" spans="1:68" s="298" customFormat="1" ht="12.75">
      <c r="A903" s="256"/>
      <c r="B903" s="288" t="s">
        <v>143</v>
      </c>
      <c r="C903" s="819" t="s">
        <v>15533</v>
      </c>
      <c r="D903" s="820"/>
      <c r="E903" s="820"/>
      <c r="F903" s="820"/>
      <c r="G903" s="820"/>
      <c r="H903" s="821"/>
      <c r="J903" s="634"/>
      <c r="K903" s="524"/>
      <c r="L903" s="524"/>
      <c r="M903" s="524"/>
      <c r="N903" s="524"/>
      <c r="O903" s="524"/>
      <c r="S903" s="536"/>
      <c r="T903" s="638"/>
    </row>
    <row r="904" spans="1:68" s="529" customFormat="1" ht="12.75">
      <c r="A904" s="286"/>
      <c r="B904" s="373"/>
      <c r="C904" s="379"/>
      <c r="D904" s="382"/>
      <c r="E904" s="382"/>
      <c r="F904" s="382"/>
      <c r="G904" s="382"/>
      <c r="H904" s="382"/>
      <c r="I904" s="298"/>
      <c r="J904" s="634"/>
      <c r="K904" s="524"/>
      <c r="L904" s="524"/>
      <c r="M904" s="524"/>
      <c r="N904" s="524"/>
      <c r="O904" s="524"/>
      <c r="P904" s="298"/>
      <c r="Q904" s="298"/>
      <c r="R904" s="298"/>
      <c r="S904" s="536"/>
      <c r="T904" s="635"/>
      <c r="U904" s="298"/>
      <c r="V904" s="298"/>
      <c r="W904" s="298"/>
      <c r="X904" s="298"/>
      <c r="Y904" s="298"/>
      <c r="Z904" s="298"/>
      <c r="AA904" s="298"/>
      <c r="AB904" s="298"/>
      <c r="AC904" s="298"/>
      <c r="AD904" s="298"/>
      <c r="AE904" s="298"/>
      <c r="AF904" s="298"/>
      <c r="AG904" s="298"/>
      <c r="AH904" s="298"/>
      <c r="AI904" s="298"/>
      <c r="AJ904" s="298"/>
      <c r="AK904" s="298"/>
      <c r="AL904" s="298"/>
      <c r="AM904" s="298"/>
      <c r="AN904" s="298"/>
      <c r="AO904" s="298"/>
      <c r="AP904" s="298"/>
      <c r="AQ904" s="298"/>
      <c r="AR904" s="298"/>
      <c r="AS904" s="298"/>
      <c r="AT904" s="298"/>
      <c r="AU904" s="298"/>
      <c r="AV904" s="298"/>
      <c r="AW904" s="298"/>
      <c r="AX904" s="298"/>
      <c r="AY904" s="298"/>
      <c r="AZ904" s="298"/>
      <c r="BA904" s="298"/>
      <c r="BB904" s="298"/>
      <c r="BC904" s="298"/>
      <c r="BD904" s="298"/>
      <c r="BE904" s="298"/>
      <c r="BF904" s="298"/>
      <c r="BG904" s="298"/>
      <c r="BH904" s="298"/>
      <c r="BI904" s="298"/>
      <c r="BJ904" s="298"/>
      <c r="BK904" s="298"/>
      <c r="BL904" s="298"/>
      <c r="BM904" s="298"/>
      <c r="BN904" s="298"/>
      <c r="BO904" s="298"/>
      <c r="BP904" s="298"/>
    </row>
    <row r="905" spans="1:68" s="529" customFormat="1" ht="51">
      <c r="A905" s="286"/>
      <c r="B905" s="372" t="s">
        <v>15548</v>
      </c>
      <c r="C905" s="231" t="s">
        <v>17666</v>
      </c>
      <c r="D905" s="232" t="s">
        <v>103</v>
      </c>
      <c r="E905" s="232" t="s">
        <v>3240</v>
      </c>
      <c r="F905" s="233"/>
      <c r="G905" s="234"/>
      <c r="H905" s="235">
        <v>251.77</v>
      </c>
      <c r="I905" s="298"/>
      <c r="J905" s="634"/>
      <c r="K905" s="524"/>
      <c r="L905" s="524"/>
      <c r="M905" s="524"/>
      <c r="N905" s="524"/>
      <c r="O905" s="524"/>
      <c r="P905" s="298"/>
      <c r="Q905" s="298"/>
      <c r="R905" s="298"/>
      <c r="S905" s="536"/>
      <c r="T905" s="635"/>
      <c r="U905" s="298"/>
      <c r="V905" s="298"/>
      <c r="W905" s="298"/>
      <c r="X905" s="298"/>
      <c r="Y905" s="298"/>
      <c r="Z905" s="298"/>
      <c r="AA905" s="298"/>
      <c r="AB905" s="298"/>
      <c r="AC905" s="298"/>
      <c r="AD905" s="298"/>
      <c r="AE905" s="298"/>
      <c r="AF905" s="298"/>
      <c r="AG905" s="298"/>
      <c r="AH905" s="298"/>
      <c r="AI905" s="298"/>
      <c r="AJ905" s="298"/>
      <c r="AK905" s="298"/>
      <c r="AL905" s="298"/>
      <c r="AM905" s="298"/>
      <c r="AN905" s="298"/>
      <c r="AO905" s="298"/>
      <c r="AP905" s="298"/>
      <c r="AQ905" s="298"/>
      <c r="AR905" s="298"/>
      <c r="AS905" s="298"/>
      <c r="AT905" s="298"/>
      <c r="AU905" s="298"/>
      <c r="AV905" s="298"/>
      <c r="AW905" s="298"/>
      <c r="AX905" s="298"/>
      <c r="AY905" s="298"/>
      <c r="AZ905" s="298"/>
      <c r="BA905" s="298"/>
      <c r="BB905" s="298"/>
      <c r="BC905" s="298"/>
      <c r="BD905" s="298"/>
      <c r="BE905" s="298"/>
      <c r="BF905" s="298"/>
      <c r="BG905" s="298"/>
      <c r="BH905" s="298"/>
      <c r="BI905" s="298"/>
      <c r="BJ905" s="298"/>
      <c r="BK905" s="298"/>
      <c r="BL905" s="298"/>
      <c r="BM905" s="298"/>
      <c r="BN905" s="298"/>
      <c r="BO905" s="298"/>
      <c r="BP905" s="298"/>
    </row>
    <row r="906" spans="1:68" s="298" customFormat="1" ht="38.25">
      <c r="A906" s="256" t="s">
        <v>12</v>
      </c>
      <c r="B906" s="374" t="s">
        <v>17667</v>
      </c>
      <c r="C906" s="289" t="s">
        <v>17669</v>
      </c>
      <c r="D906" s="290" t="s">
        <v>207</v>
      </c>
      <c r="E906" s="290" t="s">
        <v>109</v>
      </c>
      <c r="F906" s="291">
        <v>1</v>
      </c>
      <c r="G906" s="292">
        <v>249.9</v>
      </c>
      <c r="H906" s="255">
        <v>249.9</v>
      </c>
      <c r="J906" s="634"/>
      <c r="S906" s="536"/>
      <c r="T906" s="638"/>
    </row>
    <row r="907" spans="1:68" s="298" customFormat="1" ht="25.5">
      <c r="A907" s="256" t="s">
        <v>3259</v>
      </c>
      <c r="B907" s="374">
        <v>88267</v>
      </c>
      <c r="C907" s="289" t="s">
        <v>107</v>
      </c>
      <c r="D907" s="290" t="s">
        <v>9714</v>
      </c>
      <c r="E907" s="290" t="s">
        <v>206</v>
      </c>
      <c r="F907" s="254">
        <v>0.08</v>
      </c>
      <c r="G907" s="292" t="s">
        <v>10792</v>
      </c>
      <c r="H907" s="255">
        <v>1.87</v>
      </c>
      <c r="J907" s="634"/>
      <c r="K907" s="524"/>
      <c r="L907" s="524"/>
      <c r="M907" s="524"/>
      <c r="N907" s="524"/>
      <c r="O907" s="524"/>
      <c r="S907" s="536"/>
      <c r="T907" s="638"/>
    </row>
    <row r="908" spans="1:68" s="298" customFormat="1" ht="12.75">
      <c r="A908" s="256"/>
      <c r="B908" s="288" t="s">
        <v>143</v>
      </c>
      <c r="C908" s="819" t="s">
        <v>17670</v>
      </c>
      <c r="D908" s="820"/>
      <c r="E908" s="820"/>
      <c r="F908" s="820"/>
      <c r="G908" s="820"/>
      <c r="H908" s="821"/>
      <c r="J908" s="634"/>
      <c r="K908" s="524"/>
      <c r="L908" s="524"/>
      <c r="M908" s="524"/>
      <c r="N908" s="524"/>
      <c r="O908" s="524"/>
      <c r="S908" s="536"/>
      <c r="T908" s="635"/>
    </row>
    <row r="909" spans="1:68" s="529" customFormat="1" ht="12.75">
      <c r="A909" s="286"/>
      <c r="B909" s="373"/>
      <c r="C909" s="379"/>
      <c r="D909" s="382"/>
      <c r="E909" s="382"/>
      <c r="F909" s="382"/>
      <c r="G909" s="382"/>
      <c r="H909" s="382"/>
      <c r="I909" s="298"/>
      <c r="J909" s="634"/>
      <c r="K909" s="524"/>
      <c r="L909" s="524"/>
      <c r="M909" s="524"/>
      <c r="N909" s="524"/>
      <c r="O909" s="524"/>
      <c r="P909" s="298"/>
      <c r="Q909" s="298"/>
      <c r="R909" s="298"/>
      <c r="S909" s="536"/>
      <c r="T909" s="635"/>
      <c r="U909" s="298"/>
      <c r="V909" s="298"/>
      <c r="W909" s="298"/>
      <c r="X909" s="298"/>
      <c r="Y909" s="298"/>
      <c r="Z909" s="298"/>
      <c r="AA909" s="298"/>
      <c r="AB909" s="298"/>
      <c r="AC909" s="298"/>
      <c r="AD909" s="298"/>
      <c r="AE909" s="298"/>
      <c r="AF909" s="298"/>
      <c r="AG909" s="298"/>
      <c r="AH909" s="298"/>
      <c r="AI909" s="298"/>
      <c r="AJ909" s="298"/>
      <c r="AK909" s="298"/>
      <c r="AL909" s="298"/>
      <c r="AM909" s="298"/>
      <c r="AN909" s="298"/>
      <c r="AO909" s="298"/>
      <c r="AP909" s="298"/>
      <c r="AQ909" s="298"/>
      <c r="AR909" s="298"/>
      <c r="AS909" s="298"/>
      <c r="AT909" s="298"/>
      <c r="AU909" s="298"/>
      <c r="AV909" s="298"/>
      <c r="AW909" s="298"/>
      <c r="AX909" s="298"/>
      <c r="AY909" s="298"/>
      <c r="AZ909" s="298"/>
      <c r="BA909" s="298"/>
      <c r="BB909" s="298"/>
      <c r="BC909" s="298"/>
      <c r="BD909" s="298"/>
      <c r="BE909" s="298"/>
      <c r="BF909" s="298"/>
      <c r="BG909" s="298"/>
      <c r="BH909" s="298"/>
      <c r="BI909" s="298"/>
      <c r="BJ909" s="298"/>
      <c r="BK909" s="298"/>
      <c r="BL909" s="298"/>
      <c r="BM909" s="298"/>
      <c r="BN909" s="298"/>
      <c r="BO909" s="298"/>
      <c r="BP909" s="298"/>
    </row>
    <row r="910" spans="1:68" s="529" customFormat="1" ht="38.25">
      <c r="A910" s="286"/>
      <c r="B910" s="372" t="s">
        <v>15549</v>
      </c>
      <c r="C910" s="231" t="s">
        <v>17671</v>
      </c>
      <c r="D910" s="232" t="s">
        <v>103</v>
      </c>
      <c r="E910" s="232" t="s">
        <v>3240</v>
      </c>
      <c r="F910" s="233"/>
      <c r="G910" s="234"/>
      <c r="H910" s="235">
        <v>569.07000000000005</v>
      </c>
      <c r="I910" s="298"/>
      <c r="J910" s="634"/>
      <c r="K910" s="524"/>
      <c r="L910" s="524"/>
      <c r="M910" s="524"/>
      <c r="N910" s="524"/>
      <c r="O910" s="524"/>
      <c r="P910" s="298"/>
      <c r="Q910" s="298"/>
      <c r="R910" s="298"/>
      <c r="S910" s="536"/>
      <c r="T910" s="635"/>
      <c r="U910" s="298"/>
      <c r="V910" s="298"/>
      <c r="W910" s="298"/>
      <c r="X910" s="298"/>
      <c r="Y910" s="298"/>
      <c r="Z910" s="298"/>
      <c r="AA910" s="298"/>
      <c r="AB910" s="298"/>
      <c r="AC910" s="298"/>
      <c r="AD910" s="298"/>
      <c r="AE910" s="298"/>
      <c r="AF910" s="298"/>
      <c r="AG910" s="298"/>
      <c r="AH910" s="298"/>
      <c r="AI910" s="298"/>
      <c r="AJ910" s="298"/>
      <c r="AK910" s="298"/>
      <c r="AL910" s="298"/>
      <c r="AM910" s="298"/>
      <c r="AN910" s="298"/>
      <c r="AO910" s="298"/>
      <c r="AP910" s="298"/>
      <c r="AQ910" s="298"/>
      <c r="AR910" s="298"/>
      <c r="AS910" s="298"/>
      <c r="AT910" s="298"/>
      <c r="AU910" s="298"/>
      <c r="AV910" s="298"/>
      <c r="AW910" s="298"/>
      <c r="AX910" s="298"/>
      <c r="AY910" s="298"/>
      <c r="AZ910" s="298"/>
      <c r="BA910" s="298"/>
      <c r="BB910" s="298"/>
      <c r="BC910" s="298"/>
      <c r="BD910" s="298"/>
      <c r="BE910" s="298"/>
      <c r="BF910" s="298"/>
      <c r="BG910" s="298"/>
      <c r="BH910" s="298"/>
      <c r="BI910" s="298"/>
      <c r="BJ910" s="298"/>
      <c r="BK910" s="298"/>
      <c r="BL910" s="298"/>
      <c r="BM910" s="298"/>
      <c r="BN910" s="298"/>
      <c r="BO910" s="298"/>
      <c r="BP910" s="298"/>
    </row>
    <row r="911" spans="1:68" s="298" customFormat="1" ht="25.5">
      <c r="A911" s="256" t="s">
        <v>12</v>
      </c>
      <c r="B911" s="374" t="s">
        <v>17672</v>
      </c>
      <c r="C911" s="289" t="s">
        <v>17673</v>
      </c>
      <c r="D911" s="290" t="s">
        <v>207</v>
      </c>
      <c r="E911" s="290" t="s">
        <v>109</v>
      </c>
      <c r="F911" s="291">
        <v>1</v>
      </c>
      <c r="G911" s="292">
        <v>567.20000000000005</v>
      </c>
      <c r="H911" s="255">
        <v>567.20000000000005</v>
      </c>
      <c r="J911" s="634"/>
      <c r="S911" s="536"/>
      <c r="T911" s="638"/>
    </row>
    <row r="912" spans="1:68" s="298" customFormat="1" ht="25.5">
      <c r="A912" s="256" t="s">
        <v>3259</v>
      </c>
      <c r="B912" s="374">
        <v>88267</v>
      </c>
      <c r="C912" s="289" t="s">
        <v>107</v>
      </c>
      <c r="D912" s="290" t="s">
        <v>9714</v>
      </c>
      <c r="E912" s="290" t="s">
        <v>206</v>
      </c>
      <c r="F912" s="254">
        <v>0.08</v>
      </c>
      <c r="G912" s="292" t="s">
        <v>10792</v>
      </c>
      <c r="H912" s="255">
        <v>1.87</v>
      </c>
      <c r="J912" s="634"/>
      <c r="K912" s="524"/>
      <c r="L912" s="524"/>
      <c r="M912" s="524"/>
      <c r="N912" s="524"/>
      <c r="O912" s="524"/>
      <c r="S912" s="536"/>
      <c r="T912" s="638"/>
    </row>
    <row r="913" spans="1:68" s="298" customFormat="1" ht="12.75">
      <c r="A913" s="256"/>
      <c r="B913" s="288" t="s">
        <v>143</v>
      </c>
      <c r="C913" s="819" t="s">
        <v>17670</v>
      </c>
      <c r="D913" s="820"/>
      <c r="E913" s="820"/>
      <c r="F913" s="820"/>
      <c r="G913" s="820"/>
      <c r="H913" s="821"/>
      <c r="J913" s="634"/>
      <c r="K913" s="524"/>
      <c r="L913" s="524"/>
      <c r="M913" s="524"/>
      <c r="N913" s="524"/>
      <c r="O913" s="524"/>
      <c r="S913" s="536"/>
      <c r="T913" s="638"/>
    </row>
    <row r="914" spans="1:68" s="529" customFormat="1" ht="12.75">
      <c r="A914" s="286"/>
      <c r="B914" s="373"/>
      <c r="C914" s="379"/>
      <c r="D914" s="382"/>
      <c r="E914" s="382"/>
      <c r="F914" s="382"/>
      <c r="G914" s="382"/>
      <c r="H914" s="382"/>
      <c r="I914" s="298"/>
      <c r="J914" s="634"/>
      <c r="K914" s="524"/>
      <c r="L914" s="524"/>
      <c r="M914" s="524"/>
      <c r="N914" s="524"/>
      <c r="O914" s="524"/>
      <c r="P914" s="298"/>
      <c r="Q914" s="298"/>
      <c r="R914" s="298"/>
      <c r="S914" s="536"/>
      <c r="T914" s="635"/>
      <c r="U914" s="298"/>
      <c r="V914" s="298"/>
      <c r="W914" s="298"/>
      <c r="X914" s="298"/>
      <c r="Y914" s="298"/>
      <c r="Z914" s="298"/>
      <c r="AA914" s="298"/>
      <c r="AB914" s="298"/>
      <c r="AC914" s="298"/>
      <c r="AD914" s="298"/>
      <c r="AE914" s="298"/>
      <c r="AF914" s="298"/>
      <c r="AG914" s="298"/>
      <c r="AH914" s="298"/>
      <c r="AI914" s="298"/>
      <c r="AJ914" s="298"/>
      <c r="AK914" s="298"/>
      <c r="AL914" s="298"/>
      <c r="AM914" s="298"/>
      <c r="AN914" s="298"/>
      <c r="AO914" s="298"/>
      <c r="AP914" s="298"/>
      <c r="AQ914" s="298"/>
      <c r="AR914" s="298"/>
      <c r="AS914" s="298"/>
      <c r="AT914" s="298"/>
      <c r="AU914" s="298"/>
      <c r="AV914" s="298"/>
      <c r="AW914" s="298"/>
      <c r="AX914" s="298"/>
      <c r="AY914" s="298"/>
      <c r="AZ914" s="298"/>
      <c r="BA914" s="298"/>
      <c r="BB914" s="298"/>
      <c r="BC914" s="298"/>
      <c r="BD914" s="298"/>
      <c r="BE914" s="298"/>
      <c r="BF914" s="298"/>
      <c r="BG914" s="298"/>
      <c r="BH914" s="298"/>
      <c r="BI914" s="298"/>
      <c r="BJ914" s="298"/>
      <c r="BK914" s="298"/>
      <c r="BL914" s="298"/>
      <c r="BM914" s="298"/>
      <c r="BN914" s="298"/>
      <c r="BO914" s="298"/>
      <c r="BP914" s="298"/>
    </row>
    <row r="915" spans="1:68" s="529" customFormat="1" ht="51">
      <c r="A915" s="286"/>
      <c r="B915" s="372" t="s">
        <v>15550</v>
      </c>
      <c r="C915" s="231" t="s">
        <v>17687</v>
      </c>
      <c r="D915" s="232" t="s">
        <v>103</v>
      </c>
      <c r="E915" s="232" t="s">
        <v>3240</v>
      </c>
      <c r="F915" s="233"/>
      <c r="G915" s="234"/>
      <c r="H915" s="235">
        <v>762.71</v>
      </c>
      <c r="I915" s="298"/>
      <c r="J915" s="634"/>
      <c r="K915" s="524"/>
      <c r="L915" s="524"/>
      <c r="M915" s="524"/>
      <c r="N915" s="524"/>
      <c r="O915" s="524"/>
      <c r="P915" s="298"/>
      <c r="Q915" s="298"/>
      <c r="R915" s="298"/>
      <c r="S915" s="536"/>
      <c r="T915" s="635"/>
      <c r="U915" s="298"/>
      <c r="V915" s="298"/>
      <c r="W915" s="298"/>
      <c r="X915" s="298"/>
      <c r="Y915" s="298"/>
      <c r="Z915" s="298"/>
      <c r="AA915" s="298"/>
      <c r="AB915" s="298"/>
      <c r="AC915" s="298"/>
      <c r="AD915" s="298"/>
      <c r="AE915" s="298"/>
      <c r="AF915" s="298"/>
      <c r="AG915" s="298"/>
      <c r="AH915" s="298"/>
      <c r="AI915" s="298"/>
      <c r="AJ915" s="298"/>
      <c r="AK915" s="298"/>
      <c r="AL915" s="298"/>
      <c r="AM915" s="298"/>
      <c r="AN915" s="298"/>
      <c r="AO915" s="298"/>
      <c r="AP915" s="298"/>
      <c r="AQ915" s="298"/>
      <c r="AR915" s="298"/>
      <c r="AS915" s="298"/>
      <c r="AT915" s="298"/>
      <c r="AU915" s="298"/>
      <c r="AV915" s="298"/>
      <c r="AW915" s="298"/>
      <c r="AX915" s="298"/>
      <c r="AY915" s="298"/>
      <c r="AZ915" s="298"/>
      <c r="BA915" s="298"/>
      <c r="BB915" s="298"/>
      <c r="BC915" s="298"/>
      <c r="BD915" s="298"/>
      <c r="BE915" s="298"/>
      <c r="BF915" s="298"/>
      <c r="BG915" s="298"/>
      <c r="BH915" s="298"/>
      <c r="BI915" s="298"/>
      <c r="BJ915" s="298"/>
      <c r="BK915" s="298"/>
      <c r="BL915" s="298"/>
      <c r="BM915" s="298"/>
      <c r="BN915" s="298"/>
      <c r="BO915" s="298"/>
      <c r="BP915" s="298"/>
    </row>
    <row r="916" spans="1:68" s="298" customFormat="1" ht="51">
      <c r="A916" s="256" t="s">
        <v>3261</v>
      </c>
      <c r="B916" s="374">
        <v>4384</v>
      </c>
      <c r="C916" s="289" t="s">
        <v>7527</v>
      </c>
      <c r="D916" s="290" t="s">
        <v>207</v>
      </c>
      <c r="E916" s="290" t="s">
        <v>3240</v>
      </c>
      <c r="F916" s="291" t="s">
        <v>15419</v>
      </c>
      <c r="G916" s="292" t="s">
        <v>20320</v>
      </c>
      <c r="H916" s="255">
        <v>24.92</v>
      </c>
      <c r="J916" s="634"/>
      <c r="S916" s="536"/>
      <c r="T916" s="638"/>
    </row>
    <row r="917" spans="1:68" s="298" customFormat="1" ht="25.5">
      <c r="A917" s="256" t="s">
        <v>3261</v>
      </c>
      <c r="B917" s="374">
        <v>6138</v>
      </c>
      <c r="C917" s="289" t="s">
        <v>8931</v>
      </c>
      <c r="D917" s="290" t="s">
        <v>207</v>
      </c>
      <c r="E917" s="290" t="s">
        <v>3240</v>
      </c>
      <c r="F917" s="291" t="s">
        <v>15420</v>
      </c>
      <c r="G917" s="292" t="s">
        <v>9987</v>
      </c>
      <c r="H917" s="255">
        <v>3.17</v>
      </c>
      <c r="J917" s="634"/>
      <c r="S917" s="536"/>
      <c r="T917" s="638"/>
    </row>
    <row r="918" spans="1:68" s="298" customFormat="1" ht="38.25">
      <c r="A918" s="256" t="s">
        <v>3261</v>
      </c>
      <c r="B918" s="374">
        <v>36520</v>
      </c>
      <c r="C918" s="289" t="s">
        <v>4893</v>
      </c>
      <c r="D918" s="290" t="s">
        <v>207</v>
      </c>
      <c r="E918" s="290" t="s">
        <v>3240</v>
      </c>
      <c r="F918" s="291" t="s">
        <v>15420</v>
      </c>
      <c r="G918" s="292" t="s">
        <v>18952</v>
      </c>
      <c r="H918" s="255">
        <v>711.94</v>
      </c>
      <c r="J918" s="634"/>
      <c r="S918" s="536"/>
      <c r="T918" s="638"/>
    </row>
    <row r="919" spans="1:68" s="298" customFormat="1" ht="12.75">
      <c r="A919" s="256" t="s">
        <v>3261</v>
      </c>
      <c r="B919" s="374">
        <v>37329</v>
      </c>
      <c r="C919" s="289" t="s">
        <v>11964</v>
      </c>
      <c r="D919" s="290" t="s">
        <v>207</v>
      </c>
      <c r="E919" s="290" t="s">
        <v>3244</v>
      </c>
      <c r="F919" s="254" t="s">
        <v>17683</v>
      </c>
      <c r="G919" s="292" t="s">
        <v>12414</v>
      </c>
      <c r="H919" s="255">
        <v>4.9000000000000004</v>
      </c>
      <c r="J919" s="634"/>
      <c r="K919" s="524"/>
      <c r="L919" s="524"/>
      <c r="M919" s="524"/>
      <c r="N919" s="524"/>
      <c r="O919" s="524"/>
      <c r="S919" s="536"/>
      <c r="T919" s="638"/>
    </row>
    <row r="920" spans="1:68" s="298" customFormat="1" ht="25.5">
      <c r="A920" s="256" t="s">
        <v>3259</v>
      </c>
      <c r="B920" s="374">
        <v>88267</v>
      </c>
      <c r="C920" s="289" t="s">
        <v>107</v>
      </c>
      <c r="D920" s="290" t="s">
        <v>9714</v>
      </c>
      <c r="E920" s="290" t="s">
        <v>206</v>
      </c>
      <c r="F920" s="254" t="s">
        <v>17684</v>
      </c>
      <c r="G920" s="292" t="s">
        <v>10792</v>
      </c>
      <c r="H920" s="255">
        <v>11.63</v>
      </c>
      <c r="J920" s="634"/>
      <c r="K920" s="524"/>
      <c r="L920" s="524"/>
      <c r="M920" s="524"/>
      <c r="N920" s="524"/>
      <c r="O920" s="524"/>
      <c r="S920" s="536"/>
      <c r="T920" s="638"/>
    </row>
    <row r="921" spans="1:68" s="298" customFormat="1" ht="25.5">
      <c r="A921" s="256" t="s">
        <v>3259</v>
      </c>
      <c r="B921" s="374">
        <v>88316</v>
      </c>
      <c r="C921" s="289" t="s">
        <v>104</v>
      </c>
      <c r="D921" s="290" t="s">
        <v>9714</v>
      </c>
      <c r="E921" s="290" t="s">
        <v>206</v>
      </c>
      <c r="F921" s="254" t="s">
        <v>17685</v>
      </c>
      <c r="G921" s="292" t="s">
        <v>10172</v>
      </c>
      <c r="H921" s="255">
        <v>6.15</v>
      </c>
      <c r="J921" s="634"/>
      <c r="K921" s="524"/>
      <c r="L921" s="524"/>
      <c r="M921" s="524"/>
      <c r="N921" s="524"/>
      <c r="O921" s="524"/>
      <c r="S921" s="536"/>
      <c r="T921" s="638"/>
    </row>
    <row r="922" spans="1:68" s="298" customFormat="1" ht="12.75">
      <c r="A922" s="256"/>
      <c r="B922" s="288" t="s">
        <v>143</v>
      </c>
      <c r="C922" s="819" t="s">
        <v>17688</v>
      </c>
      <c r="D922" s="820"/>
      <c r="E922" s="820"/>
      <c r="F922" s="820"/>
      <c r="G922" s="820"/>
      <c r="H922" s="821"/>
      <c r="J922" s="634"/>
      <c r="K922" s="524"/>
      <c r="L922" s="524"/>
      <c r="M922" s="524"/>
      <c r="N922" s="524"/>
      <c r="O922" s="524"/>
      <c r="S922" s="536"/>
      <c r="T922" s="635"/>
    </row>
    <row r="923" spans="1:68" s="529" customFormat="1" ht="12.75">
      <c r="A923" s="286"/>
      <c r="B923" s="373"/>
      <c r="C923" s="379"/>
      <c r="D923" s="382"/>
      <c r="E923" s="382"/>
      <c r="F923" s="382"/>
      <c r="G923" s="382"/>
      <c r="H923" s="382"/>
      <c r="I923" s="298"/>
      <c r="J923" s="634"/>
      <c r="K923" s="524"/>
      <c r="L923" s="524"/>
      <c r="M923" s="524"/>
      <c r="N923" s="524"/>
      <c r="O923" s="524"/>
      <c r="P923" s="298"/>
      <c r="Q923" s="298"/>
      <c r="R923" s="298"/>
      <c r="S923" s="536"/>
      <c r="T923" s="635"/>
      <c r="U923" s="298"/>
      <c r="V923" s="298"/>
      <c r="W923" s="298"/>
      <c r="X923" s="298"/>
      <c r="Y923" s="298"/>
      <c r="Z923" s="298"/>
      <c r="AA923" s="298"/>
      <c r="AB923" s="298"/>
      <c r="AC923" s="298"/>
      <c r="AD923" s="298"/>
      <c r="AE923" s="298"/>
      <c r="AF923" s="298"/>
      <c r="AG923" s="298"/>
      <c r="AH923" s="298"/>
      <c r="AI923" s="298"/>
      <c r="AJ923" s="298"/>
      <c r="AK923" s="298"/>
      <c r="AL923" s="298"/>
      <c r="AM923" s="298"/>
      <c r="AN923" s="298"/>
      <c r="AO923" s="298"/>
      <c r="AP923" s="298"/>
      <c r="AQ923" s="298"/>
      <c r="AR923" s="298"/>
      <c r="AS923" s="298"/>
      <c r="AT923" s="298"/>
      <c r="AU923" s="298"/>
      <c r="AV923" s="298"/>
      <c r="AW923" s="298"/>
      <c r="AX923" s="298"/>
      <c r="AY923" s="298"/>
      <c r="AZ923" s="298"/>
      <c r="BA923" s="298"/>
      <c r="BB923" s="298"/>
      <c r="BC923" s="298"/>
      <c r="BD923" s="298"/>
      <c r="BE923" s="298"/>
      <c r="BF923" s="298"/>
      <c r="BG923" s="298"/>
      <c r="BH923" s="298"/>
      <c r="BI923" s="298"/>
      <c r="BJ923" s="298"/>
      <c r="BK923" s="298"/>
      <c r="BL923" s="298"/>
      <c r="BM923" s="298"/>
      <c r="BN923" s="298"/>
      <c r="BO923" s="298"/>
      <c r="BP923" s="298"/>
    </row>
    <row r="924" spans="1:68" s="529" customFormat="1" ht="51">
      <c r="A924" s="286"/>
      <c r="B924" s="372" t="s">
        <v>15551</v>
      </c>
      <c r="C924" s="231" t="s">
        <v>17689</v>
      </c>
      <c r="D924" s="232" t="s">
        <v>103</v>
      </c>
      <c r="E924" s="232" t="s">
        <v>3240</v>
      </c>
      <c r="F924" s="233"/>
      <c r="G924" s="234"/>
      <c r="H924" s="235">
        <v>165.64</v>
      </c>
      <c r="I924" s="298"/>
      <c r="J924" s="634"/>
      <c r="K924" s="524"/>
      <c r="L924" s="524"/>
      <c r="M924" s="524"/>
      <c r="N924" s="524"/>
      <c r="O924" s="524"/>
      <c r="P924" s="298"/>
      <c r="Q924" s="298"/>
      <c r="R924" s="298"/>
      <c r="S924" s="536"/>
      <c r="T924" s="635"/>
      <c r="U924" s="298"/>
      <c r="V924" s="298"/>
      <c r="W924" s="298"/>
      <c r="X924" s="298"/>
      <c r="Y924" s="298"/>
      <c r="Z924" s="298"/>
      <c r="AA924" s="298"/>
      <c r="AB924" s="298"/>
      <c r="AC924" s="298"/>
      <c r="AD924" s="298"/>
      <c r="AE924" s="298"/>
      <c r="AF924" s="298"/>
      <c r="AG924" s="298"/>
      <c r="AH924" s="298"/>
      <c r="AI924" s="298"/>
      <c r="AJ924" s="298"/>
      <c r="AK924" s="298"/>
      <c r="AL924" s="298"/>
      <c r="AM924" s="298"/>
      <c r="AN924" s="298"/>
      <c r="AO924" s="298"/>
      <c r="AP924" s="298"/>
      <c r="AQ924" s="298"/>
      <c r="AR924" s="298"/>
      <c r="AS924" s="298"/>
      <c r="AT924" s="298"/>
      <c r="AU924" s="298"/>
      <c r="AV924" s="298"/>
      <c r="AW924" s="298"/>
      <c r="AX924" s="298"/>
      <c r="AY924" s="298"/>
      <c r="AZ924" s="298"/>
      <c r="BA924" s="298"/>
      <c r="BB924" s="298"/>
      <c r="BC924" s="298"/>
      <c r="BD924" s="298"/>
      <c r="BE924" s="298"/>
      <c r="BF924" s="298"/>
      <c r="BG924" s="298"/>
      <c r="BH924" s="298"/>
      <c r="BI924" s="298"/>
      <c r="BJ924" s="298"/>
      <c r="BK924" s="298"/>
      <c r="BL924" s="298"/>
      <c r="BM924" s="298"/>
      <c r="BN924" s="298"/>
      <c r="BO924" s="298"/>
      <c r="BP924" s="298"/>
    </row>
    <row r="925" spans="1:68" s="298" customFormat="1" ht="38.25">
      <c r="A925" s="256" t="s">
        <v>12</v>
      </c>
      <c r="B925" s="374" t="s">
        <v>17682</v>
      </c>
      <c r="C925" s="289" t="s">
        <v>17690</v>
      </c>
      <c r="D925" s="290" t="s">
        <v>207</v>
      </c>
      <c r="E925" s="290" t="s">
        <v>109</v>
      </c>
      <c r="F925" s="254">
        <v>1</v>
      </c>
      <c r="G925" s="292">
        <v>161.19999999999999</v>
      </c>
      <c r="H925" s="255">
        <v>161.19999999999999</v>
      </c>
      <c r="J925" s="634"/>
      <c r="K925" s="524"/>
      <c r="L925" s="524"/>
      <c r="M925" s="524"/>
      <c r="N925" s="524"/>
      <c r="O925" s="524"/>
      <c r="S925" s="536"/>
      <c r="T925" s="638"/>
    </row>
    <row r="926" spans="1:68" s="298" customFormat="1" ht="25.5">
      <c r="A926" s="256" t="s">
        <v>3259</v>
      </c>
      <c r="B926" s="374">
        <v>88267</v>
      </c>
      <c r="C926" s="289" t="s">
        <v>107</v>
      </c>
      <c r="D926" s="290" t="s">
        <v>9714</v>
      </c>
      <c r="E926" s="290" t="s">
        <v>206</v>
      </c>
      <c r="F926" s="254" t="s">
        <v>17691</v>
      </c>
      <c r="G926" s="292" t="s">
        <v>10792</v>
      </c>
      <c r="H926" s="255">
        <v>3.59</v>
      </c>
      <c r="J926" s="634"/>
      <c r="K926" s="524"/>
      <c r="L926" s="524"/>
      <c r="M926" s="524"/>
      <c r="N926" s="524"/>
      <c r="O926" s="524"/>
      <c r="S926" s="536"/>
      <c r="T926" s="638"/>
    </row>
    <row r="927" spans="1:68" s="298" customFormat="1" ht="25.5">
      <c r="A927" s="256" t="s">
        <v>3259</v>
      </c>
      <c r="B927" s="374">
        <v>88316</v>
      </c>
      <c r="C927" s="289" t="s">
        <v>104</v>
      </c>
      <c r="D927" s="290" t="s">
        <v>9714</v>
      </c>
      <c r="E927" s="290" t="s">
        <v>206</v>
      </c>
      <c r="F927" s="254" t="s">
        <v>17692</v>
      </c>
      <c r="G927" s="292" t="s">
        <v>10172</v>
      </c>
      <c r="H927" s="255">
        <v>0.85</v>
      </c>
      <c r="J927" s="634"/>
      <c r="K927" s="524"/>
      <c r="L927" s="524"/>
      <c r="M927" s="524"/>
      <c r="N927" s="524"/>
      <c r="O927" s="524"/>
      <c r="S927" s="536"/>
      <c r="T927" s="638"/>
    </row>
    <row r="928" spans="1:68" s="298" customFormat="1" ht="12.75">
      <c r="A928" s="256"/>
      <c r="B928" s="288" t="s">
        <v>143</v>
      </c>
      <c r="C928" s="819" t="s">
        <v>17693</v>
      </c>
      <c r="D928" s="820"/>
      <c r="E928" s="820"/>
      <c r="F928" s="820"/>
      <c r="G928" s="820"/>
      <c r="H928" s="821"/>
      <c r="J928" s="634"/>
      <c r="K928" s="524"/>
      <c r="L928" s="524"/>
      <c r="M928" s="524"/>
      <c r="N928" s="524"/>
      <c r="O928" s="524"/>
      <c r="S928" s="536"/>
      <c r="T928" s="635"/>
    </row>
    <row r="929" spans="1:68" s="529" customFormat="1" ht="12.75">
      <c r="A929" s="286"/>
      <c r="B929" s="373"/>
      <c r="C929" s="379"/>
      <c r="D929" s="382"/>
      <c r="E929" s="382"/>
      <c r="F929" s="382"/>
      <c r="G929" s="382"/>
      <c r="H929" s="382"/>
      <c r="I929" s="298"/>
      <c r="J929" s="634"/>
      <c r="K929" s="524"/>
      <c r="L929" s="524"/>
      <c r="M929" s="524"/>
      <c r="N929" s="524"/>
      <c r="O929" s="524"/>
      <c r="P929" s="298"/>
      <c r="Q929" s="298"/>
      <c r="R929" s="298"/>
      <c r="S929" s="536"/>
      <c r="T929" s="635"/>
      <c r="U929" s="298"/>
      <c r="V929" s="298"/>
      <c r="W929" s="298"/>
      <c r="X929" s="298"/>
      <c r="Y929" s="298"/>
      <c r="Z929" s="298"/>
      <c r="AA929" s="298"/>
      <c r="AB929" s="298"/>
      <c r="AC929" s="298"/>
      <c r="AD929" s="298"/>
      <c r="AE929" s="298"/>
      <c r="AF929" s="298"/>
      <c r="AG929" s="298"/>
      <c r="AH929" s="298"/>
      <c r="AI929" s="298"/>
      <c r="AJ929" s="298"/>
      <c r="AK929" s="298"/>
      <c r="AL929" s="298"/>
      <c r="AM929" s="298"/>
      <c r="AN929" s="298"/>
      <c r="AO929" s="298"/>
      <c r="AP929" s="298"/>
      <c r="AQ929" s="298"/>
      <c r="AR929" s="298"/>
      <c r="AS929" s="298"/>
      <c r="AT929" s="298"/>
      <c r="AU929" s="298"/>
      <c r="AV929" s="298"/>
      <c r="AW929" s="298"/>
      <c r="AX929" s="298"/>
      <c r="AY929" s="298"/>
      <c r="AZ929" s="298"/>
      <c r="BA929" s="298"/>
      <c r="BB929" s="298"/>
      <c r="BC929" s="298"/>
      <c r="BD929" s="298"/>
      <c r="BE929" s="298"/>
      <c r="BF929" s="298"/>
      <c r="BG929" s="298"/>
      <c r="BH929" s="298"/>
      <c r="BI929" s="298"/>
      <c r="BJ929" s="298"/>
      <c r="BK929" s="298"/>
      <c r="BL929" s="298"/>
      <c r="BM929" s="298"/>
      <c r="BN929" s="298"/>
      <c r="BO929" s="298"/>
      <c r="BP929" s="298"/>
    </row>
    <row r="930" spans="1:68" s="529" customFormat="1" ht="38.25">
      <c r="A930" s="286"/>
      <c r="B930" s="372" t="s">
        <v>15552</v>
      </c>
      <c r="C930" s="231" t="s">
        <v>17698</v>
      </c>
      <c r="D930" s="232" t="s">
        <v>103</v>
      </c>
      <c r="E930" s="232" t="s">
        <v>3240</v>
      </c>
      <c r="F930" s="233"/>
      <c r="G930" s="234"/>
      <c r="H930" s="235">
        <v>87.58</v>
      </c>
      <c r="I930" s="298"/>
      <c r="J930" s="634"/>
      <c r="K930" s="524"/>
      <c r="L930" s="524"/>
      <c r="M930" s="524"/>
      <c r="N930" s="524"/>
      <c r="O930" s="524"/>
      <c r="P930" s="298"/>
      <c r="Q930" s="298"/>
      <c r="R930" s="298"/>
      <c r="S930" s="536"/>
      <c r="T930" s="635"/>
      <c r="U930" s="298"/>
      <c r="V930" s="298"/>
      <c r="W930" s="298"/>
      <c r="X930" s="298"/>
      <c r="Y930" s="298"/>
      <c r="Z930" s="298"/>
      <c r="AA930" s="298"/>
      <c r="AB930" s="298"/>
      <c r="AC930" s="298"/>
      <c r="AD930" s="298"/>
      <c r="AE930" s="298"/>
      <c r="AF930" s="298"/>
      <c r="AG930" s="298"/>
      <c r="AH930" s="298"/>
      <c r="AI930" s="298"/>
      <c r="AJ930" s="298"/>
      <c r="AK930" s="298"/>
      <c r="AL930" s="298"/>
      <c r="AM930" s="298"/>
      <c r="AN930" s="298"/>
      <c r="AO930" s="298"/>
      <c r="AP930" s="298"/>
      <c r="AQ930" s="298"/>
      <c r="AR930" s="298"/>
      <c r="AS930" s="298"/>
      <c r="AT930" s="298"/>
      <c r="AU930" s="298"/>
      <c r="AV930" s="298"/>
      <c r="AW930" s="298"/>
      <c r="AX930" s="298"/>
      <c r="AY930" s="298"/>
      <c r="AZ930" s="298"/>
      <c r="BA930" s="298"/>
      <c r="BB930" s="298"/>
      <c r="BC930" s="298"/>
      <c r="BD930" s="298"/>
      <c r="BE930" s="298"/>
      <c r="BF930" s="298"/>
      <c r="BG930" s="298"/>
      <c r="BH930" s="298"/>
      <c r="BI930" s="298"/>
      <c r="BJ930" s="298"/>
      <c r="BK930" s="298"/>
      <c r="BL930" s="298"/>
      <c r="BM930" s="298"/>
      <c r="BN930" s="298"/>
      <c r="BO930" s="298"/>
      <c r="BP930" s="298"/>
    </row>
    <row r="931" spans="1:68" s="298" customFormat="1" ht="25.5">
      <c r="A931" s="256" t="s">
        <v>12</v>
      </c>
      <c r="B931" s="374" t="s">
        <v>17695</v>
      </c>
      <c r="C931" s="289" t="s">
        <v>17697</v>
      </c>
      <c r="D931" s="290" t="s">
        <v>207</v>
      </c>
      <c r="E931" s="290" t="s">
        <v>109</v>
      </c>
      <c r="F931" s="254">
        <v>1</v>
      </c>
      <c r="G931" s="292">
        <v>82.9</v>
      </c>
      <c r="H931" s="255">
        <v>82.9</v>
      </c>
      <c r="J931" s="634"/>
      <c r="K931" s="524"/>
      <c r="L931" s="524"/>
      <c r="M931" s="524"/>
      <c r="N931" s="524"/>
      <c r="O931" s="524"/>
      <c r="S931" s="536"/>
      <c r="T931" s="638"/>
    </row>
    <row r="932" spans="1:68" s="298" customFormat="1" ht="25.5">
      <c r="A932" s="256" t="s">
        <v>3259</v>
      </c>
      <c r="B932" s="374">
        <v>88267</v>
      </c>
      <c r="C932" s="289" t="s">
        <v>107</v>
      </c>
      <c r="D932" s="290" t="s">
        <v>9714</v>
      </c>
      <c r="E932" s="290" t="s">
        <v>206</v>
      </c>
      <c r="F932" s="254">
        <v>0.2</v>
      </c>
      <c r="G932" s="292" t="s">
        <v>10792</v>
      </c>
      <c r="H932" s="255">
        <v>4.68</v>
      </c>
      <c r="J932" s="634"/>
      <c r="K932" s="524"/>
      <c r="L932" s="524"/>
      <c r="M932" s="524"/>
      <c r="N932" s="524"/>
      <c r="O932" s="524"/>
      <c r="S932" s="536"/>
      <c r="T932" s="638"/>
    </row>
    <row r="933" spans="1:68" s="298" customFormat="1" ht="12.75">
      <c r="A933" s="256"/>
      <c r="B933" s="288" t="s">
        <v>143</v>
      </c>
      <c r="C933" s="819" t="s">
        <v>17694</v>
      </c>
      <c r="D933" s="820"/>
      <c r="E933" s="820"/>
      <c r="F933" s="820"/>
      <c r="G933" s="820"/>
      <c r="H933" s="821"/>
      <c r="J933" s="634"/>
      <c r="K933" s="524"/>
      <c r="L933" s="524"/>
      <c r="M933" s="524"/>
      <c r="N933" s="524"/>
      <c r="O933" s="524"/>
      <c r="S933" s="536"/>
      <c r="T933" s="638"/>
    </row>
    <row r="934" spans="1:68" s="529" customFormat="1" ht="12.75">
      <c r="A934" s="286"/>
      <c r="B934" s="373"/>
      <c r="C934" s="379"/>
      <c r="D934" s="382"/>
      <c r="E934" s="382"/>
      <c r="F934" s="382"/>
      <c r="G934" s="382"/>
      <c r="H934" s="382"/>
      <c r="I934" s="298"/>
      <c r="J934" s="634"/>
      <c r="K934" s="524"/>
      <c r="L934" s="524"/>
      <c r="M934" s="524"/>
      <c r="N934" s="524"/>
      <c r="O934" s="524"/>
      <c r="P934" s="298"/>
      <c r="Q934" s="298"/>
      <c r="R934" s="298"/>
      <c r="S934" s="536"/>
      <c r="T934" s="635"/>
      <c r="U934" s="298"/>
      <c r="V934" s="298"/>
      <c r="W934" s="298"/>
      <c r="X934" s="298"/>
      <c r="Y934" s="298"/>
      <c r="Z934" s="298"/>
      <c r="AA934" s="298"/>
      <c r="AB934" s="298"/>
      <c r="AC934" s="298"/>
      <c r="AD934" s="298"/>
      <c r="AE934" s="298"/>
      <c r="AF934" s="298"/>
      <c r="AG934" s="298"/>
      <c r="AH934" s="298"/>
      <c r="AI934" s="298"/>
      <c r="AJ934" s="298"/>
      <c r="AK934" s="298"/>
      <c r="AL934" s="298"/>
      <c r="AM934" s="298"/>
      <c r="AN934" s="298"/>
      <c r="AO934" s="298"/>
      <c r="AP934" s="298"/>
      <c r="AQ934" s="298"/>
      <c r="AR934" s="298"/>
      <c r="AS934" s="298"/>
      <c r="AT934" s="298"/>
      <c r="AU934" s="298"/>
      <c r="AV934" s="298"/>
      <c r="AW934" s="298"/>
      <c r="AX934" s="298"/>
      <c r="AY934" s="298"/>
      <c r="AZ934" s="298"/>
      <c r="BA934" s="298"/>
      <c r="BB934" s="298"/>
      <c r="BC934" s="298"/>
      <c r="BD934" s="298"/>
      <c r="BE934" s="298"/>
      <c r="BF934" s="298"/>
      <c r="BG934" s="298"/>
      <c r="BH934" s="298"/>
      <c r="BI934" s="298"/>
      <c r="BJ934" s="298"/>
      <c r="BK934" s="298"/>
      <c r="BL934" s="298"/>
      <c r="BM934" s="298"/>
      <c r="BN934" s="298"/>
      <c r="BO934" s="298"/>
      <c r="BP934" s="298"/>
    </row>
    <row r="935" spans="1:68" s="529" customFormat="1" ht="51">
      <c r="A935" s="286"/>
      <c r="B935" s="372" t="s">
        <v>15553</v>
      </c>
      <c r="C935" s="231" t="s">
        <v>17701</v>
      </c>
      <c r="D935" s="232" t="s">
        <v>103</v>
      </c>
      <c r="E935" s="232" t="s">
        <v>3240</v>
      </c>
      <c r="F935" s="233"/>
      <c r="G935" s="234"/>
      <c r="H935" s="235">
        <v>631.45000000000005</v>
      </c>
      <c r="I935" s="298"/>
      <c r="J935" s="634"/>
      <c r="K935" s="524"/>
      <c r="L935" s="524"/>
      <c r="M935" s="524"/>
      <c r="N935" s="524"/>
      <c r="O935" s="524"/>
      <c r="P935" s="298"/>
      <c r="Q935" s="298"/>
      <c r="R935" s="298"/>
      <c r="S935" s="536"/>
      <c r="T935" s="635"/>
      <c r="U935" s="298"/>
      <c r="V935" s="298"/>
      <c r="W935" s="298"/>
      <c r="X935" s="298"/>
      <c r="Y935" s="298"/>
      <c r="Z935" s="298"/>
      <c r="AA935" s="298"/>
      <c r="AB935" s="298"/>
      <c r="AC935" s="298"/>
      <c r="AD935" s="298"/>
      <c r="AE935" s="298"/>
      <c r="AF935" s="298"/>
      <c r="AG935" s="298"/>
      <c r="AH935" s="298"/>
      <c r="AI935" s="298"/>
      <c r="AJ935" s="298"/>
      <c r="AK935" s="298"/>
      <c r="AL935" s="298"/>
      <c r="AM935" s="298"/>
      <c r="AN935" s="298"/>
      <c r="AO935" s="298"/>
      <c r="AP935" s="298"/>
      <c r="AQ935" s="298"/>
      <c r="AR935" s="298"/>
      <c r="AS935" s="298"/>
      <c r="AT935" s="298"/>
      <c r="AU935" s="298"/>
      <c r="AV935" s="298"/>
      <c r="AW935" s="298"/>
      <c r="AX935" s="298"/>
      <c r="AY935" s="298"/>
      <c r="AZ935" s="298"/>
      <c r="BA935" s="298"/>
      <c r="BB935" s="298"/>
      <c r="BC935" s="298"/>
      <c r="BD935" s="298"/>
      <c r="BE935" s="298"/>
      <c r="BF935" s="298"/>
      <c r="BG935" s="298"/>
      <c r="BH935" s="298"/>
      <c r="BI935" s="298"/>
      <c r="BJ935" s="298"/>
      <c r="BK935" s="298"/>
      <c r="BL935" s="298"/>
      <c r="BM935" s="298"/>
      <c r="BN935" s="298"/>
      <c r="BO935" s="298"/>
      <c r="BP935" s="298"/>
    </row>
    <row r="936" spans="1:68" s="298" customFormat="1" ht="25.5">
      <c r="A936" s="256" t="s">
        <v>12</v>
      </c>
      <c r="B936" s="374" t="s">
        <v>17699</v>
      </c>
      <c r="C936" s="289" t="s">
        <v>24663</v>
      </c>
      <c r="D936" s="290" t="s">
        <v>207</v>
      </c>
      <c r="E936" s="290" t="s">
        <v>109</v>
      </c>
      <c r="F936" s="254">
        <v>1</v>
      </c>
      <c r="G936" s="292">
        <v>618.45000000000005</v>
      </c>
      <c r="H936" s="255">
        <v>618.45000000000005</v>
      </c>
      <c r="J936" s="634"/>
      <c r="K936" s="524"/>
      <c r="L936" s="524"/>
      <c r="M936" s="524"/>
      <c r="N936" s="524"/>
      <c r="O936" s="524"/>
      <c r="S936" s="536"/>
      <c r="T936" s="638"/>
    </row>
    <row r="937" spans="1:68" s="298" customFormat="1" ht="25.5">
      <c r="A937" s="256" t="s">
        <v>3261</v>
      </c>
      <c r="B937" s="374">
        <v>3146</v>
      </c>
      <c r="C937" s="289" t="s">
        <v>6463</v>
      </c>
      <c r="D937" s="290" t="s">
        <v>207</v>
      </c>
      <c r="E937" s="290" t="s">
        <v>3240</v>
      </c>
      <c r="F937" s="291" t="s">
        <v>17702</v>
      </c>
      <c r="G937" s="292" t="s">
        <v>11333</v>
      </c>
      <c r="H937" s="255">
        <v>0.08</v>
      </c>
      <c r="J937" s="634"/>
      <c r="S937" s="536"/>
      <c r="T937" s="638"/>
    </row>
    <row r="938" spans="1:68" s="298" customFormat="1" ht="25.5">
      <c r="A938" s="256" t="s">
        <v>3259</v>
      </c>
      <c r="B938" s="374">
        <v>88267</v>
      </c>
      <c r="C938" s="289" t="s">
        <v>107</v>
      </c>
      <c r="D938" s="290" t="s">
        <v>9714</v>
      </c>
      <c r="E938" s="290" t="s">
        <v>206</v>
      </c>
      <c r="F938" s="254" t="s">
        <v>17703</v>
      </c>
      <c r="G938" s="292" t="s">
        <v>10792</v>
      </c>
      <c r="H938" s="255">
        <v>10.45</v>
      </c>
      <c r="J938" s="634"/>
      <c r="K938" s="524"/>
      <c r="L938" s="524"/>
      <c r="M938" s="524"/>
      <c r="N938" s="524"/>
      <c r="O938" s="524"/>
      <c r="S938" s="536"/>
      <c r="T938" s="638"/>
    </row>
    <row r="939" spans="1:68" s="298" customFormat="1" ht="25.5">
      <c r="A939" s="256" t="s">
        <v>3259</v>
      </c>
      <c r="B939" s="374">
        <v>88316</v>
      </c>
      <c r="C939" s="289" t="s">
        <v>104</v>
      </c>
      <c r="D939" s="290" t="s">
        <v>9714</v>
      </c>
      <c r="E939" s="290" t="s">
        <v>206</v>
      </c>
      <c r="F939" s="254" t="s">
        <v>17704</v>
      </c>
      <c r="G939" s="292" t="s">
        <v>10172</v>
      </c>
      <c r="H939" s="255">
        <v>2.4700000000000002</v>
      </c>
      <c r="J939" s="634"/>
      <c r="K939" s="524"/>
      <c r="L939" s="524"/>
      <c r="M939" s="524"/>
      <c r="N939" s="524"/>
      <c r="O939" s="524"/>
      <c r="S939" s="536"/>
      <c r="T939" s="638"/>
    </row>
    <row r="940" spans="1:68" s="298" customFormat="1" ht="12.75">
      <c r="A940" s="256"/>
      <c r="B940" s="288" t="s">
        <v>143</v>
      </c>
      <c r="C940" s="819" t="s">
        <v>17705</v>
      </c>
      <c r="D940" s="820"/>
      <c r="E940" s="820"/>
      <c r="F940" s="820"/>
      <c r="G940" s="820"/>
      <c r="H940" s="821"/>
      <c r="J940" s="634"/>
      <c r="K940" s="524"/>
      <c r="L940" s="524"/>
      <c r="M940" s="524"/>
      <c r="N940" s="524"/>
      <c r="O940" s="524"/>
      <c r="S940" s="536"/>
      <c r="T940" s="635"/>
    </row>
    <row r="941" spans="1:68" s="529" customFormat="1" ht="12.75">
      <c r="A941" s="286"/>
      <c r="B941" s="373"/>
      <c r="C941" s="379"/>
      <c r="D941" s="382"/>
      <c r="E941" s="382"/>
      <c r="F941" s="382"/>
      <c r="G941" s="382"/>
      <c r="H941" s="382"/>
      <c r="I941" s="298"/>
      <c r="J941" s="634"/>
      <c r="K941" s="524"/>
      <c r="L941" s="524"/>
      <c r="M941" s="524"/>
      <c r="N941" s="524"/>
      <c r="O941" s="524"/>
      <c r="P941" s="298"/>
      <c r="Q941" s="298"/>
      <c r="R941" s="298"/>
      <c r="S941" s="536"/>
      <c r="T941" s="635"/>
      <c r="U941" s="298"/>
      <c r="V941" s="298"/>
      <c r="W941" s="298"/>
      <c r="X941" s="298"/>
      <c r="Y941" s="298"/>
      <c r="Z941" s="298"/>
      <c r="AA941" s="298"/>
      <c r="AB941" s="298"/>
      <c r="AC941" s="298"/>
      <c r="AD941" s="298"/>
      <c r="AE941" s="298"/>
      <c r="AF941" s="298"/>
      <c r="AG941" s="298"/>
      <c r="AH941" s="298"/>
      <c r="AI941" s="298"/>
      <c r="AJ941" s="298"/>
      <c r="AK941" s="298"/>
      <c r="AL941" s="298"/>
      <c r="AM941" s="298"/>
      <c r="AN941" s="298"/>
      <c r="AO941" s="298"/>
      <c r="AP941" s="298"/>
      <c r="AQ941" s="298"/>
      <c r="AR941" s="298"/>
      <c r="AS941" s="298"/>
      <c r="AT941" s="298"/>
      <c r="AU941" s="298"/>
      <c r="AV941" s="298"/>
      <c r="AW941" s="298"/>
      <c r="AX941" s="298"/>
      <c r="AY941" s="298"/>
      <c r="AZ941" s="298"/>
      <c r="BA941" s="298"/>
      <c r="BB941" s="298"/>
      <c r="BC941" s="298"/>
      <c r="BD941" s="298"/>
      <c r="BE941" s="298"/>
      <c r="BF941" s="298"/>
      <c r="BG941" s="298"/>
      <c r="BH941" s="298"/>
      <c r="BI941" s="298"/>
      <c r="BJ941" s="298"/>
      <c r="BK941" s="298"/>
      <c r="BL941" s="298"/>
      <c r="BM941" s="298"/>
      <c r="BN941" s="298"/>
      <c r="BO941" s="298"/>
      <c r="BP941" s="298"/>
    </row>
    <row r="942" spans="1:68" s="529" customFormat="1" ht="38.25">
      <c r="A942" s="286"/>
      <c r="B942" s="372" t="s">
        <v>15556</v>
      </c>
      <c r="C942" s="231" t="s">
        <v>15541</v>
      </c>
      <c r="D942" s="232" t="s">
        <v>103</v>
      </c>
      <c r="E942" s="232" t="s">
        <v>3240</v>
      </c>
      <c r="F942" s="233"/>
      <c r="G942" s="234"/>
      <c r="H942" s="235">
        <v>874.81</v>
      </c>
      <c r="I942" s="298"/>
      <c r="J942" s="634"/>
      <c r="K942" s="524"/>
      <c r="L942" s="524"/>
      <c r="M942" s="524"/>
      <c r="N942" s="524"/>
      <c r="O942" s="524"/>
      <c r="P942" s="298"/>
      <c r="Q942" s="298"/>
      <c r="R942" s="298"/>
      <c r="S942" s="536"/>
      <c r="T942" s="635"/>
      <c r="U942" s="298"/>
      <c r="V942" s="298"/>
      <c r="W942" s="298"/>
      <c r="X942" s="298"/>
      <c r="Y942" s="298"/>
      <c r="Z942" s="298"/>
      <c r="AA942" s="298"/>
      <c r="AB942" s="298"/>
      <c r="AC942" s="298"/>
      <c r="AD942" s="298"/>
      <c r="AE942" s="298"/>
      <c r="AF942" s="298"/>
      <c r="AG942" s="298"/>
      <c r="AH942" s="298"/>
      <c r="AI942" s="298"/>
      <c r="AJ942" s="298"/>
      <c r="AK942" s="298"/>
      <c r="AL942" s="298"/>
      <c r="AM942" s="298"/>
      <c r="AN942" s="298"/>
      <c r="AO942" s="298"/>
      <c r="AP942" s="298"/>
      <c r="AQ942" s="298"/>
      <c r="AR942" s="298"/>
      <c r="AS942" s="298"/>
      <c r="AT942" s="298"/>
      <c r="AU942" s="298"/>
      <c r="AV942" s="298"/>
      <c r="AW942" s="298"/>
      <c r="AX942" s="298"/>
      <c r="AY942" s="298"/>
      <c r="AZ942" s="298"/>
      <c r="BA942" s="298"/>
      <c r="BB942" s="298"/>
      <c r="BC942" s="298"/>
      <c r="BD942" s="298"/>
      <c r="BE942" s="298"/>
      <c r="BF942" s="298"/>
      <c r="BG942" s="298"/>
      <c r="BH942" s="298"/>
      <c r="BI942" s="298"/>
      <c r="BJ942" s="298"/>
      <c r="BK942" s="298"/>
      <c r="BL942" s="298"/>
      <c r="BM942" s="298"/>
      <c r="BN942" s="298"/>
      <c r="BO942" s="298"/>
      <c r="BP942" s="298"/>
    </row>
    <row r="943" spans="1:68" s="298" customFormat="1" ht="25.5">
      <c r="A943" s="256" t="s">
        <v>3261</v>
      </c>
      <c r="B943" s="374">
        <v>3146</v>
      </c>
      <c r="C943" s="289" t="s">
        <v>6463</v>
      </c>
      <c r="D943" s="290" t="s">
        <v>207</v>
      </c>
      <c r="E943" s="290" t="s">
        <v>3240</v>
      </c>
      <c r="F943" s="291">
        <v>5.6000000000000001E-2</v>
      </c>
      <c r="G943" s="292" t="s">
        <v>11333</v>
      </c>
      <c r="H943" s="255">
        <v>0.21</v>
      </c>
      <c r="J943" s="634"/>
      <c r="S943" s="536"/>
      <c r="T943" s="638"/>
    </row>
    <row r="944" spans="1:68" s="298" customFormat="1" ht="25.5">
      <c r="A944" s="256" t="s">
        <v>12</v>
      </c>
      <c r="B944" s="374" t="s">
        <v>17700</v>
      </c>
      <c r="C944" s="289" t="s">
        <v>15328</v>
      </c>
      <c r="D944" s="290" t="s">
        <v>207</v>
      </c>
      <c r="E944" s="290" t="s">
        <v>109</v>
      </c>
      <c r="F944" s="254">
        <v>1</v>
      </c>
      <c r="G944" s="292">
        <v>854.1</v>
      </c>
      <c r="H944" s="255">
        <v>854.1</v>
      </c>
      <c r="J944" s="634"/>
      <c r="K944" s="524"/>
      <c r="L944" s="524"/>
      <c r="M944" s="524"/>
      <c r="N944" s="524"/>
      <c r="O944" s="524"/>
      <c r="S944" s="536"/>
      <c r="T944" s="638"/>
    </row>
    <row r="945" spans="1:68" s="298" customFormat="1" ht="25.5">
      <c r="A945" s="256" t="s">
        <v>3259</v>
      </c>
      <c r="B945" s="374">
        <v>88267</v>
      </c>
      <c r="C945" s="289" t="s">
        <v>107</v>
      </c>
      <c r="D945" s="290" t="s">
        <v>9714</v>
      </c>
      <c r="E945" s="290" t="s">
        <v>206</v>
      </c>
      <c r="F945" s="254">
        <v>0.5</v>
      </c>
      <c r="G945" s="292" t="s">
        <v>10792</v>
      </c>
      <c r="H945" s="255">
        <v>11.7</v>
      </c>
      <c r="J945" s="634"/>
      <c r="K945" s="524"/>
      <c r="L945" s="524"/>
      <c r="M945" s="524"/>
      <c r="N945" s="524"/>
      <c r="O945" s="524"/>
      <c r="S945" s="536"/>
      <c r="T945" s="638"/>
    </row>
    <row r="946" spans="1:68" s="298" customFormat="1" ht="25.5">
      <c r="A946" s="256" t="s">
        <v>3259</v>
      </c>
      <c r="B946" s="374">
        <v>88316</v>
      </c>
      <c r="C946" s="289" t="s">
        <v>104</v>
      </c>
      <c r="D946" s="290" t="s">
        <v>9714</v>
      </c>
      <c r="E946" s="290" t="s">
        <v>206</v>
      </c>
      <c r="F946" s="254">
        <v>0.5</v>
      </c>
      <c r="G946" s="292" t="s">
        <v>10172</v>
      </c>
      <c r="H946" s="255">
        <v>8.8000000000000007</v>
      </c>
      <c r="J946" s="634"/>
      <c r="K946" s="524"/>
      <c r="L946" s="524"/>
      <c r="M946" s="524"/>
      <c r="N946" s="524"/>
      <c r="O946" s="524"/>
      <c r="S946" s="536"/>
      <c r="T946" s="638"/>
    </row>
    <row r="947" spans="1:68" s="298" customFormat="1" ht="12.75">
      <c r="A947" s="256"/>
      <c r="B947" s="288" t="s">
        <v>143</v>
      </c>
      <c r="C947" s="819" t="s">
        <v>15542</v>
      </c>
      <c r="D947" s="820"/>
      <c r="E947" s="820"/>
      <c r="F947" s="820"/>
      <c r="G947" s="820"/>
      <c r="H947" s="821"/>
      <c r="J947" s="634"/>
      <c r="K947" s="524"/>
      <c r="L947" s="524"/>
      <c r="M947" s="524"/>
      <c r="N947" s="524"/>
      <c r="O947" s="524"/>
      <c r="S947" s="536"/>
      <c r="T947" s="635"/>
    </row>
    <row r="948" spans="1:68" s="529" customFormat="1" ht="12.75">
      <c r="A948" s="286"/>
      <c r="B948" s="373"/>
      <c r="C948" s="379"/>
      <c r="D948" s="382"/>
      <c r="E948" s="382"/>
      <c r="F948" s="382"/>
      <c r="G948" s="382"/>
      <c r="H948" s="382"/>
      <c r="I948" s="298"/>
      <c r="J948" s="634"/>
      <c r="K948" s="524"/>
      <c r="L948" s="524"/>
      <c r="M948" s="524"/>
      <c r="N948" s="524"/>
      <c r="O948" s="524"/>
      <c r="P948" s="298"/>
      <c r="Q948" s="298"/>
      <c r="R948" s="298"/>
      <c r="S948" s="536"/>
      <c r="T948" s="635"/>
      <c r="U948" s="298"/>
      <c r="V948" s="298"/>
      <c r="W948" s="298"/>
      <c r="X948" s="298"/>
      <c r="Y948" s="298"/>
      <c r="Z948" s="298"/>
      <c r="AA948" s="298"/>
      <c r="AB948" s="298"/>
      <c r="AC948" s="298"/>
      <c r="AD948" s="298"/>
      <c r="AE948" s="298"/>
      <c r="AF948" s="298"/>
      <c r="AG948" s="298"/>
      <c r="AH948" s="298"/>
      <c r="AI948" s="298"/>
      <c r="AJ948" s="298"/>
      <c r="AK948" s="298"/>
      <c r="AL948" s="298"/>
      <c r="AM948" s="298"/>
      <c r="AN948" s="298"/>
      <c r="AO948" s="298"/>
      <c r="AP948" s="298"/>
      <c r="AQ948" s="298"/>
      <c r="AR948" s="298"/>
      <c r="AS948" s="298"/>
      <c r="AT948" s="298"/>
      <c r="AU948" s="298"/>
      <c r="AV948" s="298"/>
      <c r="AW948" s="298"/>
      <c r="AX948" s="298"/>
      <c r="AY948" s="298"/>
      <c r="AZ948" s="298"/>
      <c r="BA948" s="298"/>
      <c r="BB948" s="298"/>
      <c r="BC948" s="298"/>
      <c r="BD948" s="298"/>
      <c r="BE948" s="298"/>
      <c r="BF948" s="298"/>
      <c r="BG948" s="298"/>
      <c r="BH948" s="298"/>
      <c r="BI948" s="298"/>
      <c r="BJ948" s="298"/>
      <c r="BK948" s="298"/>
      <c r="BL948" s="298"/>
      <c r="BM948" s="298"/>
      <c r="BN948" s="298"/>
      <c r="BO948" s="298"/>
      <c r="BP948" s="298"/>
    </row>
    <row r="949" spans="1:68" s="529" customFormat="1" ht="38.25">
      <c r="A949" s="286"/>
      <c r="B949" s="372" t="s">
        <v>15557</v>
      </c>
      <c r="C949" s="231" t="s">
        <v>24664</v>
      </c>
      <c r="D949" s="232" t="s">
        <v>103</v>
      </c>
      <c r="E949" s="232" t="s">
        <v>3240</v>
      </c>
      <c r="F949" s="233"/>
      <c r="G949" s="234"/>
      <c r="H949" s="235">
        <v>1502.15</v>
      </c>
      <c r="I949" s="298"/>
      <c r="J949" s="634"/>
      <c r="K949" s="524"/>
      <c r="L949" s="524"/>
      <c r="M949" s="524"/>
      <c r="N949" s="524"/>
      <c r="O949" s="524"/>
      <c r="P949" s="298"/>
      <c r="Q949" s="298"/>
      <c r="R949" s="298"/>
      <c r="S949" s="536"/>
      <c r="T949" s="635"/>
      <c r="U949" s="298"/>
      <c r="V949" s="298"/>
      <c r="W949" s="298"/>
      <c r="X949" s="298"/>
      <c r="Y949" s="298"/>
      <c r="Z949" s="298"/>
      <c r="AA949" s="298"/>
      <c r="AB949" s="298"/>
      <c r="AC949" s="298"/>
      <c r="AD949" s="298"/>
      <c r="AE949" s="298"/>
      <c r="AF949" s="298"/>
      <c r="AG949" s="298"/>
      <c r="AH949" s="298"/>
      <c r="AI949" s="298"/>
      <c r="AJ949" s="298"/>
      <c r="AK949" s="298"/>
      <c r="AL949" s="298"/>
      <c r="AM949" s="298"/>
      <c r="AN949" s="298"/>
      <c r="AO949" s="298"/>
      <c r="AP949" s="298"/>
      <c r="AQ949" s="298"/>
      <c r="AR949" s="298"/>
      <c r="AS949" s="298"/>
      <c r="AT949" s="298"/>
      <c r="AU949" s="298"/>
      <c r="AV949" s="298"/>
      <c r="AW949" s="298"/>
      <c r="AX949" s="298"/>
      <c r="AY949" s="298"/>
      <c r="AZ949" s="298"/>
      <c r="BA949" s="298"/>
      <c r="BB949" s="298"/>
      <c r="BC949" s="298"/>
      <c r="BD949" s="298"/>
      <c r="BE949" s="298"/>
      <c r="BF949" s="298"/>
      <c r="BG949" s="298"/>
      <c r="BH949" s="298"/>
      <c r="BI949" s="298"/>
      <c r="BJ949" s="298"/>
      <c r="BK949" s="298"/>
      <c r="BL949" s="298"/>
      <c r="BM949" s="298"/>
      <c r="BN949" s="298"/>
      <c r="BO949" s="298"/>
      <c r="BP949" s="298"/>
    </row>
    <row r="950" spans="1:68" s="298" customFormat="1" ht="25.5">
      <c r="A950" s="256" t="s">
        <v>14338</v>
      </c>
      <c r="B950" s="374" t="s">
        <v>15402</v>
      </c>
      <c r="C950" s="289" t="s">
        <v>17708</v>
      </c>
      <c r="D950" s="290" t="s">
        <v>103</v>
      </c>
      <c r="E950" s="290" t="s">
        <v>193</v>
      </c>
      <c r="F950" s="291">
        <v>2.37</v>
      </c>
      <c r="G950" s="292">
        <v>633.82000000000005</v>
      </c>
      <c r="H950" s="255">
        <v>1502.15</v>
      </c>
      <c r="J950" s="634"/>
      <c r="S950" s="536"/>
      <c r="T950" s="638"/>
    </row>
    <row r="951" spans="1:68" s="298" customFormat="1" ht="12.75">
      <c r="A951" s="256"/>
      <c r="B951" s="288" t="s">
        <v>143</v>
      </c>
      <c r="C951" s="819" t="s">
        <v>15438</v>
      </c>
      <c r="D951" s="820"/>
      <c r="E951" s="820"/>
      <c r="F951" s="820"/>
      <c r="G951" s="820"/>
      <c r="H951" s="821"/>
      <c r="J951" s="634"/>
      <c r="K951" s="524"/>
      <c r="L951" s="524"/>
      <c r="M951" s="524"/>
      <c r="N951" s="524"/>
      <c r="O951" s="524"/>
      <c r="S951" s="536"/>
      <c r="T951" s="635"/>
    </row>
    <row r="952" spans="1:68" s="529" customFormat="1" ht="12.75">
      <c r="A952" s="286"/>
      <c r="B952" s="373"/>
      <c r="C952" s="379"/>
      <c r="D952" s="382"/>
      <c r="E952" s="382"/>
      <c r="F952" s="382"/>
      <c r="G952" s="382"/>
      <c r="H952" s="382"/>
      <c r="I952" s="298"/>
      <c r="J952" s="634"/>
      <c r="K952" s="524"/>
      <c r="L952" s="524"/>
      <c r="M952" s="524"/>
      <c r="N952" s="524"/>
      <c r="O952" s="524"/>
      <c r="P952" s="298"/>
      <c r="Q952" s="298"/>
      <c r="R952" s="298"/>
      <c r="S952" s="536"/>
      <c r="T952" s="635"/>
      <c r="U952" s="298"/>
      <c r="V952" s="298"/>
      <c r="W952" s="298"/>
      <c r="X952" s="298"/>
      <c r="Y952" s="298"/>
      <c r="Z952" s="298"/>
      <c r="AA952" s="298"/>
      <c r="AB952" s="298"/>
      <c r="AC952" s="298"/>
      <c r="AD952" s="298"/>
      <c r="AE952" s="298"/>
      <c r="AF952" s="298"/>
      <c r="AG952" s="298"/>
      <c r="AH952" s="298"/>
      <c r="AI952" s="298"/>
      <c r="AJ952" s="298"/>
      <c r="AK952" s="298"/>
      <c r="AL952" s="298"/>
      <c r="AM952" s="298"/>
      <c r="AN952" s="298"/>
      <c r="AO952" s="298"/>
      <c r="AP952" s="298"/>
      <c r="AQ952" s="298"/>
      <c r="AR952" s="298"/>
      <c r="AS952" s="298"/>
      <c r="AT952" s="298"/>
      <c r="AU952" s="298"/>
      <c r="AV952" s="298"/>
      <c r="AW952" s="298"/>
      <c r="AX952" s="298"/>
      <c r="AY952" s="298"/>
      <c r="AZ952" s="298"/>
      <c r="BA952" s="298"/>
      <c r="BB952" s="298"/>
      <c r="BC952" s="298"/>
      <c r="BD952" s="298"/>
      <c r="BE952" s="298"/>
      <c r="BF952" s="298"/>
      <c r="BG952" s="298"/>
      <c r="BH952" s="298"/>
      <c r="BI952" s="298"/>
      <c r="BJ952" s="298"/>
      <c r="BK952" s="298"/>
      <c r="BL952" s="298"/>
      <c r="BM952" s="298"/>
      <c r="BN952" s="298"/>
      <c r="BO952" s="298"/>
      <c r="BP952" s="298"/>
    </row>
    <row r="953" spans="1:68" s="529" customFormat="1" ht="38.25">
      <c r="A953" s="286"/>
      <c r="B953" s="372" t="s">
        <v>15558</v>
      </c>
      <c r="C953" s="231" t="s">
        <v>24665</v>
      </c>
      <c r="D953" s="232" t="s">
        <v>103</v>
      </c>
      <c r="E953" s="232" t="s">
        <v>3240</v>
      </c>
      <c r="F953" s="233"/>
      <c r="G953" s="234"/>
      <c r="H953" s="235">
        <v>905.09</v>
      </c>
      <c r="I953" s="298"/>
      <c r="J953" s="634"/>
      <c r="K953" s="524"/>
      <c r="L953" s="524"/>
      <c r="M953" s="524"/>
      <c r="N953" s="524"/>
      <c r="O953" s="524"/>
      <c r="P953" s="298"/>
      <c r="Q953" s="298"/>
      <c r="R953" s="298"/>
      <c r="S953" s="536"/>
      <c r="T953" s="635"/>
      <c r="U953" s="298"/>
      <c r="V953" s="298"/>
      <c r="W953" s="298"/>
      <c r="X953" s="298"/>
      <c r="Y953" s="298"/>
      <c r="Z953" s="298"/>
      <c r="AA953" s="298"/>
      <c r="AB953" s="298"/>
      <c r="AC953" s="298"/>
      <c r="AD953" s="298"/>
      <c r="AE953" s="298"/>
      <c r="AF953" s="298"/>
      <c r="AG953" s="298"/>
      <c r="AH953" s="298"/>
      <c r="AI953" s="298"/>
      <c r="AJ953" s="298"/>
      <c r="AK953" s="298"/>
      <c r="AL953" s="298"/>
      <c r="AM953" s="298"/>
      <c r="AN953" s="298"/>
      <c r="AO953" s="298"/>
      <c r="AP953" s="298"/>
      <c r="AQ953" s="298"/>
      <c r="AR953" s="298"/>
      <c r="AS953" s="298"/>
      <c r="AT953" s="298"/>
      <c r="AU953" s="298"/>
      <c r="AV953" s="298"/>
      <c r="AW953" s="298"/>
      <c r="AX953" s="298"/>
      <c r="AY953" s="298"/>
      <c r="AZ953" s="298"/>
      <c r="BA953" s="298"/>
      <c r="BB953" s="298"/>
      <c r="BC953" s="298"/>
      <c r="BD953" s="298"/>
      <c r="BE953" s="298"/>
      <c r="BF953" s="298"/>
      <c r="BG953" s="298"/>
      <c r="BH953" s="298"/>
      <c r="BI953" s="298"/>
      <c r="BJ953" s="298"/>
      <c r="BK953" s="298"/>
      <c r="BL953" s="298"/>
      <c r="BM953" s="298"/>
      <c r="BN953" s="298"/>
      <c r="BO953" s="298"/>
      <c r="BP953" s="298"/>
    </row>
    <row r="954" spans="1:68" s="298" customFormat="1" ht="25.5">
      <c r="A954" s="256" t="s">
        <v>14338</v>
      </c>
      <c r="B954" s="374" t="s">
        <v>15402</v>
      </c>
      <c r="C954" s="289" t="s">
        <v>17708</v>
      </c>
      <c r="D954" s="290" t="s">
        <v>103</v>
      </c>
      <c r="E954" s="290" t="s">
        <v>193</v>
      </c>
      <c r="F954" s="291">
        <v>1.4279999999999999</v>
      </c>
      <c r="G954" s="292">
        <v>633.82000000000005</v>
      </c>
      <c r="H954" s="255">
        <v>905.09</v>
      </c>
      <c r="J954" s="634"/>
      <c r="S954" s="536"/>
      <c r="T954" s="638"/>
    </row>
    <row r="955" spans="1:68" s="298" customFormat="1" ht="12.75">
      <c r="A955" s="256"/>
      <c r="B955" s="288" t="s">
        <v>143</v>
      </c>
      <c r="C955" s="819" t="s">
        <v>15438</v>
      </c>
      <c r="D955" s="820"/>
      <c r="E955" s="820"/>
      <c r="F955" s="820"/>
      <c r="G955" s="820"/>
      <c r="H955" s="821"/>
      <c r="J955" s="634"/>
      <c r="K955" s="524"/>
      <c r="L955" s="524"/>
      <c r="M955" s="524"/>
      <c r="N955" s="524"/>
      <c r="O955" s="524"/>
      <c r="S955" s="536"/>
      <c r="T955" s="635"/>
    </row>
    <row r="956" spans="1:68" s="529" customFormat="1" ht="12.75">
      <c r="A956" s="286"/>
      <c r="B956" s="373"/>
      <c r="C956" s="379"/>
      <c r="D956" s="382"/>
      <c r="E956" s="382"/>
      <c r="F956" s="382"/>
      <c r="G956" s="382"/>
      <c r="H956" s="382"/>
      <c r="I956" s="298"/>
      <c r="J956" s="634"/>
      <c r="K956" s="524"/>
      <c r="L956" s="524"/>
      <c r="M956" s="524"/>
      <c r="N956" s="524"/>
      <c r="O956" s="524"/>
      <c r="P956" s="298"/>
      <c r="Q956" s="298"/>
      <c r="R956" s="298"/>
      <c r="S956" s="536"/>
      <c r="T956" s="635"/>
      <c r="U956" s="298"/>
      <c r="V956" s="298"/>
      <c r="W956" s="298"/>
      <c r="X956" s="298"/>
      <c r="Y956" s="298"/>
      <c r="Z956" s="298"/>
      <c r="AA956" s="298"/>
      <c r="AB956" s="298"/>
      <c r="AC956" s="298"/>
      <c r="AD956" s="298"/>
      <c r="AE956" s="298"/>
      <c r="AF956" s="298"/>
      <c r="AG956" s="298"/>
      <c r="AH956" s="298"/>
      <c r="AI956" s="298"/>
      <c r="AJ956" s="298"/>
      <c r="AK956" s="298"/>
      <c r="AL956" s="298"/>
      <c r="AM956" s="298"/>
      <c r="AN956" s="298"/>
      <c r="AO956" s="298"/>
      <c r="AP956" s="298"/>
      <c r="AQ956" s="298"/>
      <c r="AR956" s="298"/>
      <c r="AS956" s="298"/>
      <c r="AT956" s="298"/>
      <c r="AU956" s="298"/>
      <c r="AV956" s="298"/>
      <c r="AW956" s="298"/>
      <c r="AX956" s="298"/>
      <c r="AY956" s="298"/>
      <c r="AZ956" s="298"/>
      <c r="BA956" s="298"/>
      <c r="BB956" s="298"/>
      <c r="BC956" s="298"/>
      <c r="BD956" s="298"/>
      <c r="BE956" s="298"/>
      <c r="BF956" s="298"/>
      <c r="BG956" s="298"/>
      <c r="BH956" s="298"/>
      <c r="BI956" s="298"/>
      <c r="BJ956" s="298"/>
      <c r="BK956" s="298"/>
      <c r="BL956" s="298"/>
      <c r="BM956" s="298"/>
      <c r="BN956" s="298"/>
      <c r="BO956" s="298"/>
      <c r="BP956" s="298"/>
    </row>
    <row r="957" spans="1:68" s="529" customFormat="1" ht="51">
      <c r="A957" s="286"/>
      <c r="B957" s="372" t="s">
        <v>15559</v>
      </c>
      <c r="C957" s="231" t="s">
        <v>24666</v>
      </c>
      <c r="D957" s="232" t="s">
        <v>103</v>
      </c>
      <c r="E957" s="232" t="s">
        <v>3240</v>
      </c>
      <c r="F957" s="233"/>
      <c r="G957" s="234"/>
      <c r="H957" s="235">
        <v>1321.38</v>
      </c>
      <c r="I957" s="298"/>
      <c r="J957" s="634"/>
      <c r="K957" s="524"/>
      <c r="L957" s="524"/>
      <c r="M957" s="524"/>
      <c r="N957" s="524"/>
      <c r="O957" s="524"/>
      <c r="P957" s="298"/>
      <c r="Q957" s="298"/>
      <c r="R957" s="298"/>
      <c r="S957" s="536"/>
      <c r="T957" s="635"/>
      <c r="U957" s="298"/>
      <c r="V957" s="298"/>
      <c r="W957" s="298"/>
      <c r="X957" s="298"/>
      <c r="Y957" s="298"/>
      <c r="Z957" s="298"/>
      <c r="AA957" s="298"/>
      <c r="AB957" s="298"/>
      <c r="AC957" s="298"/>
      <c r="AD957" s="298"/>
      <c r="AE957" s="298"/>
      <c r="AF957" s="298"/>
      <c r="AG957" s="298"/>
      <c r="AH957" s="298"/>
      <c r="AI957" s="298"/>
      <c r="AJ957" s="298"/>
      <c r="AK957" s="298"/>
      <c r="AL957" s="298"/>
      <c r="AM957" s="298"/>
      <c r="AN957" s="298"/>
      <c r="AO957" s="298"/>
      <c r="AP957" s="298"/>
      <c r="AQ957" s="298"/>
      <c r="AR957" s="298"/>
      <c r="AS957" s="298"/>
      <c r="AT957" s="298"/>
      <c r="AU957" s="298"/>
      <c r="AV957" s="298"/>
      <c r="AW957" s="298"/>
      <c r="AX957" s="298"/>
      <c r="AY957" s="298"/>
      <c r="AZ957" s="298"/>
      <c r="BA957" s="298"/>
      <c r="BB957" s="298"/>
      <c r="BC957" s="298"/>
      <c r="BD957" s="298"/>
      <c r="BE957" s="298"/>
      <c r="BF957" s="298"/>
      <c r="BG957" s="298"/>
      <c r="BH957" s="298"/>
      <c r="BI957" s="298"/>
      <c r="BJ957" s="298"/>
      <c r="BK957" s="298"/>
      <c r="BL957" s="298"/>
      <c r="BM957" s="298"/>
      <c r="BN957" s="298"/>
      <c r="BO957" s="298"/>
      <c r="BP957" s="298"/>
    </row>
    <row r="958" spans="1:68" s="298" customFormat="1" ht="25.5">
      <c r="A958" s="256" t="s">
        <v>14338</v>
      </c>
      <c r="B958" s="374" t="s">
        <v>15402</v>
      </c>
      <c r="C958" s="289" t="s">
        <v>17708</v>
      </c>
      <c r="D958" s="290" t="s">
        <v>103</v>
      </c>
      <c r="E958" s="290" t="s">
        <v>193</v>
      </c>
      <c r="F958" s="291">
        <v>2.0848</v>
      </c>
      <c r="G958" s="292">
        <v>633.82000000000005</v>
      </c>
      <c r="H958" s="255">
        <v>1321.38</v>
      </c>
      <c r="J958" s="634"/>
      <c r="S958" s="536"/>
      <c r="T958" s="638"/>
    </row>
    <row r="959" spans="1:68" s="298" customFormat="1" ht="12.75">
      <c r="A959" s="256"/>
      <c r="B959" s="288" t="s">
        <v>143</v>
      </c>
      <c r="C959" s="819" t="s">
        <v>15438</v>
      </c>
      <c r="D959" s="820"/>
      <c r="E959" s="820"/>
      <c r="F959" s="820"/>
      <c r="G959" s="820"/>
      <c r="H959" s="821"/>
      <c r="J959" s="634"/>
      <c r="K959" s="524"/>
      <c r="L959" s="524"/>
      <c r="M959" s="524"/>
      <c r="N959" s="524"/>
      <c r="O959" s="524"/>
      <c r="S959" s="536"/>
      <c r="T959" s="635"/>
    </row>
    <row r="960" spans="1:68" s="529" customFormat="1" ht="12.75">
      <c r="A960" s="286"/>
      <c r="B960" s="373"/>
      <c r="C960" s="379"/>
      <c r="D960" s="382"/>
      <c r="E960" s="382"/>
      <c r="F960" s="382"/>
      <c r="G960" s="382"/>
      <c r="H960" s="382"/>
      <c r="I960" s="298"/>
      <c r="J960" s="634"/>
      <c r="K960" s="524"/>
      <c r="L960" s="524"/>
      <c r="M960" s="524"/>
      <c r="N960" s="524"/>
      <c r="O960" s="524"/>
      <c r="P960" s="298"/>
      <c r="Q960" s="298"/>
      <c r="R960" s="298"/>
      <c r="S960" s="536"/>
      <c r="T960" s="635"/>
      <c r="U960" s="298"/>
      <c r="V960" s="298"/>
      <c r="W960" s="298"/>
      <c r="X960" s="298"/>
      <c r="Y960" s="298"/>
      <c r="Z960" s="298"/>
      <c r="AA960" s="298"/>
      <c r="AB960" s="298"/>
      <c r="AC960" s="298"/>
      <c r="AD960" s="298"/>
      <c r="AE960" s="298"/>
      <c r="AF960" s="298"/>
      <c r="AG960" s="298"/>
      <c r="AH960" s="298"/>
      <c r="AI960" s="298"/>
      <c r="AJ960" s="298"/>
      <c r="AK960" s="298"/>
      <c r="AL960" s="298"/>
      <c r="AM960" s="298"/>
      <c r="AN960" s="298"/>
      <c r="AO960" s="298"/>
      <c r="AP960" s="298"/>
      <c r="AQ960" s="298"/>
      <c r="AR960" s="298"/>
      <c r="AS960" s="298"/>
      <c r="AT960" s="298"/>
      <c r="AU960" s="298"/>
      <c r="AV960" s="298"/>
      <c r="AW960" s="298"/>
      <c r="AX960" s="298"/>
      <c r="AY960" s="298"/>
      <c r="AZ960" s="298"/>
      <c r="BA960" s="298"/>
      <c r="BB960" s="298"/>
      <c r="BC960" s="298"/>
      <c r="BD960" s="298"/>
      <c r="BE960" s="298"/>
      <c r="BF960" s="298"/>
      <c r="BG960" s="298"/>
      <c r="BH960" s="298"/>
      <c r="BI960" s="298"/>
      <c r="BJ960" s="298"/>
      <c r="BK960" s="298"/>
      <c r="BL960" s="298"/>
      <c r="BM960" s="298"/>
      <c r="BN960" s="298"/>
      <c r="BO960" s="298"/>
      <c r="BP960" s="298"/>
    </row>
    <row r="961" spans="1:68" s="529" customFormat="1" ht="51">
      <c r="A961" s="286"/>
      <c r="B961" s="372" t="s">
        <v>15560</v>
      </c>
      <c r="C961" s="231" t="s">
        <v>24667</v>
      </c>
      <c r="D961" s="232" t="s">
        <v>103</v>
      </c>
      <c r="E961" s="232" t="s">
        <v>3240</v>
      </c>
      <c r="F961" s="233"/>
      <c r="G961" s="234"/>
      <c r="H961" s="235">
        <v>1254.96</v>
      </c>
      <c r="I961" s="298"/>
      <c r="J961" s="634"/>
      <c r="K961" s="524"/>
      <c r="L961" s="524"/>
      <c r="M961" s="524"/>
      <c r="N961" s="524"/>
      <c r="O961" s="524"/>
      <c r="P961" s="298"/>
      <c r="Q961" s="298"/>
      <c r="R961" s="298"/>
      <c r="S961" s="536"/>
      <c r="T961" s="635"/>
      <c r="U961" s="298"/>
      <c r="V961" s="298"/>
      <c r="W961" s="298"/>
      <c r="X961" s="298"/>
      <c r="Y961" s="298"/>
      <c r="Z961" s="298"/>
      <c r="AA961" s="298"/>
      <c r="AB961" s="298"/>
      <c r="AC961" s="298"/>
      <c r="AD961" s="298"/>
      <c r="AE961" s="298"/>
      <c r="AF961" s="298"/>
      <c r="AG961" s="298"/>
      <c r="AH961" s="298"/>
      <c r="AI961" s="298"/>
      <c r="AJ961" s="298"/>
      <c r="AK961" s="298"/>
      <c r="AL961" s="298"/>
      <c r="AM961" s="298"/>
      <c r="AN961" s="298"/>
      <c r="AO961" s="298"/>
      <c r="AP961" s="298"/>
      <c r="AQ961" s="298"/>
      <c r="AR961" s="298"/>
      <c r="AS961" s="298"/>
      <c r="AT961" s="298"/>
      <c r="AU961" s="298"/>
      <c r="AV961" s="298"/>
      <c r="AW961" s="298"/>
      <c r="AX961" s="298"/>
      <c r="AY961" s="298"/>
      <c r="AZ961" s="298"/>
      <c r="BA961" s="298"/>
      <c r="BB961" s="298"/>
      <c r="BC961" s="298"/>
      <c r="BD961" s="298"/>
      <c r="BE961" s="298"/>
      <c r="BF961" s="298"/>
      <c r="BG961" s="298"/>
      <c r="BH961" s="298"/>
      <c r="BI961" s="298"/>
      <c r="BJ961" s="298"/>
      <c r="BK961" s="298"/>
      <c r="BL961" s="298"/>
      <c r="BM961" s="298"/>
      <c r="BN961" s="298"/>
      <c r="BO961" s="298"/>
      <c r="BP961" s="298"/>
    </row>
    <row r="962" spans="1:68" s="298" customFormat="1" ht="25.5">
      <c r="A962" s="256" t="s">
        <v>14338</v>
      </c>
      <c r="B962" s="374" t="s">
        <v>15402</v>
      </c>
      <c r="C962" s="289" t="s">
        <v>17708</v>
      </c>
      <c r="D962" s="290" t="s">
        <v>103</v>
      </c>
      <c r="E962" s="290" t="s">
        <v>193</v>
      </c>
      <c r="F962" s="291">
        <v>1.98</v>
      </c>
      <c r="G962" s="292">
        <v>633.82000000000005</v>
      </c>
      <c r="H962" s="255">
        <v>1254.96</v>
      </c>
      <c r="J962" s="634"/>
      <c r="S962" s="536"/>
      <c r="T962" s="638"/>
    </row>
    <row r="963" spans="1:68" s="298" customFormat="1" ht="12.75">
      <c r="A963" s="256"/>
      <c r="B963" s="288" t="s">
        <v>143</v>
      </c>
      <c r="C963" s="819" t="s">
        <v>15438</v>
      </c>
      <c r="D963" s="820"/>
      <c r="E963" s="820"/>
      <c r="F963" s="820"/>
      <c r="G963" s="820"/>
      <c r="H963" s="821"/>
      <c r="J963" s="634"/>
      <c r="K963" s="524"/>
      <c r="L963" s="524"/>
      <c r="M963" s="524"/>
      <c r="N963" s="524"/>
      <c r="O963" s="524"/>
      <c r="S963" s="536"/>
      <c r="T963" s="635"/>
    </row>
    <row r="964" spans="1:68" s="529" customFormat="1" ht="12.75">
      <c r="A964" s="286"/>
      <c r="B964" s="373"/>
      <c r="C964" s="379"/>
      <c r="D964" s="382"/>
      <c r="E964" s="382"/>
      <c r="F964" s="382"/>
      <c r="G964" s="382"/>
      <c r="H964" s="382"/>
      <c r="I964" s="298"/>
      <c r="J964" s="634"/>
      <c r="K964" s="524"/>
      <c r="L964" s="524"/>
      <c r="M964" s="524"/>
      <c r="N964" s="524"/>
      <c r="O964" s="524"/>
      <c r="P964" s="298"/>
      <c r="Q964" s="298"/>
      <c r="R964" s="298"/>
      <c r="S964" s="536"/>
      <c r="T964" s="635"/>
      <c r="U964" s="298"/>
      <c r="V964" s="298"/>
      <c r="W964" s="298"/>
      <c r="X964" s="298"/>
      <c r="Y964" s="298"/>
      <c r="Z964" s="298"/>
      <c r="AA964" s="298"/>
      <c r="AB964" s="298"/>
      <c r="AC964" s="298"/>
      <c r="AD964" s="298"/>
      <c r="AE964" s="298"/>
      <c r="AF964" s="298"/>
      <c r="AG964" s="298"/>
      <c r="AH964" s="298"/>
      <c r="AI964" s="298"/>
      <c r="AJ964" s="298"/>
      <c r="AK964" s="298"/>
      <c r="AL964" s="298"/>
      <c r="AM964" s="298"/>
      <c r="AN964" s="298"/>
      <c r="AO964" s="298"/>
      <c r="AP964" s="298"/>
      <c r="AQ964" s="298"/>
      <c r="AR964" s="298"/>
      <c r="AS964" s="298"/>
      <c r="AT964" s="298"/>
      <c r="AU964" s="298"/>
      <c r="AV964" s="298"/>
      <c r="AW964" s="298"/>
      <c r="AX964" s="298"/>
      <c r="AY964" s="298"/>
      <c r="AZ964" s="298"/>
      <c r="BA964" s="298"/>
      <c r="BB964" s="298"/>
      <c r="BC964" s="298"/>
      <c r="BD964" s="298"/>
      <c r="BE964" s="298"/>
      <c r="BF964" s="298"/>
      <c r="BG964" s="298"/>
      <c r="BH964" s="298"/>
      <c r="BI964" s="298"/>
      <c r="BJ964" s="298"/>
      <c r="BK964" s="298"/>
      <c r="BL964" s="298"/>
      <c r="BM964" s="298"/>
      <c r="BN964" s="298"/>
      <c r="BO964" s="298"/>
      <c r="BP964" s="298"/>
    </row>
    <row r="965" spans="1:68" s="529" customFormat="1" ht="38.25">
      <c r="A965" s="286"/>
      <c r="B965" s="372" t="s">
        <v>15561</v>
      </c>
      <c r="C965" s="231" t="s">
        <v>24669</v>
      </c>
      <c r="D965" s="232" t="s">
        <v>103</v>
      </c>
      <c r="E965" s="232" t="s">
        <v>3240</v>
      </c>
      <c r="F965" s="233"/>
      <c r="G965" s="234"/>
      <c r="H965" s="235">
        <v>765.65</v>
      </c>
      <c r="I965" s="298"/>
      <c r="J965" s="634"/>
      <c r="K965" s="524"/>
      <c r="L965" s="524"/>
      <c r="M965" s="524"/>
      <c r="N965" s="524"/>
      <c r="O965" s="524"/>
      <c r="P965" s="298"/>
      <c r="Q965" s="298"/>
      <c r="R965" s="298"/>
      <c r="S965" s="536"/>
      <c r="T965" s="635"/>
      <c r="U965" s="298"/>
      <c r="V965" s="298"/>
      <c r="W965" s="298"/>
      <c r="X965" s="298"/>
      <c r="Y965" s="298"/>
      <c r="Z965" s="298"/>
      <c r="AA965" s="298"/>
      <c r="AB965" s="298"/>
      <c r="AC965" s="298"/>
      <c r="AD965" s="298"/>
      <c r="AE965" s="298"/>
      <c r="AF965" s="298"/>
      <c r="AG965" s="298"/>
      <c r="AH965" s="298"/>
      <c r="AI965" s="298"/>
      <c r="AJ965" s="298"/>
      <c r="AK965" s="298"/>
      <c r="AL965" s="298"/>
      <c r="AM965" s="298"/>
      <c r="AN965" s="298"/>
      <c r="AO965" s="298"/>
      <c r="AP965" s="298"/>
      <c r="AQ965" s="298"/>
      <c r="AR965" s="298"/>
      <c r="AS965" s="298"/>
      <c r="AT965" s="298"/>
      <c r="AU965" s="298"/>
      <c r="AV965" s="298"/>
      <c r="AW965" s="298"/>
      <c r="AX965" s="298"/>
      <c r="AY965" s="298"/>
      <c r="AZ965" s="298"/>
      <c r="BA965" s="298"/>
      <c r="BB965" s="298"/>
      <c r="BC965" s="298"/>
      <c r="BD965" s="298"/>
      <c r="BE965" s="298"/>
      <c r="BF965" s="298"/>
      <c r="BG965" s="298"/>
      <c r="BH965" s="298"/>
      <c r="BI965" s="298"/>
      <c r="BJ965" s="298"/>
      <c r="BK965" s="298"/>
      <c r="BL965" s="298"/>
      <c r="BM965" s="298"/>
      <c r="BN965" s="298"/>
      <c r="BO965" s="298"/>
      <c r="BP965" s="298"/>
    </row>
    <row r="966" spans="1:68" s="298" customFormat="1" ht="25.5">
      <c r="A966" s="256" t="s">
        <v>14338</v>
      </c>
      <c r="B966" s="374" t="s">
        <v>15402</v>
      </c>
      <c r="C966" s="289" t="s">
        <v>17708</v>
      </c>
      <c r="D966" s="290" t="s">
        <v>103</v>
      </c>
      <c r="E966" s="290" t="s">
        <v>193</v>
      </c>
      <c r="F966" s="291">
        <v>1.2080000000000002</v>
      </c>
      <c r="G966" s="292">
        <v>633.82000000000005</v>
      </c>
      <c r="H966" s="255">
        <v>765.65</v>
      </c>
      <c r="J966" s="634"/>
      <c r="S966" s="536"/>
      <c r="T966" s="638"/>
    </row>
    <row r="967" spans="1:68" s="298" customFormat="1" ht="12.75">
      <c r="A967" s="256"/>
      <c r="B967" s="288" t="s">
        <v>143</v>
      </c>
      <c r="C967" s="819" t="s">
        <v>15438</v>
      </c>
      <c r="D967" s="820"/>
      <c r="E967" s="820"/>
      <c r="F967" s="820"/>
      <c r="G967" s="820"/>
      <c r="H967" s="821"/>
      <c r="J967" s="634"/>
      <c r="K967" s="524"/>
      <c r="L967" s="524"/>
      <c r="M967" s="524"/>
      <c r="N967" s="524"/>
      <c r="O967" s="524"/>
      <c r="S967" s="536"/>
      <c r="T967" s="635"/>
    </row>
    <row r="968" spans="1:68" s="529" customFormat="1" ht="12.75">
      <c r="A968" s="286"/>
      <c r="B968" s="373"/>
      <c r="C968" s="379"/>
      <c r="D968" s="382"/>
      <c r="E968" s="382"/>
      <c r="F968" s="382"/>
      <c r="G968" s="382"/>
      <c r="H968" s="382"/>
      <c r="I968" s="298"/>
      <c r="J968" s="634"/>
      <c r="K968" s="524"/>
      <c r="L968" s="524"/>
      <c r="M968" s="524"/>
      <c r="N968" s="524"/>
      <c r="O968" s="524"/>
      <c r="P968" s="298"/>
      <c r="Q968" s="298"/>
      <c r="R968" s="298"/>
      <c r="S968" s="536"/>
      <c r="T968" s="635"/>
      <c r="U968" s="298"/>
      <c r="V968" s="298"/>
      <c r="W968" s="298"/>
      <c r="X968" s="298"/>
      <c r="Y968" s="298"/>
      <c r="Z968" s="298"/>
      <c r="AA968" s="298"/>
      <c r="AB968" s="298"/>
      <c r="AC968" s="298"/>
      <c r="AD968" s="298"/>
      <c r="AE968" s="298"/>
      <c r="AF968" s="298"/>
      <c r="AG968" s="298"/>
      <c r="AH968" s="298"/>
      <c r="AI968" s="298"/>
      <c r="AJ968" s="298"/>
      <c r="AK968" s="298"/>
      <c r="AL968" s="298"/>
      <c r="AM968" s="298"/>
      <c r="AN968" s="298"/>
      <c r="AO968" s="298"/>
      <c r="AP968" s="298"/>
      <c r="AQ968" s="298"/>
      <c r="AR968" s="298"/>
      <c r="AS968" s="298"/>
      <c r="AT968" s="298"/>
      <c r="AU968" s="298"/>
      <c r="AV968" s="298"/>
      <c r="AW968" s="298"/>
      <c r="AX968" s="298"/>
      <c r="AY968" s="298"/>
      <c r="AZ968" s="298"/>
      <c r="BA968" s="298"/>
      <c r="BB968" s="298"/>
      <c r="BC968" s="298"/>
      <c r="BD968" s="298"/>
      <c r="BE968" s="298"/>
      <c r="BF968" s="298"/>
      <c r="BG968" s="298"/>
      <c r="BH968" s="298"/>
      <c r="BI968" s="298"/>
      <c r="BJ968" s="298"/>
      <c r="BK968" s="298"/>
      <c r="BL968" s="298"/>
      <c r="BM968" s="298"/>
      <c r="BN968" s="298"/>
      <c r="BO968" s="298"/>
      <c r="BP968" s="298"/>
    </row>
    <row r="969" spans="1:68" s="529" customFormat="1" ht="38.25">
      <c r="A969" s="286"/>
      <c r="B969" s="372" t="s">
        <v>15562</v>
      </c>
      <c r="C969" s="231" t="s">
        <v>24670</v>
      </c>
      <c r="D969" s="232" t="s">
        <v>103</v>
      </c>
      <c r="E969" s="232" t="s">
        <v>3240</v>
      </c>
      <c r="F969" s="233"/>
      <c r="G969" s="234"/>
      <c r="H969" s="235">
        <v>1227.07</v>
      </c>
      <c r="I969" s="298"/>
      <c r="J969" s="634"/>
      <c r="K969" s="524"/>
      <c r="L969" s="524"/>
      <c r="M969" s="524"/>
      <c r="N969" s="524"/>
      <c r="O969" s="524"/>
      <c r="P969" s="298"/>
      <c r="Q969" s="298"/>
      <c r="R969" s="298"/>
      <c r="S969" s="536"/>
      <c r="T969" s="635"/>
      <c r="U969" s="298"/>
      <c r="V969" s="298"/>
      <c r="W969" s="298"/>
      <c r="X969" s="298"/>
      <c r="Y969" s="298"/>
      <c r="Z969" s="298"/>
      <c r="AA969" s="298"/>
      <c r="AB969" s="298"/>
      <c r="AC969" s="298"/>
      <c r="AD969" s="298"/>
      <c r="AE969" s="298"/>
      <c r="AF969" s="298"/>
      <c r="AG969" s="298"/>
      <c r="AH969" s="298"/>
      <c r="AI969" s="298"/>
      <c r="AJ969" s="298"/>
      <c r="AK969" s="298"/>
      <c r="AL969" s="298"/>
      <c r="AM969" s="298"/>
      <c r="AN969" s="298"/>
      <c r="AO969" s="298"/>
      <c r="AP969" s="298"/>
      <c r="AQ969" s="298"/>
      <c r="AR969" s="298"/>
      <c r="AS969" s="298"/>
      <c r="AT969" s="298"/>
      <c r="AU969" s="298"/>
      <c r="AV969" s="298"/>
      <c r="AW969" s="298"/>
      <c r="AX969" s="298"/>
      <c r="AY969" s="298"/>
      <c r="AZ969" s="298"/>
      <c r="BA969" s="298"/>
      <c r="BB969" s="298"/>
      <c r="BC969" s="298"/>
      <c r="BD969" s="298"/>
      <c r="BE969" s="298"/>
      <c r="BF969" s="298"/>
      <c r="BG969" s="298"/>
      <c r="BH969" s="298"/>
      <c r="BI969" s="298"/>
      <c r="BJ969" s="298"/>
      <c r="BK969" s="298"/>
      <c r="BL969" s="298"/>
      <c r="BM969" s="298"/>
      <c r="BN969" s="298"/>
      <c r="BO969" s="298"/>
      <c r="BP969" s="298"/>
    </row>
    <row r="970" spans="1:68" s="298" customFormat="1" ht="25.5">
      <c r="A970" s="256" t="s">
        <v>14338</v>
      </c>
      <c r="B970" s="374" t="s">
        <v>15402</v>
      </c>
      <c r="C970" s="289" t="s">
        <v>17708</v>
      </c>
      <c r="D970" s="290" t="s">
        <v>103</v>
      </c>
      <c r="E970" s="290" t="s">
        <v>193</v>
      </c>
      <c r="F970" s="291">
        <v>1.9359999999999999</v>
      </c>
      <c r="G970" s="292">
        <v>633.82000000000005</v>
      </c>
      <c r="H970" s="255">
        <v>1227.07</v>
      </c>
      <c r="J970" s="634"/>
      <c r="S970" s="536"/>
      <c r="T970" s="638"/>
    </row>
    <row r="971" spans="1:68" s="298" customFormat="1" ht="12.75">
      <c r="A971" s="256"/>
      <c r="B971" s="288" t="s">
        <v>143</v>
      </c>
      <c r="C971" s="819" t="s">
        <v>15438</v>
      </c>
      <c r="D971" s="820"/>
      <c r="E971" s="820"/>
      <c r="F971" s="820"/>
      <c r="G971" s="820"/>
      <c r="H971" s="821"/>
      <c r="J971" s="634"/>
      <c r="K971" s="524"/>
      <c r="L971" s="524"/>
      <c r="M971" s="524"/>
      <c r="N971" s="524"/>
      <c r="O971" s="524"/>
      <c r="S971" s="536"/>
      <c r="T971" s="635"/>
    </row>
    <row r="972" spans="1:68" s="529" customFormat="1" ht="12.75">
      <c r="A972" s="286"/>
      <c r="B972" s="373"/>
      <c r="C972" s="379"/>
      <c r="D972" s="382"/>
      <c r="E972" s="382"/>
      <c r="F972" s="382"/>
      <c r="G972" s="382"/>
      <c r="H972" s="382"/>
      <c r="I972" s="298"/>
      <c r="J972" s="634"/>
      <c r="K972" s="524"/>
      <c r="L972" s="524"/>
      <c r="M972" s="524"/>
      <c r="N972" s="524"/>
      <c r="O972" s="524"/>
      <c r="P972" s="298"/>
      <c r="Q972" s="298"/>
      <c r="R972" s="298"/>
      <c r="S972" s="536"/>
      <c r="T972" s="635"/>
      <c r="U972" s="298"/>
      <c r="V972" s="298"/>
      <c r="W972" s="298"/>
      <c r="X972" s="298"/>
      <c r="Y972" s="298"/>
      <c r="Z972" s="298"/>
      <c r="AA972" s="298"/>
      <c r="AB972" s="298"/>
      <c r="AC972" s="298"/>
      <c r="AD972" s="298"/>
      <c r="AE972" s="298"/>
      <c r="AF972" s="298"/>
      <c r="AG972" s="298"/>
      <c r="AH972" s="298"/>
      <c r="AI972" s="298"/>
      <c r="AJ972" s="298"/>
      <c r="AK972" s="298"/>
      <c r="AL972" s="298"/>
      <c r="AM972" s="298"/>
      <c r="AN972" s="298"/>
      <c r="AO972" s="298"/>
      <c r="AP972" s="298"/>
      <c r="AQ972" s="298"/>
      <c r="AR972" s="298"/>
      <c r="AS972" s="298"/>
      <c r="AT972" s="298"/>
      <c r="AU972" s="298"/>
      <c r="AV972" s="298"/>
      <c r="AW972" s="298"/>
      <c r="AX972" s="298"/>
      <c r="AY972" s="298"/>
      <c r="AZ972" s="298"/>
      <c r="BA972" s="298"/>
      <c r="BB972" s="298"/>
      <c r="BC972" s="298"/>
      <c r="BD972" s="298"/>
      <c r="BE972" s="298"/>
      <c r="BF972" s="298"/>
      <c r="BG972" s="298"/>
      <c r="BH972" s="298"/>
      <c r="BI972" s="298"/>
      <c r="BJ972" s="298"/>
      <c r="BK972" s="298"/>
      <c r="BL972" s="298"/>
      <c r="BM972" s="298"/>
      <c r="BN972" s="298"/>
      <c r="BO972" s="298"/>
      <c r="BP972" s="298"/>
    </row>
    <row r="973" spans="1:68" s="529" customFormat="1" ht="38.25">
      <c r="A973" s="286"/>
      <c r="B973" s="372" t="s">
        <v>15563</v>
      </c>
      <c r="C973" s="231" t="s">
        <v>24668</v>
      </c>
      <c r="D973" s="232" t="s">
        <v>103</v>
      </c>
      <c r="E973" s="232" t="s">
        <v>3240</v>
      </c>
      <c r="F973" s="233"/>
      <c r="G973" s="234"/>
      <c r="H973" s="235">
        <v>2723.2</v>
      </c>
      <c r="I973" s="298"/>
      <c r="J973" s="634"/>
      <c r="K973" s="524"/>
      <c r="L973" s="524"/>
      <c r="M973" s="524"/>
      <c r="N973" s="524"/>
      <c r="O973" s="524"/>
      <c r="P973" s="298"/>
      <c r="Q973" s="298"/>
      <c r="R973" s="298"/>
      <c r="S973" s="536"/>
      <c r="T973" s="635"/>
      <c r="U973" s="298"/>
      <c r="V973" s="298"/>
      <c r="W973" s="298"/>
      <c r="X973" s="298"/>
      <c r="Y973" s="298"/>
      <c r="Z973" s="298"/>
      <c r="AA973" s="298"/>
      <c r="AB973" s="298"/>
      <c r="AC973" s="298"/>
      <c r="AD973" s="298"/>
      <c r="AE973" s="298"/>
      <c r="AF973" s="298"/>
      <c r="AG973" s="298"/>
      <c r="AH973" s="298"/>
      <c r="AI973" s="298"/>
      <c r="AJ973" s="298"/>
      <c r="AK973" s="298"/>
      <c r="AL973" s="298"/>
      <c r="AM973" s="298"/>
      <c r="AN973" s="298"/>
      <c r="AO973" s="298"/>
      <c r="AP973" s="298"/>
      <c r="AQ973" s="298"/>
      <c r="AR973" s="298"/>
      <c r="AS973" s="298"/>
      <c r="AT973" s="298"/>
      <c r="AU973" s="298"/>
      <c r="AV973" s="298"/>
      <c r="AW973" s="298"/>
      <c r="AX973" s="298"/>
      <c r="AY973" s="298"/>
      <c r="AZ973" s="298"/>
      <c r="BA973" s="298"/>
      <c r="BB973" s="298"/>
      <c r="BC973" s="298"/>
      <c r="BD973" s="298"/>
      <c r="BE973" s="298"/>
      <c r="BF973" s="298"/>
      <c r="BG973" s="298"/>
      <c r="BH973" s="298"/>
      <c r="BI973" s="298"/>
      <c r="BJ973" s="298"/>
      <c r="BK973" s="298"/>
      <c r="BL973" s="298"/>
      <c r="BM973" s="298"/>
      <c r="BN973" s="298"/>
      <c r="BO973" s="298"/>
      <c r="BP973" s="298"/>
    </row>
    <row r="974" spans="1:68" s="298" customFormat="1" ht="25.5">
      <c r="A974" s="256" t="s">
        <v>14338</v>
      </c>
      <c r="B974" s="374" t="s">
        <v>15402</v>
      </c>
      <c r="C974" s="289" t="s">
        <v>17708</v>
      </c>
      <c r="D974" s="290" t="s">
        <v>103</v>
      </c>
      <c r="E974" s="290" t="s">
        <v>193</v>
      </c>
      <c r="F974" s="291">
        <v>4.2965</v>
      </c>
      <c r="G974" s="292">
        <v>633.82000000000005</v>
      </c>
      <c r="H974" s="255">
        <v>2723.2</v>
      </c>
      <c r="J974" s="634"/>
      <c r="S974" s="536"/>
      <c r="T974" s="638"/>
    </row>
    <row r="975" spans="1:68" s="298" customFormat="1" ht="12.75">
      <c r="A975" s="256"/>
      <c r="B975" s="288" t="s">
        <v>143</v>
      </c>
      <c r="C975" s="819" t="s">
        <v>15438</v>
      </c>
      <c r="D975" s="820"/>
      <c r="E975" s="820"/>
      <c r="F975" s="820"/>
      <c r="G975" s="820"/>
      <c r="H975" s="821"/>
      <c r="J975" s="634"/>
      <c r="K975" s="524"/>
      <c r="L975" s="524"/>
      <c r="M975" s="524"/>
      <c r="N975" s="524"/>
      <c r="O975" s="524"/>
      <c r="S975" s="536"/>
      <c r="T975" s="635"/>
    </row>
    <row r="976" spans="1:68" s="529" customFormat="1" ht="12.75">
      <c r="A976" s="286"/>
      <c r="B976" s="373"/>
      <c r="C976" s="379"/>
      <c r="D976" s="382"/>
      <c r="E976" s="382"/>
      <c r="F976" s="382"/>
      <c r="G976" s="382"/>
      <c r="H976" s="382"/>
      <c r="I976" s="298"/>
      <c r="J976" s="634"/>
      <c r="K976" s="524"/>
      <c r="L976" s="524"/>
      <c r="M976" s="524"/>
      <c r="N976" s="524"/>
      <c r="O976" s="524"/>
      <c r="P976" s="298"/>
      <c r="Q976" s="298"/>
      <c r="R976" s="298"/>
      <c r="S976" s="536"/>
      <c r="T976" s="635"/>
      <c r="U976" s="298"/>
      <c r="V976" s="298"/>
      <c r="W976" s="298"/>
      <c r="X976" s="298"/>
      <c r="Y976" s="298"/>
      <c r="Z976" s="298"/>
      <c r="AA976" s="298"/>
      <c r="AB976" s="298"/>
      <c r="AC976" s="298"/>
      <c r="AD976" s="298"/>
      <c r="AE976" s="298"/>
      <c r="AF976" s="298"/>
      <c r="AG976" s="298"/>
      <c r="AH976" s="298"/>
      <c r="AI976" s="298"/>
      <c r="AJ976" s="298"/>
      <c r="AK976" s="298"/>
      <c r="AL976" s="298"/>
      <c r="AM976" s="298"/>
      <c r="AN976" s="298"/>
      <c r="AO976" s="298"/>
      <c r="AP976" s="298"/>
      <c r="AQ976" s="298"/>
      <c r="AR976" s="298"/>
      <c r="AS976" s="298"/>
      <c r="AT976" s="298"/>
      <c r="AU976" s="298"/>
      <c r="AV976" s="298"/>
      <c r="AW976" s="298"/>
      <c r="AX976" s="298"/>
      <c r="AY976" s="298"/>
      <c r="AZ976" s="298"/>
      <c r="BA976" s="298"/>
      <c r="BB976" s="298"/>
      <c r="BC976" s="298"/>
      <c r="BD976" s="298"/>
      <c r="BE976" s="298"/>
      <c r="BF976" s="298"/>
      <c r="BG976" s="298"/>
      <c r="BH976" s="298"/>
      <c r="BI976" s="298"/>
      <c r="BJ976" s="298"/>
      <c r="BK976" s="298"/>
      <c r="BL976" s="298"/>
      <c r="BM976" s="298"/>
      <c r="BN976" s="298"/>
      <c r="BO976" s="298"/>
      <c r="BP976" s="298"/>
    </row>
    <row r="977" spans="1:68" s="529" customFormat="1" ht="38.25">
      <c r="A977" s="286"/>
      <c r="B977" s="372" t="s">
        <v>15564</v>
      </c>
      <c r="C977" s="231" t="s">
        <v>24671</v>
      </c>
      <c r="D977" s="232" t="s">
        <v>103</v>
      </c>
      <c r="E977" s="232" t="s">
        <v>3240</v>
      </c>
      <c r="F977" s="233"/>
      <c r="G977" s="234"/>
      <c r="H977" s="235">
        <v>308.98</v>
      </c>
      <c r="I977" s="298"/>
      <c r="J977" s="634"/>
      <c r="K977" s="524"/>
      <c r="L977" s="524"/>
      <c r="M977" s="524"/>
      <c r="N977" s="524"/>
      <c r="O977" s="524"/>
      <c r="P977" s="298"/>
      <c r="Q977" s="298"/>
      <c r="R977" s="298"/>
      <c r="S977" s="536"/>
      <c r="T977" s="635"/>
      <c r="U977" s="298"/>
      <c r="V977" s="298"/>
      <c r="W977" s="298"/>
      <c r="X977" s="298"/>
      <c r="Y977" s="298"/>
      <c r="Z977" s="298"/>
      <c r="AA977" s="298"/>
      <c r="AB977" s="298"/>
      <c r="AC977" s="298"/>
      <c r="AD977" s="298"/>
      <c r="AE977" s="298"/>
      <c r="AF977" s="298"/>
      <c r="AG977" s="298"/>
      <c r="AH977" s="298"/>
      <c r="AI977" s="298"/>
      <c r="AJ977" s="298"/>
      <c r="AK977" s="298"/>
      <c r="AL977" s="298"/>
      <c r="AM977" s="298"/>
      <c r="AN977" s="298"/>
      <c r="AO977" s="298"/>
      <c r="AP977" s="298"/>
      <c r="AQ977" s="298"/>
      <c r="AR977" s="298"/>
      <c r="AS977" s="298"/>
      <c r="AT977" s="298"/>
      <c r="AU977" s="298"/>
      <c r="AV977" s="298"/>
      <c r="AW977" s="298"/>
      <c r="AX977" s="298"/>
      <c r="AY977" s="298"/>
      <c r="AZ977" s="298"/>
      <c r="BA977" s="298"/>
      <c r="BB977" s="298"/>
      <c r="BC977" s="298"/>
      <c r="BD977" s="298"/>
      <c r="BE977" s="298"/>
      <c r="BF977" s="298"/>
      <c r="BG977" s="298"/>
      <c r="BH977" s="298"/>
      <c r="BI977" s="298"/>
      <c r="BJ977" s="298"/>
      <c r="BK977" s="298"/>
      <c r="BL977" s="298"/>
      <c r="BM977" s="298"/>
      <c r="BN977" s="298"/>
      <c r="BO977" s="298"/>
      <c r="BP977" s="298"/>
    </row>
    <row r="978" spans="1:68" s="298" customFormat="1" ht="25.5">
      <c r="A978" s="256" t="s">
        <v>14338</v>
      </c>
      <c r="B978" s="374" t="s">
        <v>15402</v>
      </c>
      <c r="C978" s="289" t="s">
        <v>17708</v>
      </c>
      <c r="D978" s="290" t="s">
        <v>103</v>
      </c>
      <c r="E978" s="290" t="s">
        <v>193</v>
      </c>
      <c r="F978" s="291">
        <v>0.48750000000000004</v>
      </c>
      <c r="G978" s="292">
        <v>633.82000000000005</v>
      </c>
      <c r="H978" s="255">
        <v>308.98</v>
      </c>
      <c r="J978" s="634"/>
      <c r="S978" s="536"/>
      <c r="T978" s="638"/>
    </row>
    <row r="979" spans="1:68" s="298" customFormat="1" ht="12.75">
      <c r="A979" s="256"/>
      <c r="B979" s="288" t="s">
        <v>143</v>
      </c>
      <c r="C979" s="819" t="s">
        <v>15438</v>
      </c>
      <c r="D979" s="820"/>
      <c r="E979" s="820"/>
      <c r="F979" s="820"/>
      <c r="G979" s="820"/>
      <c r="H979" s="821"/>
      <c r="J979" s="634"/>
      <c r="K979" s="524"/>
      <c r="L979" s="524"/>
      <c r="M979" s="524"/>
      <c r="N979" s="524"/>
      <c r="O979" s="524"/>
      <c r="S979" s="536"/>
      <c r="T979" s="635"/>
    </row>
    <row r="980" spans="1:68" s="529" customFormat="1" ht="12.75">
      <c r="A980" s="286"/>
      <c r="B980" s="373"/>
      <c r="C980" s="379"/>
      <c r="D980" s="382"/>
      <c r="E980" s="382"/>
      <c r="F980" s="382"/>
      <c r="G980" s="382"/>
      <c r="H980" s="382"/>
      <c r="I980" s="298"/>
      <c r="J980" s="634"/>
      <c r="K980" s="524"/>
      <c r="L980" s="524"/>
      <c r="M980" s="524"/>
      <c r="N980" s="524"/>
      <c r="O980" s="524"/>
      <c r="P980" s="298"/>
      <c r="Q980" s="298"/>
      <c r="R980" s="298"/>
      <c r="S980" s="536"/>
      <c r="T980" s="635"/>
      <c r="U980" s="298"/>
      <c r="V980" s="298"/>
      <c r="W980" s="298"/>
      <c r="X980" s="298"/>
      <c r="Y980" s="298"/>
      <c r="Z980" s="298"/>
      <c r="AA980" s="298"/>
      <c r="AB980" s="298"/>
      <c r="AC980" s="298"/>
      <c r="AD980" s="298"/>
      <c r="AE980" s="298"/>
      <c r="AF980" s="298"/>
      <c r="AG980" s="298"/>
      <c r="AH980" s="298"/>
      <c r="AI980" s="298"/>
      <c r="AJ980" s="298"/>
      <c r="AK980" s="298"/>
      <c r="AL980" s="298"/>
      <c r="AM980" s="298"/>
      <c r="AN980" s="298"/>
      <c r="AO980" s="298"/>
      <c r="AP980" s="298"/>
      <c r="AQ980" s="298"/>
      <c r="AR980" s="298"/>
      <c r="AS980" s="298"/>
      <c r="AT980" s="298"/>
      <c r="AU980" s="298"/>
      <c r="AV980" s="298"/>
      <c r="AW980" s="298"/>
      <c r="AX980" s="298"/>
      <c r="AY980" s="298"/>
      <c r="AZ980" s="298"/>
      <c r="BA980" s="298"/>
      <c r="BB980" s="298"/>
      <c r="BC980" s="298"/>
      <c r="BD980" s="298"/>
      <c r="BE980" s="298"/>
      <c r="BF980" s="298"/>
      <c r="BG980" s="298"/>
      <c r="BH980" s="298"/>
      <c r="BI980" s="298"/>
      <c r="BJ980" s="298"/>
      <c r="BK980" s="298"/>
      <c r="BL980" s="298"/>
      <c r="BM980" s="298"/>
      <c r="BN980" s="298"/>
      <c r="BO980" s="298"/>
      <c r="BP980" s="298"/>
    </row>
    <row r="981" spans="1:68" s="529" customFormat="1" ht="38.25">
      <c r="A981" s="286"/>
      <c r="B981" s="372" t="s">
        <v>15722</v>
      </c>
      <c r="C981" s="231" t="s">
        <v>24672</v>
      </c>
      <c r="D981" s="232" t="s">
        <v>103</v>
      </c>
      <c r="E981" s="232" t="s">
        <v>3240</v>
      </c>
      <c r="F981" s="233"/>
      <c r="G981" s="234"/>
      <c r="H981" s="235">
        <v>1774.69</v>
      </c>
      <c r="I981" s="298"/>
      <c r="J981" s="634"/>
      <c r="K981" s="524"/>
      <c r="L981" s="524"/>
      <c r="M981" s="524"/>
      <c r="N981" s="524"/>
      <c r="O981" s="524"/>
      <c r="P981" s="298"/>
      <c r="Q981" s="298"/>
      <c r="R981" s="298"/>
      <c r="S981" s="536"/>
      <c r="T981" s="635"/>
      <c r="U981" s="298"/>
      <c r="V981" s="298"/>
      <c r="W981" s="298"/>
      <c r="X981" s="298"/>
      <c r="Y981" s="298"/>
      <c r="Z981" s="298"/>
      <c r="AA981" s="298"/>
      <c r="AB981" s="298"/>
      <c r="AC981" s="298"/>
      <c r="AD981" s="298"/>
      <c r="AE981" s="298"/>
      <c r="AF981" s="298"/>
      <c r="AG981" s="298"/>
      <c r="AH981" s="298"/>
      <c r="AI981" s="298"/>
      <c r="AJ981" s="298"/>
      <c r="AK981" s="298"/>
      <c r="AL981" s="298"/>
      <c r="AM981" s="298"/>
      <c r="AN981" s="298"/>
      <c r="AO981" s="298"/>
      <c r="AP981" s="298"/>
      <c r="AQ981" s="298"/>
      <c r="AR981" s="298"/>
      <c r="AS981" s="298"/>
      <c r="AT981" s="298"/>
      <c r="AU981" s="298"/>
      <c r="AV981" s="298"/>
      <c r="AW981" s="298"/>
      <c r="AX981" s="298"/>
      <c r="AY981" s="298"/>
      <c r="AZ981" s="298"/>
      <c r="BA981" s="298"/>
      <c r="BB981" s="298"/>
      <c r="BC981" s="298"/>
      <c r="BD981" s="298"/>
      <c r="BE981" s="298"/>
      <c r="BF981" s="298"/>
      <c r="BG981" s="298"/>
      <c r="BH981" s="298"/>
      <c r="BI981" s="298"/>
      <c r="BJ981" s="298"/>
      <c r="BK981" s="298"/>
      <c r="BL981" s="298"/>
      <c r="BM981" s="298"/>
      <c r="BN981" s="298"/>
      <c r="BO981" s="298"/>
      <c r="BP981" s="298"/>
    </row>
    <row r="982" spans="1:68" s="298" customFormat="1" ht="25.5">
      <c r="A982" s="256" t="s">
        <v>14338</v>
      </c>
      <c r="B982" s="374" t="s">
        <v>15402</v>
      </c>
      <c r="C982" s="289" t="s">
        <v>17708</v>
      </c>
      <c r="D982" s="290" t="s">
        <v>103</v>
      </c>
      <c r="E982" s="290" t="s">
        <v>193</v>
      </c>
      <c r="F982" s="291">
        <v>2.8000000000000003</v>
      </c>
      <c r="G982" s="292">
        <v>633.82000000000005</v>
      </c>
      <c r="H982" s="255">
        <v>1774.69</v>
      </c>
      <c r="J982" s="634"/>
      <c r="S982" s="536"/>
      <c r="T982" s="638"/>
    </row>
    <row r="983" spans="1:68" s="298" customFormat="1" ht="12.75">
      <c r="A983" s="256"/>
      <c r="B983" s="288" t="s">
        <v>143</v>
      </c>
      <c r="C983" s="819" t="s">
        <v>15438</v>
      </c>
      <c r="D983" s="820"/>
      <c r="E983" s="820"/>
      <c r="F983" s="820"/>
      <c r="G983" s="820"/>
      <c r="H983" s="821"/>
      <c r="J983" s="634"/>
      <c r="K983" s="524"/>
      <c r="L983" s="524"/>
      <c r="M983" s="524"/>
      <c r="N983" s="524"/>
      <c r="O983" s="524"/>
      <c r="S983" s="536"/>
      <c r="T983" s="635"/>
    </row>
    <row r="984" spans="1:68" s="529" customFormat="1" ht="12.75">
      <c r="A984" s="286"/>
      <c r="B984" s="373"/>
      <c r="C984" s="379"/>
      <c r="D984" s="382"/>
      <c r="E984" s="382"/>
      <c r="F984" s="382"/>
      <c r="G984" s="382"/>
      <c r="H984" s="382"/>
      <c r="I984" s="298"/>
      <c r="J984" s="634"/>
      <c r="K984" s="524"/>
      <c r="L984" s="524"/>
      <c r="M984" s="524"/>
      <c r="N984" s="524"/>
      <c r="O984" s="524"/>
      <c r="P984" s="298"/>
      <c r="Q984" s="298"/>
      <c r="R984" s="298"/>
      <c r="S984" s="536"/>
      <c r="T984" s="635"/>
      <c r="U984" s="298"/>
      <c r="V984" s="298"/>
      <c r="W984" s="298"/>
      <c r="X984" s="298"/>
      <c r="Y984" s="298"/>
      <c r="Z984" s="298"/>
      <c r="AA984" s="298"/>
      <c r="AB984" s="298"/>
      <c r="AC984" s="298"/>
      <c r="AD984" s="298"/>
      <c r="AE984" s="298"/>
      <c r="AF984" s="298"/>
      <c r="AG984" s="298"/>
      <c r="AH984" s="298"/>
      <c r="AI984" s="298"/>
      <c r="AJ984" s="298"/>
      <c r="AK984" s="298"/>
      <c r="AL984" s="298"/>
      <c r="AM984" s="298"/>
      <c r="AN984" s="298"/>
      <c r="AO984" s="298"/>
      <c r="AP984" s="298"/>
      <c r="AQ984" s="298"/>
      <c r="AR984" s="298"/>
      <c r="AS984" s="298"/>
      <c r="AT984" s="298"/>
      <c r="AU984" s="298"/>
      <c r="AV984" s="298"/>
      <c r="AW984" s="298"/>
      <c r="AX984" s="298"/>
      <c r="AY984" s="298"/>
      <c r="AZ984" s="298"/>
      <c r="BA984" s="298"/>
      <c r="BB984" s="298"/>
      <c r="BC984" s="298"/>
      <c r="BD984" s="298"/>
      <c r="BE984" s="298"/>
      <c r="BF984" s="298"/>
      <c r="BG984" s="298"/>
      <c r="BH984" s="298"/>
      <c r="BI984" s="298"/>
      <c r="BJ984" s="298"/>
      <c r="BK984" s="298"/>
      <c r="BL984" s="298"/>
      <c r="BM984" s="298"/>
      <c r="BN984" s="298"/>
      <c r="BO984" s="298"/>
      <c r="BP984" s="298"/>
    </row>
    <row r="985" spans="1:68" s="529" customFormat="1" ht="38.25">
      <c r="A985" s="286"/>
      <c r="B985" s="372" t="s">
        <v>15724</v>
      </c>
      <c r="C985" s="231" t="s">
        <v>24673</v>
      </c>
      <c r="D985" s="232" t="s">
        <v>103</v>
      </c>
      <c r="E985" s="232" t="s">
        <v>3240</v>
      </c>
      <c r="F985" s="233"/>
      <c r="G985" s="234"/>
      <c r="H985" s="235">
        <v>732.69</v>
      </c>
      <c r="I985" s="298"/>
      <c r="J985" s="634"/>
      <c r="K985" s="524"/>
      <c r="L985" s="524"/>
      <c r="M985" s="524"/>
      <c r="N985" s="524"/>
      <c r="O985" s="524"/>
      <c r="P985" s="298"/>
      <c r="Q985" s="298"/>
      <c r="R985" s="298"/>
      <c r="S985" s="536"/>
      <c r="T985" s="635"/>
      <c r="U985" s="298"/>
      <c r="V985" s="298"/>
      <c r="W985" s="298"/>
      <c r="X985" s="298"/>
      <c r="Y985" s="298"/>
      <c r="Z985" s="298"/>
      <c r="AA985" s="298"/>
      <c r="AB985" s="298"/>
      <c r="AC985" s="298"/>
      <c r="AD985" s="298"/>
      <c r="AE985" s="298"/>
      <c r="AF985" s="298"/>
      <c r="AG985" s="298"/>
      <c r="AH985" s="298"/>
      <c r="AI985" s="298"/>
      <c r="AJ985" s="298"/>
      <c r="AK985" s="298"/>
      <c r="AL985" s="298"/>
      <c r="AM985" s="298"/>
      <c r="AN985" s="298"/>
      <c r="AO985" s="298"/>
      <c r="AP985" s="298"/>
      <c r="AQ985" s="298"/>
      <c r="AR985" s="298"/>
      <c r="AS985" s="298"/>
      <c r="AT985" s="298"/>
      <c r="AU985" s="298"/>
      <c r="AV985" s="298"/>
      <c r="AW985" s="298"/>
      <c r="AX985" s="298"/>
      <c r="AY985" s="298"/>
      <c r="AZ985" s="298"/>
      <c r="BA985" s="298"/>
      <c r="BB985" s="298"/>
      <c r="BC985" s="298"/>
      <c r="BD985" s="298"/>
      <c r="BE985" s="298"/>
      <c r="BF985" s="298"/>
      <c r="BG985" s="298"/>
      <c r="BH985" s="298"/>
      <c r="BI985" s="298"/>
      <c r="BJ985" s="298"/>
      <c r="BK985" s="298"/>
      <c r="BL985" s="298"/>
      <c r="BM985" s="298"/>
      <c r="BN985" s="298"/>
      <c r="BO985" s="298"/>
      <c r="BP985" s="298"/>
    </row>
    <row r="986" spans="1:68" s="298" customFormat="1" ht="25.5">
      <c r="A986" s="256" t="s">
        <v>14338</v>
      </c>
      <c r="B986" s="374" t="s">
        <v>15402</v>
      </c>
      <c r="C986" s="289" t="s">
        <v>17708</v>
      </c>
      <c r="D986" s="290" t="s">
        <v>103</v>
      </c>
      <c r="E986" s="290" t="s">
        <v>193</v>
      </c>
      <c r="F986" s="291">
        <v>1.1560000000000001</v>
      </c>
      <c r="G986" s="292">
        <v>633.82000000000005</v>
      </c>
      <c r="H986" s="255">
        <v>732.69</v>
      </c>
      <c r="J986" s="634"/>
      <c r="S986" s="536"/>
      <c r="T986" s="638"/>
    </row>
    <row r="987" spans="1:68" s="298" customFormat="1" ht="12.75">
      <c r="A987" s="256"/>
      <c r="B987" s="288" t="s">
        <v>143</v>
      </c>
      <c r="C987" s="819" t="s">
        <v>15438</v>
      </c>
      <c r="D987" s="820"/>
      <c r="E987" s="820"/>
      <c r="F987" s="820"/>
      <c r="G987" s="820"/>
      <c r="H987" s="821"/>
      <c r="J987" s="634"/>
      <c r="K987" s="524"/>
      <c r="L987" s="524"/>
      <c r="M987" s="524"/>
      <c r="N987" s="524"/>
      <c r="O987" s="524"/>
      <c r="S987" s="536"/>
      <c r="T987" s="635"/>
    </row>
    <row r="988" spans="1:68" s="529" customFormat="1" ht="12.75">
      <c r="A988" s="286"/>
      <c r="B988" s="373"/>
      <c r="C988" s="379"/>
      <c r="D988" s="382"/>
      <c r="E988" s="382"/>
      <c r="F988" s="382"/>
      <c r="G988" s="382"/>
      <c r="H988" s="382"/>
      <c r="I988" s="298"/>
      <c r="J988" s="634"/>
      <c r="K988" s="524"/>
      <c r="L988" s="524"/>
      <c r="M988" s="524"/>
      <c r="N988" s="524"/>
      <c r="O988" s="524"/>
      <c r="P988" s="298"/>
      <c r="Q988" s="298"/>
      <c r="R988" s="298"/>
      <c r="S988" s="536"/>
      <c r="T988" s="635"/>
      <c r="U988" s="298"/>
      <c r="V988" s="298"/>
      <c r="W988" s="298"/>
      <c r="X988" s="298"/>
      <c r="Y988" s="298"/>
      <c r="Z988" s="298"/>
      <c r="AA988" s="298"/>
      <c r="AB988" s="298"/>
      <c r="AC988" s="298"/>
      <c r="AD988" s="298"/>
      <c r="AE988" s="298"/>
      <c r="AF988" s="298"/>
      <c r="AG988" s="298"/>
      <c r="AH988" s="298"/>
      <c r="AI988" s="298"/>
      <c r="AJ988" s="298"/>
      <c r="AK988" s="298"/>
      <c r="AL988" s="298"/>
      <c r="AM988" s="298"/>
      <c r="AN988" s="298"/>
      <c r="AO988" s="298"/>
      <c r="AP988" s="298"/>
      <c r="AQ988" s="298"/>
      <c r="AR988" s="298"/>
      <c r="AS988" s="298"/>
      <c r="AT988" s="298"/>
      <c r="AU988" s="298"/>
      <c r="AV988" s="298"/>
      <c r="AW988" s="298"/>
      <c r="AX988" s="298"/>
      <c r="AY988" s="298"/>
      <c r="AZ988" s="298"/>
      <c r="BA988" s="298"/>
      <c r="BB988" s="298"/>
      <c r="BC988" s="298"/>
      <c r="BD988" s="298"/>
      <c r="BE988" s="298"/>
      <c r="BF988" s="298"/>
      <c r="BG988" s="298"/>
      <c r="BH988" s="298"/>
      <c r="BI988" s="298"/>
      <c r="BJ988" s="298"/>
      <c r="BK988" s="298"/>
      <c r="BL988" s="298"/>
      <c r="BM988" s="298"/>
      <c r="BN988" s="298"/>
      <c r="BO988" s="298"/>
      <c r="BP988" s="298"/>
    </row>
    <row r="989" spans="1:68" s="529" customFormat="1" ht="38.25">
      <c r="A989" s="286"/>
      <c r="B989" s="372" t="s">
        <v>17709</v>
      </c>
      <c r="C989" s="231" t="s">
        <v>24674</v>
      </c>
      <c r="D989" s="232" t="s">
        <v>103</v>
      </c>
      <c r="E989" s="232" t="s">
        <v>3240</v>
      </c>
      <c r="F989" s="233"/>
      <c r="G989" s="234"/>
      <c r="H989" s="235">
        <v>1292.99</v>
      </c>
      <c r="I989" s="298"/>
      <c r="J989" s="634"/>
      <c r="K989" s="524"/>
      <c r="L989" s="524"/>
      <c r="M989" s="524"/>
      <c r="N989" s="524"/>
      <c r="O989" s="524"/>
      <c r="P989" s="298"/>
      <c r="Q989" s="298"/>
      <c r="R989" s="298"/>
      <c r="S989" s="536"/>
      <c r="T989" s="635"/>
      <c r="U989" s="298"/>
      <c r="V989" s="298"/>
      <c r="W989" s="298"/>
      <c r="X989" s="298"/>
      <c r="Y989" s="298"/>
      <c r="Z989" s="298"/>
      <c r="AA989" s="298"/>
      <c r="AB989" s="298"/>
      <c r="AC989" s="298"/>
      <c r="AD989" s="298"/>
      <c r="AE989" s="298"/>
      <c r="AF989" s="298"/>
      <c r="AG989" s="298"/>
      <c r="AH989" s="298"/>
      <c r="AI989" s="298"/>
      <c r="AJ989" s="298"/>
      <c r="AK989" s="298"/>
      <c r="AL989" s="298"/>
      <c r="AM989" s="298"/>
      <c r="AN989" s="298"/>
      <c r="AO989" s="298"/>
      <c r="AP989" s="298"/>
      <c r="AQ989" s="298"/>
      <c r="AR989" s="298"/>
      <c r="AS989" s="298"/>
      <c r="AT989" s="298"/>
      <c r="AU989" s="298"/>
      <c r="AV989" s="298"/>
      <c r="AW989" s="298"/>
      <c r="AX989" s="298"/>
      <c r="AY989" s="298"/>
      <c r="AZ989" s="298"/>
      <c r="BA989" s="298"/>
      <c r="BB989" s="298"/>
      <c r="BC989" s="298"/>
      <c r="BD989" s="298"/>
      <c r="BE989" s="298"/>
      <c r="BF989" s="298"/>
      <c r="BG989" s="298"/>
      <c r="BH989" s="298"/>
      <c r="BI989" s="298"/>
      <c r="BJ989" s="298"/>
      <c r="BK989" s="298"/>
      <c r="BL989" s="298"/>
      <c r="BM989" s="298"/>
      <c r="BN989" s="298"/>
      <c r="BO989" s="298"/>
      <c r="BP989" s="298"/>
    </row>
    <row r="990" spans="1:68" s="298" customFormat="1" ht="25.5">
      <c r="A990" s="256" t="s">
        <v>14338</v>
      </c>
      <c r="B990" s="374" t="s">
        <v>15402</v>
      </c>
      <c r="C990" s="289" t="s">
        <v>17708</v>
      </c>
      <c r="D990" s="290" t="s">
        <v>103</v>
      </c>
      <c r="E990" s="290" t="s">
        <v>193</v>
      </c>
      <c r="F990" s="291">
        <v>2.04</v>
      </c>
      <c r="G990" s="292">
        <v>633.82000000000005</v>
      </c>
      <c r="H990" s="255">
        <v>1292.99</v>
      </c>
      <c r="J990" s="634"/>
      <c r="S990" s="536"/>
      <c r="T990" s="638"/>
    </row>
    <row r="991" spans="1:68" s="298" customFormat="1" ht="12.75">
      <c r="A991" s="256"/>
      <c r="B991" s="288" t="s">
        <v>143</v>
      </c>
      <c r="C991" s="819" t="s">
        <v>15438</v>
      </c>
      <c r="D991" s="820"/>
      <c r="E991" s="820"/>
      <c r="F991" s="820"/>
      <c r="G991" s="820"/>
      <c r="H991" s="821"/>
      <c r="J991" s="634"/>
      <c r="K991" s="524"/>
      <c r="L991" s="524"/>
      <c r="M991" s="524"/>
      <c r="N991" s="524"/>
      <c r="O991" s="524"/>
      <c r="S991" s="536"/>
      <c r="T991" s="635"/>
    </row>
    <row r="992" spans="1:68" s="529" customFormat="1" ht="12.75">
      <c r="A992" s="286"/>
      <c r="B992" s="373"/>
      <c r="C992" s="379"/>
      <c r="D992" s="382"/>
      <c r="E992" s="382"/>
      <c r="F992" s="382"/>
      <c r="G992" s="382"/>
      <c r="H992" s="382"/>
      <c r="I992" s="298"/>
      <c r="J992" s="634"/>
      <c r="K992" s="524"/>
      <c r="L992" s="524"/>
      <c r="M992" s="524"/>
      <c r="N992" s="524"/>
      <c r="O992" s="524"/>
      <c r="P992" s="298"/>
      <c r="Q992" s="298"/>
      <c r="R992" s="298"/>
      <c r="S992" s="536"/>
      <c r="T992" s="635"/>
      <c r="U992" s="298"/>
      <c r="V992" s="298"/>
      <c r="W992" s="298"/>
      <c r="X992" s="298"/>
      <c r="Y992" s="298"/>
      <c r="Z992" s="298"/>
      <c r="AA992" s="298"/>
      <c r="AB992" s="298"/>
      <c r="AC992" s="298"/>
      <c r="AD992" s="298"/>
      <c r="AE992" s="298"/>
      <c r="AF992" s="298"/>
      <c r="AG992" s="298"/>
      <c r="AH992" s="298"/>
      <c r="AI992" s="298"/>
      <c r="AJ992" s="298"/>
      <c r="AK992" s="298"/>
      <c r="AL992" s="298"/>
      <c r="AM992" s="298"/>
      <c r="AN992" s="298"/>
      <c r="AO992" s="298"/>
      <c r="AP992" s="298"/>
      <c r="AQ992" s="298"/>
      <c r="AR992" s="298"/>
      <c r="AS992" s="298"/>
      <c r="AT992" s="298"/>
      <c r="AU992" s="298"/>
      <c r="AV992" s="298"/>
      <c r="AW992" s="298"/>
      <c r="AX992" s="298"/>
      <c r="AY992" s="298"/>
      <c r="AZ992" s="298"/>
      <c r="BA992" s="298"/>
      <c r="BB992" s="298"/>
      <c r="BC992" s="298"/>
      <c r="BD992" s="298"/>
      <c r="BE992" s="298"/>
      <c r="BF992" s="298"/>
      <c r="BG992" s="298"/>
      <c r="BH992" s="298"/>
      <c r="BI992" s="298"/>
      <c r="BJ992" s="298"/>
      <c r="BK992" s="298"/>
      <c r="BL992" s="298"/>
      <c r="BM992" s="298"/>
      <c r="BN992" s="298"/>
      <c r="BO992" s="298"/>
      <c r="BP992" s="298"/>
    </row>
    <row r="993" spans="1:68" s="529" customFormat="1" ht="38.25">
      <c r="A993" s="286"/>
      <c r="B993" s="372" t="s">
        <v>17710</v>
      </c>
      <c r="C993" s="231" t="s">
        <v>17712</v>
      </c>
      <c r="D993" s="232" t="s">
        <v>103</v>
      </c>
      <c r="E993" s="232" t="s">
        <v>5</v>
      </c>
      <c r="F993" s="233"/>
      <c r="G993" s="234"/>
      <c r="H993" s="235">
        <v>68.900000000000006</v>
      </c>
      <c r="I993" s="298"/>
      <c r="J993" s="634"/>
      <c r="K993" s="524"/>
      <c r="L993" s="524"/>
      <c r="M993" s="524"/>
      <c r="N993" s="524"/>
      <c r="O993" s="524"/>
      <c r="P993" s="298"/>
      <c r="Q993" s="298"/>
      <c r="R993" s="298"/>
      <c r="S993" s="536"/>
      <c r="T993" s="635"/>
      <c r="U993" s="298"/>
      <c r="V993" s="298"/>
      <c r="W993" s="298"/>
      <c r="X993" s="298"/>
      <c r="Y993" s="298"/>
      <c r="Z993" s="298"/>
      <c r="AA993" s="298"/>
      <c r="AB993" s="298"/>
      <c r="AC993" s="298"/>
      <c r="AD993" s="298"/>
      <c r="AE993" s="298"/>
      <c r="AF993" s="298"/>
      <c r="AG993" s="298"/>
      <c r="AH993" s="298"/>
      <c r="AI993" s="298"/>
      <c r="AJ993" s="298"/>
      <c r="AK993" s="298"/>
      <c r="AL993" s="298"/>
      <c r="AM993" s="298"/>
      <c r="AN993" s="298"/>
      <c r="AO993" s="298"/>
      <c r="AP993" s="298"/>
      <c r="AQ993" s="298"/>
      <c r="AR993" s="298"/>
      <c r="AS993" s="298"/>
      <c r="AT993" s="298"/>
      <c r="AU993" s="298"/>
      <c r="AV993" s="298"/>
      <c r="AW993" s="298"/>
      <c r="AX993" s="298"/>
      <c r="AY993" s="298"/>
      <c r="AZ993" s="298"/>
      <c r="BA993" s="298"/>
      <c r="BB993" s="298"/>
      <c r="BC993" s="298"/>
      <c r="BD993" s="298"/>
      <c r="BE993" s="298"/>
      <c r="BF993" s="298"/>
      <c r="BG993" s="298"/>
      <c r="BH993" s="298"/>
      <c r="BI993" s="298"/>
      <c r="BJ993" s="298"/>
      <c r="BK993" s="298"/>
      <c r="BL993" s="298"/>
      <c r="BM993" s="298"/>
      <c r="BN993" s="298"/>
      <c r="BO993" s="298"/>
      <c r="BP993" s="298"/>
    </row>
    <row r="994" spans="1:68" s="298" customFormat="1" ht="51">
      <c r="A994" s="256" t="s">
        <v>3261</v>
      </c>
      <c r="B994" s="374">
        <v>20231</v>
      </c>
      <c r="C994" s="289" t="s">
        <v>7977</v>
      </c>
      <c r="D994" s="290" t="s">
        <v>207</v>
      </c>
      <c r="E994" s="290" t="s">
        <v>3243</v>
      </c>
      <c r="F994" s="291">
        <v>1.04</v>
      </c>
      <c r="G994" s="292" t="s">
        <v>16159</v>
      </c>
      <c r="H994" s="255">
        <v>58.82</v>
      </c>
      <c r="J994" s="634"/>
      <c r="S994" s="536"/>
      <c r="T994" s="638"/>
    </row>
    <row r="995" spans="1:68" s="298" customFormat="1" ht="12.75">
      <c r="A995" s="256" t="s">
        <v>3261</v>
      </c>
      <c r="B995" s="374">
        <v>34357</v>
      </c>
      <c r="C995" s="289" t="s">
        <v>11963</v>
      </c>
      <c r="D995" s="290" t="s">
        <v>207</v>
      </c>
      <c r="E995" s="290" t="s">
        <v>3244</v>
      </c>
      <c r="F995" s="254">
        <v>0.12</v>
      </c>
      <c r="G995" s="292" t="s">
        <v>11340</v>
      </c>
      <c r="H995" s="255">
        <v>0.31</v>
      </c>
      <c r="J995" s="634"/>
      <c r="K995" s="524"/>
      <c r="L995" s="524"/>
      <c r="M995" s="524"/>
      <c r="N995" s="524"/>
      <c r="O995" s="524"/>
      <c r="S995" s="536"/>
      <c r="T995" s="638"/>
    </row>
    <row r="996" spans="1:68" s="298" customFormat="1" ht="12.75">
      <c r="A996" s="256" t="s">
        <v>3261</v>
      </c>
      <c r="B996" s="374">
        <v>37595</v>
      </c>
      <c r="C996" s="289" t="s">
        <v>11643</v>
      </c>
      <c r="D996" s="290" t="s">
        <v>207</v>
      </c>
      <c r="E996" s="290" t="s">
        <v>3244</v>
      </c>
      <c r="F996" s="291">
        <v>0.86140000000000005</v>
      </c>
      <c r="G996" s="292" t="s">
        <v>9906</v>
      </c>
      <c r="H996" s="255">
        <v>1.18</v>
      </c>
      <c r="J996" s="634"/>
      <c r="S996" s="536"/>
      <c r="T996" s="638"/>
    </row>
    <row r="997" spans="1:68" s="298" customFormat="1" ht="25.5">
      <c r="A997" s="256" t="s">
        <v>3259</v>
      </c>
      <c r="B997" s="374">
        <v>88274</v>
      </c>
      <c r="C997" s="289" t="s">
        <v>205</v>
      </c>
      <c r="D997" s="290" t="s">
        <v>9714</v>
      </c>
      <c r="E997" s="290" t="s">
        <v>206</v>
      </c>
      <c r="F997" s="254">
        <v>0.29899999999999999</v>
      </c>
      <c r="G997" s="292" t="s">
        <v>24384</v>
      </c>
      <c r="H997" s="255">
        <v>5.95</v>
      </c>
      <c r="J997" s="634"/>
      <c r="K997" s="524"/>
      <c r="L997" s="524"/>
      <c r="M997" s="524"/>
      <c r="N997" s="524"/>
      <c r="O997" s="524"/>
      <c r="S997" s="536"/>
      <c r="T997" s="638"/>
    </row>
    <row r="998" spans="1:68" s="298" customFormat="1" ht="25.5">
      <c r="A998" s="256" t="s">
        <v>3259</v>
      </c>
      <c r="B998" s="374">
        <v>88316</v>
      </c>
      <c r="C998" s="289" t="s">
        <v>104</v>
      </c>
      <c r="D998" s="290" t="s">
        <v>9714</v>
      </c>
      <c r="E998" s="290" t="s">
        <v>206</v>
      </c>
      <c r="F998" s="254">
        <v>0.15</v>
      </c>
      <c r="G998" s="292" t="s">
        <v>10172</v>
      </c>
      <c r="H998" s="255">
        <v>2.64</v>
      </c>
      <c r="J998" s="634"/>
      <c r="K998" s="524"/>
      <c r="L998" s="524"/>
      <c r="M998" s="524"/>
      <c r="N998" s="524"/>
      <c r="O998" s="524"/>
      <c r="S998" s="536"/>
      <c r="T998" s="638"/>
    </row>
    <row r="999" spans="1:68" s="298" customFormat="1" ht="12.75">
      <c r="A999" s="256"/>
      <c r="B999" s="288" t="s">
        <v>143</v>
      </c>
      <c r="C999" s="819" t="s">
        <v>15527</v>
      </c>
      <c r="D999" s="820"/>
      <c r="E999" s="820"/>
      <c r="F999" s="820"/>
      <c r="G999" s="820"/>
      <c r="H999" s="821"/>
      <c r="J999" s="634"/>
      <c r="K999" s="524"/>
      <c r="L999" s="524"/>
      <c r="M999" s="524"/>
      <c r="N999" s="524"/>
      <c r="O999" s="524"/>
      <c r="S999" s="536"/>
      <c r="T999" s="635"/>
    </row>
    <row r="1000" spans="1:68" s="529" customFormat="1" ht="12.75">
      <c r="A1000" s="286"/>
      <c r="B1000" s="373"/>
      <c r="C1000" s="379"/>
      <c r="D1000" s="382"/>
      <c r="E1000" s="382"/>
      <c r="F1000" s="382"/>
      <c r="G1000" s="382"/>
      <c r="H1000" s="382"/>
      <c r="I1000" s="298"/>
      <c r="J1000" s="634"/>
      <c r="K1000" s="524"/>
      <c r="L1000" s="524"/>
      <c r="M1000" s="524"/>
      <c r="N1000" s="524"/>
      <c r="O1000" s="524"/>
      <c r="P1000" s="298"/>
      <c r="Q1000" s="298"/>
      <c r="R1000" s="298"/>
      <c r="S1000" s="536"/>
      <c r="T1000" s="635"/>
      <c r="U1000" s="298"/>
      <c r="V1000" s="298"/>
      <c r="W1000" s="298"/>
      <c r="X1000" s="298"/>
      <c r="Y1000" s="298"/>
      <c r="Z1000" s="298"/>
      <c r="AA1000" s="298"/>
      <c r="AB1000" s="298"/>
      <c r="AC1000" s="298"/>
      <c r="AD1000" s="298"/>
      <c r="AE1000" s="298"/>
      <c r="AF1000" s="298"/>
      <c r="AG1000" s="298"/>
      <c r="AH1000" s="298"/>
      <c r="AI1000" s="298"/>
      <c r="AJ1000" s="298"/>
      <c r="AK1000" s="298"/>
      <c r="AL1000" s="298"/>
      <c r="AM1000" s="298"/>
      <c r="AN1000" s="298"/>
      <c r="AO1000" s="298"/>
      <c r="AP1000" s="298"/>
      <c r="AQ1000" s="298"/>
      <c r="AR1000" s="298"/>
      <c r="AS1000" s="298"/>
      <c r="AT1000" s="298"/>
      <c r="AU1000" s="298"/>
      <c r="AV1000" s="298"/>
      <c r="AW1000" s="298"/>
      <c r="AX1000" s="298"/>
      <c r="AY1000" s="298"/>
      <c r="AZ1000" s="298"/>
      <c r="BA1000" s="298"/>
      <c r="BB1000" s="298"/>
      <c r="BC1000" s="298"/>
      <c r="BD1000" s="298"/>
      <c r="BE1000" s="298"/>
      <c r="BF1000" s="298"/>
      <c r="BG1000" s="298"/>
      <c r="BH1000" s="298"/>
      <c r="BI1000" s="298"/>
      <c r="BJ1000" s="298"/>
      <c r="BK1000" s="298"/>
      <c r="BL1000" s="298"/>
      <c r="BM1000" s="298"/>
      <c r="BN1000" s="298"/>
      <c r="BO1000" s="298"/>
      <c r="BP1000" s="298"/>
    </row>
    <row r="1001" spans="1:68" s="529" customFormat="1" ht="63.75">
      <c r="A1001" s="286"/>
      <c r="B1001" s="372" t="s">
        <v>17711</v>
      </c>
      <c r="C1001" s="231" t="s">
        <v>17754</v>
      </c>
      <c r="D1001" s="232" t="s">
        <v>103</v>
      </c>
      <c r="E1001" s="232" t="s">
        <v>3240</v>
      </c>
      <c r="F1001" s="233"/>
      <c r="G1001" s="234"/>
      <c r="H1001" s="235">
        <v>14.33</v>
      </c>
      <c r="I1001" s="298"/>
      <c r="J1001" s="634"/>
      <c r="K1001" s="524"/>
      <c r="L1001" s="524"/>
      <c r="M1001" s="524"/>
      <c r="N1001" s="524"/>
      <c r="O1001" s="524"/>
      <c r="P1001" s="298"/>
      <c r="Q1001" s="298"/>
      <c r="R1001" s="298"/>
      <c r="S1001" s="536"/>
      <c r="T1001" s="635"/>
      <c r="U1001" s="298"/>
      <c r="V1001" s="298"/>
      <c r="W1001" s="298"/>
      <c r="X1001" s="298"/>
      <c r="Y1001" s="298"/>
      <c r="Z1001" s="298"/>
      <c r="AA1001" s="298"/>
      <c r="AB1001" s="298"/>
      <c r="AC1001" s="298"/>
      <c r="AD1001" s="298"/>
      <c r="AE1001" s="298"/>
      <c r="AF1001" s="298"/>
      <c r="AG1001" s="298"/>
      <c r="AH1001" s="298"/>
      <c r="AI1001" s="298"/>
      <c r="AJ1001" s="298"/>
      <c r="AK1001" s="298"/>
      <c r="AL1001" s="298"/>
      <c r="AM1001" s="298"/>
      <c r="AN1001" s="298"/>
      <c r="AO1001" s="298"/>
      <c r="AP1001" s="298"/>
      <c r="AQ1001" s="298"/>
      <c r="AR1001" s="298"/>
      <c r="AS1001" s="298"/>
      <c r="AT1001" s="298"/>
      <c r="AU1001" s="298"/>
      <c r="AV1001" s="298"/>
      <c r="AW1001" s="298"/>
      <c r="AX1001" s="298"/>
      <c r="AY1001" s="298"/>
      <c r="AZ1001" s="298"/>
      <c r="BA1001" s="298"/>
      <c r="BB1001" s="298"/>
      <c r="BC1001" s="298"/>
      <c r="BD1001" s="298"/>
      <c r="BE1001" s="298"/>
      <c r="BF1001" s="298"/>
      <c r="BG1001" s="298"/>
      <c r="BH1001" s="298"/>
      <c r="BI1001" s="298"/>
      <c r="BJ1001" s="298"/>
      <c r="BK1001" s="298"/>
      <c r="BL1001" s="298"/>
      <c r="BM1001" s="298"/>
      <c r="BN1001" s="298"/>
      <c r="BO1001" s="298"/>
      <c r="BP1001" s="298"/>
    </row>
    <row r="1002" spans="1:68" s="298" customFormat="1" ht="51">
      <c r="A1002" s="256" t="s">
        <v>12</v>
      </c>
      <c r="B1002" s="374" t="s">
        <v>17748</v>
      </c>
      <c r="C1002" s="289" t="s">
        <v>17749</v>
      </c>
      <c r="D1002" s="290" t="s">
        <v>207</v>
      </c>
      <c r="E1002" s="290" t="s">
        <v>109</v>
      </c>
      <c r="F1002" s="254">
        <v>1</v>
      </c>
      <c r="G1002" s="292">
        <v>10.813333333333333</v>
      </c>
      <c r="H1002" s="255">
        <v>10.81</v>
      </c>
      <c r="J1002" s="634"/>
      <c r="K1002" s="524"/>
      <c r="L1002" s="524"/>
      <c r="M1002" s="524"/>
      <c r="N1002" s="524"/>
      <c r="O1002" s="524"/>
      <c r="S1002" s="536"/>
      <c r="T1002" s="638"/>
    </row>
    <row r="1003" spans="1:68" s="298" customFormat="1" ht="25.5">
      <c r="A1003" s="256" t="s">
        <v>3259</v>
      </c>
      <c r="B1003" s="374">
        <v>88316</v>
      </c>
      <c r="C1003" s="289" t="s">
        <v>104</v>
      </c>
      <c r="D1003" s="290" t="s">
        <v>9714</v>
      </c>
      <c r="E1003" s="290" t="s">
        <v>206</v>
      </c>
      <c r="F1003" s="254">
        <v>0.2</v>
      </c>
      <c r="G1003" s="292" t="s">
        <v>10172</v>
      </c>
      <c r="H1003" s="255">
        <v>3.52</v>
      </c>
      <c r="J1003" s="634"/>
      <c r="K1003" s="524"/>
      <c r="L1003" s="524"/>
      <c r="M1003" s="524"/>
      <c r="N1003" s="524"/>
      <c r="O1003" s="524"/>
      <c r="S1003" s="536"/>
      <c r="T1003" s="638"/>
    </row>
    <row r="1004" spans="1:68" s="298" customFormat="1" ht="12.75">
      <c r="A1004" s="256"/>
      <c r="B1004" s="288" t="s">
        <v>143</v>
      </c>
      <c r="C1004" s="819" t="s">
        <v>15545</v>
      </c>
      <c r="D1004" s="820"/>
      <c r="E1004" s="820"/>
      <c r="F1004" s="820"/>
      <c r="G1004" s="820"/>
      <c r="H1004" s="821"/>
      <c r="J1004" s="634"/>
      <c r="K1004" s="524"/>
      <c r="L1004" s="524"/>
      <c r="M1004" s="524"/>
      <c r="N1004" s="524"/>
      <c r="O1004" s="524"/>
      <c r="S1004" s="536"/>
      <c r="T1004" s="635"/>
    </row>
    <row r="1005" spans="1:68" s="529" customFormat="1" ht="12.75">
      <c r="A1005" s="286"/>
      <c r="B1005" s="373"/>
      <c r="C1005" s="379"/>
      <c r="D1005" s="382"/>
      <c r="E1005" s="382"/>
      <c r="F1005" s="382"/>
      <c r="G1005" s="382"/>
      <c r="H1005" s="382"/>
      <c r="I1005" s="298"/>
      <c r="J1005" s="634"/>
      <c r="K1005" s="524"/>
      <c r="L1005" s="524"/>
      <c r="M1005" s="524"/>
      <c r="N1005" s="524"/>
      <c r="O1005" s="524"/>
      <c r="P1005" s="298"/>
      <c r="Q1005" s="298"/>
      <c r="R1005" s="298"/>
      <c r="S1005" s="536"/>
      <c r="T1005" s="635"/>
      <c r="U1005" s="298"/>
      <c r="V1005" s="298"/>
      <c r="W1005" s="298"/>
      <c r="X1005" s="298"/>
      <c r="Y1005" s="298"/>
      <c r="Z1005" s="298"/>
      <c r="AA1005" s="298"/>
      <c r="AB1005" s="298"/>
      <c r="AC1005" s="298"/>
      <c r="AD1005" s="298"/>
      <c r="AE1005" s="298"/>
      <c r="AF1005" s="298"/>
      <c r="AG1005" s="298"/>
      <c r="AH1005" s="298"/>
      <c r="AI1005" s="298"/>
      <c r="AJ1005" s="298"/>
      <c r="AK1005" s="298"/>
      <c r="AL1005" s="298"/>
      <c r="AM1005" s="298"/>
      <c r="AN1005" s="298"/>
      <c r="AO1005" s="298"/>
      <c r="AP1005" s="298"/>
      <c r="AQ1005" s="298"/>
      <c r="AR1005" s="298"/>
      <c r="AS1005" s="298"/>
      <c r="AT1005" s="298"/>
      <c r="AU1005" s="298"/>
      <c r="AV1005" s="298"/>
      <c r="AW1005" s="298"/>
      <c r="AX1005" s="298"/>
      <c r="AY1005" s="298"/>
      <c r="AZ1005" s="298"/>
      <c r="BA1005" s="298"/>
      <c r="BB1005" s="298"/>
      <c r="BC1005" s="298"/>
      <c r="BD1005" s="298"/>
      <c r="BE1005" s="298"/>
      <c r="BF1005" s="298"/>
      <c r="BG1005" s="298"/>
      <c r="BH1005" s="298"/>
      <c r="BI1005" s="298"/>
      <c r="BJ1005" s="298"/>
      <c r="BK1005" s="298"/>
      <c r="BL1005" s="298"/>
      <c r="BM1005" s="298"/>
      <c r="BN1005" s="298"/>
      <c r="BO1005" s="298"/>
      <c r="BP1005" s="298"/>
    </row>
    <row r="1006" spans="1:68" s="529" customFormat="1" ht="63.75">
      <c r="A1006" s="286"/>
      <c r="B1006" s="372" t="s">
        <v>17756</v>
      </c>
      <c r="C1006" s="231" t="s">
        <v>17755</v>
      </c>
      <c r="D1006" s="232" t="s">
        <v>103</v>
      </c>
      <c r="E1006" s="232" t="s">
        <v>3240</v>
      </c>
      <c r="F1006" s="233"/>
      <c r="G1006" s="234"/>
      <c r="H1006" s="235">
        <v>13.49</v>
      </c>
      <c r="I1006" s="298"/>
      <c r="J1006" s="634"/>
      <c r="K1006" s="524"/>
      <c r="L1006" s="524"/>
      <c r="M1006" s="524"/>
      <c r="N1006" s="524"/>
      <c r="O1006" s="524"/>
      <c r="P1006" s="298"/>
      <c r="Q1006" s="298"/>
      <c r="R1006" s="298"/>
      <c r="S1006" s="536"/>
      <c r="T1006" s="635"/>
      <c r="U1006" s="298"/>
      <c r="V1006" s="298"/>
      <c r="W1006" s="298"/>
      <c r="X1006" s="298"/>
      <c r="Y1006" s="298"/>
      <c r="Z1006" s="298"/>
      <c r="AA1006" s="298"/>
      <c r="AB1006" s="298"/>
      <c r="AC1006" s="298"/>
      <c r="AD1006" s="298"/>
      <c r="AE1006" s="298"/>
      <c r="AF1006" s="298"/>
      <c r="AG1006" s="298"/>
      <c r="AH1006" s="298"/>
      <c r="AI1006" s="298"/>
      <c r="AJ1006" s="298"/>
      <c r="AK1006" s="298"/>
      <c r="AL1006" s="298"/>
      <c r="AM1006" s="298"/>
      <c r="AN1006" s="298"/>
      <c r="AO1006" s="298"/>
      <c r="AP1006" s="298"/>
      <c r="AQ1006" s="298"/>
      <c r="AR1006" s="298"/>
      <c r="AS1006" s="298"/>
      <c r="AT1006" s="298"/>
      <c r="AU1006" s="298"/>
      <c r="AV1006" s="298"/>
      <c r="AW1006" s="298"/>
      <c r="AX1006" s="298"/>
      <c r="AY1006" s="298"/>
      <c r="AZ1006" s="298"/>
      <c r="BA1006" s="298"/>
      <c r="BB1006" s="298"/>
      <c r="BC1006" s="298"/>
      <c r="BD1006" s="298"/>
      <c r="BE1006" s="298"/>
      <c r="BF1006" s="298"/>
      <c r="BG1006" s="298"/>
      <c r="BH1006" s="298"/>
      <c r="BI1006" s="298"/>
      <c r="BJ1006" s="298"/>
      <c r="BK1006" s="298"/>
      <c r="BL1006" s="298"/>
      <c r="BM1006" s="298"/>
      <c r="BN1006" s="298"/>
      <c r="BO1006" s="298"/>
      <c r="BP1006" s="298"/>
    </row>
    <row r="1007" spans="1:68" s="298" customFormat="1" ht="51">
      <c r="A1007" s="256" t="s">
        <v>12</v>
      </c>
      <c r="B1007" s="374" t="s">
        <v>17750</v>
      </c>
      <c r="C1007" s="289" t="s">
        <v>17752</v>
      </c>
      <c r="D1007" s="290" t="s">
        <v>207</v>
      </c>
      <c r="E1007" s="290" t="s">
        <v>109</v>
      </c>
      <c r="F1007" s="254">
        <v>1</v>
      </c>
      <c r="G1007" s="292">
        <v>9.9699999999999989</v>
      </c>
      <c r="H1007" s="255">
        <v>9.9700000000000006</v>
      </c>
      <c r="J1007" s="634"/>
      <c r="K1007" s="524"/>
      <c r="L1007" s="524"/>
      <c r="M1007" s="524"/>
      <c r="N1007" s="524"/>
      <c r="O1007" s="524"/>
      <c r="S1007" s="536"/>
      <c r="T1007" s="638"/>
    </row>
    <row r="1008" spans="1:68" s="298" customFormat="1" ht="25.5">
      <c r="A1008" s="256" t="s">
        <v>3259</v>
      </c>
      <c r="B1008" s="374">
        <v>88316</v>
      </c>
      <c r="C1008" s="289" t="s">
        <v>104</v>
      </c>
      <c r="D1008" s="290" t="s">
        <v>9714</v>
      </c>
      <c r="E1008" s="290" t="s">
        <v>206</v>
      </c>
      <c r="F1008" s="254">
        <v>0.2</v>
      </c>
      <c r="G1008" s="292" t="s">
        <v>10172</v>
      </c>
      <c r="H1008" s="255">
        <v>3.52</v>
      </c>
      <c r="J1008" s="634"/>
      <c r="K1008" s="524"/>
      <c r="L1008" s="524"/>
      <c r="M1008" s="524"/>
      <c r="N1008" s="524"/>
      <c r="O1008" s="524"/>
      <c r="S1008" s="536"/>
      <c r="T1008" s="638"/>
    </row>
    <row r="1009" spans="1:68" s="298" customFormat="1" ht="12.75">
      <c r="A1009" s="256"/>
      <c r="B1009" s="288" t="s">
        <v>143</v>
      </c>
      <c r="C1009" s="819" t="s">
        <v>15545</v>
      </c>
      <c r="D1009" s="820"/>
      <c r="E1009" s="820"/>
      <c r="F1009" s="820"/>
      <c r="G1009" s="820"/>
      <c r="H1009" s="821"/>
      <c r="J1009" s="634"/>
      <c r="K1009" s="524"/>
      <c r="L1009" s="524"/>
      <c r="M1009" s="524"/>
      <c r="N1009" s="524"/>
      <c r="O1009" s="524"/>
      <c r="S1009" s="536"/>
      <c r="T1009" s="635"/>
    </row>
    <row r="1010" spans="1:68" s="529" customFormat="1" ht="12.75">
      <c r="A1010" s="286"/>
      <c r="B1010" s="373"/>
      <c r="C1010" s="379"/>
      <c r="D1010" s="382"/>
      <c r="E1010" s="382"/>
      <c r="F1010" s="382"/>
      <c r="G1010" s="382"/>
      <c r="H1010" s="382"/>
      <c r="I1010" s="298"/>
      <c r="J1010" s="634"/>
      <c r="K1010" s="524"/>
      <c r="L1010" s="524"/>
      <c r="M1010" s="524"/>
      <c r="N1010" s="524"/>
      <c r="O1010" s="524"/>
      <c r="P1010" s="298"/>
      <c r="Q1010" s="298"/>
      <c r="R1010" s="298"/>
      <c r="S1010" s="536"/>
      <c r="T1010" s="635"/>
      <c r="U1010" s="298"/>
      <c r="V1010" s="298"/>
      <c r="W1010" s="298"/>
      <c r="X1010" s="298"/>
      <c r="Y1010" s="298"/>
      <c r="Z1010" s="298"/>
      <c r="AA1010" s="298"/>
      <c r="AB1010" s="298"/>
      <c r="AC1010" s="298"/>
      <c r="AD1010" s="298"/>
      <c r="AE1010" s="298"/>
      <c r="AF1010" s="298"/>
      <c r="AG1010" s="298"/>
      <c r="AH1010" s="298"/>
      <c r="AI1010" s="298"/>
      <c r="AJ1010" s="298"/>
      <c r="AK1010" s="298"/>
      <c r="AL1010" s="298"/>
      <c r="AM1010" s="298"/>
      <c r="AN1010" s="298"/>
      <c r="AO1010" s="298"/>
      <c r="AP1010" s="298"/>
      <c r="AQ1010" s="298"/>
      <c r="AR1010" s="298"/>
      <c r="AS1010" s="298"/>
      <c r="AT1010" s="298"/>
      <c r="AU1010" s="298"/>
      <c r="AV1010" s="298"/>
      <c r="AW1010" s="298"/>
      <c r="AX1010" s="298"/>
      <c r="AY1010" s="298"/>
      <c r="AZ1010" s="298"/>
      <c r="BA1010" s="298"/>
      <c r="BB1010" s="298"/>
      <c r="BC1010" s="298"/>
      <c r="BD1010" s="298"/>
      <c r="BE1010" s="298"/>
      <c r="BF1010" s="298"/>
      <c r="BG1010" s="298"/>
      <c r="BH1010" s="298"/>
      <c r="BI1010" s="298"/>
      <c r="BJ1010" s="298"/>
      <c r="BK1010" s="298"/>
      <c r="BL1010" s="298"/>
      <c r="BM1010" s="298"/>
      <c r="BN1010" s="298"/>
      <c r="BO1010" s="298"/>
      <c r="BP1010" s="298"/>
    </row>
    <row r="1011" spans="1:68" s="529" customFormat="1" ht="63.75">
      <c r="A1011" s="286"/>
      <c r="B1011" s="372" t="s">
        <v>17757</v>
      </c>
      <c r="C1011" s="231" t="s">
        <v>17758</v>
      </c>
      <c r="D1011" s="232" t="s">
        <v>103</v>
      </c>
      <c r="E1011" s="232" t="s">
        <v>3240</v>
      </c>
      <c r="F1011" s="233"/>
      <c r="G1011" s="234"/>
      <c r="H1011" s="235">
        <v>21.24</v>
      </c>
      <c r="I1011" s="298"/>
      <c r="J1011" s="634"/>
      <c r="K1011" s="524"/>
      <c r="L1011" s="524"/>
      <c r="M1011" s="524"/>
      <c r="N1011" s="524"/>
      <c r="O1011" s="524"/>
      <c r="P1011" s="298"/>
      <c r="Q1011" s="298"/>
      <c r="R1011" s="298"/>
      <c r="S1011" s="536"/>
      <c r="T1011" s="635"/>
      <c r="U1011" s="298"/>
      <c r="V1011" s="298"/>
      <c r="W1011" s="298"/>
      <c r="X1011" s="298"/>
      <c r="Y1011" s="298"/>
      <c r="Z1011" s="298"/>
      <c r="AA1011" s="298"/>
      <c r="AB1011" s="298"/>
      <c r="AC1011" s="298"/>
      <c r="AD1011" s="298"/>
      <c r="AE1011" s="298"/>
      <c r="AF1011" s="298"/>
      <c r="AG1011" s="298"/>
      <c r="AH1011" s="298"/>
      <c r="AI1011" s="298"/>
      <c r="AJ1011" s="298"/>
      <c r="AK1011" s="298"/>
      <c r="AL1011" s="298"/>
      <c r="AM1011" s="298"/>
      <c r="AN1011" s="298"/>
      <c r="AO1011" s="298"/>
      <c r="AP1011" s="298"/>
      <c r="AQ1011" s="298"/>
      <c r="AR1011" s="298"/>
      <c r="AS1011" s="298"/>
      <c r="AT1011" s="298"/>
      <c r="AU1011" s="298"/>
      <c r="AV1011" s="298"/>
      <c r="AW1011" s="298"/>
      <c r="AX1011" s="298"/>
      <c r="AY1011" s="298"/>
      <c r="AZ1011" s="298"/>
      <c r="BA1011" s="298"/>
      <c r="BB1011" s="298"/>
      <c r="BC1011" s="298"/>
      <c r="BD1011" s="298"/>
      <c r="BE1011" s="298"/>
      <c r="BF1011" s="298"/>
      <c r="BG1011" s="298"/>
      <c r="BH1011" s="298"/>
      <c r="BI1011" s="298"/>
      <c r="BJ1011" s="298"/>
      <c r="BK1011" s="298"/>
      <c r="BL1011" s="298"/>
      <c r="BM1011" s="298"/>
      <c r="BN1011" s="298"/>
      <c r="BO1011" s="298"/>
      <c r="BP1011" s="298"/>
    </row>
    <row r="1012" spans="1:68" s="298" customFormat="1" ht="51">
      <c r="A1012" s="256" t="s">
        <v>12</v>
      </c>
      <c r="B1012" s="374" t="s">
        <v>17751</v>
      </c>
      <c r="C1012" s="289" t="s">
        <v>17753</v>
      </c>
      <c r="D1012" s="290" t="s">
        <v>207</v>
      </c>
      <c r="E1012" s="290" t="s">
        <v>109</v>
      </c>
      <c r="F1012" s="254">
        <v>1</v>
      </c>
      <c r="G1012" s="292">
        <v>17.724444444444448</v>
      </c>
      <c r="H1012" s="255">
        <v>17.72</v>
      </c>
      <c r="J1012" s="634"/>
      <c r="K1012" s="524"/>
      <c r="L1012" s="524"/>
      <c r="M1012" s="524"/>
      <c r="N1012" s="524"/>
      <c r="O1012" s="524"/>
      <c r="S1012" s="536"/>
      <c r="T1012" s="638"/>
    </row>
    <row r="1013" spans="1:68" s="298" customFormat="1" ht="25.5">
      <c r="A1013" s="256" t="s">
        <v>3259</v>
      </c>
      <c r="B1013" s="374">
        <v>88316</v>
      </c>
      <c r="C1013" s="289" t="s">
        <v>104</v>
      </c>
      <c r="D1013" s="290" t="s">
        <v>9714</v>
      </c>
      <c r="E1013" s="290" t="s">
        <v>206</v>
      </c>
      <c r="F1013" s="254">
        <v>0.2</v>
      </c>
      <c r="G1013" s="292" t="s">
        <v>10172</v>
      </c>
      <c r="H1013" s="255">
        <v>3.52</v>
      </c>
      <c r="J1013" s="634"/>
      <c r="K1013" s="524"/>
      <c r="L1013" s="524"/>
      <c r="M1013" s="524"/>
      <c r="N1013" s="524"/>
      <c r="O1013" s="524"/>
      <c r="S1013" s="536"/>
      <c r="T1013" s="638"/>
    </row>
    <row r="1014" spans="1:68" s="298" customFormat="1" ht="12.75">
      <c r="A1014" s="256"/>
      <c r="B1014" s="288" t="s">
        <v>143</v>
      </c>
      <c r="C1014" s="819" t="s">
        <v>15545</v>
      </c>
      <c r="D1014" s="820"/>
      <c r="E1014" s="820"/>
      <c r="F1014" s="820"/>
      <c r="G1014" s="820"/>
      <c r="H1014" s="821"/>
      <c r="J1014" s="634"/>
      <c r="K1014" s="524"/>
      <c r="L1014" s="524"/>
      <c r="M1014" s="524"/>
      <c r="N1014" s="524"/>
      <c r="O1014" s="524"/>
      <c r="S1014" s="536"/>
      <c r="T1014" s="635"/>
    </row>
    <row r="1015" spans="1:68" s="529" customFormat="1" ht="12.75">
      <c r="A1015" s="286"/>
      <c r="B1015" s="373"/>
      <c r="C1015" s="379"/>
      <c r="D1015" s="382"/>
      <c r="E1015" s="382"/>
      <c r="F1015" s="382"/>
      <c r="G1015" s="382"/>
      <c r="H1015" s="382"/>
      <c r="I1015" s="298"/>
      <c r="J1015" s="634"/>
      <c r="K1015" s="524"/>
      <c r="L1015" s="524"/>
      <c r="M1015" s="524"/>
      <c r="N1015" s="524"/>
      <c r="O1015" s="524"/>
      <c r="P1015" s="298"/>
      <c r="Q1015" s="298"/>
      <c r="R1015" s="298"/>
      <c r="S1015" s="536"/>
      <c r="T1015" s="635"/>
      <c r="U1015" s="298"/>
      <c r="V1015" s="298"/>
      <c r="W1015" s="298"/>
      <c r="X1015" s="298"/>
      <c r="Y1015" s="298"/>
      <c r="Z1015" s="298"/>
      <c r="AA1015" s="298"/>
      <c r="AB1015" s="298"/>
      <c r="AC1015" s="298"/>
      <c r="AD1015" s="298"/>
      <c r="AE1015" s="298"/>
      <c r="AF1015" s="298"/>
      <c r="AG1015" s="298"/>
      <c r="AH1015" s="298"/>
      <c r="AI1015" s="298"/>
      <c r="AJ1015" s="298"/>
      <c r="AK1015" s="298"/>
      <c r="AL1015" s="298"/>
      <c r="AM1015" s="298"/>
      <c r="AN1015" s="298"/>
      <c r="AO1015" s="298"/>
      <c r="AP1015" s="298"/>
      <c r="AQ1015" s="298"/>
      <c r="AR1015" s="298"/>
      <c r="AS1015" s="298"/>
      <c r="AT1015" s="298"/>
      <c r="AU1015" s="298"/>
      <c r="AV1015" s="298"/>
      <c r="AW1015" s="298"/>
      <c r="AX1015" s="298"/>
      <c r="AY1015" s="298"/>
      <c r="AZ1015" s="298"/>
      <c r="BA1015" s="298"/>
      <c r="BB1015" s="298"/>
      <c r="BC1015" s="298"/>
      <c r="BD1015" s="298"/>
      <c r="BE1015" s="298"/>
      <c r="BF1015" s="298"/>
      <c r="BG1015" s="298"/>
      <c r="BH1015" s="298"/>
      <c r="BI1015" s="298"/>
      <c r="BJ1015" s="298"/>
      <c r="BK1015" s="298"/>
      <c r="BL1015" s="298"/>
      <c r="BM1015" s="298"/>
      <c r="BN1015" s="298"/>
      <c r="BO1015" s="298"/>
      <c r="BP1015" s="298"/>
    </row>
    <row r="1016" spans="1:68" s="529" customFormat="1" ht="63.75">
      <c r="A1016" s="286"/>
      <c r="B1016" s="372" t="s">
        <v>17762</v>
      </c>
      <c r="C1016" s="231" t="s">
        <v>17766</v>
      </c>
      <c r="D1016" s="232" t="s">
        <v>103</v>
      </c>
      <c r="E1016" s="232" t="s">
        <v>3240</v>
      </c>
      <c r="F1016" s="233"/>
      <c r="G1016" s="234"/>
      <c r="H1016" s="235">
        <v>33.43</v>
      </c>
      <c r="I1016" s="298"/>
      <c r="J1016" s="634"/>
      <c r="K1016" s="524"/>
      <c r="L1016" s="524"/>
      <c r="M1016" s="524"/>
      <c r="N1016" s="524"/>
      <c r="O1016" s="524"/>
      <c r="P1016" s="298"/>
      <c r="Q1016" s="298"/>
      <c r="R1016" s="298"/>
      <c r="S1016" s="536"/>
      <c r="T1016" s="635"/>
      <c r="U1016" s="298"/>
      <c r="V1016" s="298"/>
      <c r="W1016" s="298"/>
      <c r="X1016" s="298"/>
      <c r="Y1016" s="298"/>
      <c r="Z1016" s="298"/>
      <c r="AA1016" s="298"/>
      <c r="AB1016" s="298"/>
      <c r="AC1016" s="298"/>
      <c r="AD1016" s="298"/>
      <c r="AE1016" s="298"/>
      <c r="AF1016" s="298"/>
      <c r="AG1016" s="298"/>
      <c r="AH1016" s="298"/>
      <c r="AI1016" s="298"/>
      <c r="AJ1016" s="298"/>
      <c r="AK1016" s="298"/>
      <c r="AL1016" s="298"/>
      <c r="AM1016" s="298"/>
      <c r="AN1016" s="298"/>
      <c r="AO1016" s="298"/>
      <c r="AP1016" s="298"/>
      <c r="AQ1016" s="298"/>
      <c r="AR1016" s="298"/>
      <c r="AS1016" s="298"/>
      <c r="AT1016" s="298"/>
      <c r="AU1016" s="298"/>
      <c r="AV1016" s="298"/>
      <c r="AW1016" s="298"/>
      <c r="AX1016" s="298"/>
      <c r="AY1016" s="298"/>
      <c r="AZ1016" s="298"/>
      <c r="BA1016" s="298"/>
      <c r="BB1016" s="298"/>
      <c r="BC1016" s="298"/>
      <c r="BD1016" s="298"/>
      <c r="BE1016" s="298"/>
      <c r="BF1016" s="298"/>
      <c r="BG1016" s="298"/>
      <c r="BH1016" s="298"/>
      <c r="BI1016" s="298"/>
      <c r="BJ1016" s="298"/>
      <c r="BK1016" s="298"/>
      <c r="BL1016" s="298"/>
      <c r="BM1016" s="298"/>
      <c r="BN1016" s="298"/>
      <c r="BO1016" s="298"/>
      <c r="BP1016" s="298"/>
    </row>
    <row r="1017" spans="1:68" s="298" customFormat="1" ht="51">
      <c r="A1017" s="256" t="s">
        <v>12</v>
      </c>
      <c r="B1017" s="374" t="s">
        <v>17759</v>
      </c>
      <c r="C1017" s="289" t="s">
        <v>15354</v>
      </c>
      <c r="D1017" s="290" t="s">
        <v>207</v>
      </c>
      <c r="E1017" s="290" t="s">
        <v>109</v>
      </c>
      <c r="F1017" s="254">
        <v>1</v>
      </c>
      <c r="G1017" s="292">
        <v>29.91</v>
      </c>
      <c r="H1017" s="255">
        <v>29.91</v>
      </c>
      <c r="J1017" s="634"/>
      <c r="K1017" s="524"/>
      <c r="L1017" s="524"/>
      <c r="M1017" s="524"/>
      <c r="N1017" s="524"/>
      <c r="O1017" s="524"/>
      <c r="S1017" s="536"/>
      <c r="T1017" s="638"/>
    </row>
    <row r="1018" spans="1:68" s="298" customFormat="1" ht="25.5">
      <c r="A1018" s="256" t="s">
        <v>3259</v>
      </c>
      <c r="B1018" s="374">
        <v>88316</v>
      </c>
      <c r="C1018" s="289" t="s">
        <v>104</v>
      </c>
      <c r="D1018" s="290" t="s">
        <v>9714</v>
      </c>
      <c r="E1018" s="290" t="s">
        <v>206</v>
      </c>
      <c r="F1018" s="254">
        <v>0.2</v>
      </c>
      <c r="G1018" s="292" t="s">
        <v>10172</v>
      </c>
      <c r="H1018" s="255">
        <v>3.52</v>
      </c>
      <c r="J1018" s="634"/>
      <c r="K1018" s="524"/>
      <c r="L1018" s="524"/>
      <c r="M1018" s="524"/>
      <c r="N1018" s="524"/>
      <c r="O1018" s="524"/>
      <c r="S1018" s="536"/>
      <c r="T1018" s="638"/>
    </row>
    <row r="1019" spans="1:68" s="298" customFormat="1" ht="12.75">
      <c r="A1019" s="256"/>
      <c r="B1019" s="288" t="s">
        <v>143</v>
      </c>
      <c r="C1019" s="819" t="s">
        <v>15545</v>
      </c>
      <c r="D1019" s="820"/>
      <c r="E1019" s="820"/>
      <c r="F1019" s="820"/>
      <c r="G1019" s="820"/>
      <c r="H1019" s="821"/>
      <c r="J1019" s="634"/>
      <c r="K1019" s="524"/>
      <c r="L1019" s="524"/>
      <c r="M1019" s="524"/>
      <c r="N1019" s="524"/>
      <c r="O1019" s="524"/>
      <c r="S1019" s="536"/>
      <c r="T1019" s="635"/>
    </row>
    <row r="1020" spans="1:68" s="529" customFormat="1" ht="12.75">
      <c r="A1020" s="286"/>
      <c r="B1020" s="373"/>
      <c r="C1020" s="379"/>
      <c r="D1020" s="382"/>
      <c r="E1020" s="382"/>
      <c r="F1020" s="382"/>
      <c r="G1020" s="382"/>
      <c r="H1020" s="382"/>
      <c r="I1020" s="298"/>
      <c r="J1020" s="634"/>
      <c r="K1020" s="524"/>
      <c r="L1020" s="524"/>
      <c r="M1020" s="524"/>
      <c r="N1020" s="524"/>
      <c r="O1020" s="524"/>
      <c r="P1020" s="298"/>
      <c r="Q1020" s="298"/>
      <c r="R1020" s="298"/>
      <c r="S1020" s="536"/>
      <c r="T1020" s="635"/>
      <c r="U1020" s="298"/>
      <c r="V1020" s="298"/>
      <c r="W1020" s="298"/>
      <c r="X1020" s="298"/>
      <c r="Y1020" s="298"/>
      <c r="Z1020" s="298"/>
      <c r="AA1020" s="298"/>
      <c r="AB1020" s="298"/>
      <c r="AC1020" s="298"/>
      <c r="AD1020" s="298"/>
      <c r="AE1020" s="298"/>
      <c r="AF1020" s="298"/>
      <c r="AG1020" s="298"/>
      <c r="AH1020" s="298"/>
      <c r="AI1020" s="298"/>
      <c r="AJ1020" s="298"/>
      <c r="AK1020" s="298"/>
      <c r="AL1020" s="298"/>
      <c r="AM1020" s="298"/>
      <c r="AN1020" s="298"/>
      <c r="AO1020" s="298"/>
      <c r="AP1020" s="298"/>
      <c r="AQ1020" s="298"/>
      <c r="AR1020" s="298"/>
      <c r="AS1020" s="298"/>
      <c r="AT1020" s="298"/>
      <c r="AU1020" s="298"/>
      <c r="AV1020" s="298"/>
      <c r="AW1020" s="298"/>
      <c r="AX1020" s="298"/>
      <c r="AY1020" s="298"/>
      <c r="AZ1020" s="298"/>
      <c r="BA1020" s="298"/>
      <c r="BB1020" s="298"/>
      <c r="BC1020" s="298"/>
      <c r="BD1020" s="298"/>
      <c r="BE1020" s="298"/>
      <c r="BF1020" s="298"/>
      <c r="BG1020" s="298"/>
      <c r="BH1020" s="298"/>
      <c r="BI1020" s="298"/>
      <c r="BJ1020" s="298"/>
      <c r="BK1020" s="298"/>
      <c r="BL1020" s="298"/>
      <c r="BM1020" s="298"/>
      <c r="BN1020" s="298"/>
      <c r="BO1020" s="298"/>
      <c r="BP1020" s="298"/>
    </row>
    <row r="1021" spans="1:68" s="529" customFormat="1" ht="63.75">
      <c r="A1021" s="286"/>
      <c r="B1021" s="372" t="s">
        <v>17763</v>
      </c>
      <c r="C1021" s="231" t="s">
        <v>17767</v>
      </c>
      <c r="D1021" s="232" t="s">
        <v>103</v>
      </c>
      <c r="E1021" s="232" t="s">
        <v>3240</v>
      </c>
      <c r="F1021" s="233"/>
      <c r="G1021" s="234"/>
      <c r="H1021" s="235">
        <v>38.96</v>
      </c>
      <c r="I1021" s="298"/>
      <c r="J1021" s="634"/>
      <c r="K1021" s="524"/>
      <c r="L1021" s="524"/>
      <c r="M1021" s="524"/>
      <c r="N1021" s="524"/>
      <c r="O1021" s="524"/>
      <c r="P1021" s="298"/>
      <c r="Q1021" s="298"/>
      <c r="R1021" s="298"/>
      <c r="S1021" s="536"/>
      <c r="T1021" s="635"/>
      <c r="U1021" s="298"/>
      <c r="V1021" s="298"/>
      <c r="W1021" s="298"/>
      <c r="X1021" s="298"/>
      <c r="Y1021" s="298"/>
      <c r="Z1021" s="298"/>
      <c r="AA1021" s="298"/>
      <c r="AB1021" s="298"/>
      <c r="AC1021" s="298"/>
      <c r="AD1021" s="298"/>
      <c r="AE1021" s="298"/>
      <c r="AF1021" s="298"/>
      <c r="AG1021" s="298"/>
      <c r="AH1021" s="298"/>
      <c r="AI1021" s="298"/>
      <c r="AJ1021" s="298"/>
      <c r="AK1021" s="298"/>
      <c r="AL1021" s="298"/>
      <c r="AM1021" s="298"/>
      <c r="AN1021" s="298"/>
      <c r="AO1021" s="298"/>
      <c r="AP1021" s="298"/>
      <c r="AQ1021" s="298"/>
      <c r="AR1021" s="298"/>
      <c r="AS1021" s="298"/>
      <c r="AT1021" s="298"/>
      <c r="AU1021" s="298"/>
      <c r="AV1021" s="298"/>
      <c r="AW1021" s="298"/>
      <c r="AX1021" s="298"/>
      <c r="AY1021" s="298"/>
      <c r="AZ1021" s="298"/>
      <c r="BA1021" s="298"/>
      <c r="BB1021" s="298"/>
      <c r="BC1021" s="298"/>
      <c r="BD1021" s="298"/>
      <c r="BE1021" s="298"/>
      <c r="BF1021" s="298"/>
      <c r="BG1021" s="298"/>
      <c r="BH1021" s="298"/>
      <c r="BI1021" s="298"/>
      <c r="BJ1021" s="298"/>
      <c r="BK1021" s="298"/>
      <c r="BL1021" s="298"/>
      <c r="BM1021" s="298"/>
      <c r="BN1021" s="298"/>
      <c r="BO1021" s="298"/>
      <c r="BP1021" s="298"/>
    </row>
    <row r="1022" spans="1:68" s="298" customFormat="1" ht="51">
      <c r="A1022" s="256" t="s">
        <v>12</v>
      </c>
      <c r="B1022" s="374" t="s">
        <v>17760</v>
      </c>
      <c r="C1022" s="289" t="s">
        <v>17761</v>
      </c>
      <c r="D1022" s="290" t="s">
        <v>207</v>
      </c>
      <c r="E1022" s="290" t="s">
        <v>109</v>
      </c>
      <c r="F1022" s="254">
        <v>1</v>
      </c>
      <c r="G1022" s="292">
        <v>35.448888888888895</v>
      </c>
      <c r="H1022" s="255">
        <v>35.44</v>
      </c>
      <c r="J1022" s="634"/>
      <c r="K1022" s="524"/>
      <c r="L1022" s="524"/>
      <c r="M1022" s="524"/>
      <c r="N1022" s="524"/>
      <c r="O1022" s="524"/>
      <c r="S1022" s="536"/>
      <c r="T1022" s="638"/>
    </row>
    <row r="1023" spans="1:68" s="298" customFormat="1" ht="25.5">
      <c r="A1023" s="256" t="s">
        <v>3259</v>
      </c>
      <c r="B1023" s="374">
        <v>88316</v>
      </c>
      <c r="C1023" s="289" t="s">
        <v>104</v>
      </c>
      <c r="D1023" s="290" t="s">
        <v>9714</v>
      </c>
      <c r="E1023" s="290" t="s">
        <v>206</v>
      </c>
      <c r="F1023" s="254">
        <v>0.2</v>
      </c>
      <c r="G1023" s="292" t="s">
        <v>10172</v>
      </c>
      <c r="H1023" s="255">
        <v>3.52</v>
      </c>
      <c r="J1023" s="634"/>
      <c r="K1023" s="524"/>
      <c r="L1023" s="524"/>
      <c r="M1023" s="524"/>
      <c r="N1023" s="524"/>
      <c r="O1023" s="524"/>
      <c r="S1023" s="536"/>
      <c r="T1023" s="638"/>
    </row>
    <row r="1024" spans="1:68" s="298" customFormat="1" ht="12.75">
      <c r="A1024" s="256"/>
      <c r="B1024" s="288" t="s">
        <v>143</v>
      </c>
      <c r="C1024" s="819" t="s">
        <v>15545</v>
      </c>
      <c r="D1024" s="820"/>
      <c r="E1024" s="820"/>
      <c r="F1024" s="820"/>
      <c r="G1024" s="820"/>
      <c r="H1024" s="821"/>
      <c r="J1024" s="634"/>
      <c r="K1024" s="524"/>
      <c r="L1024" s="524"/>
      <c r="M1024" s="524"/>
      <c r="N1024" s="524"/>
      <c r="O1024" s="524"/>
      <c r="S1024" s="536"/>
      <c r="T1024" s="635"/>
    </row>
    <row r="1025" spans="1:68" s="529" customFormat="1" ht="12.75">
      <c r="A1025" s="286"/>
      <c r="B1025" s="373"/>
      <c r="C1025" s="379"/>
      <c r="D1025" s="382"/>
      <c r="E1025" s="382"/>
      <c r="F1025" s="382"/>
      <c r="G1025" s="382"/>
      <c r="H1025" s="382"/>
      <c r="I1025" s="298"/>
      <c r="J1025" s="634"/>
      <c r="K1025" s="524"/>
      <c r="L1025" s="524"/>
      <c r="M1025" s="524"/>
      <c r="N1025" s="524"/>
      <c r="O1025" s="524"/>
      <c r="P1025" s="298"/>
      <c r="Q1025" s="298"/>
      <c r="R1025" s="298"/>
      <c r="S1025" s="536"/>
      <c r="T1025" s="635"/>
      <c r="U1025" s="298"/>
      <c r="V1025" s="298"/>
      <c r="W1025" s="298"/>
      <c r="X1025" s="298"/>
      <c r="Y1025" s="298"/>
      <c r="Z1025" s="298"/>
      <c r="AA1025" s="298"/>
      <c r="AB1025" s="298"/>
      <c r="AC1025" s="298"/>
      <c r="AD1025" s="298"/>
      <c r="AE1025" s="298"/>
      <c r="AF1025" s="298"/>
      <c r="AG1025" s="298"/>
      <c r="AH1025" s="298"/>
      <c r="AI1025" s="298"/>
      <c r="AJ1025" s="298"/>
      <c r="AK1025" s="298"/>
      <c r="AL1025" s="298"/>
      <c r="AM1025" s="298"/>
      <c r="AN1025" s="298"/>
      <c r="AO1025" s="298"/>
      <c r="AP1025" s="298"/>
      <c r="AQ1025" s="298"/>
      <c r="AR1025" s="298"/>
      <c r="AS1025" s="298"/>
      <c r="AT1025" s="298"/>
      <c r="AU1025" s="298"/>
      <c r="AV1025" s="298"/>
      <c r="AW1025" s="298"/>
      <c r="AX1025" s="298"/>
      <c r="AY1025" s="298"/>
      <c r="AZ1025" s="298"/>
      <c r="BA1025" s="298"/>
      <c r="BB1025" s="298"/>
      <c r="BC1025" s="298"/>
      <c r="BD1025" s="298"/>
      <c r="BE1025" s="298"/>
      <c r="BF1025" s="298"/>
      <c r="BG1025" s="298"/>
      <c r="BH1025" s="298"/>
      <c r="BI1025" s="298"/>
      <c r="BJ1025" s="298"/>
      <c r="BK1025" s="298"/>
      <c r="BL1025" s="298"/>
      <c r="BM1025" s="298"/>
      <c r="BN1025" s="298"/>
      <c r="BO1025" s="298"/>
      <c r="BP1025" s="298"/>
    </row>
    <row r="1026" spans="1:68" s="529" customFormat="1" ht="38.25">
      <c r="A1026" s="286"/>
      <c r="B1026" s="372" t="s">
        <v>17764</v>
      </c>
      <c r="C1026" s="231" t="s">
        <v>24689</v>
      </c>
      <c r="D1026" s="232" t="s">
        <v>103</v>
      </c>
      <c r="E1026" s="232" t="s">
        <v>3240</v>
      </c>
      <c r="F1026" s="233"/>
      <c r="G1026" s="234"/>
      <c r="H1026" s="235">
        <v>3183.74</v>
      </c>
      <c r="I1026" s="298"/>
      <c r="J1026" s="634"/>
      <c r="K1026" s="524"/>
      <c r="L1026" s="524"/>
      <c r="M1026" s="524"/>
      <c r="N1026" s="524"/>
      <c r="O1026" s="524"/>
      <c r="P1026" s="298"/>
      <c r="Q1026" s="298"/>
      <c r="R1026" s="298"/>
      <c r="S1026" s="536"/>
      <c r="T1026" s="635"/>
      <c r="U1026" s="298"/>
      <c r="V1026" s="298"/>
      <c r="W1026" s="298"/>
      <c r="X1026" s="298"/>
      <c r="Y1026" s="298"/>
      <c r="Z1026" s="298"/>
      <c r="AA1026" s="298"/>
      <c r="AB1026" s="298"/>
      <c r="AC1026" s="298"/>
      <c r="AD1026" s="298"/>
      <c r="AE1026" s="298"/>
      <c r="AF1026" s="298"/>
      <c r="AG1026" s="298"/>
      <c r="AH1026" s="298"/>
      <c r="AI1026" s="298"/>
      <c r="AJ1026" s="298"/>
      <c r="AK1026" s="298"/>
      <c r="AL1026" s="298"/>
      <c r="AM1026" s="298"/>
      <c r="AN1026" s="298"/>
      <c r="AO1026" s="298"/>
      <c r="AP1026" s="298"/>
      <c r="AQ1026" s="298"/>
      <c r="AR1026" s="298"/>
      <c r="AS1026" s="298"/>
      <c r="AT1026" s="298"/>
      <c r="AU1026" s="298"/>
      <c r="AV1026" s="298"/>
      <c r="AW1026" s="298"/>
      <c r="AX1026" s="298"/>
      <c r="AY1026" s="298"/>
      <c r="AZ1026" s="298"/>
      <c r="BA1026" s="298"/>
      <c r="BB1026" s="298"/>
      <c r="BC1026" s="298"/>
      <c r="BD1026" s="298"/>
      <c r="BE1026" s="298"/>
      <c r="BF1026" s="298"/>
      <c r="BG1026" s="298"/>
      <c r="BH1026" s="298"/>
      <c r="BI1026" s="298"/>
      <c r="BJ1026" s="298"/>
      <c r="BK1026" s="298"/>
      <c r="BL1026" s="298"/>
      <c r="BM1026" s="298"/>
      <c r="BN1026" s="298"/>
      <c r="BO1026" s="298"/>
      <c r="BP1026" s="298"/>
    </row>
    <row r="1027" spans="1:68" s="298" customFormat="1" ht="38.25">
      <c r="A1027" s="256" t="s">
        <v>12</v>
      </c>
      <c r="B1027" s="374" t="s">
        <v>17768</v>
      </c>
      <c r="C1027" s="289" t="s">
        <v>24688</v>
      </c>
      <c r="D1027" s="290" t="s">
        <v>207</v>
      </c>
      <c r="E1027" s="290" t="s">
        <v>109</v>
      </c>
      <c r="F1027" s="254">
        <v>1</v>
      </c>
      <c r="G1027" s="292">
        <v>2950</v>
      </c>
      <c r="H1027" s="255">
        <v>2950</v>
      </c>
      <c r="J1027" s="634"/>
      <c r="K1027" s="524"/>
      <c r="L1027" s="524"/>
      <c r="M1027" s="524"/>
      <c r="N1027" s="524"/>
      <c r="O1027" s="524"/>
      <c r="S1027" s="536"/>
      <c r="T1027" s="638"/>
    </row>
    <row r="1028" spans="1:68" s="298" customFormat="1" ht="38.25">
      <c r="A1028" s="256" t="s">
        <v>3259</v>
      </c>
      <c r="B1028" s="374">
        <v>96523</v>
      </c>
      <c r="C1028" s="289" t="s">
        <v>2464</v>
      </c>
      <c r="D1028" s="290" t="s">
        <v>229</v>
      </c>
      <c r="E1028" s="290" t="s">
        <v>209</v>
      </c>
      <c r="F1028" s="254">
        <v>4.58E-2</v>
      </c>
      <c r="G1028" s="292" t="s">
        <v>23664</v>
      </c>
      <c r="H1028" s="255">
        <v>3.76</v>
      </c>
      <c r="J1028" s="634"/>
      <c r="K1028" s="524"/>
      <c r="L1028" s="524"/>
      <c r="M1028" s="524"/>
      <c r="N1028" s="524"/>
      <c r="O1028" s="524"/>
      <c r="S1028" s="536"/>
      <c r="T1028" s="638"/>
    </row>
    <row r="1029" spans="1:68" s="298" customFormat="1" ht="38.25">
      <c r="A1029" s="256" t="s">
        <v>3259</v>
      </c>
      <c r="B1029" s="374">
        <v>96616</v>
      </c>
      <c r="C1029" s="289" t="s">
        <v>3415</v>
      </c>
      <c r="D1029" s="290" t="s">
        <v>229</v>
      </c>
      <c r="E1029" s="290" t="s">
        <v>209</v>
      </c>
      <c r="F1029" s="254">
        <v>8.8499999999999995E-2</v>
      </c>
      <c r="G1029" s="292" t="s">
        <v>22221</v>
      </c>
      <c r="H1029" s="255">
        <v>47.98</v>
      </c>
      <c r="J1029" s="634"/>
      <c r="K1029" s="524"/>
      <c r="L1029" s="524"/>
      <c r="M1029" s="524"/>
      <c r="N1029" s="524"/>
      <c r="O1029" s="524"/>
      <c r="S1029" s="536"/>
      <c r="T1029" s="638"/>
    </row>
    <row r="1030" spans="1:68" s="298" customFormat="1" ht="38.25">
      <c r="A1030" s="256" t="s">
        <v>3259</v>
      </c>
      <c r="B1030" s="374">
        <v>96543</v>
      </c>
      <c r="C1030" s="289" t="s">
        <v>1358</v>
      </c>
      <c r="D1030" s="290" t="s">
        <v>229</v>
      </c>
      <c r="E1030" s="290" t="s">
        <v>108</v>
      </c>
      <c r="F1030" s="254">
        <v>7</v>
      </c>
      <c r="G1030" s="292" t="s">
        <v>12153</v>
      </c>
      <c r="H1030" s="255">
        <v>129.29</v>
      </c>
      <c r="J1030" s="634"/>
      <c r="K1030" s="524"/>
      <c r="L1030" s="524"/>
      <c r="M1030" s="524"/>
      <c r="N1030" s="524"/>
      <c r="O1030" s="524"/>
      <c r="S1030" s="536"/>
      <c r="T1030" s="638"/>
    </row>
    <row r="1031" spans="1:68" s="298" customFormat="1" ht="63.75">
      <c r="A1031" s="256" t="s">
        <v>3259</v>
      </c>
      <c r="B1031" s="374">
        <v>96542</v>
      </c>
      <c r="C1031" s="289" t="s">
        <v>1357</v>
      </c>
      <c r="D1031" s="290" t="s">
        <v>229</v>
      </c>
      <c r="E1031" s="290" t="s">
        <v>193</v>
      </c>
      <c r="F1031" s="254">
        <v>0.66120000000000001</v>
      </c>
      <c r="G1031" s="292" t="s">
        <v>22308</v>
      </c>
      <c r="H1031" s="255">
        <v>52.71</v>
      </c>
      <c r="J1031" s="634"/>
      <c r="K1031" s="524"/>
      <c r="L1031" s="524"/>
      <c r="M1031" s="524"/>
      <c r="N1031" s="524"/>
      <c r="O1031" s="524"/>
      <c r="S1031" s="536"/>
      <c r="T1031" s="638"/>
    </row>
    <row r="1032" spans="1:68" s="298" customFormat="1" ht="12.75">
      <c r="A1032" s="256"/>
      <c r="B1032" s="288" t="s">
        <v>143</v>
      </c>
      <c r="C1032" s="819" t="s">
        <v>24690</v>
      </c>
      <c r="D1032" s="820"/>
      <c r="E1032" s="820"/>
      <c r="F1032" s="820"/>
      <c r="G1032" s="820"/>
      <c r="H1032" s="821"/>
      <c r="J1032" s="634"/>
      <c r="K1032" s="524"/>
      <c r="L1032" s="524"/>
      <c r="M1032" s="524"/>
      <c r="N1032" s="524"/>
      <c r="O1032" s="524"/>
      <c r="S1032" s="536"/>
      <c r="T1032" s="635"/>
    </row>
    <row r="1033" spans="1:68" s="529" customFormat="1" ht="12.75">
      <c r="A1033" s="286"/>
      <c r="B1033" s="373"/>
      <c r="C1033" s="379"/>
      <c r="D1033" s="382"/>
      <c r="E1033" s="382"/>
      <c r="F1033" s="382"/>
      <c r="G1033" s="382"/>
      <c r="H1033" s="382"/>
      <c r="I1033" s="298"/>
      <c r="J1033" s="634"/>
      <c r="K1033" s="524"/>
      <c r="L1033" s="524"/>
      <c r="M1033" s="524"/>
      <c r="N1033" s="524"/>
      <c r="O1033" s="524"/>
      <c r="P1033" s="298"/>
      <c r="Q1033" s="298"/>
      <c r="R1033" s="298"/>
      <c r="S1033" s="536"/>
      <c r="T1033" s="635"/>
      <c r="U1033" s="298"/>
      <c r="V1033" s="298"/>
      <c r="W1033" s="298"/>
      <c r="X1033" s="298"/>
      <c r="Y1033" s="298"/>
      <c r="Z1033" s="298"/>
      <c r="AA1033" s="298"/>
      <c r="AB1033" s="298"/>
      <c r="AC1033" s="298"/>
      <c r="AD1033" s="298"/>
      <c r="AE1033" s="298"/>
      <c r="AF1033" s="298"/>
      <c r="AG1033" s="298"/>
      <c r="AH1033" s="298"/>
      <c r="AI1033" s="298"/>
      <c r="AJ1033" s="298"/>
      <c r="AK1033" s="298"/>
      <c r="AL1033" s="298"/>
      <c r="AM1033" s="298"/>
      <c r="AN1033" s="298"/>
      <c r="AO1033" s="298"/>
      <c r="AP1033" s="298"/>
      <c r="AQ1033" s="298"/>
      <c r="AR1033" s="298"/>
      <c r="AS1033" s="298"/>
      <c r="AT1033" s="298"/>
      <c r="AU1033" s="298"/>
      <c r="AV1033" s="298"/>
      <c r="AW1033" s="298"/>
      <c r="AX1033" s="298"/>
      <c r="AY1033" s="298"/>
      <c r="AZ1033" s="298"/>
      <c r="BA1033" s="298"/>
      <c r="BB1033" s="298"/>
      <c r="BC1033" s="298"/>
      <c r="BD1033" s="298"/>
      <c r="BE1033" s="298"/>
      <c r="BF1033" s="298"/>
      <c r="BG1033" s="298"/>
      <c r="BH1033" s="298"/>
      <c r="BI1033" s="298"/>
      <c r="BJ1033" s="298"/>
      <c r="BK1033" s="298"/>
      <c r="BL1033" s="298"/>
      <c r="BM1033" s="298"/>
      <c r="BN1033" s="298"/>
      <c r="BO1033" s="298"/>
      <c r="BP1033" s="298"/>
    </row>
    <row r="1034" spans="1:68" s="529" customFormat="1" ht="38.25">
      <c r="A1034" s="286"/>
      <c r="B1034" s="372" t="s">
        <v>17769</v>
      </c>
      <c r="C1034" s="231" t="s">
        <v>17770</v>
      </c>
      <c r="D1034" s="232" t="s">
        <v>103</v>
      </c>
      <c r="E1034" s="232" t="s">
        <v>3240</v>
      </c>
      <c r="F1034" s="233"/>
      <c r="G1034" s="234"/>
      <c r="H1034" s="235">
        <v>705.25</v>
      </c>
      <c r="I1034" s="298"/>
      <c r="J1034" s="634"/>
      <c r="K1034" s="524"/>
      <c r="L1034" s="524"/>
      <c r="M1034" s="524"/>
      <c r="N1034" s="524"/>
      <c r="O1034" s="524"/>
      <c r="P1034" s="298"/>
      <c r="Q1034" s="298"/>
      <c r="R1034" s="298"/>
      <c r="S1034" s="536"/>
      <c r="T1034" s="635"/>
      <c r="U1034" s="298"/>
      <c r="V1034" s="298"/>
      <c r="W1034" s="298"/>
      <c r="X1034" s="298"/>
      <c r="Y1034" s="298"/>
      <c r="Z1034" s="298"/>
      <c r="AA1034" s="298"/>
      <c r="AB1034" s="298"/>
      <c r="AC1034" s="298"/>
      <c r="AD1034" s="298"/>
      <c r="AE1034" s="298"/>
      <c r="AF1034" s="298"/>
      <c r="AG1034" s="298"/>
      <c r="AH1034" s="298"/>
      <c r="AI1034" s="298"/>
      <c r="AJ1034" s="298"/>
      <c r="AK1034" s="298"/>
      <c r="AL1034" s="298"/>
      <c r="AM1034" s="298"/>
      <c r="AN1034" s="298"/>
      <c r="AO1034" s="298"/>
      <c r="AP1034" s="298"/>
      <c r="AQ1034" s="298"/>
      <c r="AR1034" s="298"/>
      <c r="AS1034" s="298"/>
      <c r="AT1034" s="298"/>
      <c r="AU1034" s="298"/>
      <c r="AV1034" s="298"/>
      <c r="AW1034" s="298"/>
      <c r="AX1034" s="298"/>
      <c r="AY1034" s="298"/>
      <c r="AZ1034" s="298"/>
      <c r="BA1034" s="298"/>
      <c r="BB1034" s="298"/>
      <c r="BC1034" s="298"/>
      <c r="BD1034" s="298"/>
      <c r="BE1034" s="298"/>
      <c r="BF1034" s="298"/>
      <c r="BG1034" s="298"/>
      <c r="BH1034" s="298"/>
      <c r="BI1034" s="298"/>
      <c r="BJ1034" s="298"/>
      <c r="BK1034" s="298"/>
      <c r="BL1034" s="298"/>
      <c r="BM1034" s="298"/>
      <c r="BN1034" s="298"/>
      <c r="BO1034" s="298"/>
      <c r="BP1034" s="298"/>
    </row>
    <row r="1035" spans="1:68" s="298" customFormat="1" ht="25.5">
      <c r="A1035" s="256" t="s">
        <v>3261</v>
      </c>
      <c r="B1035" s="374">
        <v>10848</v>
      </c>
      <c r="C1035" s="289" t="s">
        <v>7699</v>
      </c>
      <c r="D1035" s="290" t="s">
        <v>207</v>
      </c>
      <c r="E1035" s="290" t="s">
        <v>3240</v>
      </c>
      <c r="F1035" s="254">
        <v>1</v>
      </c>
      <c r="G1035" s="292" t="s">
        <v>20396</v>
      </c>
      <c r="H1035" s="255">
        <v>678.38</v>
      </c>
      <c r="J1035" s="634"/>
      <c r="K1035" s="524"/>
      <c r="L1035" s="524"/>
      <c r="M1035" s="524"/>
      <c r="N1035" s="524"/>
      <c r="O1035" s="524"/>
      <c r="S1035" s="536"/>
      <c r="T1035" s="638"/>
    </row>
    <row r="1036" spans="1:68" s="298" customFormat="1" ht="25.5">
      <c r="A1036" s="256" t="s">
        <v>3259</v>
      </c>
      <c r="B1036" s="374">
        <v>88309</v>
      </c>
      <c r="C1036" s="289" t="s">
        <v>105</v>
      </c>
      <c r="D1036" s="290" t="s">
        <v>9714</v>
      </c>
      <c r="E1036" s="290" t="s">
        <v>206</v>
      </c>
      <c r="F1036" s="254">
        <v>0.6</v>
      </c>
      <c r="G1036" s="292" t="s">
        <v>11439</v>
      </c>
      <c r="H1036" s="255">
        <v>14.34</v>
      </c>
      <c r="J1036" s="521"/>
      <c r="K1036" s="501"/>
      <c r="S1036" s="536"/>
      <c r="T1036" s="638"/>
    </row>
    <row r="1037" spans="1:68" s="298" customFormat="1" ht="25.5">
      <c r="A1037" s="256" t="s">
        <v>3259</v>
      </c>
      <c r="B1037" s="374">
        <v>88316</v>
      </c>
      <c r="C1037" s="289" t="s">
        <v>104</v>
      </c>
      <c r="D1037" s="290" t="s">
        <v>9714</v>
      </c>
      <c r="E1037" s="290" t="s">
        <v>206</v>
      </c>
      <c r="F1037" s="254">
        <v>0.6</v>
      </c>
      <c r="G1037" s="292" t="s">
        <v>10172</v>
      </c>
      <c r="H1037" s="255">
        <v>10.56</v>
      </c>
      <c r="J1037" s="521"/>
      <c r="S1037" s="536"/>
      <c r="T1037" s="638"/>
    </row>
    <row r="1038" spans="1:68" s="298" customFormat="1" ht="38.25">
      <c r="A1038" s="256" t="s">
        <v>3259</v>
      </c>
      <c r="B1038" s="374">
        <v>88629</v>
      </c>
      <c r="C1038" s="289" t="s">
        <v>9416</v>
      </c>
      <c r="D1038" s="290" t="s">
        <v>229</v>
      </c>
      <c r="E1038" s="290" t="s">
        <v>209</v>
      </c>
      <c r="F1038" s="254">
        <v>4.0000000000000001E-3</v>
      </c>
      <c r="G1038" s="292" t="s">
        <v>24289</v>
      </c>
      <c r="H1038" s="255">
        <v>1.97</v>
      </c>
      <c r="J1038" s="521"/>
      <c r="S1038" s="536"/>
      <c r="T1038" s="638"/>
    </row>
    <row r="1039" spans="1:68" s="298" customFormat="1" ht="12.75">
      <c r="A1039" s="256"/>
      <c r="B1039" s="288" t="s">
        <v>143</v>
      </c>
      <c r="C1039" s="819" t="s">
        <v>17772</v>
      </c>
      <c r="D1039" s="820"/>
      <c r="E1039" s="820"/>
      <c r="F1039" s="820"/>
      <c r="G1039" s="820"/>
      <c r="H1039" s="821"/>
      <c r="J1039" s="634"/>
      <c r="K1039" s="524"/>
      <c r="L1039" s="524"/>
      <c r="M1039" s="524"/>
      <c r="N1039" s="524"/>
      <c r="O1039" s="524"/>
      <c r="S1039" s="536"/>
      <c r="T1039" s="635"/>
    </row>
    <row r="1040" spans="1:68" s="529" customFormat="1" ht="12.75">
      <c r="A1040" s="286"/>
      <c r="B1040" s="373"/>
      <c r="C1040" s="379"/>
      <c r="D1040" s="382"/>
      <c r="E1040" s="382"/>
      <c r="F1040" s="382"/>
      <c r="G1040" s="382"/>
      <c r="H1040" s="382"/>
      <c r="I1040" s="298"/>
      <c r="J1040" s="634"/>
      <c r="K1040" s="524"/>
      <c r="L1040" s="524"/>
      <c r="M1040" s="524"/>
      <c r="N1040" s="524"/>
      <c r="O1040" s="524"/>
      <c r="P1040" s="298"/>
      <c r="Q1040" s="298"/>
      <c r="R1040" s="298"/>
      <c r="S1040" s="536"/>
      <c r="T1040" s="635"/>
      <c r="U1040" s="298"/>
      <c r="V1040" s="298"/>
      <c r="W1040" s="298"/>
      <c r="X1040" s="298"/>
      <c r="Y1040" s="298"/>
      <c r="Z1040" s="298"/>
      <c r="AA1040" s="298"/>
      <c r="AB1040" s="298"/>
      <c r="AC1040" s="298"/>
      <c r="AD1040" s="298"/>
      <c r="AE1040" s="298"/>
      <c r="AF1040" s="298"/>
      <c r="AG1040" s="298"/>
      <c r="AH1040" s="298"/>
      <c r="AI1040" s="298"/>
      <c r="AJ1040" s="298"/>
      <c r="AK1040" s="298"/>
      <c r="AL1040" s="298"/>
      <c r="AM1040" s="298"/>
      <c r="AN1040" s="298"/>
      <c r="AO1040" s="298"/>
      <c r="AP1040" s="298"/>
      <c r="AQ1040" s="298"/>
      <c r="AR1040" s="298"/>
      <c r="AS1040" s="298"/>
      <c r="AT1040" s="298"/>
      <c r="AU1040" s="298"/>
      <c r="AV1040" s="298"/>
      <c r="AW1040" s="298"/>
      <c r="AX1040" s="298"/>
      <c r="AY1040" s="298"/>
      <c r="AZ1040" s="298"/>
      <c r="BA1040" s="298"/>
      <c r="BB1040" s="298"/>
      <c r="BC1040" s="298"/>
      <c r="BD1040" s="298"/>
      <c r="BE1040" s="298"/>
      <c r="BF1040" s="298"/>
      <c r="BG1040" s="298"/>
      <c r="BH1040" s="298"/>
      <c r="BI1040" s="298"/>
      <c r="BJ1040" s="298"/>
      <c r="BK1040" s="298"/>
      <c r="BL1040" s="298"/>
      <c r="BM1040" s="298"/>
      <c r="BN1040" s="298"/>
      <c r="BO1040" s="298"/>
      <c r="BP1040" s="298"/>
    </row>
    <row r="1041" spans="1:68" s="529" customFormat="1" ht="12.75">
      <c r="A1041" s="286"/>
      <c r="B1041" s="372" t="s">
        <v>17771</v>
      </c>
      <c r="C1041" s="231" t="s">
        <v>17777</v>
      </c>
      <c r="D1041" s="232" t="s">
        <v>103</v>
      </c>
      <c r="E1041" s="232" t="s">
        <v>193</v>
      </c>
      <c r="F1041" s="233"/>
      <c r="G1041" s="234"/>
      <c r="H1041" s="235">
        <v>109.26</v>
      </c>
      <c r="I1041" s="298"/>
      <c r="J1041" s="634"/>
      <c r="K1041" s="524"/>
      <c r="L1041" s="524"/>
      <c r="M1041" s="524"/>
      <c r="N1041" s="524"/>
      <c r="O1041" s="524"/>
      <c r="P1041" s="298"/>
      <c r="Q1041" s="298"/>
      <c r="R1041" s="298"/>
      <c r="S1041" s="536"/>
      <c r="T1041" s="635"/>
      <c r="U1041" s="298"/>
      <c r="V1041" s="298"/>
      <c r="W1041" s="298"/>
      <c r="X1041" s="298"/>
      <c r="Y1041" s="298"/>
      <c r="Z1041" s="298"/>
      <c r="AA1041" s="298"/>
      <c r="AB1041" s="298"/>
      <c r="AC1041" s="298"/>
      <c r="AD1041" s="298"/>
      <c r="AE1041" s="298"/>
      <c r="AF1041" s="298"/>
      <c r="AG1041" s="298"/>
      <c r="AH1041" s="298"/>
      <c r="AI1041" s="298"/>
      <c r="AJ1041" s="298"/>
      <c r="AK1041" s="298"/>
      <c r="AL1041" s="298"/>
      <c r="AM1041" s="298"/>
      <c r="AN1041" s="298"/>
      <c r="AO1041" s="298"/>
      <c r="AP1041" s="298"/>
      <c r="AQ1041" s="298"/>
      <c r="AR1041" s="298"/>
      <c r="AS1041" s="298"/>
      <c r="AT1041" s="298"/>
      <c r="AU1041" s="298"/>
      <c r="AV1041" s="298"/>
      <c r="AW1041" s="298"/>
      <c r="AX1041" s="298"/>
      <c r="AY1041" s="298"/>
      <c r="AZ1041" s="298"/>
      <c r="BA1041" s="298"/>
      <c r="BB1041" s="298"/>
      <c r="BC1041" s="298"/>
      <c r="BD1041" s="298"/>
      <c r="BE1041" s="298"/>
      <c r="BF1041" s="298"/>
      <c r="BG1041" s="298"/>
      <c r="BH1041" s="298"/>
      <c r="BI1041" s="298"/>
      <c r="BJ1041" s="298"/>
      <c r="BK1041" s="298"/>
      <c r="BL1041" s="298"/>
      <c r="BM1041" s="298"/>
      <c r="BN1041" s="298"/>
      <c r="BO1041" s="298"/>
      <c r="BP1041" s="298"/>
    </row>
    <row r="1042" spans="1:68" s="298" customFormat="1" ht="25.5">
      <c r="A1042" s="256" t="s">
        <v>3261</v>
      </c>
      <c r="B1042" s="374">
        <v>3767</v>
      </c>
      <c r="C1042" s="289" t="s">
        <v>6952</v>
      </c>
      <c r="D1042" s="290" t="s">
        <v>207</v>
      </c>
      <c r="E1042" s="290" t="s">
        <v>3240</v>
      </c>
      <c r="F1042" s="254">
        <v>1</v>
      </c>
      <c r="G1042" s="292" t="s">
        <v>10054</v>
      </c>
      <c r="H1042" s="255">
        <v>0.7</v>
      </c>
      <c r="J1042" s="634"/>
      <c r="K1042" s="524"/>
      <c r="L1042" s="524"/>
      <c r="M1042" s="524"/>
      <c r="N1042" s="524"/>
      <c r="O1042" s="524"/>
      <c r="S1042" s="536"/>
      <c r="T1042" s="638"/>
    </row>
    <row r="1043" spans="1:68" s="298" customFormat="1" ht="25.5">
      <c r="A1043" s="256" t="s">
        <v>3259</v>
      </c>
      <c r="B1043" s="374">
        <v>88316</v>
      </c>
      <c r="C1043" s="289" t="s">
        <v>104</v>
      </c>
      <c r="D1043" s="290" t="s">
        <v>9714</v>
      </c>
      <c r="E1043" s="290" t="s">
        <v>206</v>
      </c>
      <c r="F1043" s="254">
        <v>0.8</v>
      </c>
      <c r="G1043" s="292" t="s">
        <v>10172</v>
      </c>
      <c r="H1043" s="255">
        <v>14.08</v>
      </c>
      <c r="J1043" s="634"/>
      <c r="K1043" s="524"/>
      <c r="L1043" s="524"/>
      <c r="M1043" s="524"/>
      <c r="N1043" s="524"/>
      <c r="O1043" s="524"/>
      <c r="S1043" s="536"/>
      <c r="T1043" s="638"/>
    </row>
    <row r="1044" spans="1:68" s="298" customFormat="1" ht="12.75">
      <c r="A1044" s="256" t="s">
        <v>3261</v>
      </c>
      <c r="B1044" s="374">
        <v>7304</v>
      </c>
      <c r="C1044" s="289" t="s">
        <v>12019</v>
      </c>
      <c r="D1044" s="290" t="s">
        <v>207</v>
      </c>
      <c r="E1044" s="290" t="s">
        <v>3245</v>
      </c>
      <c r="F1044" s="254">
        <v>0.2</v>
      </c>
      <c r="G1044" s="292" t="s">
        <v>16017</v>
      </c>
      <c r="H1044" s="255">
        <v>11.68</v>
      </c>
      <c r="J1044" s="634"/>
      <c r="K1044" s="524"/>
      <c r="L1044" s="524"/>
      <c r="M1044" s="524"/>
      <c r="N1044" s="524"/>
      <c r="O1044" s="524"/>
      <c r="S1044" s="536"/>
      <c r="T1044" s="638"/>
    </row>
    <row r="1045" spans="1:68" s="298" customFormat="1" ht="12.75">
      <c r="A1045" s="256" t="s">
        <v>3261</v>
      </c>
      <c r="B1045" s="374">
        <v>5330</v>
      </c>
      <c r="C1045" s="289" t="s">
        <v>6091</v>
      </c>
      <c r="D1045" s="290" t="s">
        <v>207</v>
      </c>
      <c r="E1045" s="290" t="s">
        <v>3245</v>
      </c>
      <c r="F1045" s="254">
        <v>0.02</v>
      </c>
      <c r="G1045" s="292" t="s">
        <v>9768</v>
      </c>
      <c r="H1045" s="255">
        <v>0.7</v>
      </c>
      <c r="J1045" s="634"/>
      <c r="K1045" s="524"/>
      <c r="L1045" s="524"/>
      <c r="M1045" s="524"/>
      <c r="N1045" s="524"/>
      <c r="O1045" s="524"/>
      <c r="S1045" s="536"/>
      <c r="T1045" s="638"/>
    </row>
    <row r="1046" spans="1:68" s="298" customFormat="1" ht="25.5">
      <c r="A1046" s="256" t="s">
        <v>3259</v>
      </c>
      <c r="B1046" s="374">
        <v>88311</v>
      </c>
      <c r="C1046" s="289" t="s">
        <v>3092</v>
      </c>
      <c r="D1046" s="290" t="s">
        <v>9714</v>
      </c>
      <c r="E1046" s="290" t="s">
        <v>206</v>
      </c>
      <c r="F1046" s="254">
        <v>1.6</v>
      </c>
      <c r="G1046" s="292" t="s">
        <v>10640</v>
      </c>
      <c r="H1046" s="255">
        <v>42.06</v>
      </c>
      <c r="J1046" s="634"/>
      <c r="K1046" s="524"/>
      <c r="L1046" s="524"/>
      <c r="M1046" s="524"/>
      <c r="N1046" s="524"/>
      <c r="O1046" s="524"/>
      <c r="S1046" s="536"/>
      <c r="T1046" s="638"/>
    </row>
    <row r="1047" spans="1:68" s="298" customFormat="1" ht="25.5">
      <c r="A1047" s="256" t="s">
        <v>3261</v>
      </c>
      <c r="B1047" s="374">
        <v>4049</v>
      </c>
      <c r="C1047" s="289" t="s">
        <v>7304</v>
      </c>
      <c r="D1047" s="290" t="s">
        <v>207</v>
      </c>
      <c r="E1047" s="290" t="s">
        <v>3245</v>
      </c>
      <c r="F1047" s="254">
        <v>0.8</v>
      </c>
      <c r="G1047" s="292" t="s">
        <v>20195</v>
      </c>
      <c r="H1047" s="255">
        <v>40.04</v>
      </c>
      <c r="J1047" s="634"/>
      <c r="K1047" s="524"/>
      <c r="L1047" s="524"/>
      <c r="M1047" s="524"/>
      <c r="N1047" s="524"/>
      <c r="O1047" s="524"/>
      <c r="S1047" s="536"/>
      <c r="T1047" s="638"/>
    </row>
    <row r="1048" spans="1:68" s="298" customFormat="1" ht="12.75">
      <c r="A1048" s="256"/>
      <c r="B1048" s="288" t="s">
        <v>143</v>
      </c>
      <c r="C1048" s="819" t="s">
        <v>17773</v>
      </c>
      <c r="D1048" s="820"/>
      <c r="E1048" s="820"/>
      <c r="F1048" s="820"/>
      <c r="G1048" s="820"/>
      <c r="H1048" s="821"/>
      <c r="J1048" s="634"/>
      <c r="K1048" s="524"/>
      <c r="L1048" s="524"/>
      <c r="M1048" s="524"/>
      <c r="N1048" s="524"/>
      <c r="O1048" s="524"/>
      <c r="S1048" s="536"/>
      <c r="T1048" s="635"/>
    </row>
    <row r="1049" spans="1:68" s="529" customFormat="1" ht="12.75">
      <c r="A1049" s="286"/>
      <c r="B1049" s="293"/>
      <c r="C1049" s="229"/>
      <c r="D1049" s="230"/>
      <c r="E1049" s="230"/>
      <c r="F1049" s="230"/>
      <c r="G1049" s="230"/>
      <c r="H1049" s="230"/>
      <c r="I1049" s="298"/>
      <c r="J1049" s="521"/>
      <c r="K1049" s="524"/>
      <c r="L1049" s="298"/>
      <c r="M1049" s="298"/>
      <c r="N1049" s="298"/>
      <c r="O1049" s="298"/>
      <c r="P1049" s="298"/>
      <c r="Q1049" s="298"/>
      <c r="R1049" s="298"/>
      <c r="S1049" s="536"/>
      <c r="T1049" s="635"/>
      <c r="U1049" s="298"/>
      <c r="V1049" s="298"/>
      <c r="W1049" s="298"/>
      <c r="X1049" s="298"/>
      <c r="Y1049" s="298"/>
      <c r="Z1049" s="298"/>
      <c r="AA1049" s="298"/>
      <c r="AB1049" s="298"/>
      <c r="AC1049" s="298"/>
      <c r="AD1049" s="298"/>
      <c r="AE1049" s="298"/>
      <c r="AF1049" s="298"/>
      <c r="AG1049" s="298"/>
      <c r="AH1049" s="298"/>
      <c r="AI1049" s="298"/>
      <c r="AJ1049" s="298"/>
      <c r="AK1049" s="298"/>
      <c r="AL1049" s="298"/>
      <c r="AM1049" s="298"/>
      <c r="AN1049" s="298"/>
      <c r="AO1049" s="298"/>
      <c r="AP1049" s="298"/>
      <c r="AQ1049" s="298"/>
      <c r="AR1049" s="298"/>
      <c r="AS1049" s="298"/>
      <c r="AT1049" s="298"/>
      <c r="AU1049" s="298"/>
      <c r="AV1049" s="298"/>
      <c r="AW1049" s="298"/>
      <c r="AX1049" s="298"/>
      <c r="AY1049" s="298"/>
      <c r="AZ1049" s="298"/>
      <c r="BA1049" s="298"/>
      <c r="BB1049" s="298"/>
      <c r="BC1049" s="298"/>
      <c r="BD1049" s="298"/>
      <c r="BE1049" s="298"/>
      <c r="BF1049" s="298"/>
      <c r="BG1049" s="298"/>
      <c r="BH1049" s="298"/>
      <c r="BI1049" s="298"/>
      <c r="BJ1049" s="298"/>
      <c r="BK1049" s="298"/>
      <c r="BL1049" s="298"/>
      <c r="BM1049" s="298"/>
      <c r="BN1049" s="298"/>
      <c r="BO1049" s="298"/>
      <c r="BP1049" s="298"/>
    </row>
    <row r="1050" spans="1:68" s="645" customFormat="1" ht="38.25">
      <c r="A1050" s="376"/>
      <c r="B1050" s="372" t="s">
        <v>17781</v>
      </c>
      <c r="C1050" s="231" t="s">
        <v>17782</v>
      </c>
      <c r="D1050" s="232" t="s">
        <v>103</v>
      </c>
      <c r="E1050" s="232" t="s">
        <v>3240</v>
      </c>
      <c r="F1050" s="233"/>
      <c r="G1050" s="234"/>
      <c r="H1050" s="235">
        <v>1912.39</v>
      </c>
      <c r="I1050" s="298"/>
      <c r="J1050" s="521"/>
      <c r="K1050" s="524"/>
      <c r="L1050" s="298"/>
      <c r="M1050" s="298"/>
      <c r="N1050" s="298"/>
      <c r="O1050" s="298"/>
      <c r="P1050" s="298"/>
      <c r="Q1050" s="298"/>
      <c r="R1050" s="298"/>
      <c r="S1050" s="536"/>
      <c r="T1050" s="635"/>
      <c r="U1050" s="298"/>
      <c r="V1050" s="298"/>
      <c r="W1050" s="298"/>
      <c r="X1050" s="298"/>
      <c r="Y1050" s="298"/>
      <c r="Z1050" s="298"/>
      <c r="AA1050" s="298"/>
      <c r="AB1050" s="298"/>
      <c r="AC1050" s="298"/>
      <c r="AD1050" s="298"/>
      <c r="AE1050" s="298"/>
      <c r="AF1050" s="298"/>
      <c r="AG1050" s="298"/>
      <c r="AH1050" s="298"/>
      <c r="AI1050" s="298"/>
      <c r="AJ1050" s="298"/>
      <c r="AK1050" s="298"/>
      <c r="AL1050" s="298"/>
      <c r="AM1050" s="298"/>
      <c r="AN1050" s="298"/>
      <c r="AO1050" s="298"/>
      <c r="AP1050" s="298"/>
      <c r="AQ1050" s="298"/>
      <c r="AR1050" s="298"/>
      <c r="AS1050" s="298"/>
      <c r="AT1050" s="298"/>
      <c r="AU1050" s="298"/>
      <c r="AV1050" s="298"/>
      <c r="AW1050" s="298"/>
      <c r="AX1050" s="298"/>
      <c r="AY1050" s="298"/>
      <c r="AZ1050" s="298"/>
      <c r="BA1050" s="298"/>
      <c r="BB1050" s="298"/>
      <c r="BC1050" s="298"/>
      <c r="BD1050" s="298"/>
      <c r="BE1050" s="298"/>
      <c r="BF1050" s="298"/>
      <c r="BG1050" s="298"/>
      <c r="BH1050" s="298"/>
      <c r="BI1050" s="298"/>
      <c r="BJ1050" s="298"/>
      <c r="BK1050" s="298"/>
      <c r="BL1050" s="298"/>
      <c r="BM1050" s="298"/>
      <c r="BN1050" s="298"/>
      <c r="BO1050" s="298"/>
      <c r="BP1050" s="298"/>
    </row>
    <row r="1051" spans="1:68" s="298" customFormat="1" ht="25.5">
      <c r="A1051" s="256" t="s">
        <v>14338</v>
      </c>
      <c r="B1051" s="374" t="s">
        <v>15382</v>
      </c>
      <c r="C1051" s="289" t="s">
        <v>17440</v>
      </c>
      <c r="D1051" s="290" t="s">
        <v>103</v>
      </c>
      <c r="E1051" s="290" t="s">
        <v>3240</v>
      </c>
      <c r="F1051" s="254">
        <v>2.78</v>
      </c>
      <c r="G1051" s="292">
        <v>579.55000000000007</v>
      </c>
      <c r="H1051" s="255">
        <v>1611.14</v>
      </c>
      <c r="J1051" s="521">
        <f>0.9*2.1</f>
        <v>1.8900000000000001</v>
      </c>
      <c r="K1051" s="761">
        <v>1</v>
      </c>
      <c r="S1051" s="536"/>
      <c r="T1051" s="638"/>
    </row>
    <row r="1052" spans="1:68" s="298" customFormat="1" ht="63.75">
      <c r="A1052" s="256" t="s">
        <v>3259</v>
      </c>
      <c r="B1052" s="374">
        <v>100721</v>
      </c>
      <c r="C1052" s="289" t="s">
        <v>23989</v>
      </c>
      <c r="D1052" s="290" t="s">
        <v>229</v>
      </c>
      <c r="E1052" s="290" t="s">
        <v>193</v>
      </c>
      <c r="F1052" s="254">
        <v>7.5600000000000005</v>
      </c>
      <c r="G1052" s="292" t="s">
        <v>12354</v>
      </c>
      <c r="H1052" s="255">
        <v>152.4</v>
      </c>
      <c r="J1052" s="521">
        <f>2.5*2.1</f>
        <v>5.25</v>
      </c>
      <c r="K1052" s="762" t="s">
        <v>15393</v>
      </c>
      <c r="L1052" s="646" t="s">
        <v>17521</v>
      </c>
      <c r="M1052" s="646">
        <f>(J1052*K1051)/J1051</f>
        <v>2.7777777777777777</v>
      </c>
      <c r="S1052" s="536"/>
      <c r="T1052" s="638"/>
    </row>
    <row r="1053" spans="1:68" s="298" customFormat="1" ht="76.5">
      <c r="A1053" s="256" t="s">
        <v>3259</v>
      </c>
      <c r="B1053" s="374">
        <v>100745</v>
      </c>
      <c r="C1053" s="289" t="s">
        <v>23999</v>
      </c>
      <c r="D1053" s="290" t="s">
        <v>229</v>
      </c>
      <c r="E1053" s="290" t="s">
        <v>193</v>
      </c>
      <c r="F1053" s="254">
        <v>7.5600000000000005</v>
      </c>
      <c r="G1053" s="292" t="s">
        <v>10491</v>
      </c>
      <c r="H1053" s="255">
        <v>148.85</v>
      </c>
      <c r="J1053" s="521"/>
      <c r="K1053" s="524"/>
      <c r="S1053" s="536"/>
      <c r="T1053" s="638"/>
    </row>
    <row r="1054" spans="1:68" s="298" customFormat="1" ht="12.75">
      <c r="A1054" s="256"/>
      <c r="B1054" s="288" t="s">
        <v>143</v>
      </c>
      <c r="C1054" s="603" t="s">
        <v>15438</v>
      </c>
      <c r="D1054" s="386"/>
      <c r="E1054" s="386"/>
      <c r="F1054" s="386"/>
      <c r="G1054" s="386"/>
      <c r="H1054" s="387"/>
      <c r="J1054" s="521"/>
      <c r="K1054" s="524"/>
      <c r="S1054" s="536"/>
      <c r="T1054" s="635"/>
    </row>
    <row r="1055" spans="1:68" s="529" customFormat="1" ht="12.75">
      <c r="A1055" s="286"/>
      <c r="B1055" s="293"/>
      <c r="C1055" s="229"/>
      <c r="D1055" s="230"/>
      <c r="E1055" s="230"/>
      <c r="F1055" s="230"/>
      <c r="G1055" s="230"/>
      <c r="H1055" s="230"/>
      <c r="I1055" s="298"/>
      <c r="J1055" s="521"/>
      <c r="K1055" s="298"/>
      <c r="L1055" s="298"/>
      <c r="M1055" s="298"/>
      <c r="N1055" s="298"/>
      <c r="O1055" s="298"/>
      <c r="P1055" s="298"/>
      <c r="Q1055" s="298"/>
      <c r="R1055" s="298"/>
      <c r="S1055" s="536"/>
      <c r="T1055" s="635"/>
      <c r="U1055" s="298"/>
      <c r="V1055" s="298"/>
      <c r="W1055" s="298"/>
      <c r="X1055" s="298"/>
      <c r="Y1055" s="298"/>
      <c r="Z1055" s="298"/>
      <c r="AA1055" s="298"/>
      <c r="AB1055" s="298"/>
      <c r="AC1055" s="298"/>
      <c r="AD1055" s="298"/>
      <c r="AE1055" s="298"/>
      <c r="AF1055" s="298"/>
      <c r="AG1055" s="298"/>
      <c r="AH1055" s="298"/>
      <c r="AI1055" s="298"/>
      <c r="AJ1055" s="298"/>
      <c r="AK1055" s="298"/>
      <c r="AL1055" s="298"/>
      <c r="AM1055" s="298"/>
      <c r="AN1055" s="298"/>
      <c r="AO1055" s="298"/>
      <c r="AP1055" s="298"/>
      <c r="AQ1055" s="298"/>
      <c r="AR1055" s="298"/>
      <c r="AS1055" s="298"/>
      <c r="AT1055" s="298"/>
      <c r="AU1055" s="298"/>
      <c r="AV1055" s="298"/>
      <c r="AW1055" s="298"/>
      <c r="AX1055" s="298"/>
      <c r="AY1055" s="298"/>
      <c r="AZ1055" s="298"/>
      <c r="BA1055" s="298"/>
      <c r="BB1055" s="298"/>
      <c r="BC1055" s="298"/>
      <c r="BD1055" s="298"/>
      <c r="BE1055" s="298"/>
      <c r="BF1055" s="298"/>
      <c r="BG1055" s="298"/>
      <c r="BH1055" s="298"/>
      <c r="BI1055" s="298"/>
      <c r="BJ1055" s="298"/>
      <c r="BK1055" s="298"/>
      <c r="BL1055" s="298"/>
      <c r="BM1055" s="298"/>
      <c r="BN1055" s="298"/>
      <c r="BO1055" s="298"/>
      <c r="BP1055" s="298"/>
    </row>
    <row r="1056" spans="1:68" s="645" customFormat="1" ht="51">
      <c r="A1056" s="376"/>
      <c r="B1056" s="372" t="s">
        <v>17784</v>
      </c>
      <c r="C1056" s="231" t="s">
        <v>24642</v>
      </c>
      <c r="D1056" s="232" t="s">
        <v>103</v>
      </c>
      <c r="E1056" s="232" t="s">
        <v>3240</v>
      </c>
      <c r="F1056" s="233"/>
      <c r="G1056" s="234"/>
      <c r="H1056" s="235">
        <v>392.42</v>
      </c>
      <c r="I1056" s="298"/>
      <c r="J1056" s="521"/>
      <c r="K1056" s="298"/>
      <c r="L1056" s="298"/>
      <c r="M1056" s="298"/>
      <c r="N1056" s="298"/>
      <c r="O1056" s="298"/>
      <c r="P1056" s="298"/>
      <c r="Q1056" s="298"/>
      <c r="R1056" s="298"/>
      <c r="S1056" s="536"/>
      <c r="T1056" s="635"/>
      <c r="U1056" s="298"/>
      <c r="V1056" s="298"/>
      <c r="W1056" s="298"/>
      <c r="X1056" s="298"/>
      <c r="Y1056" s="298"/>
      <c r="Z1056" s="298"/>
      <c r="AA1056" s="298"/>
      <c r="AB1056" s="298"/>
      <c r="AC1056" s="298"/>
      <c r="AD1056" s="298"/>
      <c r="AE1056" s="298"/>
      <c r="AF1056" s="298"/>
      <c r="AG1056" s="298"/>
      <c r="AH1056" s="298"/>
      <c r="AI1056" s="298"/>
      <c r="AJ1056" s="298"/>
      <c r="AK1056" s="298"/>
      <c r="AL1056" s="298"/>
      <c r="AM1056" s="298"/>
      <c r="AN1056" s="298"/>
      <c r="AO1056" s="298"/>
      <c r="AP1056" s="298"/>
      <c r="AQ1056" s="298"/>
      <c r="AR1056" s="298"/>
      <c r="AS1056" s="298"/>
      <c r="AT1056" s="298"/>
      <c r="AU1056" s="298"/>
      <c r="AV1056" s="298"/>
      <c r="AW1056" s="298"/>
      <c r="AX1056" s="298"/>
      <c r="AY1056" s="298"/>
      <c r="AZ1056" s="298"/>
      <c r="BA1056" s="298"/>
      <c r="BB1056" s="298"/>
      <c r="BC1056" s="298"/>
      <c r="BD1056" s="298"/>
      <c r="BE1056" s="298"/>
      <c r="BF1056" s="298"/>
      <c r="BG1056" s="298"/>
      <c r="BH1056" s="298"/>
      <c r="BI1056" s="298"/>
      <c r="BJ1056" s="298"/>
      <c r="BK1056" s="298"/>
      <c r="BL1056" s="298"/>
      <c r="BM1056" s="298"/>
      <c r="BN1056" s="298"/>
      <c r="BO1056" s="298"/>
      <c r="BP1056" s="298"/>
    </row>
    <row r="1057" spans="1:68" s="298" customFormat="1" ht="51">
      <c r="A1057" s="256" t="s">
        <v>3259</v>
      </c>
      <c r="B1057" s="374">
        <v>94807</v>
      </c>
      <c r="C1057" s="289" t="s">
        <v>9160</v>
      </c>
      <c r="D1057" s="290" t="s">
        <v>229</v>
      </c>
      <c r="E1057" s="290" t="s">
        <v>109</v>
      </c>
      <c r="F1057" s="254">
        <v>0.60000000000000009</v>
      </c>
      <c r="G1057" s="292" t="s">
        <v>22117</v>
      </c>
      <c r="H1057" s="255">
        <v>320.7</v>
      </c>
      <c r="J1057" s="521"/>
      <c r="S1057" s="536"/>
      <c r="T1057" s="638"/>
    </row>
    <row r="1058" spans="1:68" s="298" customFormat="1" ht="63.75">
      <c r="A1058" s="256" t="s">
        <v>3259</v>
      </c>
      <c r="B1058" s="374">
        <v>100721</v>
      </c>
      <c r="C1058" s="289" t="s">
        <v>23989</v>
      </c>
      <c r="D1058" s="290" t="s">
        <v>229</v>
      </c>
      <c r="E1058" s="290" t="s">
        <v>193</v>
      </c>
      <c r="F1058" s="254">
        <v>1.8000000000000003</v>
      </c>
      <c r="G1058" s="292" t="s">
        <v>12354</v>
      </c>
      <c r="H1058" s="255">
        <v>36.28</v>
      </c>
      <c r="J1058" s="521"/>
      <c r="K1058" s="762"/>
      <c r="L1058" s="646"/>
      <c r="M1058" s="646"/>
      <c r="S1058" s="536"/>
      <c r="T1058" s="638"/>
    </row>
    <row r="1059" spans="1:68" s="298" customFormat="1" ht="76.5">
      <c r="A1059" s="256" t="s">
        <v>3259</v>
      </c>
      <c r="B1059" s="374">
        <v>100745</v>
      </c>
      <c r="C1059" s="289" t="s">
        <v>23999</v>
      </c>
      <c r="D1059" s="290" t="s">
        <v>229</v>
      </c>
      <c r="E1059" s="290" t="s">
        <v>193</v>
      </c>
      <c r="F1059" s="254">
        <v>1.8000000000000003</v>
      </c>
      <c r="G1059" s="292" t="s">
        <v>10491</v>
      </c>
      <c r="H1059" s="255">
        <v>35.44</v>
      </c>
      <c r="J1059" s="521"/>
      <c r="K1059" s="524"/>
      <c r="S1059" s="536"/>
      <c r="T1059" s="638"/>
    </row>
    <row r="1060" spans="1:68" s="298" customFormat="1" ht="12.75">
      <c r="A1060" s="256"/>
      <c r="B1060" s="288" t="s">
        <v>143</v>
      </c>
      <c r="C1060" s="603" t="s">
        <v>15438</v>
      </c>
      <c r="D1060" s="386"/>
      <c r="E1060" s="386"/>
      <c r="F1060" s="386"/>
      <c r="G1060" s="386"/>
      <c r="H1060" s="387"/>
      <c r="J1060" s="521"/>
      <c r="S1060" s="536"/>
      <c r="T1060" s="635"/>
    </row>
    <row r="1061" spans="1:68" s="529" customFormat="1" ht="12.75">
      <c r="A1061" s="286"/>
      <c r="B1061" s="373"/>
      <c r="C1061" s="379"/>
      <c r="D1061" s="382"/>
      <c r="E1061" s="382"/>
      <c r="F1061" s="382"/>
      <c r="G1061" s="382"/>
      <c r="H1061" s="382"/>
      <c r="I1061" s="298"/>
      <c r="J1061" s="634"/>
      <c r="K1061" s="524"/>
      <c r="L1061" s="524"/>
      <c r="M1061" s="524"/>
      <c r="N1061" s="524"/>
      <c r="O1061" s="524"/>
      <c r="P1061" s="298"/>
      <c r="Q1061" s="298"/>
      <c r="R1061" s="298"/>
      <c r="S1061" s="536"/>
      <c r="T1061" s="635"/>
      <c r="U1061" s="298"/>
      <c r="V1061" s="298"/>
      <c r="W1061" s="298"/>
      <c r="X1061" s="298"/>
      <c r="Y1061" s="298"/>
      <c r="Z1061" s="298"/>
      <c r="AA1061" s="298"/>
      <c r="AB1061" s="298"/>
      <c r="AC1061" s="298"/>
      <c r="AD1061" s="298"/>
      <c r="AE1061" s="298"/>
      <c r="AF1061" s="298"/>
      <c r="AG1061" s="298"/>
      <c r="AH1061" s="298"/>
      <c r="AI1061" s="298"/>
      <c r="AJ1061" s="298"/>
      <c r="AK1061" s="298"/>
      <c r="AL1061" s="298"/>
      <c r="AM1061" s="298"/>
      <c r="AN1061" s="298"/>
      <c r="AO1061" s="298"/>
      <c r="AP1061" s="298"/>
      <c r="AQ1061" s="298"/>
      <c r="AR1061" s="298"/>
      <c r="AS1061" s="298"/>
      <c r="AT1061" s="298"/>
      <c r="AU1061" s="298"/>
      <c r="AV1061" s="298"/>
      <c r="AW1061" s="298"/>
      <c r="AX1061" s="298"/>
      <c r="AY1061" s="298"/>
      <c r="AZ1061" s="298"/>
      <c r="BA1061" s="298"/>
      <c r="BB1061" s="298"/>
      <c r="BC1061" s="298"/>
      <c r="BD1061" s="298"/>
      <c r="BE1061" s="298"/>
      <c r="BF1061" s="298"/>
      <c r="BG1061" s="298"/>
      <c r="BH1061" s="298"/>
      <c r="BI1061" s="298"/>
      <c r="BJ1061" s="298"/>
      <c r="BK1061" s="298"/>
      <c r="BL1061" s="298"/>
      <c r="BM1061" s="298"/>
      <c r="BN1061" s="298"/>
      <c r="BO1061" s="298"/>
      <c r="BP1061" s="298"/>
    </row>
    <row r="1062" spans="1:68" s="529" customFormat="1" ht="38.25">
      <c r="A1062" s="286"/>
      <c r="B1062" s="372" t="s">
        <v>17785</v>
      </c>
      <c r="C1062" s="231" t="s">
        <v>24678</v>
      </c>
      <c r="D1062" s="232" t="s">
        <v>103</v>
      </c>
      <c r="E1062" s="232" t="s">
        <v>3240</v>
      </c>
      <c r="F1062" s="233"/>
      <c r="G1062" s="234"/>
      <c r="H1062" s="235">
        <v>1825.4</v>
      </c>
      <c r="I1062" s="298"/>
      <c r="J1062" s="634"/>
      <c r="K1062" s="524"/>
      <c r="L1062" s="524"/>
      <c r="M1062" s="524"/>
      <c r="N1062" s="524"/>
      <c r="O1062" s="524"/>
      <c r="P1062" s="298"/>
      <c r="Q1062" s="298"/>
      <c r="R1062" s="298"/>
      <c r="S1062" s="536"/>
      <c r="T1062" s="635"/>
      <c r="U1062" s="298"/>
      <c r="V1062" s="298"/>
      <c r="W1062" s="298"/>
      <c r="X1062" s="298"/>
      <c r="Y1062" s="298"/>
      <c r="Z1062" s="298"/>
      <c r="AA1062" s="298"/>
      <c r="AB1062" s="298"/>
      <c r="AC1062" s="298"/>
      <c r="AD1062" s="298"/>
      <c r="AE1062" s="298"/>
      <c r="AF1062" s="298"/>
      <c r="AG1062" s="298"/>
      <c r="AH1062" s="298"/>
      <c r="AI1062" s="298"/>
      <c r="AJ1062" s="298"/>
      <c r="AK1062" s="298"/>
      <c r="AL1062" s="298"/>
      <c r="AM1062" s="298"/>
      <c r="AN1062" s="298"/>
      <c r="AO1062" s="298"/>
      <c r="AP1062" s="298"/>
      <c r="AQ1062" s="298"/>
      <c r="AR1062" s="298"/>
      <c r="AS1062" s="298"/>
      <c r="AT1062" s="298"/>
      <c r="AU1062" s="298"/>
      <c r="AV1062" s="298"/>
      <c r="AW1062" s="298"/>
      <c r="AX1062" s="298"/>
      <c r="AY1062" s="298"/>
      <c r="AZ1062" s="298"/>
      <c r="BA1062" s="298"/>
      <c r="BB1062" s="298"/>
      <c r="BC1062" s="298"/>
      <c r="BD1062" s="298"/>
      <c r="BE1062" s="298"/>
      <c r="BF1062" s="298"/>
      <c r="BG1062" s="298"/>
      <c r="BH1062" s="298"/>
      <c r="BI1062" s="298"/>
      <c r="BJ1062" s="298"/>
      <c r="BK1062" s="298"/>
      <c r="BL1062" s="298"/>
      <c r="BM1062" s="298"/>
      <c r="BN1062" s="298"/>
      <c r="BO1062" s="298"/>
      <c r="BP1062" s="298"/>
    </row>
    <row r="1063" spans="1:68" s="298" customFormat="1" ht="25.5">
      <c r="A1063" s="256" t="s">
        <v>14338</v>
      </c>
      <c r="B1063" s="374" t="s">
        <v>15402</v>
      </c>
      <c r="C1063" s="289" t="s">
        <v>17708</v>
      </c>
      <c r="D1063" s="290" t="s">
        <v>103</v>
      </c>
      <c r="E1063" s="290" t="s">
        <v>193</v>
      </c>
      <c r="F1063" s="291">
        <v>2.8800000000000003</v>
      </c>
      <c r="G1063" s="292">
        <v>633.82000000000005</v>
      </c>
      <c r="H1063" s="255">
        <v>1825.4</v>
      </c>
      <c r="J1063" s="634"/>
      <c r="S1063" s="536"/>
      <c r="T1063" s="638"/>
    </row>
    <row r="1064" spans="1:68" s="298" customFormat="1" ht="12.75">
      <c r="A1064" s="256"/>
      <c r="B1064" s="288" t="s">
        <v>143</v>
      </c>
      <c r="C1064" s="819" t="s">
        <v>15438</v>
      </c>
      <c r="D1064" s="820"/>
      <c r="E1064" s="820"/>
      <c r="F1064" s="820"/>
      <c r="G1064" s="820"/>
      <c r="H1064" s="821"/>
      <c r="J1064" s="634"/>
      <c r="K1064" s="524"/>
      <c r="L1064" s="524"/>
      <c r="M1064" s="524"/>
      <c r="N1064" s="524"/>
      <c r="O1064" s="524"/>
      <c r="S1064" s="536"/>
      <c r="T1064" s="635"/>
    </row>
    <row r="1065" spans="1:68" s="529" customFormat="1" ht="12.75">
      <c r="A1065" s="286"/>
      <c r="B1065" s="293"/>
      <c r="C1065" s="229"/>
      <c r="D1065" s="230"/>
      <c r="E1065" s="230"/>
      <c r="F1065" s="230"/>
      <c r="G1065" s="230"/>
      <c r="H1065" s="230"/>
      <c r="I1065" s="298"/>
      <c r="J1065" s="521"/>
      <c r="K1065" s="298"/>
      <c r="L1065" s="298"/>
      <c r="M1065" s="298"/>
      <c r="N1065" s="298"/>
      <c r="O1065" s="298"/>
      <c r="P1065" s="298"/>
      <c r="Q1065" s="298"/>
      <c r="R1065" s="298"/>
      <c r="S1065" s="536"/>
      <c r="T1065" s="635"/>
      <c r="U1065" s="298"/>
      <c r="V1065" s="298"/>
      <c r="W1065" s="298"/>
      <c r="X1065" s="298"/>
      <c r="Y1065" s="298"/>
      <c r="Z1065" s="298"/>
      <c r="AA1065" s="298"/>
      <c r="AB1065" s="298"/>
      <c r="AC1065" s="298"/>
      <c r="AD1065" s="298"/>
      <c r="AE1065" s="298"/>
      <c r="AF1065" s="298"/>
      <c r="AG1065" s="298"/>
      <c r="AH1065" s="298"/>
      <c r="AI1065" s="298"/>
      <c r="AJ1065" s="298"/>
      <c r="AK1065" s="298"/>
      <c r="AL1065" s="298"/>
      <c r="AM1065" s="298"/>
      <c r="AN1065" s="298"/>
      <c r="AO1065" s="298"/>
      <c r="AP1065" s="298"/>
      <c r="AQ1065" s="298"/>
      <c r="AR1065" s="298"/>
      <c r="AS1065" s="298"/>
      <c r="AT1065" s="298"/>
      <c r="AU1065" s="298"/>
      <c r="AV1065" s="298"/>
      <c r="AW1065" s="298"/>
      <c r="AX1065" s="298"/>
      <c r="AY1065" s="298"/>
      <c r="AZ1065" s="298"/>
      <c r="BA1065" s="298"/>
      <c r="BB1065" s="298"/>
      <c r="BC1065" s="298"/>
      <c r="BD1065" s="298"/>
      <c r="BE1065" s="298"/>
      <c r="BF1065" s="298"/>
      <c r="BG1065" s="298"/>
      <c r="BH1065" s="298"/>
      <c r="BI1065" s="298"/>
      <c r="BJ1065" s="298"/>
      <c r="BK1065" s="298"/>
      <c r="BL1065" s="298"/>
      <c r="BM1065" s="298"/>
      <c r="BN1065" s="298"/>
      <c r="BO1065" s="298"/>
      <c r="BP1065" s="298"/>
    </row>
    <row r="1066" spans="1:68" s="645" customFormat="1" ht="51">
      <c r="A1066" s="376"/>
      <c r="B1066" s="372" t="s">
        <v>24613</v>
      </c>
      <c r="C1066" s="231" t="s">
        <v>17786</v>
      </c>
      <c r="D1066" s="232" t="s">
        <v>103</v>
      </c>
      <c r="E1066" s="232" t="s">
        <v>3240</v>
      </c>
      <c r="F1066" s="233"/>
      <c r="G1066" s="234"/>
      <c r="H1066" s="235">
        <v>382.61</v>
      </c>
      <c r="I1066" s="298"/>
      <c r="J1066" s="521"/>
      <c r="K1066" s="298"/>
      <c r="L1066" s="298"/>
      <c r="M1066" s="298"/>
      <c r="N1066" s="298"/>
      <c r="O1066" s="298"/>
      <c r="P1066" s="298"/>
      <c r="Q1066" s="298"/>
      <c r="R1066" s="298"/>
      <c r="S1066" s="536"/>
      <c r="T1066" s="635"/>
      <c r="U1066" s="298"/>
      <c r="V1066" s="298"/>
      <c r="W1066" s="298"/>
      <c r="X1066" s="298"/>
      <c r="Y1066" s="298"/>
      <c r="Z1066" s="298"/>
      <c r="AA1066" s="298"/>
      <c r="AB1066" s="298"/>
      <c r="AC1066" s="298"/>
      <c r="AD1066" s="298"/>
      <c r="AE1066" s="298"/>
      <c r="AF1066" s="298"/>
      <c r="AG1066" s="298"/>
      <c r="AH1066" s="298"/>
      <c r="AI1066" s="298"/>
      <c r="AJ1066" s="298"/>
      <c r="AK1066" s="298"/>
      <c r="AL1066" s="298"/>
      <c r="AM1066" s="298"/>
      <c r="AN1066" s="298"/>
      <c r="AO1066" s="298"/>
      <c r="AP1066" s="298"/>
      <c r="AQ1066" s="298"/>
      <c r="AR1066" s="298"/>
      <c r="AS1066" s="298"/>
      <c r="AT1066" s="298"/>
      <c r="AU1066" s="298"/>
      <c r="AV1066" s="298"/>
      <c r="AW1066" s="298"/>
      <c r="AX1066" s="298"/>
      <c r="AY1066" s="298"/>
      <c r="AZ1066" s="298"/>
      <c r="BA1066" s="298"/>
      <c r="BB1066" s="298"/>
      <c r="BC1066" s="298"/>
      <c r="BD1066" s="298"/>
      <c r="BE1066" s="298"/>
      <c r="BF1066" s="298"/>
      <c r="BG1066" s="298"/>
      <c r="BH1066" s="298"/>
      <c r="BI1066" s="298"/>
      <c r="BJ1066" s="298"/>
      <c r="BK1066" s="298"/>
      <c r="BL1066" s="298"/>
      <c r="BM1066" s="298"/>
      <c r="BN1066" s="298"/>
      <c r="BO1066" s="298"/>
      <c r="BP1066" s="298"/>
    </row>
    <row r="1067" spans="1:68" s="298" customFormat="1" ht="51">
      <c r="A1067" s="256" t="s">
        <v>3259</v>
      </c>
      <c r="B1067" s="374">
        <v>94807</v>
      </c>
      <c r="C1067" s="289" t="s">
        <v>9160</v>
      </c>
      <c r="D1067" s="290" t="s">
        <v>229</v>
      </c>
      <c r="E1067" s="290" t="s">
        <v>109</v>
      </c>
      <c r="F1067" s="254">
        <v>0.58499999999999996</v>
      </c>
      <c r="G1067" s="292" t="s">
        <v>22117</v>
      </c>
      <c r="H1067" s="255">
        <v>312.68</v>
      </c>
      <c r="J1067" s="521"/>
      <c r="S1067" s="536"/>
      <c r="T1067" s="638"/>
    </row>
    <row r="1068" spans="1:68" s="298" customFormat="1" ht="63.75">
      <c r="A1068" s="256" t="s">
        <v>3259</v>
      </c>
      <c r="B1068" s="374">
        <v>100721</v>
      </c>
      <c r="C1068" s="289" t="s">
        <v>23989</v>
      </c>
      <c r="D1068" s="290" t="s">
        <v>229</v>
      </c>
      <c r="E1068" s="290" t="s">
        <v>193</v>
      </c>
      <c r="F1068" s="254">
        <v>1.7549999999999999</v>
      </c>
      <c r="G1068" s="292" t="s">
        <v>12354</v>
      </c>
      <c r="H1068" s="255">
        <v>35.380000000000003</v>
      </c>
      <c r="J1068" s="521"/>
      <c r="K1068" s="762"/>
      <c r="L1068" s="646"/>
      <c r="M1068" s="646"/>
      <c r="S1068" s="536"/>
      <c r="T1068" s="638"/>
    </row>
    <row r="1069" spans="1:68" s="298" customFormat="1" ht="76.5">
      <c r="A1069" s="256" t="s">
        <v>3259</v>
      </c>
      <c r="B1069" s="374">
        <v>100745</v>
      </c>
      <c r="C1069" s="289" t="s">
        <v>23999</v>
      </c>
      <c r="D1069" s="290" t="s">
        <v>229</v>
      </c>
      <c r="E1069" s="290" t="s">
        <v>193</v>
      </c>
      <c r="F1069" s="254">
        <v>1.7549999999999999</v>
      </c>
      <c r="G1069" s="292" t="s">
        <v>10491</v>
      </c>
      <c r="H1069" s="255">
        <v>34.549999999999997</v>
      </c>
      <c r="J1069" s="521"/>
      <c r="K1069" s="524"/>
      <c r="S1069" s="536"/>
      <c r="T1069" s="638"/>
    </row>
    <row r="1070" spans="1:68" s="298" customFormat="1" ht="12.75">
      <c r="A1070" s="256"/>
      <c r="B1070" s="288" t="s">
        <v>143</v>
      </c>
      <c r="C1070" s="737" t="s">
        <v>15438</v>
      </c>
      <c r="D1070" s="386"/>
      <c r="E1070" s="386"/>
      <c r="F1070" s="386"/>
      <c r="G1070" s="386"/>
      <c r="H1070" s="387"/>
      <c r="J1070" s="521"/>
      <c r="S1070" s="536"/>
      <c r="T1070" s="635"/>
    </row>
    <row r="1071" spans="1:68" s="529" customFormat="1" ht="12.75">
      <c r="A1071" s="286"/>
      <c r="B1071" s="293"/>
      <c r="C1071" s="229"/>
      <c r="D1071" s="230"/>
      <c r="E1071" s="230"/>
      <c r="F1071" s="230"/>
      <c r="G1071" s="230"/>
      <c r="H1071" s="230"/>
      <c r="I1071" s="298"/>
      <c r="J1071" s="521"/>
      <c r="K1071" s="524"/>
      <c r="L1071" s="298"/>
      <c r="M1071" s="298"/>
      <c r="N1071" s="298"/>
      <c r="O1071" s="298"/>
      <c r="P1071" s="298"/>
      <c r="Q1071" s="298"/>
      <c r="R1071" s="298"/>
      <c r="S1071" s="536"/>
      <c r="T1071" s="635"/>
      <c r="U1071" s="298"/>
      <c r="V1071" s="298"/>
      <c r="W1071" s="298"/>
      <c r="X1071" s="298"/>
      <c r="Y1071" s="298"/>
      <c r="Z1071" s="298"/>
      <c r="AA1071" s="298"/>
      <c r="AB1071" s="298"/>
      <c r="AC1071" s="298"/>
      <c r="AD1071" s="298"/>
      <c r="AE1071" s="298"/>
      <c r="AF1071" s="298"/>
      <c r="AG1071" s="298"/>
      <c r="AH1071" s="298"/>
      <c r="AI1071" s="298"/>
      <c r="AJ1071" s="298"/>
      <c r="AK1071" s="298"/>
      <c r="AL1071" s="298"/>
      <c r="AM1071" s="298"/>
      <c r="AN1071" s="298"/>
      <c r="AO1071" s="298"/>
      <c r="AP1071" s="298"/>
      <c r="AQ1071" s="298"/>
      <c r="AR1071" s="298"/>
      <c r="AS1071" s="298"/>
      <c r="AT1071" s="298"/>
      <c r="AU1071" s="298"/>
      <c r="AV1071" s="298"/>
      <c r="AW1071" s="298"/>
      <c r="AX1071" s="298"/>
      <c r="AY1071" s="298"/>
      <c r="AZ1071" s="298"/>
      <c r="BA1071" s="298"/>
      <c r="BB1071" s="298"/>
      <c r="BC1071" s="298"/>
      <c r="BD1071" s="298"/>
      <c r="BE1071" s="298"/>
      <c r="BF1071" s="298"/>
      <c r="BG1071" s="298"/>
      <c r="BH1071" s="298"/>
      <c r="BI1071" s="298"/>
      <c r="BJ1071" s="298"/>
      <c r="BK1071" s="298"/>
      <c r="BL1071" s="298"/>
      <c r="BM1071" s="298"/>
      <c r="BN1071" s="298"/>
      <c r="BO1071" s="298"/>
      <c r="BP1071" s="298"/>
    </row>
    <row r="1072" spans="1:68" s="645" customFormat="1" ht="51">
      <c r="A1072" s="376"/>
      <c r="B1072" s="372" t="s">
        <v>24614</v>
      </c>
      <c r="C1072" s="231" t="s">
        <v>24625</v>
      </c>
      <c r="D1072" s="232" t="s">
        <v>103</v>
      </c>
      <c r="E1072" s="232" t="s">
        <v>3240</v>
      </c>
      <c r="F1072" s="233"/>
      <c r="G1072" s="234"/>
      <c r="H1072" s="235">
        <v>2430.4499999999998</v>
      </c>
      <c r="I1072" s="298"/>
      <c r="J1072" s="521"/>
      <c r="K1072" s="524"/>
      <c r="L1072" s="298"/>
      <c r="M1072" s="298"/>
      <c r="N1072" s="298"/>
      <c r="O1072" s="298"/>
      <c r="P1072" s="298"/>
      <c r="Q1072" s="298"/>
      <c r="R1072" s="298"/>
      <c r="S1072" s="536"/>
      <c r="T1072" s="635"/>
      <c r="U1072" s="298"/>
      <c r="V1072" s="298"/>
      <c r="W1072" s="298"/>
      <c r="X1072" s="298"/>
      <c r="Y1072" s="298"/>
      <c r="Z1072" s="298"/>
      <c r="AA1072" s="298"/>
      <c r="AB1072" s="298"/>
      <c r="AC1072" s="298"/>
      <c r="AD1072" s="298"/>
      <c r="AE1072" s="298"/>
      <c r="AF1072" s="298"/>
      <c r="AG1072" s="298"/>
      <c r="AH1072" s="298"/>
      <c r="AI1072" s="298"/>
      <c r="AJ1072" s="298"/>
      <c r="AK1072" s="298"/>
      <c r="AL1072" s="298"/>
      <c r="AM1072" s="298"/>
      <c r="AN1072" s="298"/>
      <c r="AO1072" s="298"/>
      <c r="AP1072" s="298"/>
      <c r="AQ1072" s="298"/>
      <c r="AR1072" s="298"/>
      <c r="AS1072" s="298"/>
      <c r="AT1072" s="298"/>
      <c r="AU1072" s="298"/>
      <c r="AV1072" s="298"/>
      <c r="AW1072" s="298"/>
      <c r="AX1072" s="298"/>
      <c r="AY1072" s="298"/>
      <c r="AZ1072" s="298"/>
      <c r="BA1072" s="298"/>
      <c r="BB1072" s="298"/>
      <c r="BC1072" s="298"/>
      <c r="BD1072" s="298"/>
      <c r="BE1072" s="298"/>
      <c r="BF1072" s="298"/>
      <c r="BG1072" s="298"/>
      <c r="BH1072" s="298"/>
      <c r="BI1072" s="298"/>
      <c r="BJ1072" s="298"/>
      <c r="BK1072" s="298"/>
      <c r="BL1072" s="298"/>
      <c r="BM1072" s="298"/>
      <c r="BN1072" s="298"/>
      <c r="BO1072" s="298"/>
      <c r="BP1072" s="298"/>
    </row>
    <row r="1073" spans="1:68" s="298" customFormat="1" ht="76.5">
      <c r="A1073" s="256" t="s">
        <v>3259</v>
      </c>
      <c r="B1073" s="374">
        <v>94559</v>
      </c>
      <c r="C1073" s="289" t="s">
        <v>9151</v>
      </c>
      <c r="D1073" s="290" t="s">
        <v>229</v>
      </c>
      <c r="E1073" s="290" t="s">
        <v>193</v>
      </c>
      <c r="F1073" s="254">
        <v>2.625</v>
      </c>
      <c r="G1073" s="292" t="s">
        <v>22101</v>
      </c>
      <c r="H1073" s="255">
        <v>1732.73</v>
      </c>
      <c r="J1073" s="521"/>
      <c r="K1073" s="524"/>
      <c r="S1073" s="536"/>
      <c r="T1073" s="638"/>
    </row>
    <row r="1074" spans="1:68" s="298" customFormat="1" ht="38.25">
      <c r="A1074" s="256" t="s">
        <v>3259</v>
      </c>
      <c r="B1074" s="374">
        <v>102162</v>
      </c>
      <c r="C1074" s="289" t="s">
        <v>12777</v>
      </c>
      <c r="D1074" s="290" t="s">
        <v>229</v>
      </c>
      <c r="E1074" s="290" t="s">
        <v>193</v>
      </c>
      <c r="F1074" s="254">
        <v>2.625</v>
      </c>
      <c r="G1074" s="292" t="s">
        <v>22134</v>
      </c>
      <c r="H1074" s="255">
        <v>594.35</v>
      </c>
      <c r="J1074" s="760"/>
      <c r="K1074" s="524"/>
      <c r="S1074" s="536"/>
      <c r="T1074" s="638"/>
    </row>
    <row r="1075" spans="1:68" s="298" customFormat="1" ht="76.5">
      <c r="A1075" s="256" t="s">
        <v>3259</v>
      </c>
      <c r="B1075" s="374">
        <v>100745</v>
      </c>
      <c r="C1075" s="289" t="s">
        <v>23999</v>
      </c>
      <c r="D1075" s="290" t="s">
        <v>229</v>
      </c>
      <c r="E1075" s="290" t="s">
        <v>193</v>
      </c>
      <c r="F1075" s="254">
        <v>5.25</v>
      </c>
      <c r="G1075" s="292" t="s">
        <v>10491</v>
      </c>
      <c r="H1075" s="255">
        <v>103.37</v>
      </c>
      <c r="J1075" s="521"/>
      <c r="K1075" s="524"/>
      <c r="S1075" s="536"/>
      <c r="T1075" s="638"/>
    </row>
    <row r="1076" spans="1:68" s="298" customFormat="1" ht="12.75">
      <c r="A1076" s="256"/>
      <c r="B1076" s="288" t="s">
        <v>143</v>
      </c>
      <c r="C1076" s="737" t="s">
        <v>15438</v>
      </c>
      <c r="D1076" s="386"/>
      <c r="E1076" s="386"/>
      <c r="F1076" s="386"/>
      <c r="G1076" s="386"/>
      <c r="H1076" s="387"/>
      <c r="J1076" s="521"/>
      <c r="K1076" s="524"/>
      <c r="S1076" s="536"/>
      <c r="T1076" s="635"/>
    </row>
    <row r="1077" spans="1:68" s="529" customFormat="1" ht="12.75">
      <c r="A1077" s="286"/>
      <c r="B1077" s="293"/>
      <c r="C1077" s="229"/>
      <c r="D1077" s="230"/>
      <c r="E1077" s="230"/>
      <c r="F1077" s="230"/>
      <c r="G1077" s="230"/>
      <c r="H1077" s="230"/>
      <c r="I1077" s="298"/>
      <c r="J1077" s="521"/>
      <c r="K1077" s="524"/>
      <c r="L1077" s="298"/>
      <c r="M1077" s="298"/>
      <c r="N1077" s="298"/>
      <c r="O1077" s="298"/>
      <c r="P1077" s="298"/>
      <c r="Q1077" s="298"/>
      <c r="R1077" s="298"/>
      <c r="S1077" s="536"/>
      <c r="T1077" s="635"/>
      <c r="U1077" s="298"/>
      <c r="V1077" s="298"/>
      <c r="W1077" s="298"/>
      <c r="X1077" s="298"/>
      <c r="Y1077" s="298"/>
      <c r="Z1077" s="298"/>
      <c r="AA1077" s="298"/>
      <c r="AB1077" s="298"/>
      <c r="AC1077" s="298"/>
      <c r="AD1077" s="298"/>
      <c r="AE1077" s="298"/>
      <c r="AF1077" s="298"/>
      <c r="AG1077" s="298"/>
      <c r="AH1077" s="298"/>
      <c r="AI1077" s="298"/>
      <c r="AJ1077" s="298"/>
      <c r="AK1077" s="298"/>
      <c r="AL1077" s="298"/>
      <c r="AM1077" s="298"/>
      <c r="AN1077" s="298"/>
      <c r="AO1077" s="298"/>
      <c r="AP1077" s="298"/>
      <c r="AQ1077" s="298"/>
      <c r="AR1077" s="298"/>
      <c r="AS1077" s="298"/>
      <c r="AT1077" s="298"/>
      <c r="AU1077" s="298"/>
      <c r="AV1077" s="298"/>
      <c r="AW1077" s="298"/>
      <c r="AX1077" s="298"/>
      <c r="AY1077" s="298"/>
      <c r="AZ1077" s="298"/>
      <c r="BA1077" s="298"/>
      <c r="BB1077" s="298"/>
      <c r="BC1077" s="298"/>
      <c r="BD1077" s="298"/>
      <c r="BE1077" s="298"/>
      <c r="BF1077" s="298"/>
      <c r="BG1077" s="298"/>
      <c r="BH1077" s="298"/>
      <c r="BI1077" s="298"/>
      <c r="BJ1077" s="298"/>
      <c r="BK1077" s="298"/>
      <c r="BL1077" s="298"/>
      <c r="BM1077" s="298"/>
      <c r="BN1077" s="298"/>
      <c r="BO1077" s="298"/>
      <c r="BP1077" s="298"/>
    </row>
    <row r="1078" spans="1:68" s="645" customFormat="1" ht="51">
      <c r="A1078" s="376"/>
      <c r="B1078" s="372" t="s">
        <v>24627</v>
      </c>
      <c r="C1078" s="231" t="s">
        <v>24626</v>
      </c>
      <c r="D1078" s="232" t="s">
        <v>103</v>
      </c>
      <c r="E1078" s="232" t="s">
        <v>3240</v>
      </c>
      <c r="F1078" s="233"/>
      <c r="G1078" s="234"/>
      <c r="H1078" s="235">
        <v>2560.0700000000002</v>
      </c>
      <c r="I1078" s="298"/>
      <c r="J1078" s="521"/>
      <c r="K1078" s="524"/>
      <c r="L1078" s="298"/>
      <c r="M1078" s="298"/>
      <c r="N1078" s="298"/>
      <c r="O1078" s="298"/>
      <c r="P1078" s="298"/>
      <c r="Q1078" s="298"/>
      <c r="R1078" s="298"/>
      <c r="S1078" s="536"/>
      <c r="T1078" s="635"/>
      <c r="U1078" s="298"/>
      <c r="V1078" s="298"/>
      <c r="W1078" s="298"/>
      <c r="X1078" s="298"/>
      <c r="Y1078" s="298"/>
      <c r="Z1078" s="298"/>
      <c r="AA1078" s="298"/>
      <c r="AB1078" s="298"/>
      <c r="AC1078" s="298"/>
      <c r="AD1078" s="298"/>
      <c r="AE1078" s="298"/>
      <c r="AF1078" s="298"/>
      <c r="AG1078" s="298"/>
      <c r="AH1078" s="298"/>
      <c r="AI1078" s="298"/>
      <c r="AJ1078" s="298"/>
      <c r="AK1078" s="298"/>
      <c r="AL1078" s="298"/>
      <c r="AM1078" s="298"/>
      <c r="AN1078" s="298"/>
      <c r="AO1078" s="298"/>
      <c r="AP1078" s="298"/>
      <c r="AQ1078" s="298"/>
      <c r="AR1078" s="298"/>
      <c r="AS1078" s="298"/>
      <c r="AT1078" s="298"/>
      <c r="AU1078" s="298"/>
      <c r="AV1078" s="298"/>
      <c r="AW1078" s="298"/>
      <c r="AX1078" s="298"/>
      <c r="AY1078" s="298"/>
      <c r="AZ1078" s="298"/>
      <c r="BA1078" s="298"/>
      <c r="BB1078" s="298"/>
      <c r="BC1078" s="298"/>
      <c r="BD1078" s="298"/>
      <c r="BE1078" s="298"/>
      <c r="BF1078" s="298"/>
      <c r="BG1078" s="298"/>
      <c r="BH1078" s="298"/>
      <c r="BI1078" s="298"/>
      <c r="BJ1078" s="298"/>
      <c r="BK1078" s="298"/>
      <c r="BL1078" s="298"/>
      <c r="BM1078" s="298"/>
      <c r="BN1078" s="298"/>
      <c r="BO1078" s="298"/>
      <c r="BP1078" s="298"/>
    </row>
    <row r="1079" spans="1:68" s="298" customFormat="1" ht="76.5">
      <c r="A1079" s="256" t="s">
        <v>3259</v>
      </c>
      <c r="B1079" s="374">
        <v>94559</v>
      </c>
      <c r="C1079" s="289" t="s">
        <v>9151</v>
      </c>
      <c r="D1079" s="290" t="s">
        <v>229</v>
      </c>
      <c r="E1079" s="290" t="s">
        <v>193</v>
      </c>
      <c r="F1079" s="254">
        <v>2.7650000000000001</v>
      </c>
      <c r="G1079" s="292" t="s">
        <v>22101</v>
      </c>
      <c r="H1079" s="255">
        <v>1825.14</v>
      </c>
      <c r="J1079" s="521"/>
      <c r="K1079" s="524"/>
      <c r="S1079" s="536"/>
      <c r="T1079" s="638"/>
    </row>
    <row r="1080" spans="1:68" s="298" customFormat="1" ht="38.25">
      <c r="A1080" s="256" t="s">
        <v>3259</v>
      </c>
      <c r="B1080" s="374">
        <v>102162</v>
      </c>
      <c r="C1080" s="289" t="s">
        <v>12777</v>
      </c>
      <c r="D1080" s="290" t="s">
        <v>229</v>
      </c>
      <c r="E1080" s="290" t="s">
        <v>193</v>
      </c>
      <c r="F1080" s="254">
        <v>2.7650000000000001</v>
      </c>
      <c r="G1080" s="292" t="s">
        <v>22134</v>
      </c>
      <c r="H1080" s="255">
        <v>626.04999999999995</v>
      </c>
      <c r="J1080" s="760"/>
      <c r="K1080" s="524"/>
      <c r="S1080" s="536"/>
      <c r="T1080" s="638"/>
    </row>
    <row r="1081" spans="1:68" s="298" customFormat="1" ht="76.5">
      <c r="A1081" s="256" t="s">
        <v>3259</v>
      </c>
      <c r="B1081" s="374">
        <v>100745</v>
      </c>
      <c r="C1081" s="289" t="s">
        <v>23999</v>
      </c>
      <c r="D1081" s="290" t="s">
        <v>229</v>
      </c>
      <c r="E1081" s="290" t="s">
        <v>193</v>
      </c>
      <c r="F1081" s="254">
        <v>5.53</v>
      </c>
      <c r="G1081" s="292" t="s">
        <v>10491</v>
      </c>
      <c r="H1081" s="255">
        <v>108.88</v>
      </c>
      <c r="J1081" s="521"/>
      <c r="K1081" s="524"/>
      <c r="S1081" s="536"/>
      <c r="T1081" s="638"/>
    </row>
    <row r="1082" spans="1:68" s="298" customFormat="1" ht="12.75">
      <c r="A1082" s="256"/>
      <c r="B1082" s="288" t="s">
        <v>143</v>
      </c>
      <c r="C1082" s="737" t="s">
        <v>15438</v>
      </c>
      <c r="D1082" s="386"/>
      <c r="E1082" s="386"/>
      <c r="F1082" s="386"/>
      <c r="G1082" s="386"/>
      <c r="H1082" s="387"/>
      <c r="J1082" s="521"/>
      <c r="K1082" s="524"/>
      <c r="S1082" s="536"/>
      <c r="T1082" s="635"/>
    </row>
    <row r="1083" spans="1:68" s="529" customFormat="1" ht="12.75">
      <c r="A1083" s="286"/>
      <c r="B1083" s="293"/>
      <c r="C1083" s="229"/>
      <c r="D1083" s="230"/>
      <c r="E1083" s="230"/>
      <c r="F1083" s="230"/>
      <c r="G1083" s="230"/>
      <c r="H1083" s="230"/>
      <c r="I1083" s="298"/>
      <c r="J1083" s="521"/>
      <c r="K1083" s="524"/>
      <c r="L1083" s="298"/>
      <c r="M1083" s="298"/>
      <c r="N1083" s="298"/>
      <c r="O1083" s="298"/>
      <c r="P1083" s="298"/>
      <c r="Q1083" s="298"/>
      <c r="R1083" s="298"/>
      <c r="S1083" s="536"/>
      <c r="T1083" s="635"/>
      <c r="U1083" s="298"/>
      <c r="V1083" s="298"/>
      <c r="W1083" s="298"/>
      <c r="X1083" s="298"/>
      <c r="Y1083" s="298"/>
      <c r="Z1083" s="298"/>
      <c r="AA1083" s="298"/>
      <c r="AB1083" s="298"/>
      <c r="AC1083" s="298"/>
      <c r="AD1083" s="298"/>
      <c r="AE1083" s="298"/>
      <c r="AF1083" s="298"/>
      <c r="AG1083" s="298"/>
      <c r="AH1083" s="298"/>
      <c r="AI1083" s="298"/>
      <c r="AJ1083" s="298"/>
      <c r="AK1083" s="298"/>
      <c r="AL1083" s="298"/>
      <c r="AM1083" s="298"/>
      <c r="AN1083" s="298"/>
      <c r="AO1083" s="298"/>
      <c r="AP1083" s="298"/>
      <c r="AQ1083" s="298"/>
      <c r="AR1083" s="298"/>
      <c r="AS1083" s="298"/>
      <c r="AT1083" s="298"/>
      <c r="AU1083" s="298"/>
      <c r="AV1083" s="298"/>
      <c r="AW1083" s="298"/>
      <c r="AX1083" s="298"/>
      <c r="AY1083" s="298"/>
      <c r="AZ1083" s="298"/>
      <c r="BA1083" s="298"/>
      <c r="BB1083" s="298"/>
      <c r="BC1083" s="298"/>
      <c r="BD1083" s="298"/>
      <c r="BE1083" s="298"/>
      <c r="BF1083" s="298"/>
      <c r="BG1083" s="298"/>
      <c r="BH1083" s="298"/>
      <c r="BI1083" s="298"/>
      <c r="BJ1083" s="298"/>
      <c r="BK1083" s="298"/>
      <c r="BL1083" s="298"/>
      <c r="BM1083" s="298"/>
      <c r="BN1083" s="298"/>
      <c r="BO1083" s="298"/>
      <c r="BP1083" s="298"/>
    </row>
    <row r="1084" spans="1:68" s="645" customFormat="1" ht="51">
      <c r="A1084" s="376"/>
      <c r="B1084" s="372" t="s">
        <v>24628</v>
      </c>
      <c r="C1084" s="231" t="s">
        <v>24630</v>
      </c>
      <c r="D1084" s="232" t="s">
        <v>103</v>
      </c>
      <c r="E1084" s="232" t="s">
        <v>3240</v>
      </c>
      <c r="F1084" s="233"/>
      <c r="G1084" s="234"/>
      <c r="H1084" s="235">
        <v>4632.8999999999996</v>
      </c>
      <c r="I1084" s="298"/>
      <c r="J1084" s="521"/>
      <c r="K1084" s="524"/>
      <c r="L1084" s="298"/>
      <c r="M1084" s="298"/>
      <c r="N1084" s="298"/>
      <c r="O1084" s="298"/>
      <c r="P1084" s="298"/>
      <c r="Q1084" s="298"/>
      <c r="R1084" s="298"/>
      <c r="S1084" s="536"/>
      <c r="T1084" s="635"/>
      <c r="U1084" s="298"/>
      <c r="V1084" s="298"/>
      <c r="W1084" s="298"/>
      <c r="X1084" s="298"/>
      <c r="Y1084" s="298"/>
      <c r="Z1084" s="298"/>
      <c r="AA1084" s="298"/>
      <c r="AB1084" s="298"/>
      <c r="AC1084" s="298"/>
      <c r="AD1084" s="298"/>
      <c r="AE1084" s="298"/>
      <c r="AF1084" s="298"/>
      <c r="AG1084" s="298"/>
      <c r="AH1084" s="298"/>
      <c r="AI1084" s="298"/>
      <c r="AJ1084" s="298"/>
      <c r="AK1084" s="298"/>
      <c r="AL1084" s="298"/>
      <c r="AM1084" s="298"/>
      <c r="AN1084" s="298"/>
      <c r="AO1084" s="298"/>
      <c r="AP1084" s="298"/>
      <c r="AQ1084" s="298"/>
      <c r="AR1084" s="298"/>
      <c r="AS1084" s="298"/>
      <c r="AT1084" s="298"/>
      <c r="AU1084" s="298"/>
      <c r="AV1084" s="298"/>
      <c r="AW1084" s="298"/>
      <c r="AX1084" s="298"/>
      <c r="AY1084" s="298"/>
      <c r="AZ1084" s="298"/>
      <c r="BA1084" s="298"/>
      <c r="BB1084" s="298"/>
      <c r="BC1084" s="298"/>
      <c r="BD1084" s="298"/>
      <c r="BE1084" s="298"/>
      <c r="BF1084" s="298"/>
      <c r="BG1084" s="298"/>
      <c r="BH1084" s="298"/>
      <c r="BI1084" s="298"/>
      <c r="BJ1084" s="298"/>
      <c r="BK1084" s="298"/>
      <c r="BL1084" s="298"/>
      <c r="BM1084" s="298"/>
      <c r="BN1084" s="298"/>
      <c r="BO1084" s="298"/>
      <c r="BP1084" s="298"/>
    </row>
    <row r="1085" spans="1:68" s="298" customFormat="1" ht="63.75">
      <c r="A1085" s="256" t="s">
        <v>3259</v>
      </c>
      <c r="B1085" s="374">
        <v>94562</v>
      </c>
      <c r="C1085" s="289" t="s">
        <v>9152</v>
      </c>
      <c r="D1085" s="290" t="s">
        <v>229</v>
      </c>
      <c r="E1085" s="290" t="s">
        <v>193</v>
      </c>
      <c r="F1085" s="254">
        <v>5.2359999999999998</v>
      </c>
      <c r="G1085" s="292" t="s">
        <v>22102</v>
      </c>
      <c r="H1085" s="255">
        <v>3272.23</v>
      </c>
      <c r="J1085" s="521"/>
      <c r="K1085" s="524"/>
      <c r="S1085" s="536"/>
      <c r="T1085" s="638"/>
    </row>
    <row r="1086" spans="1:68" s="298" customFormat="1" ht="38.25">
      <c r="A1086" s="256" t="s">
        <v>3259</v>
      </c>
      <c r="B1086" s="374">
        <v>102166</v>
      </c>
      <c r="C1086" s="289" t="s">
        <v>12781</v>
      </c>
      <c r="D1086" s="290" t="s">
        <v>229</v>
      </c>
      <c r="E1086" s="290" t="s">
        <v>193</v>
      </c>
      <c r="F1086" s="254">
        <v>5.2359999999999998</v>
      </c>
      <c r="G1086" s="292" t="s">
        <v>21000</v>
      </c>
      <c r="H1086" s="255">
        <v>1154.48</v>
      </c>
      <c r="J1086" s="760"/>
      <c r="K1086" s="524"/>
      <c r="S1086" s="536"/>
      <c r="T1086" s="638"/>
    </row>
    <row r="1087" spans="1:68" s="298" customFormat="1" ht="76.5">
      <c r="A1087" s="256" t="s">
        <v>3259</v>
      </c>
      <c r="B1087" s="374">
        <v>100745</v>
      </c>
      <c r="C1087" s="289" t="s">
        <v>23999</v>
      </c>
      <c r="D1087" s="290" t="s">
        <v>229</v>
      </c>
      <c r="E1087" s="290" t="s">
        <v>193</v>
      </c>
      <c r="F1087" s="254">
        <v>10.472</v>
      </c>
      <c r="G1087" s="292" t="s">
        <v>10491</v>
      </c>
      <c r="H1087" s="255">
        <v>206.19</v>
      </c>
      <c r="J1087" s="521"/>
      <c r="K1087" s="524"/>
      <c r="S1087" s="536"/>
      <c r="T1087" s="638"/>
    </row>
    <row r="1088" spans="1:68" s="298" customFormat="1" ht="12.75">
      <c r="A1088" s="256"/>
      <c r="B1088" s="288" t="s">
        <v>143</v>
      </c>
      <c r="C1088" s="737" t="s">
        <v>15438</v>
      </c>
      <c r="D1088" s="386"/>
      <c r="E1088" s="386"/>
      <c r="F1088" s="386"/>
      <c r="G1088" s="386"/>
      <c r="H1088" s="387"/>
      <c r="J1088" s="521"/>
      <c r="K1088" s="524"/>
      <c r="S1088" s="536"/>
      <c r="T1088" s="635"/>
    </row>
    <row r="1089" spans="1:68" s="529" customFormat="1" ht="12.75">
      <c r="A1089" s="286"/>
      <c r="B1089" s="293"/>
      <c r="C1089" s="229"/>
      <c r="D1089" s="230"/>
      <c r="E1089" s="230"/>
      <c r="F1089" s="230"/>
      <c r="G1089" s="230"/>
      <c r="H1089" s="230"/>
      <c r="I1089" s="298"/>
      <c r="J1089" s="521"/>
      <c r="K1089" s="524"/>
      <c r="L1089" s="298"/>
      <c r="M1089" s="298"/>
      <c r="N1089" s="298"/>
      <c r="O1089" s="298"/>
      <c r="P1089" s="298"/>
      <c r="Q1089" s="298"/>
      <c r="R1089" s="298"/>
      <c r="S1089" s="536"/>
      <c r="T1089" s="635"/>
      <c r="U1089" s="298"/>
      <c r="V1089" s="298"/>
      <c r="W1089" s="298"/>
      <c r="X1089" s="298"/>
      <c r="Y1089" s="298"/>
      <c r="Z1089" s="298"/>
      <c r="AA1089" s="298"/>
      <c r="AB1089" s="298"/>
      <c r="AC1089" s="298"/>
      <c r="AD1089" s="298"/>
      <c r="AE1089" s="298"/>
      <c r="AF1089" s="298"/>
      <c r="AG1089" s="298"/>
      <c r="AH1089" s="298"/>
      <c r="AI1089" s="298"/>
      <c r="AJ1089" s="298"/>
      <c r="AK1089" s="298"/>
      <c r="AL1089" s="298"/>
      <c r="AM1089" s="298"/>
      <c r="AN1089" s="298"/>
      <c r="AO1089" s="298"/>
      <c r="AP1089" s="298"/>
      <c r="AQ1089" s="298"/>
      <c r="AR1089" s="298"/>
      <c r="AS1089" s="298"/>
      <c r="AT1089" s="298"/>
      <c r="AU1089" s="298"/>
      <c r="AV1089" s="298"/>
      <c r="AW1089" s="298"/>
      <c r="AX1089" s="298"/>
      <c r="AY1089" s="298"/>
      <c r="AZ1089" s="298"/>
      <c r="BA1089" s="298"/>
      <c r="BB1089" s="298"/>
      <c r="BC1089" s="298"/>
      <c r="BD1089" s="298"/>
      <c r="BE1089" s="298"/>
      <c r="BF1089" s="298"/>
      <c r="BG1089" s="298"/>
      <c r="BH1089" s="298"/>
      <c r="BI1089" s="298"/>
      <c r="BJ1089" s="298"/>
      <c r="BK1089" s="298"/>
      <c r="BL1089" s="298"/>
      <c r="BM1089" s="298"/>
      <c r="BN1089" s="298"/>
      <c r="BO1089" s="298"/>
      <c r="BP1089" s="298"/>
    </row>
    <row r="1090" spans="1:68" s="645" customFormat="1" ht="51">
      <c r="A1090" s="376"/>
      <c r="B1090" s="372" t="s">
        <v>24632</v>
      </c>
      <c r="C1090" s="231" t="s">
        <v>24631</v>
      </c>
      <c r="D1090" s="232" t="s">
        <v>103</v>
      </c>
      <c r="E1090" s="232" t="s">
        <v>3240</v>
      </c>
      <c r="F1090" s="233"/>
      <c r="G1090" s="234"/>
      <c r="H1090" s="235">
        <v>4652.37</v>
      </c>
      <c r="I1090" s="298"/>
      <c r="J1090" s="521"/>
      <c r="K1090" s="524"/>
      <c r="L1090" s="298"/>
      <c r="M1090" s="298"/>
      <c r="N1090" s="298"/>
      <c r="O1090" s="298"/>
      <c r="P1090" s="298"/>
      <c r="Q1090" s="298"/>
      <c r="R1090" s="298"/>
      <c r="S1090" s="536"/>
      <c r="T1090" s="635"/>
      <c r="U1090" s="298"/>
      <c r="V1090" s="298"/>
      <c r="W1090" s="298"/>
      <c r="X1090" s="298"/>
      <c r="Y1090" s="298"/>
      <c r="Z1090" s="298"/>
      <c r="AA1090" s="298"/>
      <c r="AB1090" s="298"/>
      <c r="AC1090" s="298"/>
      <c r="AD1090" s="298"/>
      <c r="AE1090" s="298"/>
      <c r="AF1090" s="298"/>
      <c r="AG1090" s="298"/>
      <c r="AH1090" s="298"/>
      <c r="AI1090" s="298"/>
      <c r="AJ1090" s="298"/>
      <c r="AK1090" s="298"/>
      <c r="AL1090" s="298"/>
      <c r="AM1090" s="298"/>
      <c r="AN1090" s="298"/>
      <c r="AO1090" s="298"/>
      <c r="AP1090" s="298"/>
      <c r="AQ1090" s="298"/>
      <c r="AR1090" s="298"/>
      <c r="AS1090" s="298"/>
      <c r="AT1090" s="298"/>
      <c r="AU1090" s="298"/>
      <c r="AV1090" s="298"/>
      <c r="AW1090" s="298"/>
      <c r="AX1090" s="298"/>
      <c r="AY1090" s="298"/>
      <c r="AZ1090" s="298"/>
      <c r="BA1090" s="298"/>
      <c r="BB1090" s="298"/>
      <c r="BC1090" s="298"/>
      <c r="BD1090" s="298"/>
      <c r="BE1090" s="298"/>
      <c r="BF1090" s="298"/>
      <c r="BG1090" s="298"/>
      <c r="BH1090" s="298"/>
      <c r="BI1090" s="298"/>
      <c r="BJ1090" s="298"/>
      <c r="BK1090" s="298"/>
      <c r="BL1090" s="298"/>
      <c r="BM1090" s="298"/>
      <c r="BN1090" s="298"/>
      <c r="BO1090" s="298"/>
      <c r="BP1090" s="298"/>
    </row>
    <row r="1091" spans="1:68" s="298" customFormat="1" ht="63.75">
      <c r="A1091" s="256" t="s">
        <v>3259</v>
      </c>
      <c r="B1091" s="374">
        <v>94562</v>
      </c>
      <c r="C1091" s="289" t="s">
        <v>9152</v>
      </c>
      <c r="D1091" s="290" t="s">
        <v>229</v>
      </c>
      <c r="E1091" s="290" t="s">
        <v>193</v>
      </c>
      <c r="F1091" s="254">
        <v>5.2580000000000009</v>
      </c>
      <c r="G1091" s="292" t="s">
        <v>22102</v>
      </c>
      <c r="H1091" s="255">
        <v>3285.98</v>
      </c>
      <c r="J1091" s="521"/>
      <c r="K1091" s="524"/>
      <c r="S1091" s="536"/>
      <c r="T1091" s="638"/>
    </row>
    <row r="1092" spans="1:68" s="298" customFormat="1" ht="38.25">
      <c r="A1092" s="256" t="s">
        <v>3259</v>
      </c>
      <c r="B1092" s="374">
        <v>102166</v>
      </c>
      <c r="C1092" s="289" t="s">
        <v>12781</v>
      </c>
      <c r="D1092" s="290" t="s">
        <v>229</v>
      </c>
      <c r="E1092" s="290" t="s">
        <v>193</v>
      </c>
      <c r="F1092" s="254">
        <v>5.2580000000000009</v>
      </c>
      <c r="G1092" s="292" t="s">
        <v>21000</v>
      </c>
      <c r="H1092" s="255">
        <v>1159.33</v>
      </c>
      <c r="J1092" s="760"/>
      <c r="K1092" s="524"/>
      <c r="S1092" s="536"/>
      <c r="T1092" s="638"/>
    </row>
    <row r="1093" spans="1:68" s="298" customFormat="1" ht="76.5">
      <c r="A1093" s="256" t="s">
        <v>3259</v>
      </c>
      <c r="B1093" s="374">
        <v>100745</v>
      </c>
      <c r="C1093" s="289" t="s">
        <v>23999</v>
      </c>
      <c r="D1093" s="290" t="s">
        <v>229</v>
      </c>
      <c r="E1093" s="290" t="s">
        <v>193</v>
      </c>
      <c r="F1093" s="254">
        <v>10.516000000000002</v>
      </c>
      <c r="G1093" s="292" t="s">
        <v>10491</v>
      </c>
      <c r="H1093" s="255">
        <v>207.06</v>
      </c>
      <c r="J1093" s="521"/>
      <c r="K1093" s="524"/>
      <c r="S1093" s="536"/>
      <c r="T1093" s="638"/>
    </row>
    <row r="1094" spans="1:68" s="298" customFormat="1" ht="12.75">
      <c r="A1094" s="256"/>
      <c r="B1094" s="288" t="s">
        <v>143</v>
      </c>
      <c r="C1094" s="737" t="s">
        <v>15438</v>
      </c>
      <c r="D1094" s="386"/>
      <c r="E1094" s="386"/>
      <c r="F1094" s="386"/>
      <c r="G1094" s="386"/>
      <c r="H1094" s="387"/>
      <c r="J1094" s="521"/>
      <c r="K1094" s="524"/>
      <c r="S1094" s="536"/>
      <c r="T1094" s="635"/>
    </row>
    <row r="1095" spans="1:68" s="529" customFormat="1" ht="12.75">
      <c r="A1095" s="286"/>
      <c r="B1095" s="293"/>
      <c r="C1095" s="229"/>
      <c r="D1095" s="230"/>
      <c r="E1095" s="230"/>
      <c r="F1095" s="230"/>
      <c r="G1095" s="230"/>
      <c r="H1095" s="230"/>
      <c r="I1095" s="298"/>
      <c r="J1095" s="521"/>
      <c r="K1095" s="524"/>
      <c r="L1095" s="298"/>
      <c r="M1095" s="298"/>
      <c r="N1095" s="298"/>
      <c r="O1095" s="298"/>
      <c r="P1095" s="298"/>
      <c r="Q1095" s="298"/>
      <c r="R1095" s="298"/>
      <c r="S1095" s="536"/>
      <c r="T1095" s="635"/>
      <c r="U1095" s="298"/>
      <c r="V1095" s="298"/>
      <c r="W1095" s="298"/>
      <c r="X1095" s="298"/>
      <c r="Y1095" s="298"/>
      <c r="Z1095" s="298"/>
      <c r="AA1095" s="298"/>
      <c r="AB1095" s="298"/>
      <c r="AC1095" s="298"/>
      <c r="AD1095" s="298"/>
      <c r="AE1095" s="298"/>
      <c r="AF1095" s="298"/>
      <c r="AG1095" s="298"/>
      <c r="AH1095" s="298"/>
      <c r="AI1095" s="298"/>
      <c r="AJ1095" s="298"/>
      <c r="AK1095" s="298"/>
      <c r="AL1095" s="298"/>
      <c r="AM1095" s="298"/>
      <c r="AN1095" s="298"/>
      <c r="AO1095" s="298"/>
      <c r="AP1095" s="298"/>
      <c r="AQ1095" s="298"/>
      <c r="AR1095" s="298"/>
      <c r="AS1095" s="298"/>
      <c r="AT1095" s="298"/>
      <c r="AU1095" s="298"/>
      <c r="AV1095" s="298"/>
      <c r="AW1095" s="298"/>
      <c r="AX1095" s="298"/>
      <c r="AY1095" s="298"/>
      <c r="AZ1095" s="298"/>
      <c r="BA1095" s="298"/>
      <c r="BB1095" s="298"/>
      <c r="BC1095" s="298"/>
      <c r="BD1095" s="298"/>
      <c r="BE1095" s="298"/>
      <c r="BF1095" s="298"/>
      <c r="BG1095" s="298"/>
      <c r="BH1095" s="298"/>
      <c r="BI1095" s="298"/>
      <c r="BJ1095" s="298"/>
      <c r="BK1095" s="298"/>
      <c r="BL1095" s="298"/>
      <c r="BM1095" s="298"/>
      <c r="BN1095" s="298"/>
      <c r="BO1095" s="298"/>
      <c r="BP1095" s="298"/>
    </row>
    <row r="1096" spans="1:68" s="645" customFormat="1" ht="51">
      <c r="A1096" s="376"/>
      <c r="B1096" s="372" t="s">
        <v>24633</v>
      </c>
      <c r="C1096" s="231" t="s">
        <v>24634</v>
      </c>
      <c r="D1096" s="232" t="s">
        <v>103</v>
      </c>
      <c r="E1096" s="232" t="s">
        <v>3240</v>
      </c>
      <c r="F1096" s="233"/>
      <c r="G1096" s="234"/>
      <c r="H1096" s="235">
        <v>3562.81</v>
      </c>
      <c r="I1096" s="298"/>
      <c r="J1096" s="521"/>
      <c r="K1096" s="524"/>
      <c r="L1096" s="298"/>
      <c r="M1096" s="298"/>
      <c r="N1096" s="298"/>
      <c r="O1096" s="298"/>
      <c r="P1096" s="298"/>
      <c r="Q1096" s="298"/>
      <c r="R1096" s="298"/>
      <c r="S1096" s="536"/>
      <c r="T1096" s="635"/>
      <c r="U1096" s="298"/>
      <c r="V1096" s="298"/>
      <c r="W1096" s="298"/>
      <c r="X1096" s="298"/>
      <c r="Y1096" s="298"/>
      <c r="Z1096" s="298"/>
      <c r="AA1096" s="298"/>
      <c r="AB1096" s="298"/>
      <c r="AC1096" s="298"/>
      <c r="AD1096" s="298"/>
      <c r="AE1096" s="298"/>
      <c r="AF1096" s="298"/>
      <c r="AG1096" s="298"/>
      <c r="AH1096" s="298"/>
      <c r="AI1096" s="298"/>
      <c r="AJ1096" s="298"/>
      <c r="AK1096" s="298"/>
      <c r="AL1096" s="298"/>
      <c r="AM1096" s="298"/>
      <c r="AN1096" s="298"/>
      <c r="AO1096" s="298"/>
      <c r="AP1096" s="298"/>
      <c r="AQ1096" s="298"/>
      <c r="AR1096" s="298"/>
      <c r="AS1096" s="298"/>
      <c r="AT1096" s="298"/>
      <c r="AU1096" s="298"/>
      <c r="AV1096" s="298"/>
      <c r="AW1096" s="298"/>
      <c r="AX1096" s="298"/>
      <c r="AY1096" s="298"/>
      <c r="AZ1096" s="298"/>
      <c r="BA1096" s="298"/>
      <c r="BB1096" s="298"/>
      <c r="BC1096" s="298"/>
      <c r="BD1096" s="298"/>
      <c r="BE1096" s="298"/>
      <c r="BF1096" s="298"/>
      <c r="BG1096" s="298"/>
      <c r="BH1096" s="298"/>
      <c r="BI1096" s="298"/>
      <c r="BJ1096" s="298"/>
      <c r="BK1096" s="298"/>
      <c r="BL1096" s="298"/>
      <c r="BM1096" s="298"/>
      <c r="BN1096" s="298"/>
      <c r="BO1096" s="298"/>
      <c r="BP1096" s="298"/>
    </row>
    <row r="1097" spans="1:68" s="298" customFormat="1" ht="76.5">
      <c r="A1097" s="256" t="s">
        <v>3259</v>
      </c>
      <c r="B1097" s="374">
        <v>94559</v>
      </c>
      <c r="C1097" s="289" t="s">
        <v>9151</v>
      </c>
      <c r="D1097" s="290" t="s">
        <v>229</v>
      </c>
      <c r="E1097" s="290" t="s">
        <v>193</v>
      </c>
      <c r="F1097" s="254">
        <v>3.8479999999999999</v>
      </c>
      <c r="G1097" s="292" t="s">
        <v>22101</v>
      </c>
      <c r="H1097" s="255">
        <v>2540.02</v>
      </c>
      <c r="J1097" s="521"/>
      <c r="K1097" s="524"/>
      <c r="S1097" s="536"/>
      <c r="T1097" s="638"/>
    </row>
    <row r="1098" spans="1:68" s="298" customFormat="1" ht="38.25">
      <c r="A1098" s="256" t="s">
        <v>3259</v>
      </c>
      <c r="B1098" s="374">
        <v>102162</v>
      </c>
      <c r="C1098" s="289" t="s">
        <v>12777</v>
      </c>
      <c r="D1098" s="290" t="s">
        <v>229</v>
      </c>
      <c r="E1098" s="290" t="s">
        <v>193</v>
      </c>
      <c r="F1098" s="254">
        <v>3.8479999999999999</v>
      </c>
      <c r="G1098" s="292" t="s">
        <v>22134</v>
      </c>
      <c r="H1098" s="255">
        <v>871.26</v>
      </c>
      <c r="J1098" s="760"/>
      <c r="K1098" s="524"/>
      <c r="S1098" s="536"/>
      <c r="T1098" s="638"/>
    </row>
    <row r="1099" spans="1:68" s="298" customFormat="1" ht="76.5">
      <c r="A1099" s="256" t="s">
        <v>3259</v>
      </c>
      <c r="B1099" s="374">
        <v>100745</v>
      </c>
      <c r="C1099" s="289" t="s">
        <v>23999</v>
      </c>
      <c r="D1099" s="290" t="s">
        <v>229</v>
      </c>
      <c r="E1099" s="290" t="s">
        <v>193</v>
      </c>
      <c r="F1099" s="254">
        <v>7.6959999999999997</v>
      </c>
      <c r="G1099" s="292" t="s">
        <v>10491</v>
      </c>
      <c r="H1099" s="255">
        <v>151.53</v>
      </c>
      <c r="J1099" s="521"/>
      <c r="K1099" s="524"/>
      <c r="S1099" s="536"/>
      <c r="T1099" s="638"/>
    </row>
    <row r="1100" spans="1:68" s="298" customFormat="1" ht="12.75">
      <c r="A1100" s="256"/>
      <c r="B1100" s="288" t="s">
        <v>143</v>
      </c>
      <c r="C1100" s="737" t="s">
        <v>15438</v>
      </c>
      <c r="D1100" s="386"/>
      <c r="E1100" s="386"/>
      <c r="F1100" s="386"/>
      <c r="G1100" s="386"/>
      <c r="H1100" s="387"/>
      <c r="J1100" s="521"/>
      <c r="K1100" s="524"/>
      <c r="S1100" s="536"/>
      <c r="T1100" s="635"/>
    </row>
    <row r="1101" spans="1:68" s="529" customFormat="1" ht="12.75">
      <c r="A1101" s="286"/>
      <c r="B1101" s="293"/>
      <c r="C1101" s="229"/>
      <c r="D1101" s="230"/>
      <c r="E1101" s="230"/>
      <c r="F1101" s="230"/>
      <c r="G1101" s="230"/>
      <c r="H1101" s="230"/>
      <c r="I1101" s="298"/>
      <c r="J1101" s="521"/>
      <c r="K1101" s="524"/>
      <c r="L1101" s="298"/>
      <c r="M1101" s="298"/>
      <c r="N1101" s="298"/>
      <c r="O1101" s="298"/>
      <c r="P1101" s="298"/>
      <c r="Q1101" s="298"/>
      <c r="R1101" s="298"/>
      <c r="S1101" s="536"/>
      <c r="T1101" s="635"/>
      <c r="U1101" s="298"/>
      <c r="V1101" s="298"/>
      <c r="W1101" s="298"/>
      <c r="X1101" s="298"/>
      <c r="Y1101" s="298"/>
      <c r="Z1101" s="298"/>
      <c r="AA1101" s="298"/>
      <c r="AB1101" s="298"/>
      <c r="AC1101" s="298"/>
      <c r="AD1101" s="298"/>
      <c r="AE1101" s="298"/>
      <c r="AF1101" s="298"/>
      <c r="AG1101" s="298"/>
      <c r="AH1101" s="298"/>
      <c r="AI1101" s="298"/>
      <c r="AJ1101" s="298"/>
      <c r="AK1101" s="298"/>
      <c r="AL1101" s="298"/>
      <c r="AM1101" s="298"/>
      <c r="AN1101" s="298"/>
      <c r="AO1101" s="298"/>
      <c r="AP1101" s="298"/>
      <c r="AQ1101" s="298"/>
      <c r="AR1101" s="298"/>
      <c r="AS1101" s="298"/>
      <c r="AT1101" s="298"/>
      <c r="AU1101" s="298"/>
      <c r="AV1101" s="298"/>
      <c r="AW1101" s="298"/>
      <c r="AX1101" s="298"/>
      <c r="AY1101" s="298"/>
      <c r="AZ1101" s="298"/>
      <c r="BA1101" s="298"/>
      <c r="BB1101" s="298"/>
      <c r="BC1101" s="298"/>
      <c r="BD1101" s="298"/>
      <c r="BE1101" s="298"/>
      <c r="BF1101" s="298"/>
      <c r="BG1101" s="298"/>
      <c r="BH1101" s="298"/>
      <c r="BI1101" s="298"/>
      <c r="BJ1101" s="298"/>
      <c r="BK1101" s="298"/>
      <c r="BL1101" s="298"/>
      <c r="BM1101" s="298"/>
      <c r="BN1101" s="298"/>
      <c r="BO1101" s="298"/>
      <c r="BP1101" s="298"/>
    </row>
    <row r="1102" spans="1:68" s="645" customFormat="1" ht="51">
      <c r="A1102" s="376"/>
      <c r="B1102" s="372" t="s">
        <v>24635</v>
      </c>
      <c r="C1102" s="231" t="s">
        <v>24636</v>
      </c>
      <c r="D1102" s="232" t="s">
        <v>103</v>
      </c>
      <c r="E1102" s="232" t="s">
        <v>3240</v>
      </c>
      <c r="F1102" s="233"/>
      <c r="G1102" s="234"/>
      <c r="H1102" s="235">
        <v>3518.37</v>
      </c>
      <c r="I1102" s="298"/>
      <c r="J1102" s="521"/>
      <c r="K1102" s="524"/>
      <c r="L1102" s="298"/>
      <c r="M1102" s="298"/>
      <c r="N1102" s="298"/>
      <c r="O1102" s="298"/>
      <c r="P1102" s="298"/>
      <c r="Q1102" s="298"/>
      <c r="R1102" s="298"/>
      <c r="S1102" s="536"/>
      <c r="T1102" s="635"/>
      <c r="U1102" s="298"/>
      <c r="V1102" s="298"/>
      <c r="W1102" s="298"/>
      <c r="X1102" s="298"/>
      <c r="Y1102" s="298"/>
      <c r="Z1102" s="298"/>
      <c r="AA1102" s="298"/>
      <c r="AB1102" s="298"/>
      <c r="AC1102" s="298"/>
      <c r="AD1102" s="298"/>
      <c r="AE1102" s="298"/>
      <c r="AF1102" s="298"/>
      <c r="AG1102" s="298"/>
      <c r="AH1102" s="298"/>
      <c r="AI1102" s="298"/>
      <c r="AJ1102" s="298"/>
      <c r="AK1102" s="298"/>
      <c r="AL1102" s="298"/>
      <c r="AM1102" s="298"/>
      <c r="AN1102" s="298"/>
      <c r="AO1102" s="298"/>
      <c r="AP1102" s="298"/>
      <c r="AQ1102" s="298"/>
      <c r="AR1102" s="298"/>
      <c r="AS1102" s="298"/>
      <c r="AT1102" s="298"/>
      <c r="AU1102" s="298"/>
      <c r="AV1102" s="298"/>
      <c r="AW1102" s="298"/>
      <c r="AX1102" s="298"/>
      <c r="AY1102" s="298"/>
      <c r="AZ1102" s="298"/>
      <c r="BA1102" s="298"/>
      <c r="BB1102" s="298"/>
      <c r="BC1102" s="298"/>
      <c r="BD1102" s="298"/>
      <c r="BE1102" s="298"/>
      <c r="BF1102" s="298"/>
      <c r="BG1102" s="298"/>
      <c r="BH1102" s="298"/>
      <c r="BI1102" s="298"/>
      <c r="BJ1102" s="298"/>
      <c r="BK1102" s="298"/>
      <c r="BL1102" s="298"/>
      <c r="BM1102" s="298"/>
      <c r="BN1102" s="298"/>
      <c r="BO1102" s="298"/>
      <c r="BP1102" s="298"/>
    </row>
    <row r="1103" spans="1:68" s="298" customFormat="1" ht="76.5">
      <c r="A1103" s="256" t="s">
        <v>3259</v>
      </c>
      <c r="B1103" s="374">
        <v>94559</v>
      </c>
      <c r="C1103" s="289" t="s">
        <v>9151</v>
      </c>
      <c r="D1103" s="290" t="s">
        <v>229</v>
      </c>
      <c r="E1103" s="290" t="s">
        <v>193</v>
      </c>
      <c r="F1103" s="254">
        <v>3.8000000000000003</v>
      </c>
      <c r="G1103" s="292" t="s">
        <v>22101</v>
      </c>
      <c r="H1103" s="255">
        <v>2508.34</v>
      </c>
      <c r="J1103" s="521"/>
      <c r="K1103" s="524"/>
      <c r="S1103" s="536"/>
      <c r="T1103" s="638"/>
    </row>
    <row r="1104" spans="1:68" s="298" customFormat="1" ht="38.25">
      <c r="A1104" s="256" t="s">
        <v>3259</v>
      </c>
      <c r="B1104" s="374">
        <v>102162</v>
      </c>
      <c r="C1104" s="289" t="s">
        <v>12777</v>
      </c>
      <c r="D1104" s="290" t="s">
        <v>229</v>
      </c>
      <c r="E1104" s="290" t="s">
        <v>193</v>
      </c>
      <c r="F1104" s="254">
        <v>3.8000000000000003</v>
      </c>
      <c r="G1104" s="292" t="s">
        <v>22134</v>
      </c>
      <c r="H1104" s="255">
        <v>860.39</v>
      </c>
      <c r="J1104" s="760"/>
      <c r="K1104" s="524"/>
      <c r="S1104" s="536"/>
      <c r="T1104" s="638"/>
    </row>
    <row r="1105" spans="1:68" s="298" customFormat="1" ht="76.5">
      <c r="A1105" s="256" t="s">
        <v>3259</v>
      </c>
      <c r="B1105" s="374">
        <v>100745</v>
      </c>
      <c r="C1105" s="289" t="s">
        <v>23999</v>
      </c>
      <c r="D1105" s="290" t="s">
        <v>229</v>
      </c>
      <c r="E1105" s="290" t="s">
        <v>193</v>
      </c>
      <c r="F1105" s="254">
        <v>7.6000000000000005</v>
      </c>
      <c r="G1105" s="292" t="s">
        <v>10491</v>
      </c>
      <c r="H1105" s="255">
        <v>149.63999999999999</v>
      </c>
      <c r="J1105" s="521"/>
      <c r="K1105" s="524"/>
      <c r="S1105" s="536"/>
      <c r="T1105" s="638"/>
    </row>
    <row r="1106" spans="1:68" s="298" customFormat="1" ht="12.75">
      <c r="A1106" s="256"/>
      <c r="B1106" s="288" t="s">
        <v>143</v>
      </c>
      <c r="C1106" s="737" t="s">
        <v>15438</v>
      </c>
      <c r="D1106" s="386"/>
      <c r="E1106" s="386"/>
      <c r="F1106" s="386"/>
      <c r="G1106" s="386"/>
      <c r="H1106" s="387"/>
      <c r="J1106" s="521"/>
      <c r="K1106" s="524"/>
      <c r="S1106" s="536"/>
      <c r="T1106" s="635"/>
    </row>
    <row r="1107" spans="1:68" s="529" customFormat="1" ht="12.75">
      <c r="A1107" s="286"/>
      <c r="B1107" s="293"/>
      <c r="C1107" s="229"/>
      <c r="D1107" s="230"/>
      <c r="E1107" s="230"/>
      <c r="F1107" s="230"/>
      <c r="G1107" s="230"/>
      <c r="H1107" s="230"/>
      <c r="I1107" s="298"/>
      <c r="J1107" s="521"/>
      <c r="K1107" s="524"/>
      <c r="L1107" s="298"/>
      <c r="M1107" s="298"/>
      <c r="N1107" s="298"/>
      <c r="O1107" s="298"/>
      <c r="P1107" s="298"/>
      <c r="Q1107" s="298"/>
      <c r="R1107" s="298"/>
      <c r="S1107" s="536"/>
      <c r="T1107" s="635"/>
      <c r="U1107" s="298"/>
      <c r="V1107" s="298"/>
      <c r="W1107" s="298"/>
      <c r="X1107" s="298"/>
      <c r="Y1107" s="298"/>
      <c r="Z1107" s="298"/>
      <c r="AA1107" s="298"/>
      <c r="AB1107" s="298"/>
      <c r="AC1107" s="298"/>
      <c r="AD1107" s="298"/>
      <c r="AE1107" s="298"/>
      <c r="AF1107" s="298"/>
      <c r="AG1107" s="298"/>
      <c r="AH1107" s="298"/>
      <c r="AI1107" s="298"/>
      <c r="AJ1107" s="298"/>
      <c r="AK1107" s="298"/>
      <c r="AL1107" s="298"/>
      <c r="AM1107" s="298"/>
      <c r="AN1107" s="298"/>
      <c r="AO1107" s="298"/>
      <c r="AP1107" s="298"/>
      <c r="AQ1107" s="298"/>
      <c r="AR1107" s="298"/>
      <c r="AS1107" s="298"/>
      <c r="AT1107" s="298"/>
      <c r="AU1107" s="298"/>
      <c r="AV1107" s="298"/>
      <c r="AW1107" s="298"/>
      <c r="AX1107" s="298"/>
      <c r="AY1107" s="298"/>
      <c r="AZ1107" s="298"/>
      <c r="BA1107" s="298"/>
      <c r="BB1107" s="298"/>
      <c r="BC1107" s="298"/>
      <c r="BD1107" s="298"/>
      <c r="BE1107" s="298"/>
      <c r="BF1107" s="298"/>
      <c r="BG1107" s="298"/>
      <c r="BH1107" s="298"/>
      <c r="BI1107" s="298"/>
      <c r="BJ1107" s="298"/>
      <c r="BK1107" s="298"/>
      <c r="BL1107" s="298"/>
      <c r="BM1107" s="298"/>
      <c r="BN1107" s="298"/>
      <c r="BO1107" s="298"/>
      <c r="BP1107" s="298"/>
    </row>
    <row r="1108" spans="1:68" s="645" customFormat="1" ht="51">
      <c r="A1108" s="376"/>
      <c r="B1108" s="372" t="s">
        <v>24637</v>
      </c>
      <c r="C1108" s="231" t="s">
        <v>24638</v>
      </c>
      <c r="D1108" s="232" t="s">
        <v>103</v>
      </c>
      <c r="E1108" s="232" t="s">
        <v>3240</v>
      </c>
      <c r="F1108" s="233"/>
      <c r="G1108" s="234"/>
      <c r="H1108" s="235">
        <v>3525.7699999999995</v>
      </c>
      <c r="I1108" s="298"/>
      <c r="J1108" s="521"/>
      <c r="K1108" s="524"/>
      <c r="L1108" s="298"/>
      <c r="M1108" s="298"/>
      <c r="N1108" s="298"/>
      <c r="O1108" s="298"/>
      <c r="P1108" s="298"/>
      <c r="Q1108" s="298"/>
      <c r="R1108" s="298"/>
      <c r="S1108" s="536"/>
      <c r="T1108" s="635"/>
      <c r="U1108" s="298"/>
      <c r="V1108" s="298"/>
      <c r="W1108" s="298"/>
      <c r="X1108" s="298"/>
      <c r="Y1108" s="298"/>
      <c r="Z1108" s="298"/>
      <c r="AA1108" s="298"/>
      <c r="AB1108" s="298"/>
      <c r="AC1108" s="298"/>
      <c r="AD1108" s="298"/>
      <c r="AE1108" s="298"/>
      <c r="AF1108" s="298"/>
      <c r="AG1108" s="298"/>
      <c r="AH1108" s="298"/>
      <c r="AI1108" s="298"/>
      <c r="AJ1108" s="298"/>
      <c r="AK1108" s="298"/>
      <c r="AL1108" s="298"/>
      <c r="AM1108" s="298"/>
      <c r="AN1108" s="298"/>
      <c r="AO1108" s="298"/>
      <c r="AP1108" s="298"/>
      <c r="AQ1108" s="298"/>
      <c r="AR1108" s="298"/>
      <c r="AS1108" s="298"/>
      <c r="AT1108" s="298"/>
      <c r="AU1108" s="298"/>
      <c r="AV1108" s="298"/>
      <c r="AW1108" s="298"/>
      <c r="AX1108" s="298"/>
      <c r="AY1108" s="298"/>
      <c r="AZ1108" s="298"/>
      <c r="BA1108" s="298"/>
      <c r="BB1108" s="298"/>
      <c r="BC1108" s="298"/>
      <c r="BD1108" s="298"/>
      <c r="BE1108" s="298"/>
      <c r="BF1108" s="298"/>
      <c r="BG1108" s="298"/>
      <c r="BH1108" s="298"/>
      <c r="BI1108" s="298"/>
      <c r="BJ1108" s="298"/>
      <c r="BK1108" s="298"/>
      <c r="BL1108" s="298"/>
      <c r="BM1108" s="298"/>
      <c r="BN1108" s="298"/>
      <c r="BO1108" s="298"/>
      <c r="BP1108" s="298"/>
    </row>
    <row r="1109" spans="1:68" s="298" customFormat="1" ht="76.5">
      <c r="A1109" s="256" t="s">
        <v>3259</v>
      </c>
      <c r="B1109" s="374">
        <v>94559</v>
      </c>
      <c r="C1109" s="289" t="s">
        <v>9151</v>
      </c>
      <c r="D1109" s="290" t="s">
        <v>229</v>
      </c>
      <c r="E1109" s="290" t="s">
        <v>193</v>
      </c>
      <c r="F1109" s="254">
        <v>3.8079999999999998</v>
      </c>
      <c r="G1109" s="292" t="s">
        <v>22101</v>
      </c>
      <c r="H1109" s="255">
        <v>2513.62</v>
      </c>
      <c r="J1109" s="521"/>
      <c r="K1109" s="524"/>
      <c r="S1109" s="536"/>
      <c r="T1109" s="638"/>
    </row>
    <row r="1110" spans="1:68" s="298" customFormat="1" ht="38.25">
      <c r="A1110" s="256" t="s">
        <v>3259</v>
      </c>
      <c r="B1110" s="374">
        <v>102162</v>
      </c>
      <c r="C1110" s="289" t="s">
        <v>12777</v>
      </c>
      <c r="D1110" s="290" t="s">
        <v>229</v>
      </c>
      <c r="E1110" s="290" t="s">
        <v>193</v>
      </c>
      <c r="F1110" s="254">
        <v>3.8079999999999998</v>
      </c>
      <c r="G1110" s="292" t="s">
        <v>22134</v>
      </c>
      <c r="H1110" s="255">
        <v>862.2</v>
      </c>
      <c r="J1110" s="760"/>
      <c r="K1110" s="524"/>
      <c r="S1110" s="536"/>
      <c r="T1110" s="638"/>
    </row>
    <row r="1111" spans="1:68" s="298" customFormat="1" ht="76.5">
      <c r="A1111" s="256" t="s">
        <v>3259</v>
      </c>
      <c r="B1111" s="374">
        <v>100745</v>
      </c>
      <c r="C1111" s="289" t="s">
        <v>23999</v>
      </c>
      <c r="D1111" s="290" t="s">
        <v>229</v>
      </c>
      <c r="E1111" s="290" t="s">
        <v>193</v>
      </c>
      <c r="F1111" s="254">
        <v>7.6159999999999997</v>
      </c>
      <c r="G1111" s="292" t="s">
        <v>10491</v>
      </c>
      <c r="H1111" s="255">
        <v>149.94999999999999</v>
      </c>
      <c r="J1111" s="521"/>
      <c r="K1111" s="524"/>
      <c r="S1111" s="536"/>
      <c r="T1111" s="638"/>
    </row>
    <row r="1112" spans="1:68" s="298" customFormat="1" ht="12.75">
      <c r="A1112" s="256"/>
      <c r="B1112" s="288" t="s">
        <v>143</v>
      </c>
      <c r="C1112" s="737" t="s">
        <v>15438</v>
      </c>
      <c r="D1112" s="386"/>
      <c r="E1112" s="386"/>
      <c r="F1112" s="386"/>
      <c r="G1112" s="386"/>
      <c r="H1112" s="387"/>
      <c r="J1112" s="521"/>
      <c r="K1112" s="524"/>
      <c r="S1112" s="536"/>
      <c r="T1112" s="635"/>
    </row>
    <row r="1113" spans="1:68" s="529" customFormat="1" ht="12.75">
      <c r="A1113" s="286"/>
      <c r="B1113" s="293"/>
      <c r="C1113" s="229"/>
      <c r="D1113" s="230"/>
      <c r="E1113" s="230"/>
      <c r="F1113" s="230"/>
      <c r="G1113" s="230"/>
      <c r="H1113" s="230"/>
      <c r="I1113" s="298"/>
      <c r="J1113" s="521"/>
      <c r="K1113" s="524"/>
      <c r="L1113" s="298"/>
      <c r="M1113" s="298"/>
      <c r="N1113" s="298"/>
      <c r="O1113" s="298"/>
      <c r="P1113" s="298"/>
      <c r="Q1113" s="298"/>
      <c r="R1113" s="298"/>
      <c r="S1113" s="536"/>
      <c r="T1113" s="635"/>
      <c r="U1113" s="298"/>
      <c r="V1113" s="298"/>
      <c r="W1113" s="298"/>
      <c r="X1113" s="298"/>
      <c r="Y1113" s="298"/>
      <c r="Z1113" s="298"/>
      <c r="AA1113" s="298"/>
      <c r="AB1113" s="298"/>
      <c r="AC1113" s="298"/>
      <c r="AD1113" s="298"/>
      <c r="AE1113" s="298"/>
      <c r="AF1113" s="298"/>
      <c r="AG1113" s="298"/>
      <c r="AH1113" s="298"/>
      <c r="AI1113" s="298"/>
      <c r="AJ1113" s="298"/>
      <c r="AK1113" s="298"/>
      <c r="AL1113" s="298"/>
      <c r="AM1113" s="298"/>
      <c r="AN1113" s="298"/>
      <c r="AO1113" s="298"/>
      <c r="AP1113" s="298"/>
      <c r="AQ1113" s="298"/>
      <c r="AR1113" s="298"/>
      <c r="AS1113" s="298"/>
      <c r="AT1113" s="298"/>
      <c r="AU1113" s="298"/>
      <c r="AV1113" s="298"/>
      <c r="AW1113" s="298"/>
      <c r="AX1113" s="298"/>
      <c r="AY1113" s="298"/>
      <c r="AZ1113" s="298"/>
      <c r="BA1113" s="298"/>
      <c r="BB1113" s="298"/>
      <c r="BC1113" s="298"/>
      <c r="BD1113" s="298"/>
      <c r="BE1113" s="298"/>
      <c r="BF1113" s="298"/>
      <c r="BG1113" s="298"/>
      <c r="BH1113" s="298"/>
      <c r="BI1113" s="298"/>
      <c r="BJ1113" s="298"/>
      <c r="BK1113" s="298"/>
      <c r="BL1113" s="298"/>
      <c r="BM1113" s="298"/>
      <c r="BN1113" s="298"/>
      <c r="BO1113" s="298"/>
      <c r="BP1113" s="298"/>
    </row>
    <row r="1114" spans="1:68" s="645" customFormat="1" ht="51">
      <c r="A1114" s="376"/>
      <c r="B1114" s="372" t="s">
        <v>24639</v>
      </c>
      <c r="C1114" s="231" t="s">
        <v>24640</v>
      </c>
      <c r="D1114" s="232" t="s">
        <v>103</v>
      </c>
      <c r="E1114" s="232" t="s">
        <v>3240</v>
      </c>
      <c r="F1114" s="233"/>
      <c r="G1114" s="234"/>
      <c r="H1114" s="235">
        <v>3577.62</v>
      </c>
      <c r="I1114" s="298"/>
      <c r="J1114" s="521"/>
      <c r="K1114" s="524"/>
      <c r="L1114" s="298"/>
      <c r="M1114" s="298"/>
      <c r="N1114" s="298"/>
      <c r="O1114" s="298"/>
      <c r="P1114" s="298"/>
      <c r="Q1114" s="298"/>
      <c r="R1114" s="298"/>
      <c r="S1114" s="536"/>
      <c r="T1114" s="635"/>
      <c r="U1114" s="298"/>
      <c r="V1114" s="298"/>
      <c r="W1114" s="298"/>
      <c r="X1114" s="298"/>
      <c r="Y1114" s="298"/>
      <c r="Z1114" s="298"/>
      <c r="AA1114" s="298"/>
      <c r="AB1114" s="298"/>
      <c r="AC1114" s="298"/>
      <c r="AD1114" s="298"/>
      <c r="AE1114" s="298"/>
      <c r="AF1114" s="298"/>
      <c r="AG1114" s="298"/>
      <c r="AH1114" s="298"/>
      <c r="AI1114" s="298"/>
      <c r="AJ1114" s="298"/>
      <c r="AK1114" s="298"/>
      <c r="AL1114" s="298"/>
      <c r="AM1114" s="298"/>
      <c r="AN1114" s="298"/>
      <c r="AO1114" s="298"/>
      <c r="AP1114" s="298"/>
      <c r="AQ1114" s="298"/>
      <c r="AR1114" s="298"/>
      <c r="AS1114" s="298"/>
      <c r="AT1114" s="298"/>
      <c r="AU1114" s="298"/>
      <c r="AV1114" s="298"/>
      <c r="AW1114" s="298"/>
      <c r="AX1114" s="298"/>
      <c r="AY1114" s="298"/>
      <c r="AZ1114" s="298"/>
      <c r="BA1114" s="298"/>
      <c r="BB1114" s="298"/>
      <c r="BC1114" s="298"/>
      <c r="BD1114" s="298"/>
      <c r="BE1114" s="298"/>
      <c r="BF1114" s="298"/>
      <c r="BG1114" s="298"/>
      <c r="BH1114" s="298"/>
      <c r="BI1114" s="298"/>
      <c r="BJ1114" s="298"/>
      <c r="BK1114" s="298"/>
      <c r="BL1114" s="298"/>
      <c r="BM1114" s="298"/>
      <c r="BN1114" s="298"/>
      <c r="BO1114" s="298"/>
      <c r="BP1114" s="298"/>
    </row>
    <row r="1115" spans="1:68" s="298" customFormat="1" ht="76.5">
      <c r="A1115" s="256" t="s">
        <v>3259</v>
      </c>
      <c r="B1115" s="374">
        <v>94559</v>
      </c>
      <c r="C1115" s="289" t="s">
        <v>9151</v>
      </c>
      <c r="D1115" s="290" t="s">
        <v>229</v>
      </c>
      <c r="E1115" s="290" t="s">
        <v>193</v>
      </c>
      <c r="F1115" s="254">
        <v>3.8640000000000003</v>
      </c>
      <c r="G1115" s="292" t="s">
        <v>22101</v>
      </c>
      <c r="H1115" s="255">
        <v>2550.58</v>
      </c>
      <c r="J1115" s="521"/>
      <c r="K1115" s="524"/>
      <c r="S1115" s="536"/>
      <c r="T1115" s="638"/>
    </row>
    <row r="1116" spans="1:68" s="298" customFormat="1" ht="38.25">
      <c r="A1116" s="256" t="s">
        <v>3259</v>
      </c>
      <c r="B1116" s="374">
        <v>102162</v>
      </c>
      <c r="C1116" s="289" t="s">
        <v>12777</v>
      </c>
      <c r="D1116" s="290" t="s">
        <v>229</v>
      </c>
      <c r="E1116" s="290" t="s">
        <v>193</v>
      </c>
      <c r="F1116" s="254">
        <v>3.8640000000000003</v>
      </c>
      <c r="G1116" s="292" t="s">
        <v>22134</v>
      </c>
      <c r="H1116" s="255">
        <v>874.88</v>
      </c>
      <c r="J1116" s="760"/>
      <c r="K1116" s="524"/>
      <c r="S1116" s="536"/>
      <c r="T1116" s="638"/>
    </row>
    <row r="1117" spans="1:68" s="298" customFormat="1" ht="76.5">
      <c r="A1117" s="256" t="s">
        <v>3259</v>
      </c>
      <c r="B1117" s="374">
        <v>100745</v>
      </c>
      <c r="C1117" s="289" t="s">
        <v>23999</v>
      </c>
      <c r="D1117" s="290" t="s">
        <v>229</v>
      </c>
      <c r="E1117" s="290" t="s">
        <v>193</v>
      </c>
      <c r="F1117" s="254">
        <v>7.7280000000000006</v>
      </c>
      <c r="G1117" s="292" t="s">
        <v>10491</v>
      </c>
      <c r="H1117" s="255">
        <v>152.16</v>
      </c>
      <c r="J1117" s="521"/>
      <c r="K1117" s="524"/>
      <c r="S1117" s="536"/>
      <c r="T1117" s="638"/>
    </row>
    <row r="1118" spans="1:68" s="298" customFormat="1" ht="12.75">
      <c r="A1118" s="256"/>
      <c r="B1118" s="288" t="s">
        <v>143</v>
      </c>
      <c r="C1118" s="737" t="s">
        <v>15438</v>
      </c>
      <c r="D1118" s="386"/>
      <c r="E1118" s="386"/>
      <c r="F1118" s="386"/>
      <c r="G1118" s="386"/>
      <c r="H1118" s="387"/>
      <c r="J1118" s="521"/>
      <c r="K1118" s="524"/>
      <c r="S1118" s="536"/>
      <c r="T1118" s="635"/>
    </row>
    <row r="1119" spans="1:68" s="529" customFormat="1" ht="12.75">
      <c r="A1119" s="286"/>
      <c r="B1119" s="373"/>
      <c r="C1119" s="379"/>
      <c r="D1119" s="382"/>
      <c r="E1119" s="382"/>
      <c r="F1119" s="382"/>
      <c r="G1119" s="382"/>
      <c r="H1119" s="382"/>
      <c r="I1119" s="298"/>
      <c r="J1119" s="634"/>
      <c r="K1119" s="524"/>
      <c r="L1119" s="524"/>
      <c r="M1119" s="524"/>
      <c r="N1119" s="524"/>
      <c r="O1119" s="524"/>
      <c r="P1119" s="298"/>
      <c r="Q1119" s="298"/>
      <c r="R1119" s="298"/>
      <c r="S1119" s="536"/>
      <c r="T1119" s="635"/>
      <c r="U1119" s="298"/>
      <c r="V1119" s="298"/>
      <c r="W1119" s="298"/>
      <c r="X1119" s="298"/>
      <c r="Y1119" s="298"/>
      <c r="Z1119" s="298"/>
      <c r="AA1119" s="298"/>
      <c r="AB1119" s="298"/>
      <c r="AC1119" s="298"/>
      <c r="AD1119" s="298"/>
      <c r="AE1119" s="298"/>
      <c r="AF1119" s="298"/>
      <c r="AG1119" s="298"/>
      <c r="AH1119" s="298"/>
      <c r="AI1119" s="298"/>
      <c r="AJ1119" s="298"/>
      <c r="AK1119" s="298"/>
      <c r="AL1119" s="298"/>
      <c r="AM1119" s="298"/>
      <c r="AN1119" s="298"/>
      <c r="AO1119" s="298"/>
      <c r="AP1119" s="298"/>
      <c r="AQ1119" s="298"/>
      <c r="AR1119" s="298"/>
      <c r="AS1119" s="298"/>
      <c r="AT1119" s="298"/>
      <c r="AU1119" s="298"/>
      <c r="AV1119" s="298"/>
      <c r="AW1119" s="298"/>
      <c r="AX1119" s="298"/>
      <c r="AY1119" s="298"/>
      <c r="AZ1119" s="298"/>
      <c r="BA1119" s="298"/>
      <c r="BB1119" s="298"/>
      <c r="BC1119" s="298"/>
      <c r="BD1119" s="298"/>
      <c r="BE1119" s="298"/>
      <c r="BF1119" s="298"/>
      <c r="BG1119" s="298"/>
      <c r="BH1119" s="298"/>
      <c r="BI1119" s="298"/>
      <c r="BJ1119" s="298"/>
      <c r="BK1119" s="298"/>
      <c r="BL1119" s="298"/>
      <c r="BM1119" s="298"/>
      <c r="BN1119" s="298"/>
      <c r="BO1119" s="298"/>
      <c r="BP1119" s="298"/>
    </row>
    <row r="1120" spans="1:68" s="529" customFormat="1" ht="38.25">
      <c r="A1120" s="286"/>
      <c r="B1120" s="372" t="s">
        <v>24679</v>
      </c>
      <c r="C1120" s="231" t="s">
        <v>24680</v>
      </c>
      <c r="D1120" s="232" t="s">
        <v>103</v>
      </c>
      <c r="E1120" s="232" t="s">
        <v>5</v>
      </c>
      <c r="F1120" s="233"/>
      <c r="G1120" s="234"/>
      <c r="H1120" s="235">
        <v>65.14</v>
      </c>
      <c r="I1120" s="298"/>
      <c r="J1120" s="634"/>
      <c r="K1120" s="524"/>
      <c r="L1120" s="524"/>
      <c r="M1120" s="524"/>
      <c r="N1120" s="524"/>
      <c r="O1120" s="524"/>
      <c r="P1120" s="298"/>
      <c r="Q1120" s="298"/>
      <c r="R1120" s="298"/>
      <c r="S1120" s="536"/>
      <c r="T1120" s="635"/>
      <c r="U1120" s="298"/>
      <c r="V1120" s="298"/>
      <c r="W1120" s="298"/>
      <c r="X1120" s="298"/>
      <c r="Y1120" s="298"/>
      <c r="Z1120" s="298"/>
      <c r="AA1120" s="298"/>
      <c r="AB1120" s="298"/>
      <c r="AC1120" s="298"/>
      <c r="AD1120" s="298"/>
      <c r="AE1120" s="298"/>
      <c r="AF1120" s="298"/>
      <c r="AG1120" s="298"/>
      <c r="AH1120" s="298"/>
      <c r="AI1120" s="298"/>
      <c r="AJ1120" s="298"/>
      <c r="AK1120" s="298"/>
      <c r="AL1120" s="298"/>
      <c r="AM1120" s="298"/>
      <c r="AN1120" s="298"/>
      <c r="AO1120" s="298"/>
      <c r="AP1120" s="298"/>
      <c r="AQ1120" s="298"/>
      <c r="AR1120" s="298"/>
      <c r="AS1120" s="298"/>
      <c r="AT1120" s="298"/>
      <c r="AU1120" s="298"/>
      <c r="AV1120" s="298"/>
      <c r="AW1120" s="298"/>
      <c r="AX1120" s="298"/>
      <c r="AY1120" s="298"/>
      <c r="AZ1120" s="298"/>
      <c r="BA1120" s="298"/>
      <c r="BB1120" s="298"/>
      <c r="BC1120" s="298"/>
      <c r="BD1120" s="298"/>
      <c r="BE1120" s="298"/>
      <c r="BF1120" s="298"/>
      <c r="BG1120" s="298"/>
      <c r="BH1120" s="298"/>
      <c r="BI1120" s="298"/>
      <c r="BJ1120" s="298"/>
      <c r="BK1120" s="298"/>
      <c r="BL1120" s="298"/>
      <c r="BM1120" s="298"/>
      <c r="BN1120" s="298"/>
      <c r="BO1120" s="298"/>
      <c r="BP1120" s="298"/>
    </row>
    <row r="1121" spans="1:68" s="298" customFormat="1" ht="51">
      <c r="A1121" s="256" t="s">
        <v>3261</v>
      </c>
      <c r="B1121" s="374">
        <v>20231</v>
      </c>
      <c r="C1121" s="289" t="s">
        <v>7977</v>
      </c>
      <c r="D1121" s="290" t="s">
        <v>207</v>
      </c>
      <c r="E1121" s="290" t="s">
        <v>3243</v>
      </c>
      <c r="F1121" s="291">
        <v>1</v>
      </c>
      <c r="G1121" s="292" t="s">
        <v>16159</v>
      </c>
      <c r="H1121" s="255">
        <v>56.56</v>
      </c>
      <c r="J1121" s="634"/>
      <c r="S1121" s="536"/>
      <c r="T1121" s="638"/>
    </row>
    <row r="1122" spans="1:68" s="298" customFormat="1" ht="12.75">
      <c r="A1122" s="256" t="s">
        <v>3261</v>
      </c>
      <c r="B1122" s="374">
        <v>37595</v>
      </c>
      <c r="C1122" s="289" t="s">
        <v>11643</v>
      </c>
      <c r="D1122" s="290" t="s">
        <v>207</v>
      </c>
      <c r="E1122" s="290" t="s">
        <v>3244</v>
      </c>
      <c r="F1122" s="291">
        <v>0.45</v>
      </c>
      <c r="G1122" s="292" t="s">
        <v>9906</v>
      </c>
      <c r="H1122" s="255">
        <v>0.62</v>
      </c>
      <c r="J1122" s="634"/>
      <c r="S1122" s="536"/>
      <c r="T1122" s="638"/>
    </row>
    <row r="1123" spans="1:68" s="298" customFormat="1" ht="25.5">
      <c r="A1123" s="256" t="s">
        <v>3259</v>
      </c>
      <c r="B1123" s="374">
        <v>88274</v>
      </c>
      <c r="C1123" s="289" t="s">
        <v>205</v>
      </c>
      <c r="D1123" s="290" t="s">
        <v>9714</v>
      </c>
      <c r="E1123" s="290" t="s">
        <v>206</v>
      </c>
      <c r="F1123" s="254">
        <v>0.4</v>
      </c>
      <c r="G1123" s="292" t="s">
        <v>24384</v>
      </c>
      <c r="H1123" s="255">
        <v>7.96</v>
      </c>
      <c r="J1123" s="634"/>
      <c r="K1123" s="524"/>
      <c r="L1123" s="524"/>
      <c r="M1123" s="524"/>
      <c r="N1123" s="524"/>
      <c r="O1123" s="524"/>
      <c r="S1123" s="536"/>
      <c r="T1123" s="638"/>
    </row>
    <row r="1124" spans="1:68" s="298" customFormat="1" ht="12.75">
      <c r="A1124" s="256"/>
      <c r="B1124" s="288" t="s">
        <v>143</v>
      </c>
      <c r="C1124" s="819" t="s">
        <v>24681</v>
      </c>
      <c r="D1124" s="820"/>
      <c r="E1124" s="820"/>
      <c r="F1124" s="820"/>
      <c r="G1124" s="820"/>
      <c r="H1124" s="821"/>
      <c r="J1124" s="634"/>
      <c r="K1124" s="524"/>
      <c r="L1124" s="524"/>
      <c r="M1124" s="524"/>
      <c r="N1124" s="524"/>
      <c r="O1124" s="524"/>
      <c r="S1124" s="536"/>
      <c r="T1124" s="635"/>
    </row>
    <row r="1125" spans="1:68" s="529" customFormat="1" ht="12.75">
      <c r="A1125" s="286"/>
      <c r="B1125" s="293"/>
      <c r="C1125" s="229"/>
      <c r="D1125" s="230"/>
      <c r="E1125" s="230"/>
      <c r="F1125" s="230"/>
      <c r="G1125" s="230"/>
      <c r="H1125" s="230"/>
      <c r="I1125" s="298"/>
      <c r="J1125" s="521"/>
      <c r="K1125" s="298"/>
      <c r="L1125" s="298"/>
      <c r="M1125" s="298"/>
      <c r="N1125" s="298"/>
      <c r="O1125" s="298"/>
      <c r="P1125" s="298"/>
      <c r="Q1125" s="298"/>
      <c r="R1125" s="298"/>
      <c r="S1125" s="536"/>
      <c r="T1125" s="635"/>
      <c r="U1125" s="298"/>
      <c r="V1125" s="298"/>
      <c r="W1125" s="298"/>
      <c r="X1125" s="298"/>
      <c r="Y1125" s="298"/>
      <c r="Z1125" s="298"/>
      <c r="AA1125" s="298"/>
      <c r="AB1125" s="298"/>
      <c r="AC1125" s="298"/>
      <c r="AD1125" s="298"/>
      <c r="AE1125" s="298"/>
      <c r="AF1125" s="298"/>
      <c r="AG1125" s="298"/>
      <c r="AH1125" s="298"/>
      <c r="AI1125" s="298"/>
      <c r="AJ1125" s="298"/>
      <c r="AK1125" s="298"/>
      <c r="AL1125" s="298"/>
      <c r="AM1125" s="298"/>
      <c r="AN1125" s="298"/>
      <c r="AO1125" s="298"/>
      <c r="AP1125" s="298"/>
      <c r="AQ1125" s="298"/>
      <c r="AR1125" s="298"/>
      <c r="AS1125" s="298"/>
      <c r="AT1125" s="298"/>
      <c r="AU1125" s="298"/>
      <c r="AV1125" s="298"/>
      <c r="AW1125" s="298"/>
      <c r="AX1125" s="298"/>
      <c r="AY1125" s="298"/>
      <c r="AZ1125" s="298"/>
      <c r="BA1125" s="298"/>
      <c r="BB1125" s="298"/>
      <c r="BC1125" s="298"/>
      <c r="BD1125" s="298"/>
      <c r="BE1125" s="298"/>
      <c r="BF1125" s="298"/>
      <c r="BG1125" s="298"/>
      <c r="BH1125" s="298"/>
      <c r="BI1125" s="298"/>
      <c r="BJ1125" s="298"/>
      <c r="BK1125" s="298"/>
      <c r="BL1125" s="298"/>
      <c r="BM1125" s="298"/>
      <c r="BN1125" s="298"/>
      <c r="BO1125" s="298"/>
      <c r="BP1125" s="298"/>
    </row>
    <row r="1126" spans="1:68" s="645" customFormat="1" ht="51">
      <c r="A1126" s="376"/>
      <c r="B1126" s="372" t="s">
        <v>24691</v>
      </c>
      <c r="C1126" s="231" t="s">
        <v>17783</v>
      </c>
      <c r="D1126" s="232" t="s">
        <v>103</v>
      </c>
      <c r="E1126" s="232" t="s">
        <v>3240</v>
      </c>
      <c r="F1126" s="233"/>
      <c r="G1126" s="234"/>
      <c r="H1126" s="235">
        <v>196.21</v>
      </c>
      <c r="I1126" s="298"/>
      <c r="J1126" s="521"/>
      <c r="K1126" s="298"/>
      <c r="L1126" s="298"/>
      <c r="M1126" s="298"/>
      <c r="N1126" s="298"/>
      <c r="O1126" s="298"/>
      <c r="P1126" s="298"/>
      <c r="Q1126" s="298"/>
      <c r="R1126" s="298"/>
      <c r="S1126" s="536"/>
      <c r="T1126" s="635"/>
      <c r="U1126" s="298"/>
      <c r="V1126" s="298"/>
      <c r="W1126" s="298"/>
      <c r="X1126" s="298"/>
      <c r="Y1126" s="298"/>
      <c r="Z1126" s="298"/>
      <c r="AA1126" s="298"/>
      <c r="AB1126" s="298"/>
      <c r="AC1126" s="298"/>
      <c r="AD1126" s="298"/>
      <c r="AE1126" s="298"/>
      <c r="AF1126" s="298"/>
      <c r="AG1126" s="298"/>
      <c r="AH1126" s="298"/>
      <c r="AI1126" s="298"/>
      <c r="AJ1126" s="298"/>
      <c r="AK1126" s="298"/>
      <c r="AL1126" s="298"/>
      <c r="AM1126" s="298"/>
      <c r="AN1126" s="298"/>
      <c r="AO1126" s="298"/>
      <c r="AP1126" s="298"/>
      <c r="AQ1126" s="298"/>
      <c r="AR1126" s="298"/>
      <c r="AS1126" s="298"/>
      <c r="AT1126" s="298"/>
      <c r="AU1126" s="298"/>
      <c r="AV1126" s="298"/>
      <c r="AW1126" s="298"/>
      <c r="AX1126" s="298"/>
      <c r="AY1126" s="298"/>
      <c r="AZ1126" s="298"/>
      <c r="BA1126" s="298"/>
      <c r="BB1126" s="298"/>
      <c r="BC1126" s="298"/>
      <c r="BD1126" s="298"/>
      <c r="BE1126" s="298"/>
      <c r="BF1126" s="298"/>
      <c r="BG1126" s="298"/>
      <c r="BH1126" s="298"/>
      <c r="BI1126" s="298"/>
      <c r="BJ1126" s="298"/>
      <c r="BK1126" s="298"/>
      <c r="BL1126" s="298"/>
      <c r="BM1126" s="298"/>
      <c r="BN1126" s="298"/>
      <c r="BO1126" s="298"/>
      <c r="BP1126" s="298"/>
    </row>
    <row r="1127" spans="1:68" s="298" customFormat="1" ht="51">
      <c r="A1127" s="256" t="s">
        <v>3259</v>
      </c>
      <c r="B1127" s="374">
        <v>94807</v>
      </c>
      <c r="C1127" s="289" t="s">
        <v>9160</v>
      </c>
      <c r="D1127" s="290" t="s">
        <v>229</v>
      </c>
      <c r="E1127" s="290" t="s">
        <v>109</v>
      </c>
      <c r="F1127" s="254">
        <v>0.3</v>
      </c>
      <c r="G1127" s="292" t="s">
        <v>22117</v>
      </c>
      <c r="H1127" s="255">
        <v>160.35</v>
      </c>
      <c r="J1127" s="521"/>
      <c r="S1127" s="536"/>
      <c r="T1127" s="638"/>
    </row>
    <row r="1128" spans="1:68" s="298" customFormat="1" ht="63.75">
      <c r="A1128" s="256" t="s">
        <v>3259</v>
      </c>
      <c r="B1128" s="374">
        <v>100721</v>
      </c>
      <c r="C1128" s="289" t="s">
        <v>23989</v>
      </c>
      <c r="D1128" s="290" t="s">
        <v>229</v>
      </c>
      <c r="E1128" s="290" t="s">
        <v>193</v>
      </c>
      <c r="F1128" s="254">
        <v>0.89999999999999991</v>
      </c>
      <c r="G1128" s="292" t="s">
        <v>12354</v>
      </c>
      <c r="H1128" s="255">
        <v>18.14</v>
      </c>
      <c r="J1128" s="521"/>
      <c r="K1128" s="762"/>
      <c r="L1128" s="646"/>
      <c r="M1128" s="646"/>
      <c r="S1128" s="536"/>
      <c r="T1128" s="638"/>
    </row>
    <row r="1129" spans="1:68" s="298" customFormat="1" ht="76.5">
      <c r="A1129" s="256" t="s">
        <v>3259</v>
      </c>
      <c r="B1129" s="374">
        <v>100745</v>
      </c>
      <c r="C1129" s="289" t="s">
        <v>23999</v>
      </c>
      <c r="D1129" s="290" t="s">
        <v>229</v>
      </c>
      <c r="E1129" s="290" t="s">
        <v>193</v>
      </c>
      <c r="F1129" s="254">
        <v>0.89999999999999991</v>
      </c>
      <c r="G1129" s="292" t="s">
        <v>10491</v>
      </c>
      <c r="H1129" s="255">
        <v>17.72</v>
      </c>
      <c r="J1129" s="521"/>
      <c r="K1129" s="524"/>
      <c r="S1129" s="536"/>
      <c r="T1129" s="638"/>
    </row>
    <row r="1130" spans="1:68" s="298" customFormat="1" ht="12.75">
      <c r="A1130" s="256"/>
      <c r="B1130" s="288" t="s">
        <v>143</v>
      </c>
      <c r="C1130" s="737" t="s">
        <v>15438</v>
      </c>
      <c r="D1130" s="386"/>
      <c r="E1130" s="386"/>
      <c r="F1130" s="386"/>
      <c r="G1130" s="386"/>
      <c r="H1130" s="387"/>
      <c r="J1130" s="521"/>
      <c r="S1130" s="536"/>
      <c r="T1130" s="635"/>
    </row>
    <row r="1131" spans="1:68" s="529" customFormat="1" ht="12.75">
      <c r="A1131" s="286"/>
      <c r="B1131" s="293"/>
      <c r="C1131" s="229"/>
      <c r="D1131" s="230"/>
      <c r="E1131" s="230"/>
      <c r="F1131" s="230"/>
      <c r="G1131" s="230"/>
      <c r="H1131" s="230"/>
      <c r="I1131" s="298"/>
      <c r="J1131" s="521"/>
      <c r="K1131" s="524"/>
      <c r="L1131" s="298"/>
      <c r="M1131" s="298"/>
      <c r="N1131" s="298"/>
      <c r="O1131" s="298"/>
      <c r="P1131" s="298"/>
      <c r="Q1131" s="298"/>
      <c r="R1131" s="298"/>
      <c r="S1131" s="536"/>
      <c r="T1131" s="635"/>
      <c r="U1131" s="298"/>
      <c r="V1131" s="298"/>
      <c r="W1131" s="298"/>
      <c r="X1131" s="298"/>
      <c r="Y1131" s="298"/>
      <c r="Z1131" s="298"/>
      <c r="AA1131" s="298"/>
      <c r="AB1131" s="298"/>
      <c r="AC1131" s="298"/>
      <c r="AD1131" s="298"/>
      <c r="AE1131" s="298"/>
      <c r="AF1131" s="298"/>
      <c r="AG1131" s="298"/>
      <c r="AH1131" s="298"/>
      <c r="AI1131" s="298"/>
      <c r="AJ1131" s="298"/>
      <c r="AK1131" s="298"/>
      <c r="AL1131" s="298"/>
      <c r="AM1131" s="298"/>
      <c r="AN1131" s="298"/>
      <c r="AO1131" s="298"/>
      <c r="AP1131" s="298"/>
      <c r="AQ1131" s="298"/>
      <c r="AR1131" s="298"/>
      <c r="AS1131" s="298"/>
      <c r="AT1131" s="298"/>
      <c r="AU1131" s="298"/>
      <c r="AV1131" s="298"/>
      <c r="AW1131" s="298"/>
      <c r="AX1131" s="298"/>
      <c r="AY1131" s="298"/>
      <c r="AZ1131" s="298"/>
      <c r="BA1131" s="298"/>
      <c r="BB1131" s="298"/>
      <c r="BC1131" s="298"/>
      <c r="BD1131" s="298"/>
      <c r="BE1131" s="298"/>
      <c r="BF1131" s="298"/>
      <c r="BG1131" s="298"/>
      <c r="BH1131" s="298"/>
      <c r="BI1131" s="298"/>
      <c r="BJ1131" s="298"/>
      <c r="BK1131" s="298"/>
      <c r="BL1131" s="298"/>
      <c r="BM1131" s="298"/>
      <c r="BN1131" s="298"/>
      <c r="BO1131" s="298"/>
      <c r="BP1131" s="298"/>
    </row>
    <row r="1132" spans="1:68" s="645" customFormat="1" ht="51">
      <c r="A1132" s="376"/>
      <c r="B1132" s="372" t="s">
        <v>24693</v>
      </c>
      <c r="C1132" s="231" t="s">
        <v>17528</v>
      </c>
      <c r="D1132" s="232" t="s">
        <v>103</v>
      </c>
      <c r="E1132" s="232" t="s">
        <v>3240</v>
      </c>
      <c r="F1132" s="233"/>
      <c r="G1132" s="234"/>
      <c r="H1132" s="235">
        <v>3333.1900000000005</v>
      </c>
      <c r="I1132" s="298"/>
      <c r="J1132" s="521"/>
      <c r="K1132" s="524"/>
      <c r="L1132" s="298"/>
      <c r="M1132" s="298"/>
      <c r="N1132" s="298"/>
      <c r="O1132" s="298"/>
      <c r="P1132" s="298"/>
      <c r="Q1132" s="298"/>
      <c r="R1132" s="298"/>
      <c r="S1132" s="536"/>
      <c r="T1132" s="635"/>
      <c r="U1132" s="298"/>
      <c r="V1132" s="298"/>
      <c r="W1132" s="298"/>
      <c r="X1132" s="298"/>
      <c r="Y1132" s="298"/>
      <c r="Z1132" s="298"/>
      <c r="AA1132" s="298"/>
      <c r="AB1132" s="298"/>
      <c r="AC1132" s="298"/>
      <c r="AD1132" s="298"/>
      <c r="AE1132" s="298"/>
      <c r="AF1132" s="298"/>
      <c r="AG1132" s="298"/>
      <c r="AH1132" s="298"/>
      <c r="AI1132" s="298"/>
      <c r="AJ1132" s="298"/>
      <c r="AK1132" s="298"/>
      <c r="AL1132" s="298"/>
      <c r="AM1132" s="298"/>
      <c r="AN1132" s="298"/>
      <c r="AO1132" s="298"/>
      <c r="AP1132" s="298"/>
      <c r="AQ1132" s="298"/>
      <c r="AR1132" s="298"/>
      <c r="AS1132" s="298"/>
      <c r="AT1132" s="298"/>
      <c r="AU1132" s="298"/>
      <c r="AV1132" s="298"/>
      <c r="AW1132" s="298"/>
      <c r="AX1132" s="298"/>
      <c r="AY1132" s="298"/>
      <c r="AZ1132" s="298"/>
      <c r="BA1132" s="298"/>
      <c r="BB1132" s="298"/>
      <c r="BC1132" s="298"/>
      <c r="BD1132" s="298"/>
      <c r="BE1132" s="298"/>
      <c r="BF1132" s="298"/>
      <c r="BG1132" s="298"/>
      <c r="BH1132" s="298"/>
      <c r="BI1132" s="298"/>
      <c r="BJ1132" s="298"/>
      <c r="BK1132" s="298"/>
      <c r="BL1132" s="298"/>
      <c r="BM1132" s="298"/>
      <c r="BN1132" s="298"/>
      <c r="BO1132" s="298"/>
      <c r="BP1132" s="298"/>
    </row>
    <row r="1133" spans="1:68" s="298" customFormat="1" ht="76.5">
      <c r="A1133" s="256" t="s">
        <v>3259</v>
      </c>
      <c r="B1133" s="374">
        <v>94559</v>
      </c>
      <c r="C1133" s="289" t="s">
        <v>9151</v>
      </c>
      <c r="D1133" s="290" t="s">
        <v>229</v>
      </c>
      <c r="E1133" s="290" t="s">
        <v>193</v>
      </c>
      <c r="F1133" s="254">
        <v>3.5999999999999996</v>
      </c>
      <c r="G1133" s="292" t="s">
        <v>22101</v>
      </c>
      <c r="H1133" s="255">
        <v>2376.3200000000002</v>
      </c>
      <c r="J1133" s="521"/>
      <c r="K1133" s="524"/>
      <c r="S1133" s="536"/>
      <c r="T1133" s="638"/>
    </row>
    <row r="1134" spans="1:68" s="298" customFormat="1" ht="38.25">
      <c r="A1134" s="256" t="s">
        <v>3259</v>
      </c>
      <c r="B1134" s="374">
        <v>102162</v>
      </c>
      <c r="C1134" s="289" t="s">
        <v>12777</v>
      </c>
      <c r="D1134" s="290" t="s">
        <v>229</v>
      </c>
      <c r="E1134" s="290" t="s">
        <v>193</v>
      </c>
      <c r="F1134" s="254">
        <v>3.5999999999999996</v>
      </c>
      <c r="G1134" s="292" t="s">
        <v>22134</v>
      </c>
      <c r="H1134" s="255">
        <v>815.11</v>
      </c>
      <c r="J1134" s="760"/>
      <c r="K1134" s="524"/>
      <c r="S1134" s="536"/>
      <c r="T1134" s="638"/>
    </row>
    <row r="1135" spans="1:68" s="298" customFormat="1" ht="76.5">
      <c r="A1135" s="256" t="s">
        <v>3259</v>
      </c>
      <c r="B1135" s="374">
        <v>100745</v>
      </c>
      <c r="C1135" s="289" t="s">
        <v>23999</v>
      </c>
      <c r="D1135" s="290" t="s">
        <v>229</v>
      </c>
      <c r="E1135" s="290" t="s">
        <v>193</v>
      </c>
      <c r="F1135" s="254">
        <v>7.1999999999999993</v>
      </c>
      <c r="G1135" s="292" t="s">
        <v>10491</v>
      </c>
      <c r="H1135" s="255">
        <v>141.76</v>
      </c>
      <c r="J1135" s="521"/>
      <c r="K1135" s="524"/>
      <c r="S1135" s="536"/>
      <c r="T1135" s="638"/>
    </row>
    <row r="1136" spans="1:68" s="298" customFormat="1" ht="12.75">
      <c r="A1136" s="256"/>
      <c r="B1136" s="288" t="s">
        <v>143</v>
      </c>
      <c r="C1136" s="737" t="s">
        <v>15438</v>
      </c>
      <c r="D1136" s="386"/>
      <c r="E1136" s="386"/>
      <c r="F1136" s="386"/>
      <c r="G1136" s="386"/>
      <c r="H1136" s="387"/>
      <c r="J1136" s="521"/>
      <c r="K1136" s="524"/>
      <c r="S1136" s="536"/>
      <c r="T1136" s="635"/>
    </row>
    <row r="1137" spans="1:68" s="529" customFormat="1" ht="12.75">
      <c r="A1137" s="286"/>
      <c r="B1137" s="293"/>
      <c r="C1137" s="229"/>
      <c r="D1137" s="230"/>
      <c r="E1137" s="230"/>
      <c r="F1137" s="230"/>
      <c r="G1137" s="230"/>
      <c r="H1137" s="230"/>
      <c r="I1137" s="298"/>
      <c r="J1137" s="521"/>
      <c r="K1137" s="524"/>
      <c r="L1137" s="298"/>
      <c r="M1137" s="298"/>
      <c r="N1137" s="298"/>
      <c r="O1137" s="298"/>
      <c r="P1137" s="298"/>
      <c r="Q1137" s="298"/>
      <c r="R1137" s="298"/>
      <c r="S1137" s="536"/>
      <c r="T1137" s="635"/>
      <c r="U1137" s="298"/>
      <c r="V1137" s="298"/>
      <c r="W1137" s="298"/>
      <c r="X1137" s="298"/>
      <c r="Y1137" s="298"/>
      <c r="Z1137" s="298"/>
      <c r="AA1137" s="298"/>
      <c r="AB1137" s="298"/>
      <c r="AC1137" s="298"/>
      <c r="AD1137" s="298"/>
      <c r="AE1137" s="298"/>
      <c r="AF1137" s="298"/>
      <c r="AG1137" s="298"/>
      <c r="AH1137" s="298"/>
      <c r="AI1137" s="298"/>
      <c r="AJ1137" s="298"/>
      <c r="AK1137" s="298"/>
      <c r="AL1137" s="298"/>
      <c r="AM1137" s="298"/>
      <c r="AN1137" s="298"/>
      <c r="AO1137" s="298"/>
      <c r="AP1137" s="298"/>
      <c r="AQ1137" s="298"/>
      <c r="AR1137" s="298"/>
      <c r="AS1137" s="298"/>
      <c r="AT1137" s="298"/>
      <c r="AU1137" s="298"/>
      <c r="AV1137" s="298"/>
      <c r="AW1137" s="298"/>
      <c r="AX1137" s="298"/>
      <c r="AY1137" s="298"/>
      <c r="AZ1137" s="298"/>
      <c r="BA1137" s="298"/>
      <c r="BB1137" s="298"/>
      <c r="BC1137" s="298"/>
      <c r="BD1137" s="298"/>
      <c r="BE1137" s="298"/>
      <c r="BF1137" s="298"/>
      <c r="BG1137" s="298"/>
      <c r="BH1137" s="298"/>
      <c r="BI1137" s="298"/>
      <c r="BJ1137" s="298"/>
      <c r="BK1137" s="298"/>
      <c r="BL1137" s="298"/>
      <c r="BM1137" s="298"/>
      <c r="BN1137" s="298"/>
      <c r="BO1137" s="298"/>
      <c r="BP1137" s="298"/>
    </row>
    <row r="1138" spans="1:68" s="645" customFormat="1" ht="63.75">
      <c r="A1138" s="376"/>
      <c r="B1138" s="372" t="s">
        <v>24694</v>
      </c>
      <c r="C1138" s="231" t="s">
        <v>17467</v>
      </c>
      <c r="D1138" s="232" t="s">
        <v>103</v>
      </c>
      <c r="E1138" s="232" t="s">
        <v>3240</v>
      </c>
      <c r="F1138" s="233"/>
      <c r="G1138" s="234"/>
      <c r="H1138" s="235">
        <v>801.59999999999991</v>
      </c>
      <c r="I1138" s="298"/>
      <c r="J1138" s="521"/>
      <c r="K1138" s="524"/>
      <c r="L1138" s="298"/>
      <c r="M1138" s="298"/>
      <c r="N1138" s="298"/>
      <c r="O1138" s="298"/>
      <c r="P1138" s="298"/>
      <c r="Q1138" s="298"/>
      <c r="R1138" s="298"/>
      <c r="S1138" s="536"/>
      <c r="T1138" s="635"/>
      <c r="U1138" s="298"/>
      <c r="V1138" s="298"/>
      <c r="W1138" s="298"/>
      <c r="X1138" s="298"/>
      <c r="Y1138" s="298"/>
      <c r="Z1138" s="298"/>
      <c r="AA1138" s="298"/>
      <c r="AB1138" s="298"/>
      <c r="AC1138" s="298"/>
      <c r="AD1138" s="298"/>
      <c r="AE1138" s="298"/>
      <c r="AF1138" s="298"/>
      <c r="AG1138" s="298"/>
      <c r="AH1138" s="298"/>
      <c r="AI1138" s="298"/>
      <c r="AJ1138" s="298"/>
      <c r="AK1138" s="298"/>
      <c r="AL1138" s="298"/>
      <c r="AM1138" s="298"/>
      <c r="AN1138" s="298"/>
      <c r="AO1138" s="298"/>
      <c r="AP1138" s="298"/>
      <c r="AQ1138" s="298"/>
      <c r="AR1138" s="298"/>
      <c r="AS1138" s="298"/>
      <c r="AT1138" s="298"/>
      <c r="AU1138" s="298"/>
      <c r="AV1138" s="298"/>
      <c r="AW1138" s="298"/>
      <c r="AX1138" s="298"/>
      <c r="AY1138" s="298"/>
      <c r="AZ1138" s="298"/>
      <c r="BA1138" s="298"/>
      <c r="BB1138" s="298"/>
      <c r="BC1138" s="298"/>
      <c r="BD1138" s="298"/>
      <c r="BE1138" s="298"/>
      <c r="BF1138" s="298"/>
      <c r="BG1138" s="298"/>
      <c r="BH1138" s="298"/>
      <c r="BI1138" s="298"/>
      <c r="BJ1138" s="298"/>
      <c r="BK1138" s="298"/>
      <c r="BL1138" s="298"/>
      <c r="BM1138" s="298"/>
      <c r="BN1138" s="298"/>
      <c r="BO1138" s="298"/>
      <c r="BP1138" s="298"/>
    </row>
    <row r="1139" spans="1:68" s="298" customFormat="1" ht="38.25">
      <c r="A1139" s="256" t="s">
        <v>14338</v>
      </c>
      <c r="B1139" s="374" t="s">
        <v>15400</v>
      </c>
      <c r="C1139" s="289" t="s">
        <v>17464</v>
      </c>
      <c r="D1139" s="290" t="s">
        <v>103</v>
      </c>
      <c r="E1139" s="290" t="s">
        <v>10</v>
      </c>
      <c r="F1139" s="291">
        <v>1</v>
      </c>
      <c r="G1139" s="292">
        <v>699.06</v>
      </c>
      <c r="H1139" s="255">
        <v>699.06</v>
      </c>
      <c r="J1139" s="634"/>
      <c r="K1139" s="524"/>
      <c r="S1139" s="536"/>
      <c r="T1139" s="638"/>
    </row>
    <row r="1140" spans="1:68" s="298" customFormat="1" ht="51">
      <c r="A1140" s="256" t="s">
        <v>3259</v>
      </c>
      <c r="B1140" s="374">
        <v>100727</v>
      </c>
      <c r="C1140" s="289" t="s">
        <v>23992</v>
      </c>
      <c r="D1140" s="290" t="s">
        <v>229</v>
      </c>
      <c r="E1140" s="290" t="s">
        <v>193</v>
      </c>
      <c r="F1140" s="254">
        <v>2.4146990214100175</v>
      </c>
      <c r="G1140" s="292" t="s">
        <v>11270</v>
      </c>
      <c r="H1140" s="255">
        <v>28.92</v>
      </c>
      <c r="J1140" s="521"/>
      <c r="K1140" s="524"/>
      <c r="S1140" s="536"/>
      <c r="T1140" s="638"/>
    </row>
    <row r="1141" spans="1:68" s="298" customFormat="1" ht="51">
      <c r="A1141" s="256" t="s">
        <v>3259</v>
      </c>
      <c r="B1141" s="374">
        <v>100751</v>
      </c>
      <c r="C1141" s="289" t="s">
        <v>24002</v>
      </c>
      <c r="D1141" s="290" t="s">
        <v>229</v>
      </c>
      <c r="E1141" s="290" t="s">
        <v>193</v>
      </c>
      <c r="F1141" s="254">
        <v>2.4146990214100175</v>
      </c>
      <c r="G1141" s="292" t="s">
        <v>11016</v>
      </c>
      <c r="H1141" s="255">
        <v>73.62</v>
      </c>
      <c r="J1141" s="521"/>
      <c r="K1141" s="763"/>
      <c r="S1141" s="536"/>
      <c r="T1141" s="638"/>
    </row>
    <row r="1142" spans="1:68" s="298" customFormat="1" ht="12.75">
      <c r="A1142" s="256"/>
      <c r="B1142" s="288" t="s">
        <v>143</v>
      </c>
      <c r="C1142" s="742" t="s">
        <v>15438</v>
      </c>
      <c r="D1142" s="386"/>
      <c r="E1142" s="386"/>
      <c r="F1142" s="386"/>
      <c r="G1142" s="386"/>
      <c r="H1142" s="387"/>
      <c r="J1142" s="521"/>
      <c r="K1142" s="524"/>
      <c r="S1142" s="536"/>
      <c r="T1142" s="635"/>
    </row>
    <row r="1143" spans="1:68" s="529" customFormat="1" ht="12.75">
      <c r="A1143" s="286"/>
      <c r="B1143" s="384"/>
      <c r="C1143" s="385"/>
      <c r="D1143" s="388"/>
      <c r="E1143" s="388"/>
      <c r="F1143" s="388"/>
      <c r="G1143" s="388"/>
      <c r="H1143" s="389"/>
      <c r="I1143" s="298"/>
      <c r="J1143" s="634"/>
      <c r="K1143" s="298"/>
      <c r="L1143" s="298"/>
      <c r="M1143" s="298"/>
      <c r="N1143" s="298"/>
      <c r="O1143" s="298"/>
      <c r="P1143" s="298"/>
      <c r="Q1143" s="298"/>
      <c r="R1143" s="298"/>
      <c r="S1143" s="536"/>
      <c r="T1143" s="635"/>
      <c r="U1143" s="298"/>
      <c r="V1143" s="298"/>
      <c r="W1143" s="298"/>
      <c r="X1143" s="298"/>
      <c r="Y1143" s="298"/>
      <c r="Z1143" s="298"/>
      <c r="AA1143" s="298"/>
      <c r="AB1143" s="298"/>
      <c r="AC1143" s="298"/>
      <c r="AD1143" s="298"/>
      <c r="AE1143" s="298"/>
      <c r="AF1143" s="298"/>
      <c r="AG1143" s="298"/>
      <c r="AH1143" s="298"/>
      <c r="AI1143" s="298"/>
      <c r="AJ1143" s="298"/>
      <c r="AK1143" s="298"/>
      <c r="AL1143" s="298"/>
      <c r="AM1143" s="298"/>
      <c r="AN1143" s="298"/>
      <c r="AO1143" s="298"/>
      <c r="AP1143" s="298"/>
      <c r="AQ1143" s="298"/>
      <c r="AR1143" s="298"/>
      <c r="AS1143" s="298"/>
      <c r="AT1143" s="298"/>
      <c r="AU1143" s="298"/>
      <c r="AV1143" s="298"/>
      <c r="AW1143" s="298"/>
      <c r="AX1143" s="298"/>
      <c r="AY1143" s="298"/>
      <c r="AZ1143" s="298"/>
      <c r="BA1143" s="298"/>
      <c r="BB1143" s="298"/>
      <c r="BC1143" s="298"/>
      <c r="BD1143" s="298"/>
      <c r="BE1143" s="298"/>
      <c r="BF1143" s="298"/>
      <c r="BG1143" s="298"/>
      <c r="BH1143" s="298"/>
      <c r="BI1143" s="298"/>
      <c r="BJ1143" s="298"/>
      <c r="BK1143" s="298"/>
      <c r="BL1143" s="298"/>
      <c r="BM1143" s="298"/>
      <c r="BN1143" s="298"/>
      <c r="BO1143" s="298"/>
      <c r="BP1143" s="298"/>
    </row>
    <row r="1144" spans="1:68" s="298" customFormat="1" ht="25.5">
      <c r="A1144" s="286"/>
      <c r="B1144" s="372" t="s">
        <v>9618</v>
      </c>
      <c r="C1144" s="231" t="s">
        <v>17316</v>
      </c>
      <c r="D1144" s="232" t="s">
        <v>103</v>
      </c>
      <c r="E1144" s="232" t="s">
        <v>3243</v>
      </c>
      <c r="F1144" s="233"/>
      <c r="G1144" s="234"/>
      <c r="H1144" s="235">
        <v>93.34</v>
      </c>
      <c r="J1144" s="634"/>
      <c r="S1144" s="536"/>
      <c r="T1144" s="635"/>
    </row>
    <row r="1145" spans="1:68" s="298" customFormat="1" ht="25.5">
      <c r="A1145" s="256" t="s">
        <v>3261</v>
      </c>
      <c r="B1145" s="374">
        <v>9870</v>
      </c>
      <c r="C1145" s="289" t="s">
        <v>8786</v>
      </c>
      <c r="D1145" s="290" t="s">
        <v>207</v>
      </c>
      <c r="E1145" s="290" t="s">
        <v>3243</v>
      </c>
      <c r="F1145" s="383">
        <v>1.0609999999999999</v>
      </c>
      <c r="G1145" s="292" t="s">
        <v>21124</v>
      </c>
      <c r="H1145" s="255">
        <v>91.16</v>
      </c>
      <c r="J1145" s="634"/>
      <c r="S1145" s="536"/>
      <c r="T1145" s="635"/>
    </row>
    <row r="1146" spans="1:68" s="298" customFormat="1" ht="12.75">
      <c r="A1146" s="256" t="s">
        <v>3261</v>
      </c>
      <c r="B1146" s="374">
        <v>38383</v>
      </c>
      <c r="C1146" s="289" t="s">
        <v>6950</v>
      </c>
      <c r="D1146" s="290" t="s">
        <v>207</v>
      </c>
      <c r="E1146" s="290" t="s">
        <v>3240</v>
      </c>
      <c r="F1146" s="383">
        <v>1.8000000000000002E-2</v>
      </c>
      <c r="G1146" s="292" t="s">
        <v>11068</v>
      </c>
      <c r="H1146" s="255">
        <v>0.03</v>
      </c>
      <c r="J1146" s="634"/>
      <c r="S1146" s="536"/>
      <c r="T1146" s="635"/>
    </row>
    <row r="1147" spans="1:68" s="298" customFormat="1" ht="38.25">
      <c r="A1147" s="256" t="s">
        <v>3259</v>
      </c>
      <c r="B1147" s="374">
        <v>88248</v>
      </c>
      <c r="C1147" s="289" t="s">
        <v>106</v>
      </c>
      <c r="D1147" s="290" t="s">
        <v>9714</v>
      </c>
      <c r="E1147" s="290" t="s">
        <v>206</v>
      </c>
      <c r="F1147" s="383">
        <v>5.1999999999999998E-2</v>
      </c>
      <c r="G1147" s="292" t="s">
        <v>10175</v>
      </c>
      <c r="H1147" s="255">
        <v>0.94</v>
      </c>
      <c r="J1147" s="634"/>
      <c r="S1147" s="536"/>
      <c r="T1147" s="635"/>
    </row>
    <row r="1148" spans="1:68" s="298" customFormat="1" ht="25.5">
      <c r="A1148" s="256" t="s">
        <v>3259</v>
      </c>
      <c r="B1148" s="374">
        <v>88267</v>
      </c>
      <c r="C1148" s="289" t="s">
        <v>107</v>
      </c>
      <c r="D1148" s="290" t="s">
        <v>9714</v>
      </c>
      <c r="E1148" s="290" t="s">
        <v>206</v>
      </c>
      <c r="F1148" s="383">
        <v>5.1999999999999998E-2</v>
      </c>
      <c r="G1148" s="292" t="s">
        <v>10792</v>
      </c>
      <c r="H1148" s="255">
        <v>1.21</v>
      </c>
      <c r="J1148" s="634"/>
      <c r="S1148" s="536"/>
      <c r="T1148" s="635"/>
    </row>
    <row r="1149" spans="1:68" s="298" customFormat="1" ht="12.75">
      <c r="A1149" s="286"/>
      <c r="B1149" s="375" t="s">
        <v>143</v>
      </c>
      <c r="C1149" s="819" t="s">
        <v>17315</v>
      </c>
      <c r="D1149" s="820"/>
      <c r="E1149" s="820"/>
      <c r="F1149" s="820"/>
      <c r="G1149" s="820"/>
      <c r="H1149" s="821"/>
      <c r="J1149" s="634"/>
      <c r="S1149" s="536"/>
      <c r="T1149" s="635"/>
    </row>
    <row r="1150" spans="1:68" s="529" customFormat="1" ht="12.75">
      <c r="A1150" s="286"/>
      <c r="B1150" s="384"/>
      <c r="C1150" s="385"/>
      <c r="D1150" s="388"/>
      <c r="E1150" s="388"/>
      <c r="F1150" s="388"/>
      <c r="G1150" s="388"/>
      <c r="H1150" s="389"/>
      <c r="I1150" s="298"/>
      <c r="J1150" s="634"/>
      <c r="K1150" s="298"/>
      <c r="L1150" s="298"/>
      <c r="M1150" s="298"/>
      <c r="N1150" s="298"/>
      <c r="O1150" s="298"/>
      <c r="P1150" s="298"/>
      <c r="Q1150" s="298"/>
      <c r="R1150" s="298"/>
      <c r="S1150" s="536"/>
      <c r="T1150" s="635"/>
      <c r="U1150" s="298"/>
      <c r="V1150" s="298"/>
      <c r="W1150" s="298"/>
      <c r="X1150" s="298"/>
      <c r="Y1150" s="298"/>
      <c r="Z1150" s="298"/>
      <c r="AA1150" s="298"/>
      <c r="AB1150" s="298"/>
      <c r="AC1150" s="298"/>
      <c r="AD1150" s="298"/>
      <c r="AE1150" s="298"/>
      <c r="AF1150" s="298"/>
      <c r="AG1150" s="298"/>
      <c r="AH1150" s="298"/>
      <c r="AI1150" s="298"/>
      <c r="AJ1150" s="298"/>
      <c r="AK1150" s="298"/>
      <c r="AL1150" s="298"/>
      <c r="AM1150" s="298"/>
      <c r="AN1150" s="298"/>
      <c r="AO1150" s="298"/>
      <c r="AP1150" s="298"/>
      <c r="AQ1150" s="298"/>
      <c r="AR1150" s="298"/>
      <c r="AS1150" s="298"/>
      <c r="AT1150" s="298"/>
      <c r="AU1150" s="298"/>
      <c r="AV1150" s="298"/>
      <c r="AW1150" s="298"/>
      <c r="AX1150" s="298"/>
      <c r="AY1150" s="298"/>
      <c r="AZ1150" s="298"/>
      <c r="BA1150" s="298"/>
      <c r="BB1150" s="298"/>
      <c r="BC1150" s="298"/>
      <c r="BD1150" s="298"/>
      <c r="BE1150" s="298"/>
      <c r="BF1150" s="298"/>
      <c r="BG1150" s="298"/>
      <c r="BH1150" s="298"/>
      <c r="BI1150" s="298"/>
      <c r="BJ1150" s="298"/>
      <c r="BK1150" s="298"/>
      <c r="BL1150" s="298"/>
      <c r="BM1150" s="298"/>
      <c r="BN1150" s="298"/>
      <c r="BO1150" s="298"/>
      <c r="BP1150" s="298"/>
    </row>
    <row r="1151" spans="1:68" s="298" customFormat="1" ht="63.75">
      <c r="A1151" s="286"/>
      <c r="B1151" s="372" t="s">
        <v>9619</v>
      </c>
      <c r="C1151" s="231" t="s">
        <v>17318</v>
      </c>
      <c r="D1151" s="232" t="s">
        <v>103</v>
      </c>
      <c r="E1151" s="232" t="s">
        <v>109</v>
      </c>
      <c r="F1151" s="233"/>
      <c r="G1151" s="234"/>
      <c r="H1151" s="235">
        <v>260.69</v>
      </c>
      <c r="J1151" s="634"/>
      <c r="S1151" s="536"/>
      <c r="T1151" s="635"/>
    </row>
    <row r="1152" spans="1:68" s="298" customFormat="1" ht="25.5">
      <c r="A1152" s="256" t="s">
        <v>3261</v>
      </c>
      <c r="B1152" s="374">
        <v>3512</v>
      </c>
      <c r="C1152" s="289" t="s">
        <v>6818</v>
      </c>
      <c r="D1152" s="290" t="s">
        <v>207</v>
      </c>
      <c r="E1152" s="290" t="s">
        <v>3240</v>
      </c>
      <c r="F1152" s="383">
        <v>1</v>
      </c>
      <c r="G1152" s="292" t="s">
        <v>19972</v>
      </c>
      <c r="H1152" s="255">
        <v>227.74</v>
      </c>
      <c r="J1152" s="634"/>
      <c r="S1152" s="536"/>
      <c r="T1152" s="635"/>
    </row>
    <row r="1153" spans="1:20" s="298" customFormat="1" ht="25.5">
      <c r="A1153" s="256" t="s">
        <v>3261</v>
      </c>
      <c r="B1153" s="374">
        <v>20080</v>
      </c>
      <c r="C1153" s="289" t="s">
        <v>4685</v>
      </c>
      <c r="D1153" s="290" t="s">
        <v>207</v>
      </c>
      <c r="E1153" s="290" t="s">
        <v>3240</v>
      </c>
      <c r="F1153" s="383">
        <v>0.28899999999999998</v>
      </c>
      <c r="G1153" s="292" t="s">
        <v>18810</v>
      </c>
      <c r="H1153" s="255">
        <v>7.37</v>
      </c>
      <c r="J1153" s="634"/>
      <c r="S1153" s="536"/>
      <c r="T1153" s="635"/>
    </row>
    <row r="1154" spans="1:20" s="298" customFormat="1" ht="25.5">
      <c r="A1154" s="256" t="s">
        <v>3261</v>
      </c>
      <c r="B1154" s="374">
        <v>20083</v>
      </c>
      <c r="C1154" s="289" t="s">
        <v>8071</v>
      </c>
      <c r="D1154" s="290" t="s">
        <v>207</v>
      </c>
      <c r="E1154" s="290" t="s">
        <v>3240</v>
      </c>
      <c r="F1154" s="383">
        <v>7.5999999999999998E-2</v>
      </c>
      <c r="G1154" s="292" t="s">
        <v>20658</v>
      </c>
      <c r="H1154" s="255">
        <v>5.3</v>
      </c>
      <c r="J1154" s="634"/>
      <c r="S1154" s="536"/>
      <c r="T1154" s="635"/>
    </row>
    <row r="1155" spans="1:20" s="298" customFormat="1" ht="12.75">
      <c r="A1155" s="256" t="s">
        <v>3261</v>
      </c>
      <c r="B1155" s="374">
        <v>38383</v>
      </c>
      <c r="C1155" s="289" t="s">
        <v>6950</v>
      </c>
      <c r="D1155" s="290" t="s">
        <v>207</v>
      </c>
      <c r="E1155" s="290" t="s">
        <v>3240</v>
      </c>
      <c r="F1155" s="383">
        <v>4.8000000000000001E-2</v>
      </c>
      <c r="G1155" s="292" t="s">
        <v>11068</v>
      </c>
      <c r="H1155" s="255">
        <v>0.09</v>
      </c>
      <c r="J1155" s="634"/>
      <c r="S1155" s="536"/>
      <c r="T1155" s="635"/>
    </row>
    <row r="1156" spans="1:20" s="298" customFormat="1" ht="38.25">
      <c r="A1156" s="256" t="s">
        <v>3259</v>
      </c>
      <c r="B1156" s="374">
        <v>88248</v>
      </c>
      <c r="C1156" s="289" t="s">
        <v>106</v>
      </c>
      <c r="D1156" s="290" t="s">
        <v>9714</v>
      </c>
      <c r="E1156" s="290" t="s">
        <v>206</v>
      </c>
      <c r="F1156" s="383">
        <v>0.48499999999999999</v>
      </c>
      <c r="G1156" s="292" t="s">
        <v>10175</v>
      </c>
      <c r="H1156" s="255">
        <v>8.84</v>
      </c>
      <c r="J1156" s="634"/>
      <c r="S1156" s="536"/>
      <c r="T1156" s="635"/>
    </row>
    <row r="1157" spans="1:20" s="298" customFormat="1" ht="25.5">
      <c r="A1157" s="256" t="s">
        <v>3259</v>
      </c>
      <c r="B1157" s="374">
        <v>88267</v>
      </c>
      <c r="C1157" s="289" t="s">
        <v>107</v>
      </c>
      <c r="D1157" s="290" t="s">
        <v>9714</v>
      </c>
      <c r="E1157" s="290" t="s">
        <v>206</v>
      </c>
      <c r="F1157" s="383">
        <v>0.48499999999999999</v>
      </c>
      <c r="G1157" s="292" t="s">
        <v>10792</v>
      </c>
      <c r="H1157" s="255">
        <v>11.35</v>
      </c>
      <c r="J1157" s="634"/>
      <c r="S1157" s="536"/>
      <c r="T1157" s="635"/>
    </row>
    <row r="1158" spans="1:20" s="298" customFormat="1" ht="12.75">
      <c r="A1158" s="286"/>
      <c r="B1158" s="375" t="s">
        <v>143</v>
      </c>
      <c r="C1158" s="819" t="s">
        <v>17317</v>
      </c>
      <c r="D1158" s="820"/>
      <c r="E1158" s="820"/>
      <c r="F1158" s="820"/>
      <c r="G1158" s="820"/>
      <c r="H1158" s="821"/>
      <c r="J1158" s="634"/>
      <c r="S1158" s="536"/>
      <c r="T1158" s="635"/>
    </row>
    <row r="1159" spans="1:20" s="298" customFormat="1" ht="12.75">
      <c r="A1159" s="286"/>
      <c r="B1159" s="373"/>
      <c r="C1159" s="379"/>
      <c r="D1159" s="379"/>
      <c r="E1159" s="379"/>
      <c r="F1159" s="379"/>
      <c r="G1159" s="379"/>
      <c r="H1159" s="379"/>
      <c r="J1159" s="634"/>
      <c r="S1159" s="536"/>
      <c r="T1159" s="635"/>
    </row>
    <row r="1160" spans="1:20" s="298" customFormat="1" ht="38.25">
      <c r="A1160" s="286"/>
      <c r="B1160" s="372" t="s">
        <v>9620</v>
      </c>
      <c r="C1160" s="231" t="s">
        <v>17335</v>
      </c>
      <c r="D1160" s="232" t="s">
        <v>103</v>
      </c>
      <c r="E1160" s="232" t="s">
        <v>3240</v>
      </c>
      <c r="F1160" s="233"/>
      <c r="G1160" s="234"/>
      <c r="H1160" s="235">
        <v>20.41</v>
      </c>
      <c r="J1160" s="634"/>
      <c r="S1160" s="536"/>
      <c r="T1160" s="635"/>
    </row>
    <row r="1161" spans="1:20" s="298" customFormat="1" ht="25.5">
      <c r="A1161" s="256" t="s">
        <v>3261</v>
      </c>
      <c r="B1161" s="374">
        <v>122</v>
      </c>
      <c r="C1161" s="289" t="s">
        <v>4686</v>
      </c>
      <c r="D1161" s="290" t="s">
        <v>207</v>
      </c>
      <c r="E1161" s="290" t="s">
        <v>3240</v>
      </c>
      <c r="F1161" s="383">
        <v>2.4E-2</v>
      </c>
      <c r="G1161" s="292" t="s">
        <v>16584</v>
      </c>
      <c r="H1161" s="255">
        <v>1.92</v>
      </c>
      <c r="J1161" s="634"/>
      <c r="S1161" s="536"/>
      <c r="T1161" s="635"/>
    </row>
    <row r="1162" spans="1:20" s="298" customFormat="1" ht="38.25">
      <c r="A1162" s="256" t="s">
        <v>3261</v>
      </c>
      <c r="B1162" s="374">
        <v>815</v>
      </c>
      <c r="C1162" s="289" t="s">
        <v>5072</v>
      </c>
      <c r="D1162" s="290" t="s">
        <v>207</v>
      </c>
      <c r="E1162" s="290" t="s">
        <v>3240</v>
      </c>
      <c r="F1162" s="383">
        <v>1</v>
      </c>
      <c r="G1162" s="292" t="s">
        <v>10236</v>
      </c>
      <c r="H1162" s="255">
        <v>12.83</v>
      </c>
      <c r="J1162" s="634"/>
      <c r="S1162" s="536"/>
      <c r="T1162" s="635"/>
    </row>
    <row r="1163" spans="1:20" s="298" customFormat="1" ht="25.5">
      <c r="A1163" s="256" t="s">
        <v>3261</v>
      </c>
      <c r="B1163" s="374">
        <v>20083</v>
      </c>
      <c r="C1163" s="289" t="s">
        <v>8071</v>
      </c>
      <c r="D1163" s="290" t="s">
        <v>207</v>
      </c>
      <c r="E1163" s="290" t="s">
        <v>3240</v>
      </c>
      <c r="F1163" s="383">
        <v>0.03</v>
      </c>
      <c r="G1163" s="292" t="s">
        <v>20658</v>
      </c>
      <c r="H1163" s="255">
        <v>2.09</v>
      </c>
      <c r="J1163" s="634"/>
      <c r="S1163" s="536"/>
      <c r="T1163" s="635"/>
    </row>
    <row r="1164" spans="1:20" s="298" customFormat="1" ht="12.75">
      <c r="A1164" s="256" t="s">
        <v>3261</v>
      </c>
      <c r="B1164" s="374">
        <v>38383</v>
      </c>
      <c r="C1164" s="289" t="s">
        <v>6950</v>
      </c>
      <c r="D1164" s="290" t="s">
        <v>207</v>
      </c>
      <c r="E1164" s="290" t="s">
        <v>3240</v>
      </c>
      <c r="F1164" s="383">
        <v>2.8000000000000001E-2</v>
      </c>
      <c r="G1164" s="292" t="s">
        <v>11068</v>
      </c>
      <c r="H1164" s="255">
        <v>0.05</v>
      </c>
      <c r="J1164" s="634"/>
      <c r="S1164" s="536"/>
      <c r="T1164" s="635"/>
    </row>
    <row r="1165" spans="1:20" s="298" customFormat="1" ht="38.25">
      <c r="A1165" s="256" t="s">
        <v>3259</v>
      </c>
      <c r="B1165" s="374">
        <v>88248</v>
      </c>
      <c r="C1165" s="289" t="s">
        <v>106</v>
      </c>
      <c r="D1165" s="290" t="s">
        <v>9714</v>
      </c>
      <c r="E1165" s="290" t="s">
        <v>206</v>
      </c>
      <c r="F1165" s="383">
        <v>8.5000000000000006E-2</v>
      </c>
      <c r="G1165" s="292" t="s">
        <v>10175</v>
      </c>
      <c r="H1165" s="255">
        <v>1.54</v>
      </c>
      <c r="J1165" s="634"/>
      <c r="S1165" s="536"/>
      <c r="T1165" s="635"/>
    </row>
    <row r="1166" spans="1:20" s="298" customFormat="1" ht="25.5">
      <c r="A1166" s="256" t="s">
        <v>3259</v>
      </c>
      <c r="B1166" s="374">
        <v>88267</v>
      </c>
      <c r="C1166" s="289" t="s">
        <v>107</v>
      </c>
      <c r="D1166" s="290" t="s">
        <v>9714</v>
      </c>
      <c r="E1166" s="290" t="s">
        <v>206</v>
      </c>
      <c r="F1166" s="383">
        <v>8.5000000000000006E-2</v>
      </c>
      <c r="G1166" s="292" t="s">
        <v>10792</v>
      </c>
      <c r="H1166" s="255">
        <v>1.98</v>
      </c>
      <c r="J1166" s="634"/>
      <c r="S1166" s="536"/>
      <c r="T1166" s="635"/>
    </row>
    <row r="1167" spans="1:20" s="298" customFormat="1" ht="12.75">
      <c r="A1167" s="286"/>
      <c r="B1167" s="375" t="s">
        <v>143</v>
      </c>
      <c r="C1167" s="819" t="s">
        <v>14646</v>
      </c>
      <c r="D1167" s="820"/>
      <c r="E1167" s="820"/>
      <c r="F1167" s="820"/>
      <c r="G1167" s="820"/>
      <c r="H1167" s="821"/>
      <c r="J1167" s="634"/>
      <c r="S1167" s="536"/>
      <c r="T1167" s="635"/>
    </row>
    <row r="1168" spans="1:20" s="298" customFormat="1" ht="12.75">
      <c r="A1168" s="286"/>
      <c r="B1168" s="373"/>
      <c r="C1168" s="379"/>
      <c r="D1168" s="379"/>
      <c r="E1168" s="379"/>
      <c r="F1168" s="379"/>
      <c r="G1168" s="379"/>
      <c r="H1168" s="379"/>
      <c r="J1168" s="634"/>
      <c r="S1168" s="536"/>
      <c r="T1168" s="635"/>
    </row>
    <row r="1169" spans="1:20" s="298" customFormat="1" ht="38.25">
      <c r="A1169" s="286"/>
      <c r="B1169" s="372" t="s">
        <v>9621</v>
      </c>
      <c r="C1169" s="231" t="s">
        <v>14640</v>
      </c>
      <c r="D1169" s="232" t="s">
        <v>103</v>
      </c>
      <c r="E1169" s="232" t="s">
        <v>3240</v>
      </c>
      <c r="F1169" s="233"/>
      <c r="G1169" s="234"/>
      <c r="H1169" s="235">
        <v>41.67</v>
      </c>
      <c r="J1169" s="634"/>
      <c r="S1169" s="536"/>
      <c r="T1169" s="635"/>
    </row>
    <row r="1170" spans="1:20" s="298" customFormat="1" ht="25.5">
      <c r="A1170" s="256" t="s">
        <v>3261</v>
      </c>
      <c r="B1170" s="374">
        <v>122</v>
      </c>
      <c r="C1170" s="289" t="s">
        <v>4686</v>
      </c>
      <c r="D1170" s="290" t="s">
        <v>207</v>
      </c>
      <c r="E1170" s="290" t="s">
        <v>3240</v>
      </c>
      <c r="F1170" s="383">
        <v>0.09</v>
      </c>
      <c r="G1170" s="292" t="s">
        <v>16584</v>
      </c>
      <c r="H1170" s="255">
        <v>7.23</v>
      </c>
      <c r="J1170" s="634"/>
      <c r="S1170" s="536"/>
      <c r="T1170" s="635"/>
    </row>
    <row r="1171" spans="1:20" s="298" customFormat="1" ht="38.25">
      <c r="A1171" s="256" t="s">
        <v>3261</v>
      </c>
      <c r="B1171" s="374">
        <v>821</v>
      </c>
      <c r="C1171" s="289" t="s">
        <v>5074</v>
      </c>
      <c r="D1171" s="290" t="s">
        <v>207</v>
      </c>
      <c r="E1171" s="290" t="s">
        <v>3240</v>
      </c>
      <c r="F1171" s="383">
        <v>1</v>
      </c>
      <c r="G1171" s="292" t="s">
        <v>10119</v>
      </c>
      <c r="H1171" s="255">
        <v>18.260000000000002</v>
      </c>
      <c r="J1171" s="634"/>
      <c r="S1171" s="536"/>
      <c r="T1171" s="635"/>
    </row>
    <row r="1172" spans="1:20" s="298" customFormat="1" ht="25.5">
      <c r="A1172" s="256" t="s">
        <v>3261</v>
      </c>
      <c r="B1172" s="374">
        <v>20083</v>
      </c>
      <c r="C1172" s="289" t="s">
        <v>8071</v>
      </c>
      <c r="D1172" s="290" t="s">
        <v>207</v>
      </c>
      <c r="E1172" s="290" t="s">
        <v>3240</v>
      </c>
      <c r="F1172" s="383">
        <v>0.09</v>
      </c>
      <c r="G1172" s="292" t="s">
        <v>20658</v>
      </c>
      <c r="H1172" s="255">
        <v>6.28</v>
      </c>
      <c r="J1172" s="634"/>
      <c r="S1172" s="536"/>
      <c r="T1172" s="635"/>
    </row>
    <row r="1173" spans="1:20" s="298" customFormat="1" ht="12.75">
      <c r="A1173" s="256" t="s">
        <v>3261</v>
      </c>
      <c r="B1173" s="374">
        <v>38383</v>
      </c>
      <c r="C1173" s="289" t="s">
        <v>6950</v>
      </c>
      <c r="D1173" s="290" t="s">
        <v>207</v>
      </c>
      <c r="E1173" s="290" t="s">
        <v>3240</v>
      </c>
      <c r="F1173" s="383">
        <v>5.8999999999999997E-2</v>
      </c>
      <c r="G1173" s="292" t="s">
        <v>11068</v>
      </c>
      <c r="H1173" s="255">
        <v>0.12</v>
      </c>
      <c r="J1173" s="634"/>
      <c r="S1173" s="536"/>
      <c r="T1173" s="635"/>
    </row>
    <row r="1174" spans="1:20" s="298" customFormat="1" ht="38.25">
      <c r="A1174" s="256" t="s">
        <v>3259</v>
      </c>
      <c r="B1174" s="374">
        <v>88248</v>
      </c>
      <c r="C1174" s="289" t="s">
        <v>106</v>
      </c>
      <c r="D1174" s="290" t="s">
        <v>9714</v>
      </c>
      <c r="E1174" s="290" t="s">
        <v>206</v>
      </c>
      <c r="F1174" s="383">
        <v>0.23499999999999999</v>
      </c>
      <c r="G1174" s="292" t="s">
        <v>10175</v>
      </c>
      <c r="H1174" s="255">
        <v>4.28</v>
      </c>
      <c r="J1174" s="634"/>
      <c r="S1174" s="536"/>
      <c r="T1174" s="635"/>
    </row>
    <row r="1175" spans="1:20" s="298" customFormat="1" ht="25.5">
      <c r="A1175" s="256" t="s">
        <v>3259</v>
      </c>
      <c r="B1175" s="374">
        <v>88267</v>
      </c>
      <c r="C1175" s="289" t="s">
        <v>107</v>
      </c>
      <c r="D1175" s="290" t="s">
        <v>9714</v>
      </c>
      <c r="E1175" s="290" t="s">
        <v>206</v>
      </c>
      <c r="F1175" s="383">
        <v>0.23499999999999999</v>
      </c>
      <c r="G1175" s="292" t="s">
        <v>10792</v>
      </c>
      <c r="H1175" s="255">
        <v>5.5</v>
      </c>
      <c r="J1175" s="634"/>
      <c r="S1175" s="536"/>
      <c r="T1175" s="635"/>
    </row>
    <row r="1176" spans="1:20" s="298" customFormat="1" ht="12.75">
      <c r="A1176" s="286"/>
      <c r="B1176" s="375" t="s">
        <v>143</v>
      </c>
      <c r="C1176" s="819" t="s">
        <v>14639</v>
      </c>
      <c r="D1176" s="820"/>
      <c r="E1176" s="820"/>
      <c r="F1176" s="820"/>
      <c r="G1176" s="820"/>
      <c r="H1176" s="821"/>
      <c r="J1176" s="634"/>
      <c r="S1176" s="536"/>
      <c r="T1176" s="635"/>
    </row>
    <row r="1177" spans="1:20" s="298" customFormat="1" ht="12.75">
      <c r="A1177" s="286"/>
      <c r="B1177" s="373"/>
      <c r="C1177" s="379"/>
      <c r="D1177" s="379"/>
      <c r="E1177" s="379"/>
      <c r="F1177" s="379"/>
      <c r="G1177" s="379"/>
      <c r="H1177" s="379"/>
      <c r="J1177" s="634"/>
      <c r="S1177" s="536"/>
      <c r="T1177" s="635"/>
    </row>
    <row r="1178" spans="1:20" s="298" customFormat="1" ht="38.25">
      <c r="A1178" s="286"/>
      <c r="B1178" s="372" t="s">
        <v>9622</v>
      </c>
      <c r="C1178" s="231" t="s">
        <v>14641</v>
      </c>
      <c r="D1178" s="232" t="s">
        <v>103</v>
      </c>
      <c r="E1178" s="232" t="s">
        <v>3240</v>
      </c>
      <c r="F1178" s="233"/>
      <c r="G1178" s="234"/>
      <c r="H1178" s="235">
        <v>10.55</v>
      </c>
      <c r="J1178" s="634"/>
      <c r="S1178" s="536"/>
      <c r="T1178" s="635"/>
    </row>
    <row r="1179" spans="1:20" s="298" customFormat="1" ht="25.5">
      <c r="A1179" s="256" t="s">
        <v>3261</v>
      </c>
      <c r="B1179" s="374">
        <v>122</v>
      </c>
      <c r="C1179" s="289" t="s">
        <v>4686</v>
      </c>
      <c r="D1179" s="290" t="s">
        <v>207</v>
      </c>
      <c r="E1179" s="290" t="s">
        <v>3240</v>
      </c>
      <c r="F1179" s="383">
        <v>1.7999999999999999E-2</v>
      </c>
      <c r="G1179" s="292" t="s">
        <v>16584</v>
      </c>
      <c r="H1179" s="255">
        <v>1.44</v>
      </c>
      <c r="J1179" s="634"/>
      <c r="S1179" s="536"/>
      <c r="T1179" s="635"/>
    </row>
    <row r="1180" spans="1:20" s="298" customFormat="1" ht="38.25">
      <c r="A1180" s="256" t="s">
        <v>3261</v>
      </c>
      <c r="B1180" s="374">
        <v>813</v>
      </c>
      <c r="C1180" s="289" t="s">
        <v>5068</v>
      </c>
      <c r="D1180" s="290" t="s">
        <v>207</v>
      </c>
      <c r="E1180" s="290" t="s">
        <v>3240</v>
      </c>
      <c r="F1180" s="383">
        <v>1</v>
      </c>
      <c r="G1180" s="292" t="s">
        <v>9746</v>
      </c>
      <c r="H1180" s="255">
        <v>4.55</v>
      </c>
      <c r="J1180" s="634"/>
      <c r="S1180" s="536"/>
      <c r="T1180" s="635"/>
    </row>
    <row r="1181" spans="1:20" s="298" customFormat="1" ht="25.5">
      <c r="A1181" s="256" t="s">
        <v>3261</v>
      </c>
      <c r="B1181" s="374">
        <v>20083</v>
      </c>
      <c r="C1181" s="289" t="s">
        <v>8071</v>
      </c>
      <c r="D1181" s="290" t="s">
        <v>207</v>
      </c>
      <c r="E1181" s="290" t="s">
        <v>3240</v>
      </c>
      <c r="F1181" s="383">
        <v>2.1999999999999999E-2</v>
      </c>
      <c r="G1181" s="292" t="s">
        <v>20658</v>
      </c>
      <c r="H1181" s="255">
        <v>1.53</v>
      </c>
      <c r="J1181" s="634"/>
      <c r="S1181" s="536"/>
      <c r="T1181" s="635"/>
    </row>
    <row r="1182" spans="1:20" s="298" customFormat="1" ht="12.75">
      <c r="A1182" s="256" t="s">
        <v>3261</v>
      </c>
      <c r="B1182" s="374">
        <v>38383</v>
      </c>
      <c r="C1182" s="289" t="s">
        <v>6950</v>
      </c>
      <c r="D1182" s="290" t="s">
        <v>207</v>
      </c>
      <c r="E1182" s="290" t="s">
        <v>3240</v>
      </c>
      <c r="F1182" s="383">
        <v>2.4E-2</v>
      </c>
      <c r="G1182" s="292" t="s">
        <v>11068</v>
      </c>
      <c r="H1182" s="255">
        <v>0.04</v>
      </c>
      <c r="J1182" s="634"/>
      <c r="S1182" s="536"/>
      <c r="T1182" s="635"/>
    </row>
    <row r="1183" spans="1:20" s="298" customFormat="1" ht="38.25">
      <c r="A1183" s="256" t="s">
        <v>3259</v>
      </c>
      <c r="B1183" s="374">
        <v>88248</v>
      </c>
      <c r="C1183" s="289" t="s">
        <v>106</v>
      </c>
      <c r="D1183" s="290" t="s">
        <v>9714</v>
      </c>
      <c r="E1183" s="290" t="s">
        <v>206</v>
      </c>
      <c r="F1183" s="383">
        <v>7.1999999999999995E-2</v>
      </c>
      <c r="G1183" s="292" t="s">
        <v>10175</v>
      </c>
      <c r="H1183" s="255">
        <v>1.31</v>
      </c>
      <c r="J1183" s="634"/>
      <c r="S1183" s="536"/>
      <c r="T1183" s="635"/>
    </row>
    <row r="1184" spans="1:20" s="298" customFormat="1" ht="25.5">
      <c r="A1184" s="256" t="s">
        <v>3259</v>
      </c>
      <c r="B1184" s="374">
        <v>88267</v>
      </c>
      <c r="C1184" s="289" t="s">
        <v>107</v>
      </c>
      <c r="D1184" s="290" t="s">
        <v>9714</v>
      </c>
      <c r="E1184" s="290" t="s">
        <v>206</v>
      </c>
      <c r="F1184" s="383">
        <v>7.1999999999999995E-2</v>
      </c>
      <c r="G1184" s="292" t="s">
        <v>10792</v>
      </c>
      <c r="H1184" s="255">
        <v>1.68</v>
      </c>
      <c r="J1184" s="634"/>
      <c r="S1184" s="536"/>
      <c r="T1184" s="635"/>
    </row>
    <row r="1185" spans="1:20" s="298" customFormat="1" ht="12.75">
      <c r="A1185" s="286"/>
      <c r="B1185" s="375" t="s">
        <v>143</v>
      </c>
      <c r="C1185" s="819" t="s">
        <v>14642</v>
      </c>
      <c r="D1185" s="820"/>
      <c r="E1185" s="820"/>
      <c r="F1185" s="820"/>
      <c r="G1185" s="820"/>
      <c r="H1185" s="821"/>
      <c r="J1185" s="634"/>
      <c r="S1185" s="536"/>
      <c r="T1185" s="635"/>
    </row>
    <row r="1186" spans="1:20" s="298" customFormat="1" ht="12.75">
      <c r="A1186" s="286"/>
      <c r="B1186" s="373"/>
      <c r="C1186" s="379"/>
      <c r="D1186" s="379"/>
      <c r="E1186" s="379"/>
      <c r="F1186" s="379"/>
      <c r="G1186" s="379"/>
      <c r="H1186" s="379"/>
      <c r="J1186" s="634"/>
      <c r="S1186" s="536"/>
      <c r="T1186" s="635"/>
    </row>
    <row r="1187" spans="1:20" s="298" customFormat="1" ht="38.25">
      <c r="A1187" s="286"/>
      <c r="B1187" s="372" t="s">
        <v>9623</v>
      </c>
      <c r="C1187" s="231" t="s">
        <v>14643</v>
      </c>
      <c r="D1187" s="232" t="s">
        <v>103</v>
      </c>
      <c r="E1187" s="232" t="s">
        <v>3240</v>
      </c>
      <c r="F1187" s="233"/>
      <c r="G1187" s="234"/>
      <c r="H1187" s="235">
        <v>29.03</v>
      </c>
      <c r="J1187" s="634"/>
      <c r="S1187" s="536"/>
      <c r="T1187" s="635"/>
    </row>
    <row r="1188" spans="1:20" s="298" customFormat="1" ht="25.5">
      <c r="A1188" s="256" t="s">
        <v>3261</v>
      </c>
      <c r="B1188" s="374">
        <v>122</v>
      </c>
      <c r="C1188" s="289" t="s">
        <v>4686</v>
      </c>
      <c r="D1188" s="290" t="s">
        <v>207</v>
      </c>
      <c r="E1188" s="290" t="s">
        <v>3240</v>
      </c>
      <c r="F1188" s="383">
        <v>0.04</v>
      </c>
      <c r="G1188" s="292" t="s">
        <v>16584</v>
      </c>
      <c r="H1188" s="255">
        <v>3.21</v>
      </c>
      <c r="J1188" s="634"/>
      <c r="S1188" s="536"/>
      <c r="T1188" s="635"/>
    </row>
    <row r="1189" spans="1:20" s="298" customFormat="1" ht="38.25">
      <c r="A1189" s="256" t="s">
        <v>3261</v>
      </c>
      <c r="B1189" s="374">
        <v>823</v>
      </c>
      <c r="C1189" s="289" t="s">
        <v>5060</v>
      </c>
      <c r="D1189" s="290" t="s">
        <v>207</v>
      </c>
      <c r="E1189" s="290" t="s">
        <v>3240</v>
      </c>
      <c r="F1189" s="383">
        <v>1</v>
      </c>
      <c r="G1189" s="292" t="s">
        <v>11042</v>
      </c>
      <c r="H1189" s="255">
        <v>17.8</v>
      </c>
      <c r="J1189" s="634"/>
      <c r="S1189" s="536"/>
      <c r="T1189" s="635"/>
    </row>
    <row r="1190" spans="1:20" s="298" customFormat="1" ht="25.5">
      <c r="A1190" s="256" t="s">
        <v>3261</v>
      </c>
      <c r="B1190" s="374">
        <v>20083</v>
      </c>
      <c r="C1190" s="289" t="s">
        <v>8071</v>
      </c>
      <c r="D1190" s="290" t="s">
        <v>207</v>
      </c>
      <c r="E1190" s="290" t="s">
        <v>3240</v>
      </c>
      <c r="F1190" s="383">
        <v>5.1999999999999998E-2</v>
      </c>
      <c r="G1190" s="292" t="s">
        <v>20658</v>
      </c>
      <c r="H1190" s="255">
        <v>3.63</v>
      </c>
      <c r="J1190" s="634"/>
      <c r="S1190" s="536"/>
      <c r="T1190" s="635"/>
    </row>
    <row r="1191" spans="1:20" s="298" customFormat="1" ht="12.75">
      <c r="A1191" s="256" t="s">
        <v>3261</v>
      </c>
      <c r="B1191" s="374">
        <v>38383</v>
      </c>
      <c r="C1191" s="289" t="s">
        <v>6950</v>
      </c>
      <c r="D1191" s="290" t="s">
        <v>207</v>
      </c>
      <c r="E1191" s="290" t="s">
        <v>3240</v>
      </c>
      <c r="F1191" s="383">
        <v>3.5000000000000003E-2</v>
      </c>
      <c r="G1191" s="292" t="s">
        <v>11068</v>
      </c>
      <c r="H1191" s="255">
        <v>7.0000000000000007E-2</v>
      </c>
      <c r="J1191" s="634"/>
      <c r="S1191" s="536"/>
      <c r="T1191" s="635"/>
    </row>
    <row r="1192" spans="1:20" s="298" customFormat="1" ht="38.25">
      <c r="A1192" s="256" t="s">
        <v>3259</v>
      </c>
      <c r="B1192" s="374">
        <v>88248</v>
      </c>
      <c r="C1192" s="289" t="s">
        <v>106</v>
      </c>
      <c r="D1192" s="290" t="s">
        <v>9714</v>
      </c>
      <c r="E1192" s="290" t="s">
        <v>206</v>
      </c>
      <c r="F1192" s="383">
        <v>0.104</v>
      </c>
      <c r="G1192" s="292" t="s">
        <v>10175</v>
      </c>
      <c r="H1192" s="255">
        <v>1.89</v>
      </c>
      <c r="J1192" s="634"/>
      <c r="S1192" s="536"/>
      <c r="T1192" s="635"/>
    </row>
    <row r="1193" spans="1:20" s="298" customFormat="1" ht="25.5">
      <c r="A1193" s="256" t="s">
        <v>3259</v>
      </c>
      <c r="B1193" s="374">
        <v>88267</v>
      </c>
      <c r="C1193" s="289" t="s">
        <v>107</v>
      </c>
      <c r="D1193" s="290" t="s">
        <v>9714</v>
      </c>
      <c r="E1193" s="290" t="s">
        <v>206</v>
      </c>
      <c r="F1193" s="383">
        <v>0.104</v>
      </c>
      <c r="G1193" s="292" t="s">
        <v>10792</v>
      </c>
      <c r="H1193" s="255">
        <v>2.4300000000000002</v>
      </c>
      <c r="J1193" s="634"/>
      <c r="S1193" s="536"/>
      <c r="T1193" s="635"/>
    </row>
    <row r="1194" spans="1:20" s="298" customFormat="1" ht="12.75">
      <c r="A1194" s="286"/>
      <c r="B1194" s="375" t="s">
        <v>143</v>
      </c>
      <c r="C1194" s="819" t="s">
        <v>14644</v>
      </c>
      <c r="D1194" s="820"/>
      <c r="E1194" s="820"/>
      <c r="F1194" s="820"/>
      <c r="G1194" s="820"/>
      <c r="H1194" s="821"/>
      <c r="J1194" s="634"/>
      <c r="S1194" s="536"/>
      <c r="T1194" s="635"/>
    </row>
    <row r="1195" spans="1:20" s="298" customFormat="1" ht="12.75">
      <c r="A1195" s="286"/>
      <c r="B1195" s="373"/>
      <c r="C1195" s="379"/>
      <c r="D1195" s="379"/>
      <c r="E1195" s="379"/>
      <c r="F1195" s="379"/>
      <c r="G1195" s="379"/>
      <c r="H1195" s="379"/>
      <c r="J1195" s="634"/>
      <c r="S1195" s="536"/>
      <c r="T1195" s="635"/>
    </row>
    <row r="1196" spans="1:20" s="298" customFormat="1" ht="38.25">
      <c r="A1196" s="286"/>
      <c r="B1196" s="372" t="s">
        <v>9632</v>
      </c>
      <c r="C1196" s="231" t="s">
        <v>14645</v>
      </c>
      <c r="D1196" s="232" t="s">
        <v>103</v>
      </c>
      <c r="E1196" s="232" t="s">
        <v>3240</v>
      </c>
      <c r="F1196" s="233"/>
      <c r="G1196" s="234"/>
      <c r="H1196" s="235">
        <v>13.49</v>
      </c>
      <c r="J1196" s="634"/>
      <c r="S1196" s="536"/>
      <c r="T1196" s="635"/>
    </row>
    <row r="1197" spans="1:20" s="298" customFormat="1" ht="25.5">
      <c r="A1197" s="256" t="s">
        <v>3261</v>
      </c>
      <c r="B1197" s="374">
        <v>122</v>
      </c>
      <c r="C1197" s="289" t="s">
        <v>4686</v>
      </c>
      <c r="D1197" s="290" t="s">
        <v>207</v>
      </c>
      <c r="E1197" s="290" t="s">
        <v>3240</v>
      </c>
      <c r="F1197" s="383">
        <v>2.4E-2</v>
      </c>
      <c r="G1197" s="292" t="s">
        <v>16584</v>
      </c>
      <c r="H1197" s="255">
        <v>1.92</v>
      </c>
      <c r="J1197" s="634"/>
      <c r="S1197" s="536"/>
      <c r="T1197" s="635"/>
    </row>
    <row r="1198" spans="1:20" s="298" customFormat="1" ht="38.25">
      <c r="A1198" s="256" t="s">
        <v>3261</v>
      </c>
      <c r="B1198" s="374">
        <v>818</v>
      </c>
      <c r="C1198" s="289" t="s">
        <v>5059</v>
      </c>
      <c r="D1198" s="290" t="s">
        <v>207</v>
      </c>
      <c r="E1198" s="290" t="s">
        <v>3240</v>
      </c>
      <c r="F1198" s="383">
        <v>1</v>
      </c>
      <c r="G1198" s="292" t="s">
        <v>9780</v>
      </c>
      <c r="H1198" s="255">
        <v>5.91</v>
      </c>
      <c r="J1198" s="634"/>
      <c r="S1198" s="536"/>
      <c r="T1198" s="635"/>
    </row>
    <row r="1199" spans="1:20" s="298" customFormat="1" ht="25.5">
      <c r="A1199" s="256" t="s">
        <v>3261</v>
      </c>
      <c r="B1199" s="374">
        <v>20083</v>
      </c>
      <c r="C1199" s="289" t="s">
        <v>8071</v>
      </c>
      <c r="D1199" s="290" t="s">
        <v>207</v>
      </c>
      <c r="E1199" s="290" t="s">
        <v>3240</v>
      </c>
      <c r="F1199" s="383">
        <v>0.03</v>
      </c>
      <c r="G1199" s="292" t="s">
        <v>20658</v>
      </c>
      <c r="H1199" s="255">
        <v>2.09</v>
      </c>
      <c r="J1199" s="634"/>
      <c r="S1199" s="536"/>
      <c r="T1199" s="635"/>
    </row>
    <row r="1200" spans="1:20" s="298" customFormat="1" ht="12.75">
      <c r="A1200" s="256" t="s">
        <v>3261</v>
      </c>
      <c r="B1200" s="374">
        <v>38383</v>
      </c>
      <c r="C1200" s="289" t="s">
        <v>6950</v>
      </c>
      <c r="D1200" s="290" t="s">
        <v>207</v>
      </c>
      <c r="E1200" s="290" t="s">
        <v>3240</v>
      </c>
      <c r="F1200" s="383">
        <v>2.8000000000000001E-2</v>
      </c>
      <c r="G1200" s="292" t="s">
        <v>11068</v>
      </c>
      <c r="H1200" s="255">
        <v>0.05</v>
      </c>
      <c r="J1200" s="634"/>
      <c r="S1200" s="536"/>
      <c r="T1200" s="635"/>
    </row>
    <row r="1201" spans="1:20" s="298" customFormat="1" ht="38.25">
      <c r="A1201" s="256" t="s">
        <v>3259</v>
      </c>
      <c r="B1201" s="374">
        <v>88248</v>
      </c>
      <c r="C1201" s="289" t="s">
        <v>106</v>
      </c>
      <c r="D1201" s="290" t="s">
        <v>9714</v>
      </c>
      <c r="E1201" s="290" t="s">
        <v>206</v>
      </c>
      <c r="F1201" s="383">
        <v>8.5000000000000006E-2</v>
      </c>
      <c r="G1201" s="292" t="s">
        <v>10175</v>
      </c>
      <c r="H1201" s="255">
        <v>1.54</v>
      </c>
      <c r="J1201" s="634"/>
      <c r="S1201" s="536"/>
      <c r="T1201" s="635"/>
    </row>
    <row r="1202" spans="1:20" s="298" customFormat="1" ht="25.5">
      <c r="A1202" s="256" t="s">
        <v>3259</v>
      </c>
      <c r="B1202" s="374">
        <v>88267</v>
      </c>
      <c r="C1202" s="289" t="s">
        <v>107</v>
      </c>
      <c r="D1202" s="290" t="s">
        <v>9714</v>
      </c>
      <c r="E1202" s="290" t="s">
        <v>206</v>
      </c>
      <c r="F1202" s="383">
        <v>8.5000000000000006E-2</v>
      </c>
      <c r="G1202" s="292" t="s">
        <v>10792</v>
      </c>
      <c r="H1202" s="255">
        <v>1.98</v>
      </c>
      <c r="J1202" s="634"/>
      <c r="S1202" s="536"/>
      <c r="T1202" s="635"/>
    </row>
    <row r="1203" spans="1:20" s="298" customFormat="1" ht="12.75">
      <c r="A1203" s="286"/>
      <c r="B1203" s="375" t="s">
        <v>143</v>
      </c>
      <c r="C1203" s="819" t="s">
        <v>14646</v>
      </c>
      <c r="D1203" s="820"/>
      <c r="E1203" s="820"/>
      <c r="F1203" s="820"/>
      <c r="G1203" s="820"/>
      <c r="H1203" s="821"/>
      <c r="J1203" s="634"/>
      <c r="S1203" s="536"/>
      <c r="T1203" s="635"/>
    </row>
    <row r="1204" spans="1:20" s="298" customFormat="1" ht="12.75">
      <c r="A1204" s="286"/>
      <c r="B1204" s="373"/>
      <c r="C1204" s="379"/>
      <c r="D1204" s="379"/>
      <c r="E1204" s="379"/>
      <c r="F1204" s="379"/>
      <c r="G1204" s="379"/>
      <c r="H1204" s="379"/>
      <c r="J1204" s="634"/>
      <c r="S1204" s="536"/>
      <c r="T1204" s="635"/>
    </row>
    <row r="1205" spans="1:20" s="298" customFormat="1" ht="38.25">
      <c r="A1205" s="286"/>
      <c r="B1205" s="372" t="s">
        <v>11575</v>
      </c>
      <c r="C1205" s="231" t="s">
        <v>14647</v>
      </c>
      <c r="D1205" s="232" t="s">
        <v>103</v>
      </c>
      <c r="E1205" s="232" t="s">
        <v>3240</v>
      </c>
      <c r="F1205" s="233"/>
      <c r="G1205" s="234"/>
      <c r="H1205" s="235">
        <v>17.399999999999999</v>
      </c>
      <c r="J1205" s="634"/>
      <c r="S1205" s="536"/>
      <c r="T1205" s="635"/>
    </row>
    <row r="1206" spans="1:20" s="298" customFormat="1" ht="25.5">
      <c r="A1206" s="256" t="s">
        <v>3261</v>
      </c>
      <c r="B1206" s="374">
        <v>122</v>
      </c>
      <c r="C1206" s="289" t="s">
        <v>4686</v>
      </c>
      <c r="D1206" s="290" t="s">
        <v>207</v>
      </c>
      <c r="E1206" s="290" t="s">
        <v>3240</v>
      </c>
      <c r="F1206" s="383">
        <v>2.4E-2</v>
      </c>
      <c r="G1206" s="292" t="s">
        <v>16584</v>
      </c>
      <c r="H1206" s="255">
        <v>1.92</v>
      </c>
      <c r="J1206" s="634"/>
      <c r="S1206" s="536"/>
      <c r="T1206" s="635"/>
    </row>
    <row r="1207" spans="1:20" s="298" customFormat="1" ht="38.25">
      <c r="A1207" s="256" t="s">
        <v>3261</v>
      </c>
      <c r="B1207" s="374">
        <v>816</v>
      </c>
      <c r="C1207" s="289" t="s">
        <v>5070</v>
      </c>
      <c r="D1207" s="290" t="s">
        <v>207</v>
      </c>
      <c r="E1207" s="290" t="s">
        <v>3240</v>
      </c>
      <c r="F1207" s="383">
        <v>1</v>
      </c>
      <c r="G1207" s="292" t="s">
        <v>11216</v>
      </c>
      <c r="H1207" s="255">
        <v>9.82</v>
      </c>
      <c r="J1207" s="634"/>
      <c r="S1207" s="536"/>
      <c r="T1207" s="635"/>
    </row>
    <row r="1208" spans="1:20" s="298" customFormat="1" ht="25.5">
      <c r="A1208" s="256" t="s">
        <v>3261</v>
      </c>
      <c r="B1208" s="374">
        <v>20083</v>
      </c>
      <c r="C1208" s="289" t="s">
        <v>8071</v>
      </c>
      <c r="D1208" s="290" t="s">
        <v>207</v>
      </c>
      <c r="E1208" s="290" t="s">
        <v>3240</v>
      </c>
      <c r="F1208" s="383">
        <v>0.03</v>
      </c>
      <c r="G1208" s="292" t="s">
        <v>20658</v>
      </c>
      <c r="H1208" s="255">
        <v>2.09</v>
      </c>
      <c r="J1208" s="634"/>
      <c r="S1208" s="536"/>
      <c r="T1208" s="635"/>
    </row>
    <row r="1209" spans="1:20" s="298" customFormat="1" ht="12.75">
      <c r="A1209" s="256" t="s">
        <v>3261</v>
      </c>
      <c r="B1209" s="374">
        <v>38383</v>
      </c>
      <c r="C1209" s="289" t="s">
        <v>6950</v>
      </c>
      <c r="D1209" s="290" t="s">
        <v>207</v>
      </c>
      <c r="E1209" s="290" t="s">
        <v>3240</v>
      </c>
      <c r="F1209" s="383">
        <v>2.8000000000000001E-2</v>
      </c>
      <c r="G1209" s="292" t="s">
        <v>11068</v>
      </c>
      <c r="H1209" s="255">
        <v>0.05</v>
      </c>
      <c r="J1209" s="634"/>
      <c r="S1209" s="536"/>
      <c r="T1209" s="635"/>
    </row>
    <row r="1210" spans="1:20" s="298" customFormat="1" ht="38.25">
      <c r="A1210" s="256" t="s">
        <v>3259</v>
      </c>
      <c r="B1210" s="374">
        <v>88248</v>
      </c>
      <c r="C1210" s="289" t="s">
        <v>106</v>
      </c>
      <c r="D1210" s="290" t="s">
        <v>9714</v>
      </c>
      <c r="E1210" s="290" t="s">
        <v>206</v>
      </c>
      <c r="F1210" s="383">
        <v>8.5000000000000006E-2</v>
      </c>
      <c r="G1210" s="292" t="s">
        <v>10175</v>
      </c>
      <c r="H1210" s="255">
        <v>1.54</v>
      </c>
      <c r="J1210" s="634"/>
      <c r="S1210" s="536"/>
      <c r="T1210" s="635"/>
    </row>
    <row r="1211" spans="1:20" s="298" customFormat="1" ht="25.5">
      <c r="A1211" s="256" t="s">
        <v>3259</v>
      </c>
      <c r="B1211" s="374">
        <v>88267</v>
      </c>
      <c r="C1211" s="289" t="s">
        <v>107</v>
      </c>
      <c r="D1211" s="290" t="s">
        <v>9714</v>
      </c>
      <c r="E1211" s="290" t="s">
        <v>206</v>
      </c>
      <c r="F1211" s="383">
        <v>8.5000000000000006E-2</v>
      </c>
      <c r="G1211" s="292" t="s">
        <v>10792</v>
      </c>
      <c r="H1211" s="255">
        <v>1.98</v>
      </c>
      <c r="J1211" s="634"/>
      <c r="S1211" s="536"/>
      <c r="T1211" s="635"/>
    </row>
    <row r="1212" spans="1:20" s="298" customFormat="1" ht="12.75">
      <c r="A1212" s="286"/>
      <c r="B1212" s="375" t="s">
        <v>143</v>
      </c>
      <c r="C1212" s="819" t="s">
        <v>14646</v>
      </c>
      <c r="D1212" s="820"/>
      <c r="E1212" s="820"/>
      <c r="F1212" s="820"/>
      <c r="G1212" s="820"/>
      <c r="H1212" s="821"/>
      <c r="J1212" s="634"/>
      <c r="S1212" s="536"/>
      <c r="T1212" s="635"/>
    </row>
    <row r="1213" spans="1:20" s="298" customFormat="1" ht="12.75">
      <c r="A1213" s="286"/>
      <c r="B1213" s="373"/>
      <c r="C1213" s="379"/>
      <c r="D1213" s="379"/>
      <c r="E1213" s="379"/>
      <c r="F1213" s="379"/>
      <c r="G1213" s="379"/>
      <c r="H1213" s="379"/>
      <c r="J1213" s="634"/>
      <c r="S1213" s="536"/>
      <c r="T1213" s="635"/>
    </row>
    <row r="1214" spans="1:20" s="298" customFormat="1" ht="38.25">
      <c r="A1214" s="286"/>
      <c r="B1214" s="372" t="s">
        <v>14649</v>
      </c>
      <c r="C1214" s="231" t="s">
        <v>17325</v>
      </c>
      <c r="D1214" s="232" t="s">
        <v>103</v>
      </c>
      <c r="E1214" s="232" t="s">
        <v>3240</v>
      </c>
      <c r="F1214" s="233"/>
      <c r="G1214" s="234"/>
      <c r="H1214" s="235">
        <v>60.2</v>
      </c>
      <c r="J1214" s="634"/>
      <c r="S1214" s="536"/>
      <c r="T1214" s="635"/>
    </row>
    <row r="1215" spans="1:20" s="298" customFormat="1" ht="25.5">
      <c r="A1215" s="256" t="s">
        <v>3261</v>
      </c>
      <c r="B1215" s="374">
        <v>122</v>
      </c>
      <c r="C1215" s="289" t="s">
        <v>4686</v>
      </c>
      <c r="D1215" s="290" t="s">
        <v>207</v>
      </c>
      <c r="E1215" s="290" t="s">
        <v>3240</v>
      </c>
      <c r="F1215" s="383">
        <v>5.3999999999999999E-2</v>
      </c>
      <c r="G1215" s="292" t="s">
        <v>16584</v>
      </c>
      <c r="H1215" s="255">
        <v>4.34</v>
      </c>
      <c r="J1215" s="634"/>
      <c r="S1215" s="536"/>
      <c r="T1215" s="635"/>
    </row>
    <row r="1216" spans="1:20" s="298" customFormat="1" ht="38.25">
      <c r="A1216" s="256" t="s">
        <v>3261</v>
      </c>
      <c r="B1216" s="374">
        <v>826</v>
      </c>
      <c r="C1216" s="289" t="s">
        <v>5062</v>
      </c>
      <c r="D1216" s="290" t="s">
        <v>207</v>
      </c>
      <c r="E1216" s="290" t="s">
        <v>3240</v>
      </c>
      <c r="F1216" s="383">
        <v>1</v>
      </c>
      <c r="G1216" s="292" t="s">
        <v>19071</v>
      </c>
      <c r="H1216" s="255">
        <v>45.64</v>
      </c>
      <c r="J1216" s="634"/>
      <c r="S1216" s="536"/>
      <c r="T1216" s="635"/>
    </row>
    <row r="1217" spans="1:20" s="298" customFormat="1" ht="25.5">
      <c r="A1217" s="256" t="s">
        <v>3261</v>
      </c>
      <c r="B1217" s="374">
        <v>20083</v>
      </c>
      <c r="C1217" s="289" t="s">
        <v>8071</v>
      </c>
      <c r="D1217" s="290" t="s">
        <v>207</v>
      </c>
      <c r="E1217" s="290" t="s">
        <v>3240</v>
      </c>
      <c r="F1217" s="383">
        <v>6.8000000000000005E-2</v>
      </c>
      <c r="G1217" s="292" t="s">
        <v>20658</v>
      </c>
      <c r="H1217" s="255">
        <v>4.74</v>
      </c>
      <c r="J1217" s="634"/>
      <c r="S1217" s="536"/>
      <c r="T1217" s="635"/>
    </row>
    <row r="1218" spans="1:20" s="298" customFormat="1" ht="12.75">
      <c r="A1218" s="256" t="s">
        <v>3261</v>
      </c>
      <c r="B1218" s="374">
        <v>38383</v>
      </c>
      <c r="C1218" s="289" t="s">
        <v>6950</v>
      </c>
      <c r="D1218" s="290" t="s">
        <v>207</v>
      </c>
      <c r="E1218" s="290" t="s">
        <v>3240</v>
      </c>
      <c r="F1218" s="383">
        <v>4.2999999999999997E-2</v>
      </c>
      <c r="G1218" s="292" t="s">
        <v>11068</v>
      </c>
      <c r="H1218" s="255">
        <v>0.08</v>
      </c>
      <c r="J1218" s="634"/>
      <c r="S1218" s="536"/>
      <c r="T1218" s="635"/>
    </row>
    <row r="1219" spans="1:20" s="298" customFormat="1" ht="38.25">
      <c r="A1219" s="256" t="s">
        <v>3259</v>
      </c>
      <c r="B1219" s="374">
        <v>88248</v>
      </c>
      <c r="C1219" s="289" t="s">
        <v>106</v>
      </c>
      <c r="D1219" s="290" t="s">
        <v>9714</v>
      </c>
      <c r="E1219" s="290" t="s">
        <v>206</v>
      </c>
      <c r="F1219" s="383">
        <v>0.13</v>
      </c>
      <c r="G1219" s="292" t="s">
        <v>10175</v>
      </c>
      <c r="H1219" s="255">
        <v>2.36</v>
      </c>
      <c r="J1219" s="634"/>
      <c r="S1219" s="536"/>
      <c r="T1219" s="635"/>
    </row>
    <row r="1220" spans="1:20" s="298" customFormat="1" ht="25.5">
      <c r="A1220" s="256" t="s">
        <v>3259</v>
      </c>
      <c r="B1220" s="374">
        <v>88267</v>
      </c>
      <c r="C1220" s="289" t="s">
        <v>107</v>
      </c>
      <c r="D1220" s="290" t="s">
        <v>9714</v>
      </c>
      <c r="E1220" s="290" t="s">
        <v>206</v>
      </c>
      <c r="F1220" s="383">
        <v>0.13</v>
      </c>
      <c r="G1220" s="292" t="s">
        <v>10792</v>
      </c>
      <c r="H1220" s="255">
        <v>3.04</v>
      </c>
      <c r="J1220" s="634"/>
      <c r="S1220" s="536"/>
      <c r="T1220" s="635"/>
    </row>
    <row r="1221" spans="1:20" s="298" customFormat="1" ht="12.75">
      <c r="A1221" s="286"/>
      <c r="B1221" s="375" t="s">
        <v>143</v>
      </c>
      <c r="C1221" s="819" t="s">
        <v>17326</v>
      </c>
      <c r="D1221" s="820"/>
      <c r="E1221" s="820"/>
      <c r="F1221" s="820"/>
      <c r="G1221" s="820"/>
      <c r="H1221" s="821"/>
      <c r="J1221" s="634"/>
      <c r="S1221" s="536"/>
      <c r="T1221" s="635"/>
    </row>
    <row r="1222" spans="1:20" s="298" customFormat="1" ht="12.75">
      <c r="A1222" s="286"/>
      <c r="B1222" s="373"/>
      <c r="C1222" s="379"/>
      <c r="D1222" s="379"/>
      <c r="E1222" s="379"/>
      <c r="F1222" s="379"/>
      <c r="G1222" s="379"/>
      <c r="H1222" s="379"/>
      <c r="J1222" s="634"/>
      <c r="S1222" s="536"/>
      <c r="T1222" s="635"/>
    </row>
    <row r="1223" spans="1:20" s="298" customFormat="1" ht="38.25">
      <c r="A1223" s="286"/>
      <c r="B1223" s="372" t="s">
        <v>14662</v>
      </c>
      <c r="C1223" s="231" t="s">
        <v>17327</v>
      </c>
      <c r="D1223" s="232" t="s">
        <v>103</v>
      </c>
      <c r="E1223" s="232" t="s">
        <v>3240</v>
      </c>
      <c r="F1223" s="233"/>
      <c r="G1223" s="234"/>
      <c r="H1223" s="235">
        <v>19.45</v>
      </c>
      <c r="J1223" s="634"/>
      <c r="S1223" s="536"/>
      <c r="T1223" s="635"/>
    </row>
    <row r="1224" spans="1:20" s="298" customFormat="1" ht="25.5">
      <c r="A1224" s="256" t="s">
        <v>3261</v>
      </c>
      <c r="B1224" s="374">
        <v>122</v>
      </c>
      <c r="C1224" s="289" t="s">
        <v>4686</v>
      </c>
      <c r="D1224" s="290" t="s">
        <v>207</v>
      </c>
      <c r="E1224" s="290" t="s">
        <v>3240</v>
      </c>
      <c r="F1224" s="383">
        <v>2.4E-2</v>
      </c>
      <c r="G1224" s="292" t="s">
        <v>16584</v>
      </c>
      <c r="H1224" s="255">
        <v>1.92</v>
      </c>
      <c r="J1224" s="634"/>
      <c r="S1224" s="536"/>
      <c r="T1224" s="635"/>
    </row>
    <row r="1225" spans="1:20" s="298" customFormat="1" ht="38.25">
      <c r="A1225" s="256" t="s">
        <v>3261</v>
      </c>
      <c r="B1225" s="374">
        <v>814</v>
      </c>
      <c r="C1225" s="289" t="s">
        <v>5071</v>
      </c>
      <c r="D1225" s="290" t="s">
        <v>207</v>
      </c>
      <c r="E1225" s="290" t="s">
        <v>3240</v>
      </c>
      <c r="F1225" s="383">
        <v>1</v>
      </c>
      <c r="G1225" s="292" t="s">
        <v>12433</v>
      </c>
      <c r="H1225" s="255">
        <v>11.87</v>
      </c>
      <c r="J1225" s="634"/>
      <c r="S1225" s="536"/>
      <c r="T1225" s="635"/>
    </row>
    <row r="1226" spans="1:20" s="298" customFormat="1" ht="25.5">
      <c r="A1226" s="256" t="s">
        <v>3261</v>
      </c>
      <c r="B1226" s="374">
        <v>20083</v>
      </c>
      <c r="C1226" s="289" t="s">
        <v>8071</v>
      </c>
      <c r="D1226" s="290" t="s">
        <v>207</v>
      </c>
      <c r="E1226" s="290" t="s">
        <v>3240</v>
      </c>
      <c r="F1226" s="383">
        <v>0.03</v>
      </c>
      <c r="G1226" s="292" t="s">
        <v>20658</v>
      </c>
      <c r="H1226" s="255">
        <v>2.09</v>
      </c>
      <c r="J1226" s="634"/>
      <c r="S1226" s="536"/>
      <c r="T1226" s="635"/>
    </row>
    <row r="1227" spans="1:20" s="298" customFormat="1" ht="12.75">
      <c r="A1227" s="256" t="s">
        <v>3261</v>
      </c>
      <c r="B1227" s="374">
        <v>38383</v>
      </c>
      <c r="C1227" s="289" t="s">
        <v>6950</v>
      </c>
      <c r="D1227" s="290" t="s">
        <v>207</v>
      </c>
      <c r="E1227" s="290" t="s">
        <v>3240</v>
      </c>
      <c r="F1227" s="383">
        <v>2.8000000000000001E-2</v>
      </c>
      <c r="G1227" s="292" t="s">
        <v>11068</v>
      </c>
      <c r="H1227" s="255">
        <v>0.05</v>
      </c>
      <c r="J1227" s="634"/>
      <c r="S1227" s="536"/>
      <c r="T1227" s="635"/>
    </row>
    <row r="1228" spans="1:20" s="298" customFormat="1" ht="38.25">
      <c r="A1228" s="256" t="s">
        <v>3259</v>
      </c>
      <c r="B1228" s="374">
        <v>88248</v>
      </c>
      <c r="C1228" s="289" t="s">
        <v>106</v>
      </c>
      <c r="D1228" s="290" t="s">
        <v>9714</v>
      </c>
      <c r="E1228" s="290" t="s">
        <v>206</v>
      </c>
      <c r="F1228" s="383">
        <v>8.5000000000000006E-2</v>
      </c>
      <c r="G1228" s="292" t="s">
        <v>10175</v>
      </c>
      <c r="H1228" s="255">
        <v>1.54</v>
      </c>
      <c r="J1228" s="634"/>
      <c r="S1228" s="536"/>
      <c r="T1228" s="635"/>
    </row>
    <row r="1229" spans="1:20" s="298" customFormat="1" ht="25.5">
      <c r="A1229" s="256" t="s">
        <v>3259</v>
      </c>
      <c r="B1229" s="374">
        <v>88267</v>
      </c>
      <c r="C1229" s="289" t="s">
        <v>107</v>
      </c>
      <c r="D1229" s="290" t="s">
        <v>9714</v>
      </c>
      <c r="E1229" s="290" t="s">
        <v>206</v>
      </c>
      <c r="F1229" s="383">
        <v>8.5000000000000006E-2</v>
      </c>
      <c r="G1229" s="292" t="s">
        <v>10792</v>
      </c>
      <c r="H1229" s="255">
        <v>1.98</v>
      </c>
      <c r="J1229" s="634"/>
      <c r="S1229" s="536"/>
      <c r="T1229" s="635"/>
    </row>
    <row r="1230" spans="1:20" s="298" customFormat="1" ht="12.75">
      <c r="A1230" s="286"/>
      <c r="B1230" s="375" t="s">
        <v>143</v>
      </c>
      <c r="C1230" s="819" t="s">
        <v>14646</v>
      </c>
      <c r="D1230" s="820"/>
      <c r="E1230" s="820"/>
      <c r="F1230" s="820"/>
      <c r="G1230" s="820"/>
      <c r="H1230" s="821"/>
      <c r="J1230" s="634"/>
      <c r="S1230" s="536"/>
      <c r="T1230" s="635"/>
    </row>
    <row r="1231" spans="1:20" s="298" customFormat="1" ht="12.75">
      <c r="A1231" s="286"/>
      <c r="B1231" s="373"/>
      <c r="C1231" s="379"/>
      <c r="D1231" s="379"/>
      <c r="E1231" s="379"/>
      <c r="F1231" s="379"/>
      <c r="G1231" s="379"/>
      <c r="H1231" s="379"/>
      <c r="J1231" s="634"/>
      <c r="S1231" s="536"/>
      <c r="T1231" s="635"/>
    </row>
    <row r="1232" spans="1:20" s="298" customFormat="1" ht="38.25">
      <c r="A1232" s="286"/>
      <c r="B1232" s="372" t="s">
        <v>14663</v>
      </c>
      <c r="C1232" s="231" t="s">
        <v>17328</v>
      </c>
      <c r="D1232" s="232" t="s">
        <v>103</v>
      </c>
      <c r="E1232" s="232" t="s">
        <v>3240</v>
      </c>
      <c r="F1232" s="233"/>
      <c r="G1232" s="234"/>
      <c r="H1232" s="235">
        <v>6.35</v>
      </c>
      <c r="J1232" s="634"/>
      <c r="S1232" s="536"/>
      <c r="T1232" s="635"/>
    </row>
    <row r="1233" spans="1:20" s="298" customFormat="1" ht="25.5">
      <c r="A1233" s="256" t="s">
        <v>3261</v>
      </c>
      <c r="B1233" s="374">
        <v>122</v>
      </c>
      <c r="C1233" s="289" t="s">
        <v>4686</v>
      </c>
      <c r="D1233" s="290" t="s">
        <v>207</v>
      </c>
      <c r="E1233" s="290" t="s">
        <v>3240</v>
      </c>
      <c r="F1233" s="383">
        <v>7.0000000000000001E-3</v>
      </c>
      <c r="G1233" s="292" t="s">
        <v>16584</v>
      </c>
      <c r="H1233" s="255">
        <v>0.56000000000000005</v>
      </c>
      <c r="J1233" s="634"/>
      <c r="S1233" s="536"/>
      <c r="T1233" s="635"/>
    </row>
    <row r="1234" spans="1:20" s="298" customFormat="1" ht="38.25">
      <c r="A1234" s="256" t="s">
        <v>3261</v>
      </c>
      <c r="B1234" s="374">
        <v>829</v>
      </c>
      <c r="C1234" s="289" t="s">
        <v>5056</v>
      </c>
      <c r="D1234" s="290" t="s">
        <v>207</v>
      </c>
      <c r="E1234" s="290" t="s">
        <v>3240</v>
      </c>
      <c r="F1234" s="383">
        <v>1</v>
      </c>
      <c r="G1234" s="292" t="s">
        <v>9958</v>
      </c>
      <c r="H1234" s="255">
        <v>0.98</v>
      </c>
      <c r="J1234" s="634"/>
      <c r="S1234" s="536"/>
      <c r="T1234" s="635"/>
    </row>
    <row r="1235" spans="1:20" s="298" customFormat="1" ht="25.5">
      <c r="A1235" s="256" t="s">
        <v>3261</v>
      </c>
      <c r="B1235" s="374">
        <v>20083</v>
      </c>
      <c r="C1235" s="289" t="s">
        <v>8071</v>
      </c>
      <c r="D1235" s="290" t="s">
        <v>207</v>
      </c>
      <c r="E1235" s="290" t="s">
        <v>3240</v>
      </c>
      <c r="F1235" s="383">
        <v>8.0000000000000002E-3</v>
      </c>
      <c r="G1235" s="292" t="s">
        <v>20658</v>
      </c>
      <c r="H1235" s="255">
        <v>0.55000000000000004</v>
      </c>
      <c r="J1235" s="634"/>
      <c r="S1235" s="536"/>
      <c r="T1235" s="635"/>
    </row>
    <row r="1236" spans="1:20" s="298" customFormat="1" ht="12.75">
      <c r="A1236" s="256" t="s">
        <v>3261</v>
      </c>
      <c r="B1236" s="374">
        <v>38383</v>
      </c>
      <c r="C1236" s="289" t="s">
        <v>6950</v>
      </c>
      <c r="D1236" s="290" t="s">
        <v>207</v>
      </c>
      <c r="E1236" s="290" t="s">
        <v>3240</v>
      </c>
      <c r="F1236" s="383">
        <v>0.05</v>
      </c>
      <c r="G1236" s="292" t="s">
        <v>11068</v>
      </c>
      <c r="H1236" s="255">
        <v>0.1</v>
      </c>
      <c r="J1236" s="634"/>
      <c r="S1236" s="536"/>
      <c r="T1236" s="635"/>
    </row>
    <row r="1237" spans="1:20" s="298" customFormat="1" ht="38.25">
      <c r="A1237" s="256" t="s">
        <v>3259</v>
      </c>
      <c r="B1237" s="374">
        <v>88248</v>
      </c>
      <c r="C1237" s="289" t="s">
        <v>106</v>
      </c>
      <c r="D1237" s="290" t="s">
        <v>9714</v>
      </c>
      <c r="E1237" s="290" t="s">
        <v>206</v>
      </c>
      <c r="F1237" s="383">
        <v>0.1</v>
      </c>
      <c r="G1237" s="292" t="s">
        <v>10175</v>
      </c>
      <c r="H1237" s="255">
        <v>1.82</v>
      </c>
      <c r="J1237" s="634"/>
      <c r="S1237" s="536"/>
      <c r="T1237" s="635"/>
    </row>
    <row r="1238" spans="1:20" s="298" customFormat="1" ht="25.5">
      <c r="A1238" s="256" t="s">
        <v>3259</v>
      </c>
      <c r="B1238" s="374">
        <v>88267</v>
      </c>
      <c r="C1238" s="289" t="s">
        <v>107</v>
      </c>
      <c r="D1238" s="290" t="s">
        <v>9714</v>
      </c>
      <c r="E1238" s="290" t="s">
        <v>206</v>
      </c>
      <c r="F1238" s="383">
        <v>0.1</v>
      </c>
      <c r="G1238" s="292" t="s">
        <v>10792</v>
      </c>
      <c r="H1238" s="255">
        <v>2.34</v>
      </c>
      <c r="J1238" s="634"/>
      <c r="S1238" s="536"/>
      <c r="T1238" s="635"/>
    </row>
    <row r="1239" spans="1:20" s="298" customFormat="1" ht="12.75">
      <c r="A1239" s="286"/>
      <c r="B1239" s="375" t="s">
        <v>143</v>
      </c>
      <c r="C1239" s="819" t="s">
        <v>14650</v>
      </c>
      <c r="D1239" s="820"/>
      <c r="E1239" s="820"/>
      <c r="F1239" s="820"/>
      <c r="G1239" s="820"/>
      <c r="H1239" s="821"/>
      <c r="J1239" s="634"/>
      <c r="S1239" s="536"/>
      <c r="T1239" s="635"/>
    </row>
    <row r="1240" spans="1:20" s="298" customFormat="1" ht="12.75">
      <c r="A1240" s="286"/>
      <c r="B1240" s="373"/>
      <c r="C1240" s="379"/>
      <c r="D1240" s="379"/>
      <c r="E1240" s="379"/>
      <c r="F1240" s="379"/>
      <c r="G1240" s="379"/>
      <c r="H1240" s="379"/>
      <c r="J1240" s="634"/>
      <c r="S1240" s="536"/>
      <c r="T1240" s="635"/>
    </row>
    <row r="1241" spans="1:20" s="298" customFormat="1" ht="38.25">
      <c r="A1241" s="286"/>
      <c r="B1241" s="372" t="s">
        <v>14664</v>
      </c>
      <c r="C1241" s="231" t="s">
        <v>18539</v>
      </c>
      <c r="D1241" s="232" t="s">
        <v>103</v>
      </c>
      <c r="E1241" s="232" t="s">
        <v>3240</v>
      </c>
      <c r="F1241" s="233"/>
      <c r="G1241" s="234"/>
      <c r="H1241" s="235">
        <v>22.48</v>
      </c>
      <c r="J1241" s="634"/>
      <c r="S1241" s="536"/>
      <c r="T1241" s="635"/>
    </row>
    <row r="1242" spans="1:20" s="298" customFormat="1" ht="51">
      <c r="A1242" s="256" t="s">
        <v>3259</v>
      </c>
      <c r="B1242" s="288">
        <v>94964</v>
      </c>
      <c r="C1242" s="289" t="s">
        <v>22442</v>
      </c>
      <c r="D1242" s="290" t="s">
        <v>229</v>
      </c>
      <c r="E1242" s="290" t="s">
        <v>209</v>
      </c>
      <c r="F1242" s="254">
        <v>1.257E-2</v>
      </c>
      <c r="G1242" s="292" t="s">
        <v>22443</v>
      </c>
      <c r="H1242" s="255">
        <v>4.78</v>
      </c>
      <c r="J1242" s="634"/>
      <c r="S1242" s="536"/>
      <c r="T1242" s="635"/>
    </row>
    <row r="1243" spans="1:20" s="298" customFormat="1" ht="38.25">
      <c r="A1243" s="256" t="s">
        <v>3259</v>
      </c>
      <c r="B1243" s="288">
        <v>92873</v>
      </c>
      <c r="C1243" s="289" t="s">
        <v>144</v>
      </c>
      <c r="D1243" s="290" t="s">
        <v>229</v>
      </c>
      <c r="E1243" s="290" t="s">
        <v>209</v>
      </c>
      <c r="F1243" s="254">
        <v>1.257E-2</v>
      </c>
      <c r="G1243" s="292" t="s">
        <v>22437</v>
      </c>
      <c r="H1243" s="255">
        <v>2.34</v>
      </c>
      <c r="J1243" s="634"/>
      <c r="S1243" s="536"/>
      <c r="T1243" s="635"/>
    </row>
    <row r="1244" spans="1:20" s="298" customFormat="1" ht="51">
      <c r="A1244" s="256" t="s">
        <v>3259</v>
      </c>
      <c r="B1244" s="288">
        <v>98560</v>
      </c>
      <c r="C1244" s="289" t="s">
        <v>4079</v>
      </c>
      <c r="D1244" s="290" t="s">
        <v>229</v>
      </c>
      <c r="E1244" s="290" t="s">
        <v>193</v>
      </c>
      <c r="F1244" s="254">
        <v>0.32000000000000006</v>
      </c>
      <c r="G1244" s="292" t="s">
        <v>22564</v>
      </c>
      <c r="H1244" s="255">
        <v>13.04</v>
      </c>
      <c r="J1244" s="634"/>
      <c r="S1244" s="536"/>
      <c r="T1244" s="635"/>
    </row>
    <row r="1245" spans="1:20" s="298" customFormat="1" ht="25.5">
      <c r="A1245" s="256" t="s">
        <v>3259</v>
      </c>
      <c r="B1245" s="288">
        <v>99811</v>
      </c>
      <c r="C1245" s="289" t="s">
        <v>4481</v>
      </c>
      <c r="D1245" s="290" t="s">
        <v>229</v>
      </c>
      <c r="E1245" s="290" t="s">
        <v>193</v>
      </c>
      <c r="F1245" s="254">
        <v>0.80000000000000016</v>
      </c>
      <c r="G1245" s="292" t="s">
        <v>10431</v>
      </c>
      <c r="H1245" s="255">
        <v>2.3199999999999998</v>
      </c>
      <c r="J1245" s="634"/>
      <c r="K1245" s="298" t="s">
        <v>18538</v>
      </c>
      <c r="S1245" s="536"/>
      <c r="T1245" s="635"/>
    </row>
    <row r="1246" spans="1:20" s="298" customFormat="1" ht="12.75">
      <c r="A1246" s="286"/>
      <c r="B1246" s="375" t="s">
        <v>143</v>
      </c>
      <c r="C1246" s="819" t="s">
        <v>18537</v>
      </c>
      <c r="D1246" s="820"/>
      <c r="E1246" s="820"/>
      <c r="F1246" s="820"/>
      <c r="G1246" s="820"/>
      <c r="H1246" s="821"/>
      <c r="J1246" s="634"/>
      <c r="S1246" s="536"/>
      <c r="T1246" s="635"/>
    </row>
    <row r="1247" spans="1:20" s="298" customFormat="1" ht="12.75">
      <c r="A1247" s="286"/>
      <c r="B1247" s="373"/>
      <c r="C1247" s="379"/>
      <c r="D1247" s="379"/>
      <c r="E1247" s="379"/>
      <c r="F1247" s="379"/>
      <c r="G1247" s="379"/>
      <c r="H1247" s="379"/>
      <c r="J1247" s="634"/>
      <c r="S1247" s="536"/>
      <c r="T1247" s="635"/>
    </row>
    <row r="1248" spans="1:20" s="298" customFormat="1" ht="63.75">
      <c r="A1248" s="286"/>
      <c r="B1248" s="372" t="s">
        <v>14677</v>
      </c>
      <c r="C1248" s="231" t="s">
        <v>17330</v>
      </c>
      <c r="D1248" s="232" t="s">
        <v>103</v>
      </c>
      <c r="E1248" s="232" t="s">
        <v>3240</v>
      </c>
      <c r="F1248" s="233"/>
      <c r="G1248" s="234"/>
      <c r="H1248" s="235">
        <v>174.01</v>
      </c>
      <c r="J1248" s="634"/>
      <c r="L1248" s="256"/>
      <c r="M1248" s="256"/>
      <c r="S1248" s="536"/>
      <c r="T1248" s="635"/>
    </row>
    <row r="1249" spans="1:20" s="298" customFormat="1" ht="51">
      <c r="A1249" s="256" t="s">
        <v>3259</v>
      </c>
      <c r="B1249" s="374">
        <v>99250</v>
      </c>
      <c r="C1249" s="289" t="s">
        <v>13540</v>
      </c>
      <c r="D1249" s="290" t="s">
        <v>229</v>
      </c>
      <c r="E1249" s="290" t="s">
        <v>109</v>
      </c>
      <c r="F1249" s="383">
        <v>1</v>
      </c>
      <c r="G1249" s="292" t="s">
        <v>23433</v>
      </c>
      <c r="H1249" s="255">
        <v>174.01</v>
      </c>
      <c r="J1249" s="634"/>
      <c r="L1249" s="256"/>
      <c r="M1249" s="256"/>
      <c r="S1249" s="536"/>
      <c r="T1249" s="635"/>
    </row>
    <row r="1250" spans="1:20" s="298" customFormat="1" ht="12.75">
      <c r="A1250" s="286"/>
      <c r="B1250" s="375" t="s">
        <v>143</v>
      </c>
      <c r="C1250" s="819" t="s">
        <v>14676</v>
      </c>
      <c r="D1250" s="820"/>
      <c r="E1250" s="820"/>
      <c r="F1250" s="820"/>
      <c r="G1250" s="820"/>
      <c r="H1250" s="821"/>
      <c r="J1250" s="634"/>
      <c r="S1250" s="536"/>
      <c r="T1250" s="635"/>
    </row>
    <row r="1251" spans="1:20" s="298" customFormat="1" ht="12.75">
      <c r="A1251" s="286"/>
      <c r="B1251" s="373"/>
      <c r="C1251" s="379"/>
      <c r="D1251" s="379"/>
      <c r="E1251" s="379"/>
      <c r="F1251" s="379"/>
      <c r="G1251" s="379"/>
      <c r="H1251" s="379"/>
      <c r="J1251" s="634"/>
      <c r="S1251" s="536"/>
      <c r="T1251" s="635"/>
    </row>
    <row r="1252" spans="1:20" s="298" customFormat="1" ht="63.75">
      <c r="A1252" s="286"/>
      <c r="B1252" s="372" t="s">
        <v>14685</v>
      </c>
      <c r="C1252" s="231" t="s">
        <v>17331</v>
      </c>
      <c r="D1252" s="232" t="s">
        <v>103</v>
      </c>
      <c r="E1252" s="232" t="s">
        <v>3240</v>
      </c>
      <c r="F1252" s="233"/>
      <c r="G1252" s="234"/>
      <c r="H1252" s="235">
        <v>276.27</v>
      </c>
      <c r="J1252" s="634"/>
      <c r="L1252" s="256"/>
      <c r="M1252" s="256"/>
      <c r="S1252" s="536"/>
      <c r="T1252" s="635"/>
    </row>
    <row r="1253" spans="1:20" s="298" customFormat="1" ht="51">
      <c r="A1253" s="256" t="s">
        <v>3259</v>
      </c>
      <c r="B1253" s="374">
        <v>99251</v>
      </c>
      <c r="C1253" s="289" t="s">
        <v>13541</v>
      </c>
      <c r="D1253" s="290" t="s">
        <v>229</v>
      </c>
      <c r="E1253" s="290" t="s">
        <v>109</v>
      </c>
      <c r="F1253" s="383">
        <v>1</v>
      </c>
      <c r="G1253" s="292" t="s">
        <v>23434</v>
      </c>
      <c r="H1253" s="255">
        <v>276.27</v>
      </c>
      <c r="J1253" s="634"/>
      <c r="L1253" s="256"/>
      <c r="M1253" s="256"/>
      <c r="S1253" s="536"/>
      <c r="T1253" s="635"/>
    </row>
    <row r="1254" spans="1:20" s="298" customFormat="1" ht="12.75">
      <c r="A1254" s="286"/>
      <c r="B1254" s="375" t="s">
        <v>143</v>
      </c>
      <c r="C1254" s="819" t="s">
        <v>14676</v>
      </c>
      <c r="D1254" s="820"/>
      <c r="E1254" s="820"/>
      <c r="F1254" s="820"/>
      <c r="G1254" s="820"/>
      <c r="H1254" s="821"/>
      <c r="J1254" s="634"/>
      <c r="S1254" s="536"/>
      <c r="T1254" s="635"/>
    </row>
    <row r="1255" spans="1:20" s="298" customFormat="1" ht="12.75">
      <c r="A1255" s="286"/>
      <c r="B1255" s="373"/>
      <c r="C1255" s="379"/>
      <c r="D1255" s="379"/>
      <c r="E1255" s="379"/>
      <c r="F1255" s="379"/>
      <c r="G1255" s="379"/>
      <c r="H1255" s="379"/>
      <c r="J1255" s="634"/>
      <c r="S1255" s="536"/>
      <c r="T1255" s="635"/>
    </row>
    <row r="1256" spans="1:20" s="298" customFormat="1" ht="38.25">
      <c r="A1256" s="286"/>
      <c r="B1256" s="372" t="s">
        <v>14689</v>
      </c>
      <c r="C1256" s="231" t="s">
        <v>17332</v>
      </c>
      <c r="D1256" s="232" t="s">
        <v>103</v>
      </c>
      <c r="E1256" s="232" t="s">
        <v>3240</v>
      </c>
      <c r="F1256" s="233"/>
      <c r="G1256" s="234"/>
      <c r="H1256" s="235">
        <v>20.2</v>
      </c>
      <c r="J1256" s="634"/>
      <c r="L1256" s="256"/>
      <c r="M1256" s="256"/>
      <c r="S1256" s="536"/>
      <c r="T1256" s="635"/>
    </row>
    <row r="1257" spans="1:20" s="298" customFormat="1" ht="38.25">
      <c r="A1257" s="256" t="s">
        <v>3261</v>
      </c>
      <c r="B1257" s="374">
        <v>7602</v>
      </c>
      <c r="C1257" s="289" t="s">
        <v>8523</v>
      </c>
      <c r="D1257" s="290" t="s">
        <v>207</v>
      </c>
      <c r="E1257" s="290" t="s">
        <v>3240</v>
      </c>
      <c r="F1257" s="383">
        <v>1</v>
      </c>
      <c r="G1257" s="292" t="s">
        <v>10533</v>
      </c>
      <c r="H1257" s="255">
        <v>15.68</v>
      </c>
      <c r="J1257" s="634"/>
      <c r="L1257" s="256"/>
      <c r="M1257" s="256"/>
      <c r="S1257" s="536"/>
      <c r="T1257" s="635"/>
    </row>
    <row r="1258" spans="1:20" s="298" customFormat="1" ht="25.5">
      <c r="A1258" s="256" t="s">
        <v>3261</v>
      </c>
      <c r="B1258" s="374">
        <v>3146</v>
      </c>
      <c r="C1258" s="289" t="s">
        <v>6463</v>
      </c>
      <c r="D1258" s="290" t="s">
        <v>207</v>
      </c>
      <c r="E1258" s="290" t="s">
        <v>3240</v>
      </c>
      <c r="F1258" s="383">
        <v>2.1000000000000001E-2</v>
      </c>
      <c r="G1258" s="292" t="s">
        <v>11333</v>
      </c>
      <c r="H1258" s="255">
        <v>0.08</v>
      </c>
      <c r="J1258" s="634"/>
      <c r="L1258" s="256"/>
      <c r="M1258" s="256"/>
      <c r="S1258" s="536"/>
      <c r="T1258" s="635"/>
    </row>
    <row r="1259" spans="1:20" s="298" customFormat="1" ht="38.25">
      <c r="A1259" s="256" t="s">
        <v>3259</v>
      </c>
      <c r="B1259" s="374">
        <v>88248</v>
      </c>
      <c r="C1259" s="289" t="s">
        <v>106</v>
      </c>
      <c r="D1259" s="290" t="s">
        <v>9714</v>
      </c>
      <c r="E1259" s="290" t="s">
        <v>206</v>
      </c>
      <c r="F1259" s="383">
        <v>4.8099999999999997E-2</v>
      </c>
      <c r="G1259" s="292" t="s">
        <v>10175</v>
      </c>
      <c r="H1259" s="255">
        <v>0.87</v>
      </c>
      <c r="J1259" s="634"/>
      <c r="L1259" s="256"/>
      <c r="M1259" s="256"/>
      <c r="S1259" s="536"/>
      <c r="T1259" s="635"/>
    </row>
    <row r="1260" spans="1:20" s="298" customFormat="1" ht="25.5">
      <c r="A1260" s="256" t="s">
        <v>3259</v>
      </c>
      <c r="B1260" s="374">
        <v>88267</v>
      </c>
      <c r="C1260" s="289" t="s">
        <v>107</v>
      </c>
      <c r="D1260" s="290" t="s">
        <v>9714</v>
      </c>
      <c r="E1260" s="290" t="s">
        <v>206</v>
      </c>
      <c r="F1260" s="383">
        <v>0.1525</v>
      </c>
      <c r="G1260" s="292" t="s">
        <v>10792</v>
      </c>
      <c r="H1260" s="255">
        <v>3.57</v>
      </c>
      <c r="J1260" s="634"/>
      <c r="L1260" s="256"/>
      <c r="M1260" s="256"/>
      <c r="S1260" s="536"/>
      <c r="T1260" s="635"/>
    </row>
    <row r="1261" spans="1:20" s="298" customFormat="1" ht="12.75">
      <c r="A1261" s="286"/>
      <c r="B1261" s="375" t="s">
        <v>143</v>
      </c>
      <c r="C1261" s="819" t="s">
        <v>17333</v>
      </c>
      <c r="D1261" s="820"/>
      <c r="E1261" s="820"/>
      <c r="F1261" s="820"/>
      <c r="G1261" s="820"/>
      <c r="H1261" s="821"/>
      <c r="J1261" s="634"/>
      <c r="S1261" s="536"/>
      <c r="T1261" s="635"/>
    </row>
    <row r="1262" spans="1:20" s="298" customFormat="1" ht="12.75">
      <c r="A1262" s="286"/>
      <c r="B1262" s="373"/>
      <c r="C1262" s="379"/>
      <c r="D1262" s="379"/>
      <c r="E1262" s="379"/>
      <c r="F1262" s="379"/>
      <c r="G1262" s="379"/>
      <c r="H1262" s="379"/>
      <c r="J1262" s="634"/>
      <c r="S1262" s="536"/>
      <c r="T1262" s="635"/>
    </row>
    <row r="1263" spans="1:20" s="298" customFormat="1" ht="51">
      <c r="A1263" s="286"/>
      <c r="B1263" s="372" t="s">
        <v>14690</v>
      </c>
      <c r="C1263" s="231" t="s">
        <v>17334</v>
      </c>
      <c r="D1263" s="232" t="s">
        <v>103</v>
      </c>
      <c r="E1263" s="232" t="s">
        <v>3240</v>
      </c>
      <c r="F1263" s="233"/>
      <c r="G1263" s="234"/>
      <c r="H1263" s="235">
        <v>13.64</v>
      </c>
      <c r="J1263" s="634"/>
      <c r="S1263" s="536"/>
      <c r="T1263" s="635"/>
    </row>
    <row r="1264" spans="1:20" s="298" customFormat="1" ht="25.5">
      <c r="A1264" s="256" t="s">
        <v>3261</v>
      </c>
      <c r="B1264" s="374">
        <v>122</v>
      </c>
      <c r="C1264" s="289" t="s">
        <v>4686</v>
      </c>
      <c r="D1264" s="290" t="s">
        <v>207</v>
      </c>
      <c r="E1264" s="290" t="s">
        <v>3240</v>
      </c>
      <c r="F1264" s="383">
        <v>7.0000000000000001E-3</v>
      </c>
      <c r="G1264" s="292" t="s">
        <v>16584</v>
      </c>
      <c r="H1264" s="255">
        <v>0.56000000000000005</v>
      </c>
      <c r="J1264" s="634"/>
      <c r="S1264" s="536"/>
      <c r="T1264" s="635"/>
    </row>
    <row r="1265" spans="1:20" s="298" customFormat="1" ht="25.5">
      <c r="A1265" s="256" t="s">
        <v>3261</v>
      </c>
      <c r="B1265" s="374">
        <v>20083</v>
      </c>
      <c r="C1265" s="289" t="s">
        <v>8071</v>
      </c>
      <c r="D1265" s="290" t="s">
        <v>207</v>
      </c>
      <c r="E1265" s="290" t="s">
        <v>3240</v>
      </c>
      <c r="F1265" s="383">
        <v>8.0000000000000002E-3</v>
      </c>
      <c r="G1265" s="292" t="s">
        <v>20658</v>
      </c>
      <c r="H1265" s="255">
        <v>0.55000000000000004</v>
      </c>
      <c r="J1265" s="634"/>
      <c r="S1265" s="536"/>
      <c r="T1265" s="635"/>
    </row>
    <row r="1266" spans="1:20" s="298" customFormat="1" ht="38.25">
      <c r="A1266" s="256" t="s">
        <v>3261</v>
      </c>
      <c r="B1266" s="374">
        <v>3515</v>
      </c>
      <c r="C1266" s="289" t="s">
        <v>6751</v>
      </c>
      <c r="D1266" s="290" t="s">
        <v>207</v>
      </c>
      <c r="E1266" s="290" t="s">
        <v>3240</v>
      </c>
      <c r="F1266" s="383">
        <v>1</v>
      </c>
      <c r="G1266" s="292" t="s">
        <v>10421</v>
      </c>
      <c r="H1266" s="255">
        <v>6.19</v>
      </c>
      <c r="J1266" s="634"/>
      <c r="S1266" s="536"/>
      <c r="T1266" s="635"/>
    </row>
    <row r="1267" spans="1:20" s="298" customFormat="1" ht="12.75">
      <c r="A1267" s="256" t="s">
        <v>3261</v>
      </c>
      <c r="B1267" s="374">
        <v>38383</v>
      </c>
      <c r="C1267" s="289" t="s">
        <v>6950</v>
      </c>
      <c r="D1267" s="290" t="s">
        <v>207</v>
      </c>
      <c r="E1267" s="290" t="s">
        <v>3240</v>
      </c>
      <c r="F1267" s="383">
        <v>0.05</v>
      </c>
      <c r="G1267" s="292" t="s">
        <v>11068</v>
      </c>
      <c r="H1267" s="255">
        <v>0.1</v>
      </c>
      <c r="J1267" s="634"/>
      <c r="S1267" s="536"/>
      <c r="T1267" s="635"/>
    </row>
    <row r="1268" spans="1:20" s="298" customFormat="1" ht="38.25">
      <c r="A1268" s="256" t="s">
        <v>3259</v>
      </c>
      <c r="B1268" s="374">
        <v>88248</v>
      </c>
      <c r="C1268" s="289" t="s">
        <v>106</v>
      </c>
      <c r="D1268" s="290" t="s">
        <v>9714</v>
      </c>
      <c r="E1268" s="290" t="s">
        <v>206</v>
      </c>
      <c r="F1268" s="383">
        <v>0.15</v>
      </c>
      <c r="G1268" s="292" t="s">
        <v>10175</v>
      </c>
      <c r="H1268" s="255">
        <v>2.73</v>
      </c>
      <c r="J1268" s="634"/>
      <c r="S1268" s="536"/>
      <c r="T1268" s="635"/>
    </row>
    <row r="1269" spans="1:20" s="298" customFormat="1" ht="25.5">
      <c r="A1269" s="256" t="s">
        <v>3259</v>
      </c>
      <c r="B1269" s="374">
        <v>88267</v>
      </c>
      <c r="C1269" s="289" t="s">
        <v>107</v>
      </c>
      <c r="D1269" s="290" t="s">
        <v>9714</v>
      </c>
      <c r="E1269" s="290" t="s">
        <v>206</v>
      </c>
      <c r="F1269" s="383">
        <v>0.15</v>
      </c>
      <c r="G1269" s="292" t="s">
        <v>10792</v>
      </c>
      <c r="H1269" s="255">
        <v>3.51</v>
      </c>
      <c r="J1269" s="634"/>
      <c r="S1269" s="536"/>
      <c r="T1269" s="635"/>
    </row>
    <row r="1270" spans="1:20" s="298" customFormat="1" ht="12.75">
      <c r="A1270" s="286"/>
      <c r="B1270" s="375" t="s">
        <v>143</v>
      </c>
      <c r="C1270" s="819" t="s">
        <v>14648</v>
      </c>
      <c r="D1270" s="820"/>
      <c r="E1270" s="820"/>
      <c r="F1270" s="820"/>
      <c r="G1270" s="820"/>
      <c r="H1270" s="821"/>
      <c r="J1270" s="634"/>
      <c r="S1270" s="536"/>
      <c r="T1270" s="635"/>
    </row>
    <row r="1271" spans="1:20" s="298" customFormat="1" ht="12.75">
      <c r="A1271" s="286"/>
      <c r="B1271" s="373"/>
      <c r="C1271" s="379"/>
      <c r="D1271" s="379"/>
      <c r="E1271" s="379"/>
      <c r="F1271" s="379"/>
      <c r="G1271" s="379"/>
      <c r="H1271" s="379"/>
      <c r="J1271" s="634"/>
      <c r="S1271" s="536"/>
      <c r="T1271" s="635"/>
    </row>
    <row r="1272" spans="1:20" s="298" customFormat="1" ht="38.25">
      <c r="A1272" s="286"/>
      <c r="B1272" s="372" t="s">
        <v>14691</v>
      </c>
      <c r="C1272" s="231" t="s">
        <v>18525</v>
      </c>
      <c r="D1272" s="232" t="s">
        <v>103</v>
      </c>
      <c r="E1272" s="232" t="s">
        <v>3240</v>
      </c>
      <c r="F1272" s="233"/>
      <c r="G1272" s="234"/>
      <c r="H1272" s="235">
        <v>53.12</v>
      </c>
      <c r="J1272" s="634"/>
      <c r="S1272" s="536"/>
      <c r="T1272" s="635"/>
    </row>
    <row r="1273" spans="1:20" s="298" customFormat="1" ht="25.5">
      <c r="A1273" s="256" t="s">
        <v>3261</v>
      </c>
      <c r="B1273" s="374">
        <v>122</v>
      </c>
      <c r="C1273" s="289" t="s">
        <v>4686</v>
      </c>
      <c r="D1273" s="290" t="s">
        <v>207</v>
      </c>
      <c r="E1273" s="290" t="s">
        <v>3240</v>
      </c>
      <c r="F1273" s="383">
        <v>5.3999999999999999E-2</v>
      </c>
      <c r="G1273" s="292" t="s">
        <v>16584</v>
      </c>
      <c r="H1273" s="255">
        <v>4.34</v>
      </c>
      <c r="J1273" s="634"/>
      <c r="S1273" s="536"/>
      <c r="T1273" s="635"/>
    </row>
    <row r="1274" spans="1:20" s="298" customFormat="1" ht="38.25">
      <c r="A1274" s="256" t="s">
        <v>3261</v>
      </c>
      <c r="B1274" s="374">
        <v>827</v>
      </c>
      <c r="C1274" s="289" t="s">
        <v>5063</v>
      </c>
      <c r="D1274" s="290" t="s">
        <v>207</v>
      </c>
      <c r="E1274" s="290" t="s">
        <v>3240</v>
      </c>
      <c r="F1274" s="383">
        <v>1</v>
      </c>
      <c r="G1274" s="292" t="s">
        <v>12399</v>
      </c>
      <c r="H1274" s="255">
        <v>38.56</v>
      </c>
      <c r="J1274" s="634"/>
      <c r="S1274" s="536"/>
      <c r="T1274" s="635"/>
    </row>
    <row r="1275" spans="1:20" s="298" customFormat="1" ht="25.5">
      <c r="A1275" s="256" t="s">
        <v>3261</v>
      </c>
      <c r="B1275" s="374">
        <v>20083</v>
      </c>
      <c r="C1275" s="289" t="s">
        <v>8071</v>
      </c>
      <c r="D1275" s="290" t="s">
        <v>207</v>
      </c>
      <c r="E1275" s="290" t="s">
        <v>3240</v>
      </c>
      <c r="F1275" s="383">
        <v>6.8000000000000005E-2</v>
      </c>
      <c r="G1275" s="292" t="s">
        <v>20658</v>
      </c>
      <c r="H1275" s="255">
        <v>4.74</v>
      </c>
      <c r="J1275" s="634"/>
      <c r="S1275" s="536"/>
      <c r="T1275" s="635"/>
    </row>
    <row r="1276" spans="1:20" s="298" customFormat="1" ht="12.75">
      <c r="A1276" s="256" t="s">
        <v>3261</v>
      </c>
      <c r="B1276" s="374">
        <v>38383</v>
      </c>
      <c r="C1276" s="289" t="s">
        <v>6950</v>
      </c>
      <c r="D1276" s="290" t="s">
        <v>207</v>
      </c>
      <c r="E1276" s="290" t="s">
        <v>3240</v>
      </c>
      <c r="F1276" s="383">
        <v>4.2999999999999997E-2</v>
      </c>
      <c r="G1276" s="292" t="s">
        <v>11068</v>
      </c>
      <c r="H1276" s="255">
        <v>0.08</v>
      </c>
      <c r="J1276" s="634"/>
      <c r="S1276" s="536"/>
      <c r="T1276" s="635"/>
    </row>
    <row r="1277" spans="1:20" s="298" customFormat="1" ht="38.25">
      <c r="A1277" s="256" t="s">
        <v>3259</v>
      </c>
      <c r="B1277" s="374">
        <v>88248</v>
      </c>
      <c r="C1277" s="289" t="s">
        <v>106</v>
      </c>
      <c r="D1277" s="290" t="s">
        <v>9714</v>
      </c>
      <c r="E1277" s="290" t="s">
        <v>206</v>
      </c>
      <c r="F1277" s="383">
        <v>0.13</v>
      </c>
      <c r="G1277" s="292" t="s">
        <v>10175</v>
      </c>
      <c r="H1277" s="255">
        <v>2.36</v>
      </c>
      <c r="J1277" s="634"/>
      <c r="S1277" s="536"/>
      <c r="T1277" s="635"/>
    </row>
    <row r="1278" spans="1:20" s="298" customFormat="1" ht="25.5">
      <c r="A1278" s="256" t="s">
        <v>3259</v>
      </c>
      <c r="B1278" s="374">
        <v>88267</v>
      </c>
      <c r="C1278" s="289" t="s">
        <v>107</v>
      </c>
      <c r="D1278" s="290" t="s">
        <v>9714</v>
      </c>
      <c r="E1278" s="290" t="s">
        <v>206</v>
      </c>
      <c r="F1278" s="383">
        <v>0.13</v>
      </c>
      <c r="G1278" s="292" t="s">
        <v>10792</v>
      </c>
      <c r="H1278" s="255">
        <v>3.04</v>
      </c>
      <c r="J1278" s="634"/>
      <c r="S1278" s="536"/>
      <c r="T1278" s="635"/>
    </row>
    <row r="1279" spans="1:20" s="298" customFormat="1" ht="12.75">
      <c r="A1279" s="286"/>
      <c r="B1279" s="375" t="s">
        <v>143</v>
      </c>
      <c r="C1279" s="819" t="s">
        <v>17326</v>
      </c>
      <c r="D1279" s="820"/>
      <c r="E1279" s="820"/>
      <c r="F1279" s="820"/>
      <c r="G1279" s="820"/>
      <c r="H1279" s="821"/>
      <c r="J1279" s="634"/>
      <c r="S1279" s="536"/>
      <c r="T1279" s="635"/>
    </row>
    <row r="1280" spans="1:20" s="298" customFormat="1" ht="12.75">
      <c r="A1280" s="286"/>
      <c r="B1280" s="373"/>
      <c r="C1280" s="379"/>
      <c r="D1280" s="379"/>
      <c r="E1280" s="379"/>
      <c r="F1280" s="379"/>
      <c r="G1280" s="379"/>
      <c r="H1280" s="379"/>
      <c r="J1280" s="634"/>
      <c r="S1280" s="536"/>
      <c r="T1280" s="635"/>
    </row>
    <row r="1281" spans="1:20" s="298" customFormat="1" ht="38.25">
      <c r="A1281" s="286"/>
      <c r="B1281" s="372" t="s">
        <v>14692</v>
      </c>
      <c r="C1281" s="231" t="s">
        <v>17336</v>
      </c>
      <c r="D1281" s="232" t="s">
        <v>103</v>
      </c>
      <c r="E1281" s="232" t="s">
        <v>3240</v>
      </c>
      <c r="F1281" s="233"/>
      <c r="G1281" s="234"/>
      <c r="H1281" s="235">
        <v>11.77</v>
      </c>
      <c r="J1281" s="634"/>
      <c r="S1281" s="536"/>
      <c r="T1281" s="635"/>
    </row>
    <row r="1282" spans="1:20" s="298" customFormat="1" ht="25.5">
      <c r="A1282" s="256" t="s">
        <v>3261</v>
      </c>
      <c r="B1282" s="374">
        <v>122</v>
      </c>
      <c r="C1282" s="289" t="s">
        <v>4686</v>
      </c>
      <c r="D1282" s="290" t="s">
        <v>207</v>
      </c>
      <c r="E1282" s="290" t="s">
        <v>3240</v>
      </c>
      <c r="F1282" s="383">
        <v>1.7999999999999999E-2</v>
      </c>
      <c r="G1282" s="292" t="s">
        <v>16584</v>
      </c>
      <c r="H1282" s="255">
        <v>1.44</v>
      </c>
      <c r="J1282" s="634"/>
      <c r="S1282" s="536"/>
      <c r="T1282" s="635"/>
    </row>
    <row r="1283" spans="1:20" s="298" customFormat="1" ht="38.25">
      <c r="A1283" s="256" t="s">
        <v>3261</v>
      </c>
      <c r="B1283" s="374">
        <v>820</v>
      </c>
      <c r="C1283" s="289" t="s">
        <v>5069</v>
      </c>
      <c r="D1283" s="290" t="s">
        <v>207</v>
      </c>
      <c r="E1283" s="290" t="s">
        <v>3240</v>
      </c>
      <c r="F1283" s="383">
        <v>1</v>
      </c>
      <c r="G1283" s="292" t="s">
        <v>19062</v>
      </c>
      <c r="H1283" s="255">
        <v>5.77</v>
      </c>
      <c r="J1283" s="634"/>
      <c r="S1283" s="536"/>
      <c r="T1283" s="635"/>
    </row>
    <row r="1284" spans="1:20" s="298" customFormat="1" ht="25.5">
      <c r="A1284" s="256" t="s">
        <v>3261</v>
      </c>
      <c r="B1284" s="374">
        <v>20083</v>
      </c>
      <c r="C1284" s="289" t="s">
        <v>8071</v>
      </c>
      <c r="D1284" s="290" t="s">
        <v>207</v>
      </c>
      <c r="E1284" s="290" t="s">
        <v>3240</v>
      </c>
      <c r="F1284" s="383">
        <v>2.1999999999999999E-2</v>
      </c>
      <c r="G1284" s="292" t="s">
        <v>20658</v>
      </c>
      <c r="H1284" s="255">
        <v>1.53</v>
      </c>
      <c r="J1284" s="634"/>
      <c r="S1284" s="536"/>
      <c r="T1284" s="635"/>
    </row>
    <row r="1285" spans="1:20" s="298" customFormat="1" ht="12.75">
      <c r="A1285" s="256" t="s">
        <v>3261</v>
      </c>
      <c r="B1285" s="374">
        <v>38383</v>
      </c>
      <c r="C1285" s="289" t="s">
        <v>6950</v>
      </c>
      <c r="D1285" s="290" t="s">
        <v>207</v>
      </c>
      <c r="E1285" s="290" t="s">
        <v>3240</v>
      </c>
      <c r="F1285" s="383">
        <v>2.4E-2</v>
      </c>
      <c r="G1285" s="292" t="s">
        <v>11068</v>
      </c>
      <c r="H1285" s="255">
        <v>0.04</v>
      </c>
      <c r="J1285" s="634"/>
      <c r="S1285" s="536"/>
      <c r="T1285" s="635"/>
    </row>
    <row r="1286" spans="1:20" s="298" customFormat="1" ht="38.25">
      <c r="A1286" s="256" t="s">
        <v>3259</v>
      </c>
      <c r="B1286" s="374">
        <v>88248</v>
      </c>
      <c r="C1286" s="289" t="s">
        <v>106</v>
      </c>
      <c r="D1286" s="290" t="s">
        <v>9714</v>
      </c>
      <c r="E1286" s="290" t="s">
        <v>206</v>
      </c>
      <c r="F1286" s="383">
        <v>7.1999999999999995E-2</v>
      </c>
      <c r="G1286" s="292" t="s">
        <v>10175</v>
      </c>
      <c r="H1286" s="255">
        <v>1.31</v>
      </c>
      <c r="J1286" s="634"/>
      <c r="S1286" s="536"/>
      <c r="T1286" s="635"/>
    </row>
    <row r="1287" spans="1:20" s="298" customFormat="1" ht="25.5">
      <c r="A1287" s="256" t="s">
        <v>3259</v>
      </c>
      <c r="B1287" s="374">
        <v>88267</v>
      </c>
      <c r="C1287" s="289" t="s">
        <v>107</v>
      </c>
      <c r="D1287" s="290" t="s">
        <v>9714</v>
      </c>
      <c r="E1287" s="290" t="s">
        <v>206</v>
      </c>
      <c r="F1287" s="383">
        <v>7.1999999999999995E-2</v>
      </c>
      <c r="G1287" s="292" t="s">
        <v>10792</v>
      </c>
      <c r="H1287" s="255">
        <v>1.68</v>
      </c>
      <c r="J1287" s="634"/>
      <c r="S1287" s="536"/>
      <c r="T1287" s="635"/>
    </row>
    <row r="1288" spans="1:20" s="298" customFormat="1" ht="12.75">
      <c r="A1288" s="286"/>
      <c r="B1288" s="375" t="s">
        <v>143</v>
      </c>
      <c r="C1288" s="819" t="s">
        <v>14642</v>
      </c>
      <c r="D1288" s="820"/>
      <c r="E1288" s="820"/>
      <c r="F1288" s="820"/>
      <c r="G1288" s="820"/>
      <c r="H1288" s="821"/>
      <c r="J1288" s="634"/>
      <c r="S1288" s="536"/>
      <c r="T1288" s="635"/>
    </row>
    <row r="1289" spans="1:20" s="298" customFormat="1" ht="12.75">
      <c r="A1289" s="286"/>
      <c r="B1289" s="373"/>
      <c r="C1289" s="379"/>
      <c r="D1289" s="379"/>
      <c r="E1289" s="379"/>
      <c r="F1289" s="379"/>
      <c r="G1289" s="379"/>
      <c r="H1289" s="379"/>
      <c r="J1289" s="634"/>
      <c r="S1289" s="536"/>
      <c r="T1289" s="635"/>
    </row>
    <row r="1290" spans="1:20" s="298" customFormat="1" ht="38.25">
      <c r="A1290" s="286"/>
      <c r="B1290" s="372" t="s">
        <v>14693</v>
      </c>
      <c r="C1290" s="231" t="s">
        <v>18527</v>
      </c>
      <c r="D1290" s="232" t="s">
        <v>103</v>
      </c>
      <c r="E1290" s="232" t="s">
        <v>3240</v>
      </c>
      <c r="F1290" s="233"/>
      <c r="G1290" s="234"/>
      <c r="H1290" s="235">
        <v>73.2</v>
      </c>
      <c r="J1290" s="634"/>
      <c r="S1290" s="536"/>
      <c r="T1290" s="635"/>
    </row>
    <row r="1291" spans="1:20" s="298" customFormat="1" ht="25.5">
      <c r="A1291" s="256" t="s">
        <v>3261</v>
      </c>
      <c r="B1291" s="374">
        <v>122</v>
      </c>
      <c r="C1291" s="289" t="s">
        <v>4686</v>
      </c>
      <c r="D1291" s="290" t="s">
        <v>207</v>
      </c>
      <c r="E1291" s="290" t="s">
        <v>3240</v>
      </c>
      <c r="F1291" s="383">
        <v>0.06</v>
      </c>
      <c r="G1291" s="292" t="s">
        <v>16584</v>
      </c>
      <c r="H1291" s="255">
        <v>4.82</v>
      </c>
      <c r="J1291" s="634"/>
      <c r="S1291" s="536"/>
      <c r="T1291" s="635"/>
    </row>
    <row r="1292" spans="1:20" s="298" customFormat="1" ht="25.5">
      <c r="A1292" s="256" t="s">
        <v>3261</v>
      </c>
      <c r="B1292" s="374">
        <v>7132</v>
      </c>
      <c r="C1292" s="289" t="s">
        <v>8245</v>
      </c>
      <c r="D1292" s="290" t="s">
        <v>207</v>
      </c>
      <c r="E1292" s="290" t="s">
        <v>3240</v>
      </c>
      <c r="F1292" s="383">
        <v>1</v>
      </c>
      <c r="G1292" s="292" t="s">
        <v>20756</v>
      </c>
      <c r="H1292" s="255">
        <v>54.14</v>
      </c>
      <c r="J1292" s="634"/>
      <c r="S1292" s="536"/>
      <c r="T1292" s="635"/>
    </row>
    <row r="1293" spans="1:20" s="298" customFormat="1" ht="25.5">
      <c r="A1293" s="256" t="s">
        <v>3261</v>
      </c>
      <c r="B1293" s="374">
        <v>20083</v>
      </c>
      <c r="C1293" s="289" t="s">
        <v>8071</v>
      </c>
      <c r="D1293" s="290" t="s">
        <v>207</v>
      </c>
      <c r="E1293" s="290" t="s">
        <v>3240</v>
      </c>
      <c r="F1293" s="383">
        <v>7.8E-2</v>
      </c>
      <c r="G1293" s="292" t="s">
        <v>20658</v>
      </c>
      <c r="H1293" s="255">
        <v>5.44</v>
      </c>
      <c r="J1293" s="634"/>
      <c r="S1293" s="536"/>
      <c r="T1293" s="635"/>
    </row>
    <row r="1294" spans="1:20" s="298" customFormat="1" ht="12.75">
      <c r="A1294" s="256" t="s">
        <v>3261</v>
      </c>
      <c r="B1294" s="374">
        <v>38383</v>
      </c>
      <c r="C1294" s="289" t="s">
        <v>6950</v>
      </c>
      <c r="D1294" s="290" t="s">
        <v>207</v>
      </c>
      <c r="E1294" s="290" t="s">
        <v>3240</v>
      </c>
      <c r="F1294" s="383">
        <v>5.2999999999999999E-2</v>
      </c>
      <c r="G1294" s="292" t="s">
        <v>11068</v>
      </c>
      <c r="H1294" s="255">
        <v>0.1</v>
      </c>
      <c r="J1294" s="634"/>
      <c r="S1294" s="536"/>
      <c r="T1294" s="635"/>
    </row>
    <row r="1295" spans="1:20" s="298" customFormat="1" ht="38.25">
      <c r="A1295" s="256" t="s">
        <v>3259</v>
      </c>
      <c r="B1295" s="374">
        <v>88248</v>
      </c>
      <c r="C1295" s="289" t="s">
        <v>106</v>
      </c>
      <c r="D1295" s="290" t="s">
        <v>9714</v>
      </c>
      <c r="E1295" s="290" t="s">
        <v>206</v>
      </c>
      <c r="F1295" s="383">
        <v>0.20899999999999999</v>
      </c>
      <c r="G1295" s="292" t="s">
        <v>10175</v>
      </c>
      <c r="H1295" s="255">
        <v>3.81</v>
      </c>
      <c r="J1295" s="634"/>
      <c r="S1295" s="536"/>
      <c r="T1295" s="635"/>
    </row>
    <row r="1296" spans="1:20" s="298" customFormat="1" ht="25.5">
      <c r="A1296" s="256" t="s">
        <v>3259</v>
      </c>
      <c r="B1296" s="374">
        <v>88267</v>
      </c>
      <c r="C1296" s="289" t="s">
        <v>107</v>
      </c>
      <c r="D1296" s="290" t="s">
        <v>9714</v>
      </c>
      <c r="E1296" s="290" t="s">
        <v>206</v>
      </c>
      <c r="F1296" s="383">
        <v>0.20899999999999999</v>
      </c>
      <c r="G1296" s="292" t="s">
        <v>10792</v>
      </c>
      <c r="H1296" s="255">
        <v>4.8899999999999997</v>
      </c>
      <c r="J1296" s="634"/>
      <c r="S1296" s="536"/>
      <c r="T1296" s="635"/>
    </row>
    <row r="1297" spans="1:20" s="298" customFormat="1" ht="12.75">
      <c r="A1297" s="286"/>
      <c r="B1297" s="375" t="s">
        <v>143</v>
      </c>
      <c r="C1297" s="819" t="s">
        <v>18526</v>
      </c>
      <c r="D1297" s="820"/>
      <c r="E1297" s="820"/>
      <c r="F1297" s="820"/>
      <c r="G1297" s="820"/>
      <c r="H1297" s="821"/>
      <c r="J1297" s="634"/>
      <c r="S1297" s="536"/>
      <c r="T1297" s="635"/>
    </row>
    <row r="1298" spans="1:20" s="298" customFormat="1" ht="12.75">
      <c r="A1298" s="286"/>
      <c r="B1298" s="373"/>
      <c r="C1298" s="379"/>
      <c r="D1298" s="379"/>
      <c r="E1298" s="379"/>
      <c r="F1298" s="379"/>
      <c r="G1298" s="379"/>
      <c r="H1298" s="379"/>
      <c r="J1298" s="634"/>
      <c r="S1298" s="536"/>
      <c r="T1298" s="635"/>
    </row>
    <row r="1299" spans="1:20" s="298" customFormat="1" ht="38.25">
      <c r="A1299" s="286"/>
      <c r="B1299" s="372" t="s">
        <v>14695</v>
      </c>
      <c r="C1299" s="231" t="s">
        <v>18529</v>
      </c>
      <c r="D1299" s="232" t="s">
        <v>103</v>
      </c>
      <c r="E1299" s="232" t="s">
        <v>3240</v>
      </c>
      <c r="F1299" s="233"/>
      <c r="G1299" s="234"/>
      <c r="H1299" s="235">
        <v>16.87</v>
      </c>
      <c r="J1299" s="634"/>
      <c r="S1299" s="536"/>
      <c r="T1299" s="635"/>
    </row>
    <row r="1300" spans="1:20" s="298" customFormat="1" ht="25.5">
      <c r="A1300" s="256" t="s">
        <v>3261</v>
      </c>
      <c r="B1300" s="374">
        <v>122</v>
      </c>
      <c r="C1300" s="289" t="s">
        <v>4686</v>
      </c>
      <c r="D1300" s="290" t="s">
        <v>207</v>
      </c>
      <c r="E1300" s="290" t="s">
        <v>3240</v>
      </c>
      <c r="F1300" s="383">
        <v>1.0999999999999999E-2</v>
      </c>
      <c r="G1300" s="292" t="s">
        <v>16584</v>
      </c>
      <c r="H1300" s="255">
        <v>0.88</v>
      </c>
      <c r="J1300" s="634"/>
      <c r="S1300" s="536"/>
      <c r="T1300" s="635"/>
    </row>
    <row r="1301" spans="1:20" s="298" customFormat="1" ht="25.5">
      <c r="A1301" s="256" t="s">
        <v>3261</v>
      </c>
      <c r="B1301" s="374">
        <v>7136</v>
      </c>
      <c r="C1301" s="289" t="s">
        <v>8239</v>
      </c>
      <c r="D1301" s="290" t="s">
        <v>207</v>
      </c>
      <c r="E1301" s="290" t="s">
        <v>3240</v>
      </c>
      <c r="F1301" s="383">
        <v>1</v>
      </c>
      <c r="G1301" s="292" t="s">
        <v>20755</v>
      </c>
      <c r="H1301" s="255">
        <v>6.69</v>
      </c>
      <c r="J1301" s="634"/>
      <c r="S1301" s="536"/>
      <c r="T1301" s="635"/>
    </row>
    <row r="1302" spans="1:20" s="298" customFormat="1" ht="25.5">
      <c r="A1302" s="256" t="s">
        <v>3261</v>
      </c>
      <c r="B1302" s="374">
        <v>20083</v>
      </c>
      <c r="C1302" s="289" t="s">
        <v>8071</v>
      </c>
      <c r="D1302" s="290" t="s">
        <v>207</v>
      </c>
      <c r="E1302" s="290" t="s">
        <v>3240</v>
      </c>
      <c r="F1302" s="383">
        <v>1.2E-2</v>
      </c>
      <c r="G1302" s="292" t="s">
        <v>20658</v>
      </c>
      <c r="H1302" s="255">
        <v>0.83</v>
      </c>
      <c r="J1302" s="634"/>
      <c r="S1302" s="536"/>
      <c r="T1302" s="635"/>
    </row>
    <row r="1303" spans="1:20" s="298" customFormat="1" ht="12.75">
      <c r="A1303" s="256" t="s">
        <v>3261</v>
      </c>
      <c r="B1303" s="374">
        <v>38383</v>
      </c>
      <c r="C1303" s="289" t="s">
        <v>6950</v>
      </c>
      <c r="D1303" s="290" t="s">
        <v>207</v>
      </c>
      <c r="E1303" s="290" t="s">
        <v>3240</v>
      </c>
      <c r="F1303" s="383">
        <v>7.4999999999999997E-2</v>
      </c>
      <c r="G1303" s="292" t="s">
        <v>11068</v>
      </c>
      <c r="H1303" s="255">
        <v>0.15</v>
      </c>
      <c r="J1303" s="634"/>
      <c r="S1303" s="536"/>
      <c r="T1303" s="635"/>
    </row>
    <row r="1304" spans="1:20" s="298" customFormat="1" ht="38.25">
      <c r="A1304" s="256" t="s">
        <v>3259</v>
      </c>
      <c r="B1304" s="374">
        <v>88248</v>
      </c>
      <c r="C1304" s="289" t="s">
        <v>106</v>
      </c>
      <c r="D1304" s="290" t="s">
        <v>9714</v>
      </c>
      <c r="E1304" s="290" t="s">
        <v>206</v>
      </c>
      <c r="F1304" s="383">
        <v>0.2</v>
      </c>
      <c r="G1304" s="292" t="s">
        <v>10175</v>
      </c>
      <c r="H1304" s="255">
        <v>3.64</v>
      </c>
      <c r="J1304" s="634"/>
      <c r="S1304" s="536"/>
      <c r="T1304" s="635"/>
    </row>
    <row r="1305" spans="1:20" s="298" customFormat="1" ht="25.5">
      <c r="A1305" s="256" t="s">
        <v>3259</v>
      </c>
      <c r="B1305" s="374">
        <v>88267</v>
      </c>
      <c r="C1305" s="289" t="s">
        <v>107</v>
      </c>
      <c r="D1305" s="290" t="s">
        <v>9714</v>
      </c>
      <c r="E1305" s="290" t="s">
        <v>206</v>
      </c>
      <c r="F1305" s="383">
        <v>0.2</v>
      </c>
      <c r="G1305" s="292" t="s">
        <v>10792</v>
      </c>
      <c r="H1305" s="255">
        <v>4.68</v>
      </c>
      <c r="J1305" s="634"/>
      <c r="S1305" s="536"/>
      <c r="T1305" s="635"/>
    </row>
    <row r="1306" spans="1:20" s="298" customFormat="1" ht="12.75">
      <c r="A1306" s="286"/>
      <c r="B1306" s="375" t="s">
        <v>143</v>
      </c>
      <c r="C1306" s="819" t="s">
        <v>18528</v>
      </c>
      <c r="D1306" s="820"/>
      <c r="E1306" s="820"/>
      <c r="F1306" s="820"/>
      <c r="G1306" s="820"/>
      <c r="H1306" s="821"/>
      <c r="J1306" s="634"/>
      <c r="S1306" s="536"/>
      <c r="T1306" s="635"/>
    </row>
    <row r="1307" spans="1:20" s="298" customFormat="1" ht="12.75">
      <c r="A1307" s="286"/>
      <c r="B1307" s="822"/>
      <c r="C1307" s="817"/>
      <c r="D1307" s="817"/>
      <c r="E1307" s="817"/>
      <c r="F1307" s="817"/>
      <c r="G1307" s="817"/>
      <c r="H1307" s="818"/>
      <c r="J1307" s="634"/>
      <c r="S1307" s="536"/>
      <c r="T1307" s="635"/>
    </row>
    <row r="1308" spans="1:20" s="298" customFormat="1" ht="38.25">
      <c r="A1308" s="286"/>
      <c r="B1308" s="372" t="s">
        <v>14696</v>
      </c>
      <c r="C1308" s="231" t="s">
        <v>18531</v>
      </c>
      <c r="D1308" s="232" t="s">
        <v>103</v>
      </c>
      <c r="E1308" s="232" t="s">
        <v>3240</v>
      </c>
      <c r="F1308" s="233"/>
      <c r="G1308" s="234"/>
      <c r="H1308" s="235">
        <v>11.45</v>
      </c>
      <c r="J1308" s="634"/>
      <c r="S1308" s="536"/>
      <c r="T1308" s="635"/>
    </row>
    <row r="1309" spans="1:20" s="298" customFormat="1" ht="25.5">
      <c r="A1309" s="256" t="s">
        <v>3261</v>
      </c>
      <c r="B1309" s="374">
        <v>39319</v>
      </c>
      <c r="C1309" s="289" t="s">
        <v>8438</v>
      </c>
      <c r="D1309" s="290" t="s">
        <v>207</v>
      </c>
      <c r="E1309" s="290" t="s">
        <v>3240</v>
      </c>
      <c r="F1309" s="383">
        <v>1</v>
      </c>
      <c r="G1309" s="292" t="s">
        <v>11504</v>
      </c>
      <c r="H1309" s="255">
        <v>6.79</v>
      </c>
      <c r="J1309" s="634"/>
      <c r="S1309" s="536"/>
      <c r="T1309" s="635"/>
    </row>
    <row r="1310" spans="1:20" s="298" customFormat="1" ht="51">
      <c r="A1310" s="256" t="s">
        <v>3261</v>
      </c>
      <c r="B1310" s="374">
        <v>20078</v>
      </c>
      <c r="C1310" s="289" t="s">
        <v>7558</v>
      </c>
      <c r="D1310" s="290" t="s">
        <v>207</v>
      </c>
      <c r="E1310" s="290" t="s">
        <v>3240</v>
      </c>
      <c r="F1310" s="383">
        <v>0.06</v>
      </c>
      <c r="G1310" s="292" t="s">
        <v>9726</v>
      </c>
      <c r="H1310" s="255">
        <v>1.76</v>
      </c>
      <c r="J1310" s="634"/>
      <c r="S1310" s="536"/>
      <c r="T1310" s="635"/>
    </row>
    <row r="1311" spans="1:20" s="298" customFormat="1" ht="38.25">
      <c r="A1311" s="256" t="s">
        <v>3259</v>
      </c>
      <c r="B1311" s="374">
        <v>88248</v>
      </c>
      <c r="C1311" s="289" t="s">
        <v>106</v>
      </c>
      <c r="D1311" s="290" t="s">
        <v>9714</v>
      </c>
      <c r="E1311" s="290" t="s">
        <v>206</v>
      </c>
      <c r="F1311" s="383">
        <v>7.0000000000000007E-2</v>
      </c>
      <c r="G1311" s="292" t="s">
        <v>10175</v>
      </c>
      <c r="H1311" s="255">
        <v>1.27</v>
      </c>
      <c r="J1311" s="634"/>
      <c r="S1311" s="536"/>
      <c r="T1311" s="635"/>
    </row>
    <row r="1312" spans="1:20" s="298" customFormat="1" ht="25.5">
      <c r="A1312" s="256" t="s">
        <v>3259</v>
      </c>
      <c r="B1312" s="374">
        <v>88267</v>
      </c>
      <c r="C1312" s="289" t="s">
        <v>107</v>
      </c>
      <c r="D1312" s="290" t="s">
        <v>9714</v>
      </c>
      <c r="E1312" s="290" t="s">
        <v>206</v>
      </c>
      <c r="F1312" s="383">
        <v>7.0000000000000007E-2</v>
      </c>
      <c r="G1312" s="292" t="s">
        <v>10792</v>
      </c>
      <c r="H1312" s="255">
        <v>1.63</v>
      </c>
      <c r="J1312" s="634"/>
      <c r="S1312" s="536"/>
      <c r="T1312" s="635"/>
    </row>
    <row r="1313" spans="1:68" s="298" customFormat="1" ht="12.75">
      <c r="A1313" s="286"/>
      <c r="B1313" s="375" t="s">
        <v>143</v>
      </c>
      <c r="C1313" s="819" t="s">
        <v>14743</v>
      </c>
      <c r="D1313" s="820"/>
      <c r="E1313" s="820"/>
      <c r="F1313" s="820"/>
      <c r="G1313" s="820"/>
      <c r="H1313" s="821"/>
      <c r="J1313" s="634"/>
      <c r="S1313" s="536"/>
      <c r="T1313" s="635"/>
    </row>
    <row r="1314" spans="1:68" s="298" customFormat="1" ht="12.75">
      <c r="A1314" s="286"/>
      <c r="B1314" s="373"/>
      <c r="C1314" s="379"/>
      <c r="D1314" s="379"/>
      <c r="E1314" s="379"/>
      <c r="F1314" s="379"/>
      <c r="G1314" s="379"/>
      <c r="H1314" s="379"/>
      <c r="J1314" s="634"/>
      <c r="S1314" s="536"/>
      <c r="T1314" s="635"/>
    </row>
    <row r="1315" spans="1:68" s="529" customFormat="1" ht="12.75">
      <c r="A1315" s="286"/>
      <c r="B1315" s="372" t="s">
        <v>14697</v>
      </c>
      <c r="C1315" s="231" t="s">
        <v>14699</v>
      </c>
      <c r="D1315" s="232" t="s">
        <v>103</v>
      </c>
      <c r="E1315" s="232" t="s">
        <v>3241</v>
      </c>
      <c r="F1315" s="233"/>
      <c r="G1315" s="234"/>
      <c r="H1315" s="235">
        <v>165.58999999999997</v>
      </c>
      <c r="I1315" s="298"/>
      <c r="J1315" s="521"/>
      <c r="K1315" s="298"/>
      <c r="L1315" s="298"/>
      <c r="M1315" s="298"/>
      <c r="N1315" s="298"/>
      <c r="O1315" s="298"/>
      <c r="P1315" s="298"/>
      <c r="Q1315" s="298"/>
      <c r="R1315" s="298"/>
      <c r="S1315" s="536"/>
      <c r="T1315" s="635"/>
      <c r="U1315" s="298"/>
      <c r="V1315" s="298"/>
      <c r="W1315" s="298"/>
      <c r="X1315" s="298"/>
      <c r="Y1315" s="298"/>
      <c r="Z1315" s="298"/>
      <c r="AA1315" s="298"/>
      <c r="AB1315" s="298"/>
      <c r="AC1315" s="298"/>
      <c r="AD1315" s="298"/>
      <c r="AE1315" s="298"/>
      <c r="AF1315" s="298"/>
      <c r="AG1315" s="298"/>
      <c r="AH1315" s="298"/>
      <c r="AI1315" s="298"/>
      <c r="AJ1315" s="298"/>
      <c r="AK1315" s="298"/>
      <c r="AL1315" s="298"/>
      <c r="AM1315" s="298"/>
      <c r="AN1315" s="298"/>
      <c r="AO1315" s="298"/>
      <c r="AP1315" s="298"/>
      <c r="AQ1315" s="298"/>
      <c r="AR1315" s="298"/>
      <c r="AS1315" s="298"/>
      <c r="AT1315" s="298"/>
      <c r="AU1315" s="298"/>
      <c r="AV1315" s="298"/>
      <c r="AW1315" s="298"/>
      <c r="AX1315" s="298"/>
      <c r="AY1315" s="298"/>
      <c r="AZ1315" s="298"/>
      <c r="BA1315" s="298"/>
      <c r="BB1315" s="298"/>
      <c r="BC1315" s="298"/>
      <c r="BD1315" s="298"/>
      <c r="BE1315" s="298"/>
      <c r="BF1315" s="298"/>
      <c r="BG1315" s="298"/>
      <c r="BH1315" s="298"/>
      <c r="BI1315" s="298"/>
      <c r="BJ1315" s="298"/>
      <c r="BK1315" s="298"/>
      <c r="BL1315" s="298"/>
      <c r="BM1315" s="298"/>
      <c r="BN1315" s="298"/>
      <c r="BO1315" s="298"/>
      <c r="BP1315" s="298"/>
    </row>
    <row r="1316" spans="1:68" s="298" customFormat="1" ht="25.5">
      <c r="A1316" s="256" t="s">
        <v>3259</v>
      </c>
      <c r="B1316" s="374">
        <v>88316</v>
      </c>
      <c r="C1316" s="289" t="s">
        <v>104</v>
      </c>
      <c r="D1316" s="290" t="s">
        <v>9714</v>
      </c>
      <c r="E1316" s="290" t="s">
        <v>206</v>
      </c>
      <c r="F1316" s="383">
        <v>1.3</v>
      </c>
      <c r="G1316" s="292" t="s">
        <v>10172</v>
      </c>
      <c r="H1316" s="255">
        <v>22.89</v>
      </c>
      <c r="J1316" s="521"/>
      <c r="S1316" s="536"/>
      <c r="T1316" s="635"/>
    </row>
    <row r="1317" spans="1:68" s="298" customFormat="1" ht="38.25">
      <c r="A1317" s="256" t="s">
        <v>3261</v>
      </c>
      <c r="B1317" s="374">
        <v>367</v>
      </c>
      <c r="C1317" s="289" t="s">
        <v>4814</v>
      </c>
      <c r="D1317" s="290" t="s">
        <v>207</v>
      </c>
      <c r="E1317" s="290" t="s">
        <v>3241</v>
      </c>
      <c r="F1317" s="383">
        <v>1.1499999999999999</v>
      </c>
      <c r="G1317" s="292" t="s">
        <v>18930</v>
      </c>
      <c r="H1317" s="255">
        <v>142.69999999999999</v>
      </c>
      <c r="J1317" s="521"/>
      <c r="S1317" s="536"/>
      <c r="T1317" s="635"/>
    </row>
    <row r="1318" spans="1:68" s="298" customFormat="1" ht="12.75">
      <c r="A1318" s="286"/>
      <c r="B1318" s="288" t="s">
        <v>143</v>
      </c>
      <c r="C1318" s="603" t="s">
        <v>14698</v>
      </c>
      <c r="D1318" s="604"/>
      <c r="E1318" s="604"/>
      <c r="F1318" s="604"/>
      <c r="G1318" s="604"/>
      <c r="H1318" s="605"/>
      <c r="J1318" s="646"/>
      <c r="K1318" s="524"/>
      <c r="L1318" s="522"/>
      <c r="M1318" s="522"/>
      <c r="S1318" s="536"/>
      <c r="T1318" s="635"/>
    </row>
    <row r="1319" spans="1:68" s="529" customFormat="1" ht="12.75">
      <c r="A1319" s="286"/>
      <c r="B1319" s="583"/>
      <c r="C1319" s="466"/>
      <c r="D1319" s="467"/>
      <c r="E1319" s="467"/>
      <c r="F1319" s="467"/>
      <c r="G1319" s="467"/>
      <c r="H1319" s="467"/>
      <c r="I1319" s="298"/>
      <c r="J1319" s="521"/>
      <c r="K1319" s="298"/>
      <c r="L1319" s="298"/>
      <c r="M1319" s="298"/>
      <c r="N1319" s="298"/>
      <c r="O1319" s="298"/>
      <c r="P1319" s="298"/>
      <c r="Q1319" s="298"/>
      <c r="R1319" s="298"/>
      <c r="S1319" s="536"/>
      <c r="T1319" s="635"/>
      <c r="U1319" s="298"/>
      <c r="V1319" s="298"/>
      <c r="W1319" s="298"/>
      <c r="X1319" s="298"/>
      <c r="Y1319" s="298"/>
      <c r="Z1319" s="298"/>
      <c r="AA1319" s="298"/>
      <c r="AB1319" s="298"/>
      <c r="AC1319" s="298"/>
      <c r="AD1319" s="298"/>
      <c r="AE1319" s="298"/>
      <c r="AF1319" s="298"/>
      <c r="AG1319" s="298"/>
      <c r="AH1319" s="298"/>
      <c r="AI1319" s="298"/>
      <c r="AJ1319" s="298"/>
      <c r="AK1319" s="298"/>
      <c r="AL1319" s="298"/>
      <c r="AM1319" s="298"/>
      <c r="AN1319" s="298"/>
      <c r="AO1319" s="298"/>
      <c r="AP1319" s="298"/>
      <c r="AQ1319" s="298"/>
      <c r="AR1319" s="298"/>
      <c r="AS1319" s="298"/>
      <c r="AT1319" s="298"/>
      <c r="AU1319" s="298"/>
      <c r="AV1319" s="298"/>
      <c r="AW1319" s="298"/>
      <c r="AX1319" s="298"/>
      <c r="AY1319" s="298"/>
      <c r="AZ1319" s="298"/>
      <c r="BA1319" s="298"/>
      <c r="BB1319" s="298"/>
      <c r="BC1319" s="298"/>
      <c r="BD1319" s="298"/>
      <c r="BE1319" s="298"/>
      <c r="BF1319" s="298"/>
      <c r="BG1319" s="298"/>
      <c r="BH1319" s="298"/>
      <c r="BI1319" s="298"/>
      <c r="BJ1319" s="298"/>
      <c r="BK1319" s="298"/>
      <c r="BL1319" s="298"/>
      <c r="BM1319" s="298"/>
      <c r="BN1319" s="298"/>
      <c r="BO1319" s="298"/>
      <c r="BP1319" s="298"/>
    </row>
    <row r="1320" spans="1:68" s="529" customFormat="1" ht="38.25">
      <c r="A1320" s="286"/>
      <c r="B1320" s="372" t="s">
        <v>14700</v>
      </c>
      <c r="C1320" s="231" t="s">
        <v>14701</v>
      </c>
      <c r="D1320" s="232" t="s">
        <v>103</v>
      </c>
      <c r="E1320" s="232" t="s">
        <v>193</v>
      </c>
      <c r="F1320" s="233"/>
      <c r="G1320" s="234"/>
      <c r="H1320" s="235">
        <v>19.88</v>
      </c>
      <c r="I1320" s="298"/>
      <c r="J1320" s="521"/>
      <c r="K1320" s="298"/>
      <c r="L1320" s="298"/>
      <c r="M1320" s="298"/>
      <c r="N1320" s="298"/>
      <c r="O1320" s="298"/>
      <c r="P1320" s="298"/>
      <c r="Q1320" s="298"/>
      <c r="R1320" s="298"/>
      <c r="S1320" s="536"/>
      <c r="T1320" s="635"/>
      <c r="U1320" s="298"/>
      <c r="V1320" s="298"/>
      <c r="W1320" s="298"/>
      <c r="X1320" s="298"/>
      <c r="Y1320" s="298"/>
      <c r="Z1320" s="298"/>
      <c r="AA1320" s="298"/>
      <c r="AB1320" s="298"/>
      <c r="AC1320" s="298"/>
      <c r="AD1320" s="298"/>
      <c r="AE1320" s="298"/>
      <c r="AF1320" s="298"/>
      <c r="AG1320" s="298"/>
      <c r="AH1320" s="298"/>
      <c r="AI1320" s="298"/>
      <c r="AJ1320" s="298"/>
      <c r="AK1320" s="298"/>
      <c r="AL1320" s="298"/>
      <c r="AM1320" s="298"/>
      <c r="AN1320" s="298"/>
      <c r="AO1320" s="298"/>
      <c r="AP1320" s="298"/>
      <c r="AQ1320" s="298"/>
      <c r="AR1320" s="298"/>
      <c r="AS1320" s="298"/>
      <c r="AT1320" s="298"/>
      <c r="AU1320" s="298"/>
      <c r="AV1320" s="298"/>
      <c r="AW1320" s="298"/>
      <c r="AX1320" s="298"/>
      <c r="AY1320" s="298"/>
      <c r="AZ1320" s="298"/>
      <c r="BA1320" s="298"/>
      <c r="BB1320" s="298"/>
      <c r="BC1320" s="298"/>
      <c r="BD1320" s="298"/>
      <c r="BE1320" s="298"/>
      <c r="BF1320" s="298"/>
      <c r="BG1320" s="298"/>
      <c r="BH1320" s="298"/>
      <c r="BI1320" s="298"/>
      <c r="BJ1320" s="298"/>
      <c r="BK1320" s="298"/>
      <c r="BL1320" s="298"/>
      <c r="BM1320" s="298"/>
      <c r="BN1320" s="298"/>
      <c r="BO1320" s="298"/>
      <c r="BP1320" s="298"/>
    </row>
    <row r="1321" spans="1:68" s="298" customFormat="1" ht="12.75">
      <c r="A1321" s="256" t="s">
        <v>3261</v>
      </c>
      <c r="B1321" s="374">
        <v>5318</v>
      </c>
      <c r="C1321" s="289" t="s">
        <v>8072</v>
      </c>
      <c r="D1321" s="290" t="s">
        <v>207</v>
      </c>
      <c r="E1321" s="290" t="s">
        <v>3245</v>
      </c>
      <c r="F1321" s="383">
        <v>6.2E-2</v>
      </c>
      <c r="G1321" s="292" t="s">
        <v>11270</v>
      </c>
      <c r="H1321" s="255">
        <v>0.74</v>
      </c>
      <c r="J1321" s="521"/>
      <c r="S1321" s="536"/>
      <c r="T1321" s="635"/>
    </row>
    <row r="1322" spans="1:68" s="298" customFormat="1" ht="25.5">
      <c r="A1322" s="256" t="s">
        <v>3261</v>
      </c>
      <c r="B1322" s="374">
        <v>7311</v>
      </c>
      <c r="C1322" s="289" t="s">
        <v>8475</v>
      </c>
      <c r="D1322" s="290" t="s">
        <v>207</v>
      </c>
      <c r="E1322" s="290" t="s">
        <v>3245</v>
      </c>
      <c r="F1322" s="383">
        <v>0.20669999999999999</v>
      </c>
      <c r="G1322" s="292" t="s">
        <v>14314</v>
      </c>
      <c r="H1322" s="255">
        <v>6.04</v>
      </c>
      <c r="J1322" s="521"/>
      <c r="S1322" s="536"/>
      <c r="T1322" s="635"/>
    </row>
    <row r="1323" spans="1:68" s="298" customFormat="1" ht="12.75">
      <c r="A1323" s="256" t="s">
        <v>3259</v>
      </c>
      <c r="B1323" s="374">
        <v>88310</v>
      </c>
      <c r="C1323" s="289" t="s">
        <v>226</v>
      </c>
      <c r="D1323" s="290" t="s">
        <v>9714</v>
      </c>
      <c r="E1323" s="290" t="s">
        <v>206</v>
      </c>
      <c r="F1323" s="383">
        <v>0.52659999999999996</v>
      </c>
      <c r="G1323" s="292" t="s">
        <v>12276</v>
      </c>
      <c r="H1323" s="255">
        <v>13.1</v>
      </c>
      <c r="J1323" s="521"/>
      <c r="S1323" s="536"/>
      <c r="T1323" s="635"/>
    </row>
    <row r="1324" spans="1:68" s="298" customFormat="1" ht="12.75">
      <c r="A1324" s="286"/>
      <c r="B1324" s="288" t="s">
        <v>143</v>
      </c>
      <c r="C1324" s="712" t="s">
        <v>24479</v>
      </c>
      <c r="D1324" s="604"/>
      <c r="E1324" s="604"/>
      <c r="F1324" s="604"/>
      <c r="G1324" s="604"/>
      <c r="H1324" s="605"/>
      <c r="J1324" s="646"/>
      <c r="K1324" s="524"/>
      <c r="L1324" s="522"/>
      <c r="M1324" s="522"/>
      <c r="S1324" s="536"/>
      <c r="T1324" s="635"/>
    </row>
    <row r="1325" spans="1:68" s="298" customFormat="1" ht="12.75">
      <c r="A1325" s="286"/>
      <c r="B1325" s="373"/>
      <c r="C1325" s="379"/>
      <c r="D1325" s="379"/>
      <c r="E1325" s="379"/>
      <c r="F1325" s="379"/>
      <c r="G1325" s="379"/>
      <c r="H1325" s="379"/>
      <c r="J1325" s="634"/>
      <c r="S1325" s="536"/>
      <c r="T1325" s="635"/>
    </row>
    <row r="1326" spans="1:68" s="298" customFormat="1" ht="38.25">
      <c r="A1326" s="286"/>
      <c r="B1326" s="372" t="s">
        <v>14736</v>
      </c>
      <c r="C1326" s="231" t="s">
        <v>17361</v>
      </c>
      <c r="D1326" s="232" t="s">
        <v>103</v>
      </c>
      <c r="E1326" s="232" t="s">
        <v>3240</v>
      </c>
      <c r="F1326" s="233"/>
      <c r="G1326" s="234"/>
      <c r="H1326" s="235">
        <v>9.1999999999999993</v>
      </c>
      <c r="J1326" s="634"/>
      <c r="S1326" s="536"/>
      <c r="T1326" s="635"/>
    </row>
    <row r="1327" spans="1:68" s="298" customFormat="1" ht="12.75">
      <c r="A1327" s="256" t="s">
        <v>3261</v>
      </c>
      <c r="B1327" s="374">
        <v>38383</v>
      </c>
      <c r="C1327" s="289" t="s">
        <v>6950</v>
      </c>
      <c r="D1327" s="290" t="s">
        <v>207</v>
      </c>
      <c r="E1327" s="290" t="s">
        <v>3240</v>
      </c>
      <c r="F1327" s="383">
        <v>8.0000000000000002E-3</v>
      </c>
      <c r="G1327" s="292" t="s">
        <v>11068</v>
      </c>
      <c r="H1327" s="255">
        <v>0.01</v>
      </c>
      <c r="J1327" s="634"/>
      <c r="S1327" s="536"/>
      <c r="T1327" s="635"/>
    </row>
    <row r="1328" spans="1:68" s="298" customFormat="1" ht="25.5">
      <c r="A1328" s="256" t="s">
        <v>12</v>
      </c>
      <c r="B1328" s="374" t="s">
        <v>17359</v>
      </c>
      <c r="C1328" s="289" t="s">
        <v>17362</v>
      </c>
      <c r="D1328" s="290" t="s">
        <v>207</v>
      </c>
      <c r="E1328" s="290" t="s">
        <v>109</v>
      </c>
      <c r="F1328" s="383">
        <v>1</v>
      </c>
      <c r="G1328" s="292">
        <v>8.1999999999999993</v>
      </c>
      <c r="H1328" s="255">
        <v>8.1999999999999993</v>
      </c>
      <c r="J1328" s="634"/>
      <c r="S1328" s="536"/>
      <c r="T1328" s="635"/>
    </row>
    <row r="1329" spans="1:20" s="298" customFormat="1" ht="38.25">
      <c r="A1329" s="256" t="s">
        <v>3259</v>
      </c>
      <c r="B1329" s="374">
        <v>88248</v>
      </c>
      <c r="C1329" s="289" t="s">
        <v>106</v>
      </c>
      <c r="D1329" s="290" t="s">
        <v>9714</v>
      </c>
      <c r="E1329" s="290" t="s">
        <v>206</v>
      </c>
      <c r="F1329" s="383">
        <v>2.4E-2</v>
      </c>
      <c r="G1329" s="292" t="s">
        <v>10175</v>
      </c>
      <c r="H1329" s="255">
        <v>0.43</v>
      </c>
      <c r="J1329" s="634"/>
      <c r="S1329" s="536"/>
      <c r="T1329" s="635"/>
    </row>
    <row r="1330" spans="1:20" s="298" customFormat="1" ht="25.5">
      <c r="A1330" s="256" t="s">
        <v>3259</v>
      </c>
      <c r="B1330" s="374">
        <v>88267</v>
      </c>
      <c r="C1330" s="289" t="s">
        <v>107</v>
      </c>
      <c r="D1330" s="290" t="s">
        <v>9714</v>
      </c>
      <c r="E1330" s="290" t="s">
        <v>206</v>
      </c>
      <c r="F1330" s="383">
        <v>2.4E-2</v>
      </c>
      <c r="G1330" s="292" t="s">
        <v>10792</v>
      </c>
      <c r="H1330" s="255">
        <v>0.56000000000000005</v>
      </c>
      <c r="J1330" s="634"/>
      <c r="S1330" s="536"/>
      <c r="T1330" s="635"/>
    </row>
    <row r="1331" spans="1:20" s="298" customFormat="1" ht="12.75">
      <c r="A1331" s="286"/>
      <c r="B1331" s="375" t="s">
        <v>143</v>
      </c>
      <c r="C1331" s="819" t="s">
        <v>17360</v>
      </c>
      <c r="D1331" s="820"/>
      <c r="E1331" s="820"/>
      <c r="F1331" s="820"/>
      <c r="G1331" s="820"/>
      <c r="H1331" s="821"/>
      <c r="J1331" s="634"/>
      <c r="S1331" s="536"/>
      <c r="T1331" s="635"/>
    </row>
    <row r="1332" spans="1:20" s="298" customFormat="1" ht="12.75">
      <c r="A1332" s="286"/>
      <c r="B1332" s="822"/>
      <c r="C1332" s="817"/>
      <c r="D1332" s="817"/>
      <c r="E1332" s="817"/>
      <c r="F1332" s="817"/>
      <c r="G1332" s="817"/>
      <c r="H1332" s="818"/>
      <c r="J1332" s="634"/>
      <c r="S1332" s="536"/>
      <c r="T1332" s="635"/>
    </row>
    <row r="1333" spans="1:20" s="298" customFormat="1" ht="63.75">
      <c r="A1333" s="286"/>
      <c r="B1333" s="372" t="s">
        <v>14739</v>
      </c>
      <c r="C1333" s="231" t="s">
        <v>17373</v>
      </c>
      <c r="D1333" s="232" t="s">
        <v>103</v>
      </c>
      <c r="E1333" s="232" t="s">
        <v>3240</v>
      </c>
      <c r="F1333" s="233"/>
      <c r="G1333" s="234"/>
      <c r="H1333" s="235">
        <v>9.99</v>
      </c>
      <c r="J1333" s="634"/>
      <c r="S1333" s="536"/>
      <c r="T1333" s="635"/>
    </row>
    <row r="1334" spans="1:20" s="298" customFormat="1" ht="25.5">
      <c r="A1334" s="256" t="s">
        <v>3261</v>
      </c>
      <c r="B1334" s="374">
        <v>122</v>
      </c>
      <c r="C1334" s="289" t="s">
        <v>4686</v>
      </c>
      <c r="D1334" s="290" t="s">
        <v>207</v>
      </c>
      <c r="E1334" s="290" t="s">
        <v>3240</v>
      </c>
      <c r="F1334" s="383">
        <v>9.9000000000000008E-3</v>
      </c>
      <c r="G1334" s="292" t="s">
        <v>16584</v>
      </c>
      <c r="H1334" s="255">
        <v>0.79</v>
      </c>
      <c r="J1334" s="634"/>
      <c r="S1334" s="536"/>
      <c r="T1334" s="635"/>
    </row>
    <row r="1335" spans="1:20" s="298" customFormat="1" ht="38.25">
      <c r="A1335" s="256" t="s">
        <v>3261</v>
      </c>
      <c r="B1335" s="374">
        <v>10835</v>
      </c>
      <c r="C1335" s="289" t="s">
        <v>6742</v>
      </c>
      <c r="D1335" s="290" t="s">
        <v>207</v>
      </c>
      <c r="E1335" s="290" t="s">
        <v>3240</v>
      </c>
      <c r="F1335" s="383">
        <v>1</v>
      </c>
      <c r="G1335" s="292" t="s">
        <v>9930</v>
      </c>
      <c r="H1335" s="255">
        <v>3.96</v>
      </c>
      <c r="J1335" s="634"/>
      <c r="S1335" s="536"/>
      <c r="T1335" s="635"/>
    </row>
    <row r="1336" spans="1:20" s="298" customFormat="1" ht="25.5">
      <c r="A1336" s="256" t="s">
        <v>3261</v>
      </c>
      <c r="B1336" s="374">
        <v>20083</v>
      </c>
      <c r="C1336" s="289" t="s">
        <v>8071</v>
      </c>
      <c r="D1336" s="290" t="s">
        <v>207</v>
      </c>
      <c r="E1336" s="290" t="s">
        <v>3240</v>
      </c>
      <c r="F1336" s="383">
        <v>1.4999999999999999E-2</v>
      </c>
      <c r="G1336" s="292" t="s">
        <v>20658</v>
      </c>
      <c r="H1336" s="255">
        <v>1.04</v>
      </c>
      <c r="J1336" s="634"/>
      <c r="S1336" s="536"/>
      <c r="T1336" s="635"/>
    </row>
    <row r="1337" spans="1:20" s="298" customFormat="1" ht="12.75">
      <c r="A1337" s="256" t="s">
        <v>3261</v>
      </c>
      <c r="B1337" s="374">
        <v>38383</v>
      </c>
      <c r="C1337" s="289" t="s">
        <v>6950</v>
      </c>
      <c r="D1337" s="290" t="s">
        <v>207</v>
      </c>
      <c r="E1337" s="290" t="s">
        <v>3240</v>
      </c>
      <c r="F1337" s="383">
        <v>2.1000000000000001E-2</v>
      </c>
      <c r="G1337" s="292" t="s">
        <v>11068</v>
      </c>
      <c r="H1337" s="255">
        <v>0.04</v>
      </c>
      <c r="J1337" s="634"/>
      <c r="S1337" s="536"/>
      <c r="T1337" s="635"/>
    </row>
    <row r="1338" spans="1:20" s="298" customFormat="1" ht="38.25">
      <c r="A1338" s="256" t="s">
        <v>3259</v>
      </c>
      <c r="B1338" s="374">
        <v>88248</v>
      </c>
      <c r="C1338" s="289" t="s">
        <v>106</v>
      </c>
      <c r="D1338" s="290" t="s">
        <v>9714</v>
      </c>
      <c r="E1338" s="290" t="s">
        <v>206</v>
      </c>
      <c r="F1338" s="383">
        <v>0.1</v>
      </c>
      <c r="G1338" s="292" t="s">
        <v>10175</v>
      </c>
      <c r="H1338" s="255">
        <v>1.82</v>
      </c>
      <c r="J1338" s="634"/>
      <c r="S1338" s="536"/>
      <c r="T1338" s="635"/>
    </row>
    <row r="1339" spans="1:20" s="298" customFormat="1" ht="25.5">
      <c r="A1339" s="256" t="s">
        <v>3259</v>
      </c>
      <c r="B1339" s="374">
        <v>88267</v>
      </c>
      <c r="C1339" s="289" t="s">
        <v>107</v>
      </c>
      <c r="D1339" s="290" t="s">
        <v>9714</v>
      </c>
      <c r="E1339" s="290" t="s">
        <v>206</v>
      </c>
      <c r="F1339" s="383">
        <v>0.1</v>
      </c>
      <c r="G1339" s="292" t="s">
        <v>10792</v>
      </c>
      <c r="H1339" s="255">
        <v>2.34</v>
      </c>
      <c r="J1339" s="634"/>
      <c r="S1339" s="536"/>
      <c r="T1339" s="635"/>
    </row>
    <row r="1340" spans="1:20" s="298" customFormat="1" ht="12.75">
      <c r="A1340" s="286"/>
      <c r="B1340" s="375" t="s">
        <v>143</v>
      </c>
      <c r="C1340" s="819" t="s">
        <v>14737</v>
      </c>
      <c r="D1340" s="820"/>
      <c r="E1340" s="820"/>
      <c r="F1340" s="820"/>
      <c r="G1340" s="820"/>
      <c r="H1340" s="821"/>
      <c r="J1340" s="634"/>
      <c r="S1340" s="536"/>
      <c r="T1340" s="635"/>
    </row>
    <row r="1341" spans="1:20" s="298" customFormat="1" ht="12.75">
      <c r="A1341" s="286"/>
      <c r="B1341" s="822"/>
      <c r="C1341" s="817"/>
      <c r="D1341" s="817"/>
      <c r="E1341" s="817"/>
      <c r="F1341" s="817"/>
      <c r="G1341" s="817"/>
      <c r="H1341" s="818"/>
      <c r="J1341" s="634"/>
      <c r="S1341" s="536"/>
      <c r="T1341" s="635"/>
    </row>
    <row r="1342" spans="1:20" s="298" customFormat="1" ht="38.25">
      <c r="A1342" s="286"/>
      <c r="B1342" s="372" t="s">
        <v>14740</v>
      </c>
      <c r="C1342" s="231" t="s">
        <v>14801</v>
      </c>
      <c r="D1342" s="232" t="s">
        <v>103</v>
      </c>
      <c r="E1342" s="232" t="s">
        <v>3240</v>
      </c>
      <c r="F1342" s="233"/>
      <c r="G1342" s="234"/>
      <c r="H1342" s="235">
        <v>37.99</v>
      </c>
      <c r="J1342" s="634"/>
      <c r="S1342" s="536"/>
      <c r="T1342" s="635"/>
    </row>
    <row r="1343" spans="1:20" s="298" customFormat="1" ht="25.5">
      <c r="A1343" s="256" t="s">
        <v>3261</v>
      </c>
      <c r="B1343" s="374">
        <v>301</v>
      </c>
      <c r="C1343" s="289" t="s">
        <v>4729</v>
      </c>
      <c r="D1343" s="290" t="s">
        <v>207</v>
      </c>
      <c r="E1343" s="290" t="s">
        <v>3240</v>
      </c>
      <c r="F1343" s="383">
        <v>1</v>
      </c>
      <c r="G1343" s="292" t="s">
        <v>11402</v>
      </c>
      <c r="H1343" s="255">
        <v>2.89</v>
      </c>
      <c r="J1343" s="634"/>
      <c r="S1343" s="536"/>
      <c r="T1343" s="635"/>
    </row>
    <row r="1344" spans="1:20" s="298" customFormat="1" ht="25.5">
      <c r="A1344" s="256" t="s">
        <v>3261</v>
      </c>
      <c r="B1344" s="374">
        <v>301</v>
      </c>
      <c r="C1344" s="289" t="s">
        <v>4729</v>
      </c>
      <c r="D1344" s="290" t="s">
        <v>207</v>
      </c>
      <c r="E1344" s="290" t="s">
        <v>3240</v>
      </c>
      <c r="F1344" s="383">
        <v>1</v>
      </c>
      <c r="G1344" s="292" t="s">
        <v>11402</v>
      </c>
      <c r="H1344" s="255">
        <v>2.89</v>
      </c>
      <c r="J1344" s="634"/>
      <c r="S1344" s="536"/>
      <c r="T1344" s="635"/>
    </row>
    <row r="1345" spans="1:20" s="298" customFormat="1" ht="25.5">
      <c r="A1345" s="256" t="s">
        <v>3261</v>
      </c>
      <c r="B1345" s="374">
        <v>11656</v>
      </c>
      <c r="C1345" s="289" t="s">
        <v>8316</v>
      </c>
      <c r="D1345" s="290" t="s">
        <v>207</v>
      </c>
      <c r="E1345" s="290" t="s">
        <v>3240</v>
      </c>
      <c r="F1345" s="383">
        <v>1</v>
      </c>
      <c r="G1345" s="292" t="s">
        <v>11437</v>
      </c>
      <c r="H1345" s="255">
        <v>15.78</v>
      </c>
      <c r="J1345" s="634"/>
      <c r="S1345" s="536"/>
      <c r="T1345" s="635"/>
    </row>
    <row r="1346" spans="1:20" s="298" customFormat="1" ht="51">
      <c r="A1346" s="256" t="s">
        <v>3261</v>
      </c>
      <c r="B1346" s="374">
        <v>20078</v>
      </c>
      <c r="C1346" s="289" t="s">
        <v>7558</v>
      </c>
      <c r="D1346" s="290" t="s">
        <v>207</v>
      </c>
      <c r="E1346" s="290" t="s">
        <v>3240</v>
      </c>
      <c r="F1346" s="383">
        <v>9.1999999999999998E-2</v>
      </c>
      <c r="G1346" s="292" t="s">
        <v>9726</v>
      </c>
      <c r="H1346" s="255">
        <v>2.7</v>
      </c>
      <c r="J1346" s="634"/>
      <c r="S1346" s="536"/>
      <c r="T1346" s="635"/>
    </row>
    <row r="1347" spans="1:20" s="298" customFormat="1" ht="38.25">
      <c r="A1347" s="256" t="s">
        <v>3259</v>
      </c>
      <c r="B1347" s="374">
        <v>88248</v>
      </c>
      <c r="C1347" s="289" t="s">
        <v>106</v>
      </c>
      <c r="D1347" s="290" t="s">
        <v>9714</v>
      </c>
      <c r="E1347" s="290" t="s">
        <v>206</v>
      </c>
      <c r="F1347" s="383">
        <v>0.33</v>
      </c>
      <c r="G1347" s="292" t="s">
        <v>10175</v>
      </c>
      <c r="H1347" s="255">
        <v>6.01</v>
      </c>
      <c r="J1347" s="634"/>
      <c r="S1347" s="536"/>
      <c r="T1347" s="635"/>
    </row>
    <row r="1348" spans="1:20" s="298" customFormat="1" ht="25.5">
      <c r="A1348" s="256" t="s">
        <v>3259</v>
      </c>
      <c r="B1348" s="374">
        <v>88267</v>
      </c>
      <c r="C1348" s="289" t="s">
        <v>107</v>
      </c>
      <c r="D1348" s="290" t="s">
        <v>9714</v>
      </c>
      <c r="E1348" s="290" t="s">
        <v>206</v>
      </c>
      <c r="F1348" s="383">
        <v>0.33</v>
      </c>
      <c r="G1348" s="292" t="s">
        <v>10792</v>
      </c>
      <c r="H1348" s="255">
        <v>7.72</v>
      </c>
      <c r="J1348" s="634"/>
      <c r="S1348" s="536"/>
      <c r="T1348" s="635"/>
    </row>
    <row r="1349" spans="1:20" s="298" customFormat="1" ht="12.75">
      <c r="A1349" s="286"/>
      <c r="B1349" s="375" t="s">
        <v>143</v>
      </c>
      <c r="C1349" s="819" t="s">
        <v>14738</v>
      </c>
      <c r="D1349" s="820"/>
      <c r="E1349" s="820"/>
      <c r="F1349" s="820"/>
      <c r="G1349" s="820"/>
      <c r="H1349" s="821"/>
      <c r="J1349" s="634"/>
      <c r="S1349" s="536"/>
      <c r="T1349" s="635"/>
    </row>
    <row r="1350" spans="1:20" s="298" customFormat="1" ht="12.75">
      <c r="A1350" s="286"/>
      <c r="B1350" s="822"/>
      <c r="C1350" s="817"/>
      <c r="D1350" s="817"/>
      <c r="E1350" s="817"/>
      <c r="F1350" s="817"/>
      <c r="G1350" s="817"/>
      <c r="H1350" s="818"/>
      <c r="J1350" s="634"/>
      <c r="S1350" s="536"/>
      <c r="T1350" s="635"/>
    </row>
    <row r="1351" spans="1:20" s="298" customFormat="1" ht="38.25">
      <c r="A1351" s="286"/>
      <c r="B1351" s="372" t="s">
        <v>14742</v>
      </c>
      <c r="C1351" s="231" t="s">
        <v>14802</v>
      </c>
      <c r="D1351" s="232" t="s">
        <v>103</v>
      </c>
      <c r="E1351" s="232" t="s">
        <v>3240</v>
      </c>
      <c r="F1351" s="233"/>
      <c r="G1351" s="234"/>
      <c r="H1351" s="235">
        <v>36.04</v>
      </c>
      <c r="J1351" s="634"/>
      <c r="S1351" s="536"/>
      <c r="T1351" s="635"/>
    </row>
    <row r="1352" spans="1:20" s="298" customFormat="1" ht="25.5">
      <c r="A1352" s="256" t="s">
        <v>3261</v>
      </c>
      <c r="B1352" s="374">
        <v>301</v>
      </c>
      <c r="C1352" s="289" t="s">
        <v>4729</v>
      </c>
      <c r="D1352" s="290" t="s">
        <v>207</v>
      </c>
      <c r="E1352" s="290" t="s">
        <v>3240</v>
      </c>
      <c r="F1352" s="383">
        <v>1</v>
      </c>
      <c r="G1352" s="292" t="s">
        <v>11402</v>
      </c>
      <c r="H1352" s="255">
        <v>2.89</v>
      </c>
      <c r="J1352" s="634"/>
      <c r="S1352" s="536"/>
      <c r="T1352" s="635"/>
    </row>
    <row r="1353" spans="1:20" s="298" customFormat="1" ht="25.5">
      <c r="A1353" s="256" t="s">
        <v>3261</v>
      </c>
      <c r="B1353" s="374">
        <v>296</v>
      </c>
      <c r="C1353" s="289" t="s">
        <v>4727</v>
      </c>
      <c r="D1353" s="290" t="s">
        <v>207</v>
      </c>
      <c r="E1353" s="290" t="s">
        <v>3240</v>
      </c>
      <c r="F1353" s="383">
        <v>1</v>
      </c>
      <c r="G1353" s="292" t="s">
        <v>10022</v>
      </c>
      <c r="H1353" s="255">
        <v>1.63</v>
      </c>
      <c r="J1353" s="634"/>
      <c r="S1353" s="536"/>
      <c r="T1353" s="635"/>
    </row>
    <row r="1354" spans="1:20" s="298" customFormat="1" ht="25.5">
      <c r="A1354" s="256" t="s">
        <v>3261</v>
      </c>
      <c r="B1354" s="374">
        <v>11655</v>
      </c>
      <c r="C1354" s="289" t="s">
        <v>8315</v>
      </c>
      <c r="D1354" s="290" t="s">
        <v>207</v>
      </c>
      <c r="E1354" s="290" t="s">
        <v>3240</v>
      </c>
      <c r="F1354" s="383">
        <v>1</v>
      </c>
      <c r="G1354" s="292" t="s">
        <v>10602</v>
      </c>
      <c r="H1354" s="255">
        <v>15.09</v>
      </c>
      <c r="J1354" s="634"/>
      <c r="S1354" s="536"/>
      <c r="T1354" s="635"/>
    </row>
    <row r="1355" spans="1:20" s="298" customFormat="1" ht="51">
      <c r="A1355" s="256" t="s">
        <v>3261</v>
      </c>
      <c r="B1355" s="374">
        <v>20078</v>
      </c>
      <c r="C1355" s="289" t="s">
        <v>7558</v>
      </c>
      <c r="D1355" s="290" t="s">
        <v>207</v>
      </c>
      <c r="E1355" s="290" t="s">
        <v>3240</v>
      </c>
      <c r="F1355" s="383">
        <v>9.1999999999999998E-2</v>
      </c>
      <c r="G1355" s="292" t="s">
        <v>9726</v>
      </c>
      <c r="H1355" s="255">
        <v>2.7</v>
      </c>
      <c r="J1355" s="634"/>
      <c r="S1355" s="536"/>
      <c r="T1355" s="635"/>
    </row>
    <row r="1356" spans="1:20" s="298" customFormat="1" ht="38.25">
      <c r="A1356" s="256" t="s">
        <v>3259</v>
      </c>
      <c r="B1356" s="374">
        <v>88248</v>
      </c>
      <c r="C1356" s="289" t="s">
        <v>106</v>
      </c>
      <c r="D1356" s="290" t="s">
        <v>9714</v>
      </c>
      <c r="E1356" s="290" t="s">
        <v>206</v>
      </c>
      <c r="F1356" s="383">
        <v>0.33</v>
      </c>
      <c r="G1356" s="292" t="s">
        <v>10175</v>
      </c>
      <c r="H1356" s="255">
        <v>6.01</v>
      </c>
      <c r="J1356" s="634"/>
      <c r="S1356" s="536"/>
      <c r="T1356" s="635"/>
    </row>
    <row r="1357" spans="1:20" s="298" customFormat="1" ht="25.5">
      <c r="A1357" s="256" t="s">
        <v>3259</v>
      </c>
      <c r="B1357" s="374">
        <v>88267</v>
      </c>
      <c r="C1357" s="289" t="s">
        <v>107</v>
      </c>
      <c r="D1357" s="290" t="s">
        <v>9714</v>
      </c>
      <c r="E1357" s="290" t="s">
        <v>206</v>
      </c>
      <c r="F1357" s="383">
        <v>0.33</v>
      </c>
      <c r="G1357" s="292" t="s">
        <v>10792</v>
      </c>
      <c r="H1357" s="255">
        <v>7.72</v>
      </c>
      <c r="J1357" s="634"/>
      <c r="S1357" s="536"/>
      <c r="T1357" s="635"/>
    </row>
    <row r="1358" spans="1:20" s="298" customFormat="1" ht="12.75">
      <c r="A1358" s="286"/>
      <c r="B1358" s="375" t="s">
        <v>143</v>
      </c>
      <c r="C1358" s="819" t="s">
        <v>14738</v>
      </c>
      <c r="D1358" s="820"/>
      <c r="E1358" s="820"/>
      <c r="F1358" s="820"/>
      <c r="G1358" s="820"/>
      <c r="H1358" s="821"/>
      <c r="J1358" s="634"/>
      <c r="S1358" s="536"/>
      <c r="T1358" s="635"/>
    </row>
    <row r="1359" spans="1:20" s="298" customFormat="1" ht="12.75">
      <c r="A1359" s="286"/>
      <c r="B1359" s="822"/>
      <c r="C1359" s="817"/>
      <c r="D1359" s="817"/>
      <c r="E1359" s="817"/>
      <c r="F1359" s="817"/>
      <c r="G1359" s="817"/>
      <c r="H1359" s="818"/>
      <c r="J1359" s="634"/>
      <c r="S1359" s="536"/>
      <c r="T1359" s="635"/>
    </row>
    <row r="1360" spans="1:20" s="298" customFormat="1" ht="38.25">
      <c r="A1360" s="286"/>
      <c r="B1360" s="372" t="s">
        <v>17374</v>
      </c>
      <c r="C1360" s="231" t="s">
        <v>14803</v>
      </c>
      <c r="D1360" s="232" t="s">
        <v>103</v>
      </c>
      <c r="E1360" s="232" t="s">
        <v>3240</v>
      </c>
      <c r="F1360" s="233"/>
      <c r="G1360" s="234"/>
      <c r="H1360" s="235">
        <v>29.85</v>
      </c>
      <c r="J1360" s="634"/>
      <c r="S1360" s="536"/>
      <c r="T1360" s="635"/>
    </row>
    <row r="1361" spans="1:20" s="298" customFormat="1" ht="25.5">
      <c r="A1361" s="256" t="s">
        <v>3261</v>
      </c>
      <c r="B1361" s="374">
        <v>296</v>
      </c>
      <c r="C1361" s="289" t="s">
        <v>4727</v>
      </c>
      <c r="D1361" s="290" t="s">
        <v>207</v>
      </c>
      <c r="E1361" s="290" t="s">
        <v>3240</v>
      </c>
      <c r="F1361" s="383">
        <v>1</v>
      </c>
      <c r="G1361" s="292" t="s">
        <v>10022</v>
      </c>
      <c r="H1361" s="255">
        <v>1.63</v>
      </c>
      <c r="J1361" s="634"/>
      <c r="S1361" s="536"/>
      <c r="T1361" s="635"/>
    </row>
    <row r="1362" spans="1:20" s="298" customFormat="1" ht="25.5">
      <c r="A1362" s="256" t="s">
        <v>3261</v>
      </c>
      <c r="B1362" s="374">
        <v>297</v>
      </c>
      <c r="C1362" s="289" t="s">
        <v>4728</v>
      </c>
      <c r="D1362" s="290" t="s">
        <v>207</v>
      </c>
      <c r="E1362" s="290" t="s">
        <v>3240</v>
      </c>
      <c r="F1362" s="383">
        <v>1</v>
      </c>
      <c r="G1362" s="292" t="s">
        <v>18837</v>
      </c>
      <c r="H1362" s="255">
        <v>2.2999999999999998</v>
      </c>
      <c r="J1362" s="634"/>
      <c r="S1362" s="536"/>
      <c r="T1362" s="635"/>
    </row>
    <row r="1363" spans="1:20" s="298" customFormat="1" ht="25.5">
      <c r="A1363" s="256" t="s">
        <v>3261</v>
      </c>
      <c r="B1363" s="374">
        <v>11657</v>
      </c>
      <c r="C1363" s="289" t="s">
        <v>8319</v>
      </c>
      <c r="D1363" s="290" t="s">
        <v>207</v>
      </c>
      <c r="E1363" s="290" t="s">
        <v>3240</v>
      </c>
      <c r="F1363" s="383">
        <v>1</v>
      </c>
      <c r="G1363" s="292" t="s">
        <v>10641</v>
      </c>
      <c r="H1363" s="255">
        <v>13.76</v>
      </c>
      <c r="J1363" s="634"/>
      <c r="S1363" s="536"/>
      <c r="T1363" s="635"/>
    </row>
    <row r="1364" spans="1:20" s="298" customFormat="1" ht="51">
      <c r="A1364" s="256" t="s">
        <v>3261</v>
      </c>
      <c r="B1364" s="374">
        <v>20078</v>
      </c>
      <c r="C1364" s="289" t="s">
        <v>7558</v>
      </c>
      <c r="D1364" s="290" t="s">
        <v>207</v>
      </c>
      <c r="E1364" s="290" t="s">
        <v>3240</v>
      </c>
      <c r="F1364" s="383">
        <v>0.06</v>
      </c>
      <c r="G1364" s="292" t="s">
        <v>9726</v>
      </c>
      <c r="H1364" s="255">
        <v>1.76</v>
      </c>
      <c r="J1364" s="634"/>
      <c r="S1364" s="536"/>
      <c r="T1364" s="635"/>
    </row>
    <row r="1365" spans="1:20" s="298" customFormat="1" ht="38.25">
      <c r="A1365" s="256" t="s">
        <v>3259</v>
      </c>
      <c r="B1365" s="374">
        <v>88248</v>
      </c>
      <c r="C1365" s="289" t="s">
        <v>106</v>
      </c>
      <c r="D1365" s="290" t="s">
        <v>9714</v>
      </c>
      <c r="E1365" s="290" t="s">
        <v>206</v>
      </c>
      <c r="F1365" s="383">
        <v>0.25</v>
      </c>
      <c r="G1365" s="292" t="s">
        <v>10175</v>
      </c>
      <c r="H1365" s="255">
        <v>4.55</v>
      </c>
      <c r="J1365" s="634"/>
      <c r="S1365" s="536"/>
      <c r="T1365" s="635"/>
    </row>
    <row r="1366" spans="1:20" s="298" customFormat="1" ht="25.5">
      <c r="A1366" s="256" t="s">
        <v>3259</v>
      </c>
      <c r="B1366" s="374">
        <v>88267</v>
      </c>
      <c r="C1366" s="289" t="s">
        <v>107</v>
      </c>
      <c r="D1366" s="290" t="s">
        <v>9714</v>
      </c>
      <c r="E1366" s="290" t="s">
        <v>206</v>
      </c>
      <c r="F1366" s="383">
        <v>0.25</v>
      </c>
      <c r="G1366" s="292" t="s">
        <v>10792</v>
      </c>
      <c r="H1366" s="255">
        <v>5.85</v>
      </c>
      <c r="J1366" s="634"/>
      <c r="S1366" s="536"/>
      <c r="T1366" s="635"/>
    </row>
    <row r="1367" spans="1:20" s="298" customFormat="1" ht="12.75">
      <c r="A1367" s="286"/>
      <c r="B1367" s="375" t="s">
        <v>143</v>
      </c>
      <c r="C1367" s="819" t="s">
        <v>14741</v>
      </c>
      <c r="D1367" s="820"/>
      <c r="E1367" s="820"/>
      <c r="F1367" s="820"/>
      <c r="G1367" s="820"/>
      <c r="H1367" s="821"/>
      <c r="J1367" s="634"/>
      <c r="S1367" s="536"/>
      <c r="T1367" s="635"/>
    </row>
    <row r="1368" spans="1:20" s="298" customFormat="1" ht="12.75">
      <c r="A1368" s="286"/>
      <c r="B1368" s="822"/>
      <c r="C1368" s="817"/>
      <c r="D1368" s="817"/>
      <c r="E1368" s="817"/>
      <c r="F1368" s="817"/>
      <c r="G1368" s="817"/>
      <c r="H1368" s="818"/>
      <c r="J1368" s="634"/>
      <c r="S1368" s="536"/>
      <c r="T1368" s="635"/>
    </row>
    <row r="1369" spans="1:20" s="298" customFormat="1" ht="38.25">
      <c r="A1369" s="286"/>
      <c r="B1369" s="372" t="s">
        <v>17375</v>
      </c>
      <c r="C1369" s="231" t="s">
        <v>14804</v>
      </c>
      <c r="D1369" s="232" t="s">
        <v>103</v>
      </c>
      <c r="E1369" s="232" t="s">
        <v>3240</v>
      </c>
      <c r="F1369" s="233"/>
      <c r="G1369" s="234"/>
      <c r="H1369" s="235">
        <v>15.95</v>
      </c>
      <c r="J1369" s="634"/>
      <c r="S1369" s="536"/>
      <c r="T1369" s="635"/>
    </row>
    <row r="1370" spans="1:20" s="298" customFormat="1" ht="25.5">
      <c r="A1370" s="256" t="s">
        <v>3261</v>
      </c>
      <c r="B1370" s="374">
        <v>39320</v>
      </c>
      <c r="C1370" s="289" t="s">
        <v>8439</v>
      </c>
      <c r="D1370" s="290" t="s">
        <v>207</v>
      </c>
      <c r="E1370" s="290" t="s">
        <v>3240</v>
      </c>
      <c r="F1370" s="383">
        <v>1</v>
      </c>
      <c r="G1370" s="292" t="s">
        <v>19430</v>
      </c>
      <c r="H1370" s="255">
        <v>11.29</v>
      </c>
      <c r="J1370" s="634"/>
      <c r="S1370" s="536"/>
      <c r="T1370" s="635"/>
    </row>
    <row r="1371" spans="1:20" s="298" customFormat="1" ht="51">
      <c r="A1371" s="256" t="s">
        <v>3261</v>
      </c>
      <c r="B1371" s="374">
        <v>20078</v>
      </c>
      <c r="C1371" s="289" t="s">
        <v>7558</v>
      </c>
      <c r="D1371" s="290" t="s">
        <v>207</v>
      </c>
      <c r="E1371" s="290" t="s">
        <v>3240</v>
      </c>
      <c r="F1371" s="383">
        <v>0.06</v>
      </c>
      <c r="G1371" s="292" t="s">
        <v>9726</v>
      </c>
      <c r="H1371" s="255">
        <v>1.76</v>
      </c>
      <c r="J1371" s="634"/>
      <c r="S1371" s="536"/>
      <c r="T1371" s="635"/>
    </row>
    <row r="1372" spans="1:20" s="298" customFormat="1" ht="38.25">
      <c r="A1372" s="256" t="s">
        <v>3259</v>
      </c>
      <c r="B1372" s="374">
        <v>88248</v>
      </c>
      <c r="C1372" s="289" t="s">
        <v>106</v>
      </c>
      <c r="D1372" s="290" t="s">
        <v>9714</v>
      </c>
      <c r="E1372" s="290" t="s">
        <v>206</v>
      </c>
      <c r="F1372" s="383">
        <v>7.0000000000000007E-2</v>
      </c>
      <c r="G1372" s="292" t="s">
        <v>10175</v>
      </c>
      <c r="H1372" s="255">
        <v>1.27</v>
      </c>
      <c r="J1372" s="634"/>
      <c r="S1372" s="536"/>
      <c r="T1372" s="635"/>
    </row>
    <row r="1373" spans="1:20" s="298" customFormat="1" ht="25.5">
      <c r="A1373" s="256" t="s">
        <v>3259</v>
      </c>
      <c r="B1373" s="374">
        <v>88267</v>
      </c>
      <c r="C1373" s="289" t="s">
        <v>107</v>
      </c>
      <c r="D1373" s="290" t="s">
        <v>9714</v>
      </c>
      <c r="E1373" s="290" t="s">
        <v>206</v>
      </c>
      <c r="F1373" s="383">
        <v>7.0000000000000007E-2</v>
      </c>
      <c r="G1373" s="292" t="s">
        <v>10792</v>
      </c>
      <c r="H1373" s="255">
        <v>1.63</v>
      </c>
      <c r="J1373" s="634"/>
      <c r="S1373" s="536"/>
      <c r="T1373" s="635"/>
    </row>
    <row r="1374" spans="1:20" s="298" customFormat="1" ht="12.75">
      <c r="A1374" s="286"/>
      <c r="B1374" s="375" t="s">
        <v>143</v>
      </c>
      <c r="C1374" s="819" t="s">
        <v>14743</v>
      </c>
      <c r="D1374" s="820"/>
      <c r="E1374" s="820"/>
      <c r="F1374" s="820"/>
      <c r="G1374" s="820"/>
      <c r="H1374" s="821"/>
      <c r="J1374" s="634"/>
      <c r="S1374" s="536"/>
      <c r="T1374" s="635"/>
    </row>
    <row r="1375" spans="1:20" s="298" customFormat="1" ht="12.75">
      <c r="A1375" s="286"/>
      <c r="B1375" s="822"/>
      <c r="C1375" s="817"/>
      <c r="D1375" s="817"/>
      <c r="E1375" s="817"/>
      <c r="F1375" s="817"/>
      <c r="G1375" s="817"/>
      <c r="H1375" s="818"/>
      <c r="J1375" s="634"/>
      <c r="S1375" s="536"/>
      <c r="T1375" s="635"/>
    </row>
    <row r="1376" spans="1:20" s="298" customFormat="1" ht="63.75">
      <c r="A1376" s="286"/>
      <c r="B1376" s="372" t="s">
        <v>17376</v>
      </c>
      <c r="C1376" s="231" t="s">
        <v>17377</v>
      </c>
      <c r="D1376" s="232" t="s">
        <v>103</v>
      </c>
      <c r="E1376" s="232" t="s">
        <v>3240</v>
      </c>
      <c r="F1376" s="233"/>
      <c r="G1376" s="234"/>
      <c r="H1376" s="235">
        <v>32.85</v>
      </c>
      <c r="J1376" s="634"/>
      <c r="S1376" s="536"/>
      <c r="T1376" s="635"/>
    </row>
    <row r="1377" spans="1:20" s="298" customFormat="1" ht="25.5">
      <c r="A1377" s="256" t="s">
        <v>3261</v>
      </c>
      <c r="B1377" s="374">
        <v>297</v>
      </c>
      <c r="C1377" s="289" t="s">
        <v>4728</v>
      </c>
      <c r="D1377" s="290" t="s">
        <v>207</v>
      </c>
      <c r="E1377" s="290" t="s">
        <v>3240</v>
      </c>
      <c r="F1377" s="383">
        <v>2</v>
      </c>
      <c r="G1377" s="292" t="s">
        <v>18837</v>
      </c>
      <c r="H1377" s="255">
        <v>4.5999999999999996</v>
      </c>
      <c r="J1377" s="634"/>
      <c r="S1377" s="536"/>
      <c r="T1377" s="635"/>
    </row>
    <row r="1378" spans="1:20" s="298" customFormat="1" ht="25.5">
      <c r="A1378" s="256" t="s">
        <v>3261</v>
      </c>
      <c r="B1378" s="374">
        <v>3659</v>
      </c>
      <c r="C1378" s="289" t="s">
        <v>6848</v>
      </c>
      <c r="D1378" s="290" t="s">
        <v>207</v>
      </c>
      <c r="E1378" s="290" t="s">
        <v>3240</v>
      </c>
      <c r="F1378" s="383">
        <v>1</v>
      </c>
      <c r="G1378" s="292" t="s">
        <v>12439</v>
      </c>
      <c r="H1378" s="255">
        <v>16.09</v>
      </c>
      <c r="J1378" s="634"/>
      <c r="S1378" s="536"/>
      <c r="T1378" s="635"/>
    </row>
    <row r="1379" spans="1:20" s="298" customFormat="1" ht="51">
      <c r="A1379" s="256" t="s">
        <v>3261</v>
      </c>
      <c r="B1379" s="374">
        <v>20078</v>
      </c>
      <c r="C1379" s="289" t="s">
        <v>7558</v>
      </c>
      <c r="D1379" s="290" t="s">
        <v>207</v>
      </c>
      <c r="E1379" s="290" t="s">
        <v>3240</v>
      </c>
      <c r="F1379" s="383">
        <v>0.06</v>
      </c>
      <c r="G1379" s="292" t="s">
        <v>9726</v>
      </c>
      <c r="H1379" s="255">
        <v>1.76</v>
      </c>
      <c r="J1379" s="634"/>
      <c r="S1379" s="536"/>
      <c r="T1379" s="635"/>
    </row>
    <row r="1380" spans="1:20" s="298" customFormat="1" ht="38.25">
      <c r="A1380" s="256" t="s">
        <v>3259</v>
      </c>
      <c r="B1380" s="374">
        <v>88248</v>
      </c>
      <c r="C1380" s="289" t="s">
        <v>106</v>
      </c>
      <c r="D1380" s="290" t="s">
        <v>9714</v>
      </c>
      <c r="E1380" s="290" t="s">
        <v>206</v>
      </c>
      <c r="F1380" s="383">
        <v>0.25</v>
      </c>
      <c r="G1380" s="292" t="s">
        <v>10175</v>
      </c>
      <c r="H1380" s="255">
        <v>4.55</v>
      </c>
      <c r="J1380" s="634"/>
      <c r="S1380" s="536"/>
      <c r="T1380" s="635"/>
    </row>
    <row r="1381" spans="1:20" s="298" customFormat="1" ht="25.5">
      <c r="A1381" s="256" t="s">
        <v>3259</v>
      </c>
      <c r="B1381" s="374">
        <v>88267</v>
      </c>
      <c r="C1381" s="289" t="s">
        <v>107</v>
      </c>
      <c r="D1381" s="290" t="s">
        <v>9714</v>
      </c>
      <c r="E1381" s="290" t="s">
        <v>206</v>
      </c>
      <c r="F1381" s="383">
        <v>0.25</v>
      </c>
      <c r="G1381" s="292" t="s">
        <v>10792</v>
      </c>
      <c r="H1381" s="255">
        <v>5.85</v>
      </c>
      <c r="J1381" s="634"/>
      <c r="S1381" s="536"/>
      <c r="T1381" s="635"/>
    </row>
    <row r="1382" spans="1:20" s="298" customFormat="1" ht="12.75">
      <c r="A1382" s="286"/>
      <c r="B1382" s="375" t="s">
        <v>143</v>
      </c>
      <c r="C1382" s="819" t="s">
        <v>17378</v>
      </c>
      <c r="D1382" s="820"/>
      <c r="E1382" s="820"/>
      <c r="F1382" s="820"/>
      <c r="G1382" s="820"/>
      <c r="H1382" s="821"/>
      <c r="J1382" s="634"/>
      <c r="S1382" s="536"/>
      <c r="T1382" s="635"/>
    </row>
    <row r="1383" spans="1:20" s="298" customFormat="1" ht="12.75">
      <c r="A1383" s="286"/>
      <c r="B1383" s="822"/>
      <c r="C1383" s="817"/>
      <c r="D1383" s="817"/>
      <c r="E1383" s="817"/>
      <c r="F1383" s="817"/>
      <c r="G1383" s="817"/>
      <c r="H1383" s="818"/>
      <c r="J1383" s="634"/>
      <c r="S1383" s="536"/>
      <c r="T1383" s="635"/>
    </row>
    <row r="1384" spans="1:20" s="298" customFormat="1" ht="38.25">
      <c r="A1384" s="286"/>
      <c r="B1384" s="372" t="s">
        <v>17400</v>
      </c>
      <c r="C1384" s="231" t="s">
        <v>17401</v>
      </c>
      <c r="D1384" s="232" t="s">
        <v>103</v>
      </c>
      <c r="E1384" s="232" t="s">
        <v>3240</v>
      </c>
      <c r="F1384" s="233"/>
      <c r="G1384" s="234"/>
      <c r="H1384" s="235">
        <v>887.81</v>
      </c>
      <c r="J1384" s="634"/>
      <c r="S1384" s="536"/>
      <c r="T1384" s="635"/>
    </row>
    <row r="1385" spans="1:20" s="298" customFormat="1" ht="25.5">
      <c r="A1385" s="256" t="s">
        <v>12</v>
      </c>
      <c r="B1385" s="374" t="s">
        <v>17396</v>
      </c>
      <c r="C1385" s="289" t="s">
        <v>17398</v>
      </c>
      <c r="D1385" s="290" t="s">
        <v>207</v>
      </c>
      <c r="E1385" s="290" t="s">
        <v>109</v>
      </c>
      <c r="F1385" s="383">
        <v>1</v>
      </c>
      <c r="G1385" s="292">
        <v>867</v>
      </c>
      <c r="H1385" s="255">
        <v>867</v>
      </c>
      <c r="J1385" s="634"/>
      <c r="S1385" s="536"/>
      <c r="T1385" s="635"/>
    </row>
    <row r="1386" spans="1:20" s="298" customFormat="1" ht="38.25">
      <c r="A1386" s="256" t="s">
        <v>3259</v>
      </c>
      <c r="B1386" s="374">
        <v>88248</v>
      </c>
      <c r="C1386" s="289" t="s">
        <v>106</v>
      </c>
      <c r="D1386" s="290" t="s">
        <v>9714</v>
      </c>
      <c r="E1386" s="290" t="s">
        <v>206</v>
      </c>
      <c r="F1386" s="383">
        <v>0.5</v>
      </c>
      <c r="G1386" s="292" t="s">
        <v>10175</v>
      </c>
      <c r="H1386" s="255">
        <v>9.11</v>
      </c>
      <c r="J1386" s="634"/>
      <c r="S1386" s="536"/>
      <c r="T1386" s="635"/>
    </row>
    <row r="1387" spans="1:20" s="298" customFormat="1" ht="25.5">
      <c r="A1387" s="256" t="s">
        <v>3259</v>
      </c>
      <c r="B1387" s="374">
        <v>88267</v>
      </c>
      <c r="C1387" s="289" t="s">
        <v>107</v>
      </c>
      <c r="D1387" s="290" t="s">
        <v>9714</v>
      </c>
      <c r="E1387" s="290" t="s">
        <v>206</v>
      </c>
      <c r="F1387" s="383">
        <v>0.5</v>
      </c>
      <c r="G1387" s="292" t="s">
        <v>10792</v>
      </c>
      <c r="H1387" s="255">
        <v>11.7</v>
      </c>
      <c r="J1387" s="634"/>
      <c r="S1387" s="536"/>
      <c r="T1387" s="635"/>
    </row>
    <row r="1388" spans="1:20" s="298" customFormat="1" ht="12.75">
      <c r="A1388" s="286"/>
      <c r="B1388" s="375" t="s">
        <v>143</v>
      </c>
      <c r="C1388" s="819" t="s">
        <v>17395</v>
      </c>
      <c r="D1388" s="820"/>
      <c r="E1388" s="820"/>
      <c r="F1388" s="820"/>
      <c r="G1388" s="820"/>
      <c r="H1388" s="821"/>
      <c r="J1388" s="634"/>
      <c r="S1388" s="536"/>
      <c r="T1388" s="635"/>
    </row>
    <row r="1389" spans="1:20" s="298" customFormat="1" ht="12.75">
      <c r="A1389" s="286"/>
      <c r="B1389" s="822"/>
      <c r="C1389" s="817"/>
      <c r="D1389" s="817"/>
      <c r="E1389" s="817"/>
      <c r="F1389" s="817"/>
      <c r="G1389" s="817"/>
      <c r="H1389" s="818"/>
      <c r="J1389" s="634"/>
      <c r="S1389" s="536"/>
      <c r="T1389" s="635"/>
    </row>
    <row r="1390" spans="1:20" s="298" customFormat="1" ht="38.25">
      <c r="A1390" s="286"/>
      <c r="B1390" s="372" t="s">
        <v>17402</v>
      </c>
      <c r="C1390" s="231" t="s">
        <v>17403</v>
      </c>
      <c r="D1390" s="232" t="s">
        <v>103</v>
      </c>
      <c r="E1390" s="232" t="s">
        <v>3240</v>
      </c>
      <c r="F1390" s="233"/>
      <c r="G1390" s="234"/>
      <c r="H1390" s="235">
        <v>1946.81</v>
      </c>
      <c r="J1390" s="634"/>
      <c r="S1390" s="536"/>
      <c r="T1390" s="635"/>
    </row>
    <row r="1391" spans="1:20" s="298" customFormat="1" ht="25.5">
      <c r="A1391" s="256" t="s">
        <v>12</v>
      </c>
      <c r="B1391" s="374" t="s">
        <v>17397</v>
      </c>
      <c r="C1391" s="289" t="s">
        <v>17399</v>
      </c>
      <c r="D1391" s="290" t="s">
        <v>207</v>
      </c>
      <c r="E1391" s="290" t="s">
        <v>109</v>
      </c>
      <c r="F1391" s="383">
        <v>1</v>
      </c>
      <c r="G1391" s="292">
        <v>1926</v>
      </c>
      <c r="H1391" s="255">
        <v>1926</v>
      </c>
      <c r="J1391" s="634"/>
      <c r="S1391" s="536"/>
      <c r="T1391" s="635"/>
    </row>
    <row r="1392" spans="1:20" s="298" customFormat="1" ht="38.25">
      <c r="A1392" s="256" t="s">
        <v>3259</v>
      </c>
      <c r="B1392" s="374">
        <v>88248</v>
      </c>
      <c r="C1392" s="289" t="s">
        <v>106</v>
      </c>
      <c r="D1392" s="290" t="s">
        <v>9714</v>
      </c>
      <c r="E1392" s="290" t="s">
        <v>206</v>
      </c>
      <c r="F1392" s="383">
        <v>0.5</v>
      </c>
      <c r="G1392" s="292" t="s">
        <v>10175</v>
      </c>
      <c r="H1392" s="255">
        <v>9.11</v>
      </c>
      <c r="J1392" s="634"/>
      <c r="S1392" s="536"/>
      <c r="T1392" s="635"/>
    </row>
    <row r="1393" spans="1:68" s="298" customFormat="1" ht="25.5">
      <c r="A1393" s="256" t="s">
        <v>3259</v>
      </c>
      <c r="B1393" s="374">
        <v>88267</v>
      </c>
      <c r="C1393" s="289" t="s">
        <v>107</v>
      </c>
      <c r="D1393" s="290" t="s">
        <v>9714</v>
      </c>
      <c r="E1393" s="290" t="s">
        <v>206</v>
      </c>
      <c r="F1393" s="383">
        <v>0.5</v>
      </c>
      <c r="G1393" s="292" t="s">
        <v>10792</v>
      </c>
      <c r="H1393" s="255">
        <v>11.7</v>
      </c>
      <c r="J1393" s="634"/>
      <c r="S1393" s="536"/>
      <c r="T1393" s="635"/>
    </row>
    <row r="1394" spans="1:68" s="298" customFormat="1" ht="12.75">
      <c r="A1394" s="286"/>
      <c r="B1394" s="375" t="s">
        <v>143</v>
      </c>
      <c r="C1394" s="819" t="s">
        <v>17395</v>
      </c>
      <c r="D1394" s="820"/>
      <c r="E1394" s="820"/>
      <c r="F1394" s="820"/>
      <c r="G1394" s="820"/>
      <c r="H1394" s="821"/>
      <c r="J1394" s="634"/>
      <c r="S1394" s="536"/>
      <c r="T1394" s="635"/>
    </row>
    <row r="1395" spans="1:68" s="298" customFormat="1" ht="12.75">
      <c r="A1395" s="286"/>
      <c r="B1395" s="822"/>
      <c r="C1395" s="817"/>
      <c r="D1395" s="817"/>
      <c r="E1395" s="817"/>
      <c r="F1395" s="817"/>
      <c r="G1395" s="817"/>
      <c r="H1395" s="818"/>
      <c r="J1395" s="634"/>
      <c r="S1395" s="536"/>
      <c r="T1395" s="635"/>
    </row>
    <row r="1396" spans="1:68" s="298" customFormat="1" ht="51">
      <c r="A1396" s="286"/>
      <c r="B1396" s="372" t="s">
        <v>17404</v>
      </c>
      <c r="C1396" s="231" t="s">
        <v>17406</v>
      </c>
      <c r="D1396" s="232" t="s">
        <v>103</v>
      </c>
      <c r="E1396" s="232" t="s">
        <v>3243</v>
      </c>
      <c r="F1396" s="233"/>
      <c r="G1396" s="234"/>
      <c r="H1396" s="235">
        <v>87.23</v>
      </c>
      <c r="J1396" s="634"/>
      <c r="S1396" s="536"/>
      <c r="T1396" s="635"/>
    </row>
    <row r="1397" spans="1:68" s="298" customFormat="1" ht="25.5">
      <c r="A1397" s="256" t="s">
        <v>3261</v>
      </c>
      <c r="B1397" s="374">
        <v>122</v>
      </c>
      <c r="C1397" s="289" t="s">
        <v>4686</v>
      </c>
      <c r="D1397" s="290" t="s">
        <v>207</v>
      </c>
      <c r="E1397" s="290" t="s">
        <v>3240</v>
      </c>
      <c r="F1397" s="383">
        <v>4.7899999999999998E-2</v>
      </c>
      <c r="G1397" s="292" t="s">
        <v>16584</v>
      </c>
      <c r="H1397" s="255">
        <v>3.85</v>
      </c>
      <c r="J1397" s="634"/>
      <c r="S1397" s="536"/>
      <c r="T1397" s="635"/>
    </row>
    <row r="1398" spans="1:68" s="298" customFormat="1" ht="25.5">
      <c r="A1398" s="256" t="s">
        <v>3261</v>
      </c>
      <c r="B1398" s="374">
        <v>20065</v>
      </c>
      <c r="C1398" s="289" t="s">
        <v>8743</v>
      </c>
      <c r="D1398" s="290" t="s">
        <v>207</v>
      </c>
      <c r="E1398" s="290" t="s">
        <v>3243</v>
      </c>
      <c r="F1398" s="383">
        <v>1.05</v>
      </c>
      <c r="G1398" s="292" t="s">
        <v>21098</v>
      </c>
      <c r="H1398" s="255">
        <v>38.869999999999997</v>
      </c>
      <c r="J1398" s="634"/>
      <c r="S1398" s="536"/>
      <c r="T1398" s="635"/>
    </row>
    <row r="1399" spans="1:68" s="298" customFormat="1" ht="25.5">
      <c r="A1399" s="256" t="s">
        <v>3261</v>
      </c>
      <c r="B1399" s="374">
        <v>20083</v>
      </c>
      <c r="C1399" s="289" t="s">
        <v>8071</v>
      </c>
      <c r="D1399" s="290" t="s">
        <v>207</v>
      </c>
      <c r="E1399" s="290" t="s">
        <v>3240</v>
      </c>
      <c r="F1399" s="383">
        <v>8.0100000000000005E-2</v>
      </c>
      <c r="G1399" s="292" t="s">
        <v>20658</v>
      </c>
      <c r="H1399" s="255">
        <v>5.59</v>
      </c>
      <c r="J1399" s="634"/>
      <c r="S1399" s="536"/>
      <c r="T1399" s="635"/>
    </row>
    <row r="1400" spans="1:68" s="298" customFormat="1" ht="12.75">
      <c r="A1400" s="256" t="s">
        <v>3261</v>
      </c>
      <c r="B1400" s="374">
        <v>38383</v>
      </c>
      <c r="C1400" s="289" t="s">
        <v>6950</v>
      </c>
      <c r="D1400" s="290" t="s">
        <v>207</v>
      </c>
      <c r="E1400" s="290" t="s">
        <v>3240</v>
      </c>
      <c r="F1400" s="383">
        <v>0.307</v>
      </c>
      <c r="G1400" s="292" t="s">
        <v>11068</v>
      </c>
      <c r="H1400" s="255">
        <v>0.62</v>
      </c>
      <c r="J1400" s="634"/>
      <c r="S1400" s="536"/>
      <c r="T1400" s="635"/>
    </row>
    <row r="1401" spans="1:68" s="298" customFormat="1" ht="38.25">
      <c r="A1401" s="256" t="s">
        <v>3259</v>
      </c>
      <c r="B1401" s="374">
        <v>88248</v>
      </c>
      <c r="C1401" s="289" t="s">
        <v>106</v>
      </c>
      <c r="D1401" s="290" t="s">
        <v>9714</v>
      </c>
      <c r="E1401" s="290" t="s">
        <v>206</v>
      </c>
      <c r="F1401" s="383">
        <v>0.91999999999999993</v>
      </c>
      <c r="G1401" s="292" t="s">
        <v>10175</v>
      </c>
      <c r="H1401" s="255">
        <v>16.77</v>
      </c>
      <c r="J1401" s="634"/>
      <c r="S1401" s="536"/>
      <c r="T1401" s="635"/>
    </row>
    <row r="1402" spans="1:68" s="298" customFormat="1" ht="25.5">
      <c r="A1402" s="256" t="s">
        <v>3259</v>
      </c>
      <c r="B1402" s="288">
        <v>88267</v>
      </c>
      <c r="C1402" s="289" t="s">
        <v>107</v>
      </c>
      <c r="D1402" s="290" t="s">
        <v>9714</v>
      </c>
      <c r="E1402" s="290" t="s">
        <v>206</v>
      </c>
      <c r="F1402" s="383">
        <v>0.91999999999999993</v>
      </c>
      <c r="G1402" s="292" t="s">
        <v>10792</v>
      </c>
      <c r="H1402" s="255">
        <v>21.53</v>
      </c>
      <c r="J1402" s="634"/>
      <c r="S1402" s="536"/>
      <c r="T1402" s="635"/>
    </row>
    <row r="1403" spans="1:68" s="298" customFormat="1" ht="12.75">
      <c r="A1403" s="286"/>
      <c r="B1403" s="375" t="s">
        <v>143</v>
      </c>
      <c r="C1403" s="819" t="s">
        <v>17405</v>
      </c>
      <c r="D1403" s="820"/>
      <c r="E1403" s="820"/>
      <c r="F1403" s="820"/>
      <c r="G1403" s="820"/>
      <c r="H1403" s="821"/>
      <c r="J1403" s="634"/>
      <c r="S1403" s="536"/>
      <c r="T1403" s="635"/>
    </row>
    <row r="1404" spans="1:68" s="529" customFormat="1" ht="12.75">
      <c r="A1404" s="286"/>
      <c r="B1404" s="583"/>
      <c r="C1404" s="466"/>
      <c r="D1404" s="467"/>
      <c r="E1404" s="467"/>
      <c r="F1404" s="467"/>
      <c r="G1404" s="467"/>
      <c r="H1404" s="467"/>
      <c r="I1404" s="298"/>
      <c r="J1404" s="521"/>
      <c r="K1404" s="298"/>
      <c r="L1404" s="298"/>
      <c r="M1404" s="298"/>
      <c r="N1404" s="298"/>
      <c r="O1404" s="298"/>
      <c r="P1404" s="298"/>
      <c r="Q1404" s="298"/>
      <c r="R1404" s="298"/>
      <c r="S1404" s="536"/>
      <c r="T1404" s="635"/>
      <c r="U1404" s="298"/>
      <c r="V1404" s="298"/>
      <c r="W1404" s="298"/>
      <c r="X1404" s="298"/>
      <c r="Y1404" s="298"/>
      <c r="Z1404" s="298"/>
      <c r="AA1404" s="298"/>
      <c r="AB1404" s="298"/>
      <c r="AC1404" s="298"/>
      <c r="AD1404" s="298"/>
      <c r="AE1404" s="298"/>
      <c r="AF1404" s="298"/>
      <c r="AG1404" s="298"/>
      <c r="AH1404" s="298"/>
      <c r="AI1404" s="298"/>
      <c r="AJ1404" s="298"/>
      <c r="AK1404" s="298"/>
      <c r="AL1404" s="298"/>
      <c r="AM1404" s="298"/>
      <c r="AN1404" s="298"/>
      <c r="AO1404" s="298"/>
      <c r="AP1404" s="298"/>
      <c r="AQ1404" s="298"/>
      <c r="AR1404" s="298"/>
      <c r="AS1404" s="298"/>
      <c r="AT1404" s="298"/>
      <c r="AU1404" s="298"/>
      <c r="AV1404" s="298"/>
      <c r="AW1404" s="298"/>
      <c r="AX1404" s="298"/>
      <c r="AY1404" s="298"/>
      <c r="AZ1404" s="298"/>
      <c r="BA1404" s="298"/>
      <c r="BB1404" s="298"/>
      <c r="BC1404" s="298"/>
      <c r="BD1404" s="298"/>
      <c r="BE1404" s="298"/>
      <c r="BF1404" s="298"/>
      <c r="BG1404" s="298"/>
      <c r="BH1404" s="298"/>
      <c r="BI1404" s="298"/>
      <c r="BJ1404" s="298"/>
      <c r="BK1404" s="298"/>
      <c r="BL1404" s="298"/>
      <c r="BM1404" s="298"/>
      <c r="BN1404" s="298"/>
      <c r="BO1404" s="298"/>
      <c r="BP1404" s="298"/>
    </row>
    <row r="1405" spans="1:68" s="529" customFormat="1" ht="76.5">
      <c r="A1405" s="286"/>
      <c r="B1405" s="372" t="s">
        <v>17407</v>
      </c>
      <c r="C1405" s="231" t="s">
        <v>17408</v>
      </c>
      <c r="D1405" s="232" t="s">
        <v>103</v>
      </c>
      <c r="E1405" s="232" t="s">
        <v>3240</v>
      </c>
      <c r="F1405" s="233"/>
      <c r="G1405" s="234"/>
      <c r="H1405" s="235">
        <v>702.72</v>
      </c>
      <c r="I1405" s="298"/>
      <c r="J1405" s="521"/>
      <c r="K1405" s="298"/>
      <c r="L1405" s="298"/>
      <c r="M1405" s="298"/>
      <c r="N1405" s="298"/>
      <c r="O1405" s="298"/>
      <c r="P1405" s="298"/>
      <c r="Q1405" s="298"/>
      <c r="R1405" s="298"/>
      <c r="S1405" s="536"/>
      <c r="T1405" s="635"/>
      <c r="U1405" s="298"/>
      <c r="V1405" s="298"/>
      <c r="W1405" s="298"/>
      <c r="X1405" s="298"/>
      <c r="Y1405" s="298"/>
      <c r="Z1405" s="298"/>
      <c r="AA1405" s="298"/>
      <c r="AB1405" s="298"/>
      <c r="AC1405" s="298"/>
      <c r="AD1405" s="298"/>
      <c r="AE1405" s="298"/>
      <c r="AF1405" s="298"/>
      <c r="AG1405" s="298"/>
      <c r="AH1405" s="298"/>
      <c r="AI1405" s="298"/>
      <c r="AJ1405" s="298"/>
      <c r="AK1405" s="298"/>
      <c r="AL1405" s="298"/>
      <c r="AM1405" s="298"/>
      <c r="AN1405" s="298"/>
      <c r="AO1405" s="298"/>
      <c r="AP1405" s="298"/>
      <c r="AQ1405" s="298"/>
      <c r="AR1405" s="298"/>
      <c r="AS1405" s="298"/>
      <c r="AT1405" s="298"/>
      <c r="AU1405" s="298"/>
      <c r="AV1405" s="298"/>
      <c r="AW1405" s="298"/>
      <c r="AX1405" s="298"/>
      <c r="AY1405" s="298"/>
      <c r="AZ1405" s="298"/>
      <c r="BA1405" s="298"/>
      <c r="BB1405" s="298"/>
      <c r="BC1405" s="298"/>
      <c r="BD1405" s="298"/>
      <c r="BE1405" s="298"/>
      <c r="BF1405" s="298"/>
      <c r="BG1405" s="298"/>
      <c r="BH1405" s="298"/>
      <c r="BI1405" s="298"/>
      <c r="BJ1405" s="298"/>
      <c r="BK1405" s="298"/>
      <c r="BL1405" s="298"/>
      <c r="BM1405" s="298"/>
      <c r="BN1405" s="298"/>
      <c r="BO1405" s="298"/>
      <c r="BP1405" s="298"/>
    </row>
    <row r="1406" spans="1:68" s="298" customFormat="1" ht="51">
      <c r="A1406" s="256" t="s">
        <v>3259</v>
      </c>
      <c r="B1406" s="374">
        <v>97906</v>
      </c>
      <c r="C1406" s="289" t="s">
        <v>13531</v>
      </c>
      <c r="D1406" s="290" t="s">
        <v>229</v>
      </c>
      <c r="E1406" s="290" t="s">
        <v>109</v>
      </c>
      <c r="F1406" s="383">
        <v>1</v>
      </c>
      <c r="G1406" s="292" t="s">
        <v>23425</v>
      </c>
      <c r="H1406" s="255">
        <v>396.88</v>
      </c>
      <c r="J1406" s="521"/>
      <c r="S1406" s="536"/>
      <c r="T1406" s="635"/>
    </row>
    <row r="1407" spans="1:68" s="298" customFormat="1" ht="38.25">
      <c r="A1407" s="256" t="s">
        <v>3261</v>
      </c>
      <c r="B1407" s="374">
        <v>21071</v>
      </c>
      <c r="C1407" s="289" t="s">
        <v>8135</v>
      </c>
      <c r="D1407" s="290" t="s">
        <v>207</v>
      </c>
      <c r="E1407" s="290" t="s">
        <v>3240</v>
      </c>
      <c r="F1407" s="383">
        <v>1</v>
      </c>
      <c r="G1407" s="292" t="s">
        <v>20698</v>
      </c>
      <c r="H1407" s="255">
        <v>241.86</v>
      </c>
      <c r="J1407" s="521"/>
      <c r="S1407" s="536"/>
      <c r="T1407" s="635"/>
    </row>
    <row r="1408" spans="1:68" s="298" customFormat="1" ht="51">
      <c r="A1408" s="256" t="s">
        <v>3259</v>
      </c>
      <c r="B1408" s="374">
        <v>87316</v>
      </c>
      <c r="C1408" s="289" t="s">
        <v>9328</v>
      </c>
      <c r="D1408" s="290" t="s">
        <v>229</v>
      </c>
      <c r="E1408" s="290" t="s">
        <v>209</v>
      </c>
      <c r="F1408" s="383">
        <v>4.4999999999999997E-3</v>
      </c>
      <c r="G1408" s="292" t="s">
        <v>24202</v>
      </c>
      <c r="H1408" s="255">
        <v>1.72</v>
      </c>
      <c r="J1408" s="521"/>
      <c r="S1408" s="536"/>
      <c r="T1408" s="635"/>
    </row>
    <row r="1409" spans="1:68" s="298" customFormat="1" ht="25.5">
      <c r="A1409" s="256" t="s">
        <v>3259</v>
      </c>
      <c r="B1409" s="374">
        <v>88309</v>
      </c>
      <c r="C1409" s="289" t="s">
        <v>105</v>
      </c>
      <c r="D1409" s="290" t="s">
        <v>9714</v>
      </c>
      <c r="E1409" s="290" t="s">
        <v>206</v>
      </c>
      <c r="F1409" s="383">
        <v>1.5</v>
      </c>
      <c r="G1409" s="292" t="s">
        <v>11439</v>
      </c>
      <c r="H1409" s="255">
        <v>35.85</v>
      </c>
      <c r="J1409" s="521"/>
      <c r="S1409" s="536"/>
      <c r="T1409" s="635"/>
    </row>
    <row r="1410" spans="1:68" s="298" customFormat="1" ht="25.5">
      <c r="A1410" s="256" t="s">
        <v>3259</v>
      </c>
      <c r="B1410" s="374">
        <v>88316</v>
      </c>
      <c r="C1410" s="289" t="s">
        <v>104</v>
      </c>
      <c r="D1410" s="290" t="s">
        <v>9714</v>
      </c>
      <c r="E1410" s="290" t="s">
        <v>206</v>
      </c>
      <c r="F1410" s="383">
        <v>1.5</v>
      </c>
      <c r="G1410" s="292" t="s">
        <v>10172</v>
      </c>
      <c r="H1410" s="255">
        <v>26.41</v>
      </c>
      <c r="J1410" s="521"/>
      <c r="S1410" s="536"/>
      <c r="T1410" s="635"/>
    </row>
    <row r="1411" spans="1:68" s="298" customFormat="1" ht="12.75">
      <c r="A1411" s="286"/>
      <c r="B1411" s="288" t="s">
        <v>143</v>
      </c>
      <c r="C1411" s="603" t="s">
        <v>14694</v>
      </c>
      <c r="D1411" s="604"/>
      <c r="E1411" s="604"/>
      <c r="F1411" s="604"/>
      <c r="G1411" s="604"/>
      <c r="H1411" s="605"/>
      <c r="J1411" s="646"/>
      <c r="K1411" s="524"/>
      <c r="L1411" s="522"/>
      <c r="M1411" s="522"/>
      <c r="S1411" s="536"/>
      <c r="T1411" s="635"/>
    </row>
    <row r="1412" spans="1:68" s="529" customFormat="1" ht="12.75">
      <c r="A1412" s="286"/>
      <c r="B1412" s="583"/>
      <c r="C1412" s="466"/>
      <c r="D1412" s="467"/>
      <c r="E1412" s="467"/>
      <c r="F1412" s="467"/>
      <c r="G1412" s="467"/>
      <c r="H1412" s="467"/>
      <c r="I1412" s="298"/>
      <c r="J1412" s="521"/>
      <c r="K1412" s="298"/>
      <c r="L1412" s="298"/>
      <c r="M1412" s="298"/>
      <c r="N1412" s="298"/>
      <c r="O1412" s="298"/>
      <c r="P1412" s="298"/>
      <c r="Q1412" s="298"/>
      <c r="R1412" s="298"/>
      <c r="S1412" s="536"/>
      <c r="T1412" s="635"/>
      <c r="U1412" s="298"/>
      <c r="V1412" s="298"/>
      <c r="W1412" s="298"/>
      <c r="X1412" s="298"/>
      <c r="Y1412" s="298"/>
      <c r="Z1412" s="298"/>
      <c r="AA1412" s="298"/>
      <c r="AB1412" s="298"/>
      <c r="AC1412" s="298"/>
      <c r="AD1412" s="298"/>
      <c r="AE1412" s="298"/>
      <c r="AF1412" s="298"/>
      <c r="AG1412" s="298"/>
      <c r="AH1412" s="298"/>
      <c r="AI1412" s="298"/>
      <c r="AJ1412" s="298"/>
      <c r="AK1412" s="298"/>
      <c r="AL1412" s="298"/>
      <c r="AM1412" s="298"/>
      <c r="AN1412" s="298"/>
      <c r="AO1412" s="298"/>
      <c r="AP1412" s="298"/>
      <c r="AQ1412" s="298"/>
      <c r="AR1412" s="298"/>
      <c r="AS1412" s="298"/>
      <c r="AT1412" s="298"/>
      <c r="AU1412" s="298"/>
      <c r="AV1412" s="298"/>
      <c r="AW1412" s="298"/>
      <c r="AX1412" s="298"/>
      <c r="AY1412" s="298"/>
      <c r="AZ1412" s="298"/>
      <c r="BA1412" s="298"/>
      <c r="BB1412" s="298"/>
      <c r="BC1412" s="298"/>
      <c r="BD1412" s="298"/>
      <c r="BE1412" s="298"/>
      <c r="BF1412" s="298"/>
      <c r="BG1412" s="298"/>
      <c r="BH1412" s="298"/>
      <c r="BI1412" s="298"/>
      <c r="BJ1412" s="298"/>
      <c r="BK1412" s="298"/>
      <c r="BL1412" s="298"/>
      <c r="BM1412" s="298"/>
      <c r="BN1412" s="298"/>
      <c r="BO1412" s="298"/>
      <c r="BP1412" s="298"/>
    </row>
    <row r="1413" spans="1:68" s="529" customFormat="1" ht="63.75">
      <c r="A1413" s="286"/>
      <c r="B1413" s="372" t="s">
        <v>17409</v>
      </c>
      <c r="C1413" s="231" t="s">
        <v>18540</v>
      </c>
      <c r="D1413" s="232" t="s">
        <v>103</v>
      </c>
      <c r="E1413" s="232" t="s">
        <v>3240</v>
      </c>
      <c r="F1413" s="233"/>
      <c r="G1413" s="234"/>
      <c r="H1413" s="235">
        <v>717.39</v>
      </c>
      <c r="I1413" s="298"/>
      <c r="J1413" s="521"/>
      <c r="K1413" s="298"/>
      <c r="L1413" s="298"/>
      <c r="M1413" s="298"/>
      <c r="N1413" s="298"/>
      <c r="O1413" s="298"/>
      <c r="P1413" s="298"/>
      <c r="Q1413" s="298"/>
      <c r="R1413" s="298"/>
      <c r="S1413" s="536"/>
      <c r="T1413" s="635"/>
      <c r="U1413" s="298"/>
      <c r="V1413" s="298"/>
      <c r="W1413" s="298"/>
      <c r="X1413" s="298"/>
      <c r="Y1413" s="298"/>
      <c r="Z1413" s="298"/>
      <c r="AA1413" s="298"/>
      <c r="AB1413" s="298"/>
      <c r="AC1413" s="298"/>
      <c r="AD1413" s="298"/>
      <c r="AE1413" s="298"/>
      <c r="AF1413" s="298"/>
      <c r="AG1413" s="298"/>
      <c r="AH1413" s="298"/>
      <c r="AI1413" s="298"/>
      <c r="AJ1413" s="298"/>
      <c r="AK1413" s="298"/>
      <c r="AL1413" s="298"/>
      <c r="AM1413" s="298"/>
      <c r="AN1413" s="298"/>
      <c r="AO1413" s="298"/>
      <c r="AP1413" s="298"/>
      <c r="AQ1413" s="298"/>
      <c r="AR1413" s="298"/>
      <c r="AS1413" s="298"/>
      <c r="AT1413" s="298"/>
      <c r="AU1413" s="298"/>
      <c r="AV1413" s="298"/>
      <c r="AW1413" s="298"/>
      <c r="AX1413" s="298"/>
      <c r="AY1413" s="298"/>
      <c r="AZ1413" s="298"/>
      <c r="BA1413" s="298"/>
      <c r="BB1413" s="298"/>
      <c r="BC1413" s="298"/>
      <c r="BD1413" s="298"/>
      <c r="BE1413" s="298"/>
      <c r="BF1413" s="298"/>
      <c r="BG1413" s="298"/>
      <c r="BH1413" s="298"/>
      <c r="BI1413" s="298"/>
      <c r="BJ1413" s="298"/>
      <c r="BK1413" s="298"/>
      <c r="BL1413" s="298"/>
      <c r="BM1413" s="298"/>
      <c r="BN1413" s="298"/>
      <c r="BO1413" s="298"/>
      <c r="BP1413" s="298"/>
    </row>
    <row r="1414" spans="1:68" s="298" customFormat="1" ht="51">
      <c r="A1414" s="256" t="s">
        <v>3259</v>
      </c>
      <c r="B1414" s="374">
        <v>97906</v>
      </c>
      <c r="C1414" s="289" t="s">
        <v>13531</v>
      </c>
      <c r="D1414" s="290" t="s">
        <v>229</v>
      </c>
      <c r="E1414" s="290" t="s">
        <v>109</v>
      </c>
      <c r="F1414" s="383">
        <v>1</v>
      </c>
      <c r="G1414" s="292" t="s">
        <v>23425</v>
      </c>
      <c r="H1414" s="255">
        <v>396.88</v>
      </c>
      <c r="J1414" s="521"/>
      <c r="S1414" s="536"/>
      <c r="T1414" s="635"/>
    </row>
    <row r="1415" spans="1:68" s="298" customFormat="1" ht="38.25">
      <c r="A1415" s="256" t="s">
        <v>3261</v>
      </c>
      <c r="B1415" s="374">
        <v>21071</v>
      </c>
      <c r="C1415" s="289" t="s">
        <v>8135</v>
      </c>
      <c r="D1415" s="290" t="s">
        <v>207</v>
      </c>
      <c r="E1415" s="290" t="s">
        <v>3240</v>
      </c>
      <c r="F1415" s="383">
        <v>1</v>
      </c>
      <c r="G1415" s="292" t="s">
        <v>20698</v>
      </c>
      <c r="H1415" s="255">
        <v>241.86</v>
      </c>
      <c r="J1415" s="521"/>
      <c r="S1415" s="536"/>
      <c r="T1415" s="635"/>
    </row>
    <row r="1416" spans="1:68" s="298" customFormat="1" ht="51">
      <c r="A1416" s="256" t="s">
        <v>3259</v>
      </c>
      <c r="B1416" s="374">
        <v>87316</v>
      </c>
      <c r="C1416" s="289" t="s">
        <v>9328</v>
      </c>
      <c r="D1416" s="290" t="s">
        <v>229</v>
      </c>
      <c r="E1416" s="290" t="s">
        <v>209</v>
      </c>
      <c r="F1416" s="383">
        <v>4.4999999999999997E-3</v>
      </c>
      <c r="G1416" s="292" t="s">
        <v>24202</v>
      </c>
      <c r="H1416" s="255">
        <v>1.72</v>
      </c>
      <c r="J1416" s="521"/>
      <c r="S1416" s="536"/>
      <c r="T1416" s="635"/>
    </row>
    <row r="1417" spans="1:68" s="298" customFormat="1" ht="25.5">
      <c r="A1417" s="256" t="s">
        <v>3259</v>
      </c>
      <c r="B1417" s="374">
        <v>88309</v>
      </c>
      <c r="C1417" s="289" t="s">
        <v>105</v>
      </c>
      <c r="D1417" s="290" t="s">
        <v>9714</v>
      </c>
      <c r="E1417" s="290" t="s">
        <v>206</v>
      </c>
      <c r="F1417" s="383">
        <v>1.5</v>
      </c>
      <c r="G1417" s="292" t="s">
        <v>11439</v>
      </c>
      <c r="H1417" s="255">
        <v>35.85</v>
      </c>
      <c r="J1417" s="521"/>
      <c r="S1417" s="536"/>
      <c r="T1417" s="635"/>
    </row>
    <row r="1418" spans="1:68" s="298" customFormat="1" ht="25.5">
      <c r="A1418" s="256" t="s">
        <v>3259</v>
      </c>
      <c r="B1418" s="374">
        <v>88316</v>
      </c>
      <c r="C1418" s="289" t="s">
        <v>104</v>
      </c>
      <c r="D1418" s="290" t="s">
        <v>9714</v>
      </c>
      <c r="E1418" s="290" t="s">
        <v>206</v>
      </c>
      <c r="F1418" s="383">
        <v>1.5</v>
      </c>
      <c r="G1418" s="292" t="s">
        <v>10172</v>
      </c>
      <c r="H1418" s="255">
        <v>26.41</v>
      </c>
      <c r="J1418" s="521"/>
      <c r="S1418" s="536"/>
      <c r="T1418" s="635"/>
    </row>
    <row r="1419" spans="1:68" s="298" customFormat="1" ht="51">
      <c r="A1419" s="256" t="s">
        <v>3259</v>
      </c>
      <c r="B1419" s="374">
        <v>98560</v>
      </c>
      <c r="C1419" s="289" t="s">
        <v>4079</v>
      </c>
      <c r="D1419" s="290" t="s">
        <v>229</v>
      </c>
      <c r="E1419" s="290" t="s">
        <v>193</v>
      </c>
      <c r="F1419" s="383">
        <v>0.36</v>
      </c>
      <c r="G1419" s="292" t="s">
        <v>22564</v>
      </c>
      <c r="H1419" s="255">
        <v>14.67</v>
      </c>
      <c r="J1419" s="521"/>
      <c r="S1419" s="536"/>
      <c r="T1419" s="635"/>
    </row>
    <row r="1420" spans="1:68" s="298" customFormat="1" ht="12.75">
      <c r="A1420" s="286"/>
      <c r="B1420" s="288" t="s">
        <v>143</v>
      </c>
      <c r="C1420" s="701" t="s">
        <v>18541</v>
      </c>
      <c r="D1420" s="702"/>
      <c r="E1420" s="702"/>
      <c r="F1420" s="702"/>
      <c r="G1420" s="702"/>
      <c r="H1420" s="703"/>
      <c r="J1420" s="646"/>
      <c r="K1420" s="524"/>
      <c r="L1420" s="522"/>
      <c r="M1420" s="522"/>
      <c r="S1420" s="536"/>
      <c r="T1420" s="635"/>
    </row>
    <row r="1421" spans="1:68" s="529" customFormat="1" ht="12.75">
      <c r="A1421" s="286"/>
      <c r="B1421" s="583"/>
      <c r="C1421" s="466"/>
      <c r="D1421" s="467"/>
      <c r="E1421" s="467"/>
      <c r="F1421" s="467"/>
      <c r="G1421" s="467"/>
      <c r="H1421" s="467"/>
      <c r="I1421" s="298"/>
      <c r="J1421" s="521"/>
      <c r="K1421" s="298"/>
      <c r="L1421" s="298"/>
      <c r="M1421" s="298"/>
      <c r="N1421" s="298"/>
      <c r="O1421" s="298"/>
      <c r="P1421" s="298"/>
      <c r="Q1421" s="298"/>
      <c r="R1421" s="298"/>
      <c r="S1421" s="536"/>
      <c r="T1421" s="635"/>
      <c r="U1421" s="298"/>
      <c r="V1421" s="298"/>
      <c r="W1421" s="298"/>
      <c r="X1421" s="298"/>
      <c r="Y1421" s="298"/>
      <c r="Z1421" s="298"/>
      <c r="AA1421" s="298"/>
      <c r="AB1421" s="298"/>
      <c r="AC1421" s="298"/>
      <c r="AD1421" s="298"/>
      <c r="AE1421" s="298"/>
      <c r="AF1421" s="298"/>
      <c r="AG1421" s="298"/>
      <c r="AH1421" s="298"/>
      <c r="AI1421" s="298"/>
      <c r="AJ1421" s="298"/>
      <c r="AK1421" s="298"/>
      <c r="AL1421" s="298"/>
      <c r="AM1421" s="298"/>
      <c r="AN1421" s="298"/>
      <c r="AO1421" s="298"/>
      <c r="AP1421" s="298"/>
      <c r="AQ1421" s="298"/>
      <c r="AR1421" s="298"/>
      <c r="AS1421" s="298"/>
      <c r="AT1421" s="298"/>
      <c r="AU1421" s="298"/>
      <c r="AV1421" s="298"/>
      <c r="AW1421" s="298"/>
      <c r="AX1421" s="298"/>
      <c r="AY1421" s="298"/>
      <c r="AZ1421" s="298"/>
      <c r="BA1421" s="298"/>
      <c r="BB1421" s="298"/>
      <c r="BC1421" s="298"/>
      <c r="BD1421" s="298"/>
      <c r="BE1421" s="298"/>
      <c r="BF1421" s="298"/>
      <c r="BG1421" s="298"/>
      <c r="BH1421" s="298"/>
      <c r="BI1421" s="298"/>
      <c r="BJ1421" s="298"/>
      <c r="BK1421" s="298"/>
      <c r="BL1421" s="298"/>
      <c r="BM1421" s="298"/>
      <c r="BN1421" s="298"/>
      <c r="BO1421" s="298"/>
      <c r="BP1421" s="298"/>
    </row>
    <row r="1422" spans="1:68" s="529" customFormat="1" ht="63.75">
      <c r="A1422" s="286"/>
      <c r="B1422" s="372" t="s">
        <v>18542</v>
      </c>
      <c r="C1422" s="231" t="s">
        <v>18544</v>
      </c>
      <c r="D1422" s="232" t="s">
        <v>103</v>
      </c>
      <c r="E1422" s="232" t="s">
        <v>3240</v>
      </c>
      <c r="F1422" s="233"/>
      <c r="G1422" s="234"/>
      <c r="H1422" s="235">
        <v>1479.7800000000002</v>
      </c>
      <c r="I1422" s="298"/>
      <c r="J1422" s="521"/>
      <c r="K1422" s="298"/>
      <c r="L1422" s="298"/>
      <c r="M1422" s="298"/>
      <c r="N1422" s="298"/>
      <c r="O1422" s="298"/>
      <c r="P1422" s="298"/>
      <c r="Q1422" s="298"/>
      <c r="R1422" s="298"/>
      <c r="S1422" s="536"/>
      <c r="T1422" s="635"/>
      <c r="U1422" s="298"/>
      <c r="V1422" s="298"/>
      <c r="W1422" s="298"/>
      <c r="X1422" s="298"/>
      <c r="Y1422" s="298"/>
      <c r="Z1422" s="298"/>
      <c r="AA1422" s="298"/>
      <c r="AB1422" s="298"/>
      <c r="AC1422" s="298"/>
      <c r="AD1422" s="298"/>
      <c r="AE1422" s="298"/>
      <c r="AF1422" s="298"/>
      <c r="AG1422" s="298"/>
      <c r="AH1422" s="298"/>
      <c r="AI1422" s="298"/>
      <c r="AJ1422" s="298"/>
      <c r="AK1422" s="298"/>
      <c r="AL1422" s="298"/>
      <c r="AM1422" s="298"/>
      <c r="AN1422" s="298"/>
      <c r="AO1422" s="298"/>
      <c r="AP1422" s="298"/>
      <c r="AQ1422" s="298"/>
      <c r="AR1422" s="298"/>
      <c r="AS1422" s="298"/>
      <c r="AT1422" s="298"/>
      <c r="AU1422" s="298"/>
      <c r="AV1422" s="298"/>
      <c r="AW1422" s="298"/>
      <c r="AX1422" s="298"/>
      <c r="AY1422" s="298"/>
      <c r="AZ1422" s="298"/>
      <c r="BA1422" s="298"/>
      <c r="BB1422" s="298"/>
      <c r="BC1422" s="298"/>
      <c r="BD1422" s="298"/>
      <c r="BE1422" s="298"/>
      <c r="BF1422" s="298"/>
      <c r="BG1422" s="298"/>
      <c r="BH1422" s="298"/>
      <c r="BI1422" s="298"/>
      <c r="BJ1422" s="298"/>
      <c r="BK1422" s="298"/>
      <c r="BL1422" s="298"/>
      <c r="BM1422" s="298"/>
      <c r="BN1422" s="298"/>
      <c r="BO1422" s="298"/>
      <c r="BP1422" s="298"/>
    </row>
    <row r="1423" spans="1:68" s="298" customFormat="1" ht="76.5">
      <c r="A1423" s="256" t="s">
        <v>3259</v>
      </c>
      <c r="B1423" s="374">
        <v>87447</v>
      </c>
      <c r="C1423" s="289" t="s">
        <v>2595</v>
      </c>
      <c r="D1423" s="290" t="s">
        <v>229</v>
      </c>
      <c r="E1423" s="290" t="s">
        <v>193</v>
      </c>
      <c r="F1423" s="383">
        <v>5.4</v>
      </c>
      <c r="G1423" s="292" t="s">
        <v>12471</v>
      </c>
      <c r="H1423" s="255">
        <v>336.74</v>
      </c>
      <c r="J1423" s="521"/>
      <c r="S1423" s="536"/>
      <c r="T1423" s="635"/>
    </row>
    <row r="1424" spans="1:68" s="298" customFormat="1" ht="51">
      <c r="A1424" s="256" t="s">
        <v>3259</v>
      </c>
      <c r="B1424" s="374">
        <v>94970</v>
      </c>
      <c r="C1424" s="289" t="s">
        <v>22453</v>
      </c>
      <c r="D1424" s="290" t="s">
        <v>229</v>
      </c>
      <c r="E1424" s="290" t="s">
        <v>209</v>
      </c>
      <c r="F1424" s="383">
        <v>0.36720000000000008</v>
      </c>
      <c r="G1424" s="292" t="s">
        <v>22454</v>
      </c>
      <c r="H1424" s="255">
        <v>135.74</v>
      </c>
      <c r="J1424" s="521"/>
      <c r="K1424" s="298" t="s">
        <v>18546</v>
      </c>
      <c r="S1424" s="536"/>
      <c r="T1424" s="635"/>
    </row>
    <row r="1425" spans="1:68" s="298" customFormat="1" ht="38.25">
      <c r="A1425" s="256" t="s">
        <v>3259</v>
      </c>
      <c r="B1425" s="374">
        <v>92873</v>
      </c>
      <c r="C1425" s="289" t="s">
        <v>144</v>
      </c>
      <c r="D1425" s="290" t="s">
        <v>229</v>
      </c>
      <c r="E1425" s="290" t="s">
        <v>209</v>
      </c>
      <c r="F1425" s="383">
        <v>0.36720000000000008</v>
      </c>
      <c r="G1425" s="292" t="s">
        <v>22437</v>
      </c>
      <c r="H1425" s="255">
        <v>68.61</v>
      </c>
      <c r="J1425" s="521"/>
      <c r="K1425" s="298" t="s">
        <v>18546</v>
      </c>
      <c r="S1425" s="536"/>
      <c r="T1425" s="635"/>
    </row>
    <row r="1426" spans="1:68" s="298" customFormat="1" ht="51">
      <c r="A1426" s="256" t="s">
        <v>3259</v>
      </c>
      <c r="B1426" s="374">
        <v>92510</v>
      </c>
      <c r="C1426" s="289" t="s">
        <v>12894</v>
      </c>
      <c r="D1426" s="290" t="s">
        <v>229</v>
      </c>
      <c r="E1426" s="290" t="s">
        <v>193</v>
      </c>
      <c r="F1426" s="383">
        <v>2.2000000000000002</v>
      </c>
      <c r="G1426" s="292" t="s">
        <v>19442</v>
      </c>
      <c r="H1426" s="255">
        <v>109.47</v>
      </c>
      <c r="J1426" s="521"/>
      <c r="K1426" s="298" t="s">
        <v>18548</v>
      </c>
      <c r="S1426" s="536"/>
      <c r="T1426" s="635"/>
    </row>
    <row r="1427" spans="1:68" s="298" customFormat="1" ht="51">
      <c r="A1427" s="256" t="s">
        <v>3259</v>
      </c>
      <c r="B1427" s="374">
        <v>92917</v>
      </c>
      <c r="C1427" s="289" t="s">
        <v>3430</v>
      </c>
      <c r="D1427" s="290" t="s">
        <v>229</v>
      </c>
      <c r="E1427" s="290" t="s">
        <v>108</v>
      </c>
      <c r="F1427" s="383">
        <v>5.8880000000000008</v>
      </c>
      <c r="G1427" s="292" t="s">
        <v>11296</v>
      </c>
      <c r="H1427" s="255">
        <v>89.73</v>
      </c>
      <c r="J1427" s="521"/>
      <c r="K1427" s="298" t="s">
        <v>18547</v>
      </c>
      <c r="S1427" s="536"/>
      <c r="T1427" s="635"/>
    </row>
    <row r="1428" spans="1:68" s="298" customFormat="1" ht="51">
      <c r="A1428" s="256" t="s">
        <v>3259</v>
      </c>
      <c r="B1428" s="374">
        <v>98560</v>
      </c>
      <c r="C1428" s="289" t="s">
        <v>4079</v>
      </c>
      <c r="D1428" s="290" t="s">
        <v>229</v>
      </c>
      <c r="E1428" s="290" t="s">
        <v>193</v>
      </c>
      <c r="F1428" s="383">
        <v>1.6</v>
      </c>
      <c r="G1428" s="292" t="s">
        <v>22564</v>
      </c>
      <c r="H1428" s="255">
        <v>65.2</v>
      </c>
      <c r="J1428" s="521"/>
      <c r="K1428" s="298" t="s">
        <v>17456</v>
      </c>
      <c r="S1428" s="536"/>
      <c r="T1428" s="635"/>
    </row>
    <row r="1429" spans="1:68" s="298" customFormat="1" ht="51">
      <c r="A1429" s="256" t="s">
        <v>3259</v>
      </c>
      <c r="B1429" s="374">
        <v>98561</v>
      </c>
      <c r="C1429" s="289" t="s">
        <v>4080</v>
      </c>
      <c r="D1429" s="290" t="s">
        <v>229</v>
      </c>
      <c r="E1429" s="290" t="s">
        <v>193</v>
      </c>
      <c r="F1429" s="383">
        <v>5.04</v>
      </c>
      <c r="G1429" s="292" t="s">
        <v>16030</v>
      </c>
      <c r="H1429" s="255">
        <v>188.94</v>
      </c>
      <c r="J1429" s="521"/>
      <c r="K1429" s="298" t="s">
        <v>15596</v>
      </c>
      <c r="S1429" s="536"/>
      <c r="T1429" s="635"/>
    </row>
    <row r="1430" spans="1:68" s="298" customFormat="1" ht="38.25">
      <c r="A1430" s="256" t="s">
        <v>3259</v>
      </c>
      <c r="B1430" s="374">
        <v>93358</v>
      </c>
      <c r="C1430" s="289" t="s">
        <v>16227</v>
      </c>
      <c r="D1430" s="290" t="s">
        <v>229</v>
      </c>
      <c r="E1430" s="290" t="s">
        <v>209</v>
      </c>
      <c r="F1430" s="383">
        <v>2.2000000000000002</v>
      </c>
      <c r="G1430" s="292" t="s">
        <v>23682</v>
      </c>
      <c r="H1430" s="255">
        <v>153.25</v>
      </c>
      <c r="J1430" s="521"/>
      <c r="S1430" s="536"/>
      <c r="T1430" s="635"/>
    </row>
    <row r="1431" spans="1:68" s="298" customFormat="1" ht="38.25">
      <c r="A1431" s="256" t="s">
        <v>3259</v>
      </c>
      <c r="B1431" s="374">
        <v>101616</v>
      </c>
      <c r="C1431" s="289" t="s">
        <v>13664</v>
      </c>
      <c r="D1431" s="290" t="s">
        <v>229</v>
      </c>
      <c r="E1431" s="290" t="s">
        <v>193</v>
      </c>
      <c r="F1431" s="383">
        <v>2.2000000000000002</v>
      </c>
      <c r="G1431" s="292" t="s">
        <v>11219</v>
      </c>
      <c r="H1431" s="255">
        <v>11.59</v>
      </c>
      <c r="J1431" s="521"/>
      <c r="S1431" s="536"/>
      <c r="T1431" s="635"/>
    </row>
    <row r="1432" spans="1:68" s="298" customFormat="1" ht="38.25">
      <c r="A1432" s="256" t="s">
        <v>3261</v>
      </c>
      <c r="B1432" s="374">
        <v>21071</v>
      </c>
      <c r="C1432" s="289" t="s">
        <v>8135</v>
      </c>
      <c r="D1432" s="290" t="s">
        <v>207</v>
      </c>
      <c r="E1432" s="290" t="s">
        <v>3240</v>
      </c>
      <c r="F1432" s="383">
        <v>1</v>
      </c>
      <c r="G1432" s="292" t="s">
        <v>20698</v>
      </c>
      <c r="H1432" s="255">
        <v>241.86</v>
      </c>
      <c r="J1432" s="521"/>
      <c r="K1432" s="298" t="s">
        <v>18543</v>
      </c>
      <c r="S1432" s="536"/>
      <c r="T1432" s="635"/>
    </row>
    <row r="1433" spans="1:68" s="298" customFormat="1" ht="51">
      <c r="A1433" s="256" t="s">
        <v>3259</v>
      </c>
      <c r="B1433" s="374">
        <v>87316</v>
      </c>
      <c r="C1433" s="289" t="s">
        <v>9328</v>
      </c>
      <c r="D1433" s="290" t="s">
        <v>229</v>
      </c>
      <c r="E1433" s="290" t="s">
        <v>209</v>
      </c>
      <c r="F1433" s="383">
        <v>4.4999999999999997E-3</v>
      </c>
      <c r="G1433" s="292" t="s">
        <v>24202</v>
      </c>
      <c r="H1433" s="255">
        <v>1.72</v>
      </c>
      <c r="J1433" s="521"/>
      <c r="K1433" s="298" t="s">
        <v>18543</v>
      </c>
      <c r="S1433" s="536"/>
      <c r="T1433" s="635"/>
    </row>
    <row r="1434" spans="1:68" s="298" customFormat="1" ht="25.5">
      <c r="A1434" s="256" t="s">
        <v>3259</v>
      </c>
      <c r="B1434" s="374">
        <v>88309</v>
      </c>
      <c r="C1434" s="289" t="s">
        <v>105</v>
      </c>
      <c r="D1434" s="290" t="s">
        <v>9714</v>
      </c>
      <c r="E1434" s="290" t="s">
        <v>206</v>
      </c>
      <c r="F1434" s="383">
        <v>1.5</v>
      </c>
      <c r="G1434" s="292" t="s">
        <v>11439</v>
      </c>
      <c r="H1434" s="255">
        <v>35.85</v>
      </c>
      <c r="J1434" s="521"/>
      <c r="K1434" s="298" t="s">
        <v>18543</v>
      </c>
      <c r="S1434" s="536"/>
      <c r="T1434" s="635"/>
    </row>
    <row r="1435" spans="1:68" s="298" customFormat="1" ht="25.5">
      <c r="A1435" s="256" t="s">
        <v>3259</v>
      </c>
      <c r="B1435" s="374">
        <v>88316</v>
      </c>
      <c r="C1435" s="289" t="s">
        <v>104</v>
      </c>
      <c r="D1435" s="290" t="s">
        <v>9714</v>
      </c>
      <c r="E1435" s="290" t="s">
        <v>206</v>
      </c>
      <c r="F1435" s="383">
        <v>1.5</v>
      </c>
      <c r="G1435" s="292" t="s">
        <v>10172</v>
      </c>
      <c r="H1435" s="255">
        <v>26.41</v>
      </c>
      <c r="J1435" s="521"/>
      <c r="K1435" s="298" t="s">
        <v>18543</v>
      </c>
      <c r="S1435" s="536"/>
      <c r="T1435" s="635"/>
    </row>
    <row r="1436" spans="1:68" s="298" customFormat="1" ht="51">
      <c r="A1436" s="256" t="s">
        <v>3259</v>
      </c>
      <c r="B1436" s="374">
        <v>98560</v>
      </c>
      <c r="C1436" s="289" t="s">
        <v>4079</v>
      </c>
      <c r="D1436" s="290" t="s">
        <v>229</v>
      </c>
      <c r="E1436" s="290" t="s">
        <v>193</v>
      </c>
      <c r="F1436" s="383">
        <v>0.36</v>
      </c>
      <c r="G1436" s="292" t="s">
        <v>22564</v>
      </c>
      <c r="H1436" s="255">
        <v>14.67</v>
      </c>
      <c r="J1436" s="521"/>
      <c r="K1436" s="298" t="s">
        <v>18543</v>
      </c>
      <c r="S1436" s="536"/>
      <c r="T1436" s="635"/>
    </row>
    <row r="1437" spans="1:68" s="298" customFormat="1" ht="25.5">
      <c r="A1437" s="286"/>
      <c r="B1437" s="288" t="s">
        <v>143</v>
      </c>
      <c r="C1437" s="701" t="s">
        <v>18545</v>
      </c>
      <c r="D1437" s="702"/>
      <c r="E1437" s="702"/>
      <c r="F1437" s="702"/>
      <c r="G1437" s="702"/>
      <c r="H1437" s="703"/>
      <c r="J1437" s="646"/>
      <c r="K1437" s="524"/>
      <c r="L1437" s="522"/>
      <c r="M1437" s="522"/>
      <c r="S1437" s="536"/>
      <c r="T1437" s="635"/>
    </row>
    <row r="1438" spans="1:68" s="529" customFormat="1" ht="12.75">
      <c r="A1438" s="286"/>
      <c r="B1438" s="583"/>
      <c r="C1438" s="466"/>
      <c r="D1438" s="467"/>
      <c r="E1438" s="467"/>
      <c r="F1438" s="467"/>
      <c r="G1438" s="467"/>
      <c r="H1438" s="467"/>
      <c r="I1438" s="298"/>
      <c r="J1438" s="521"/>
      <c r="K1438" s="298"/>
      <c r="L1438" s="298"/>
      <c r="M1438" s="298"/>
      <c r="N1438" s="298"/>
      <c r="O1438" s="298"/>
      <c r="P1438" s="298"/>
      <c r="Q1438" s="298"/>
      <c r="R1438" s="298"/>
      <c r="S1438" s="536"/>
      <c r="T1438" s="635"/>
      <c r="U1438" s="298"/>
      <c r="V1438" s="298"/>
      <c r="W1438" s="298"/>
      <c r="X1438" s="298"/>
      <c r="Y1438" s="298"/>
      <c r="Z1438" s="298"/>
      <c r="AA1438" s="298"/>
      <c r="AB1438" s="298"/>
      <c r="AC1438" s="298"/>
      <c r="AD1438" s="298"/>
      <c r="AE1438" s="298"/>
      <c r="AF1438" s="298"/>
      <c r="AG1438" s="298"/>
      <c r="AH1438" s="298"/>
      <c r="AI1438" s="298"/>
      <c r="AJ1438" s="298"/>
      <c r="AK1438" s="298"/>
      <c r="AL1438" s="298"/>
      <c r="AM1438" s="298"/>
      <c r="AN1438" s="298"/>
      <c r="AO1438" s="298"/>
      <c r="AP1438" s="298"/>
      <c r="AQ1438" s="298"/>
      <c r="AR1438" s="298"/>
      <c r="AS1438" s="298"/>
      <c r="AT1438" s="298"/>
      <c r="AU1438" s="298"/>
      <c r="AV1438" s="298"/>
      <c r="AW1438" s="298"/>
      <c r="AX1438" s="298"/>
      <c r="AY1438" s="298"/>
      <c r="AZ1438" s="298"/>
      <c r="BA1438" s="298"/>
      <c r="BB1438" s="298"/>
      <c r="BC1438" s="298"/>
      <c r="BD1438" s="298"/>
      <c r="BE1438" s="298"/>
      <c r="BF1438" s="298"/>
      <c r="BG1438" s="298"/>
      <c r="BH1438" s="298"/>
      <c r="BI1438" s="298"/>
      <c r="BJ1438" s="298"/>
      <c r="BK1438" s="298"/>
      <c r="BL1438" s="298"/>
      <c r="BM1438" s="298"/>
      <c r="BN1438" s="298"/>
      <c r="BO1438" s="298"/>
      <c r="BP1438" s="298"/>
    </row>
    <row r="1439" spans="1:68" s="298" customFormat="1" ht="63.75">
      <c r="A1439" s="286"/>
      <c r="B1439" s="372" t="s">
        <v>18533</v>
      </c>
      <c r="C1439" s="231" t="s">
        <v>18534</v>
      </c>
      <c r="D1439" s="232" t="s">
        <v>103</v>
      </c>
      <c r="E1439" s="232" t="s">
        <v>3240</v>
      </c>
      <c r="F1439" s="233"/>
      <c r="G1439" s="234"/>
      <c r="H1439" s="235">
        <v>39.94</v>
      </c>
      <c r="J1439" s="634"/>
      <c r="S1439" s="536"/>
      <c r="T1439" s="635"/>
    </row>
    <row r="1440" spans="1:68" s="298" customFormat="1" ht="25.5">
      <c r="A1440" s="256" t="s">
        <v>3261</v>
      </c>
      <c r="B1440" s="374">
        <v>297</v>
      </c>
      <c r="C1440" s="289" t="s">
        <v>4728</v>
      </c>
      <c r="D1440" s="290" t="s">
        <v>207</v>
      </c>
      <c r="E1440" s="290" t="s">
        <v>3240</v>
      </c>
      <c r="F1440" s="383">
        <v>2</v>
      </c>
      <c r="G1440" s="292" t="s">
        <v>18837</v>
      </c>
      <c r="H1440" s="255">
        <v>4.5999999999999996</v>
      </c>
      <c r="J1440" s="634"/>
      <c r="S1440" s="536"/>
      <c r="T1440" s="635"/>
    </row>
    <row r="1441" spans="1:68" s="298" customFormat="1" ht="25.5">
      <c r="A1441" s="256" t="s">
        <v>3261</v>
      </c>
      <c r="B1441" s="374">
        <v>3660</v>
      </c>
      <c r="C1441" s="289" t="s">
        <v>6849</v>
      </c>
      <c r="D1441" s="290" t="s">
        <v>207</v>
      </c>
      <c r="E1441" s="290" t="s">
        <v>3240</v>
      </c>
      <c r="F1441" s="383">
        <v>1</v>
      </c>
      <c r="G1441" s="292" t="s">
        <v>19987</v>
      </c>
      <c r="H1441" s="255">
        <v>23.18</v>
      </c>
      <c r="J1441" s="634"/>
      <c r="S1441" s="536"/>
      <c r="T1441" s="635"/>
    </row>
    <row r="1442" spans="1:68" s="298" customFormat="1" ht="51">
      <c r="A1442" s="256" t="s">
        <v>3261</v>
      </c>
      <c r="B1442" s="374">
        <v>20078</v>
      </c>
      <c r="C1442" s="289" t="s">
        <v>7558</v>
      </c>
      <c r="D1442" s="290" t="s">
        <v>207</v>
      </c>
      <c r="E1442" s="290" t="s">
        <v>3240</v>
      </c>
      <c r="F1442" s="383">
        <v>0.06</v>
      </c>
      <c r="G1442" s="292" t="s">
        <v>9726</v>
      </c>
      <c r="H1442" s="255">
        <v>1.76</v>
      </c>
      <c r="J1442" s="634"/>
      <c r="S1442" s="536"/>
      <c r="T1442" s="635"/>
    </row>
    <row r="1443" spans="1:68" s="298" customFormat="1" ht="38.25">
      <c r="A1443" s="256" t="s">
        <v>3259</v>
      </c>
      <c r="B1443" s="374">
        <v>88248</v>
      </c>
      <c r="C1443" s="289" t="s">
        <v>106</v>
      </c>
      <c r="D1443" s="290" t="s">
        <v>9714</v>
      </c>
      <c r="E1443" s="290" t="s">
        <v>206</v>
      </c>
      <c r="F1443" s="383">
        <v>0.25</v>
      </c>
      <c r="G1443" s="292" t="s">
        <v>10175</v>
      </c>
      <c r="H1443" s="255">
        <v>4.55</v>
      </c>
      <c r="J1443" s="634"/>
      <c r="S1443" s="536"/>
      <c r="T1443" s="635"/>
    </row>
    <row r="1444" spans="1:68" s="298" customFormat="1" ht="25.5">
      <c r="A1444" s="256" t="s">
        <v>3259</v>
      </c>
      <c r="B1444" s="374">
        <v>88267</v>
      </c>
      <c r="C1444" s="289" t="s">
        <v>107</v>
      </c>
      <c r="D1444" s="290" t="s">
        <v>9714</v>
      </c>
      <c r="E1444" s="290" t="s">
        <v>206</v>
      </c>
      <c r="F1444" s="383">
        <v>0.25</v>
      </c>
      <c r="G1444" s="292" t="s">
        <v>10792</v>
      </c>
      <c r="H1444" s="255">
        <v>5.85</v>
      </c>
      <c r="J1444" s="634"/>
      <c r="S1444" s="536"/>
      <c r="T1444" s="635"/>
    </row>
    <row r="1445" spans="1:68" s="298" customFormat="1" ht="12.75">
      <c r="A1445" s="286"/>
      <c r="B1445" s="375" t="s">
        <v>143</v>
      </c>
      <c r="C1445" s="819" t="s">
        <v>17378</v>
      </c>
      <c r="D1445" s="820"/>
      <c r="E1445" s="820"/>
      <c r="F1445" s="820"/>
      <c r="G1445" s="820"/>
      <c r="H1445" s="821"/>
      <c r="J1445" s="634"/>
      <c r="S1445" s="536"/>
      <c r="T1445" s="635"/>
    </row>
    <row r="1446" spans="1:68" s="298" customFormat="1" ht="12.75">
      <c r="A1446" s="286"/>
      <c r="B1446" s="822"/>
      <c r="C1446" s="817"/>
      <c r="D1446" s="817"/>
      <c r="E1446" s="817"/>
      <c r="F1446" s="817"/>
      <c r="G1446" s="817"/>
      <c r="H1446" s="818"/>
      <c r="J1446" s="634"/>
      <c r="S1446" s="536"/>
      <c r="T1446" s="635"/>
    </row>
    <row r="1447" spans="1:68" s="298" customFormat="1" ht="63.75">
      <c r="A1447" s="286"/>
      <c r="B1447" s="372" t="s">
        <v>18535</v>
      </c>
      <c r="C1447" s="231" t="s">
        <v>18536</v>
      </c>
      <c r="D1447" s="232" t="s">
        <v>103</v>
      </c>
      <c r="E1447" s="232" t="s">
        <v>3240</v>
      </c>
      <c r="F1447" s="233"/>
      <c r="G1447" s="234"/>
      <c r="H1447" s="235">
        <v>29.65</v>
      </c>
      <c r="J1447" s="634"/>
      <c r="S1447" s="536"/>
      <c r="T1447" s="635"/>
    </row>
    <row r="1448" spans="1:68" s="298" customFormat="1" ht="25.5">
      <c r="A1448" s="256" t="s">
        <v>3261</v>
      </c>
      <c r="B1448" s="374">
        <v>297</v>
      </c>
      <c r="C1448" s="289" t="s">
        <v>4728</v>
      </c>
      <c r="D1448" s="290" t="s">
        <v>207</v>
      </c>
      <c r="E1448" s="290" t="s">
        <v>3240</v>
      </c>
      <c r="F1448" s="383">
        <v>2</v>
      </c>
      <c r="G1448" s="292" t="s">
        <v>18837</v>
      </c>
      <c r="H1448" s="255">
        <v>4.5999999999999996</v>
      </c>
      <c r="J1448" s="634"/>
      <c r="S1448" s="536"/>
      <c r="T1448" s="635"/>
    </row>
    <row r="1449" spans="1:68" s="298" customFormat="1" ht="25.5">
      <c r="A1449" s="256" t="s">
        <v>3261</v>
      </c>
      <c r="B1449" s="374">
        <v>3661</v>
      </c>
      <c r="C1449" s="289" t="s">
        <v>6851</v>
      </c>
      <c r="D1449" s="290" t="s">
        <v>207</v>
      </c>
      <c r="E1449" s="290" t="s">
        <v>3240</v>
      </c>
      <c r="F1449" s="383">
        <v>1</v>
      </c>
      <c r="G1449" s="292" t="s">
        <v>10835</v>
      </c>
      <c r="H1449" s="255">
        <v>12.89</v>
      </c>
      <c r="J1449" s="634"/>
      <c r="S1449" s="536"/>
      <c r="T1449" s="635"/>
    </row>
    <row r="1450" spans="1:68" s="298" customFormat="1" ht="51">
      <c r="A1450" s="256" t="s">
        <v>3261</v>
      </c>
      <c r="B1450" s="374">
        <v>20078</v>
      </c>
      <c r="C1450" s="289" t="s">
        <v>7558</v>
      </c>
      <c r="D1450" s="290" t="s">
        <v>207</v>
      </c>
      <c r="E1450" s="290" t="s">
        <v>3240</v>
      </c>
      <c r="F1450" s="383">
        <v>0.06</v>
      </c>
      <c r="G1450" s="292" t="s">
        <v>9726</v>
      </c>
      <c r="H1450" s="255">
        <v>1.76</v>
      </c>
      <c r="J1450" s="634"/>
      <c r="S1450" s="536"/>
      <c r="T1450" s="635"/>
    </row>
    <row r="1451" spans="1:68" s="298" customFormat="1" ht="38.25">
      <c r="A1451" s="256" t="s">
        <v>3259</v>
      </c>
      <c r="B1451" s="374">
        <v>88248</v>
      </c>
      <c r="C1451" s="289" t="s">
        <v>106</v>
      </c>
      <c r="D1451" s="290" t="s">
        <v>9714</v>
      </c>
      <c r="E1451" s="290" t="s">
        <v>206</v>
      </c>
      <c r="F1451" s="383">
        <v>0.25</v>
      </c>
      <c r="G1451" s="292" t="s">
        <v>10175</v>
      </c>
      <c r="H1451" s="255">
        <v>4.55</v>
      </c>
      <c r="J1451" s="634"/>
      <c r="S1451" s="536"/>
      <c r="T1451" s="635"/>
    </row>
    <row r="1452" spans="1:68" s="298" customFormat="1" ht="25.5">
      <c r="A1452" s="256" t="s">
        <v>3259</v>
      </c>
      <c r="B1452" s="374">
        <v>88267</v>
      </c>
      <c r="C1452" s="289" t="s">
        <v>107</v>
      </c>
      <c r="D1452" s="290" t="s">
        <v>9714</v>
      </c>
      <c r="E1452" s="290" t="s">
        <v>206</v>
      </c>
      <c r="F1452" s="383">
        <v>0.25</v>
      </c>
      <c r="G1452" s="292" t="s">
        <v>10792</v>
      </c>
      <c r="H1452" s="255">
        <v>5.85</v>
      </c>
      <c r="J1452" s="634"/>
      <c r="S1452" s="536"/>
      <c r="T1452" s="635"/>
    </row>
    <row r="1453" spans="1:68" s="298" customFormat="1" ht="12.75">
      <c r="A1453" s="286"/>
      <c r="B1453" s="375" t="s">
        <v>143</v>
      </c>
      <c r="C1453" s="819" t="s">
        <v>17378</v>
      </c>
      <c r="D1453" s="820"/>
      <c r="E1453" s="820"/>
      <c r="F1453" s="820"/>
      <c r="G1453" s="820"/>
      <c r="H1453" s="821"/>
      <c r="J1453" s="634"/>
      <c r="S1453" s="536"/>
      <c r="T1453" s="635"/>
    </row>
    <row r="1454" spans="1:68" s="529" customFormat="1" ht="12.75">
      <c r="A1454" s="286"/>
      <c r="B1454" s="584"/>
      <c r="C1454" s="556"/>
      <c r="D1454" s="557"/>
      <c r="E1454" s="557"/>
      <c r="F1454" s="557"/>
      <c r="G1454" s="557"/>
      <c r="H1454" s="557"/>
      <c r="I1454" s="298"/>
      <c r="J1454" s="634"/>
      <c r="K1454" s="634"/>
      <c r="L1454" s="634"/>
      <c r="M1454" s="634"/>
      <c r="N1454" s="298"/>
      <c r="O1454" s="298"/>
      <c r="P1454" s="298"/>
      <c r="Q1454" s="298"/>
      <c r="R1454" s="298"/>
      <c r="S1454" s="536"/>
      <c r="T1454" s="635"/>
      <c r="U1454" s="298"/>
      <c r="V1454" s="298"/>
      <c r="W1454" s="298"/>
      <c r="X1454" s="298"/>
      <c r="Y1454" s="298"/>
      <c r="Z1454" s="298"/>
      <c r="AA1454" s="298"/>
      <c r="AB1454" s="298"/>
      <c r="AC1454" s="298"/>
      <c r="AD1454" s="298"/>
      <c r="AE1454" s="298"/>
      <c r="AF1454" s="298"/>
      <c r="AG1454" s="298"/>
      <c r="AH1454" s="298"/>
      <c r="AI1454" s="298"/>
      <c r="AJ1454" s="298"/>
      <c r="AK1454" s="298"/>
      <c r="AL1454" s="298"/>
      <c r="AM1454" s="298"/>
      <c r="AN1454" s="298"/>
      <c r="AO1454" s="298"/>
      <c r="AP1454" s="298"/>
      <c r="AQ1454" s="298"/>
      <c r="AR1454" s="298"/>
      <c r="AS1454" s="298"/>
      <c r="AT1454" s="298"/>
      <c r="AU1454" s="298"/>
      <c r="AV1454" s="298"/>
      <c r="AW1454" s="298"/>
      <c r="AX1454" s="298"/>
      <c r="AY1454" s="298"/>
      <c r="AZ1454" s="298"/>
      <c r="BA1454" s="298"/>
      <c r="BB1454" s="298"/>
      <c r="BC1454" s="298"/>
      <c r="BD1454" s="298"/>
      <c r="BE1454" s="298"/>
      <c r="BF1454" s="298"/>
      <c r="BG1454" s="298"/>
      <c r="BH1454" s="298"/>
      <c r="BI1454" s="298"/>
      <c r="BJ1454" s="298"/>
      <c r="BK1454" s="298"/>
      <c r="BL1454" s="298"/>
      <c r="BM1454" s="298"/>
      <c r="BN1454" s="298"/>
      <c r="BO1454" s="298"/>
      <c r="BP1454" s="298"/>
    </row>
    <row r="1455" spans="1:68" s="529" customFormat="1" ht="25.5">
      <c r="A1455" s="286"/>
      <c r="B1455" s="372" t="s">
        <v>18715</v>
      </c>
      <c r="C1455" s="231" t="s">
        <v>18716</v>
      </c>
      <c r="D1455" s="232" t="s">
        <v>103</v>
      </c>
      <c r="E1455" s="232" t="s">
        <v>3240</v>
      </c>
      <c r="F1455" s="233"/>
      <c r="G1455" s="234"/>
      <c r="H1455" s="235">
        <v>39.97</v>
      </c>
      <c r="I1455" s="298"/>
      <c r="J1455" s="521"/>
      <c r="K1455" s="298"/>
      <c r="L1455" s="298"/>
      <c r="M1455" s="298"/>
      <c r="N1455" s="298"/>
      <c r="O1455" s="298"/>
      <c r="P1455" s="298"/>
      <c r="Q1455" s="298"/>
      <c r="R1455" s="298"/>
      <c r="S1455" s="536"/>
      <c r="T1455" s="635"/>
      <c r="U1455" s="298"/>
      <c r="V1455" s="298"/>
      <c r="W1455" s="298"/>
      <c r="X1455" s="298"/>
      <c r="Y1455" s="298"/>
      <c r="Z1455" s="298"/>
      <c r="AA1455" s="298"/>
      <c r="AB1455" s="298"/>
      <c r="AC1455" s="298"/>
      <c r="AD1455" s="298"/>
      <c r="AE1455" s="298"/>
      <c r="AF1455" s="298"/>
      <c r="AG1455" s="298"/>
      <c r="AH1455" s="298"/>
      <c r="AI1455" s="298"/>
      <c r="AJ1455" s="298"/>
      <c r="AK1455" s="298"/>
      <c r="AL1455" s="298"/>
      <c r="AM1455" s="298"/>
      <c r="AN1455" s="298"/>
      <c r="AO1455" s="298"/>
      <c r="AP1455" s="298"/>
      <c r="AQ1455" s="298"/>
      <c r="AR1455" s="298"/>
      <c r="AS1455" s="298"/>
      <c r="AT1455" s="298"/>
      <c r="AU1455" s="298"/>
      <c r="AV1455" s="298"/>
      <c r="AW1455" s="298"/>
      <c r="AX1455" s="298"/>
      <c r="AY1455" s="298"/>
      <c r="AZ1455" s="298"/>
      <c r="BA1455" s="298"/>
      <c r="BB1455" s="298"/>
      <c r="BC1455" s="298"/>
      <c r="BD1455" s="298"/>
      <c r="BE1455" s="298"/>
      <c r="BF1455" s="298"/>
      <c r="BG1455" s="298"/>
      <c r="BH1455" s="298"/>
      <c r="BI1455" s="298"/>
      <c r="BJ1455" s="298"/>
      <c r="BK1455" s="298"/>
      <c r="BL1455" s="298"/>
      <c r="BM1455" s="298"/>
      <c r="BN1455" s="298"/>
      <c r="BO1455" s="298"/>
      <c r="BP1455" s="298"/>
    </row>
    <row r="1456" spans="1:68" s="298" customFormat="1" ht="25.5">
      <c r="A1456" s="256" t="s">
        <v>3261</v>
      </c>
      <c r="B1456" s="288">
        <v>11707</v>
      </c>
      <c r="C1456" s="289" t="s">
        <v>7874</v>
      </c>
      <c r="D1456" s="290" t="s">
        <v>207</v>
      </c>
      <c r="E1456" s="290" t="s">
        <v>3240</v>
      </c>
      <c r="F1456" s="383">
        <v>1</v>
      </c>
      <c r="G1456" s="292" t="s">
        <v>14084</v>
      </c>
      <c r="H1456" s="255">
        <v>19.16</v>
      </c>
      <c r="J1456" s="521"/>
      <c r="S1456" s="536"/>
      <c r="T1456" s="635"/>
    </row>
    <row r="1457" spans="1:68" s="298" customFormat="1" ht="38.25">
      <c r="A1457" s="256" t="s">
        <v>3259</v>
      </c>
      <c r="B1457" s="288">
        <v>88248</v>
      </c>
      <c r="C1457" s="289" t="s">
        <v>106</v>
      </c>
      <c r="D1457" s="290" t="s">
        <v>9714</v>
      </c>
      <c r="E1457" s="290" t="s">
        <v>206</v>
      </c>
      <c r="F1457" s="383">
        <v>0.5</v>
      </c>
      <c r="G1457" s="292" t="s">
        <v>10175</v>
      </c>
      <c r="H1457" s="255">
        <v>9.11</v>
      </c>
      <c r="J1457" s="521"/>
      <c r="S1457" s="536"/>
      <c r="T1457" s="635"/>
    </row>
    <row r="1458" spans="1:68" s="298" customFormat="1" ht="25.5">
      <c r="A1458" s="256" t="s">
        <v>3259</v>
      </c>
      <c r="B1458" s="288">
        <v>88267</v>
      </c>
      <c r="C1458" s="289" t="s">
        <v>107</v>
      </c>
      <c r="D1458" s="290" t="s">
        <v>9714</v>
      </c>
      <c r="E1458" s="290" t="s">
        <v>206</v>
      </c>
      <c r="F1458" s="383">
        <v>0.5</v>
      </c>
      <c r="G1458" s="292" t="s">
        <v>10792</v>
      </c>
      <c r="H1458" s="255">
        <v>11.7</v>
      </c>
      <c r="J1458" s="521"/>
      <c r="S1458" s="536"/>
      <c r="T1458" s="635"/>
    </row>
    <row r="1459" spans="1:68" s="529" customFormat="1" ht="12.75">
      <c r="A1459" s="286" t="s">
        <v>3259</v>
      </c>
      <c r="B1459" s="375" t="s">
        <v>143</v>
      </c>
      <c r="C1459" s="709" t="s">
        <v>18717</v>
      </c>
      <c r="D1459" s="710"/>
      <c r="E1459" s="710"/>
      <c r="F1459" s="710"/>
      <c r="G1459" s="710"/>
      <c r="H1459" s="711"/>
      <c r="I1459" s="298"/>
      <c r="J1459" s="521"/>
      <c r="K1459" s="298"/>
      <c r="L1459" s="298"/>
      <c r="M1459" s="298"/>
      <c r="N1459" s="298"/>
      <c r="O1459" s="298"/>
      <c r="P1459" s="298"/>
      <c r="Q1459" s="298"/>
      <c r="R1459" s="298"/>
      <c r="S1459" s="536"/>
      <c r="T1459" s="635"/>
      <c r="U1459" s="298"/>
      <c r="V1459" s="298"/>
      <c r="W1459" s="298"/>
      <c r="X1459" s="298"/>
      <c r="Y1459" s="298"/>
      <c r="Z1459" s="298"/>
      <c r="AA1459" s="298"/>
      <c r="AB1459" s="298"/>
      <c r="AC1459" s="298"/>
      <c r="AD1459" s="298"/>
      <c r="AE1459" s="298"/>
      <c r="AF1459" s="298"/>
      <c r="AG1459" s="298"/>
      <c r="AH1459" s="298"/>
      <c r="AI1459" s="298"/>
      <c r="AJ1459" s="298"/>
      <c r="AK1459" s="298"/>
      <c r="AL1459" s="298"/>
      <c r="AM1459" s="298"/>
      <c r="AN1459" s="298"/>
      <c r="AO1459" s="298"/>
      <c r="AP1459" s="298"/>
      <c r="AQ1459" s="298"/>
      <c r="AR1459" s="298"/>
      <c r="AS1459" s="298"/>
      <c r="AT1459" s="298"/>
      <c r="AU1459" s="298"/>
      <c r="AV1459" s="298"/>
      <c r="AW1459" s="298"/>
      <c r="AX1459" s="298"/>
      <c r="AY1459" s="298"/>
      <c r="AZ1459" s="298"/>
      <c r="BA1459" s="298"/>
      <c r="BB1459" s="298"/>
      <c r="BC1459" s="298"/>
      <c r="BD1459" s="298"/>
      <c r="BE1459" s="298"/>
      <c r="BF1459" s="298"/>
      <c r="BG1459" s="298"/>
      <c r="BH1459" s="298"/>
      <c r="BI1459" s="298"/>
      <c r="BJ1459" s="298"/>
      <c r="BK1459" s="298"/>
      <c r="BL1459" s="298"/>
      <c r="BM1459" s="298"/>
      <c r="BN1459" s="298"/>
      <c r="BO1459" s="298"/>
      <c r="BP1459" s="298"/>
    </row>
    <row r="1460" spans="1:68" s="529" customFormat="1" ht="12.75">
      <c r="A1460" s="286"/>
      <c r="B1460" s="584"/>
      <c r="C1460" s="556"/>
      <c r="D1460" s="557"/>
      <c r="E1460" s="557"/>
      <c r="F1460" s="557"/>
      <c r="G1460" s="557"/>
      <c r="H1460" s="557"/>
      <c r="I1460" s="298"/>
      <c r="J1460" s="634"/>
      <c r="K1460" s="634"/>
      <c r="L1460" s="634"/>
      <c r="M1460" s="634"/>
      <c r="N1460" s="298"/>
      <c r="O1460" s="298"/>
      <c r="P1460" s="298"/>
      <c r="Q1460" s="298"/>
      <c r="R1460" s="298"/>
      <c r="S1460" s="536"/>
      <c r="T1460" s="635"/>
      <c r="U1460" s="298"/>
      <c r="V1460" s="298"/>
      <c r="W1460" s="298"/>
      <c r="X1460" s="298"/>
      <c r="Y1460" s="298"/>
      <c r="Z1460" s="298"/>
      <c r="AA1460" s="298"/>
      <c r="AB1460" s="298"/>
      <c r="AC1460" s="298"/>
      <c r="AD1460" s="298"/>
      <c r="AE1460" s="298"/>
      <c r="AF1460" s="298"/>
      <c r="AG1460" s="298"/>
      <c r="AH1460" s="298"/>
      <c r="AI1460" s="298"/>
      <c r="AJ1460" s="298"/>
      <c r="AK1460" s="298"/>
      <c r="AL1460" s="298"/>
      <c r="AM1460" s="298"/>
      <c r="AN1460" s="298"/>
      <c r="AO1460" s="298"/>
      <c r="AP1460" s="298"/>
      <c r="AQ1460" s="298"/>
      <c r="AR1460" s="298"/>
      <c r="AS1460" s="298"/>
      <c r="AT1460" s="298"/>
      <c r="AU1460" s="298"/>
      <c r="AV1460" s="298"/>
      <c r="AW1460" s="298"/>
      <c r="AX1460" s="298"/>
      <c r="AY1460" s="298"/>
      <c r="AZ1460" s="298"/>
      <c r="BA1460" s="298"/>
      <c r="BB1460" s="298"/>
      <c r="BC1460" s="298"/>
      <c r="BD1460" s="298"/>
      <c r="BE1460" s="298"/>
      <c r="BF1460" s="298"/>
      <c r="BG1460" s="298"/>
      <c r="BH1460" s="298"/>
      <c r="BI1460" s="298"/>
      <c r="BJ1460" s="298"/>
      <c r="BK1460" s="298"/>
      <c r="BL1460" s="298"/>
      <c r="BM1460" s="298"/>
      <c r="BN1460" s="298"/>
      <c r="BO1460" s="298"/>
      <c r="BP1460" s="298"/>
    </row>
    <row r="1461" spans="1:68" s="529" customFormat="1" ht="25.5">
      <c r="A1461" s="286"/>
      <c r="B1461" s="372" t="s">
        <v>17903</v>
      </c>
      <c r="C1461" s="231" t="s">
        <v>18713</v>
      </c>
      <c r="D1461" s="232" t="s">
        <v>103</v>
      </c>
      <c r="E1461" s="232" t="s">
        <v>3240</v>
      </c>
      <c r="F1461" s="233"/>
      <c r="G1461" s="234"/>
      <c r="H1461" s="235">
        <v>46.39</v>
      </c>
      <c r="I1461" s="298"/>
      <c r="J1461" s="521"/>
      <c r="K1461" s="298"/>
      <c r="L1461" s="298"/>
      <c r="M1461" s="298"/>
      <c r="N1461" s="298"/>
      <c r="O1461" s="298"/>
      <c r="P1461" s="298"/>
      <c r="Q1461" s="298"/>
      <c r="R1461" s="298"/>
      <c r="S1461" s="536"/>
      <c r="T1461" s="635"/>
      <c r="U1461" s="298"/>
      <c r="V1461" s="298"/>
      <c r="W1461" s="298"/>
      <c r="X1461" s="298"/>
      <c r="Y1461" s="298"/>
      <c r="Z1461" s="298"/>
      <c r="AA1461" s="298"/>
      <c r="AB1461" s="298"/>
      <c r="AC1461" s="298"/>
      <c r="AD1461" s="298"/>
      <c r="AE1461" s="298"/>
      <c r="AF1461" s="298"/>
      <c r="AG1461" s="298"/>
      <c r="AH1461" s="298"/>
      <c r="AI1461" s="298"/>
      <c r="AJ1461" s="298"/>
      <c r="AK1461" s="298"/>
      <c r="AL1461" s="298"/>
      <c r="AM1461" s="298"/>
      <c r="AN1461" s="298"/>
      <c r="AO1461" s="298"/>
      <c r="AP1461" s="298"/>
      <c r="AQ1461" s="298"/>
      <c r="AR1461" s="298"/>
      <c r="AS1461" s="298"/>
      <c r="AT1461" s="298"/>
      <c r="AU1461" s="298"/>
      <c r="AV1461" s="298"/>
      <c r="AW1461" s="298"/>
      <c r="AX1461" s="298"/>
      <c r="AY1461" s="298"/>
      <c r="AZ1461" s="298"/>
      <c r="BA1461" s="298"/>
      <c r="BB1461" s="298"/>
      <c r="BC1461" s="298"/>
      <c r="BD1461" s="298"/>
      <c r="BE1461" s="298"/>
      <c r="BF1461" s="298"/>
      <c r="BG1461" s="298"/>
      <c r="BH1461" s="298"/>
      <c r="BI1461" s="298"/>
      <c r="BJ1461" s="298"/>
      <c r="BK1461" s="298"/>
      <c r="BL1461" s="298"/>
      <c r="BM1461" s="298"/>
      <c r="BN1461" s="298"/>
      <c r="BO1461" s="298"/>
      <c r="BP1461" s="298"/>
    </row>
    <row r="1462" spans="1:68" s="298" customFormat="1" ht="25.5">
      <c r="A1462" s="256" t="s">
        <v>3261</v>
      </c>
      <c r="B1462" s="288">
        <v>11708</v>
      </c>
      <c r="C1462" s="289" t="s">
        <v>7871</v>
      </c>
      <c r="D1462" s="290" t="s">
        <v>207</v>
      </c>
      <c r="E1462" s="290" t="s">
        <v>3240</v>
      </c>
      <c r="F1462" s="383">
        <v>1</v>
      </c>
      <c r="G1462" s="292" t="s">
        <v>11480</v>
      </c>
      <c r="H1462" s="255">
        <v>25.58</v>
      </c>
      <c r="J1462" s="521"/>
      <c r="S1462" s="536"/>
      <c r="T1462" s="635"/>
    </row>
    <row r="1463" spans="1:68" s="298" customFormat="1" ht="38.25">
      <c r="A1463" s="256" t="s">
        <v>3259</v>
      </c>
      <c r="B1463" s="288">
        <v>88248</v>
      </c>
      <c r="C1463" s="289" t="s">
        <v>106</v>
      </c>
      <c r="D1463" s="290" t="s">
        <v>9714</v>
      </c>
      <c r="E1463" s="290" t="s">
        <v>206</v>
      </c>
      <c r="F1463" s="383">
        <v>0.5</v>
      </c>
      <c r="G1463" s="292" t="s">
        <v>10175</v>
      </c>
      <c r="H1463" s="255">
        <v>9.11</v>
      </c>
      <c r="J1463" s="521"/>
      <c r="S1463" s="536"/>
      <c r="T1463" s="635"/>
    </row>
    <row r="1464" spans="1:68" s="298" customFormat="1" ht="25.5">
      <c r="A1464" s="256" t="s">
        <v>3259</v>
      </c>
      <c r="B1464" s="288">
        <v>88267</v>
      </c>
      <c r="C1464" s="289" t="s">
        <v>107</v>
      </c>
      <c r="D1464" s="290" t="s">
        <v>9714</v>
      </c>
      <c r="E1464" s="290" t="s">
        <v>206</v>
      </c>
      <c r="F1464" s="383">
        <v>0.5</v>
      </c>
      <c r="G1464" s="292" t="s">
        <v>10792</v>
      </c>
      <c r="H1464" s="255">
        <v>11.7</v>
      </c>
      <c r="J1464" s="521"/>
      <c r="S1464" s="536"/>
      <c r="T1464" s="635"/>
    </row>
    <row r="1465" spans="1:68" s="529" customFormat="1" ht="12.75">
      <c r="A1465" s="286" t="s">
        <v>3259</v>
      </c>
      <c r="B1465" s="375" t="s">
        <v>143</v>
      </c>
      <c r="C1465" s="709" t="s">
        <v>18714</v>
      </c>
      <c r="D1465" s="385"/>
      <c r="E1465" s="385"/>
      <c r="F1465" s="385"/>
      <c r="G1465" s="385"/>
      <c r="H1465" s="641"/>
      <c r="I1465" s="298"/>
      <c r="J1465" s="521"/>
      <c r="K1465" s="298"/>
      <c r="L1465" s="298"/>
      <c r="M1465" s="298"/>
      <c r="N1465" s="298"/>
      <c r="O1465" s="298"/>
      <c r="P1465" s="298"/>
      <c r="Q1465" s="298"/>
      <c r="R1465" s="298"/>
      <c r="S1465" s="536"/>
      <c r="T1465" s="635"/>
      <c r="U1465" s="298"/>
      <c r="V1465" s="298"/>
      <c r="W1465" s="298"/>
      <c r="X1465" s="298"/>
      <c r="Y1465" s="298"/>
      <c r="Z1465" s="298"/>
      <c r="AA1465" s="298"/>
      <c r="AB1465" s="298"/>
      <c r="AC1465" s="298"/>
      <c r="AD1465" s="298"/>
      <c r="AE1465" s="298"/>
      <c r="AF1465" s="298"/>
      <c r="AG1465" s="298"/>
      <c r="AH1465" s="298"/>
      <c r="AI1465" s="298"/>
      <c r="AJ1465" s="298"/>
      <c r="AK1465" s="298"/>
      <c r="AL1465" s="298"/>
      <c r="AM1465" s="298"/>
      <c r="AN1465" s="298"/>
      <c r="AO1465" s="298"/>
      <c r="AP1465" s="298"/>
      <c r="AQ1465" s="298"/>
      <c r="AR1465" s="298"/>
      <c r="AS1465" s="298"/>
      <c r="AT1465" s="298"/>
      <c r="AU1465" s="298"/>
      <c r="AV1465" s="298"/>
      <c r="AW1465" s="298"/>
      <c r="AX1465" s="298"/>
      <c r="AY1465" s="298"/>
      <c r="AZ1465" s="298"/>
      <c r="BA1465" s="298"/>
      <c r="BB1465" s="298"/>
      <c r="BC1465" s="298"/>
      <c r="BD1465" s="298"/>
      <c r="BE1465" s="298"/>
      <c r="BF1465" s="298"/>
      <c r="BG1465" s="298"/>
      <c r="BH1465" s="298"/>
      <c r="BI1465" s="298"/>
      <c r="BJ1465" s="298"/>
      <c r="BK1465" s="298"/>
      <c r="BL1465" s="298"/>
      <c r="BM1465" s="298"/>
      <c r="BN1465" s="298"/>
      <c r="BO1465" s="298"/>
      <c r="BP1465" s="298"/>
    </row>
    <row r="1466" spans="1:68" s="529" customFormat="1" ht="12.75">
      <c r="A1466" s="286"/>
      <c r="B1466" s="584"/>
      <c r="C1466" s="556"/>
      <c r="D1466" s="557"/>
      <c r="E1466" s="557"/>
      <c r="F1466" s="557"/>
      <c r="G1466" s="557"/>
      <c r="H1466" s="557"/>
      <c r="I1466" s="298"/>
      <c r="J1466" s="646"/>
      <c r="K1466" s="298"/>
      <c r="L1466" s="536"/>
      <c r="M1466" s="536"/>
      <c r="N1466" s="298"/>
      <c r="O1466" s="298"/>
      <c r="P1466" s="298"/>
      <c r="Q1466" s="298"/>
      <c r="R1466" s="298"/>
      <c r="S1466" s="536"/>
      <c r="T1466" s="635"/>
      <c r="U1466" s="298"/>
      <c r="V1466" s="298"/>
      <c r="W1466" s="298"/>
      <c r="X1466" s="298"/>
      <c r="Y1466" s="298"/>
      <c r="Z1466" s="298"/>
      <c r="AA1466" s="298"/>
      <c r="AB1466" s="298"/>
      <c r="AC1466" s="298"/>
      <c r="AD1466" s="298"/>
      <c r="AE1466" s="298"/>
      <c r="AF1466" s="298"/>
      <c r="AG1466" s="298"/>
      <c r="AH1466" s="298"/>
      <c r="AI1466" s="298"/>
      <c r="AJ1466" s="298"/>
      <c r="AK1466" s="298"/>
      <c r="AL1466" s="298"/>
      <c r="AM1466" s="298"/>
      <c r="AN1466" s="298"/>
      <c r="AO1466" s="298"/>
      <c r="AP1466" s="298"/>
      <c r="AQ1466" s="298"/>
      <c r="AR1466" s="298"/>
      <c r="AS1466" s="298"/>
      <c r="AT1466" s="298"/>
      <c r="AU1466" s="298"/>
      <c r="AV1466" s="298"/>
      <c r="AW1466" s="298"/>
      <c r="AX1466" s="298"/>
      <c r="AY1466" s="298"/>
      <c r="AZ1466" s="298"/>
      <c r="BA1466" s="298"/>
      <c r="BB1466" s="298"/>
      <c r="BC1466" s="298"/>
      <c r="BD1466" s="298"/>
      <c r="BE1466" s="298"/>
      <c r="BF1466" s="298"/>
      <c r="BG1466" s="298"/>
      <c r="BH1466" s="298"/>
      <c r="BI1466" s="298"/>
      <c r="BJ1466" s="298"/>
      <c r="BK1466" s="298"/>
      <c r="BL1466" s="298"/>
      <c r="BM1466" s="298"/>
      <c r="BN1466" s="298"/>
      <c r="BO1466" s="298"/>
      <c r="BP1466" s="298"/>
    </row>
    <row r="1467" spans="1:68" s="529" customFormat="1" ht="25.5">
      <c r="A1467" s="286"/>
      <c r="B1467" s="372" t="s">
        <v>17904</v>
      </c>
      <c r="C1467" s="231" t="s">
        <v>14799</v>
      </c>
      <c r="D1467" s="232" t="s">
        <v>103</v>
      </c>
      <c r="E1467" s="232" t="s">
        <v>3243</v>
      </c>
      <c r="F1467" s="233"/>
      <c r="G1467" s="234"/>
      <c r="H1467" s="235">
        <v>84.24</v>
      </c>
      <c r="I1467" s="298"/>
      <c r="J1467" s="521"/>
      <c r="K1467" s="298"/>
      <c r="L1467" s="298"/>
      <c r="M1467" s="298"/>
      <c r="N1467" s="298"/>
      <c r="O1467" s="298"/>
      <c r="P1467" s="298"/>
      <c r="Q1467" s="298"/>
      <c r="R1467" s="298"/>
      <c r="S1467" s="536"/>
      <c r="T1467" s="635"/>
      <c r="U1467" s="298"/>
      <c r="V1467" s="298"/>
      <c r="W1467" s="298"/>
      <c r="X1467" s="298"/>
      <c r="Y1467" s="298"/>
      <c r="Z1467" s="298"/>
      <c r="AA1467" s="298"/>
      <c r="AB1467" s="298"/>
      <c r="AC1467" s="298"/>
      <c r="AD1467" s="298"/>
      <c r="AE1467" s="298"/>
      <c r="AF1467" s="298"/>
      <c r="AG1467" s="298"/>
      <c r="AH1467" s="298"/>
      <c r="AI1467" s="298"/>
      <c r="AJ1467" s="298"/>
      <c r="AK1467" s="298"/>
      <c r="AL1467" s="298"/>
      <c r="AM1467" s="298"/>
      <c r="AN1467" s="298"/>
      <c r="AO1467" s="298"/>
      <c r="AP1467" s="298"/>
      <c r="AQ1467" s="298"/>
      <c r="AR1467" s="298"/>
      <c r="AS1467" s="298"/>
      <c r="AT1467" s="298"/>
      <c r="AU1467" s="298"/>
      <c r="AV1467" s="298"/>
      <c r="AW1467" s="298"/>
      <c r="AX1467" s="298"/>
      <c r="AY1467" s="298"/>
      <c r="AZ1467" s="298"/>
      <c r="BA1467" s="298"/>
      <c r="BB1467" s="298"/>
      <c r="BC1467" s="298"/>
      <c r="BD1467" s="298"/>
      <c r="BE1467" s="298"/>
      <c r="BF1467" s="298"/>
      <c r="BG1467" s="298"/>
      <c r="BH1467" s="298"/>
      <c r="BI1467" s="298"/>
      <c r="BJ1467" s="298"/>
      <c r="BK1467" s="298"/>
      <c r="BL1467" s="298"/>
      <c r="BM1467" s="298"/>
      <c r="BN1467" s="298"/>
      <c r="BO1467" s="298"/>
      <c r="BP1467" s="298"/>
    </row>
    <row r="1468" spans="1:68" s="298" customFormat="1" ht="25.5">
      <c r="A1468" s="256" t="s">
        <v>3261</v>
      </c>
      <c r="B1468" s="288">
        <v>122</v>
      </c>
      <c r="C1468" s="289" t="s">
        <v>4686</v>
      </c>
      <c r="D1468" s="290" t="s">
        <v>207</v>
      </c>
      <c r="E1468" s="290" t="s">
        <v>3240</v>
      </c>
      <c r="F1468" s="383">
        <v>6.1999999999999998E-3</v>
      </c>
      <c r="G1468" s="292" t="s">
        <v>16584</v>
      </c>
      <c r="H1468" s="255">
        <v>0.49</v>
      </c>
      <c r="J1468" s="521"/>
      <c r="S1468" s="536"/>
      <c r="T1468" s="635"/>
    </row>
    <row r="1469" spans="1:68" s="298" customFormat="1" ht="38.25">
      <c r="A1469" s="256" t="s">
        <v>3261</v>
      </c>
      <c r="B1469" s="288">
        <v>9840</v>
      </c>
      <c r="C1469" s="289" t="s">
        <v>12112</v>
      </c>
      <c r="D1469" s="290" t="s">
        <v>207</v>
      </c>
      <c r="E1469" s="290" t="s">
        <v>3243</v>
      </c>
      <c r="F1469" s="383">
        <v>1.04</v>
      </c>
      <c r="G1469" s="292" t="s">
        <v>16109</v>
      </c>
      <c r="H1469" s="255">
        <v>75.48</v>
      </c>
      <c r="J1469" s="521"/>
      <c r="S1469" s="536"/>
      <c r="T1469" s="635"/>
    </row>
    <row r="1470" spans="1:68" s="298" customFormat="1" ht="25.5">
      <c r="A1470" s="256" t="s">
        <v>3261</v>
      </c>
      <c r="B1470" s="288">
        <v>20083</v>
      </c>
      <c r="C1470" s="289" t="s">
        <v>8071</v>
      </c>
      <c r="D1470" s="290" t="s">
        <v>207</v>
      </c>
      <c r="E1470" s="290" t="s">
        <v>3240</v>
      </c>
      <c r="F1470" s="383">
        <v>1.0200000000000001E-2</v>
      </c>
      <c r="G1470" s="292" t="s">
        <v>20658</v>
      </c>
      <c r="H1470" s="255">
        <v>0.71</v>
      </c>
      <c r="J1470" s="521"/>
      <c r="S1470" s="536"/>
      <c r="T1470" s="635"/>
    </row>
    <row r="1471" spans="1:68" s="298" customFormat="1" ht="12.75">
      <c r="A1471" s="256" t="s">
        <v>3261</v>
      </c>
      <c r="B1471" s="288">
        <v>38383</v>
      </c>
      <c r="C1471" s="289" t="s">
        <v>6950</v>
      </c>
      <c r="D1471" s="290" t="s">
        <v>207</v>
      </c>
      <c r="E1471" s="290" t="s">
        <v>3240</v>
      </c>
      <c r="F1471" s="383">
        <v>3.6999999999999998E-2</v>
      </c>
      <c r="G1471" s="292" t="s">
        <v>11068</v>
      </c>
      <c r="H1471" s="255">
        <v>7.0000000000000007E-2</v>
      </c>
      <c r="J1471" s="521"/>
      <c r="S1471" s="536"/>
      <c r="T1471" s="635"/>
    </row>
    <row r="1472" spans="1:68" s="298" customFormat="1" ht="38.25">
      <c r="A1472" s="256" t="s">
        <v>3259</v>
      </c>
      <c r="B1472" s="288">
        <v>88248</v>
      </c>
      <c r="C1472" s="289" t="s">
        <v>106</v>
      </c>
      <c r="D1472" s="290" t="s">
        <v>9714</v>
      </c>
      <c r="E1472" s="290" t="s">
        <v>206</v>
      </c>
      <c r="F1472" s="383">
        <v>0.18</v>
      </c>
      <c r="G1472" s="292" t="s">
        <v>10175</v>
      </c>
      <c r="H1472" s="255">
        <v>3.28</v>
      </c>
      <c r="J1472" s="521"/>
      <c r="S1472" s="536"/>
      <c r="T1472" s="635"/>
    </row>
    <row r="1473" spans="1:68" s="298" customFormat="1" ht="25.5">
      <c r="A1473" s="256" t="s">
        <v>3259</v>
      </c>
      <c r="B1473" s="288">
        <v>88267</v>
      </c>
      <c r="C1473" s="289" t="s">
        <v>107</v>
      </c>
      <c r="D1473" s="290" t="s">
        <v>9714</v>
      </c>
      <c r="E1473" s="290" t="s">
        <v>206</v>
      </c>
      <c r="F1473" s="383">
        <v>0.18</v>
      </c>
      <c r="G1473" s="292" t="s">
        <v>10792</v>
      </c>
      <c r="H1473" s="255">
        <v>4.21</v>
      </c>
      <c r="J1473" s="521"/>
      <c r="S1473" s="536"/>
      <c r="T1473" s="635"/>
    </row>
    <row r="1474" spans="1:68" s="529" customFormat="1" ht="12.75">
      <c r="A1474" s="286" t="s">
        <v>3259</v>
      </c>
      <c r="B1474" s="375" t="s">
        <v>143</v>
      </c>
      <c r="C1474" s="816" t="s">
        <v>17905</v>
      </c>
      <c r="D1474" s="817"/>
      <c r="E1474" s="817"/>
      <c r="F1474" s="817"/>
      <c r="G1474" s="817"/>
      <c r="H1474" s="818"/>
      <c r="I1474" s="298"/>
      <c r="J1474" s="521"/>
      <c r="K1474" s="298"/>
      <c r="L1474" s="298"/>
      <c r="M1474" s="298"/>
      <c r="N1474" s="298"/>
      <c r="O1474" s="298"/>
      <c r="P1474" s="298"/>
      <c r="Q1474" s="298"/>
      <c r="R1474" s="298"/>
      <c r="S1474" s="536"/>
      <c r="T1474" s="635"/>
      <c r="U1474" s="298"/>
      <c r="V1474" s="298"/>
      <c r="W1474" s="298"/>
      <c r="X1474" s="298"/>
      <c r="Y1474" s="298"/>
      <c r="Z1474" s="298"/>
      <c r="AA1474" s="298"/>
      <c r="AB1474" s="298"/>
      <c r="AC1474" s="298"/>
      <c r="AD1474" s="298"/>
      <c r="AE1474" s="298"/>
      <c r="AF1474" s="298"/>
      <c r="AG1474" s="298"/>
      <c r="AH1474" s="298"/>
      <c r="AI1474" s="298"/>
      <c r="AJ1474" s="298"/>
      <c r="AK1474" s="298"/>
      <c r="AL1474" s="298"/>
      <c r="AM1474" s="298"/>
      <c r="AN1474" s="298"/>
      <c r="AO1474" s="298"/>
      <c r="AP1474" s="298"/>
      <c r="AQ1474" s="298"/>
      <c r="AR1474" s="298"/>
      <c r="AS1474" s="298"/>
      <c r="AT1474" s="298"/>
      <c r="AU1474" s="298"/>
      <c r="AV1474" s="298"/>
      <c r="AW1474" s="298"/>
      <c r="AX1474" s="298"/>
      <c r="AY1474" s="298"/>
      <c r="AZ1474" s="298"/>
      <c r="BA1474" s="298"/>
      <c r="BB1474" s="298"/>
      <c r="BC1474" s="298"/>
      <c r="BD1474" s="298"/>
      <c r="BE1474" s="298"/>
      <c r="BF1474" s="298"/>
      <c r="BG1474" s="298"/>
      <c r="BH1474" s="298"/>
      <c r="BI1474" s="298"/>
      <c r="BJ1474" s="298"/>
      <c r="BK1474" s="298"/>
      <c r="BL1474" s="298"/>
      <c r="BM1474" s="298"/>
      <c r="BN1474" s="298"/>
      <c r="BO1474" s="298"/>
      <c r="BP1474" s="298"/>
    </row>
    <row r="1475" spans="1:68" s="529" customFormat="1" ht="12.75">
      <c r="A1475" s="286"/>
      <c r="B1475" s="584"/>
      <c r="C1475" s="556"/>
      <c r="D1475" s="557"/>
      <c r="E1475" s="557"/>
      <c r="F1475" s="557"/>
      <c r="G1475" s="557"/>
      <c r="H1475" s="557"/>
      <c r="I1475" s="298"/>
      <c r="J1475" s="521"/>
      <c r="K1475" s="298"/>
      <c r="L1475" s="298"/>
      <c r="M1475" s="298"/>
      <c r="N1475" s="298"/>
      <c r="O1475" s="298"/>
      <c r="P1475" s="298"/>
      <c r="Q1475" s="298"/>
      <c r="R1475" s="298"/>
      <c r="S1475" s="536"/>
      <c r="T1475" s="635"/>
      <c r="U1475" s="298"/>
      <c r="V1475" s="298"/>
      <c r="W1475" s="298"/>
      <c r="X1475" s="298"/>
      <c r="Y1475" s="298"/>
      <c r="Z1475" s="298"/>
      <c r="AA1475" s="298"/>
      <c r="AB1475" s="298"/>
      <c r="AC1475" s="298"/>
      <c r="AD1475" s="298"/>
      <c r="AE1475" s="298"/>
      <c r="AF1475" s="298"/>
      <c r="AG1475" s="298"/>
      <c r="AH1475" s="298"/>
      <c r="AI1475" s="298"/>
      <c r="AJ1475" s="298"/>
      <c r="AK1475" s="298"/>
      <c r="AL1475" s="298"/>
      <c r="AM1475" s="298"/>
      <c r="AN1475" s="298"/>
      <c r="AO1475" s="298"/>
      <c r="AP1475" s="298"/>
      <c r="AQ1475" s="298"/>
      <c r="AR1475" s="298"/>
      <c r="AS1475" s="298"/>
      <c r="AT1475" s="298"/>
      <c r="AU1475" s="298"/>
      <c r="AV1475" s="298"/>
      <c r="AW1475" s="298"/>
      <c r="AX1475" s="298"/>
      <c r="AY1475" s="298"/>
      <c r="AZ1475" s="298"/>
      <c r="BA1475" s="298"/>
      <c r="BB1475" s="298"/>
      <c r="BC1475" s="298"/>
      <c r="BD1475" s="298"/>
      <c r="BE1475" s="298"/>
      <c r="BF1475" s="298"/>
      <c r="BG1475" s="298"/>
      <c r="BH1475" s="298"/>
      <c r="BI1475" s="298"/>
      <c r="BJ1475" s="298"/>
      <c r="BK1475" s="298"/>
      <c r="BL1475" s="298"/>
      <c r="BM1475" s="298"/>
      <c r="BN1475" s="298"/>
      <c r="BO1475" s="298"/>
      <c r="BP1475" s="298"/>
    </row>
    <row r="1476" spans="1:68" s="529" customFormat="1" ht="25.5">
      <c r="A1476" s="286"/>
      <c r="B1476" s="372" t="s">
        <v>17906</v>
      </c>
      <c r="C1476" s="231" t="s">
        <v>14800</v>
      </c>
      <c r="D1476" s="232" t="s">
        <v>103</v>
      </c>
      <c r="E1476" s="232" t="s">
        <v>3243</v>
      </c>
      <c r="F1476" s="233"/>
      <c r="G1476" s="234"/>
      <c r="H1476" s="235">
        <v>140.08000000000001</v>
      </c>
      <c r="I1476" s="298"/>
      <c r="J1476" s="521"/>
      <c r="K1476" s="298"/>
      <c r="L1476" s="298"/>
      <c r="M1476" s="298"/>
      <c r="N1476" s="298"/>
      <c r="O1476" s="298"/>
      <c r="P1476" s="298"/>
      <c r="Q1476" s="298"/>
      <c r="R1476" s="298"/>
      <c r="S1476" s="536"/>
      <c r="T1476" s="635"/>
      <c r="U1476" s="298"/>
      <c r="V1476" s="298"/>
      <c r="W1476" s="298"/>
      <c r="X1476" s="298"/>
      <c r="Y1476" s="298"/>
      <c r="Z1476" s="298"/>
      <c r="AA1476" s="298"/>
      <c r="AB1476" s="298"/>
      <c r="AC1476" s="298"/>
      <c r="AD1476" s="298"/>
      <c r="AE1476" s="298"/>
      <c r="AF1476" s="298"/>
      <c r="AG1476" s="298"/>
      <c r="AH1476" s="298"/>
      <c r="AI1476" s="298"/>
      <c r="AJ1476" s="298"/>
      <c r="AK1476" s="298"/>
      <c r="AL1476" s="298"/>
      <c r="AM1476" s="298"/>
      <c r="AN1476" s="298"/>
      <c r="AO1476" s="298"/>
      <c r="AP1476" s="298"/>
      <c r="AQ1476" s="298"/>
      <c r="AR1476" s="298"/>
      <c r="AS1476" s="298"/>
      <c r="AT1476" s="298"/>
      <c r="AU1476" s="298"/>
      <c r="AV1476" s="298"/>
      <c r="AW1476" s="298"/>
      <c r="AX1476" s="298"/>
      <c r="AY1476" s="298"/>
      <c r="AZ1476" s="298"/>
      <c r="BA1476" s="298"/>
      <c r="BB1476" s="298"/>
      <c r="BC1476" s="298"/>
      <c r="BD1476" s="298"/>
      <c r="BE1476" s="298"/>
      <c r="BF1476" s="298"/>
      <c r="BG1476" s="298"/>
      <c r="BH1476" s="298"/>
      <c r="BI1476" s="298"/>
      <c r="BJ1476" s="298"/>
      <c r="BK1476" s="298"/>
      <c r="BL1476" s="298"/>
      <c r="BM1476" s="298"/>
      <c r="BN1476" s="298"/>
      <c r="BO1476" s="298"/>
      <c r="BP1476" s="298"/>
    </row>
    <row r="1477" spans="1:68" s="298" customFormat="1" ht="51">
      <c r="A1477" s="256" t="s">
        <v>3261</v>
      </c>
      <c r="B1477" s="288">
        <v>20078</v>
      </c>
      <c r="C1477" s="289" t="s">
        <v>7558</v>
      </c>
      <c r="D1477" s="290" t="s">
        <v>207</v>
      </c>
      <c r="E1477" s="290" t="s">
        <v>3240</v>
      </c>
      <c r="F1477" s="383">
        <v>1.67E-2</v>
      </c>
      <c r="G1477" s="292" t="s">
        <v>9726</v>
      </c>
      <c r="H1477" s="255">
        <v>0.49</v>
      </c>
      <c r="J1477" s="521"/>
      <c r="S1477" s="536"/>
      <c r="T1477" s="635"/>
    </row>
    <row r="1478" spans="1:68" s="298" customFormat="1" ht="25.5">
      <c r="A1478" s="256" t="s">
        <v>3261</v>
      </c>
      <c r="B1478" s="288">
        <v>41930</v>
      </c>
      <c r="C1478" s="289" t="s">
        <v>8610</v>
      </c>
      <c r="D1478" s="290" t="s">
        <v>207</v>
      </c>
      <c r="E1478" s="290" t="s">
        <v>3243</v>
      </c>
      <c r="F1478" s="383">
        <v>1.05</v>
      </c>
      <c r="G1478" s="292" t="s">
        <v>20965</v>
      </c>
      <c r="H1478" s="255">
        <v>136.46</v>
      </c>
      <c r="J1478" s="521"/>
      <c r="S1478" s="536"/>
      <c r="T1478" s="635"/>
    </row>
    <row r="1479" spans="1:68" s="298" customFormat="1" ht="25.5">
      <c r="A1479" s="256" t="s">
        <v>3259</v>
      </c>
      <c r="B1479" s="288">
        <v>88246</v>
      </c>
      <c r="C1479" s="289" t="s">
        <v>3050</v>
      </c>
      <c r="D1479" s="290" t="s">
        <v>9714</v>
      </c>
      <c r="E1479" s="290" t="s">
        <v>206</v>
      </c>
      <c r="F1479" s="383">
        <v>8.6699999999999999E-2</v>
      </c>
      <c r="G1479" s="292" t="s">
        <v>11199</v>
      </c>
      <c r="H1479" s="255">
        <v>1.61</v>
      </c>
      <c r="J1479" s="521"/>
      <c r="S1479" s="536"/>
      <c r="T1479" s="635"/>
    </row>
    <row r="1480" spans="1:68" s="298" customFormat="1" ht="25.5">
      <c r="A1480" s="256" t="s">
        <v>3259</v>
      </c>
      <c r="B1480" s="288">
        <v>88316</v>
      </c>
      <c r="C1480" s="289" t="s">
        <v>104</v>
      </c>
      <c r="D1480" s="290" t="s">
        <v>9714</v>
      </c>
      <c r="E1480" s="290" t="s">
        <v>206</v>
      </c>
      <c r="F1480" s="383">
        <v>8.6699999999999999E-2</v>
      </c>
      <c r="G1480" s="292" t="s">
        <v>10172</v>
      </c>
      <c r="H1480" s="255">
        <v>1.52</v>
      </c>
      <c r="J1480" s="521"/>
      <c r="S1480" s="536"/>
      <c r="T1480" s="635"/>
    </row>
    <row r="1481" spans="1:68" s="529" customFormat="1" ht="12.75">
      <c r="A1481" s="286" t="s">
        <v>3259</v>
      </c>
      <c r="B1481" s="375" t="s">
        <v>143</v>
      </c>
      <c r="C1481" s="816" t="s">
        <v>17907</v>
      </c>
      <c r="D1481" s="817"/>
      <c r="E1481" s="817"/>
      <c r="F1481" s="817"/>
      <c r="G1481" s="817"/>
      <c r="H1481" s="818"/>
      <c r="I1481" s="298"/>
      <c r="J1481" s="521"/>
      <c r="K1481" s="298"/>
      <c r="L1481" s="298"/>
      <c r="M1481" s="298"/>
      <c r="N1481" s="298"/>
      <c r="O1481" s="298"/>
      <c r="P1481" s="298"/>
      <c r="Q1481" s="298"/>
      <c r="R1481" s="298"/>
      <c r="S1481" s="536"/>
      <c r="T1481" s="635"/>
      <c r="U1481" s="298"/>
      <c r="V1481" s="298"/>
      <c r="W1481" s="298"/>
      <c r="X1481" s="298"/>
      <c r="Y1481" s="298"/>
      <c r="Z1481" s="298"/>
      <c r="AA1481" s="298"/>
      <c r="AB1481" s="298"/>
      <c r="AC1481" s="298"/>
      <c r="AD1481" s="298"/>
      <c r="AE1481" s="298"/>
      <c r="AF1481" s="298"/>
      <c r="AG1481" s="298"/>
      <c r="AH1481" s="298"/>
      <c r="AI1481" s="298"/>
      <c r="AJ1481" s="298"/>
      <c r="AK1481" s="298"/>
      <c r="AL1481" s="298"/>
      <c r="AM1481" s="298"/>
      <c r="AN1481" s="298"/>
      <c r="AO1481" s="298"/>
      <c r="AP1481" s="298"/>
      <c r="AQ1481" s="298"/>
      <c r="AR1481" s="298"/>
      <c r="AS1481" s="298"/>
      <c r="AT1481" s="298"/>
      <c r="AU1481" s="298"/>
      <c r="AV1481" s="298"/>
      <c r="AW1481" s="298"/>
      <c r="AX1481" s="298"/>
      <c r="AY1481" s="298"/>
      <c r="AZ1481" s="298"/>
      <c r="BA1481" s="298"/>
      <c r="BB1481" s="298"/>
      <c r="BC1481" s="298"/>
      <c r="BD1481" s="298"/>
      <c r="BE1481" s="298"/>
      <c r="BF1481" s="298"/>
      <c r="BG1481" s="298"/>
      <c r="BH1481" s="298"/>
      <c r="BI1481" s="298"/>
      <c r="BJ1481" s="298"/>
      <c r="BK1481" s="298"/>
      <c r="BL1481" s="298"/>
      <c r="BM1481" s="298"/>
      <c r="BN1481" s="298"/>
      <c r="BO1481" s="298"/>
      <c r="BP1481" s="298"/>
    </row>
    <row r="1482" spans="1:68" s="529" customFormat="1" ht="12.75">
      <c r="A1482" s="286"/>
      <c r="B1482" s="822"/>
      <c r="C1482" s="817"/>
      <c r="D1482" s="817"/>
      <c r="E1482" s="817"/>
      <c r="F1482" s="817"/>
      <c r="G1482" s="817"/>
      <c r="H1482" s="818"/>
      <c r="I1482" s="298"/>
      <c r="J1482" s="521"/>
      <c r="K1482" s="298"/>
      <c r="L1482" s="298"/>
      <c r="M1482" s="298"/>
      <c r="N1482" s="298"/>
      <c r="O1482" s="298"/>
      <c r="P1482" s="298"/>
      <c r="Q1482" s="298"/>
      <c r="R1482" s="298"/>
      <c r="S1482" s="536"/>
      <c r="T1482" s="635"/>
      <c r="U1482" s="298"/>
      <c r="V1482" s="298"/>
      <c r="W1482" s="298"/>
      <c r="X1482" s="298"/>
      <c r="Y1482" s="298"/>
      <c r="Z1482" s="298"/>
      <c r="AA1482" s="298"/>
      <c r="AB1482" s="298"/>
      <c r="AC1482" s="298"/>
      <c r="AD1482" s="298"/>
      <c r="AE1482" s="298"/>
      <c r="AF1482" s="298"/>
      <c r="AG1482" s="298"/>
      <c r="AH1482" s="298"/>
      <c r="AI1482" s="298"/>
      <c r="AJ1482" s="298"/>
      <c r="AK1482" s="298"/>
      <c r="AL1482" s="298"/>
      <c r="AM1482" s="298"/>
      <c r="AN1482" s="298"/>
      <c r="AO1482" s="298"/>
      <c r="AP1482" s="298"/>
      <c r="AQ1482" s="298"/>
      <c r="AR1482" s="298"/>
      <c r="AS1482" s="298"/>
      <c r="AT1482" s="298"/>
      <c r="AU1482" s="298"/>
      <c r="AV1482" s="298"/>
      <c r="AW1482" s="298"/>
      <c r="AX1482" s="298"/>
      <c r="AY1482" s="298"/>
      <c r="AZ1482" s="298"/>
      <c r="BA1482" s="298"/>
      <c r="BB1482" s="298"/>
      <c r="BC1482" s="298"/>
      <c r="BD1482" s="298"/>
      <c r="BE1482" s="298"/>
      <c r="BF1482" s="298"/>
      <c r="BG1482" s="298"/>
      <c r="BH1482" s="298"/>
      <c r="BI1482" s="298"/>
      <c r="BJ1482" s="298"/>
      <c r="BK1482" s="298"/>
      <c r="BL1482" s="298"/>
      <c r="BM1482" s="298"/>
      <c r="BN1482" s="298"/>
      <c r="BO1482" s="298"/>
      <c r="BP1482" s="298"/>
    </row>
    <row r="1483" spans="1:68" s="529" customFormat="1" ht="25.5">
      <c r="A1483" s="286"/>
      <c r="B1483" s="372" t="s">
        <v>17908</v>
      </c>
      <c r="C1483" s="231" t="s">
        <v>18710</v>
      </c>
      <c r="D1483" s="232" t="s">
        <v>103</v>
      </c>
      <c r="E1483" s="232" t="s">
        <v>3243</v>
      </c>
      <c r="F1483" s="233"/>
      <c r="G1483" s="234"/>
      <c r="H1483" s="235">
        <v>237.55</v>
      </c>
      <c r="I1483" s="298"/>
      <c r="J1483" s="521"/>
      <c r="K1483" s="298"/>
      <c r="L1483" s="298"/>
      <c r="M1483" s="298"/>
      <c r="N1483" s="298"/>
      <c r="O1483" s="298"/>
      <c r="P1483" s="298"/>
      <c r="Q1483" s="298"/>
      <c r="R1483" s="298"/>
      <c r="S1483" s="536"/>
      <c r="T1483" s="635"/>
      <c r="U1483" s="298"/>
      <c r="V1483" s="298"/>
      <c r="W1483" s="298"/>
      <c r="X1483" s="298"/>
      <c r="Y1483" s="298"/>
      <c r="Z1483" s="298"/>
      <c r="AA1483" s="298"/>
      <c r="AB1483" s="298"/>
      <c r="AC1483" s="298"/>
      <c r="AD1483" s="298"/>
      <c r="AE1483" s="298"/>
      <c r="AF1483" s="298"/>
      <c r="AG1483" s="298"/>
      <c r="AH1483" s="298"/>
      <c r="AI1483" s="298"/>
      <c r="AJ1483" s="298"/>
      <c r="AK1483" s="298"/>
      <c r="AL1483" s="298"/>
      <c r="AM1483" s="298"/>
      <c r="AN1483" s="298"/>
      <c r="AO1483" s="298"/>
      <c r="AP1483" s="298"/>
      <c r="AQ1483" s="298"/>
      <c r="AR1483" s="298"/>
      <c r="AS1483" s="298"/>
      <c r="AT1483" s="298"/>
      <c r="AU1483" s="298"/>
      <c r="AV1483" s="298"/>
      <c r="AW1483" s="298"/>
      <c r="AX1483" s="298"/>
      <c r="AY1483" s="298"/>
      <c r="AZ1483" s="298"/>
      <c r="BA1483" s="298"/>
      <c r="BB1483" s="298"/>
      <c r="BC1483" s="298"/>
      <c r="BD1483" s="298"/>
      <c r="BE1483" s="298"/>
      <c r="BF1483" s="298"/>
      <c r="BG1483" s="298"/>
      <c r="BH1483" s="298"/>
      <c r="BI1483" s="298"/>
      <c r="BJ1483" s="298"/>
      <c r="BK1483" s="298"/>
      <c r="BL1483" s="298"/>
      <c r="BM1483" s="298"/>
      <c r="BN1483" s="298"/>
      <c r="BO1483" s="298"/>
      <c r="BP1483" s="298"/>
    </row>
    <row r="1484" spans="1:68" s="298" customFormat="1" ht="51">
      <c r="A1484" s="256" t="s">
        <v>3261</v>
      </c>
      <c r="B1484" s="288">
        <v>20078</v>
      </c>
      <c r="C1484" s="289" t="s">
        <v>7558</v>
      </c>
      <c r="D1484" s="290" t="s">
        <v>207</v>
      </c>
      <c r="E1484" s="290" t="s">
        <v>3240</v>
      </c>
      <c r="F1484" s="383">
        <v>2.0799999999999999E-2</v>
      </c>
      <c r="G1484" s="292" t="s">
        <v>9726</v>
      </c>
      <c r="H1484" s="255">
        <v>0.61</v>
      </c>
      <c r="J1484" s="521"/>
      <c r="S1484" s="536"/>
      <c r="T1484" s="635"/>
    </row>
    <row r="1485" spans="1:68" s="298" customFormat="1" ht="25.5">
      <c r="A1485" s="256" t="s">
        <v>3261</v>
      </c>
      <c r="B1485" s="288">
        <v>41931</v>
      </c>
      <c r="C1485" s="289" t="s">
        <v>8611</v>
      </c>
      <c r="D1485" s="290" t="s">
        <v>207</v>
      </c>
      <c r="E1485" s="290" t="s">
        <v>3243</v>
      </c>
      <c r="F1485" s="383">
        <v>1.05</v>
      </c>
      <c r="G1485" s="292" t="s">
        <v>20966</v>
      </c>
      <c r="H1485" s="255">
        <v>232.71</v>
      </c>
      <c r="J1485" s="521"/>
      <c r="S1485" s="536"/>
      <c r="T1485" s="635"/>
    </row>
    <row r="1486" spans="1:68" s="298" customFormat="1" ht="25.5">
      <c r="A1486" s="256" t="s">
        <v>3259</v>
      </c>
      <c r="B1486" s="288">
        <v>88246</v>
      </c>
      <c r="C1486" s="289" t="s">
        <v>3050</v>
      </c>
      <c r="D1486" s="290" t="s">
        <v>9714</v>
      </c>
      <c r="E1486" s="290" t="s">
        <v>206</v>
      </c>
      <c r="F1486" s="383">
        <v>0.1169</v>
      </c>
      <c r="G1486" s="292" t="s">
        <v>11199</v>
      </c>
      <c r="H1486" s="255">
        <v>2.1800000000000002</v>
      </c>
      <c r="J1486" s="521"/>
      <c r="S1486" s="536"/>
      <c r="T1486" s="635"/>
    </row>
    <row r="1487" spans="1:68" s="298" customFormat="1" ht="25.5">
      <c r="A1487" s="256" t="s">
        <v>3259</v>
      </c>
      <c r="B1487" s="288">
        <v>88316</v>
      </c>
      <c r="C1487" s="289" t="s">
        <v>104</v>
      </c>
      <c r="D1487" s="290" t="s">
        <v>9714</v>
      </c>
      <c r="E1487" s="290" t="s">
        <v>206</v>
      </c>
      <c r="F1487" s="383">
        <v>0.1169</v>
      </c>
      <c r="G1487" s="292" t="s">
        <v>10172</v>
      </c>
      <c r="H1487" s="255">
        <v>2.0499999999999998</v>
      </c>
      <c r="J1487" s="634"/>
      <c r="S1487" s="536"/>
      <c r="T1487" s="635"/>
    </row>
    <row r="1488" spans="1:68" s="529" customFormat="1" ht="12.75">
      <c r="A1488" s="286" t="s">
        <v>3259</v>
      </c>
      <c r="B1488" s="375" t="s">
        <v>143</v>
      </c>
      <c r="C1488" s="816" t="s">
        <v>18711</v>
      </c>
      <c r="D1488" s="817"/>
      <c r="E1488" s="817"/>
      <c r="F1488" s="817"/>
      <c r="G1488" s="817"/>
      <c r="H1488" s="818"/>
      <c r="I1488" s="298"/>
      <c r="J1488" s="634"/>
      <c r="K1488" s="298"/>
      <c r="L1488" s="298"/>
      <c r="M1488" s="298"/>
      <c r="N1488" s="298"/>
      <c r="O1488" s="298"/>
      <c r="P1488" s="298"/>
      <c r="Q1488" s="298"/>
      <c r="R1488" s="298"/>
      <c r="S1488" s="536"/>
      <c r="T1488" s="635"/>
      <c r="U1488" s="298"/>
      <c r="V1488" s="298"/>
      <c r="W1488" s="298"/>
      <c r="X1488" s="298"/>
      <c r="Y1488" s="298"/>
      <c r="Z1488" s="298"/>
      <c r="AA1488" s="298"/>
      <c r="AB1488" s="298"/>
      <c r="AC1488" s="298"/>
      <c r="AD1488" s="298"/>
      <c r="AE1488" s="298"/>
      <c r="AF1488" s="298"/>
      <c r="AG1488" s="298"/>
      <c r="AH1488" s="298"/>
      <c r="AI1488" s="298"/>
      <c r="AJ1488" s="298"/>
      <c r="AK1488" s="298"/>
      <c r="AL1488" s="298"/>
      <c r="AM1488" s="298"/>
      <c r="AN1488" s="298"/>
      <c r="AO1488" s="298"/>
      <c r="AP1488" s="298"/>
      <c r="AQ1488" s="298"/>
      <c r="AR1488" s="298"/>
      <c r="AS1488" s="298"/>
      <c r="AT1488" s="298"/>
      <c r="AU1488" s="298"/>
      <c r="AV1488" s="298"/>
      <c r="AW1488" s="298"/>
      <c r="AX1488" s="298"/>
      <c r="AY1488" s="298"/>
      <c r="AZ1488" s="298"/>
      <c r="BA1488" s="298"/>
      <c r="BB1488" s="298"/>
      <c r="BC1488" s="298"/>
      <c r="BD1488" s="298"/>
      <c r="BE1488" s="298"/>
      <c r="BF1488" s="298"/>
      <c r="BG1488" s="298"/>
      <c r="BH1488" s="298"/>
      <c r="BI1488" s="298"/>
      <c r="BJ1488" s="298"/>
      <c r="BK1488" s="298"/>
      <c r="BL1488" s="298"/>
      <c r="BM1488" s="298"/>
      <c r="BN1488" s="298"/>
      <c r="BO1488" s="298"/>
      <c r="BP1488" s="298"/>
    </row>
    <row r="1489" spans="1:68" s="529" customFormat="1" ht="12.75">
      <c r="A1489" s="286"/>
      <c r="B1489" s="583"/>
      <c r="C1489" s="466"/>
      <c r="D1489" s="467"/>
      <c r="E1489" s="467"/>
      <c r="F1489" s="467"/>
      <c r="G1489" s="467"/>
      <c r="H1489" s="467"/>
      <c r="I1489" s="298"/>
      <c r="J1489" s="521"/>
      <c r="K1489" s="298"/>
      <c r="L1489" s="298"/>
      <c r="M1489" s="298"/>
      <c r="N1489" s="298"/>
      <c r="O1489" s="298"/>
      <c r="P1489" s="298"/>
      <c r="Q1489" s="298"/>
      <c r="R1489" s="298"/>
      <c r="S1489" s="536"/>
      <c r="T1489" s="635"/>
      <c r="U1489" s="298"/>
      <c r="V1489" s="298"/>
      <c r="W1489" s="298"/>
      <c r="X1489" s="298"/>
      <c r="Y1489" s="298"/>
      <c r="Z1489" s="298"/>
      <c r="AA1489" s="298"/>
      <c r="AB1489" s="298"/>
      <c r="AC1489" s="298"/>
      <c r="AD1489" s="298"/>
      <c r="AE1489" s="298"/>
      <c r="AF1489" s="298"/>
      <c r="AG1489" s="298"/>
      <c r="AH1489" s="298"/>
      <c r="AI1489" s="298"/>
      <c r="AJ1489" s="298"/>
      <c r="AK1489" s="298"/>
      <c r="AL1489" s="298"/>
      <c r="AM1489" s="298"/>
      <c r="AN1489" s="298"/>
      <c r="AO1489" s="298"/>
      <c r="AP1489" s="298"/>
      <c r="AQ1489" s="298"/>
      <c r="AR1489" s="298"/>
      <c r="AS1489" s="298"/>
      <c r="AT1489" s="298"/>
      <c r="AU1489" s="298"/>
      <c r="AV1489" s="298"/>
      <c r="AW1489" s="298"/>
      <c r="AX1489" s="298"/>
      <c r="AY1489" s="298"/>
      <c r="AZ1489" s="298"/>
      <c r="BA1489" s="298"/>
      <c r="BB1489" s="298"/>
      <c r="BC1489" s="298"/>
      <c r="BD1489" s="298"/>
      <c r="BE1489" s="298"/>
      <c r="BF1489" s="298"/>
      <c r="BG1489" s="298"/>
      <c r="BH1489" s="298"/>
      <c r="BI1489" s="298"/>
      <c r="BJ1489" s="298"/>
      <c r="BK1489" s="298"/>
      <c r="BL1489" s="298"/>
      <c r="BM1489" s="298"/>
      <c r="BN1489" s="298"/>
      <c r="BO1489" s="298"/>
      <c r="BP1489" s="298"/>
    </row>
    <row r="1490" spans="1:68" s="627" customFormat="1" ht="25.5">
      <c r="A1490" s="537"/>
      <c r="B1490" s="372" t="s">
        <v>17874</v>
      </c>
      <c r="C1490" s="231" t="s">
        <v>17875</v>
      </c>
      <c r="D1490" s="232" t="s">
        <v>103</v>
      </c>
      <c r="E1490" s="232" t="s">
        <v>17876</v>
      </c>
      <c r="F1490" s="233"/>
      <c r="G1490" s="234"/>
      <c r="H1490" s="235">
        <v>84.35</v>
      </c>
      <c r="I1490" s="298"/>
      <c r="J1490" s="634"/>
      <c r="K1490" s="634"/>
      <c r="L1490" s="634"/>
      <c r="M1490" s="634"/>
      <c r="N1490" s="298"/>
      <c r="O1490" s="298"/>
      <c r="P1490" s="298"/>
      <c r="Q1490" s="298"/>
      <c r="R1490" s="298"/>
      <c r="S1490" s="536"/>
      <c r="T1490" s="635"/>
      <c r="U1490" s="298"/>
      <c r="V1490" s="298"/>
      <c r="W1490" s="298"/>
      <c r="X1490" s="298"/>
      <c r="Y1490" s="298"/>
      <c r="Z1490" s="298"/>
      <c r="AA1490" s="298"/>
      <c r="AB1490" s="298"/>
      <c r="AC1490" s="298"/>
      <c r="AD1490" s="298"/>
      <c r="AE1490" s="298"/>
      <c r="AF1490" s="298"/>
      <c r="AG1490" s="298"/>
      <c r="AH1490" s="298"/>
      <c r="AI1490" s="298"/>
      <c r="AJ1490" s="298"/>
      <c r="AK1490" s="298"/>
      <c r="AL1490" s="298"/>
      <c r="AM1490" s="298"/>
      <c r="AN1490" s="298"/>
      <c r="AO1490" s="298"/>
      <c r="AP1490" s="298"/>
      <c r="AQ1490" s="298"/>
      <c r="AR1490" s="298"/>
      <c r="AS1490" s="298"/>
      <c r="AT1490" s="298"/>
      <c r="AU1490" s="298"/>
      <c r="AV1490" s="298"/>
      <c r="AW1490" s="298"/>
      <c r="AX1490" s="298"/>
      <c r="AY1490" s="298"/>
      <c r="AZ1490" s="298"/>
      <c r="BA1490" s="298"/>
      <c r="BB1490" s="298"/>
      <c r="BC1490" s="298"/>
      <c r="BD1490" s="298"/>
      <c r="BE1490" s="298"/>
      <c r="BF1490" s="298"/>
      <c r="BG1490" s="298"/>
      <c r="BH1490" s="298"/>
      <c r="BI1490" s="298"/>
      <c r="BJ1490" s="298"/>
      <c r="BK1490" s="298"/>
      <c r="BL1490" s="298"/>
      <c r="BM1490" s="298"/>
      <c r="BN1490" s="298"/>
      <c r="BO1490" s="298"/>
      <c r="BP1490" s="298"/>
    </row>
    <row r="1491" spans="1:68" s="298" customFormat="1" ht="25.5">
      <c r="A1491" s="256" t="s">
        <v>17868</v>
      </c>
      <c r="B1491" s="288">
        <v>3148</v>
      </c>
      <c r="C1491" s="289" t="s">
        <v>6465</v>
      </c>
      <c r="D1491" s="290" t="s">
        <v>207</v>
      </c>
      <c r="E1491" s="290" t="s">
        <v>3240</v>
      </c>
      <c r="F1491" s="291">
        <v>1.9E-2</v>
      </c>
      <c r="G1491" s="292" t="s">
        <v>10121</v>
      </c>
      <c r="H1491" s="255">
        <v>0.27</v>
      </c>
      <c r="J1491" s="634"/>
      <c r="K1491" s="634"/>
      <c r="L1491" s="634"/>
      <c r="M1491" s="634"/>
      <c r="S1491" s="536"/>
      <c r="T1491" s="635"/>
    </row>
    <row r="1492" spans="1:68" s="298" customFormat="1" ht="12.75">
      <c r="A1492" s="256" t="s">
        <v>12</v>
      </c>
      <c r="B1492" s="288" t="s">
        <v>17877</v>
      </c>
      <c r="C1492" s="289" t="s">
        <v>17992</v>
      </c>
      <c r="D1492" s="290" t="s">
        <v>207</v>
      </c>
      <c r="E1492" s="290" t="s">
        <v>109</v>
      </c>
      <c r="F1492" s="291">
        <v>1</v>
      </c>
      <c r="G1492" s="292">
        <v>51.23</v>
      </c>
      <c r="H1492" s="255">
        <v>51.23</v>
      </c>
      <c r="J1492" s="634"/>
      <c r="K1492" s="634"/>
      <c r="L1492" s="634"/>
      <c r="M1492" s="634"/>
      <c r="S1492" s="536"/>
      <c r="T1492" s="635"/>
    </row>
    <row r="1493" spans="1:68" s="298" customFormat="1" ht="38.25">
      <c r="A1493" s="256" t="s">
        <v>3259</v>
      </c>
      <c r="B1493" s="288">
        <v>88248</v>
      </c>
      <c r="C1493" s="289" t="s">
        <v>106</v>
      </c>
      <c r="D1493" s="290" t="s">
        <v>9714</v>
      </c>
      <c r="E1493" s="290" t="s">
        <v>206</v>
      </c>
      <c r="F1493" s="291">
        <v>0.78900000000000003</v>
      </c>
      <c r="G1493" s="292" t="s">
        <v>10175</v>
      </c>
      <c r="H1493" s="255">
        <v>14.38</v>
      </c>
      <c r="J1493" s="634"/>
      <c r="K1493" s="634"/>
      <c r="L1493" s="634"/>
      <c r="M1493" s="634"/>
      <c r="S1493" s="536"/>
      <c r="T1493" s="635"/>
    </row>
    <row r="1494" spans="1:68" s="298" customFormat="1" ht="25.5">
      <c r="A1494" s="256" t="s">
        <v>3259</v>
      </c>
      <c r="B1494" s="288">
        <v>88267</v>
      </c>
      <c r="C1494" s="289" t="s">
        <v>107</v>
      </c>
      <c r="D1494" s="290" t="s">
        <v>9714</v>
      </c>
      <c r="E1494" s="290" t="s">
        <v>206</v>
      </c>
      <c r="F1494" s="291">
        <v>0.78900000000000003</v>
      </c>
      <c r="G1494" s="292" t="s">
        <v>10792</v>
      </c>
      <c r="H1494" s="255">
        <v>18.47</v>
      </c>
      <c r="J1494" s="634"/>
      <c r="K1494" s="634"/>
      <c r="L1494" s="634"/>
      <c r="M1494" s="634"/>
      <c r="S1494" s="536"/>
      <c r="T1494" s="635"/>
    </row>
    <row r="1495" spans="1:68" s="529" customFormat="1" ht="12.75">
      <c r="A1495" s="286"/>
      <c r="B1495" s="375" t="s">
        <v>143</v>
      </c>
      <c r="C1495" s="816" t="s">
        <v>17878</v>
      </c>
      <c r="D1495" s="817"/>
      <c r="E1495" s="817"/>
      <c r="F1495" s="817"/>
      <c r="G1495" s="817"/>
      <c r="H1495" s="818"/>
      <c r="I1495" s="298"/>
      <c r="J1495" s="634"/>
      <c r="K1495" s="634"/>
      <c r="L1495" s="634"/>
      <c r="M1495" s="634"/>
      <c r="N1495" s="298"/>
      <c r="O1495" s="298"/>
      <c r="P1495" s="298"/>
      <c r="Q1495" s="298"/>
      <c r="R1495" s="298"/>
      <c r="S1495" s="536"/>
      <c r="T1495" s="635"/>
      <c r="U1495" s="298"/>
      <c r="V1495" s="298"/>
      <c r="W1495" s="298"/>
      <c r="X1495" s="298"/>
      <c r="Y1495" s="298"/>
      <c r="Z1495" s="298"/>
      <c r="AA1495" s="298"/>
      <c r="AB1495" s="298"/>
      <c r="AC1495" s="298"/>
      <c r="AD1495" s="298"/>
      <c r="AE1495" s="298"/>
      <c r="AF1495" s="298"/>
      <c r="AG1495" s="298"/>
      <c r="AH1495" s="298"/>
      <c r="AI1495" s="298"/>
      <c r="AJ1495" s="298"/>
      <c r="AK1495" s="298"/>
      <c r="AL1495" s="298"/>
      <c r="AM1495" s="298"/>
      <c r="AN1495" s="298"/>
      <c r="AO1495" s="298"/>
      <c r="AP1495" s="298"/>
      <c r="AQ1495" s="298"/>
      <c r="AR1495" s="298"/>
      <c r="AS1495" s="298"/>
      <c r="AT1495" s="298"/>
      <c r="AU1495" s="298"/>
      <c r="AV1495" s="298"/>
      <c r="AW1495" s="298"/>
      <c r="AX1495" s="298"/>
      <c r="AY1495" s="298"/>
      <c r="AZ1495" s="298"/>
      <c r="BA1495" s="298"/>
      <c r="BB1495" s="298"/>
      <c r="BC1495" s="298"/>
      <c r="BD1495" s="298"/>
      <c r="BE1495" s="298"/>
      <c r="BF1495" s="298"/>
      <c r="BG1495" s="298"/>
      <c r="BH1495" s="298"/>
      <c r="BI1495" s="298"/>
      <c r="BJ1495" s="298"/>
      <c r="BK1495" s="298"/>
      <c r="BL1495" s="298"/>
      <c r="BM1495" s="298"/>
      <c r="BN1495" s="298"/>
      <c r="BO1495" s="298"/>
      <c r="BP1495" s="298"/>
    </row>
    <row r="1496" spans="1:68" s="529" customFormat="1" ht="12.75">
      <c r="A1496" s="286"/>
      <c r="B1496" s="373"/>
      <c r="C1496" s="385"/>
      <c r="D1496" s="385"/>
      <c r="E1496" s="385"/>
      <c r="F1496" s="385"/>
      <c r="G1496" s="385"/>
      <c r="H1496" s="641"/>
      <c r="I1496" s="298"/>
      <c r="J1496" s="634"/>
      <c r="K1496" s="634"/>
      <c r="L1496" s="634"/>
      <c r="M1496" s="634"/>
      <c r="N1496" s="298"/>
      <c r="O1496" s="298"/>
      <c r="P1496" s="298"/>
      <c r="Q1496" s="298"/>
      <c r="R1496" s="298"/>
      <c r="S1496" s="536"/>
      <c r="T1496" s="635"/>
      <c r="U1496" s="298"/>
      <c r="V1496" s="298"/>
      <c r="W1496" s="298"/>
      <c r="X1496" s="298"/>
      <c r="Y1496" s="298"/>
      <c r="Z1496" s="298"/>
      <c r="AA1496" s="298"/>
      <c r="AB1496" s="298"/>
      <c r="AC1496" s="298"/>
      <c r="AD1496" s="298"/>
      <c r="AE1496" s="298"/>
      <c r="AF1496" s="298"/>
      <c r="AG1496" s="298"/>
      <c r="AH1496" s="298"/>
      <c r="AI1496" s="298"/>
      <c r="AJ1496" s="298"/>
      <c r="AK1496" s="298"/>
      <c r="AL1496" s="298"/>
      <c r="AM1496" s="298"/>
      <c r="AN1496" s="298"/>
      <c r="AO1496" s="298"/>
      <c r="AP1496" s="298"/>
      <c r="AQ1496" s="298"/>
      <c r="AR1496" s="298"/>
      <c r="AS1496" s="298"/>
      <c r="AT1496" s="298"/>
      <c r="AU1496" s="298"/>
      <c r="AV1496" s="298"/>
      <c r="AW1496" s="298"/>
      <c r="AX1496" s="298"/>
      <c r="AY1496" s="298"/>
      <c r="AZ1496" s="298"/>
      <c r="BA1496" s="298"/>
      <c r="BB1496" s="298"/>
      <c r="BC1496" s="298"/>
      <c r="BD1496" s="298"/>
      <c r="BE1496" s="298"/>
      <c r="BF1496" s="298"/>
      <c r="BG1496" s="298"/>
      <c r="BH1496" s="298"/>
      <c r="BI1496" s="298"/>
      <c r="BJ1496" s="298"/>
      <c r="BK1496" s="298"/>
      <c r="BL1496" s="298"/>
      <c r="BM1496" s="298"/>
      <c r="BN1496" s="298"/>
      <c r="BO1496" s="298"/>
      <c r="BP1496" s="298"/>
    </row>
    <row r="1497" spans="1:68" s="627" customFormat="1" ht="25.5">
      <c r="A1497" s="537"/>
      <c r="B1497" s="372" t="s">
        <v>17879</v>
      </c>
      <c r="C1497" s="231" t="s">
        <v>17880</v>
      </c>
      <c r="D1497" s="232" t="s">
        <v>103</v>
      </c>
      <c r="E1497" s="232" t="s">
        <v>17876</v>
      </c>
      <c r="F1497" s="233"/>
      <c r="G1497" s="234"/>
      <c r="H1497" s="235">
        <v>106.13</v>
      </c>
      <c r="I1497" s="298"/>
      <c r="J1497" s="634"/>
      <c r="K1497" s="634"/>
      <c r="L1497" s="634"/>
      <c r="M1497" s="634"/>
      <c r="N1497" s="298"/>
      <c r="O1497" s="298"/>
      <c r="P1497" s="298"/>
      <c r="Q1497" s="298"/>
      <c r="R1497" s="298"/>
      <c r="S1497" s="536"/>
      <c r="T1497" s="635"/>
      <c r="U1497" s="298"/>
      <c r="V1497" s="298"/>
      <c r="W1497" s="298"/>
      <c r="X1497" s="298"/>
      <c r="Y1497" s="298"/>
      <c r="Z1497" s="298"/>
      <c r="AA1497" s="298"/>
      <c r="AB1497" s="298"/>
      <c r="AC1497" s="298"/>
      <c r="AD1497" s="298"/>
      <c r="AE1497" s="298"/>
      <c r="AF1497" s="298"/>
      <c r="AG1497" s="298"/>
      <c r="AH1497" s="298"/>
      <c r="AI1497" s="298"/>
      <c r="AJ1497" s="298"/>
      <c r="AK1497" s="298"/>
      <c r="AL1497" s="298"/>
      <c r="AM1497" s="298"/>
      <c r="AN1497" s="298"/>
      <c r="AO1497" s="298"/>
      <c r="AP1497" s="298"/>
      <c r="AQ1497" s="298"/>
      <c r="AR1497" s="298"/>
      <c r="AS1497" s="298"/>
      <c r="AT1497" s="298"/>
      <c r="AU1497" s="298"/>
      <c r="AV1497" s="298"/>
      <c r="AW1497" s="298"/>
      <c r="AX1497" s="298"/>
      <c r="AY1497" s="298"/>
      <c r="AZ1497" s="298"/>
      <c r="BA1497" s="298"/>
      <c r="BB1497" s="298"/>
      <c r="BC1497" s="298"/>
      <c r="BD1497" s="298"/>
      <c r="BE1497" s="298"/>
      <c r="BF1497" s="298"/>
      <c r="BG1497" s="298"/>
      <c r="BH1497" s="298"/>
      <c r="BI1497" s="298"/>
      <c r="BJ1497" s="298"/>
      <c r="BK1497" s="298"/>
      <c r="BL1497" s="298"/>
      <c r="BM1497" s="298"/>
      <c r="BN1497" s="298"/>
      <c r="BO1497" s="298"/>
      <c r="BP1497" s="298"/>
    </row>
    <row r="1498" spans="1:68" s="298" customFormat="1" ht="25.5">
      <c r="A1498" s="256" t="s">
        <v>17868</v>
      </c>
      <c r="B1498" s="288">
        <v>3148</v>
      </c>
      <c r="C1498" s="289" t="s">
        <v>6465</v>
      </c>
      <c r="D1498" s="290" t="s">
        <v>207</v>
      </c>
      <c r="E1498" s="290" t="s">
        <v>3240</v>
      </c>
      <c r="F1498" s="291">
        <v>3.32E-2</v>
      </c>
      <c r="G1498" s="292" t="s">
        <v>10121</v>
      </c>
      <c r="H1498" s="255">
        <v>0.47</v>
      </c>
      <c r="J1498" s="634"/>
      <c r="K1498" s="634"/>
      <c r="L1498" s="634"/>
      <c r="M1498" s="634"/>
      <c r="S1498" s="536"/>
      <c r="T1498" s="635"/>
    </row>
    <row r="1499" spans="1:68" s="298" customFormat="1" ht="12.75">
      <c r="A1499" s="256" t="s">
        <v>12</v>
      </c>
      <c r="B1499" s="288" t="s">
        <v>17881</v>
      </c>
      <c r="C1499" s="289" t="s">
        <v>17995</v>
      </c>
      <c r="D1499" s="290" t="s">
        <v>207</v>
      </c>
      <c r="E1499" s="290" t="s">
        <v>109</v>
      </c>
      <c r="F1499" s="291">
        <v>1</v>
      </c>
      <c r="G1499" s="292">
        <v>103.5</v>
      </c>
      <c r="H1499" s="255">
        <v>103.5</v>
      </c>
      <c r="J1499" s="634"/>
      <c r="K1499" s="634"/>
      <c r="L1499" s="634"/>
      <c r="M1499" s="634"/>
      <c r="S1499" s="536"/>
      <c r="T1499" s="635"/>
    </row>
    <row r="1500" spans="1:68" s="298" customFormat="1" ht="38.25">
      <c r="A1500" s="256" t="s">
        <v>3259</v>
      </c>
      <c r="B1500" s="288">
        <v>88248</v>
      </c>
      <c r="C1500" s="289" t="s">
        <v>106</v>
      </c>
      <c r="D1500" s="290" t="s">
        <v>9714</v>
      </c>
      <c r="E1500" s="290" t="s">
        <v>206</v>
      </c>
      <c r="F1500" s="291">
        <v>8.4500000000000006E-2</v>
      </c>
      <c r="G1500" s="292" t="s">
        <v>10175</v>
      </c>
      <c r="H1500" s="255">
        <v>1.54</v>
      </c>
      <c r="J1500" s="634"/>
      <c r="K1500" s="634"/>
      <c r="L1500" s="634"/>
      <c r="M1500" s="634"/>
      <c r="S1500" s="536"/>
      <c r="T1500" s="635"/>
    </row>
    <row r="1501" spans="1:68" s="298" customFormat="1" ht="25.5">
      <c r="A1501" s="256" t="s">
        <v>3259</v>
      </c>
      <c r="B1501" s="288">
        <v>88267</v>
      </c>
      <c r="C1501" s="289" t="s">
        <v>107</v>
      </c>
      <c r="D1501" s="290" t="s">
        <v>9714</v>
      </c>
      <c r="E1501" s="290" t="s">
        <v>206</v>
      </c>
      <c r="F1501" s="291">
        <v>2.6599999999999999E-2</v>
      </c>
      <c r="G1501" s="292" t="s">
        <v>10792</v>
      </c>
      <c r="H1501" s="255">
        <v>0.62</v>
      </c>
      <c r="J1501" s="634"/>
      <c r="K1501" s="634"/>
      <c r="L1501" s="634"/>
      <c r="M1501" s="634"/>
      <c r="S1501" s="536"/>
      <c r="T1501" s="635"/>
    </row>
    <row r="1502" spans="1:68" s="529" customFormat="1" ht="12.75">
      <c r="A1502" s="286"/>
      <c r="B1502" s="375" t="s">
        <v>143</v>
      </c>
      <c r="C1502" s="816" t="s">
        <v>17882</v>
      </c>
      <c r="D1502" s="817"/>
      <c r="E1502" s="817"/>
      <c r="F1502" s="817"/>
      <c r="G1502" s="817"/>
      <c r="H1502" s="818"/>
      <c r="I1502" s="298"/>
      <c r="J1502" s="634"/>
      <c r="K1502" s="634"/>
      <c r="L1502" s="634"/>
      <c r="M1502" s="634"/>
      <c r="N1502" s="298"/>
      <c r="O1502" s="298"/>
      <c r="P1502" s="298"/>
      <c r="Q1502" s="298"/>
      <c r="R1502" s="298"/>
      <c r="S1502" s="536"/>
      <c r="T1502" s="635"/>
      <c r="U1502" s="298"/>
      <c r="V1502" s="298"/>
      <c r="W1502" s="298"/>
      <c r="X1502" s="298"/>
      <c r="Y1502" s="298"/>
      <c r="Z1502" s="298"/>
      <c r="AA1502" s="298"/>
      <c r="AB1502" s="298"/>
      <c r="AC1502" s="298"/>
      <c r="AD1502" s="298"/>
      <c r="AE1502" s="298"/>
      <c r="AF1502" s="298"/>
      <c r="AG1502" s="298"/>
      <c r="AH1502" s="298"/>
      <c r="AI1502" s="298"/>
      <c r="AJ1502" s="298"/>
      <c r="AK1502" s="298"/>
      <c r="AL1502" s="298"/>
      <c r="AM1502" s="298"/>
      <c r="AN1502" s="298"/>
      <c r="AO1502" s="298"/>
      <c r="AP1502" s="298"/>
      <c r="AQ1502" s="298"/>
      <c r="AR1502" s="298"/>
      <c r="AS1502" s="298"/>
      <c r="AT1502" s="298"/>
      <c r="AU1502" s="298"/>
      <c r="AV1502" s="298"/>
      <c r="AW1502" s="298"/>
      <c r="AX1502" s="298"/>
      <c r="AY1502" s="298"/>
      <c r="AZ1502" s="298"/>
      <c r="BA1502" s="298"/>
      <c r="BB1502" s="298"/>
      <c r="BC1502" s="298"/>
      <c r="BD1502" s="298"/>
      <c r="BE1502" s="298"/>
      <c r="BF1502" s="298"/>
      <c r="BG1502" s="298"/>
      <c r="BH1502" s="298"/>
      <c r="BI1502" s="298"/>
      <c r="BJ1502" s="298"/>
      <c r="BK1502" s="298"/>
      <c r="BL1502" s="298"/>
      <c r="BM1502" s="298"/>
      <c r="BN1502" s="298"/>
      <c r="BO1502" s="298"/>
      <c r="BP1502" s="298"/>
    </row>
    <row r="1503" spans="1:68" s="529" customFormat="1" ht="12.75">
      <c r="A1503" s="286"/>
      <c r="B1503" s="373"/>
      <c r="C1503" s="385"/>
      <c r="D1503" s="385"/>
      <c r="E1503" s="385"/>
      <c r="F1503" s="385"/>
      <c r="G1503" s="385"/>
      <c r="H1503" s="641"/>
      <c r="I1503" s="298"/>
      <c r="J1503" s="634"/>
      <c r="K1503" s="634"/>
      <c r="L1503" s="634"/>
      <c r="M1503" s="634"/>
      <c r="N1503" s="298"/>
      <c r="O1503" s="298"/>
      <c r="P1503" s="298"/>
      <c r="Q1503" s="298"/>
      <c r="R1503" s="298"/>
      <c r="S1503" s="536"/>
      <c r="T1503" s="635"/>
      <c r="U1503" s="298"/>
      <c r="V1503" s="298"/>
      <c r="W1503" s="298"/>
      <c r="X1503" s="298"/>
      <c r="Y1503" s="298"/>
      <c r="Z1503" s="298"/>
      <c r="AA1503" s="298"/>
      <c r="AB1503" s="298"/>
      <c r="AC1503" s="298"/>
      <c r="AD1503" s="298"/>
      <c r="AE1503" s="298"/>
      <c r="AF1503" s="298"/>
      <c r="AG1503" s="298"/>
      <c r="AH1503" s="298"/>
      <c r="AI1503" s="298"/>
      <c r="AJ1503" s="298"/>
      <c r="AK1503" s="298"/>
      <c r="AL1503" s="298"/>
      <c r="AM1503" s="298"/>
      <c r="AN1503" s="298"/>
      <c r="AO1503" s="298"/>
      <c r="AP1503" s="298"/>
      <c r="AQ1503" s="298"/>
      <c r="AR1503" s="298"/>
      <c r="AS1503" s="298"/>
      <c r="AT1503" s="298"/>
      <c r="AU1503" s="298"/>
      <c r="AV1503" s="298"/>
      <c r="AW1503" s="298"/>
      <c r="AX1503" s="298"/>
      <c r="AY1503" s="298"/>
      <c r="AZ1503" s="298"/>
      <c r="BA1503" s="298"/>
      <c r="BB1503" s="298"/>
      <c r="BC1503" s="298"/>
      <c r="BD1503" s="298"/>
      <c r="BE1503" s="298"/>
      <c r="BF1503" s="298"/>
      <c r="BG1503" s="298"/>
      <c r="BH1503" s="298"/>
      <c r="BI1503" s="298"/>
      <c r="BJ1503" s="298"/>
      <c r="BK1503" s="298"/>
      <c r="BL1503" s="298"/>
      <c r="BM1503" s="298"/>
      <c r="BN1503" s="298"/>
      <c r="BO1503" s="298"/>
      <c r="BP1503" s="298"/>
    </row>
    <row r="1504" spans="1:68" s="627" customFormat="1" ht="38.25">
      <c r="A1504" s="537"/>
      <c r="B1504" s="372" t="s">
        <v>17883</v>
      </c>
      <c r="C1504" s="231" t="s">
        <v>17884</v>
      </c>
      <c r="D1504" s="232" t="s">
        <v>103</v>
      </c>
      <c r="E1504" s="232" t="s">
        <v>109</v>
      </c>
      <c r="F1504" s="233"/>
      <c r="G1504" s="234"/>
      <c r="H1504" s="235">
        <v>1244.6999999999998</v>
      </c>
      <c r="I1504" s="298"/>
      <c r="J1504" s="298"/>
      <c r="K1504" s="298" t="s">
        <v>17885</v>
      </c>
      <c r="L1504" s="298"/>
      <c r="M1504" s="298"/>
      <c r="N1504" s="298"/>
      <c r="O1504" s="298"/>
      <c r="P1504" s="298"/>
      <c r="Q1504" s="298"/>
      <c r="R1504" s="298"/>
      <c r="S1504" s="536"/>
      <c r="T1504" s="635"/>
      <c r="U1504" s="298"/>
      <c r="V1504" s="298"/>
      <c r="W1504" s="298"/>
      <c r="X1504" s="298"/>
      <c r="Y1504" s="298"/>
      <c r="Z1504" s="298"/>
      <c r="AA1504" s="298"/>
      <c r="AB1504" s="298"/>
      <c r="AC1504" s="298"/>
      <c r="AD1504" s="298"/>
      <c r="AE1504" s="298"/>
      <c r="AF1504" s="298"/>
      <c r="AG1504" s="298"/>
      <c r="AH1504" s="298"/>
      <c r="AI1504" s="298"/>
      <c r="AJ1504" s="298"/>
      <c r="AK1504" s="298"/>
      <c r="AL1504" s="298"/>
      <c r="AM1504" s="298"/>
      <c r="AN1504" s="298"/>
      <c r="AO1504" s="298"/>
      <c r="AP1504" s="298"/>
      <c r="AQ1504" s="298"/>
      <c r="AR1504" s="298"/>
      <c r="AS1504" s="298"/>
      <c r="AT1504" s="298"/>
      <c r="AU1504" s="298"/>
      <c r="AV1504" s="298"/>
      <c r="AW1504" s="298"/>
      <c r="AX1504" s="298"/>
      <c r="AY1504" s="298"/>
      <c r="AZ1504" s="298"/>
      <c r="BA1504" s="298"/>
      <c r="BB1504" s="298"/>
      <c r="BC1504" s="298"/>
      <c r="BD1504" s="298"/>
      <c r="BE1504" s="298"/>
      <c r="BF1504" s="298"/>
      <c r="BG1504" s="298"/>
      <c r="BH1504" s="298"/>
      <c r="BI1504" s="298"/>
      <c r="BJ1504" s="298"/>
      <c r="BK1504" s="298"/>
      <c r="BL1504" s="298"/>
      <c r="BM1504" s="298"/>
      <c r="BN1504" s="298"/>
      <c r="BO1504" s="298"/>
      <c r="BP1504" s="298"/>
    </row>
    <row r="1505" spans="1:68" s="298" customFormat="1" ht="25.5">
      <c r="A1505" s="256" t="s">
        <v>12</v>
      </c>
      <c r="B1505" s="288" t="s">
        <v>17886</v>
      </c>
      <c r="C1505" s="289" t="s">
        <v>17885</v>
      </c>
      <c r="D1505" s="290" t="s">
        <v>207</v>
      </c>
      <c r="E1505" s="290" t="s">
        <v>109</v>
      </c>
      <c r="F1505" s="383">
        <v>1</v>
      </c>
      <c r="G1505" s="292">
        <v>1085</v>
      </c>
      <c r="H1505" s="255">
        <v>1085</v>
      </c>
      <c r="S1505" s="536"/>
      <c r="T1505" s="635"/>
    </row>
    <row r="1506" spans="1:68" s="298" customFormat="1" ht="51">
      <c r="A1506" s="256" t="s">
        <v>3261</v>
      </c>
      <c r="B1506" s="288">
        <v>11267</v>
      </c>
      <c r="C1506" s="289" t="s">
        <v>11646</v>
      </c>
      <c r="D1506" s="290" t="s">
        <v>207</v>
      </c>
      <c r="E1506" s="290" t="s">
        <v>3240</v>
      </c>
      <c r="F1506" s="383">
        <v>4</v>
      </c>
      <c r="G1506" s="292" t="s">
        <v>11094</v>
      </c>
      <c r="H1506" s="255">
        <v>3.6</v>
      </c>
      <c r="S1506" s="536"/>
      <c r="T1506" s="635"/>
    </row>
    <row r="1507" spans="1:68" s="298" customFormat="1" ht="25.5">
      <c r="A1507" s="256" t="s">
        <v>3261</v>
      </c>
      <c r="B1507" s="288">
        <v>39996</v>
      </c>
      <c r="C1507" s="289" t="s">
        <v>8932</v>
      </c>
      <c r="D1507" s="290" t="s">
        <v>207</v>
      </c>
      <c r="E1507" s="290" t="s">
        <v>3243</v>
      </c>
      <c r="F1507" s="383">
        <v>0.2</v>
      </c>
      <c r="G1507" s="292" t="s">
        <v>10073</v>
      </c>
      <c r="H1507" s="255">
        <v>0.75</v>
      </c>
      <c r="S1507" s="536"/>
      <c r="T1507" s="635"/>
    </row>
    <row r="1508" spans="1:68" s="298" customFormat="1" ht="12.75">
      <c r="A1508" s="256" t="s">
        <v>3261</v>
      </c>
      <c r="B1508" s="288">
        <v>39997</v>
      </c>
      <c r="C1508" s="289" t="s">
        <v>7751</v>
      </c>
      <c r="D1508" s="290" t="s">
        <v>207</v>
      </c>
      <c r="E1508" s="290" t="s">
        <v>3240</v>
      </c>
      <c r="F1508" s="383">
        <v>4</v>
      </c>
      <c r="G1508" s="292" t="s">
        <v>9866</v>
      </c>
      <c r="H1508" s="255">
        <v>0.64</v>
      </c>
      <c r="S1508" s="536"/>
      <c r="T1508" s="635"/>
    </row>
    <row r="1509" spans="1:68" s="298" customFormat="1" ht="25.5">
      <c r="A1509" s="256" t="s">
        <v>3259</v>
      </c>
      <c r="B1509" s="288">
        <v>88247</v>
      </c>
      <c r="C1509" s="289" t="s">
        <v>145</v>
      </c>
      <c r="D1509" s="290" t="s">
        <v>9714</v>
      </c>
      <c r="E1509" s="290" t="s">
        <v>206</v>
      </c>
      <c r="F1509" s="383">
        <v>0.63300000000000001</v>
      </c>
      <c r="G1509" s="292" t="s">
        <v>12206</v>
      </c>
      <c r="H1509" s="255">
        <v>11.86</v>
      </c>
      <c r="S1509" s="536"/>
      <c r="T1509" s="635"/>
    </row>
    <row r="1510" spans="1:68" s="298" customFormat="1" ht="38.25">
      <c r="A1510" s="256" t="s">
        <v>3259</v>
      </c>
      <c r="B1510" s="288">
        <v>88248</v>
      </c>
      <c r="C1510" s="289" t="s">
        <v>106</v>
      </c>
      <c r="D1510" s="290" t="s">
        <v>9714</v>
      </c>
      <c r="E1510" s="290" t="s">
        <v>206</v>
      </c>
      <c r="F1510" s="383">
        <v>3.0647000000000002</v>
      </c>
      <c r="G1510" s="292" t="s">
        <v>10175</v>
      </c>
      <c r="H1510" s="255">
        <v>55.86</v>
      </c>
      <c r="S1510" s="536"/>
      <c r="T1510" s="635"/>
    </row>
    <row r="1511" spans="1:68" s="298" customFormat="1" ht="25.5">
      <c r="A1511" s="256" t="s">
        <v>3259</v>
      </c>
      <c r="B1511" s="288">
        <v>88264</v>
      </c>
      <c r="C1511" s="289" t="s">
        <v>146</v>
      </c>
      <c r="D1511" s="290" t="s">
        <v>9714</v>
      </c>
      <c r="E1511" s="290" t="s">
        <v>206</v>
      </c>
      <c r="F1511" s="383">
        <v>0.63300000000000001</v>
      </c>
      <c r="G1511" s="292" t="s">
        <v>16504</v>
      </c>
      <c r="H1511" s="255">
        <v>15.25</v>
      </c>
      <c r="S1511" s="536"/>
      <c r="T1511" s="635"/>
    </row>
    <row r="1512" spans="1:68" s="298" customFormat="1" ht="25.5">
      <c r="A1512" s="256" t="s">
        <v>3259</v>
      </c>
      <c r="B1512" s="288">
        <v>88267</v>
      </c>
      <c r="C1512" s="289" t="s">
        <v>107</v>
      </c>
      <c r="D1512" s="290" t="s">
        <v>9714</v>
      </c>
      <c r="E1512" s="290" t="s">
        <v>206</v>
      </c>
      <c r="F1512" s="383">
        <v>3.0647000000000002</v>
      </c>
      <c r="G1512" s="292" t="s">
        <v>10792</v>
      </c>
      <c r="H1512" s="255">
        <v>71.739999999999995</v>
      </c>
      <c r="S1512" s="536"/>
      <c r="T1512" s="635"/>
    </row>
    <row r="1513" spans="1:68" s="529" customFormat="1" ht="12.75">
      <c r="A1513" s="286"/>
      <c r="B1513" s="375" t="s">
        <v>143</v>
      </c>
      <c r="C1513" s="816" t="s">
        <v>15141</v>
      </c>
      <c r="D1513" s="817"/>
      <c r="E1513" s="817"/>
      <c r="F1513" s="817"/>
      <c r="G1513" s="817"/>
      <c r="H1513" s="818"/>
      <c r="I1513" s="298"/>
      <c r="J1513" s="298"/>
      <c r="K1513" s="298"/>
      <c r="L1513" s="298"/>
      <c r="M1513" s="298"/>
      <c r="N1513" s="298"/>
      <c r="O1513" s="298"/>
      <c r="P1513" s="298"/>
      <c r="Q1513" s="298"/>
      <c r="R1513" s="298"/>
      <c r="S1513" s="536"/>
      <c r="T1513" s="635"/>
      <c r="U1513" s="298"/>
      <c r="V1513" s="298"/>
      <c r="W1513" s="298"/>
      <c r="X1513" s="298"/>
      <c r="Y1513" s="298"/>
      <c r="Z1513" s="298"/>
      <c r="AA1513" s="298"/>
      <c r="AB1513" s="298"/>
      <c r="AC1513" s="298"/>
      <c r="AD1513" s="298"/>
      <c r="AE1513" s="298"/>
      <c r="AF1513" s="298"/>
      <c r="AG1513" s="298"/>
      <c r="AH1513" s="298"/>
      <c r="AI1513" s="298"/>
      <c r="AJ1513" s="298"/>
      <c r="AK1513" s="298"/>
      <c r="AL1513" s="298"/>
      <c r="AM1513" s="298"/>
      <c r="AN1513" s="298"/>
      <c r="AO1513" s="298"/>
      <c r="AP1513" s="298"/>
      <c r="AQ1513" s="298"/>
      <c r="AR1513" s="298"/>
      <c r="AS1513" s="298"/>
      <c r="AT1513" s="298"/>
      <c r="AU1513" s="298"/>
      <c r="AV1513" s="298"/>
      <c r="AW1513" s="298"/>
      <c r="AX1513" s="298"/>
      <c r="AY1513" s="298"/>
      <c r="AZ1513" s="298"/>
      <c r="BA1513" s="298"/>
      <c r="BB1513" s="298"/>
      <c r="BC1513" s="298"/>
      <c r="BD1513" s="298"/>
      <c r="BE1513" s="298"/>
      <c r="BF1513" s="298"/>
      <c r="BG1513" s="298"/>
      <c r="BH1513" s="298"/>
      <c r="BI1513" s="298"/>
      <c r="BJ1513" s="298"/>
      <c r="BK1513" s="298"/>
      <c r="BL1513" s="298"/>
      <c r="BM1513" s="298"/>
      <c r="BN1513" s="298"/>
      <c r="BO1513" s="298"/>
      <c r="BP1513" s="298"/>
    </row>
    <row r="1514" spans="1:68" s="529" customFormat="1" ht="12.75">
      <c r="A1514" s="286"/>
      <c r="B1514" s="373"/>
      <c r="C1514" s="385"/>
      <c r="D1514" s="385"/>
      <c r="E1514" s="385"/>
      <c r="F1514" s="385"/>
      <c r="G1514" s="385"/>
      <c r="H1514" s="641"/>
      <c r="I1514" s="298"/>
      <c r="J1514" s="634"/>
      <c r="K1514" s="634"/>
      <c r="L1514" s="634"/>
      <c r="M1514" s="634"/>
      <c r="N1514" s="298"/>
      <c r="O1514" s="298"/>
      <c r="P1514" s="298"/>
      <c r="Q1514" s="298"/>
      <c r="R1514" s="298"/>
      <c r="S1514" s="536"/>
      <c r="T1514" s="635"/>
      <c r="U1514" s="298"/>
      <c r="V1514" s="298"/>
      <c r="W1514" s="298"/>
      <c r="X1514" s="298"/>
      <c r="Y1514" s="298"/>
      <c r="Z1514" s="298"/>
      <c r="AA1514" s="298"/>
      <c r="AB1514" s="298"/>
      <c r="AC1514" s="298"/>
      <c r="AD1514" s="298"/>
      <c r="AE1514" s="298"/>
      <c r="AF1514" s="298"/>
      <c r="AG1514" s="298"/>
      <c r="AH1514" s="298"/>
      <c r="AI1514" s="298"/>
      <c r="AJ1514" s="298"/>
      <c r="AK1514" s="298"/>
      <c r="AL1514" s="298"/>
      <c r="AM1514" s="298"/>
      <c r="AN1514" s="298"/>
      <c r="AO1514" s="298"/>
      <c r="AP1514" s="298"/>
      <c r="AQ1514" s="298"/>
      <c r="AR1514" s="298"/>
      <c r="AS1514" s="298"/>
      <c r="AT1514" s="298"/>
      <c r="AU1514" s="298"/>
      <c r="AV1514" s="298"/>
      <c r="AW1514" s="298"/>
      <c r="AX1514" s="298"/>
      <c r="AY1514" s="298"/>
      <c r="AZ1514" s="298"/>
      <c r="BA1514" s="298"/>
      <c r="BB1514" s="298"/>
      <c r="BC1514" s="298"/>
      <c r="BD1514" s="298"/>
      <c r="BE1514" s="298"/>
      <c r="BF1514" s="298"/>
      <c r="BG1514" s="298"/>
      <c r="BH1514" s="298"/>
      <c r="BI1514" s="298"/>
      <c r="BJ1514" s="298"/>
      <c r="BK1514" s="298"/>
      <c r="BL1514" s="298"/>
      <c r="BM1514" s="298"/>
      <c r="BN1514" s="298"/>
      <c r="BO1514" s="298"/>
      <c r="BP1514" s="298"/>
    </row>
    <row r="1515" spans="1:68" s="627" customFormat="1" ht="38.25">
      <c r="A1515" s="537"/>
      <c r="B1515" s="372" t="s">
        <v>17887</v>
      </c>
      <c r="C1515" s="231" t="s">
        <v>18276</v>
      </c>
      <c r="D1515" s="232" t="s">
        <v>103</v>
      </c>
      <c r="E1515" s="232" t="s">
        <v>109</v>
      </c>
      <c r="F1515" s="233"/>
      <c r="G1515" s="234"/>
      <c r="H1515" s="235">
        <v>59.870000000000005</v>
      </c>
      <c r="I1515" s="298"/>
      <c r="J1515" s="298"/>
      <c r="K1515" s="298"/>
      <c r="L1515" s="298"/>
      <c r="M1515" s="298"/>
      <c r="N1515" s="298"/>
      <c r="O1515" s="298"/>
      <c r="P1515" s="298"/>
      <c r="Q1515" s="298"/>
      <c r="R1515" s="298"/>
      <c r="S1515" s="536"/>
      <c r="T1515" s="635"/>
      <c r="U1515" s="298"/>
      <c r="V1515" s="298"/>
      <c r="W1515" s="298"/>
      <c r="X1515" s="298"/>
      <c r="Y1515" s="298"/>
      <c r="Z1515" s="298"/>
      <c r="AA1515" s="298"/>
      <c r="AB1515" s="298"/>
      <c r="AC1515" s="298"/>
      <c r="AD1515" s="298"/>
      <c r="AE1515" s="298"/>
      <c r="AF1515" s="298"/>
      <c r="AG1515" s="298"/>
      <c r="AH1515" s="298"/>
      <c r="AI1515" s="298"/>
      <c r="AJ1515" s="298"/>
      <c r="AK1515" s="298"/>
      <c r="AL1515" s="298"/>
      <c r="AM1515" s="298"/>
      <c r="AN1515" s="298"/>
      <c r="AO1515" s="298"/>
      <c r="AP1515" s="298"/>
      <c r="AQ1515" s="298"/>
      <c r="AR1515" s="298"/>
      <c r="AS1515" s="298"/>
      <c r="AT1515" s="298"/>
      <c r="AU1515" s="298"/>
      <c r="AV1515" s="298"/>
      <c r="AW1515" s="298"/>
      <c r="AX1515" s="298"/>
      <c r="AY1515" s="298"/>
      <c r="AZ1515" s="298"/>
      <c r="BA1515" s="298"/>
      <c r="BB1515" s="298"/>
      <c r="BC1515" s="298"/>
      <c r="BD1515" s="298"/>
      <c r="BE1515" s="298"/>
      <c r="BF1515" s="298"/>
      <c r="BG1515" s="298"/>
      <c r="BH1515" s="298"/>
      <c r="BI1515" s="298"/>
      <c r="BJ1515" s="298"/>
      <c r="BK1515" s="298"/>
      <c r="BL1515" s="298"/>
      <c r="BM1515" s="298"/>
      <c r="BN1515" s="298"/>
      <c r="BO1515" s="298"/>
      <c r="BP1515" s="298"/>
    </row>
    <row r="1516" spans="1:68" s="298" customFormat="1" ht="25.5">
      <c r="A1516" s="256" t="s">
        <v>3259</v>
      </c>
      <c r="B1516" s="288">
        <v>88267</v>
      </c>
      <c r="C1516" s="289" t="s">
        <v>107</v>
      </c>
      <c r="D1516" s="290" t="s">
        <v>9714</v>
      </c>
      <c r="E1516" s="290" t="s">
        <v>206</v>
      </c>
      <c r="F1516" s="383">
        <v>1</v>
      </c>
      <c r="G1516" s="292" t="s">
        <v>10792</v>
      </c>
      <c r="H1516" s="255">
        <v>23.41</v>
      </c>
      <c r="S1516" s="536"/>
      <c r="T1516" s="635"/>
    </row>
    <row r="1517" spans="1:68" s="298" customFormat="1" ht="38.25">
      <c r="A1517" s="256" t="s">
        <v>3259</v>
      </c>
      <c r="B1517" s="288">
        <v>88248</v>
      </c>
      <c r="C1517" s="289" t="s">
        <v>106</v>
      </c>
      <c r="D1517" s="290" t="s">
        <v>9714</v>
      </c>
      <c r="E1517" s="290" t="s">
        <v>206</v>
      </c>
      <c r="F1517" s="383">
        <v>2</v>
      </c>
      <c r="G1517" s="292" t="s">
        <v>10175</v>
      </c>
      <c r="H1517" s="255">
        <v>36.46</v>
      </c>
      <c r="S1517" s="536"/>
      <c r="T1517" s="635"/>
    </row>
    <row r="1518" spans="1:68" s="529" customFormat="1" ht="12.75">
      <c r="A1518" s="286"/>
      <c r="B1518" s="375" t="s">
        <v>143</v>
      </c>
      <c r="C1518" s="816" t="s">
        <v>17889</v>
      </c>
      <c r="D1518" s="817"/>
      <c r="E1518" s="817"/>
      <c r="F1518" s="817"/>
      <c r="G1518" s="817"/>
      <c r="H1518" s="818"/>
      <c r="I1518" s="298"/>
      <c r="J1518" s="298"/>
      <c r="K1518" s="298"/>
      <c r="L1518" s="298"/>
      <c r="M1518" s="298"/>
      <c r="N1518" s="298"/>
      <c r="O1518" s="298"/>
      <c r="P1518" s="298"/>
      <c r="Q1518" s="298"/>
      <c r="R1518" s="298"/>
      <c r="S1518" s="536"/>
      <c r="T1518" s="635"/>
      <c r="U1518" s="298"/>
      <c r="V1518" s="298"/>
      <c r="W1518" s="298"/>
      <c r="X1518" s="298"/>
      <c r="Y1518" s="298"/>
      <c r="Z1518" s="298"/>
      <c r="AA1518" s="298"/>
      <c r="AB1518" s="298"/>
      <c r="AC1518" s="298"/>
      <c r="AD1518" s="298"/>
      <c r="AE1518" s="298"/>
      <c r="AF1518" s="298"/>
      <c r="AG1518" s="298"/>
      <c r="AH1518" s="298"/>
      <c r="AI1518" s="298"/>
      <c r="AJ1518" s="298"/>
      <c r="AK1518" s="298"/>
      <c r="AL1518" s="298"/>
      <c r="AM1518" s="298"/>
      <c r="AN1518" s="298"/>
      <c r="AO1518" s="298"/>
      <c r="AP1518" s="298"/>
      <c r="AQ1518" s="298"/>
      <c r="AR1518" s="298"/>
      <c r="AS1518" s="298"/>
      <c r="AT1518" s="298"/>
      <c r="AU1518" s="298"/>
      <c r="AV1518" s="298"/>
      <c r="AW1518" s="298"/>
      <c r="AX1518" s="298"/>
      <c r="AY1518" s="298"/>
      <c r="AZ1518" s="298"/>
      <c r="BA1518" s="298"/>
      <c r="BB1518" s="298"/>
      <c r="BC1518" s="298"/>
      <c r="BD1518" s="298"/>
      <c r="BE1518" s="298"/>
      <c r="BF1518" s="298"/>
      <c r="BG1518" s="298"/>
      <c r="BH1518" s="298"/>
      <c r="BI1518" s="298"/>
      <c r="BJ1518" s="298"/>
      <c r="BK1518" s="298"/>
      <c r="BL1518" s="298"/>
      <c r="BM1518" s="298"/>
      <c r="BN1518" s="298"/>
      <c r="BO1518" s="298"/>
      <c r="BP1518" s="298"/>
    </row>
    <row r="1519" spans="1:68" s="529" customFormat="1" ht="12.75">
      <c r="A1519" s="286"/>
      <c r="B1519" s="373"/>
      <c r="C1519" s="385"/>
      <c r="D1519" s="385"/>
      <c r="E1519" s="385"/>
      <c r="F1519" s="385"/>
      <c r="G1519" s="385"/>
      <c r="H1519" s="641"/>
      <c r="I1519" s="298"/>
      <c r="J1519" s="634"/>
      <c r="K1519" s="634"/>
      <c r="L1519" s="634"/>
      <c r="M1519" s="634"/>
      <c r="N1519" s="298"/>
      <c r="O1519" s="298"/>
      <c r="P1519" s="298"/>
      <c r="Q1519" s="298"/>
      <c r="R1519" s="298"/>
      <c r="S1519" s="536"/>
      <c r="T1519" s="635"/>
      <c r="U1519" s="298"/>
      <c r="V1519" s="298"/>
      <c r="W1519" s="298"/>
      <c r="X1519" s="298"/>
      <c r="Y1519" s="298"/>
      <c r="Z1519" s="298"/>
      <c r="AA1519" s="298"/>
      <c r="AB1519" s="298"/>
      <c r="AC1519" s="298"/>
      <c r="AD1519" s="298"/>
      <c r="AE1519" s="298"/>
      <c r="AF1519" s="298"/>
      <c r="AG1519" s="298"/>
      <c r="AH1519" s="298"/>
      <c r="AI1519" s="298"/>
      <c r="AJ1519" s="298"/>
      <c r="AK1519" s="298"/>
      <c r="AL1519" s="298"/>
      <c r="AM1519" s="298"/>
      <c r="AN1519" s="298"/>
      <c r="AO1519" s="298"/>
      <c r="AP1519" s="298"/>
      <c r="AQ1519" s="298"/>
      <c r="AR1519" s="298"/>
      <c r="AS1519" s="298"/>
      <c r="AT1519" s="298"/>
      <c r="AU1519" s="298"/>
      <c r="AV1519" s="298"/>
      <c r="AW1519" s="298"/>
      <c r="AX1519" s="298"/>
      <c r="AY1519" s="298"/>
      <c r="AZ1519" s="298"/>
      <c r="BA1519" s="298"/>
      <c r="BB1519" s="298"/>
      <c r="BC1519" s="298"/>
      <c r="BD1519" s="298"/>
      <c r="BE1519" s="298"/>
      <c r="BF1519" s="298"/>
      <c r="BG1519" s="298"/>
      <c r="BH1519" s="298"/>
      <c r="BI1519" s="298"/>
      <c r="BJ1519" s="298"/>
      <c r="BK1519" s="298"/>
      <c r="BL1519" s="298"/>
      <c r="BM1519" s="298"/>
      <c r="BN1519" s="298"/>
      <c r="BO1519" s="298"/>
      <c r="BP1519" s="298"/>
    </row>
    <row r="1520" spans="1:68" s="529" customFormat="1" ht="38.25">
      <c r="A1520" s="555"/>
      <c r="B1520" s="372" t="s">
        <v>17890</v>
      </c>
      <c r="C1520" s="231" t="s">
        <v>18277</v>
      </c>
      <c r="D1520" s="232" t="s">
        <v>103</v>
      </c>
      <c r="E1520" s="232" t="s">
        <v>109</v>
      </c>
      <c r="F1520" s="233"/>
      <c r="G1520" s="234"/>
      <c r="H1520" s="235">
        <v>54.03</v>
      </c>
      <c r="I1520" s="298"/>
      <c r="J1520" s="634"/>
      <c r="K1520" s="634"/>
      <c r="L1520" s="634"/>
      <c r="M1520" s="634"/>
      <c r="N1520" s="298"/>
      <c r="O1520" s="298"/>
      <c r="P1520" s="298"/>
      <c r="Q1520" s="298"/>
      <c r="R1520" s="298"/>
      <c r="S1520" s="536"/>
      <c r="T1520" s="635"/>
      <c r="U1520" s="298"/>
      <c r="V1520" s="298"/>
      <c r="W1520" s="298"/>
      <c r="X1520" s="298"/>
      <c r="Y1520" s="298"/>
      <c r="Z1520" s="298"/>
      <c r="AA1520" s="298"/>
      <c r="AB1520" s="298"/>
      <c r="AC1520" s="298"/>
      <c r="AD1520" s="298"/>
      <c r="AE1520" s="298"/>
      <c r="AF1520" s="298"/>
      <c r="AG1520" s="298"/>
      <c r="AH1520" s="298"/>
      <c r="AI1520" s="298"/>
      <c r="AJ1520" s="298"/>
      <c r="AK1520" s="298"/>
      <c r="AL1520" s="298"/>
      <c r="AM1520" s="298"/>
      <c r="AN1520" s="298"/>
      <c r="AO1520" s="298"/>
      <c r="AP1520" s="298"/>
      <c r="AQ1520" s="298"/>
      <c r="AR1520" s="298"/>
      <c r="AS1520" s="298"/>
      <c r="AT1520" s="298"/>
      <c r="AU1520" s="298"/>
      <c r="AV1520" s="298"/>
      <c r="AW1520" s="298"/>
      <c r="AX1520" s="298"/>
      <c r="AY1520" s="298"/>
      <c r="AZ1520" s="298"/>
      <c r="BA1520" s="298"/>
      <c r="BB1520" s="298"/>
      <c r="BC1520" s="298"/>
      <c r="BD1520" s="298"/>
      <c r="BE1520" s="298"/>
      <c r="BF1520" s="298"/>
      <c r="BG1520" s="298"/>
      <c r="BH1520" s="298"/>
      <c r="BI1520" s="298"/>
      <c r="BJ1520" s="298"/>
      <c r="BK1520" s="298"/>
      <c r="BL1520" s="298"/>
      <c r="BM1520" s="298"/>
      <c r="BN1520" s="298"/>
      <c r="BO1520" s="298"/>
      <c r="BP1520" s="298"/>
    </row>
    <row r="1521" spans="1:68" s="298" customFormat="1" ht="25.5">
      <c r="A1521" s="256" t="s">
        <v>3259</v>
      </c>
      <c r="B1521" s="288">
        <v>88267</v>
      </c>
      <c r="C1521" s="289" t="s">
        <v>107</v>
      </c>
      <c r="D1521" s="290" t="s">
        <v>9714</v>
      </c>
      <c r="E1521" s="290" t="s">
        <v>206</v>
      </c>
      <c r="F1521" s="383">
        <v>0.5</v>
      </c>
      <c r="G1521" s="292" t="s">
        <v>10792</v>
      </c>
      <c r="H1521" s="255">
        <v>11.7</v>
      </c>
      <c r="S1521" s="536"/>
      <c r="T1521" s="635"/>
    </row>
    <row r="1522" spans="1:68" s="298" customFormat="1" ht="38.25">
      <c r="A1522" s="256" t="s">
        <v>3259</v>
      </c>
      <c r="B1522" s="288">
        <v>88248</v>
      </c>
      <c r="C1522" s="289" t="s">
        <v>106</v>
      </c>
      <c r="D1522" s="290" t="s">
        <v>9714</v>
      </c>
      <c r="E1522" s="290" t="s">
        <v>206</v>
      </c>
      <c r="F1522" s="383">
        <v>1</v>
      </c>
      <c r="G1522" s="292" t="s">
        <v>10175</v>
      </c>
      <c r="H1522" s="255">
        <v>18.23</v>
      </c>
      <c r="S1522" s="536"/>
      <c r="T1522" s="635"/>
    </row>
    <row r="1523" spans="1:68" s="298" customFormat="1" ht="25.5">
      <c r="A1523" s="256" t="s">
        <v>3259</v>
      </c>
      <c r="B1523" s="288">
        <v>88264</v>
      </c>
      <c r="C1523" s="289" t="s">
        <v>146</v>
      </c>
      <c r="D1523" s="290" t="s">
        <v>9714</v>
      </c>
      <c r="E1523" s="290" t="s">
        <v>206</v>
      </c>
      <c r="F1523" s="383">
        <v>1</v>
      </c>
      <c r="G1523" s="292" t="s">
        <v>16504</v>
      </c>
      <c r="H1523" s="255">
        <v>24.1</v>
      </c>
      <c r="S1523" s="536"/>
      <c r="T1523" s="635"/>
    </row>
    <row r="1524" spans="1:68" s="529" customFormat="1" ht="12.75">
      <c r="A1524" s="286"/>
      <c r="B1524" s="375" t="s">
        <v>143</v>
      </c>
      <c r="C1524" s="816" t="s">
        <v>17892</v>
      </c>
      <c r="D1524" s="817"/>
      <c r="E1524" s="817"/>
      <c r="F1524" s="817"/>
      <c r="G1524" s="817"/>
      <c r="H1524" s="818"/>
      <c r="I1524" s="298"/>
      <c r="J1524" s="634"/>
      <c r="K1524" s="634"/>
      <c r="L1524" s="634"/>
      <c r="M1524" s="634"/>
      <c r="N1524" s="298"/>
      <c r="O1524" s="298"/>
      <c r="P1524" s="298"/>
      <c r="Q1524" s="298"/>
      <c r="R1524" s="298"/>
      <c r="S1524" s="536"/>
      <c r="T1524" s="635"/>
      <c r="U1524" s="298"/>
      <c r="V1524" s="298"/>
      <c r="W1524" s="298"/>
      <c r="X1524" s="298"/>
      <c r="Y1524" s="298"/>
      <c r="Z1524" s="298"/>
      <c r="AA1524" s="298"/>
      <c r="AB1524" s="298"/>
      <c r="AC1524" s="298"/>
      <c r="AD1524" s="298"/>
      <c r="AE1524" s="298"/>
      <c r="AF1524" s="298"/>
      <c r="AG1524" s="298"/>
      <c r="AH1524" s="298"/>
      <c r="AI1524" s="298"/>
      <c r="AJ1524" s="298"/>
      <c r="AK1524" s="298"/>
      <c r="AL1524" s="298"/>
      <c r="AM1524" s="298"/>
      <c r="AN1524" s="298"/>
      <c r="AO1524" s="298"/>
      <c r="AP1524" s="298"/>
      <c r="AQ1524" s="298"/>
      <c r="AR1524" s="298"/>
      <c r="AS1524" s="298"/>
      <c r="AT1524" s="298"/>
      <c r="AU1524" s="298"/>
      <c r="AV1524" s="298"/>
      <c r="AW1524" s="298"/>
      <c r="AX1524" s="298"/>
      <c r="AY1524" s="298"/>
      <c r="AZ1524" s="298"/>
      <c r="BA1524" s="298"/>
      <c r="BB1524" s="298"/>
      <c r="BC1524" s="298"/>
      <c r="BD1524" s="298"/>
      <c r="BE1524" s="298"/>
      <c r="BF1524" s="298"/>
      <c r="BG1524" s="298"/>
      <c r="BH1524" s="298"/>
      <c r="BI1524" s="298"/>
      <c r="BJ1524" s="298"/>
      <c r="BK1524" s="298"/>
      <c r="BL1524" s="298"/>
      <c r="BM1524" s="298"/>
      <c r="BN1524" s="298"/>
      <c r="BO1524" s="298"/>
      <c r="BP1524" s="298"/>
    </row>
    <row r="1525" spans="1:68" s="529" customFormat="1" ht="12.75">
      <c r="A1525" s="286"/>
      <c r="B1525" s="373"/>
      <c r="C1525" s="379"/>
      <c r="D1525" s="379"/>
      <c r="E1525" s="379"/>
      <c r="F1525" s="379"/>
      <c r="G1525" s="379"/>
      <c r="H1525" s="379"/>
      <c r="I1525" s="298"/>
      <c r="J1525" s="634"/>
      <c r="K1525" s="634"/>
      <c r="L1525" s="634"/>
      <c r="M1525" s="634"/>
      <c r="N1525" s="298"/>
      <c r="O1525" s="298"/>
      <c r="P1525" s="298"/>
      <c r="Q1525" s="298"/>
      <c r="R1525" s="298"/>
      <c r="S1525" s="536"/>
      <c r="T1525" s="635"/>
      <c r="U1525" s="298"/>
      <c r="V1525" s="298"/>
      <c r="W1525" s="298"/>
      <c r="X1525" s="298"/>
      <c r="Y1525" s="298"/>
      <c r="Z1525" s="298"/>
      <c r="AA1525" s="298"/>
      <c r="AB1525" s="298"/>
      <c r="AC1525" s="298"/>
      <c r="AD1525" s="298"/>
      <c r="AE1525" s="298"/>
      <c r="AF1525" s="298"/>
      <c r="AG1525" s="298"/>
      <c r="AH1525" s="298"/>
      <c r="AI1525" s="298"/>
      <c r="AJ1525" s="298"/>
      <c r="AK1525" s="298"/>
      <c r="AL1525" s="298"/>
      <c r="AM1525" s="298"/>
      <c r="AN1525" s="298"/>
      <c r="AO1525" s="298"/>
      <c r="AP1525" s="298"/>
      <c r="AQ1525" s="298"/>
      <c r="AR1525" s="298"/>
      <c r="AS1525" s="298"/>
      <c r="AT1525" s="298"/>
      <c r="AU1525" s="298"/>
      <c r="AV1525" s="298"/>
      <c r="AW1525" s="298"/>
      <c r="AX1525" s="298"/>
      <c r="AY1525" s="298"/>
      <c r="AZ1525" s="298"/>
      <c r="BA1525" s="298"/>
      <c r="BB1525" s="298"/>
      <c r="BC1525" s="298"/>
      <c r="BD1525" s="298"/>
      <c r="BE1525" s="298"/>
      <c r="BF1525" s="298"/>
      <c r="BG1525" s="298"/>
      <c r="BH1525" s="298"/>
      <c r="BI1525" s="298"/>
      <c r="BJ1525" s="298"/>
      <c r="BK1525" s="298"/>
      <c r="BL1525" s="298"/>
      <c r="BM1525" s="298"/>
      <c r="BN1525" s="298"/>
      <c r="BO1525" s="298"/>
      <c r="BP1525" s="298"/>
    </row>
    <row r="1526" spans="1:68" s="529" customFormat="1" ht="25.5">
      <c r="A1526" s="555"/>
      <c r="B1526" s="372" t="s">
        <v>17893</v>
      </c>
      <c r="C1526" s="231" t="s">
        <v>17894</v>
      </c>
      <c r="D1526" s="232" t="s">
        <v>103</v>
      </c>
      <c r="E1526" s="232" t="s">
        <v>109</v>
      </c>
      <c r="F1526" s="233"/>
      <c r="G1526" s="234"/>
      <c r="H1526" s="235">
        <v>241</v>
      </c>
      <c r="I1526" s="298"/>
      <c r="J1526" s="634"/>
      <c r="K1526" s="634"/>
      <c r="L1526" s="634"/>
      <c r="M1526" s="634"/>
      <c r="N1526" s="298"/>
      <c r="O1526" s="298"/>
      <c r="P1526" s="298"/>
      <c r="Q1526" s="298"/>
      <c r="R1526" s="298"/>
      <c r="S1526" s="536"/>
      <c r="T1526" s="635"/>
      <c r="U1526" s="298"/>
      <c r="V1526" s="298"/>
      <c r="W1526" s="298"/>
      <c r="X1526" s="298"/>
      <c r="Y1526" s="298"/>
      <c r="Z1526" s="298"/>
      <c r="AA1526" s="298"/>
      <c r="AB1526" s="298"/>
      <c r="AC1526" s="298"/>
      <c r="AD1526" s="298"/>
      <c r="AE1526" s="298"/>
      <c r="AF1526" s="298"/>
      <c r="AG1526" s="298"/>
      <c r="AH1526" s="298"/>
      <c r="AI1526" s="298"/>
      <c r="AJ1526" s="298"/>
      <c r="AK1526" s="298"/>
      <c r="AL1526" s="298"/>
      <c r="AM1526" s="298"/>
      <c r="AN1526" s="298"/>
      <c r="AO1526" s="298"/>
      <c r="AP1526" s="298"/>
      <c r="AQ1526" s="298"/>
      <c r="AR1526" s="298"/>
      <c r="AS1526" s="298"/>
      <c r="AT1526" s="298"/>
      <c r="AU1526" s="298"/>
      <c r="AV1526" s="298"/>
      <c r="AW1526" s="298"/>
      <c r="AX1526" s="298"/>
      <c r="AY1526" s="298"/>
      <c r="AZ1526" s="298"/>
      <c r="BA1526" s="298"/>
      <c r="BB1526" s="298"/>
      <c r="BC1526" s="298"/>
      <c r="BD1526" s="298"/>
      <c r="BE1526" s="298"/>
      <c r="BF1526" s="298"/>
      <c r="BG1526" s="298"/>
      <c r="BH1526" s="298"/>
      <c r="BI1526" s="298"/>
      <c r="BJ1526" s="298"/>
      <c r="BK1526" s="298"/>
      <c r="BL1526" s="298"/>
      <c r="BM1526" s="298"/>
      <c r="BN1526" s="298"/>
      <c r="BO1526" s="298"/>
      <c r="BP1526" s="298"/>
    </row>
    <row r="1527" spans="1:68" s="298" customFormat="1" ht="25.5">
      <c r="A1527" s="256" t="s">
        <v>3259</v>
      </c>
      <c r="B1527" s="288">
        <v>88267</v>
      </c>
      <c r="C1527" s="289" t="s">
        <v>107</v>
      </c>
      <c r="D1527" s="290" t="s">
        <v>9714</v>
      </c>
      <c r="E1527" s="290" t="s">
        <v>206</v>
      </c>
      <c r="F1527" s="383">
        <v>6.2699999999999992E-2</v>
      </c>
      <c r="G1527" s="292" t="s">
        <v>10792</v>
      </c>
      <c r="H1527" s="255">
        <v>1.46</v>
      </c>
      <c r="J1527" s="634"/>
      <c r="K1527" s="634"/>
      <c r="L1527" s="634"/>
      <c r="M1527" s="634"/>
      <c r="S1527" s="536"/>
      <c r="T1527" s="635"/>
    </row>
    <row r="1528" spans="1:68" s="298" customFormat="1" ht="38.25">
      <c r="A1528" s="256" t="s">
        <v>3259</v>
      </c>
      <c r="B1528" s="288">
        <v>88248</v>
      </c>
      <c r="C1528" s="289" t="s">
        <v>106</v>
      </c>
      <c r="D1528" s="290" t="s">
        <v>9714</v>
      </c>
      <c r="E1528" s="290" t="s">
        <v>206</v>
      </c>
      <c r="F1528" s="383">
        <v>1.6773000000000002</v>
      </c>
      <c r="G1528" s="292" t="s">
        <v>10175</v>
      </c>
      <c r="H1528" s="255">
        <v>30.57</v>
      </c>
      <c r="J1528" s="634"/>
      <c r="K1528" s="634"/>
      <c r="L1528" s="634"/>
      <c r="M1528" s="634"/>
      <c r="S1528" s="536"/>
      <c r="T1528" s="635"/>
    </row>
    <row r="1529" spans="1:68" s="298" customFormat="1" ht="12.75">
      <c r="A1529" s="256" t="s">
        <v>3261</v>
      </c>
      <c r="B1529" s="288">
        <v>4229</v>
      </c>
      <c r="C1529" s="289" t="s">
        <v>6580</v>
      </c>
      <c r="D1529" s="290" t="s">
        <v>207</v>
      </c>
      <c r="E1529" s="290" t="s">
        <v>3244</v>
      </c>
      <c r="F1529" s="383">
        <v>6.2699999999999992E-2</v>
      </c>
      <c r="G1529" s="292" t="s">
        <v>10917</v>
      </c>
      <c r="H1529" s="255">
        <v>2.25</v>
      </c>
      <c r="J1529" s="634"/>
      <c r="K1529" s="634"/>
      <c r="L1529" s="634"/>
      <c r="M1529" s="634"/>
      <c r="S1529" s="536"/>
      <c r="T1529" s="635"/>
    </row>
    <row r="1530" spans="1:68" s="298" customFormat="1" ht="12.75">
      <c r="A1530" s="256" t="s">
        <v>3261</v>
      </c>
      <c r="B1530" s="288">
        <v>6300</v>
      </c>
      <c r="C1530" s="289" t="s">
        <v>8186</v>
      </c>
      <c r="D1530" s="290" t="s">
        <v>207</v>
      </c>
      <c r="E1530" s="290" t="s">
        <v>3240</v>
      </c>
      <c r="F1530" s="383">
        <v>1</v>
      </c>
      <c r="G1530" s="292" t="s">
        <v>20732</v>
      </c>
      <c r="H1530" s="255">
        <v>206.72</v>
      </c>
      <c r="J1530" s="634"/>
      <c r="K1530" s="634"/>
      <c r="L1530" s="634"/>
      <c r="M1530" s="634"/>
      <c r="S1530" s="536"/>
      <c r="T1530" s="635"/>
    </row>
    <row r="1531" spans="1:68" s="529" customFormat="1" ht="12.75">
      <c r="A1531" s="286"/>
      <c r="B1531" s="375" t="s">
        <v>143</v>
      </c>
      <c r="C1531" s="816" t="s">
        <v>17895</v>
      </c>
      <c r="D1531" s="817"/>
      <c r="E1531" s="817"/>
      <c r="F1531" s="817"/>
      <c r="G1531" s="817"/>
      <c r="H1531" s="818"/>
      <c r="I1531" s="298"/>
      <c r="J1531" s="634"/>
      <c r="K1531" s="634"/>
      <c r="L1531" s="634"/>
      <c r="M1531" s="634"/>
      <c r="N1531" s="298"/>
      <c r="O1531" s="298"/>
      <c r="P1531" s="298"/>
      <c r="Q1531" s="298"/>
      <c r="R1531" s="298"/>
      <c r="S1531" s="536"/>
      <c r="T1531" s="635"/>
      <c r="U1531" s="298"/>
      <c r="V1531" s="298"/>
      <c r="W1531" s="298"/>
      <c r="X1531" s="298"/>
      <c r="Y1531" s="298"/>
      <c r="Z1531" s="298"/>
      <c r="AA1531" s="298"/>
      <c r="AB1531" s="298"/>
      <c r="AC1531" s="298"/>
      <c r="AD1531" s="298"/>
      <c r="AE1531" s="298"/>
      <c r="AF1531" s="298"/>
      <c r="AG1531" s="298"/>
      <c r="AH1531" s="298"/>
      <c r="AI1531" s="298"/>
      <c r="AJ1531" s="298"/>
      <c r="AK1531" s="298"/>
      <c r="AL1531" s="298"/>
      <c r="AM1531" s="298"/>
      <c r="AN1531" s="298"/>
      <c r="AO1531" s="298"/>
      <c r="AP1531" s="298"/>
      <c r="AQ1531" s="298"/>
      <c r="AR1531" s="298"/>
      <c r="AS1531" s="298"/>
      <c r="AT1531" s="298"/>
      <c r="AU1531" s="298"/>
      <c r="AV1531" s="298"/>
      <c r="AW1531" s="298"/>
      <c r="AX1531" s="298"/>
      <c r="AY1531" s="298"/>
      <c r="AZ1531" s="298"/>
      <c r="BA1531" s="298"/>
      <c r="BB1531" s="298"/>
      <c r="BC1531" s="298"/>
      <c r="BD1531" s="298"/>
      <c r="BE1531" s="298"/>
      <c r="BF1531" s="298"/>
      <c r="BG1531" s="298"/>
      <c r="BH1531" s="298"/>
      <c r="BI1531" s="298"/>
      <c r="BJ1531" s="298"/>
      <c r="BK1531" s="298"/>
      <c r="BL1531" s="298"/>
      <c r="BM1531" s="298"/>
      <c r="BN1531" s="298"/>
      <c r="BO1531" s="298"/>
      <c r="BP1531" s="298"/>
    </row>
    <row r="1532" spans="1:68" s="529" customFormat="1" ht="12.75">
      <c r="A1532" s="286"/>
      <c r="B1532" s="373"/>
      <c r="C1532" s="379"/>
      <c r="D1532" s="379"/>
      <c r="E1532" s="379"/>
      <c r="F1532" s="379"/>
      <c r="G1532" s="379"/>
      <c r="H1532" s="379"/>
      <c r="I1532" s="298"/>
      <c r="J1532" s="634"/>
      <c r="K1532" s="634"/>
      <c r="L1532" s="634"/>
      <c r="M1532" s="634"/>
      <c r="N1532" s="298"/>
      <c r="O1532" s="298"/>
      <c r="P1532" s="298"/>
      <c r="Q1532" s="298"/>
      <c r="R1532" s="298"/>
      <c r="S1532" s="536"/>
      <c r="T1532" s="635"/>
      <c r="U1532" s="298"/>
      <c r="V1532" s="298"/>
      <c r="W1532" s="298"/>
      <c r="X1532" s="298"/>
      <c r="Y1532" s="298"/>
      <c r="Z1532" s="298"/>
      <c r="AA1532" s="298"/>
      <c r="AB1532" s="298"/>
      <c r="AC1532" s="298"/>
      <c r="AD1532" s="298"/>
      <c r="AE1532" s="298"/>
      <c r="AF1532" s="298"/>
      <c r="AG1532" s="298"/>
      <c r="AH1532" s="298"/>
      <c r="AI1532" s="298"/>
      <c r="AJ1532" s="298"/>
      <c r="AK1532" s="298"/>
      <c r="AL1532" s="298"/>
      <c r="AM1532" s="298"/>
      <c r="AN1532" s="298"/>
      <c r="AO1532" s="298"/>
      <c r="AP1532" s="298"/>
      <c r="AQ1532" s="298"/>
      <c r="AR1532" s="298"/>
      <c r="AS1532" s="298"/>
      <c r="AT1532" s="298"/>
      <c r="AU1532" s="298"/>
      <c r="AV1532" s="298"/>
      <c r="AW1532" s="298"/>
      <c r="AX1532" s="298"/>
      <c r="AY1532" s="298"/>
      <c r="AZ1532" s="298"/>
      <c r="BA1532" s="298"/>
      <c r="BB1532" s="298"/>
      <c r="BC1532" s="298"/>
      <c r="BD1532" s="298"/>
      <c r="BE1532" s="298"/>
      <c r="BF1532" s="298"/>
      <c r="BG1532" s="298"/>
      <c r="BH1532" s="298"/>
      <c r="BI1532" s="298"/>
      <c r="BJ1532" s="298"/>
      <c r="BK1532" s="298"/>
      <c r="BL1532" s="298"/>
      <c r="BM1532" s="298"/>
      <c r="BN1532" s="298"/>
      <c r="BO1532" s="298"/>
      <c r="BP1532" s="298"/>
    </row>
    <row r="1533" spans="1:68" s="529" customFormat="1" ht="25.5">
      <c r="A1533" s="555"/>
      <c r="B1533" s="372" t="s">
        <v>17893</v>
      </c>
      <c r="C1533" s="231" t="s">
        <v>17896</v>
      </c>
      <c r="D1533" s="232" t="s">
        <v>103</v>
      </c>
      <c r="E1533" s="232" t="s">
        <v>109</v>
      </c>
      <c r="F1533" s="233"/>
      <c r="G1533" s="234"/>
      <c r="H1533" s="235">
        <v>1232.24</v>
      </c>
      <c r="I1533" s="298"/>
      <c r="J1533" s="634"/>
      <c r="K1533" s="634"/>
      <c r="L1533" s="634"/>
      <c r="M1533" s="634"/>
      <c r="N1533" s="298"/>
      <c r="O1533" s="298"/>
      <c r="P1533" s="298"/>
      <c r="Q1533" s="298"/>
      <c r="R1533" s="298"/>
      <c r="S1533" s="536"/>
      <c r="T1533" s="635"/>
      <c r="U1533" s="298"/>
      <c r="V1533" s="298"/>
      <c r="W1533" s="298"/>
      <c r="X1533" s="298"/>
      <c r="Y1533" s="298"/>
      <c r="Z1533" s="298"/>
      <c r="AA1533" s="298"/>
      <c r="AB1533" s="298"/>
      <c r="AC1533" s="298"/>
      <c r="AD1533" s="298"/>
      <c r="AE1533" s="298"/>
      <c r="AF1533" s="298"/>
      <c r="AG1533" s="298"/>
      <c r="AH1533" s="298"/>
      <c r="AI1533" s="298"/>
      <c r="AJ1533" s="298"/>
      <c r="AK1533" s="298"/>
      <c r="AL1533" s="298"/>
      <c r="AM1533" s="298"/>
      <c r="AN1533" s="298"/>
      <c r="AO1533" s="298"/>
      <c r="AP1533" s="298"/>
      <c r="AQ1533" s="298"/>
      <c r="AR1533" s="298"/>
      <c r="AS1533" s="298"/>
      <c r="AT1533" s="298"/>
      <c r="AU1533" s="298"/>
      <c r="AV1533" s="298"/>
      <c r="AW1533" s="298"/>
      <c r="AX1533" s="298"/>
      <c r="AY1533" s="298"/>
      <c r="AZ1533" s="298"/>
      <c r="BA1533" s="298"/>
      <c r="BB1533" s="298"/>
      <c r="BC1533" s="298"/>
      <c r="BD1533" s="298"/>
      <c r="BE1533" s="298"/>
      <c r="BF1533" s="298"/>
      <c r="BG1533" s="298"/>
      <c r="BH1533" s="298"/>
      <c r="BI1533" s="298"/>
      <c r="BJ1533" s="298"/>
      <c r="BK1533" s="298"/>
      <c r="BL1533" s="298"/>
      <c r="BM1533" s="298"/>
      <c r="BN1533" s="298"/>
      <c r="BO1533" s="298"/>
      <c r="BP1533" s="298"/>
    </row>
    <row r="1534" spans="1:68" s="298" customFormat="1" ht="25.5">
      <c r="A1534" s="256" t="s">
        <v>3259</v>
      </c>
      <c r="B1534" s="288">
        <v>88267</v>
      </c>
      <c r="C1534" s="289" t="s">
        <v>107</v>
      </c>
      <c r="D1534" s="290" t="s">
        <v>9714</v>
      </c>
      <c r="E1534" s="290" t="s">
        <v>206</v>
      </c>
      <c r="F1534" s="383">
        <v>6.2699999999999992E-2</v>
      </c>
      <c r="G1534" s="292" t="s">
        <v>10792</v>
      </c>
      <c r="H1534" s="255">
        <v>1.46</v>
      </c>
      <c r="J1534" s="634"/>
      <c r="K1534" s="634"/>
      <c r="L1534" s="634"/>
      <c r="M1534" s="634"/>
      <c r="S1534" s="536"/>
      <c r="T1534" s="635"/>
    </row>
    <row r="1535" spans="1:68" s="298" customFormat="1" ht="38.25">
      <c r="A1535" s="256" t="s">
        <v>3259</v>
      </c>
      <c r="B1535" s="288">
        <v>88248</v>
      </c>
      <c r="C1535" s="289" t="s">
        <v>106</v>
      </c>
      <c r="D1535" s="290" t="s">
        <v>9714</v>
      </c>
      <c r="E1535" s="290" t="s">
        <v>206</v>
      </c>
      <c r="F1535" s="383">
        <v>1.6773000000000002</v>
      </c>
      <c r="G1535" s="292" t="s">
        <v>10175</v>
      </c>
      <c r="H1535" s="255">
        <v>30.57</v>
      </c>
      <c r="J1535" s="634"/>
      <c r="K1535" s="634"/>
      <c r="L1535" s="634"/>
      <c r="M1535" s="634"/>
      <c r="S1535" s="536"/>
      <c r="T1535" s="635"/>
    </row>
    <row r="1536" spans="1:68" s="298" customFormat="1" ht="12.75">
      <c r="A1536" s="256" t="s">
        <v>3261</v>
      </c>
      <c r="B1536" s="288">
        <v>4229</v>
      </c>
      <c r="C1536" s="289" t="s">
        <v>6580</v>
      </c>
      <c r="D1536" s="290" t="s">
        <v>207</v>
      </c>
      <c r="E1536" s="290" t="s">
        <v>3244</v>
      </c>
      <c r="F1536" s="383">
        <v>6.2699999999999992E-2</v>
      </c>
      <c r="G1536" s="292" t="s">
        <v>10917</v>
      </c>
      <c r="H1536" s="255">
        <v>2.25</v>
      </c>
      <c r="J1536" s="634"/>
      <c r="K1536" s="634"/>
      <c r="L1536" s="634"/>
      <c r="M1536" s="634"/>
      <c r="S1536" s="536"/>
      <c r="T1536" s="635"/>
    </row>
    <row r="1537" spans="1:68" s="298" customFormat="1" ht="25.5">
      <c r="A1537" s="256" t="s">
        <v>3261</v>
      </c>
      <c r="B1537" s="288">
        <v>1808</v>
      </c>
      <c r="C1537" s="289" t="s">
        <v>6034</v>
      </c>
      <c r="D1537" s="290" t="s">
        <v>207</v>
      </c>
      <c r="E1537" s="290" t="s">
        <v>3240</v>
      </c>
      <c r="F1537" s="383">
        <v>3</v>
      </c>
      <c r="G1537" s="292" t="s">
        <v>19586</v>
      </c>
      <c r="H1537" s="255">
        <v>1197.96</v>
      </c>
      <c r="J1537" s="634"/>
      <c r="K1537" s="634"/>
      <c r="L1537" s="634"/>
      <c r="M1537" s="634"/>
      <c r="S1537" s="536"/>
      <c r="T1537" s="635"/>
    </row>
    <row r="1538" spans="1:68" s="529" customFormat="1" ht="12.75">
      <c r="A1538" s="286"/>
      <c r="B1538" s="375" t="s">
        <v>143</v>
      </c>
      <c r="C1538" s="816" t="s">
        <v>17895</v>
      </c>
      <c r="D1538" s="817"/>
      <c r="E1538" s="817"/>
      <c r="F1538" s="817"/>
      <c r="G1538" s="817"/>
      <c r="H1538" s="818"/>
      <c r="I1538" s="298"/>
      <c r="J1538" s="634"/>
      <c r="K1538" s="634"/>
      <c r="L1538" s="634"/>
      <c r="M1538" s="634"/>
      <c r="N1538" s="298"/>
      <c r="O1538" s="298"/>
      <c r="P1538" s="298"/>
      <c r="Q1538" s="298"/>
      <c r="R1538" s="298"/>
      <c r="S1538" s="536"/>
      <c r="T1538" s="635"/>
      <c r="U1538" s="298"/>
      <c r="V1538" s="298"/>
      <c r="W1538" s="298"/>
      <c r="X1538" s="298"/>
      <c r="Y1538" s="298"/>
      <c r="Z1538" s="298"/>
      <c r="AA1538" s="298"/>
      <c r="AB1538" s="298"/>
      <c r="AC1538" s="298"/>
      <c r="AD1538" s="298"/>
      <c r="AE1538" s="298"/>
      <c r="AF1538" s="298"/>
      <c r="AG1538" s="298"/>
      <c r="AH1538" s="298"/>
      <c r="AI1538" s="298"/>
      <c r="AJ1538" s="298"/>
      <c r="AK1538" s="298"/>
      <c r="AL1538" s="298"/>
      <c r="AM1538" s="298"/>
      <c r="AN1538" s="298"/>
      <c r="AO1538" s="298"/>
      <c r="AP1538" s="298"/>
      <c r="AQ1538" s="298"/>
      <c r="AR1538" s="298"/>
      <c r="AS1538" s="298"/>
      <c r="AT1538" s="298"/>
      <c r="AU1538" s="298"/>
      <c r="AV1538" s="298"/>
      <c r="AW1538" s="298"/>
      <c r="AX1538" s="298"/>
      <c r="AY1538" s="298"/>
      <c r="AZ1538" s="298"/>
      <c r="BA1538" s="298"/>
      <c r="BB1538" s="298"/>
      <c r="BC1538" s="298"/>
      <c r="BD1538" s="298"/>
      <c r="BE1538" s="298"/>
      <c r="BF1538" s="298"/>
      <c r="BG1538" s="298"/>
      <c r="BH1538" s="298"/>
      <c r="BI1538" s="298"/>
      <c r="BJ1538" s="298"/>
      <c r="BK1538" s="298"/>
      <c r="BL1538" s="298"/>
      <c r="BM1538" s="298"/>
      <c r="BN1538" s="298"/>
      <c r="BO1538" s="298"/>
      <c r="BP1538" s="298"/>
    </row>
    <row r="1539" spans="1:68" s="529" customFormat="1" ht="12.75">
      <c r="A1539" s="286"/>
      <c r="B1539" s="373"/>
      <c r="C1539" s="379"/>
      <c r="D1539" s="379"/>
      <c r="E1539" s="379"/>
      <c r="F1539" s="379"/>
      <c r="G1539" s="379"/>
      <c r="H1539" s="379"/>
      <c r="I1539" s="298"/>
      <c r="J1539" s="634"/>
      <c r="K1539" s="634"/>
      <c r="L1539" s="634"/>
      <c r="M1539" s="634"/>
      <c r="N1539" s="298"/>
      <c r="O1539" s="298"/>
      <c r="P1539" s="298"/>
      <c r="Q1539" s="298"/>
      <c r="R1539" s="298"/>
      <c r="S1539" s="536"/>
      <c r="T1539" s="635"/>
      <c r="U1539" s="298"/>
      <c r="V1539" s="298"/>
      <c r="W1539" s="298"/>
      <c r="X1539" s="298"/>
      <c r="Y1539" s="298"/>
      <c r="Z1539" s="298"/>
      <c r="AA1539" s="298"/>
      <c r="AB1539" s="298"/>
      <c r="AC1539" s="298"/>
      <c r="AD1539" s="298"/>
      <c r="AE1539" s="298"/>
      <c r="AF1539" s="298"/>
      <c r="AG1539" s="298"/>
      <c r="AH1539" s="298"/>
      <c r="AI1539" s="298"/>
      <c r="AJ1539" s="298"/>
      <c r="AK1539" s="298"/>
      <c r="AL1539" s="298"/>
      <c r="AM1539" s="298"/>
      <c r="AN1539" s="298"/>
      <c r="AO1539" s="298"/>
      <c r="AP1539" s="298"/>
      <c r="AQ1539" s="298"/>
      <c r="AR1539" s="298"/>
      <c r="AS1539" s="298"/>
      <c r="AT1539" s="298"/>
      <c r="AU1539" s="298"/>
      <c r="AV1539" s="298"/>
      <c r="AW1539" s="298"/>
      <c r="AX1539" s="298"/>
      <c r="AY1539" s="298"/>
      <c r="AZ1539" s="298"/>
      <c r="BA1539" s="298"/>
      <c r="BB1539" s="298"/>
      <c r="BC1539" s="298"/>
      <c r="BD1539" s="298"/>
      <c r="BE1539" s="298"/>
      <c r="BF1539" s="298"/>
      <c r="BG1539" s="298"/>
      <c r="BH1539" s="298"/>
      <c r="BI1539" s="298"/>
      <c r="BJ1539" s="298"/>
      <c r="BK1539" s="298"/>
      <c r="BL1539" s="298"/>
      <c r="BM1539" s="298"/>
      <c r="BN1539" s="298"/>
      <c r="BO1539" s="298"/>
      <c r="BP1539" s="298"/>
    </row>
    <row r="1540" spans="1:68" s="529" customFormat="1" ht="38.25">
      <c r="A1540" s="555"/>
      <c r="B1540" s="372" t="s">
        <v>17897</v>
      </c>
      <c r="C1540" s="231" t="s">
        <v>17898</v>
      </c>
      <c r="D1540" s="232" t="s">
        <v>103</v>
      </c>
      <c r="E1540" s="232" t="s">
        <v>109</v>
      </c>
      <c r="F1540" s="233"/>
      <c r="G1540" s="234"/>
      <c r="H1540" s="235">
        <v>4511.5</v>
      </c>
      <c r="I1540" s="298"/>
      <c r="J1540" s="634" t="s">
        <v>17899</v>
      </c>
      <c r="K1540" s="634" t="s">
        <v>17900</v>
      </c>
      <c r="L1540" s="634" t="s">
        <v>17901</v>
      </c>
      <c r="M1540" s="634"/>
      <c r="N1540" s="298"/>
      <c r="O1540" s="298"/>
      <c r="P1540" s="298"/>
      <c r="Q1540" s="298"/>
      <c r="R1540" s="298"/>
      <c r="S1540" s="536"/>
      <c r="T1540" s="635"/>
      <c r="U1540" s="298"/>
      <c r="V1540" s="298"/>
      <c r="W1540" s="298"/>
      <c r="X1540" s="298"/>
      <c r="Y1540" s="298"/>
      <c r="Z1540" s="298"/>
      <c r="AA1540" s="298"/>
      <c r="AB1540" s="298"/>
      <c r="AC1540" s="298"/>
      <c r="AD1540" s="298"/>
      <c r="AE1540" s="298"/>
      <c r="AF1540" s="298"/>
      <c r="AG1540" s="298"/>
      <c r="AH1540" s="298"/>
      <c r="AI1540" s="298"/>
      <c r="AJ1540" s="298"/>
      <c r="AK1540" s="298"/>
      <c r="AL1540" s="298"/>
      <c r="AM1540" s="298"/>
      <c r="AN1540" s="298"/>
      <c r="AO1540" s="298"/>
      <c r="AP1540" s="298"/>
      <c r="AQ1540" s="298"/>
      <c r="AR1540" s="298"/>
      <c r="AS1540" s="298"/>
      <c r="AT1540" s="298"/>
      <c r="AU1540" s="298"/>
      <c r="AV1540" s="298"/>
      <c r="AW1540" s="298"/>
      <c r="AX1540" s="298"/>
      <c r="AY1540" s="298"/>
      <c r="AZ1540" s="298"/>
      <c r="BA1540" s="298"/>
      <c r="BB1540" s="298"/>
      <c r="BC1540" s="298"/>
      <c r="BD1540" s="298"/>
      <c r="BE1540" s="298"/>
      <c r="BF1540" s="298"/>
      <c r="BG1540" s="298"/>
      <c r="BH1540" s="298"/>
      <c r="BI1540" s="298"/>
      <c r="BJ1540" s="298"/>
      <c r="BK1540" s="298"/>
      <c r="BL1540" s="298"/>
      <c r="BM1540" s="298"/>
      <c r="BN1540" s="298"/>
      <c r="BO1540" s="298"/>
      <c r="BP1540" s="298"/>
    </row>
    <row r="1541" spans="1:68" s="298" customFormat="1" ht="25.5">
      <c r="A1541" s="256" t="s">
        <v>3259</v>
      </c>
      <c r="B1541" s="288">
        <v>88267</v>
      </c>
      <c r="C1541" s="289" t="s">
        <v>107</v>
      </c>
      <c r="D1541" s="290" t="s">
        <v>9714</v>
      </c>
      <c r="E1541" s="290" t="s">
        <v>206</v>
      </c>
      <c r="F1541" s="383">
        <v>0.88700000000000001</v>
      </c>
      <c r="G1541" s="292" t="s">
        <v>10792</v>
      </c>
      <c r="H1541" s="255">
        <v>20.76</v>
      </c>
      <c r="J1541" s="383">
        <f>3*0.0209</f>
        <v>6.2699999999999992E-2</v>
      </c>
      <c r="K1541" s="383">
        <f>3*0.0209</f>
        <v>6.2699999999999992E-2</v>
      </c>
      <c r="L1541" s="383">
        <f>8*0.0952</f>
        <v>0.76160000000000005</v>
      </c>
      <c r="M1541" s="647">
        <f>J1541+K1541+L1541</f>
        <v>0.88700000000000001</v>
      </c>
      <c r="S1541" s="536"/>
      <c r="T1541" s="635"/>
    </row>
    <row r="1542" spans="1:68" s="298" customFormat="1" ht="38.25">
      <c r="A1542" s="256" t="s">
        <v>3259</v>
      </c>
      <c r="B1542" s="288">
        <v>88248</v>
      </c>
      <c r="C1542" s="289" t="s">
        <v>106</v>
      </c>
      <c r="D1542" s="290" t="s">
        <v>9714</v>
      </c>
      <c r="E1542" s="290" t="s">
        <v>206</v>
      </c>
      <c r="F1542" s="383">
        <v>4.8778000000000006</v>
      </c>
      <c r="G1542" s="292" t="s">
        <v>10175</v>
      </c>
      <c r="H1542" s="255">
        <v>88.92</v>
      </c>
      <c r="J1542" s="383">
        <f>3*0.5591</f>
        <v>1.6773000000000002</v>
      </c>
      <c r="K1542" s="383">
        <f>3*0.5591</f>
        <v>1.6773000000000002</v>
      </c>
      <c r="L1542" s="383">
        <f>8*0.1904</f>
        <v>1.5232000000000001</v>
      </c>
      <c r="M1542" s="647">
        <f t="shared" ref="M1542:M1544" si="3">J1542+K1542+L1542</f>
        <v>4.8778000000000006</v>
      </c>
      <c r="S1542" s="536"/>
      <c r="T1542" s="635"/>
    </row>
    <row r="1543" spans="1:68" s="298" customFormat="1" ht="12.75">
      <c r="A1543" s="256" t="s">
        <v>3261</v>
      </c>
      <c r="B1543" s="288">
        <v>4229</v>
      </c>
      <c r="C1543" s="289" t="s">
        <v>6580</v>
      </c>
      <c r="D1543" s="290" t="s">
        <v>207</v>
      </c>
      <c r="E1543" s="290" t="s">
        <v>3244</v>
      </c>
      <c r="F1543" s="383">
        <v>0.15339999999999998</v>
      </c>
      <c r="G1543" s="292" t="s">
        <v>10917</v>
      </c>
      <c r="H1543" s="255">
        <v>5.51</v>
      </c>
      <c r="J1543" s="383">
        <f>3*0.0209</f>
        <v>6.2699999999999992E-2</v>
      </c>
      <c r="K1543" s="383">
        <f>3*0.0209</f>
        <v>6.2699999999999992E-2</v>
      </c>
      <c r="L1543" s="383">
        <f>8*0.0035</f>
        <v>2.8000000000000001E-2</v>
      </c>
      <c r="M1543" s="647">
        <f t="shared" si="3"/>
        <v>0.15339999999999998</v>
      </c>
      <c r="S1543" s="536"/>
      <c r="T1543" s="635"/>
    </row>
    <row r="1544" spans="1:68" s="298" customFormat="1" ht="38.25">
      <c r="A1544" s="256" t="s">
        <v>3261</v>
      </c>
      <c r="B1544" s="288">
        <v>7693</v>
      </c>
      <c r="C1544" s="289" t="s">
        <v>8605</v>
      </c>
      <c r="D1544" s="290" t="s">
        <v>207</v>
      </c>
      <c r="E1544" s="290" t="s">
        <v>3243</v>
      </c>
      <c r="F1544" s="383">
        <v>8</v>
      </c>
      <c r="G1544" s="292" t="s">
        <v>20961</v>
      </c>
      <c r="H1544" s="255">
        <v>1644.32</v>
      </c>
      <c r="J1544" s="383">
        <v>1</v>
      </c>
      <c r="K1544" s="383">
        <f>3*1</f>
        <v>3</v>
      </c>
      <c r="L1544" s="383">
        <f>8*1</f>
        <v>8</v>
      </c>
      <c r="M1544" s="647">
        <f t="shared" si="3"/>
        <v>12</v>
      </c>
      <c r="S1544" s="536"/>
      <c r="T1544" s="635"/>
    </row>
    <row r="1545" spans="1:68" s="298" customFormat="1" ht="25.5">
      <c r="A1545" s="256" t="s">
        <v>3261</v>
      </c>
      <c r="B1545" s="288">
        <v>1808</v>
      </c>
      <c r="C1545" s="289" t="s">
        <v>6034</v>
      </c>
      <c r="D1545" s="290" t="s">
        <v>207</v>
      </c>
      <c r="E1545" s="290" t="s">
        <v>3240</v>
      </c>
      <c r="F1545" s="383">
        <v>3</v>
      </c>
      <c r="G1545" s="292" t="s">
        <v>19586</v>
      </c>
      <c r="H1545" s="255">
        <v>1197.96</v>
      </c>
      <c r="J1545" s="383"/>
      <c r="K1545" s="578"/>
      <c r="L1545" s="383"/>
      <c r="M1545" s="647"/>
      <c r="S1545" s="536"/>
      <c r="T1545" s="635"/>
    </row>
    <row r="1546" spans="1:68" s="298" customFormat="1" ht="12.75">
      <c r="A1546" s="256" t="s">
        <v>3261</v>
      </c>
      <c r="B1546" s="288">
        <v>6300</v>
      </c>
      <c r="C1546" s="289" t="s">
        <v>8186</v>
      </c>
      <c r="D1546" s="290" t="s">
        <v>207</v>
      </c>
      <c r="E1546" s="290" t="s">
        <v>3240</v>
      </c>
      <c r="F1546" s="383">
        <v>2</v>
      </c>
      <c r="G1546" s="292" t="s">
        <v>20732</v>
      </c>
      <c r="H1546" s="255">
        <v>413.44</v>
      </c>
      <c r="J1546" s="383"/>
      <c r="K1546" s="578"/>
      <c r="L1546" s="383"/>
      <c r="M1546" s="647"/>
      <c r="S1546" s="536"/>
      <c r="T1546" s="635"/>
    </row>
    <row r="1547" spans="1:68" s="298" customFormat="1" ht="38.25">
      <c r="A1547" s="256" t="s">
        <v>3261</v>
      </c>
      <c r="B1547" s="288">
        <v>7696</v>
      </c>
      <c r="C1547" s="289" t="s">
        <v>8602</v>
      </c>
      <c r="D1547" s="290" t="s">
        <v>207</v>
      </c>
      <c r="E1547" s="290" t="s">
        <v>3243</v>
      </c>
      <c r="F1547" s="383">
        <v>8</v>
      </c>
      <c r="G1547" s="292" t="s">
        <v>20959</v>
      </c>
      <c r="H1547" s="255">
        <v>714.96</v>
      </c>
      <c r="J1547" s="383"/>
      <c r="K1547" s="578"/>
      <c r="L1547" s="383"/>
      <c r="M1547" s="647"/>
      <c r="S1547" s="536"/>
      <c r="T1547" s="635"/>
    </row>
    <row r="1548" spans="1:68" s="298" customFormat="1" ht="25.5">
      <c r="A1548" s="256" t="s">
        <v>3261</v>
      </c>
      <c r="B1548" s="288">
        <v>11026</v>
      </c>
      <c r="C1548" s="289" t="s">
        <v>5472</v>
      </c>
      <c r="D1548" s="290" t="s">
        <v>207</v>
      </c>
      <c r="E1548" s="290" t="s">
        <v>3244</v>
      </c>
      <c r="F1548" s="383">
        <v>29.639999999999997</v>
      </c>
      <c r="G1548" s="292" t="s">
        <v>14091</v>
      </c>
      <c r="H1548" s="255">
        <v>425.63</v>
      </c>
      <c r="J1548" s="383"/>
      <c r="K1548" s="578"/>
      <c r="L1548" s="383"/>
      <c r="M1548" s="647"/>
      <c r="S1548" s="536"/>
      <c r="T1548" s="635"/>
    </row>
    <row r="1549" spans="1:68" s="529" customFormat="1" ht="12.75">
      <c r="A1549" s="286"/>
      <c r="B1549" s="375" t="s">
        <v>143</v>
      </c>
      <c r="C1549" s="816" t="s">
        <v>17902</v>
      </c>
      <c r="D1549" s="817"/>
      <c r="E1549" s="817"/>
      <c r="F1549" s="817"/>
      <c r="G1549" s="817"/>
      <c r="H1549" s="818"/>
      <c r="I1549" s="298"/>
      <c r="J1549" s="383"/>
      <c r="K1549" s="634"/>
      <c r="L1549" s="383"/>
      <c r="M1549" s="634"/>
      <c r="N1549" s="298"/>
      <c r="O1549" s="298"/>
      <c r="P1549" s="298"/>
      <c r="Q1549" s="298"/>
      <c r="R1549" s="298"/>
      <c r="S1549" s="536"/>
      <c r="T1549" s="635"/>
      <c r="U1549" s="298"/>
      <c r="V1549" s="298"/>
      <c r="W1549" s="298"/>
      <c r="X1549" s="298"/>
      <c r="Y1549" s="298"/>
      <c r="Z1549" s="298"/>
      <c r="AA1549" s="298"/>
      <c r="AB1549" s="298"/>
      <c r="AC1549" s="298"/>
      <c r="AD1549" s="298"/>
      <c r="AE1549" s="298"/>
      <c r="AF1549" s="298"/>
      <c r="AG1549" s="298"/>
      <c r="AH1549" s="298"/>
      <c r="AI1549" s="298"/>
      <c r="AJ1549" s="298"/>
      <c r="AK1549" s="298"/>
      <c r="AL1549" s="298"/>
      <c r="AM1549" s="298"/>
      <c r="AN1549" s="298"/>
      <c r="AO1549" s="298"/>
      <c r="AP1549" s="298"/>
      <c r="AQ1549" s="298"/>
      <c r="AR1549" s="298"/>
      <c r="AS1549" s="298"/>
      <c r="AT1549" s="298"/>
      <c r="AU1549" s="298"/>
      <c r="AV1549" s="298"/>
      <c r="AW1549" s="298"/>
      <c r="AX1549" s="298"/>
      <c r="AY1549" s="298"/>
      <c r="AZ1549" s="298"/>
      <c r="BA1549" s="298"/>
      <c r="BB1549" s="298"/>
      <c r="BC1549" s="298"/>
      <c r="BD1549" s="298"/>
      <c r="BE1549" s="298"/>
      <c r="BF1549" s="298"/>
      <c r="BG1549" s="298"/>
      <c r="BH1549" s="298"/>
      <c r="BI1549" s="298"/>
      <c r="BJ1549" s="298"/>
      <c r="BK1549" s="298"/>
      <c r="BL1549" s="298"/>
      <c r="BM1549" s="298"/>
      <c r="BN1549" s="298"/>
      <c r="BO1549" s="298"/>
      <c r="BP1549" s="298"/>
    </row>
    <row r="1550" spans="1:68" s="529" customFormat="1" ht="12.75">
      <c r="A1550" s="286"/>
      <c r="B1550" s="373"/>
      <c r="C1550" s="706"/>
      <c r="D1550" s="706"/>
      <c r="E1550" s="706"/>
      <c r="F1550" s="706"/>
      <c r="G1550" s="706"/>
      <c r="H1550" s="707"/>
      <c r="I1550" s="298"/>
      <c r="J1550" s="634"/>
      <c r="K1550" s="634"/>
      <c r="L1550" s="634"/>
      <c r="M1550" s="634"/>
      <c r="N1550" s="298"/>
      <c r="O1550" s="298"/>
      <c r="P1550" s="298"/>
      <c r="Q1550" s="298"/>
      <c r="R1550" s="298"/>
      <c r="S1550" s="536"/>
      <c r="T1550" s="635"/>
      <c r="U1550" s="298"/>
      <c r="V1550" s="298"/>
      <c r="W1550" s="298"/>
      <c r="X1550" s="298"/>
      <c r="Y1550" s="298"/>
      <c r="Z1550" s="298"/>
      <c r="AA1550" s="298"/>
      <c r="AB1550" s="298"/>
      <c r="AC1550" s="298"/>
      <c r="AD1550" s="298"/>
      <c r="AE1550" s="298"/>
      <c r="AF1550" s="298"/>
      <c r="AG1550" s="298"/>
      <c r="AH1550" s="298"/>
      <c r="AI1550" s="298"/>
      <c r="AJ1550" s="298"/>
      <c r="AK1550" s="298"/>
      <c r="AL1550" s="298"/>
      <c r="AM1550" s="298"/>
      <c r="AN1550" s="298"/>
      <c r="AO1550" s="298"/>
      <c r="AP1550" s="298"/>
      <c r="AQ1550" s="298"/>
      <c r="AR1550" s="298"/>
      <c r="AS1550" s="298"/>
      <c r="AT1550" s="298"/>
      <c r="AU1550" s="298"/>
      <c r="AV1550" s="298"/>
      <c r="AW1550" s="298"/>
      <c r="AX1550" s="298"/>
      <c r="AY1550" s="298"/>
      <c r="AZ1550" s="298"/>
      <c r="BA1550" s="298"/>
      <c r="BB1550" s="298"/>
      <c r="BC1550" s="298"/>
      <c r="BD1550" s="298"/>
      <c r="BE1550" s="298"/>
      <c r="BF1550" s="298"/>
      <c r="BG1550" s="298"/>
      <c r="BH1550" s="298"/>
      <c r="BI1550" s="298"/>
      <c r="BJ1550" s="298"/>
      <c r="BK1550" s="298"/>
      <c r="BL1550" s="298"/>
      <c r="BM1550" s="298"/>
      <c r="BN1550" s="298"/>
      <c r="BO1550" s="298"/>
      <c r="BP1550" s="298"/>
    </row>
    <row r="1551" spans="1:68" s="529" customFormat="1" ht="51">
      <c r="A1551" s="555"/>
      <c r="B1551" s="372" t="s">
        <v>18666</v>
      </c>
      <c r="C1551" s="231" t="s">
        <v>18667</v>
      </c>
      <c r="D1551" s="232" t="s">
        <v>103</v>
      </c>
      <c r="E1551" s="232" t="s">
        <v>109</v>
      </c>
      <c r="F1551" s="233"/>
      <c r="G1551" s="234"/>
      <c r="H1551" s="235">
        <v>31.39</v>
      </c>
      <c r="I1551" s="298"/>
      <c r="J1551" s="634"/>
      <c r="K1551" s="634"/>
      <c r="L1551" s="634"/>
      <c r="M1551" s="634"/>
      <c r="N1551" s="298"/>
      <c r="O1551" s="298"/>
      <c r="P1551" s="298"/>
      <c r="Q1551" s="298"/>
      <c r="R1551" s="298"/>
      <c r="S1551" s="536"/>
      <c r="T1551" s="635"/>
      <c r="U1551" s="298"/>
      <c r="V1551" s="298"/>
      <c r="W1551" s="298"/>
      <c r="X1551" s="298"/>
      <c r="Y1551" s="298"/>
      <c r="Z1551" s="298"/>
      <c r="AA1551" s="298"/>
      <c r="AB1551" s="298"/>
      <c r="AC1551" s="298"/>
      <c r="AD1551" s="298"/>
      <c r="AE1551" s="298"/>
      <c r="AF1551" s="298"/>
      <c r="AG1551" s="298"/>
      <c r="AH1551" s="298"/>
      <c r="AI1551" s="298"/>
      <c r="AJ1551" s="298"/>
      <c r="AK1551" s="298"/>
      <c r="AL1551" s="298"/>
      <c r="AM1551" s="298"/>
      <c r="AN1551" s="298"/>
      <c r="AO1551" s="298"/>
      <c r="AP1551" s="298"/>
      <c r="AQ1551" s="298"/>
      <c r="AR1551" s="298"/>
      <c r="AS1551" s="298"/>
      <c r="AT1551" s="298"/>
      <c r="AU1551" s="298"/>
      <c r="AV1551" s="298"/>
      <c r="AW1551" s="298"/>
      <c r="AX1551" s="298"/>
      <c r="AY1551" s="298"/>
      <c r="AZ1551" s="298"/>
      <c r="BA1551" s="298"/>
      <c r="BB1551" s="298"/>
      <c r="BC1551" s="298"/>
      <c r="BD1551" s="298"/>
      <c r="BE1551" s="298"/>
      <c r="BF1551" s="298"/>
      <c r="BG1551" s="298"/>
      <c r="BH1551" s="298"/>
      <c r="BI1551" s="298"/>
      <c r="BJ1551" s="298"/>
      <c r="BK1551" s="298"/>
      <c r="BL1551" s="298"/>
      <c r="BM1551" s="298"/>
      <c r="BN1551" s="298"/>
      <c r="BO1551" s="298"/>
      <c r="BP1551" s="298"/>
    </row>
    <row r="1552" spans="1:68" s="298" customFormat="1" ht="12.75">
      <c r="A1552" s="256" t="s">
        <v>3261</v>
      </c>
      <c r="B1552" s="288">
        <v>21114</v>
      </c>
      <c r="C1552" s="289" t="s">
        <v>4683</v>
      </c>
      <c r="D1552" s="290" t="s">
        <v>207</v>
      </c>
      <c r="E1552" s="290" t="s">
        <v>3240</v>
      </c>
      <c r="F1552" s="383">
        <v>0.16</v>
      </c>
      <c r="G1552" s="292" t="s">
        <v>10613</v>
      </c>
      <c r="H1552" s="255">
        <v>3.6</v>
      </c>
      <c r="S1552" s="536"/>
      <c r="T1552" s="635"/>
    </row>
    <row r="1553" spans="1:68" s="298" customFormat="1" ht="12.75">
      <c r="A1553" s="256" t="s">
        <v>12</v>
      </c>
      <c r="B1553" s="288" t="s">
        <v>18655</v>
      </c>
      <c r="C1553" s="289" t="s">
        <v>18656</v>
      </c>
      <c r="D1553" s="290" t="s">
        <v>207</v>
      </c>
      <c r="E1553" s="290" t="s">
        <v>109</v>
      </c>
      <c r="F1553" s="383">
        <v>1</v>
      </c>
      <c r="G1553" s="292">
        <v>25.21</v>
      </c>
      <c r="H1553" s="255">
        <v>25.21</v>
      </c>
      <c r="S1553" s="536"/>
      <c r="T1553" s="635"/>
    </row>
    <row r="1554" spans="1:68" s="298" customFormat="1" ht="38.25">
      <c r="A1554" s="256" t="s">
        <v>3259</v>
      </c>
      <c r="B1554" s="288">
        <v>88248</v>
      </c>
      <c r="C1554" s="289" t="s">
        <v>106</v>
      </c>
      <c r="D1554" s="290" t="s">
        <v>9714</v>
      </c>
      <c r="E1554" s="290" t="s">
        <v>206</v>
      </c>
      <c r="F1554" s="383">
        <v>6.2E-2</v>
      </c>
      <c r="G1554" s="292" t="s">
        <v>10175</v>
      </c>
      <c r="H1554" s="255">
        <v>1.1299999999999999</v>
      </c>
      <c r="S1554" s="536"/>
      <c r="T1554" s="635"/>
    </row>
    <row r="1555" spans="1:68" s="298" customFormat="1" ht="25.5">
      <c r="A1555" s="256" t="s">
        <v>3259</v>
      </c>
      <c r="B1555" s="288">
        <v>88267</v>
      </c>
      <c r="C1555" s="289" t="s">
        <v>107</v>
      </c>
      <c r="D1555" s="290" t="s">
        <v>9714</v>
      </c>
      <c r="E1555" s="290" t="s">
        <v>206</v>
      </c>
      <c r="F1555" s="383">
        <v>6.2E-2</v>
      </c>
      <c r="G1555" s="292" t="s">
        <v>10792</v>
      </c>
      <c r="H1555" s="255">
        <v>1.45</v>
      </c>
      <c r="S1555" s="536"/>
      <c r="T1555" s="635"/>
    </row>
    <row r="1556" spans="1:68" s="529" customFormat="1" ht="12.75">
      <c r="A1556" s="286"/>
      <c r="B1556" s="375" t="s">
        <v>143</v>
      </c>
      <c r="C1556" s="816" t="s">
        <v>18668</v>
      </c>
      <c r="D1556" s="817"/>
      <c r="E1556" s="817"/>
      <c r="F1556" s="817"/>
      <c r="G1556" s="817"/>
      <c r="H1556" s="818"/>
      <c r="I1556" s="298"/>
      <c r="J1556" s="634"/>
      <c r="K1556" s="634"/>
      <c r="L1556" s="634"/>
      <c r="M1556" s="634"/>
      <c r="N1556" s="298"/>
      <c r="O1556" s="298"/>
      <c r="P1556" s="298"/>
      <c r="Q1556" s="298"/>
      <c r="R1556" s="298"/>
      <c r="S1556" s="536"/>
      <c r="T1556" s="635"/>
      <c r="U1556" s="298"/>
      <c r="V1556" s="298"/>
      <c r="W1556" s="298"/>
      <c r="X1556" s="298"/>
      <c r="Y1556" s="298"/>
      <c r="Z1556" s="298"/>
      <c r="AA1556" s="298"/>
      <c r="AB1556" s="298"/>
      <c r="AC1556" s="298"/>
      <c r="AD1556" s="298"/>
      <c r="AE1556" s="298"/>
      <c r="AF1556" s="298"/>
      <c r="AG1556" s="298"/>
      <c r="AH1556" s="298"/>
      <c r="AI1556" s="298"/>
      <c r="AJ1556" s="298"/>
      <c r="AK1556" s="298"/>
      <c r="AL1556" s="298"/>
      <c r="AM1556" s="298"/>
      <c r="AN1556" s="298"/>
      <c r="AO1556" s="298"/>
      <c r="AP1556" s="298"/>
      <c r="AQ1556" s="298"/>
      <c r="AR1556" s="298"/>
      <c r="AS1556" s="298"/>
      <c r="AT1556" s="298"/>
      <c r="AU1556" s="298"/>
      <c r="AV1556" s="298"/>
      <c r="AW1556" s="298"/>
      <c r="AX1556" s="298"/>
      <c r="AY1556" s="298"/>
      <c r="AZ1556" s="298"/>
      <c r="BA1556" s="298"/>
      <c r="BB1556" s="298"/>
      <c r="BC1556" s="298"/>
      <c r="BD1556" s="298"/>
      <c r="BE1556" s="298"/>
      <c r="BF1556" s="298"/>
      <c r="BG1556" s="298"/>
      <c r="BH1556" s="298"/>
      <c r="BI1556" s="298"/>
      <c r="BJ1556" s="298"/>
      <c r="BK1556" s="298"/>
      <c r="BL1556" s="298"/>
      <c r="BM1556" s="298"/>
      <c r="BN1556" s="298"/>
      <c r="BO1556" s="298"/>
      <c r="BP1556" s="298"/>
    </row>
    <row r="1557" spans="1:68" s="529" customFormat="1" ht="12.75">
      <c r="A1557" s="286"/>
      <c r="B1557" s="373"/>
      <c r="C1557" s="706"/>
      <c r="D1557" s="706"/>
      <c r="E1557" s="706"/>
      <c r="F1557" s="706"/>
      <c r="G1557" s="706"/>
      <c r="H1557" s="707"/>
      <c r="I1557" s="298"/>
      <c r="J1557" s="634"/>
      <c r="K1557" s="634"/>
      <c r="L1557" s="634"/>
      <c r="M1557" s="634"/>
      <c r="N1557" s="298"/>
      <c r="O1557" s="298"/>
      <c r="P1557" s="298"/>
      <c r="Q1557" s="298"/>
      <c r="R1557" s="298"/>
      <c r="S1557" s="536"/>
      <c r="T1557" s="635"/>
      <c r="U1557" s="298"/>
      <c r="V1557" s="298"/>
      <c r="W1557" s="298"/>
      <c r="X1557" s="298"/>
      <c r="Y1557" s="298"/>
      <c r="Z1557" s="298"/>
      <c r="AA1557" s="298"/>
      <c r="AB1557" s="298"/>
      <c r="AC1557" s="298"/>
      <c r="AD1557" s="298"/>
      <c r="AE1557" s="298"/>
      <c r="AF1557" s="298"/>
      <c r="AG1557" s="298"/>
      <c r="AH1557" s="298"/>
      <c r="AI1557" s="298"/>
      <c r="AJ1557" s="298"/>
      <c r="AK1557" s="298"/>
      <c r="AL1557" s="298"/>
      <c r="AM1557" s="298"/>
      <c r="AN1557" s="298"/>
      <c r="AO1557" s="298"/>
      <c r="AP1557" s="298"/>
      <c r="AQ1557" s="298"/>
      <c r="AR1557" s="298"/>
      <c r="AS1557" s="298"/>
      <c r="AT1557" s="298"/>
      <c r="AU1557" s="298"/>
      <c r="AV1557" s="298"/>
      <c r="AW1557" s="298"/>
      <c r="AX1557" s="298"/>
      <c r="AY1557" s="298"/>
      <c r="AZ1557" s="298"/>
      <c r="BA1557" s="298"/>
      <c r="BB1557" s="298"/>
      <c r="BC1557" s="298"/>
      <c r="BD1557" s="298"/>
      <c r="BE1557" s="298"/>
      <c r="BF1557" s="298"/>
      <c r="BG1557" s="298"/>
      <c r="BH1557" s="298"/>
      <c r="BI1557" s="298"/>
      <c r="BJ1557" s="298"/>
      <c r="BK1557" s="298"/>
      <c r="BL1557" s="298"/>
      <c r="BM1557" s="298"/>
      <c r="BN1557" s="298"/>
      <c r="BO1557" s="298"/>
      <c r="BP1557" s="298"/>
    </row>
    <row r="1558" spans="1:68" s="529" customFormat="1" ht="51">
      <c r="A1558" s="555"/>
      <c r="B1558" s="372" t="s">
        <v>18669</v>
      </c>
      <c r="C1558" s="231" t="s">
        <v>18670</v>
      </c>
      <c r="D1558" s="232" t="s">
        <v>103</v>
      </c>
      <c r="E1558" s="232" t="s">
        <v>109</v>
      </c>
      <c r="F1558" s="233"/>
      <c r="G1558" s="234"/>
      <c r="H1558" s="235">
        <v>31.38</v>
      </c>
      <c r="I1558" s="298"/>
      <c r="J1558" s="634"/>
      <c r="K1558" s="634"/>
      <c r="L1558" s="634"/>
      <c r="M1558" s="634"/>
      <c r="N1558" s="298"/>
      <c r="O1558" s="298"/>
      <c r="P1558" s="298"/>
      <c r="Q1558" s="298"/>
      <c r="R1558" s="298"/>
      <c r="S1558" s="536"/>
      <c r="T1558" s="635"/>
      <c r="U1558" s="298"/>
      <c r="V1558" s="298"/>
      <c r="W1558" s="298"/>
      <c r="X1558" s="298"/>
      <c r="Y1558" s="298"/>
      <c r="Z1558" s="298"/>
      <c r="AA1558" s="298"/>
      <c r="AB1558" s="298"/>
      <c r="AC1558" s="298"/>
      <c r="AD1558" s="298"/>
      <c r="AE1558" s="298"/>
      <c r="AF1558" s="298"/>
      <c r="AG1558" s="298"/>
      <c r="AH1558" s="298"/>
      <c r="AI1558" s="298"/>
      <c r="AJ1558" s="298"/>
      <c r="AK1558" s="298"/>
      <c r="AL1558" s="298"/>
      <c r="AM1558" s="298"/>
      <c r="AN1558" s="298"/>
      <c r="AO1558" s="298"/>
      <c r="AP1558" s="298"/>
      <c r="AQ1558" s="298"/>
      <c r="AR1558" s="298"/>
      <c r="AS1558" s="298"/>
      <c r="AT1558" s="298"/>
      <c r="AU1558" s="298"/>
      <c r="AV1558" s="298"/>
      <c r="AW1558" s="298"/>
      <c r="AX1558" s="298"/>
      <c r="AY1558" s="298"/>
      <c r="AZ1558" s="298"/>
      <c r="BA1558" s="298"/>
      <c r="BB1558" s="298"/>
      <c r="BC1558" s="298"/>
      <c r="BD1558" s="298"/>
      <c r="BE1558" s="298"/>
      <c r="BF1558" s="298"/>
      <c r="BG1558" s="298"/>
      <c r="BH1558" s="298"/>
      <c r="BI1558" s="298"/>
      <c r="BJ1558" s="298"/>
      <c r="BK1558" s="298"/>
      <c r="BL1558" s="298"/>
      <c r="BM1558" s="298"/>
      <c r="BN1558" s="298"/>
      <c r="BO1558" s="298"/>
      <c r="BP1558" s="298"/>
    </row>
    <row r="1559" spans="1:68" s="298" customFormat="1" ht="12.75">
      <c r="A1559" s="256" t="s">
        <v>3261</v>
      </c>
      <c r="B1559" s="288">
        <v>21114</v>
      </c>
      <c r="C1559" s="289" t="s">
        <v>4683</v>
      </c>
      <c r="D1559" s="290" t="s">
        <v>207</v>
      </c>
      <c r="E1559" s="290" t="s">
        <v>3240</v>
      </c>
      <c r="F1559" s="383">
        <v>0.16</v>
      </c>
      <c r="G1559" s="292" t="s">
        <v>10613</v>
      </c>
      <c r="H1559" s="255">
        <v>3.6</v>
      </c>
      <c r="S1559" s="536"/>
      <c r="T1559" s="635"/>
    </row>
    <row r="1560" spans="1:68" s="298" customFormat="1" ht="12.75">
      <c r="A1560" s="256" t="s">
        <v>12</v>
      </c>
      <c r="B1560" s="288" t="s">
        <v>18657</v>
      </c>
      <c r="C1560" s="289" t="s">
        <v>18658</v>
      </c>
      <c r="D1560" s="290" t="s">
        <v>207</v>
      </c>
      <c r="E1560" s="290" t="s">
        <v>109</v>
      </c>
      <c r="F1560" s="383">
        <v>1</v>
      </c>
      <c r="G1560" s="292">
        <v>25.2</v>
      </c>
      <c r="H1560" s="255">
        <v>25.2</v>
      </c>
      <c r="S1560" s="536"/>
      <c r="T1560" s="635"/>
    </row>
    <row r="1561" spans="1:68" s="298" customFormat="1" ht="38.25">
      <c r="A1561" s="256" t="s">
        <v>3259</v>
      </c>
      <c r="B1561" s="288">
        <v>88248</v>
      </c>
      <c r="C1561" s="289" t="s">
        <v>106</v>
      </c>
      <c r="D1561" s="290" t="s">
        <v>9714</v>
      </c>
      <c r="E1561" s="290" t="s">
        <v>206</v>
      </c>
      <c r="F1561" s="383">
        <v>6.2E-2</v>
      </c>
      <c r="G1561" s="292" t="s">
        <v>10175</v>
      </c>
      <c r="H1561" s="255">
        <v>1.1299999999999999</v>
      </c>
      <c r="S1561" s="536"/>
      <c r="T1561" s="635"/>
    </row>
    <row r="1562" spans="1:68" s="298" customFormat="1" ht="25.5">
      <c r="A1562" s="256" t="s">
        <v>3259</v>
      </c>
      <c r="B1562" s="288">
        <v>88267</v>
      </c>
      <c r="C1562" s="289" t="s">
        <v>107</v>
      </c>
      <c r="D1562" s="290" t="s">
        <v>9714</v>
      </c>
      <c r="E1562" s="290" t="s">
        <v>206</v>
      </c>
      <c r="F1562" s="383">
        <v>6.2E-2</v>
      </c>
      <c r="G1562" s="292" t="s">
        <v>10792</v>
      </c>
      <c r="H1562" s="255">
        <v>1.45</v>
      </c>
      <c r="S1562" s="536"/>
      <c r="T1562" s="635"/>
    </row>
    <row r="1563" spans="1:68" s="529" customFormat="1" ht="12.75">
      <c r="A1563" s="286"/>
      <c r="B1563" s="375" t="s">
        <v>143</v>
      </c>
      <c r="C1563" s="816" t="s">
        <v>18668</v>
      </c>
      <c r="D1563" s="817"/>
      <c r="E1563" s="817"/>
      <c r="F1563" s="817"/>
      <c r="G1563" s="817"/>
      <c r="H1563" s="818"/>
      <c r="I1563" s="298"/>
      <c r="J1563" s="634"/>
      <c r="K1563" s="634"/>
      <c r="L1563" s="634"/>
      <c r="M1563" s="634"/>
      <c r="N1563" s="298"/>
      <c r="O1563" s="298"/>
      <c r="P1563" s="298"/>
      <c r="Q1563" s="298"/>
      <c r="R1563" s="298"/>
      <c r="S1563" s="536"/>
      <c r="T1563" s="635"/>
      <c r="U1563" s="298"/>
      <c r="V1563" s="298"/>
      <c r="W1563" s="298"/>
      <c r="X1563" s="298"/>
      <c r="Y1563" s="298"/>
      <c r="Z1563" s="298"/>
      <c r="AA1563" s="298"/>
      <c r="AB1563" s="298"/>
      <c r="AC1563" s="298"/>
      <c r="AD1563" s="298"/>
      <c r="AE1563" s="298"/>
      <c r="AF1563" s="298"/>
      <c r="AG1563" s="298"/>
      <c r="AH1563" s="298"/>
      <c r="AI1563" s="298"/>
      <c r="AJ1563" s="298"/>
      <c r="AK1563" s="298"/>
      <c r="AL1563" s="298"/>
      <c r="AM1563" s="298"/>
      <c r="AN1563" s="298"/>
      <c r="AO1563" s="298"/>
      <c r="AP1563" s="298"/>
      <c r="AQ1563" s="298"/>
      <c r="AR1563" s="298"/>
      <c r="AS1563" s="298"/>
      <c r="AT1563" s="298"/>
      <c r="AU1563" s="298"/>
      <c r="AV1563" s="298"/>
      <c r="AW1563" s="298"/>
      <c r="AX1563" s="298"/>
      <c r="AY1563" s="298"/>
      <c r="AZ1563" s="298"/>
      <c r="BA1563" s="298"/>
      <c r="BB1563" s="298"/>
      <c r="BC1563" s="298"/>
      <c r="BD1563" s="298"/>
      <c r="BE1563" s="298"/>
      <c r="BF1563" s="298"/>
      <c r="BG1563" s="298"/>
      <c r="BH1563" s="298"/>
      <c r="BI1563" s="298"/>
      <c r="BJ1563" s="298"/>
      <c r="BK1563" s="298"/>
      <c r="BL1563" s="298"/>
      <c r="BM1563" s="298"/>
      <c r="BN1563" s="298"/>
      <c r="BO1563" s="298"/>
      <c r="BP1563" s="298"/>
    </row>
    <row r="1564" spans="1:68" s="529" customFormat="1" ht="12.75">
      <c r="A1564" s="286"/>
      <c r="B1564" s="373"/>
      <c r="C1564" s="706"/>
      <c r="D1564" s="706"/>
      <c r="E1564" s="706"/>
      <c r="F1564" s="706"/>
      <c r="G1564" s="706"/>
      <c r="H1564" s="707"/>
      <c r="I1564" s="298"/>
      <c r="J1564" s="634"/>
      <c r="K1564" s="634"/>
      <c r="L1564" s="634"/>
      <c r="M1564" s="634"/>
      <c r="N1564" s="298"/>
      <c r="O1564" s="298"/>
      <c r="P1564" s="298"/>
      <c r="Q1564" s="298"/>
      <c r="R1564" s="298"/>
      <c r="S1564" s="536"/>
      <c r="T1564" s="635"/>
      <c r="U1564" s="298"/>
      <c r="V1564" s="298"/>
      <c r="W1564" s="298"/>
      <c r="X1564" s="298"/>
      <c r="Y1564" s="298"/>
      <c r="Z1564" s="298"/>
      <c r="AA1564" s="298"/>
      <c r="AB1564" s="298"/>
      <c r="AC1564" s="298"/>
      <c r="AD1564" s="298"/>
      <c r="AE1564" s="298"/>
      <c r="AF1564" s="298"/>
      <c r="AG1564" s="298"/>
      <c r="AH1564" s="298"/>
      <c r="AI1564" s="298"/>
      <c r="AJ1564" s="298"/>
      <c r="AK1564" s="298"/>
      <c r="AL1564" s="298"/>
      <c r="AM1564" s="298"/>
      <c r="AN1564" s="298"/>
      <c r="AO1564" s="298"/>
      <c r="AP1564" s="298"/>
      <c r="AQ1564" s="298"/>
      <c r="AR1564" s="298"/>
      <c r="AS1564" s="298"/>
      <c r="AT1564" s="298"/>
      <c r="AU1564" s="298"/>
      <c r="AV1564" s="298"/>
      <c r="AW1564" s="298"/>
      <c r="AX1564" s="298"/>
      <c r="AY1564" s="298"/>
      <c r="AZ1564" s="298"/>
      <c r="BA1564" s="298"/>
      <c r="BB1564" s="298"/>
      <c r="BC1564" s="298"/>
      <c r="BD1564" s="298"/>
      <c r="BE1564" s="298"/>
      <c r="BF1564" s="298"/>
      <c r="BG1564" s="298"/>
      <c r="BH1564" s="298"/>
      <c r="BI1564" s="298"/>
      <c r="BJ1564" s="298"/>
      <c r="BK1564" s="298"/>
      <c r="BL1564" s="298"/>
      <c r="BM1564" s="298"/>
      <c r="BN1564" s="298"/>
      <c r="BO1564" s="298"/>
      <c r="BP1564" s="298"/>
    </row>
    <row r="1565" spans="1:68" s="529" customFormat="1" ht="63.75">
      <c r="A1565" s="555"/>
      <c r="B1565" s="372" t="s">
        <v>18671</v>
      </c>
      <c r="C1565" s="231" t="s">
        <v>18673</v>
      </c>
      <c r="D1565" s="232" t="s">
        <v>103</v>
      </c>
      <c r="E1565" s="232" t="s">
        <v>109</v>
      </c>
      <c r="F1565" s="233"/>
      <c r="G1565" s="234"/>
      <c r="H1565" s="235">
        <v>39.53</v>
      </c>
      <c r="I1565" s="298"/>
      <c r="J1565" s="634"/>
      <c r="K1565" s="634"/>
      <c r="L1565" s="634"/>
      <c r="M1565" s="634"/>
      <c r="N1565" s="298"/>
      <c r="O1565" s="298"/>
      <c r="P1565" s="298"/>
      <c r="Q1565" s="298"/>
      <c r="R1565" s="298"/>
      <c r="S1565" s="536"/>
      <c r="T1565" s="635"/>
      <c r="U1565" s="298"/>
      <c r="V1565" s="298"/>
      <c r="W1565" s="298"/>
      <c r="X1565" s="298"/>
      <c r="Y1565" s="298"/>
      <c r="Z1565" s="298"/>
      <c r="AA1565" s="298"/>
      <c r="AB1565" s="298"/>
      <c r="AC1565" s="298"/>
      <c r="AD1565" s="298"/>
      <c r="AE1565" s="298"/>
      <c r="AF1565" s="298"/>
      <c r="AG1565" s="298"/>
      <c r="AH1565" s="298"/>
      <c r="AI1565" s="298"/>
      <c r="AJ1565" s="298"/>
      <c r="AK1565" s="298"/>
      <c r="AL1565" s="298"/>
      <c r="AM1565" s="298"/>
      <c r="AN1565" s="298"/>
      <c r="AO1565" s="298"/>
      <c r="AP1565" s="298"/>
      <c r="AQ1565" s="298"/>
      <c r="AR1565" s="298"/>
      <c r="AS1565" s="298"/>
      <c r="AT1565" s="298"/>
      <c r="AU1565" s="298"/>
      <c r="AV1565" s="298"/>
      <c r="AW1565" s="298"/>
      <c r="AX1565" s="298"/>
      <c r="AY1565" s="298"/>
      <c r="AZ1565" s="298"/>
      <c r="BA1565" s="298"/>
      <c r="BB1565" s="298"/>
      <c r="BC1565" s="298"/>
      <c r="BD1565" s="298"/>
      <c r="BE1565" s="298"/>
      <c r="BF1565" s="298"/>
      <c r="BG1565" s="298"/>
      <c r="BH1565" s="298"/>
      <c r="BI1565" s="298"/>
      <c r="BJ1565" s="298"/>
      <c r="BK1565" s="298"/>
      <c r="BL1565" s="298"/>
      <c r="BM1565" s="298"/>
      <c r="BN1565" s="298"/>
      <c r="BO1565" s="298"/>
      <c r="BP1565" s="298"/>
    </row>
    <row r="1566" spans="1:68" s="298" customFormat="1" ht="25.5">
      <c r="A1566" s="256" t="s">
        <v>3261</v>
      </c>
      <c r="B1566" s="288">
        <v>3148</v>
      </c>
      <c r="C1566" s="289" t="s">
        <v>6465</v>
      </c>
      <c r="D1566" s="290" t="s">
        <v>207</v>
      </c>
      <c r="E1566" s="290" t="s">
        <v>3240</v>
      </c>
      <c r="F1566" s="383">
        <v>1.9E-2</v>
      </c>
      <c r="G1566" s="292" t="s">
        <v>10121</v>
      </c>
      <c r="H1566" s="255">
        <v>0.27</v>
      </c>
      <c r="S1566" s="536"/>
      <c r="T1566" s="635"/>
    </row>
    <row r="1567" spans="1:68" s="298" customFormat="1" ht="25.5">
      <c r="A1567" s="256" t="s">
        <v>3261</v>
      </c>
      <c r="B1567" s="288">
        <v>3922</v>
      </c>
      <c r="C1567" s="289" t="s">
        <v>7083</v>
      </c>
      <c r="D1567" s="290" t="s">
        <v>207</v>
      </c>
      <c r="E1567" s="290" t="s">
        <v>3240</v>
      </c>
      <c r="F1567" s="383">
        <v>1</v>
      </c>
      <c r="G1567" s="292" t="s">
        <v>15966</v>
      </c>
      <c r="H1567" s="255">
        <v>14.89</v>
      </c>
      <c r="S1567" s="536"/>
      <c r="T1567" s="635"/>
    </row>
    <row r="1568" spans="1:68" s="298" customFormat="1" ht="25.5">
      <c r="A1568" s="256" t="s">
        <v>3261</v>
      </c>
      <c r="B1568" s="288">
        <v>7307</v>
      </c>
      <c r="C1568" s="289" t="s">
        <v>6505</v>
      </c>
      <c r="D1568" s="290" t="s">
        <v>207</v>
      </c>
      <c r="E1568" s="290" t="s">
        <v>3245</v>
      </c>
      <c r="F1568" s="383">
        <v>5.0000000000000001E-3</v>
      </c>
      <c r="G1568" s="292" t="s">
        <v>11120</v>
      </c>
      <c r="H1568" s="255">
        <v>0.15</v>
      </c>
      <c r="S1568" s="536"/>
      <c r="T1568" s="635"/>
    </row>
    <row r="1569" spans="1:68" s="298" customFormat="1" ht="38.25">
      <c r="A1569" s="256" t="s">
        <v>3259</v>
      </c>
      <c r="B1569" s="288">
        <v>88248</v>
      </c>
      <c r="C1569" s="289" t="s">
        <v>106</v>
      </c>
      <c r="D1569" s="290" t="s">
        <v>9714</v>
      </c>
      <c r="E1569" s="290" t="s">
        <v>206</v>
      </c>
      <c r="F1569" s="383">
        <v>0.58199999999999996</v>
      </c>
      <c r="G1569" s="292" t="s">
        <v>10175</v>
      </c>
      <c r="H1569" s="255">
        <v>10.6</v>
      </c>
      <c r="S1569" s="536"/>
      <c r="T1569" s="635"/>
    </row>
    <row r="1570" spans="1:68" s="298" customFormat="1" ht="25.5">
      <c r="A1570" s="256" t="s">
        <v>3259</v>
      </c>
      <c r="B1570" s="288">
        <v>88267</v>
      </c>
      <c r="C1570" s="289" t="s">
        <v>107</v>
      </c>
      <c r="D1570" s="290" t="s">
        <v>9714</v>
      </c>
      <c r="E1570" s="290" t="s">
        <v>206</v>
      </c>
      <c r="F1570" s="383">
        <v>0.58199999999999996</v>
      </c>
      <c r="G1570" s="292" t="s">
        <v>10792</v>
      </c>
      <c r="H1570" s="255">
        <v>13.62</v>
      </c>
      <c r="S1570" s="536"/>
      <c r="T1570" s="635"/>
    </row>
    <row r="1571" spans="1:68" s="529" customFormat="1" ht="12.75">
      <c r="A1571" s="286"/>
      <c r="B1571" s="375" t="s">
        <v>143</v>
      </c>
      <c r="C1571" s="816" t="s">
        <v>18672</v>
      </c>
      <c r="D1571" s="817"/>
      <c r="E1571" s="817"/>
      <c r="F1571" s="817"/>
      <c r="G1571" s="817"/>
      <c r="H1571" s="818"/>
      <c r="I1571" s="298"/>
      <c r="J1571" s="634"/>
      <c r="K1571" s="634"/>
      <c r="L1571" s="634"/>
      <c r="M1571" s="634"/>
      <c r="N1571" s="298"/>
      <c r="O1571" s="298"/>
      <c r="P1571" s="298"/>
      <c r="Q1571" s="298"/>
      <c r="R1571" s="298"/>
      <c r="S1571" s="536"/>
      <c r="T1571" s="635"/>
      <c r="U1571" s="298"/>
      <c r="V1571" s="298"/>
      <c r="W1571" s="298"/>
      <c r="X1571" s="298"/>
      <c r="Y1571" s="298"/>
      <c r="Z1571" s="298"/>
      <c r="AA1571" s="298"/>
      <c r="AB1571" s="298"/>
      <c r="AC1571" s="298"/>
      <c r="AD1571" s="298"/>
      <c r="AE1571" s="298"/>
      <c r="AF1571" s="298"/>
      <c r="AG1571" s="298"/>
      <c r="AH1571" s="298"/>
      <c r="AI1571" s="298"/>
      <c r="AJ1571" s="298"/>
      <c r="AK1571" s="298"/>
      <c r="AL1571" s="298"/>
      <c r="AM1571" s="298"/>
      <c r="AN1571" s="298"/>
      <c r="AO1571" s="298"/>
      <c r="AP1571" s="298"/>
      <c r="AQ1571" s="298"/>
      <c r="AR1571" s="298"/>
      <c r="AS1571" s="298"/>
      <c r="AT1571" s="298"/>
      <c r="AU1571" s="298"/>
      <c r="AV1571" s="298"/>
      <c r="AW1571" s="298"/>
      <c r="AX1571" s="298"/>
      <c r="AY1571" s="298"/>
      <c r="AZ1571" s="298"/>
      <c r="BA1571" s="298"/>
      <c r="BB1571" s="298"/>
      <c r="BC1571" s="298"/>
      <c r="BD1571" s="298"/>
      <c r="BE1571" s="298"/>
      <c r="BF1571" s="298"/>
      <c r="BG1571" s="298"/>
      <c r="BH1571" s="298"/>
      <c r="BI1571" s="298"/>
      <c r="BJ1571" s="298"/>
      <c r="BK1571" s="298"/>
      <c r="BL1571" s="298"/>
      <c r="BM1571" s="298"/>
      <c r="BN1571" s="298"/>
      <c r="BO1571" s="298"/>
      <c r="BP1571" s="298"/>
    </row>
    <row r="1572" spans="1:68" s="529" customFormat="1" ht="12.75">
      <c r="A1572" s="286"/>
      <c r="B1572" s="373"/>
      <c r="C1572" s="706"/>
      <c r="D1572" s="706"/>
      <c r="E1572" s="706"/>
      <c r="F1572" s="706"/>
      <c r="G1572" s="706"/>
      <c r="H1572" s="707"/>
      <c r="I1572" s="298"/>
      <c r="J1572" s="634"/>
      <c r="K1572" s="634"/>
      <c r="L1572" s="634"/>
      <c r="M1572" s="634"/>
      <c r="N1572" s="298"/>
      <c r="O1572" s="298"/>
      <c r="P1572" s="298"/>
      <c r="Q1572" s="298"/>
      <c r="R1572" s="298"/>
      <c r="S1572" s="536"/>
      <c r="T1572" s="635"/>
      <c r="U1572" s="298"/>
      <c r="V1572" s="298"/>
      <c r="W1572" s="298"/>
      <c r="X1572" s="298"/>
      <c r="Y1572" s="298"/>
      <c r="Z1572" s="298"/>
      <c r="AA1572" s="298"/>
      <c r="AB1572" s="298"/>
      <c r="AC1572" s="298"/>
      <c r="AD1572" s="298"/>
      <c r="AE1572" s="298"/>
      <c r="AF1572" s="298"/>
      <c r="AG1572" s="298"/>
      <c r="AH1572" s="298"/>
      <c r="AI1572" s="298"/>
      <c r="AJ1572" s="298"/>
      <c r="AK1572" s="298"/>
      <c r="AL1572" s="298"/>
      <c r="AM1572" s="298"/>
      <c r="AN1572" s="298"/>
      <c r="AO1572" s="298"/>
      <c r="AP1572" s="298"/>
      <c r="AQ1572" s="298"/>
      <c r="AR1572" s="298"/>
      <c r="AS1572" s="298"/>
      <c r="AT1572" s="298"/>
      <c r="AU1572" s="298"/>
      <c r="AV1572" s="298"/>
      <c r="AW1572" s="298"/>
      <c r="AX1572" s="298"/>
      <c r="AY1572" s="298"/>
      <c r="AZ1572" s="298"/>
      <c r="BA1572" s="298"/>
      <c r="BB1572" s="298"/>
      <c r="BC1572" s="298"/>
      <c r="BD1572" s="298"/>
      <c r="BE1572" s="298"/>
      <c r="BF1572" s="298"/>
      <c r="BG1572" s="298"/>
      <c r="BH1572" s="298"/>
      <c r="BI1572" s="298"/>
      <c r="BJ1572" s="298"/>
      <c r="BK1572" s="298"/>
      <c r="BL1572" s="298"/>
      <c r="BM1572" s="298"/>
      <c r="BN1572" s="298"/>
      <c r="BO1572" s="298"/>
      <c r="BP1572" s="298"/>
    </row>
    <row r="1573" spans="1:68" s="529" customFormat="1" ht="25.5">
      <c r="A1573" s="555"/>
      <c r="B1573" s="372" t="s">
        <v>18695</v>
      </c>
      <c r="C1573" s="231" t="s">
        <v>18700</v>
      </c>
      <c r="D1573" s="232" t="s">
        <v>103</v>
      </c>
      <c r="E1573" s="232" t="s">
        <v>5</v>
      </c>
      <c r="F1573" s="233"/>
      <c r="G1573" s="234"/>
      <c r="H1573" s="235">
        <v>8.23</v>
      </c>
      <c r="I1573" s="298"/>
      <c r="J1573" s="634"/>
      <c r="K1573" s="634"/>
      <c r="L1573" s="634"/>
      <c r="M1573" s="634"/>
      <c r="N1573" s="298"/>
      <c r="O1573" s="298"/>
      <c r="P1573" s="298"/>
      <c r="Q1573" s="298"/>
      <c r="R1573" s="298"/>
      <c r="S1573" s="536"/>
      <c r="T1573" s="635"/>
      <c r="U1573" s="298"/>
      <c r="V1573" s="298"/>
      <c r="W1573" s="298"/>
      <c r="X1573" s="298"/>
      <c r="Y1573" s="298"/>
      <c r="Z1573" s="298"/>
      <c r="AA1573" s="298"/>
      <c r="AB1573" s="298"/>
      <c r="AC1573" s="298"/>
      <c r="AD1573" s="298"/>
      <c r="AE1573" s="298"/>
      <c r="AF1573" s="298"/>
      <c r="AG1573" s="298"/>
      <c r="AH1573" s="298"/>
      <c r="AI1573" s="298"/>
      <c r="AJ1573" s="298"/>
      <c r="AK1573" s="298"/>
      <c r="AL1573" s="298"/>
      <c r="AM1573" s="298"/>
      <c r="AN1573" s="298"/>
      <c r="AO1573" s="298"/>
      <c r="AP1573" s="298"/>
      <c r="AQ1573" s="298"/>
      <c r="AR1573" s="298"/>
      <c r="AS1573" s="298"/>
      <c r="AT1573" s="298"/>
      <c r="AU1573" s="298"/>
      <c r="AV1573" s="298"/>
      <c r="AW1573" s="298"/>
      <c r="AX1573" s="298"/>
      <c r="AY1573" s="298"/>
      <c r="AZ1573" s="298"/>
      <c r="BA1573" s="298"/>
      <c r="BB1573" s="298"/>
      <c r="BC1573" s="298"/>
      <c r="BD1573" s="298"/>
      <c r="BE1573" s="298"/>
      <c r="BF1573" s="298"/>
      <c r="BG1573" s="298"/>
      <c r="BH1573" s="298"/>
      <c r="BI1573" s="298"/>
      <c r="BJ1573" s="298"/>
      <c r="BK1573" s="298"/>
      <c r="BL1573" s="298"/>
      <c r="BM1573" s="298"/>
      <c r="BN1573" s="298"/>
      <c r="BO1573" s="298"/>
      <c r="BP1573" s="298"/>
    </row>
    <row r="1574" spans="1:68" s="298" customFormat="1" ht="17.25" customHeight="1">
      <c r="A1574" s="256" t="s">
        <v>12</v>
      </c>
      <c r="B1574" s="288" t="s">
        <v>18683</v>
      </c>
      <c r="C1574" s="289" t="s">
        <v>18686</v>
      </c>
      <c r="D1574" s="290" t="s">
        <v>207</v>
      </c>
      <c r="E1574" s="290" t="s">
        <v>5</v>
      </c>
      <c r="F1574" s="383">
        <v>1.01</v>
      </c>
      <c r="G1574" s="292">
        <v>1.2050000000000001</v>
      </c>
      <c r="H1574" s="255">
        <v>1.21</v>
      </c>
      <c r="S1574" s="536"/>
      <c r="T1574" s="635"/>
    </row>
    <row r="1575" spans="1:68" s="298" customFormat="1" ht="25.5">
      <c r="A1575" s="256" t="s">
        <v>3259</v>
      </c>
      <c r="B1575" s="288">
        <v>88267</v>
      </c>
      <c r="C1575" s="289" t="s">
        <v>107</v>
      </c>
      <c r="D1575" s="290" t="s">
        <v>9714</v>
      </c>
      <c r="E1575" s="290" t="s">
        <v>206</v>
      </c>
      <c r="F1575" s="383">
        <v>0.3</v>
      </c>
      <c r="G1575" s="292" t="s">
        <v>10792</v>
      </c>
      <c r="H1575" s="255">
        <v>7.02</v>
      </c>
      <c r="S1575" s="536"/>
      <c r="T1575" s="635"/>
    </row>
    <row r="1576" spans="1:68" s="529" customFormat="1" ht="12.75">
      <c r="A1576" s="286"/>
      <c r="B1576" s="375" t="s">
        <v>143</v>
      </c>
      <c r="C1576" s="816" t="s">
        <v>18694</v>
      </c>
      <c r="D1576" s="817"/>
      <c r="E1576" s="817"/>
      <c r="F1576" s="817"/>
      <c r="G1576" s="817"/>
      <c r="H1576" s="818"/>
      <c r="I1576" s="298"/>
      <c r="J1576" s="634"/>
      <c r="K1576" s="634"/>
      <c r="L1576" s="634"/>
      <c r="M1576" s="634"/>
      <c r="N1576" s="298"/>
      <c r="O1576" s="298"/>
      <c r="P1576" s="298"/>
      <c r="Q1576" s="298"/>
      <c r="R1576" s="298"/>
      <c r="S1576" s="536"/>
      <c r="T1576" s="635"/>
      <c r="U1576" s="298"/>
      <c r="V1576" s="298"/>
      <c r="W1576" s="298"/>
      <c r="X1576" s="298"/>
      <c r="Y1576" s="298"/>
      <c r="Z1576" s="298"/>
      <c r="AA1576" s="298"/>
      <c r="AB1576" s="298"/>
      <c r="AC1576" s="298"/>
      <c r="AD1576" s="298"/>
      <c r="AE1576" s="298"/>
      <c r="AF1576" s="298"/>
      <c r="AG1576" s="298"/>
      <c r="AH1576" s="298"/>
      <c r="AI1576" s="298"/>
      <c r="AJ1576" s="298"/>
      <c r="AK1576" s="298"/>
      <c r="AL1576" s="298"/>
      <c r="AM1576" s="298"/>
      <c r="AN1576" s="298"/>
      <c r="AO1576" s="298"/>
      <c r="AP1576" s="298"/>
      <c r="AQ1576" s="298"/>
      <c r="AR1576" s="298"/>
      <c r="AS1576" s="298"/>
      <c r="AT1576" s="298"/>
      <c r="AU1576" s="298"/>
      <c r="AV1576" s="298"/>
      <c r="AW1576" s="298"/>
      <c r="AX1576" s="298"/>
      <c r="AY1576" s="298"/>
      <c r="AZ1576" s="298"/>
      <c r="BA1576" s="298"/>
      <c r="BB1576" s="298"/>
      <c r="BC1576" s="298"/>
      <c r="BD1576" s="298"/>
      <c r="BE1576" s="298"/>
      <c r="BF1576" s="298"/>
      <c r="BG1576" s="298"/>
      <c r="BH1576" s="298"/>
      <c r="BI1576" s="298"/>
      <c r="BJ1576" s="298"/>
      <c r="BK1576" s="298"/>
      <c r="BL1576" s="298"/>
      <c r="BM1576" s="298"/>
      <c r="BN1576" s="298"/>
      <c r="BO1576" s="298"/>
      <c r="BP1576" s="298"/>
    </row>
    <row r="1577" spans="1:68" s="529" customFormat="1" ht="12.75">
      <c r="A1577" s="286"/>
      <c r="B1577" s="373"/>
      <c r="C1577" s="706"/>
      <c r="D1577" s="706"/>
      <c r="E1577" s="706"/>
      <c r="F1577" s="706"/>
      <c r="G1577" s="706"/>
      <c r="H1577" s="707"/>
      <c r="I1577" s="298"/>
      <c r="J1577" s="634"/>
      <c r="K1577" s="634"/>
      <c r="L1577" s="634"/>
      <c r="M1577" s="634"/>
      <c r="N1577" s="298"/>
      <c r="O1577" s="298"/>
      <c r="P1577" s="298"/>
      <c r="Q1577" s="298"/>
      <c r="R1577" s="298"/>
      <c r="S1577" s="536"/>
      <c r="T1577" s="635"/>
      <c r="U1577" s="298"/>
      <c r="V1577" s="298"/>
      <c r="W1577" s="298"/>
      <c r="X1577" s="298"/>
      <c r="Y1577" s="298"/>
      <c r="Z1577" s="298"/>
      <c r="AA1577" s="298"/>
      <c r="AB1577" s="298"/>
      <c r="AC1577" s="298"/>
      <c r="AD1577" s="298"/>
      <c r="AE1577" s="298"/>
      <c r="AF1577" s="298"/>
      <c r="AG1577" s="298"/>
      <c r="AH1577" s="298"/>
      <c r="AI1577" s="298"/>
      <c r="AJ1577" s="298"/>
      <c r="AK1577" s="298"/>
      <c r="AL1577" s="298"/>
      <c r="AM1577" s="298"/>
      <c r="AN1577" s="298"/>
      <c r="AO1577" s="298"/>
      <c r="AP1577" s="298"/>
      <c r="AQ1577" s="298"/>
      <c r="AR1577" s="298"/>
      <c r="AS1577" s="298"/>
      <c r="AT1577" s="298"/>
      <c r="AU1577" s="298"/>
      <c r="AV1577" s="298"/>
      <c r="AW1577" s="298"/>
      <c r="AX1577" s="298"/>
      <c r="AY1577" s="298"/>
      <c r="AZ1577" s="298"/>
      <c r="BA1577" s="298"/>
      <c r="BB1577" s="298"/>
      <c r="BC1577" s="298"/>
      <c r="BD1577" s="298"/>
      <c r="BE1577" s="298"/>
      <c r="BF1577" s="298"/>
      <c r="BG1577" s="298"/>
      <c r="BH1577" s="298"/>
      <c r="BI1577" s="298"/>
      <c r="BJ1577" s="298"/>
      <c r="BK1577" s="298"/>
      <c r="BL1577" s="298"/>
      <c r="BM1577" s="298"/>
      <c r="BN1577" s="298"/>
      <c r="BO1577" s="298"/>
      <c r="BP1577" s="298"/>
    </row>
    <row r="1578" spans="1:68" s="529" customFormat="1" ht="25.5">
      <c r="A1578" s="555"/>
      <c r="B1578" s="372" t="s">
        <v>18696</v>
      </c>
      <c r="C1578" s="231" t="s">
        <v>18699</v>
      </c>
      <c r="D1578" s="232" t="s">
        <v>103</v>
      </c>
      <c r="E1578" s="232" t="s">
        <v>5</v>
      </c>
      <c r="F1578" s="233"/>
      <c r="G1578" s="234"/>
      <c r="H1578" s="235">
        <v>9.629999999999999</v>
      </c>
      <c r="I1578" s="298"/>
      <c r="J1578" s="634"/>
      <c r="K1578" s="634"/>
      <c r="L1578" s="634"/>
      <c r="M1578" s="634"/>
      <c r="N1578" s="298"/>
      <c r="O1578" s="298"/>
      <c r="P1578" s="298"/>
      <c r="Q1578" s="298"/>
      <c r="R1578" s="298"/>
      <c r="S1578" s="536"/>
      <c r="T1578" s="635"/>
      <c r="U1578" s="298"/>
      <c r="V1578" s="298"/>
      <c r="W1578" s="298"/>
      <c r="X1578" s="298"/>
      <c r="Y1578" s="298"/>
      <c r="Z1578" s="298"/>
      <c r="AA1578" s="298"/>
      <c r="AB1578" s="298"/>
      <c r="AC1578" s="298"/>
      <c r="AD1578" s="298"/>
      <c r="AE1578" s="298"/>
      <c r="AF1578" s="298"/>
      <c r="AG1578" s="298"/>
      <c r="AH1578" s="298"/>
      <c r="AI1578" s="298"/>
      <c r="AJ1578" s="298"/>
      <c r="AK1578" s="298"/>
      <c r="AL1578" s="298"/>
      <c r="AM1578" s="298"/>
      <c r="AN1578" s="298"/>
      <c r="AO1578" s="298"/>
      <c r="AP1578" s="298"/>
      <c r="AQ1578" s="298"/>
      <c r="AR1578" s="298"/>
      <c r="AS1578" s="298"/>
      <c r="AT1578" s="298"/>
      <c r="AU1578" s="298"/>
      <c r="AV1578" s="298"/>
      <c r="AW1578" s="298"/>
      <c r="AX1578" s="298"/>
      <c r="AY1578" s="298"/>
      <c r="AZ1578" s="298"/>
      <c r="BA1578" s="298"/>
      <c r="BB1578" s="298"/>
      <c r="BC1578" s="298"/>
      <c r="BD1578" s="298"/>
      <c r="BE1578" s="298"/>
      <c r="BF1578" s="298"/>
      <c r="BG1578" s="298"/>
      <c r="BH1578" s="298"/>
      <c r="BI1578" s="298"/>
      <c r="BJ1578" s="298"/>
      <c r="BK1578" s="298"/>
      <c r="BL1578" s="298"/>
      <c r="BM1578" s="298"/>
      <c r="BN1578" s="298"/>
      <c r="BO1578" s="298"/>
      <c r="BP1578" s="298"/>
    </row>
    <row r="1579" spans="1:68" s="298" customFormat="1" ht="17.25" customHeight="1">
      <c r="A1579" s="256" t="s">
        <v>12</v>
      </c>
      <c r="B1579" s="288" t="s">
        <v>18684</v>
      </c>
      <c r="C1579" s="289" t="s">
        <v>18688</v>
      </c>
      <c r="D1579" s="290" t="s">
        <v>207</v>
      </c>
      <c r="E1579" s="290" t="s">
        <v>5</v>
      </c>
      <c r="F1579" s="383">
        <v>1.01</v>
      </c>
      <c r="G1579" s="292">
        <v>2.585</v>
      </c>
      <c r="H1579" s="255">
        <v>2.61</v>
      </c>
      <c r="S1579" s="536"/>
      <c r="T1579" s="635"/>
    </row>
    <row r="1580" spans="1:68" s="298" customFormat="1" ht="25.5">
      <c r="A1580" s="256" t="s">
        <v>3259</v>
      </c>
      <c r="B1580" s="288">
        <v>88267</v>
      </c>
      <c r="C1580" s="289" t="s">
        <v>107</v>
      </c>
      <c r="D1580" s="290" t="s">
        <v>9714</v>
      </c>
      <c r="E1580" s="290" t="s">
        <v>206</v>
      </c>
      <c r="F1580" s="383">
        <v>0.3</v>
      </c>
      <c r="G1580" s="292" t="s">
        <v>10792</v>
      </c>
      <c r="H1580" s="255">
        <v>7.02</v>
      </c>
      <c r="S1580" s="536"/>
      <c r="T1580" s="635"/>
    </row>
    <row r="1581" spans="1:68" s="529" customFormat="1" ht="12.75">
      <c r="A1581" s="286"/>
      <c r="B1581" s="375" t="s">
        <v>143</v>
      </c>
      <c r="C1581" s="816" t="s">
        <v>18701</v>
      </c>
      <c r="D1581" s="817"/>
      <c r="E1581" s="817"/>
      <c r="F1581" s="817"/>
      <c r="G1581" s="817"/>
      <c r="H1581" s="818"/>
      <c r="I1581" s="298"/>
      <c r="J1581" s="634"/>
      <c r="K1581" s="634"/>
      <c r="L1581" s="634"/>
      <c r="M1581" s="634"/>
      <c r="N1581" s="298"/>
      <c r="O1581" s="298"/>
      <c r="P1581" s="298"/>
      <c r="Q1581" s="298"/>
      <c r="R1581" s="298"/>
      <c r="S1581" s="536"/>
      <c r="T1581" s="635"/>
      <c r="U1581" s="298"/>
      <c r="V1581" s="298"/>
      <c r="W1581" s="298"/>
      <c r="X1581" s="298"/>
      <c r="Y1581" s="298"/>
      <c r="Z1581" s="298"/>
      <c r="AA1581" s="298"/>
      <c r="AB1581" s="298"/>
      <c r="AC1581" s="298"/>
      <c r="AD1581" s="298"/>
      <c r="AE1581" s="298"/>
      <c r="AF1581" s="298"/>
      <c r="AG1581" s="298"/>
      <c r="AH1581" s="298"/>
      <c r="AI1581" s="298"/>
      <c r="AJ1581" s="298"/>
      <c r="AK1581" s="298"/>
      <c r="AL1581" s="298"/>
      <c r="AM1581" s="298"/>
      <c r="AN1581" s="298"/>
      <c r="AO1581" s="298"/>
      <c r="AP1581" s="298"/>
      <c r="AQ1581" s="298"/>
      <c r="AR1581" s="298"/>
      <c r="AS1581" s="298"/>
      <c r="AT1581" s="298"/>
      <c r="AU1581" s="298"/>
      <c r="AV1581" s="298"/>
      <c r="AW1581" s="298"/>
      <c r="AX1581" s="298"/>
      <c r="AY1581" s="298"/>
      <c r="AZ1581" s="298"/>
      <c r="BA1581" s="298"/>
      <c r="BB1581" s="298"/>
      <c r="BC1581" s="298"/>
      <c r="BD1581" s="298"/>
      <c r="BE1581" s="298"/>
      <c r="BF1581" s="298"/>
      <c r="BG1581" s="298"/>
      <c r="BH1581" s="298"/>
      <c r="BI1581" s="298"/>
      <c r="BJ1581" s="298"/>
      <c r="BK1581" s="298"/>
      <c r="BL1581" s="298"/>
      <c r="BM1581" s="298"/>
      <c r="BN1581" s="298"/>
      <c r="BO1581" s="298"/>
      <c r="BP1581" s="298"/>
    </row>
    <row r="1582" spans="1:68" s="529" customFormat="1" ht="12.75">
      <c r="A1582" s="286"/>
      <c r="B1582" s="373"/>
      <c r="C1582" s="706"/>
      <c r="D1582" s="706"/>
      <c r="E1582" s="706"/>
      <c r="F1582" s="706"/>
      <c r="G1582" s="706"/>
      <c r="H1582" s="707"/>
      <c r="I1582" s="298"/>
      <c r="J1582" s="634"/>
      <c r="K1582" s="634"/>
      <c r="L1582" s="634"/>
      <c r="M1582" s="634"/>
      <c r="N1582" s="298"/>
      <c r="O1582" s="298"/>
      <c r="P1582" s="298"/>
      <c r="Q1582" s="298"/>
      <c r="R1582" s="298"/>
      <c r="S1582" s="536"/>
      <c r="T1582" s="635"/>
      <c r="U1582" s="298"/>
      <c r="V1582" s="298"/>
      <c r="W1582" s="298"/>
      <c r="X1582" s="298"/>
      <c r="Y1582" s="298"/>
      <c r="Z1582" s="298"/>
      <c r="AA1582" s="298"/>
      <c r="AB1582" s="298"/>
      <c r="AC1582" s="298"/>
      <c r="AD1582" s="298"/>
      <c r="AE1582" s="298"/>
      <c r="AF1582" s="298"/>
      <c r="AG1582" s="298"/>
      <c r="AH1582" s="298"/>
      <c r="AI1582" s="298"/>
      <c r="AJ1582" s="298"/>
      <c r="AK1582" s="298"/>
      <c r="AL1582" s="298"/>
      <c r="AM1582" s="298"/>
      <c r="AN1582" s="298"/>
      <c r="AO1582" s="298"/>
      <c r="AP1582" s="298"/>
      <c r="AQ1582" s="298"/>
      <c r="AR1582" s="298"/>
      <c r="AS1582" s="298"/>
      <c r="AT1582" s="298"/>
      <c r="AU1582" s="298"/>
      <c r="AV1582" s="298"/>
      <c r="AW1582" s="298"/>
      <c r="AX1582" s="298"/>
      <c r="AY1582" s="298"/>
      <c r="AZ1582" s="298"/>
      <c r="BA1582" s="298"/>
      <c r="BB1582" s="298"/>
      <c r="BC1582" s="298"/>
      <c r="BD1582" s="298"/>
      <c r="BE1582" s="298"/>
      <c r="BF1582" s="298"/>
      <c r="BG1582" s="298"/>
      <c r="BH1582" s="298"/>
      <c r="BI1582" s="298"/>
      <c r="BJ1582" s="298"/>
      <c r="BK1582" s="298"/>
      <c r="BL1582" s="298"/>
      <c r="BM1582" s="298"/>
      <c r="BN1582" s="298"/>
      <c r="BO1582" s="298"/>
      <c r="BP1582" s="298"/>
    </row>
    <row r="1583" spans="1:68" s="529" customFormat="1" ht="25.5">
      <c r="A1583" s="555"/>
      <c r="B1583" s="372" t="s">
        <v>18697</v>
      </c>
      <c r="C1583" s="231" t="s">
        <v>18698</v>
      </c>
      <c r="D1583" s="232" t="s">
        <v>103</v>
      </c>
      <c r="E1583" s="232" t="s">
        <v>5</v>
      </c>
      <c r="F1583" s="233"/>
      <c r="G1583" s="234"/>
      <c r="H1583" s="235">
        <v>11.14</v>
      </c>
      <c r="I1583" s="298"/>
      <c r="J1583" s="634"/>
      <c r="K1583" s="634"/>
      <c r="L1583" s="634"/>
      <c r="M1583" s="634"/>
      <c r="N1583" s="298"/>
      <c r="O1583" s="298"/>
      <c r="P1583" s="298"/>
      <c r="Q1583" s="298"/>
      <c r="R1583" s="298"/>
      <c r="S1583" s="536"/>
      <c r="T1583" s="635"/>
      <c r="U1583" s="298"/>
      <c r="V1583" s="298"/>
      <c r="W1583" s="298"/>
      <c r="X1583" s="298"/>
      <c r="Y1583" s="298"/>
      <c r="Z1583" s="298"/>
      <c r="AA1583" s="298"/>
      <c r="AB1583" s="298"/>
      <c r="AC1583" s="298"/>
      <c r="AD1583" s="298"/>
      <c r="AE1583" s="298"/>
      <c r="AF1583" s="298"/>
      <c r="AG1583" s="298"/>
      <c r="AH1583" s="298"/>
      <c r="AI1583" s="298"/>
      <c r="AJ1583" s="298"/>
      <c r="AK1583" s="298"/>
      <c r="AL1583" s="298"/>
      <c r="AM1583" s="298"/>
      <c r="AN1583" s="298"/>
      <c r="AO1583" s="298"/>
      <c r="AP1583" s="298"/>
      <c r="AQ1583" s="298"/>
      <c r="AR1583" s="298"/>
      <c r="AS1583" s="298"/>
      <c r="AT1583" s="298"/>
      <c r="AU1583" s="298"/>
      <c r="AV1583" s="298"/>
      <c r="AW1583" s="298"/>
      <c r="AX1583" s="298"/>
      <c r="AY1583" s="298"/>
      <c r="AZ1583" s="298"/>
      <c r="BA1583" s="298"/>
      <c r="BB1583" s="298"/>
      <c r="BC1583" s="298"/>
      <c r="BD1583" s="298"/>
      <c r="BE1583" s="298"/>
      <c r="BF1583" s="298"/>
      <c r="BG1583" s="298"/>
      <c r="BH1583" s="298"/>
      <c r="BI1583" s="298"/>
      <c r="BJ1583" s="298"/>
      <c r="BK1583" s="298"/>
      <c r="BL1583" s="298"/>
      <c r="BM1583" s="298"/>
      <c r="BN1583" s="298"/>
      <c r="BO1583" s="298"/>
      <c r="BP1583" s="298"/>
    </row>
    <row r="1584" spans="1:68" s="298" customFormat="1" ht="17.25" customHeight="1">
      <c r="A1584" s="256" t="s">
        <v>12</v>
      </c>
      <c r="B1584" s="288" t="s">
        <v>18685</v>
      </c>
      <c r="C1584" s="289" t="s">
        <v>18687</v>
      </c>
      <c r="D1584" s="290" t="s">
        <v>207</v>
      </c>
      <c r="E1584" s="290" t="s">
        <v>5</v>
      </c>
      <c r="F1584" s="383">
        <v>1.01</v>
      </c>
      <c r="G1584" s="292">
        <v>4.085</v>
      </c>
      <c r="H1584" s="255">
        <v>4.12</v>
      </c>
      <c r="S1584" s="536"/>
      <c r="T1584" s="635"/>
    </row>
    <row r="1585" spans="1:68" s="298" customFormat="1" ht="25.5">
      <c r="A1585" s="256" t="s">
        <v>3259</v>
      </c>
      <c r="B1585" s="288">
        <v>88267</v>
      </c>
      <c r="C1585" s="289" t="s">
        <v>107</v>
      </c>
      <c r="D1585" s="290" t="s">
        <v>9714</v>
      </c>
      <c r="E1585" s="290" t="s">
        <v>206</v>
      </c>
      <c r="F1585" s="383">
        <v>0.3</v>
      </c>
      <c r="G1585" s="292" t="s">
        <v>10792</v>
      </c>
      <c r="H1585" s="255">
        <v>7.02</v>
      </c>
      <c r="S1585" s="536"/>
      <c r="T1585" s="635"/>
    </row>
    <row r="1586" spans="1:68" s="529" customFormat="1" ht="12.75">
      <c r="A1586" s="286"/>
      <c r="B1586" s="375" t="s">
        <v>143</v>
      </c>
      <c r="C1586" s="816" t="s">
        <v>18701</v>
      </c>
      <c r="D1586" s="817"/>
      <c r="E1586" s="817"/>
      <c r="F1586" s="817"/>
      <c r="G1586" s="817"/>
      <c r="H1586" s="818"/>
      <c r="I1586" s="298"/>
      <c r="J1586" s="634"/>
      <c r="K1586" s="634"/>
      <c r="L1586" s="634"/>
      <c r="M1586" s="634"/>
      <c r="N1586" s="298"/>
      <c r="O1586" s="298"/>
      <c r="P1586" s="298"/>
      <c r="Q1586" s="298"/>
      <c r="R1586" s="298"/>
      <c r="S1586" s="536"/>
      <c r="T1586" s="635"/>
      <c r="U1586" s="298"/>
      <c r="V1586" s="298"/>
      <c r="W1586" s="298"/>
      <c r="X1586" s="298"/>
      <c r="Y1586" s="298"/>
      <c r="Z1586" s="298"/>
      <c r="AA1586" s="298"/>
      <c r="AB1586" s="298"/>
      <c r="AC1586" s="298"/>
      <c r="AD1586" s="298"/>
      <c r="AE1586" s="298"/>
      <c r="AF1586" s="298"/>
      <c r="AG1586" s="298"/>
      <c r="AH1586" s="298"/>
      <c r="AI1586" s="298"/>
      <c r="AJ1586" s="298"/>
      <c r="AK1586" s="298"/>
      <c r="AL1586" s="298"/>
      <c r="AM1586" s="298"/>
      <c r="AN1586" s="298"/>
      <c r="AO1586" s="298"/>
      <c r="AP1586" s="298"/>
      <c r="AQ1586" s="298"/>
      <c r="AR1586" s="298"/>
      <c r="AS1586" s="298"/>
      <c r="AT1586" s="298"/>
      <c r="AU1586" s="298"/>
      <c r="AV1586" s="298"/>
      <c r="AW1586" s="298"/>
      <c r="AX1586" s="298"/>
      <c r="AY1586" s="298"/>
      <c r="AZ1586" s="298"/>
      <c r="BA1586" s="298"/>
      <c r="BB1586" s="298"/>
      <c r="BC1586" s="298"/>
      <c r="BD1586" s="298"/>
      <c r="BE1586" s="298"/>
      <c r="BF1586" s="298"/>
      <c r="BG1586" s="298"/>
      <c r="BH1586" s="298"/>
      <c r="BI1586" s="298"/>
      <c r="BJ1586" s="298"/>
      <c r="BK1586" s="298"/>
      <c r="BL1586" s="298"/>
      <c r="BM1586" s="298"/>
      <c r="BN1586" s="298"/>
      <c r="BO1586" s="298"/>
      <c r="BP1586" s="298"/>
    </row>
    <row r="1587" spans="1:68" s="298" customFormat="1" ht="12.75">
      <c r="A1587" s="286"/>
      <c r="B1587" s="822"/>
      <c r="C1587" s="817"/>
      <c r="D1587" s="817"/>
      <c r="E1587" s="817"/>
      <c r="F1587" s="817"/>
      <c r="G1587" s="817"/>
      <c r="H1587" s="818"/>
      <c r="J1587" s="634"/>
      <c r="S1587" s="536"/>
      <c r="T1587" s="635"/>
    </row>
    <row r="1588" spans="1:68" s="298" customFormat="1" ht="38.25">
      <c r="A1588" s="286"/>
      <c r="B1588" s="372" t="s">
        <v>9012</v>
      </c>
      <c r="C1588" s="231" t="s">
        <v>16963</v>
      </c>
      <c r="D1588" s="232" t="s">
        <v>103</v>
      </c>
      <c r="E1588" s="232" t="s">
        <v>109</v>
      </c>
      <c r="F1588" s="233"/>
      <c r="G1588" s="234"/>
      <c r="H1588" s="235">
        <v>4937.45</v>
      </c>
      <c r="J1588" s="521"/>
      <c r="L1588" s="256"/>
      <c r="M1588" s="256"/>
      <c r="N1588" s="256"/>
      <c r="O1588" s="256"/>
      <c r="S1588" s="536"/>
      <c r="T1588" s="635"/>
    </row>
    <row r="1589" spans="1:68" s="298" customFormat="1" ht="51">
      <c r="A1589" s="256" t="s">
        <v>3261</v>
      </c>
      <c r="B1589" s="374">
        <v>1570</v>
      </c>
      <c r="C1589" s="289" t="s">
        <v>8429</v>
      </c>
      <c r="D1589" s="290" t="s">
        <v>207</v>
      </c>
      <c r="E1589" s="290" t="s">
        <v>3240</v>
      </c>
      <c r="F1589" s="383">
        <v>81</v>
      </c>
      <c r="G1589" s="292" t="s">
        <v>9845</v>
      </c>
      <c r="H1589" s="255">
        <v>68.849999999999994</v>
      </c>
      <c r="J1589" s="521"/>
      <c r="L1589" s="256"/>
      <c r="M1589" s="256"/>
      <c r="N1589" s="256"/>
      <c r="O1589" s="256"/>
      <c r="S1589" s="536"/>
      <c r="T1589" s="635"/>
    </row>
    <row r="1590" spans="1:68" s="298" customFormat="1" ht="51">
      <c r="A1590" s="256" t="s">
        <v>3261</v>
      </c>
      <c r="B1590" s="374">
        <v>1571</v>
      </c>
      <c r="C1590" s="289" t="s">
        <v>8432</v>
      </c>
      <c r="D1590" s="290" t="s">
        <v>207</v>
      </c>
      <c r="E1590" s="290" t="s">
        <v>3240</v>
      </c>
      <c r="F1590" s="383">
        <v>6</v>
      </c>
      <c r="G1590" s="292" t="s">
        <v>11202</v>
      </c>
      <c r="H1590" s="255">
        <v>6.66</v>
      </c>
      <c r="J1590" s="521"/>
      <c r="L1590" s="256"/>
      <c r="M1590" s="256"/>
      <c r="N1590" s="256"/>
      <c r="O1590" s="256"/>
      <c r="S1590" s="536"/>
      <c r="T1590" s="635"/>
    </row>
    <row r="1591" spans="1:68" s="298" customFormat="1" ht="51">
      <c r="A1591" s="256" t="s">
        <v>3261</v>
      </c>
      <c r="B1591" s="374">
        <v>1573</v>
      </c>
      <c r="C1591" s="289" t="s">
        <v>8434</v>
      </c>
      <c r="D1591" s="290" t="s">
        <v>207</v>
      </c>
      <c r="E1591" s="290" t="s">
        <v>3240</v>
      </c>
      <c r="F1591" s="383">
        <v>5</v>
      </c>
      <c r="G1591" s="292" t="s">
        <v>11172</v>
      </c>
      <c r="H1591" s="255">
        <v>6.6</v>
      </c>
      <c r="J1591" s="521"/>
      <c r="L1591" s="256"/>
      <c r="M1591" s="256"/>
      <c r="N1591" s="256"/>
      <c r="O1591" s="256"/>
      <c r="S1591" s="536"/>
      <c r="T1591" s="635"/>
    </row>
    <row r="1592" spans="1:68" s="298" customFormat="1" ht="51">
      <c r="A1592" s="256" t="s">
        <v>3261</v>
      </c>
      <c r="B1592" s="374">
        <v>1574</v>
      </c>
      <c r="C1592" s="289" t="s">
        <v>8426</v>
      </c>
      <c r="D1592" s="290" t="s">
        <v>207</v>
      </c>
      <c r="E1592" s="290" t="s">
        <v>3240</v>
      </c>
      <c r="F1592" s="383">
        <v>10</v>
      </c>
      <c r="G1592" s="292" t="s">
        <v>12375</v>
      </c>
      <c r="H1592" s="255">
        <v>14.3</v>
      </c>
      <c r="J1592" s="521"/>
      <c r="K1592" s="601" t="s">
        <v>11591</v>
      </c>
      <c r="L1592" s="579">
        <v>2.5</v>
      </c>
      <c r="M1592" s="579">
        <v>4</v>
      </c>
      <c r="N1592" s="579">
        <v>6</v>
      </c>
      <c r="O1592" s="602">
        <v>10</v>
      </c>
      <c r="S1592" s="536"/>
      <c r="T1592" s="635"/>
    </row>
    <row r="1593" spans="1:68" s="298" customFormat="1" ht="25.5">
      <c r="A1593" s="256" t="s">
        <v>3259</v>
      </c>
      <c r="B1593" s="374">
        <v>88247</v>
      </c>
      <c r="C1593" s="289" t="s">
        <v>145</v>
      </c>
      <c r="D1593" s="290" t="s">
        <v>9714</v>
      </c>
      <c r="E1593" s="290" t="s">
        <v>206</v>
      </c>
      <c r="F1593" s="383">
        <v>8</v>
      </c>
      <c r="G1593" s="292" t="s">
        <v>12206</v>
      </c>
      <c r="H1593" s="255">
        <v>149.91999999999999</v>
      </c>
      <c r="J1593" s="521"/>
      <c r="K1593" s="257" t="s">
        <v>11592</v>
      </c>
      <c r="L1593" s="258">
        <f>0.04*F1589</f>
        <v>3.24</v>
      </c>
      <c r="M1593" s="258">
        <f>0.04
*F1590</f>
        <v>0.24</v>
      </c>
      <c r="N1593" s="258">
        <f>0.04*F1591</f>
        <v>0.2</v>
      </c>
      <c r="O1593" s="259">
        <f>0.04*F1592</f>
        <v>0.4</v>
      </c>
      <c r="S1593" s="536"/>
      <c r="T1593" s="635"/>
    </row>
    <row r="1594" spans="1:68" s="298" customFormat="1" ht="25.5">
      <c r="A1594" s="256" t="s">
        <v>3259</v>
      </c>
      <c r="B1594" s="374">
        <v>88264</v>
      </c>
      <c r="C1594" s="289" t="s">
        <v>146</v>
      </c>
      <c r="D1594" s="290" t="s">
        <v>9714</v>
      </c>
      <c r="E1594" s="290" t="s">
        <v>206</v>
      </c>
      <c r="F1594" s="383">
        <v>12.08</v>
      </c>
      <c r="G1594" s="292" t="s">
        <v>16504</v>
      </c>
      <c r="H1594" s="255">
        <v>291.12</v>
      </c>
      <c r="J1594" s="521"/>
      <c r="L1594" s="256"/>
      <c r="M1594" s="256"/>
      <c r="N1594" s="256"/>
      <c r="O1594" s="256"/>
      <c r="S1594" s="536"/>
      <c r="T1594" s="635"/>
    </row>
    <row r="1595" spans="1:68" s="298" customFormat="1" ht="25.5">
      <c r="A1595" s="256" t="s">
        <v>12</v>
      </c>
      <c r="B1595" s="374" t="s">
        <v>9609</v>
      </c>
      <c r="C1595" s="289" t="s">
        <v>15750</v>
      </c>
      <c r="D1595" s="290" t="s">
        <v>207</v>
      </c>
      <c r="E1595" s="290" t="s">
        <v>109</v>
      </c>
      <c r="F1595" s="383">
        <v>1</v>
      </c>
      <c r="G1595" s="292">
        <v>4400</v>
      </c>
      <c r="H1595" s="255">
        <v>4400</v>
      </c>
      <c r="J1595" s="521"/>
      <c r="L1595" s="256"/>
      <c r="M1595" s="256"/>
      <c r="N1595" s="256"/>
      <c r="O1595" s="256"/>
      <c r="S1595" s="536"/>
      <c r="T1595" s="635"/>
    </row>
    <row r="1596" spans="1:68" s="298" customFormat="1">
      <c r="A1596" s="256"/>
      <c r="B1596" s="288" t="s">
        <v>143</v>
      </c>
      <c r="C1596" s="238" t="s">
        <v>16964</v>
      </c>
      <c r="D1596" s="386"/>
      <c r="E1596" s="386"/>
      <c r="F1596" s="386"/>
      <c r="G1596" s="386"/>
      <c r="H1596" s="387"/>
      <c r="J1596" s="521"/>
      <c r="L1596" s="648"/>
      <c r="M1596" s="648"/>
      <c r="S1596" s="536"/>
      <c r="T1596" s="635"/>
    </row>
    <row r="1597" spans="1:68" s="529" customFormat="1" ht="12.75">
      <c r="A1597" s="286"/>
      <c r="B1597" s="293"/>
      <c r="C1597" s="229"/>
      <c r="D1597" s="230"/>
      <c r="E1597" s="230"/>
      <c r="F1597" s="230"/>
      <c r="G1597" s="230"/>
      <c r="H1597" s="230"/>
      <c r="I1597" s="298"/>
      <c r="J1597" s="521"/>
      <c r="K1597" s="298"/>
      <c r="L1597" s="298"/>
      <c r="M1597" s="298"/>
      <c r="N1597" s="298"/>
      <c r="O1597" s="298"/>
      <c r="P1597" s="298"/>
      <c r="Q1597" s="298"/>
      <c r="R1597" s="298"/>
      <c r="S1597" s="536"/>
      <c r="T1597" s="635"/>
      <c r="U1597" s="298"/>
      <c r="V1597" s="298"/>
      <c r="W1597" s="298"/>
      <c r="X1597" s="298"/>
      <c r="Y1597" s="298"/>
      <c r="Z1597" s="298"/>
      <c r="AA1597" s="298"/>
      <c r="AB1597" s="298"/>
      <c r="AC1597" s="298"/>
      <c r="AD1597" s="298"/>
      <c r="AE1597" s="298"/>
      <c r="AF1597" s="298"/>
      <c r="AG1597" s="298"/>
      <c r="AH1597" s="298"/>
      <c r="AI1597" s="298"/>
      <c r="AJ1597" s="298"/>
      <c r="AK1597" s="298"/>
      <c r="AL1597" s="298"/>
      <c r="AM1597" s="298"/>
      <c r="AN1597" s="298"/>
      <c r="AO1597" s="298"/>
      <c r="AP1597" s="298"/>
      <c r="AQ1597" s="298"/>
      <c r="AR1597" s="298"/>
      <c r="AS1597" s="298"/>
      <c r="AT1597" s="298"/>
      <c r="AU1597" s="298"/>
      <c r="AV1597" s="298"/>
      <c r="AW1597" s="298"/>
      <c r="AX1597" s="298"/>
      <c r="AY1597" s="298"/>
      <c r="AZ1597" s="298"/>
      <c r="BA1597" s="298"/>
      <c r="BB1597" s="298"/>
      <c r="BC1597" s="298"/>
      <c r="BD1597" s="298"/>
      <c r="BE1597" s="298"/>
      <c r="BF1597" s="298"/>
      <c r="BG1597" s="298"/>
      <c r="BH1597" s="298"/>
      <c r="BI1597" s="298"/>
      <c r="BJ1597" s="298"/>
      <c r="BK1597" s="298"/>
      <c r="BL1597" s="298"/>
      <c r="BM1597" s="298"/>
      <c r="BN1597" s="298"/>
      <c r="BO1597" s="298"/>
      <c r="BP1597" s="298"/>
    </row>
    <row r="1598" spans="1:68" s="298" customFormat="1" ht="38.25">
      <c r="A1598" s="286"/>
      <c r="B1598" s="372" t="s">
        <v>9013</v>
      </c>
      <c r="C1598" s="231" t="s">
        <v>16965</v>
      </c>
      <c r="D1598" s="232" t="s">
        <v>103</v>
      </c>
      <c r="E1598" s="232" t="s">
        <v>109</v>
      </c>
      <c r="F1598" s="233"/>
      <c r="G1598" s="234"/>
      <c r="H1598" s="235">
        <v>1435.95</v>
      </c>
      <c r="J1598" s="521"/>
      <c r="L1598" s="256"/>
      <c r="M1598" s="256"/>
      <c r="N1598" s="256"/>
      <c r="O1598" s="256"/>
      <c r="S1598" s="536"/>
      <c r="T1598" s="635"/>
    </row>
    <row r="1599" spans="1:68" s="298" customFormat="1" ht="51">
      <c r="A1599" s="256" t="s">
        <v>3261</v>
      </c>
      <c r="B1599" s="374">
        <v>1570</v>
      </c>
      <c r="C1599" s="289" t="s">
        <v>8429</v>
      </c>
      <c r="D1599" s="290" t="s">
        <v>207</v>
      </c>
      <c r="E1599" s="290" t="s">
        <v>3240</v>
      </c>
      <c r="F1599" s="383">
        <v>50</v>
      </c>
      <c r="G1599" s="292" t="s">
        <v>9845</v>
      </c>
      <c r="H1599" s="255">
        <v>42.5</v>
      </c>
      <c r="J1599" s="521"/>
      <c r="L1599" s="601" t="s">
        <v>11591</v>
      </c>
      <c r="M1599" s="579">
        <v>2.5</v>
      </c>
      <c r="N1599" s="579">
        <v>6</v>
      </c>
      <c r="O1599" s="602">
        <v>16</v>
      </c>
      <c r="S1599" s="536"/>
      <c r="T1599" s="635"/>
    </row>
    <row r="1600" spans="1:68" s="298" customFormat="1" ht="25.5">
      <c r="A1600" s="256" t="s">
        <v>3259</v>
      </c>
      <c r="B1600" s="374">
        <v>88247</v>
      </c>
      <c r="C1600" s="289" t="s">
        <v>145</v>
      </c>
      <c r="D1600" s="290" t="s">
        <v>9714</v>
      </c>
      <c r="E1600" s="290" t="s">
        <v>206</v>
      </c>
      <c r="F1600" s="383">
        <v>1.5233000000000001</v>
      </c>
      <c r="G1600" s="292" t="s">
        <v>12206</v>
      </c>
      <c r="H1600" s="255">
        <v>28.54</v>
      </c>
      <c r="J1600" s="521"/>
      <c r="L1600" s="257" t="s">
        <v>11592</v>
      </c>
      <c r="M1600" s="258">
        <f>0.04*F1599</f>
        <v>2</v>
      </c>
      <c r="N1600" s="258"/>
      <c r="O1600" s="259"/>
      <c r="S1600" s="536"/>
      <c r="T1600" s="635"/>
    </row>
    <row r="1601" spans="1:68" s="298" customFormat="1" ht="25.5">
      <c r="A1601" s="256" t="s">
        <v>3259</v>
      </c>
      <c r="B1601" s="374">
        <v>88264</v>
      </c>
      <c r="C1601" s="289" t="s">
        <v>146</v>
      </c>
      <c r="D1601" s="290" t="s">
        <v>9714</v>
      </c>
      <c r="E1601" s="290" t="s">
        <v>206</v>
      </c>
      <c r="F1601" s="383">
        <v>3.5232999999999999</v>
      </c>
      <c r="G1601" s="292" t="s">
        <v>16504</v>
      </c>
      <c r="H1601" s="255">
        <v>84.91</v>
      </c>
      <c r="J1601" s="521"/>
      <c r="L1601" s="256"/>
      <c r="M1601" s="256"/>
      <c r="N1601" s="256"/>
      <c r="O1601" s="256"/>
      <c r="S1601" s="536"/>
      <c r="T1601" s="635"/>
    </row>
    <row r="1602" spans="1:68" s="298" customFormat="1" ht="25.5">
      <c r="A1602" s="256" t="s">
        <v>12</v>
      </c>
      <c r="B1602" s="374" t="s">
        <v>9610</v>
      </c>
      <c r="C1602" s="289" t="s">
        <v>15751</v>
      </c>
      <c r="D1602" s="290" t="s">
        <v>207</v>
      </c>
      <c r="E1602" s="290" t="s">
        <v>109</v>
      </c>
      <c r="F1602" s="383">
        <v>1</v>
      </c>
      <c r="G1602" s="292">
        <v>1280</v>
      </c>
      <c r="H1602" s="255">
        <v>1280</v>
      </c>
      <c r="J1602" s="521"/>
      <c r="L1602" s="256"/>
      <c r="M1602" s="256"/>
      <c r="N1602" s="256"/>
      <c r="O1602" s="256"/>
      <c r="S1602" s="536"/>
      <c r="T1602" s="635"/>
    </row>
    <row r="1603" spans="1:68" s="298" customFormat="1">
      <c r="A1603" s="256"/>
      <c r="B1603" s="288" t="s">
        <v>143</v>
      </c>
      <c r="C1603" s="238" t="s">
        <v>16964</v>
      </c>
      <c r="D1603" s="386"/>
      <c r="E1603" s="386"/>
      <c r="F1603" s="386"/>
      <c r="G1603" s="386"/>
      <c r="H1603" s="387"/>
      <c r="J1603" s="521"/>
      <c r="L1603" s="648"/>
      <c r="M1603" s="648"/>
      <c r="S1603" s="536"/>
      <c r="T1603" s="635"/>
    </row>
    <row r="1604" spans="1:68" s="529" customFormat="1" ht="12.75">
      <c r="A1604" s="286"/>
      <c r="B1604" s="293"/>
      <c r="C1604" s="229"/>
      <c r="D1604" s="230"/>
      <c r="E1604" s="230"/>
      <c r="F1604" s="230"/>
      <c r="G1604" s="230"/>
      <c r="H1604" s="230"/>
      <c r="I1604" s="298"/>
      <c r="J1604" s="521"/>
      <c r="K1604" s="298"/>
      <c r="L1604" s="298"/>
      <c r="M1604" s="298"/>
      <c r="N1604" s="298"/>
      <c r="O1604" s="298"/>
      <c r="P1604" s="298"/>
      <c r="Q1604" s="298"/>
      <c r="R1604" s="298"/>
      <c r="S1604" s="536"/>
      <c r="T1604" s="635"/>
      <c r="U1604" s="298"/>
      <c r="V1604" s="298"/>
      <c r="W1604" s="298"/>
      <c r="X1604" s="298"/>
      <c r="Y1604" s="298"/>
      <c r="Z1604" s="298"/>
      <c r="AA1604" s="298"/>
      <c r="AB1604" s="298"/>
      <c r="AC1604" s="298"/>
      <c r="AD1604" s="298"/>
      <c r="AE1604" s="298"/>
      <c r="AF1604" s="298"/>
      <c r="AG1604" s="298"/>
      <c r="AH1604" s="298"/>
      <c r="AI1604" s="298"/>
      <c r="AJ1604" s="298"/>
      <c r="AK1604" s="298"/>
      <c r="AL1604" s="298"/>
      <c r="AM1604" s="298"/>
      <c r="AN1604" s="298"/>
      <c r="AO1604" s="298"/>
      <c r="AP1604" s="298"/>
      <c r="AQ1604" s="298"/>
      <c r="AR1604" s="298"/>
      <c r="AS1604" s="298"/>
      <c r="AT1604" s="298"/>
      <c r="AU1604" s="298"/>
      <c r="AV1604" s="298"/>
      <c r="AW1604" s="298"/>
      <c r="AX1604" s="298"/>
      <c r="AY1604" s="298"/>
      <c r="AZ1604" s="298"/>
      <c r="BA1604" s="298"/>
      <c r="BB1604" s="298"/>
      <c r="BC1604" s="298"/>
      <c r="BD1604" s="298"/>
      <c r="BE1604" s="298"/>
      <c r="BF1604" s="298"/>
      <c r="BG1604" s="298"/>
      <c r="BH1604" s="298"/>
      <c r="BI1604" s="298"/>
      <c r="BJ1604" s="298"/>
      <c r="BK1604" s="298"/>
      <c r="BL1604" s="298"/>
      <c r="BM1604" s="298"/>
      <c r="BN1604" s="298"/>
      <c r="BO1604" s="298"/>
      <c r="BP1604" s="298"/>
    </row>
    <row r="1605" spans="1:68" s="298" customFormat="1" ht="38.25">
      <c r="A1605" s="286"/>
      <c r="B1605" s="372" t="s">
        <v>9014</v>
      </c>
      <c r="C1605" s="231" t="s">
        <v>18458</v>
      </c>
      <c r="D1605" s="232" t="s">
        <v>103</v>
      </c>
      <c r="E1605" s="232" t="s">
        <v>109</v>
      </c>
      <c r="F1605" s="233"/>
      <c r="G1605" s="234"/>
      <c r="H1605" s="235">
        <v>556.15</v>
      </c>
      <c r="J1605" s="521"/>
      <c r="L1605" s="256"/>
      <c r="M1605" s="256"/>
      <c r="N1605" s="256"/>
      <c r="O1605" s="256"/>
      <c r="S1605" s="536"/>
      <c r="T1605" s="635"/>
    </row>
    <row r="1606" spans="1:68" s="298" customFormat="1" ht="51">
      <c r="A1606" s="256" t="s">
        <v>3261</v>
      </c>
      <c r="B1606" s="374">
        <v>1570</v>
      </c>
      <c r="C1606" s="289" t="s">
        <v>8429</v>
      </c>
      <c r="D1606" s="290" t="s">
        <v>207</v>
      </c>
      <c r="E1606" s="290" t="s">
        <v>3240</v>
      </c>
      <c r="F1606" s="383">
        <v>12</v>
      </c>
      <c r="G1606" s="292" t="s">
        <v>9845</v>
      </c>
      <c r="H1606" s="255">
        <v>10.199999999999999</v>
      </c>
      <c r="J1606" s="521"/>
      <c r="L1606" s="256"/>
      <c r="M1606" s="256"/>
      <c r="N1606" s="256"/>
      <c r="O1606" s="256"/>
      <c r="S1606" s="536"/>
      <c r="T1606" s="635"/>
    </row>
    <row r="1607" spans="1:68" s="298" customFormat="1" ht="51">
      <c r="A1607" s="256" t="s">
        <v>3261</v>
      </c>
      <c r="B1607" s="374">
        <v>1573</v>
      </c>
      <c r="C1607" s="289" t="s">
        <v>8434</v>
      </c>
      <c r="D1607" s="290" t="s">
        <v>207</v>
      </c>
      <c r="E1607" s="290" t="s">
        <v>3240</v>
      </c>
      <c r="F1607" s="383">
        <v>4</v>
      </c>
      <c r="G1607" s="292" t="s">
        <v>11172</v>
      </c>
      <c r="H1607" s="255">
        <v>5.28</v>
      </c>
      <c r="J1607" s="521"/>
      <c r="L1607" s="601" t="s">
        <v>11591</v>
      </c>
      <c r="M1607" s="579">
        <v>2.5</v>
      </c>
      <c r="N1607" s="579">
        <v>6</v>
      </c>
      <c r="O1607" s="602">
        <v>16</v>
      </c>
      <c r="S1607" s="536"/>
      <c r="T1607" s="635"/>
    </row>
    <row r="1608" spans="1:68" s="298" customFormat="1" ht="25.5">
      <c r="A1608" s="256" t="s">
        <v>3259</v>
      </c>
      <c r="B1608" s="374">
        <v>88247</v>
      </c>
      <c r="C1608" s="289" t="s">
        <v>145</v>
      </c>
      <c r="D1608" s="290" t="s">
        <v>9714</v>
      </c>
      <c r="E1608" s="290" t="s">
        <v>206</v>
      </c>
      <c r="F1608" s="383">
        <v>1.5233000000000001</v>
      </c>
      <c r="G1608" s="292" t="s">
        <v>12206</v>
      </c>
      <c r="H1608" s="255">
        <v>28.54</v>
      </c>
      <c r="J1608" s="521"/>
      <c r="L1608" s="257" t="s">
        <v>11592</v>
      </c>
      <c r="M1608" s="258">
        <f>0.04
*F1606</f>
        <v>0.48</v>
      </c>
      <c r="N1608" s="258">
        <f>0.04*F1607</f>
        <v>0.16</v>
      </c>
      <c r="O1608" s="259"/>
      <c r="S1608" s="536"/>
      <c r="T1608" s="635"/>
    </row>
    <row r="1609" spans="1:68" s="298" customFormat="1" ht="25.5">
      <c r="A1609" s="256" t="s">
        <v>3259</v>
      </c>
      <c r="B1609" s="374">
        <v>88264</v>
      </c>
      <c r="C1609" s="289" t="s">
        <v>146</v>
      </c>
      <c r="D1609" s="290" t="s">
        <v>9714</v>
      </c>
      <c r="E1609" s="290" t="s">
        <v>206</v>
      </c>
      <c r="F1609" s="383">
        <v>2.1633000000000004</v>
      </c>
      <c r="G1609" s="292" t="s">
        <v>16504</v>
      </c>
      <c r="H1609" s="255">
        <v>52.13</v>
      </c>
      <c r="J1609" s="521"/>
      <c r="L1609" s="256"/>
      <c r="M1609" s="256"/>
      <c r="N1609" s="256"/>
      <c r="O1609" s="256"/>
      <c r="S1609" s="536"/>
      <c r="T1609" s="635"/>
    </row>
    <row r="1610" spans="1:68" s="298" customFormat="1" ht="25.5">
      <c r="A1610" s="256" t="s">
        <v>12</v>
      </c>
      <c r="B1610" s="374" t="s">
        <v>9611</v>
      </c>
      <c r="C1610" s="289" t="s">
        <v>15752</v>
      </c>
      <c r="D1610" s="290" t="s">
        <v>207</v>
      </c>
      <c r="E1610" s="290" t="s">
        <v>109</v>
      </c>
      <c r="F1610" s="383">
        <v>1</v>
      </c>
      <c r="G1610" s="292">
        <v>460</v>
      </c>
      <c r="H1610" s="255">
        <v>460</v>
      </c>
      <c r="J1610" s="521"/>
      <c r="L1610" s="256"/>
      <c r="M1610" s="256"/>
      <c r="N1610" s="256"/>
      <c r="O1610" s="256"/>
      <c r="S1610" s="536"/>
      <c r="T1610" s="635"/>
    </row>
    <row r="1611" spans="1:68" s="298" customFormat="1">
      <c r="A1611" s="256"/>
      <c r="B1611" s="288" t="s">
        <v>143</v>
      </c>
      <c r="C1611" s="238" t="s">
        <v>16966</v>
      </c>
      <c r="D1611" s="386"/>
      <c r="E1611" s="386"/>
      <c r="F1611" s="386"/>
      <c r="G1611" s="386"/>
      <c r="H1611" s="387"/>
      <c r="J1611" s="521"/>
      <c r="L1611" s="648"/>
      <c r="M1611" s="648"/>
      <c r="S1611" s="536"/>
      <c r="T1611" s="635"/>
    </row>
    <row r="1612" spans="1:68" s="529" customFormat="1" ht="12.75">
      <c r="A1612" s="286"/>
      <c r="B1612" s="293"/>
      <c r="C1612" s="229"/>
      <c r="D1612" s="230"/>
      <c r="E1612" s="230"/>
      <c r="F1612" s="230"/>
      <c r="G1612" s="230"/>
      <c r="H1612" s="230"/>
      <c r="I1612" s="298"/>
      <c r="J1612" s="521"/>
      <c r="K1612" s="298"/>
      <c r="L1612" s="298"/>
      <c r="M1612" s="298"/>
      <c r="N1612" s="298"/>
      <c r="O1612" s="298"/>
      <c r="P1612" s="298"/>
      <c r="Q1612" s="298"/>
      <c r="R1612" s="298"/>
      <c r="S1612" s="536"/>
      <c r="T1612" s="635"/>
      <c r="U1612" s="298"/>
      <c r="V1612" s="298"/>
      <c r="W1612" s="298"/>
      <c r="X1612" s="298"/>
      <c r="Y1612" s="298"/>
      <c r="Z1612" s="298"/>
      <c r="AA1612" s="298"/>
      <c r="AB1612" s="298"/>
      <c r="AC1612" s="298"/>
      <c r="AD1612" s="298"/>
      <c r="AE1612" s="298"/>
      <c r="AF1612" s="298"/>
      <c r="AG1612" s="298"/>
      <c r="AH1612" s="298"/>
      <c r="AI1612" s="298"/>
      <c r="AJ1612" s="298"/>
      <c r="AK1612" s="298"/>
      <c r="AL1612" s="298"/>
      <c r="AM1612" s="298"/>
      <c r="AN1612" s="298"/>
      <c r="AO1612" s="298"/>
      <c r="AP1612" s="298"/>
      <c r="AQ1612" s="298"/>
      <c r="AR1612" s="298"/>
      <c r="AS1612" s="298"/>
      <c r="AT1612" s="298"/>
      <c r="AU1612" s="298"/>
      <c r="AV1612" s="298"/>
      <c r="AW1612" s="298"/>
      <c r="AX1612" s="298"/>
      <c r="AY1612" s="298"/>
      <c r="AZ1612" s="298"/>
      <c r="BA1612" s="298"/>
      <c r="BB1612" s="298"/>
      <c r="BC1612" s="298"/>
      <c r="BD1612" s="298"/>
      <c r="BE1612" s="298"/>
      <c r="BF1612" s="298"/>
      <c r="BG1612" s="298"/>
      <c r="BH1612" s="298"/>
      <c r="BI1612" s="298"/>
      <c r="BJ1612" s="298"/>
      <c r="BK1612" s="298"/>
      <c r="BL1612" s="298"/>
      <c r="BM1612" s="298"/>
      <c r="BN1612" s="298"/>
      <c r="BO1612" s="298"/>
      <c r="BP1612" s="298"/>
    </row>
    <row r="1613" spans="1:68" s="298" customFormat="1" ht="38.25">
      <c r="A1613" s="286"/>
      <c r="B1613" s="372" t="s">
        <v>9015</v>
      </c>
      <c r="C1613" s="231" t="s">
        <v>18457</v>
      </c>
      <c r="D1613" s="232" t="s">
        <v>103</v>
      </c>
      <c r="E1613" s="232" t="s">
        <v>109</v>
      </c>
      <c r="F1613" s="233"/>
      <c r="G1613" s="234"/>
      <c r="H1613" s="235">
        <v>3364.22</v>
      </c>
      <c r="J1613" s="521"/>
      <c r="L1613" s="256"/>
      <c r="M1613" s="256"/>
      <c r="N1613" s="256"/>
      <c r="O1613" s="256"/>
      <c r="S1613" s="536"/>
      <c r="T1613" s="635"/>
    </row>
    <row r="1614" spans="1:68" s="298" customFormat="1" ht="51">
      <c r="A1614" s="256" t="s">
        <v>3261</v>
      </c>
      <c r="B1614" s="374">
        <v>1570</v>
      </c>
      <c r="C1614" s="289" t="s">
        <v>8429</v>
      </c>
      <c r="D1614" s="290" t="s">
        <v>207</v>
      </c>
      <c r="E1614" s="290" t="s">
        <v>3240</v>
      </c>
      <c r="F1614" s="383">
        <v>27</v>
      </c>
      <c r="G1614" s="292" t="s">
        <v>9845</v>
      </c>
      <c r="H1614" s="255">
        <v>22.95</v>
      </c>
      <c r="J1614" s="521"/>
      <c r="L1614" s="601" t="s">
        <v>11591</v>
      </c>
      <c r="M1614" s="579">
        <v>2.5</v>
      </c>
      <c r="N1614" s="579">
        <v>6</v>
      </c>
      <c r="O1614" s="602">
        <v>10</v>
      </c>
      <c r="S1614" s="536"/>
      <c r="T1614" s="635"/>
    </row>
    <row r="1615" spans="1:68" s="298" customFormat="1" ht="25.5">
      <c r="A1615" s="256" t="s">
        <v>3259</v>
      </c>
      <c r="B1615" s="374">
        <v>88247</v>
      </c>
      <c r="C1615" s="289" t="s">
        <v>145</v>
      </c>
      <c r="D1615" s="290" t="s">
        <v>9714</v>
      </c>
      <c r="E1615" s="290" t="s">
        <v>206</v>
      </c>
      <c r="F1615" s="383">
        <v>1.5233000000000001</v>
      </c>
      <c r="G1615" s="292" t="s">
        <v>12206</v>
      </c>
      <c r="H1615" s="255">
        <v>28.54</v>
      </c>
      <c r="J1615" s="521"/>
      <c r="L1615" s="257" t="s">
        <v>11592</v>
      </c>
      <c r="M1615" s="258">
        <f>0.04
*F1614</f>
        <v>1.08</v>
      </c>
      <c r="N1615" s="258"/>
      <c r="O1615" s="259"/>
      <c r="S1615" s="536"/>
      <c r="T1615" s="635"/>
    </row>
    <row r="1616" spans="1:68" s="298" customFormat="1" ht="25.5">
      <c r="A1616" s="256" t="s">
        <v>3259</v>
      </c>
      <c r="B1616" s="374">
        <v>88264</v>
      </c>
      <c r="C1616" s="289" t="s">
        <v>146</v>
      </c>
      <c r="D1616" s="290" t="s">
        <v>9714</v>
      </c>
      <c r="E1616" s="290" t="s">
        <v>206</v>
      </c>
      <c r="F1616" s="383">
        <v>2.6032999999999999</v>
      </c>
      <c r="G1616" s="292" t="s">
        <v>16504</v>
      </c>
      <c r="H1616" s="255">
        <v>62.73</v>
      </c>
      <c r="J1616" s="521"/>
      <c r="L1616" s="256"/>
      <c r="M1616" s="256"/>
      <c r="N1616" s="256"/>
      <c r="O1616" s="256"/>
      <c r="S1616" s="536"/>
      <c r="T1616" s="635"/>
    </row>
    <row r="1617" spans="1:68" s="298" customFormat="1" ht="25.5">
      <c r="A1617" s="256" t="s">
        <v>12</v>
      </c>
      <c r="B1617" s="374" t="s">
        <v>11593</v>
      </c>
      <c r="C1617" s="289" t="s">
        <v>18456</v>
      </c>
      <c r="D1617" s="290" t="s">
        <v>207</v>
      </c>
      <c r="E1617" s="290" t="s">
        <v>109</v>
      </c>
      <c r="F1617" s="383">
        <v>1</v>
      </c>
      <c r="G1617" s="292">
        <v>3250</v>
      </c>
      <c r="H1617" s="255">
        <v>3250</v>
      </c>
      <c r="J1617" s="521"/>
      <c r="L1617" s="256"/>
      <c r="M1617" s="256"/>
      <c r="N1617" s="256"/>
      <c r="O1617" s="256"/>
      <c r="S1617" s="536"/>
      <c r="T1617" s="635"/>
    </row>
    <row r="1618" spans="1:68" s="298" customFormat="1">
      <c r="A1618" s="256"/>
      <c r="B1618" s="288" t="s">
        <v>143</v>
      </c>
      <c r="C1618" s="238" t="s">
        <v>16966</v>
      </c>
      <c r="D1618" s="386"/>
      <c r="E1618" s="386"/>
      <c r="F1618" s="386"/>
      <c r="G1618" s="386"/>
      <c r="H1618" s="387"/>
      <c r="J1618" s="521"/>
      <c r="L1618" s="648"/>
      <c r="M1618" s="648"/>
      <c r="S1618" s="536"/>
      <c r="T1618" s="635"/>
    </row>
    <row r="1619" spans="1:68" s="529" customFormat="1" ht="12.75">
      <c r="A1619" s="286"/>
      <c r="B1619" s="293"/>
      <c r="C1619" s="229"/>
      <c r="D1619" s="230"/>
      <c r="E1619" s="230"/>
      <c r="F1619" s="230"/>
      <c r="G1619" s="230"/>
      <c r="H1619" s="230"/>
      <c r="I1619" s="298"/>
      <c r="J1619" s="521"/>
      <c r="K1619" s="298"/>
      <c r="L1619" s="298"/>
      <c r="M1619" s="298"/>
      <c r="N1619" s="298"/>
      <c r="O1619" s="298"/>
      <c r="P1619" s="298"/>
      <c r="Q1619" s="298"/>
      <c r="R1619" s="298"/>
      <c r="S1619" s="536"/>
      <c r="T1619" s="635"/>
      <c r="U1619" s="298"/>
      <c r="V1619" s="298"/>
      <c r="W1619" s="298"/>
      <c r="X1619" s="298"/>
      <c r="Y1619" s="298"/>
      <c r="Z1619" s="298"/>
      <c r="AA1619" s="298"/>
      <c r="AB1619" s="298"/>
      <c r="AC1619" s="298"/>
      <c r="AD1619" s="298"/>
      <c r="AE1619" s="298"/>
      <c r="AF1619" s="298"/>
      <c r="AG1619" s="298"/>
      <c r="AH1619" s="298"/>
      <c r="AI1619" s="298"/>
      <c r="AJ1619" s="298"/>
      <c r="AK1619" s="298"/>
      <c r="AL1619" s="298"/>
      <c r="AM1619" s="298"/>
      <c r="AN1619" s="298"/>
      <c r="AO1619" s="298"/>
      <c r="AP1619" s="298"/>
      <c r="AQ1619" s="298"/>
      <c r="AR1619" s="298"/>
      <c r="AS1619" s="298"/>
      <c r="AT1619" s="298"/>
      <c r="AU1619" s="298"/>
      <c r="AV1619" s="298"/>
      <c r="AW1619" s="298"/>
      <c r="AX1619" s="298"/>
      <c r="AY1619" s="298"/>
      <c r="AZ1619" s="298"/>
      <c r="BA1619" s="298"/>
      <c r="BB1619" s="298"/>
      <c r="BC1619" s="298"/>
      <c r="BD1619" s="298"/>
      <c r="BE1619" s="298"/>
      <c r="BF1619" s="298"/>
      <c r="BG1619" s="298"/>
      <c r="BH1619" s="298"/>
      <c r="BI1619" s="298"/>
      <c r="BJ1619" s="298"/>
      <c r="BK1619" s="298"/>
      <c r="BL1619" s="298"/>
      <c r="BM1619" s="298"/>
      <c r="BN1619" s="298"/>
      <c r="BO1619" s="298"/>
      <c r="BP1619" s="298"/>
    </row>
    <row r="1620" spans="1:68" s="298" customFormat="1" ht="51">
      <c r="A1620" s="286"/>
      <c r="B1620" s="372" t="s">
        <v>9016</v>
      </c>
      <c r="C1620" s="231" t="s">
        <v>14534</v>
      </c>
      <c r="D1620" s="232" t="s">
        <v>103</v>
      </c>
      <c r="E1620" s="232" t="s">
        <v>5</v>
      </c>
      <c r="F1620" s="233"/>
      <c r="G1620" s="234"/>
      <c r="H1620" s="235">
        <v>18.540000000000003</v>
      </c>
      <c r="J1620" s="634"/>
      <c r="S1620" s="536"/>
      <c r="T1620" s="635"/>
    </row>
    <row r="1621" spans="1:68" s="298" customFormat="1" ht="38.25">
      <c r="A1621" s="256" t="s">
        <v>3261</v>
      </c>
      <c r="B1621" s="288">
        <v>21128</v>
      </c>
      <c r="C1621" s="289" t="s">
        <v>4558</v>
      </c>
      <c r="D1621" s="290" t="s">
        <v>207</v>
      </c>
      <c r="E1621" s="290" t="s">
        <v>3243</v>
      </c>
      <c r="F1621" s="383">
        <v>1.05</v>
      </c>
      <c r="G1621" s="292" t="s">
        <v>14247</v>
      </c>
      <c r="H1621" s="255">
        <v>10.32</v>
      </c>
      <c r="J1621" s="634"/>
      <c r="S1621" s="536"/>
      <c r="T1621" s="635"/>
    </row>
    <row r="1622" spans="1:68" s="298" customFormat="1" ht="25.5">
      <c r="A1622" s="256" t="s">
        <v>3259</v>
      </c>
      <c r="B1622" s="374">
        <v>88247</v>
      </c>
      <c r="C1622" s="289" t="s">
        <v>145</v>
      </c>
      <c r="D1622" s="290" t="s">
        <v>9714</v>
      </c>
      <c r="E1622" s="290" t="s">
        <v>206</v>
      </c>
      <c r="F1622" s="383">
        <v>8.2400000000000001E-2</v>
      </c>
      <c r="G1622" s="292" t="s">
        <v>12206</v>
      </c>
      <c r="H1622" s="255">
        <v>1.54</v>
      </c>
      <c r="J1622" s="634"/>
      <c r="S1622" s="536"/>
      <c r="T1622" s="635"/>
    </row>
    <row r="1623" spans="1:68" s="298" customFormat="1" ht="25.5">
      <c r="A1623" s="256" t="s">
        <v>3259</v>
      </c>
      <c r="B1623" s="374">
        <v>88264</v>
      </c>
      <c r="C1623" s="289" t="s">
        <v>146</v>
      </c>
      <c r="D1623" s="290" t="s">
        <v>9714</v>
      </c>
      <c r="E1623" s="290" t="s">
        <v>206</v>
      </c>
      <c r="F1623" s="383">
        <v>8.2400000000000001E-2</v>
      </c>
      <c r="G1623" s="292" t="s">
        <v>16504</v>
      </c>
      <c r="H1623" s="255">
        <v>1.98</v>
      </c>
      <c r="J1623" s="634"/>
      <c r="S1623" s="536"/>
      <c r="T1623" s="635"/>
    </row>
    <row r="1624" spans="1:68" s="298" customFormat="1" ht="76.5">
      <c r="A1624" s="256" t="s">
        <v>3259</v>
      </c>
      <c r="B1624" s="374">
        <v>91170</v>
      </c>
      <c r="C1624" s="289" t="s">
        <v>2426</v>
      </c>
      <c r="D1624" s="290" t="s">
        <v>229</v>
      </c>
      <c r="E1624" s="290" t="s">
        <v>5</v>
      </c>
      <c r="F1624" s="383">
        <v>1</v>
      </c>
      <c r="G1624" s="292" t="s">
        <v>11069</v>
      </c>
      <c r="H1624" s="255">
        <v>2.6</v>
      </c>
      <c r="J1624" s="634"/>
      <c r="S1624" s="536"/>
      <c r="T1624" s="635"/>
    </row>
    <row r="1625" spans="1:68" s="298" customFormat="1" ht="51">
      <c r="A1625" s="256" t="s">
        <v>3259</v>
      </c>
      <c r="B1625" s="374">
        <v>95753</v>
      </c>
      <c r="C1625" s="289" t="s">
        <v>1597</v>
      </c>
      <c r="D1625" s="290" t="s">
        <v>229</v>
      </c>
      <c r="E1625" s="290" t="s">
        <v>109</v>
      </c>
      <c r="F1625" s="383">
        <v>0.33329999999999999</v>
      </c>
      <c r="G1625" s="292" t="s">
        <v>10198</v>
      </c>
      <c r="H1625" s="255">
        <v>2.1</v>
      </c>
      <c r="J1625" s="634"/>
      <c r="S1625" s="536"/>
      <c r="T1625" s="635"/>
    </row>
    <row r="1626" spans="1:68" s="298" customFormat="1" ht="12.75">
      <c r="A1626" s="286"/>
      <c r="B1626" s="375" t="s">
        <v>143</v>
      </c>
      <c r="C1626" s="816" t="s">
        <v>14330</v>
      </c>
      <c r="D1626" s="817"/>
      <c r="E1626" s="817"/>
      <c r="F1626" s="817"/>
      <c r="G1626" s="817"/>
      <c r="H1626" s="818"/>
      <c r="J1626" s="634"/>
      <c r="S1626" s="536"/>
      <c r="T1626" s="635"/>
    </row>
    <row r="1627" spans="1:68" s="298" customFormat="1" ht="12.75">
      <c r="A1627" s="286"/>
      <c r="B1627" s="373"/>
      <c r="C1627" s="379"/>
      <c r="D1627" s="382"/>
      <c r="E1627" s="382"/>
      <c r="F1627" s="382"/>
      <c r="G1627" s="382"/>
      <c r="H1627" s="382"/>
      <c r="J1627" s="634"/>
      <c r="S1627" s="536"/>
      <c r="T1627" s="635"/>
    </row>
    <row r="1628" spans="1:68" s="298" customFormat="1" ht="51">
      <c r="A1628" s="286"/>
      <c r="B1628" s="372" t="s">
        <v>9017</v>
      </c>
      <c r="C1628" s="231" t="s">
        <v>16967</v>
      </c>
      <c r="D1628" s="232" t="s">
        <v>103</v>
      </c>
      <c r="E1628" s="232" t="s">
        <v>5</v>
      </c>
      <c r="F1628" s="233"/>
      <c r="G1628" s="234"/>
      <c r="H1628" s="235">
        <v>40.93</v>
      </c>
      <c r="J1628" s="634"/>
      <c r="S1628" s="536"/>
      <c r="T1628" s="635"/>
    </row>
    <row r="1629" spans="1:68" s="298" customFormat="1" ht="51">
      <c r="A1629" s="256" t="s">
        <v>3261</v>
      </c>
      <c r="B1629" s="288">
        <v>21130</v>
      </c>
      <c r="C1629" s="289" t="s">
        <v>4559</v>
      </c>
      <c r="D1629" s="290" t="s">
        <v>207</v>
      </c>
      <c r="E1629" s="290" t="s">
        <v>3243</v>
      </c>
      <c r="F1629" s="383">
        <v>1.05</v>
      </c>
      <c r="G1629" s="292" t="s">
        <v>16550</v>
      </c>
      <c r="H1629" s="255">
        <v>26.06</v>
      </c>
      <c r="J1629" s="634"/>
      <c r="S1629" s="536"/>
      <c r="T1629" s="635"/>
    </row>
    <row r="1630" spans="1:68" s="298" customFormat="1" ht="25.5">
      <c r="A1630" s="256" t="s">
        <v>3259</v>
      </c>
      <c r="B1630" s="374">
        <v>88247</v>
      </c>
      <c r="C1630" s="289" t="s">
        <v>145</v>
      </c>
      <c r="D1630" s="290" t="s">
        <v>9714</v>
      </c>
      <c r="E1630" s="290" t="s">
        <v>206</v>
      </c>
      <c r="F1630" s="383">
        <v>0.1701</v>
      </c>
      <c r="G1630" s="292" t="s">
        <v>12206</v>
      </c>
      <c r="H1630" s="255">
        <v>3.18</v>
      </c>
      <c r="J1630" s="634"/>
      <c r="S1630" s="536"/>
      <c r="T1630" s="635"/>
    </row>
    <row r="1631" spans="1:68" s="298" customFormat="1" ht="25.5">
      <c r="A1631" s="256" t="s">
        <v>3259</v>
      </c>
      <c r="B1631" s="374">
        <v>88264</v>
      </c>
      <c r="C1631" s="289" t="s">
        <v>146</v>
      </c>
      <c r="D1631" s="290" t="s">
        <v>9714</v>
      </c>
      <c r="E1631" s="290" t="s">
        <v>206</v>
      </c>
      <c r="F1631" s="383">
        <v>0.1701</v>
      </c>
      <c r="G1631" s="292" t="s">
        <v>16504</v>
      </c>
      <c r="H1631" s="255">
        <v>4.09</v>
      </c>
      <c r="J1631" s="634"/>
      <c r="S1631" s="536"/>
      <c r="T1631" s="635"/>
    </row>
    <row r="1632" spans="1:68" s="298" customFormat="1" ht="76.5">
      <c r="A1632" s="256" t="s">
        <v>3259</v>
      </c>
      <c r="B1632" s="374">
        <v>91170</v>
      </c>
      <c r="C1632" s="289" t="s">
        <v>2426</v>
      </c>
      <c r="D1632" s="290" t="s">
        <v>229</v>
      </c>
      <c r="E1632" s="290" t="s">
        <v>5</v>
      </c>
      <c r="F1632" s="383">
        <v>1</v>
      </c>
      <c r="G1632" s="292" t="s">
        <v>11069</v>
      </c>
      <c r="H1632" s="255">
        <v>2.6</v>
      </c>
      <c r="J1632" s="634"/>
      <c r="S1632" s="536"/>
      <c r="T1632" s="635"/>
    </row>
    <row r="1633" spans="1:20" s="298" customFormat="1" ht="51">
      <c r="A1633" s="256" t="s">
        <v>3259</v>
      </c>
      <c r="B1633" s="374">
        <v>95756</v>
      </c>
      <c r="C1633" s="289" t="s">
        <v>1600</v>
      </c>
      <c r="D1633" s="290" t="s">
        <v>229</v>
      </c>
      <c r="E1633" s="290" t="s">
        <v>109</v>
      </c>
      <c r="F1633" s="383">
        <v>0.33329999999999999</v>
      </c>
      <c r="G1633" s="292" t="s">
        <v>19324</v>
      </c>
      <c r="H1633" s="255">
        <v>5</v>
      </c>
      <c r="J1633" s="634"/>
      <c r="S1633" s="536"/>
      <c r="T1633" s="635"/>
    </row>
    <row r="1634" spans="1:20" s="298" customFormat="1" ht="12.75">
      <c r="A1634" s="286"/>
      <c r="B1634" s="375" t="s">
        <v>143</v>
      </c>
      <c r="C1634" s="816" t="s">
        <v>14336</v>
      </c>
      <c r="D1634" s="817"/>
      <c r="E1634" s="817"/>
      <c r="F1634" s="817"/>
      <c r="G1634" s="817"/>
      <c r="H1634" s="818"/>
      <c r="J1634" s="634"/>
      <c r="S1634" s="536"/>
      <c r="T1634" s="635"/>
    </row>
    <row r="1635" spans="1:20" s="298" customFormat="1" ht="12.75">
      <c r="A1635" s="286"/>
      <c r="B1635" s="373"/>
      <c r="C1635" s="379"/>
      <c r="D1635" s="382"/>
      <c r="E1635" s="382"/>
      <c r="F1635" s="382"/>
      <c r="G1635" s="382"/>
      <c r="H1635" s="382"/>
      <c r="J1635" s="634"/>
      <c r="S1635" s="536"/>
      <c r="T1635" s="635"/>
    </row>
    <row r="1636" spans="1:20" s="298" customFormat="1" ht="25.5">
      <c r="A1636" s="286"/>
      <c r="B1636" s="372" t="s">
        <v>9018</v>
      </c>
      <c r="C1636" s="231" t="s">
        <v>18459</v>
      </c>
      <c r="D1636" s="232" t="s">
        <v>103</v>
      </c>
      <c r="E1636" s="232" t="s">
        <v>5</v>
      </c>
      <c r="F1636" s="233"/>
      <c r="G1636" s="234"/>
      <c r="H1636" s="235">
        <v>3.6300000000000003</v>
      </c>
      <c r="J1636" s="634"/>
      <c r="S1636" s="536"/>
      <c r="T1636" s="635"/>
    </row>
    <row r="1637" spans="1:20" s="298" customFormat="1" ht="25.5">
      <c r="A1637" s="256" t="s">
        <v>3261</v>
      </c>
      <c r="B1637" s="374">
        <v>40401</v>
      </c>
      <c r="C1637" s="289" t="s">
        <v>6224</v>
      </c>
      <c r="D1637" s="290" t="s">
        <v>207</v>
      </c>
      <c r="E1637" s="290" t="s">
        <v>3243</v>
      </c>
      <c r="F1637" s="383">
        <v>1.1000000000000001</v>
      </c>
      <c r="G1637" s="292" t="s">
        <v>12155</v>
      </c>
      <c r="H1637" s="255">
        <v>2.83</v>
      </c>
      <c r="J1637" s="634"/>
      <c r="S1637" s="536"/>
      <c r="T1637" s="635"/>
    </row>
    <row r="1638" spans="1:20" s="298" customFormat="1" ht="25.5">
      <c r="A1638" s="256" t="s">
        <v>3259</v>
      </c>
      <c r="B1638" s="374">
        <v>88247</v>
      </c>
      <c r="C1638" s="289" t="s">
        <v>145</v>
      </c>
      <c r="D1638" s="290" t="s">
        <v>9714</v>
      </c>
      <c r="E1638" s="290" t="s">
        <v>206</v>
      </c>
      <c r="F1638" s="383">
        <v>1.9000000000000003E-2</v>
      </c>
      <c r="G1638" s="292" t="s">
        <v>12206</v>
      </c>
      <c r="H1638" s="255">
        <v>0.35</v>
      </c>
      <c r="J1638" s="634"/>
      <c r="S1638" s="536"/>
      <c r="T1638" s="635"/>
    </row>
    <row r="1639" spans="1:20" s="298" customFormat="1" ht="25.5">
      <c r="A1639" s="256" t="s">
        <v>3259</v>
      </c>
      <c r="B1639" s="374">
        <v>88264</v>
      </c>
      <c r="C1639" s="289" t="s">
        <v>146</v>
      </c>
      <c r="D1639" s="290" t="s">
        <v>9714</v>
      </c>
      <c r="E1639" s="290" t="s">
        <v>206</v>
      </c>
      <c r="F1639" s="383">
        <v>1.9000000000000003E-2</v>
      </c>
      <c r="G1639" s="292" t="s">
        <v>16504</v>
      </c>
      <c r="H1639" s="255">
        <v>0.45</v>
      </c>
      <c r="J1639" s="634"/>
      <c r="S1639" s="536"/>
      <c r="T1639" s="635"/>
    </row>
    <row r="1640" spans="1:20" s="298" customFormat="1" ht="12.75">
      <c r="A1640" s="286"/>
      <c r="B1640" s="375" t="s">
        <v>143</v>
      </c>
      <c r="C1640" s="816" t="s">
        <v>18460</v>
      </c>
      <c r="D1640" s="817"/>
      <c r="E1640" s="817"/>
      <c r="F1640" s="817"/>
      <c r="G1640" s="817"/>
      <c r="H1640" s="818"/>
      <c r="J1640" s="634"/>
      <c r="S1640" s="536"/>
      <c r="T1640" s="635"/>
    </row>
    <row r="1641" spans="1:20" s="298" customFormat="1" ht="12.75">
      <c r="A1641" s="286"/>
      <c r="B1641" s="373"/>
      <c r="C1641" s="379"/>
      <c r="D1641" s="382"/>
      <c r="E1641" s="382"/>
      <c r="F1641" s="382"/>
      <c r="G1641" s="382"/>
      <c r="H1641" s="382"/>
      <c r="J1641" s="634"/>
      <c r="S1641" s="536"/>
      <c r="T1641" s="635"/>
    </row>
    <row r="1642" spans="1:20" s="298" customFormat="1" ht="51">
      <c r="A1642" s="286"/>
      <c r="B1642" s="372" t="s">
        <v>9019</v>
      </c>
      <c r="C1642" s="231" t="s">
        <v>16969</v>
      </c>
      <c r="D1642" s="232" t="s">
        <v>103</v>
      </c>
      <c r="E1642" s="232" t="s">
        <v>5</v>
      </c>
      <c r="F1642" s="233"/>
      <c r="G1642" s="234"/>
      <c r="H1642" s="235">
        <v>42.64</v>
      </c>
      <c r="J1642" s="634"/>
      <c r="S1642" s="536"/>
      <c r="T1642" s="635"/>
    </row>
    <row r="1643" spans="1:20" s="298" customFormat="1" ht="25.5">
      <c r="A1643" s="256" t="s">
        <v>12</v>
      </c>
      <c r="B1643" s="288" t="s">
        <v>14356</v>
      </c>
      <c r="C1643" s="289" t="s">
        <v>15756</v>
      </c>
      <c r="D1643" s="290" t="s">
        <v>207</v>
      </c>
      <c r="E1643" s="290" t="s">
        <v>5</v>
      </c>
      <c r="F1643" s="383">
        <v>0.98199999999999998</v>
      </c>
      <c r="G1643" s="292">
        <v>21.803333333333331</v>
      </c>
      <c r="H1643" s="255">
        <v>21.41</v>
      </c>
      <c r="J1643" s="634"/>
      <c r="S1643" s="536"/>
      <c r="T1643" s="635"/>
    </row>
    <row r="1644" spans="1:20" s="298" customFormat="1" ht="25.5">
      <c r="A1644" s="256" t="s">
        <v>3259</v>
      </c>
      <c r="B1644" s="374">
        <v>88249</v>
      </c>
      <c r="C1644" s="289" t="s">
        <v>3051</v>
      </c>
      <c r="D1644" s="290" t="s">
        <v>9714</v>
      </c>
      <c r="E1644" s="290" t="s">
        <v>206</v>
      </c>
      <c r="F1644" s="383">
        <v>9.0999999999999998E-2</v>
      </c>
      <c r="G1644" s="292" t="s">
        <v>10374</v>
      </c>
      <c r="H1644" s="255">
        <v>2.72</v>
      </c>
      <c r="J1644" s="634"/>
      <c r="S1644" s="536"/>
      <c r="T1644" s="635"/>
    </row>
    <row r="1645" spans="1:20" s="298" customFormat="1" ht="25.5">
      <c r="A1645" s="256" t="s">
        <v>3259</v>
      </c>
      <c r="B1645" s="374">
        <v>88264</v>
      </c>
      <c r="C1645" s="289" t="s">
        <v>146</v>
      </c>
      <c r="D1645" s="290" t="s">
        <v>9714</v>
      </c>
      <c r="E1645" s="290" t="s">
        <v>206</v>
      </c>
      <c r="F1645" s="383">
        <v>9.0999999999999998E-2</v>
      </c>
      <c r="G1645" s="292" t="s">
        <v>16504</v>
      </c>
      <c r="H1645" s="255">
        <v>2.19</v>
      </c>
      <c r="J1645" s="634"/>
      <c r="S1645" s="536"/>
      <c r="T1645" s="635"/>
    </row>
    <row r="1646" spans="1:20" s="298" customFormat="1" ht="51">
      <c r="A1646" s="256" t="s">
        <v>14338</v>
      </c>
      <c r="B1646" s="374" t="s">
        <v>14349</v>
      </c>
      <c r="C1646" s="289" t="s">
        <v>14350</v>
      </c>
      <c r="D1646" s="290" t="s">
        <v>103</v>
      </c>
      <c r="E1646" s="290" t="s">
        <v>109</v>
      </c>
      <c r="F1646" s="383">
        <v>0.33300000000000002</v>
      </c>
      <c r="G1646" s="292">
        <v>41.21</v>
      </c>
      <c r="H1646" s="255">
        <v>13.72</v>
      </c>
      <c r="J1646" s="634"/>
      <c r="S1646" s="536"/>
      <c r="T1646" s="635"/>
    </row>
    <row r="1647" spans="1:20" s="298" customFormat="1" ht="76.5">
      <c r="A1647" s="256" t="s">
        <v>3259</v>
      </c>
      <c r="B1647" s="374">
        <v>91170</v>
      </c>
      <c r="C1647" s="289" t="s">
        <v>2426</v>
      </c>
      <c r="D1647" s="290" t="s">
        <v>229</v>
      </c>
      <c r="E1647" s="290" t="s">
        <v>5</v>
      </c>
      <c r="F1647" s="383">
        <v>1</v>
      </c>
      <c r="G1647" s="292" t="s">
        <v>11069</v>
      </c>
      <c r="H1647" s="255">
        <v>2.6</v>
      </c>
      <c r="J1647" s="634"/>
      <c r="S1647" s="536"/>
      <c r="T1647" s="635"/>
    </row>
    <row r="1648" spans="1:20" s="298" customFormat="1" ht="12.75">
      <c r="A1648" s="286"/>
      <c r="B1648" s="375" t="s">
        <v>143</v>
      </c>
      <c r="C1648" s="816" t="s">
        <v>16970</v>
      </c>
      <c r="D1648" s="817"/>
      <c r="E1648" s="817"/>
      <c r="F1648" s="817"/>
      <c r="G1648" s="817"/>
      <c r="H1648" s="818"/>
      <c r="J1648" s="634"/>
      <c r="S1648" s="536"/>
      <c r="T1648" s="635"/>
    </row>
    <row r="1649" spans="1:20" s="298" customFormat="1" ht="12.75">
      <c r="A1649" s="286"/>
      <c r="B1649" s="373"/>
      <c r="C1649" s="379"/>
      <c r="D1649" s="382"/>
      <c r="E1649" s="382"/>
      <c r="F1649" s="382"/>
      <c r="G1649" s="382"/>
      <c r="H1649" s="382"/>
      <c r="J1649" s="634"/>
      <c r="S1649" s="536"/>
      <c r="T1649" s="635"/>
    </row>
    <row r="1650" spans="1:20" s="298" customFormat="1" ht="51">
      <c r="A1650" s="286"/>
      <c r="B1650" s="372" t="s">
        <v>9020</v>
      </c>
      <c r="C1650" s="231" t="s">
        <v>16978</v>
      </c>
      <c r="D1650" s="232" t="s">
        <v>103</v>
      </c>
      <c r="E1650" s="232" t="s">
        <v>5</v>
      </c>
      <c r="F1650" s="233"/>
      <c r="G1650" s="234"/>
      <c r="H1650" s="235">
        <v>48.870000000000005</v>
      </c>
      <c r="J1650" s="634"/>
      <c r="S1650" s="536"/>
      <c r="T1650" s="635"/>
    </row>
    <row r="1651" spans="1:20" s="298" customFormat="1" ht="25.5">
      <c r="A1651" s="256" t="s">
        <v>12</v>
      </c>
      <c r="B1651" s="288" t="s">
        <v>14357</v>
      </c>
      <c r="C1651" s="289" t="s">
        <v>15757</v>
      </c>
      <c r="D1651" s="290" t="s">
        <v>207</v>
      </c>
      <c r="E1651" s="290" t="s">
        <v>5</v>
      </c>
      <c r="F1651" s="383">
        <v>0.99099999999999999</v>
      </c>
      <c r="G1651" s="292">
        <v>16.956666666666667</v>
      </c>
      <c r="H1651" s="255">
        <v>16.8</v>
      </c>
      <c r="J1651" s="634"/>
      <c r="S1651" s="536"/>
      <c r="T1651" s="635"/>
    </row>
    <row r="1652" spans="1:20" s="298" customFormat="1" ht="25.5">
      <c r="A1652" s="256" t="s">
        <v>3259</v>
      </c>
      <c r="B1652" s="374">
        <v>88249</v>
      </c>
      <c r="C1652" s="289" t="s">
        <v>3051</v>
      </c>
      <c r="D1652" s="290" t="s">
        <v>9714</v>
      </c>
      <c r="E1652" s="290" t="s">
        <v>206</v>
      </c>
      <c r="F1652" s="383">
        <v>6.3E-2</v>
      </c>
      <c r="G1652" s="292" t="s">
        <v>10374</v>
      </c>
      <c r="H1652" s="255">
        <v>1.88</v>
      </c>
      <c r="J1652" s="634"/>
      <c r="S1652" s="536"/>
      <c r="T1652" s="635"/>
    </row>
    <row r="1653" spans="1:20" s="298" customFormat="1" ht="25.5">
      <c r="A1653" s="256" t="s">
        <v>3259</v>
      </c>
      <c r="B1653" s="374">
        <v>88264</v>
      </c>
      <c r="C1653" s="289" t="s">
        <v>146</v>
      </c>
      <c r="D1653" s="290" t="s">
        <v>9714</v>
      </c>
      <c r="E1653" s="290" t="s">
        <v>206</v>
      </c>
      <c r="F1653" s="383">
        <v>6.3E-2</v>
      </c>
      <c r="G1653" s="292" t="s">
        <v>16504</v>
      </c>
      <c r="H1653" s="255">
        <v>1.51</v>
      </c>
      <c r="J1653" s="634"/>
      <c r="S1653" s="536"/>
      <c r="T1653" s="635"/>
    </row>
    <row r="1654" spans="1:20" s="298" customFormat="1" ht="51">
      <c r="A1654" s="256" t="s">
        <v>14338</v>
      </c>
      <c r="B1654" s="374" t="s">
        <v>14352</v>
      </c>
      <c r="C1654" s="289" t="s">
        <v>16980</v>
      </c>
      <c r="D1654" s="290" t="s">
        <v>103</v>
      </c>
      <c r="E1654" s="290" t="s">
        <v>109</v>
      </c>
      <c r="F1654" s="383">
        <v>0.33300000000000002</v>
      </c>
      <c r="G1654" s="292">
        <v>38.130000000000003</v>
      </c>
      <c r="H1654" s="255">
        <v>12.69</v>
      </c>
      <c r="J1654" s="634"/>
      <c r="S1654" s="536"/>
      <c r="T1654" s="635"/>
    </row>
    <row r="1655" spans="1:20" s="298" customFormat="1" ht="76.5">
      <c r="A1655" s="256" t="s">
        <v>3259</v>
      </c>
      <c r="B1655" s="374">
        <v>96562</v>
      </c>
      <c r="C1655" s="289" t="s">
        <v>10798</v>
      </c>
      <c r="D1655" s="290" t="s">
        <v>229</v>
      </c>
      <c r="E1655" s="290" t="s">
        <v>5</v>
      </c>
      <c r="F1655" s="383">
        <v>1</v>
      </c>
      <c r="G1655" s="292" t="s">
        <v>16503</v>
      </c>
      <c r="H1655" s="255">
        <v>15.99</v>
      </c>
      <c r="J1655" s="634"/>
      <c r="S1655" s="536"/>
      <c r="T1655" s="635"/>
    </row>
    <row r="1656" spans="1:20" s="298" customFormat="1" ht="12.75">
      <c r="A1656" s="286"/>
      <c r="B1656" s="375" t="s">
        <v>143</v>
      </c>
      <c r="C1656" s="816" t="s">
        <v>16979</v>
      </c>
      <c r="D1656" s="817"/>
      <c r="E1656" s="817"/>
      <c r="F1656" s="817"/>
      <c r="G1656" s="817"/>
      <c r="H1656" s="818"/>
      <c r="J1656" s="634"/>
      <c r="S1656" s="536"/>
      <c r="T1656" s="635"/>
    </row>
    <row r="1657" spans="1:20" s="298" customFormat="1" ht="12.75">
      <c r="A1657" s="286"/>
      <c r="B1657" s="373"/>
      <c r="C1657" s="379"/>
      <c r="D1657" s="382"/>
      <c r="E1657" s="382"/>
      <c r="F1657" s="382"/>
      <c r="G1657" s="382"/>
      <c r="H1657" s="382"/>
      <c r="J1657" s="634"/>
      <c r="S1657" s="536"/>
      <c r="T1657" s="635"/>
    </row>
    <row r="1658" spans="1:20" s="298" customFormat="1" ht="51">
      <c r="A1658" s="286"/>
      <c r="B1658" s="372" t="s">
        <v>9021</v>
      </c>
      <c r="C1658" s="231" t="s">
        <v>18377</v>
      </c>
      <c r="D1658" s="232" t="s">
        <v>103</v>
      </c>
      <c r="E1658" s="232" t="s">
        <v>109</v>
      </c>
      <c r="F1658" s="233"/>
      <c r="G1658" s="234"/>
      <c r="H1658" s="235">
        <v>53.910000000000004</v>
      </c>
      <c r="J1658" s="634"/>
      <c r="S1658" s="536"/>
      <c r="T1658" s="635"/>
    </row>
    <row r="1659" spans="1:20" s="298" customFormat="1" ht="25.5">
      <c r="A1659" s="256" t="s">
        <v>3259</v>
      </c>
      <c r="B1659" s="288">
        <v>88264</v>
      </c>
      <c r="C1659" s="289" t="s">
        <v>146</v>
      </c>
      <c r="D1659" s="290" t="s">
        <v>9714</v>
      </c>
      <c r="E1659" s="290" t="s">
        <v>206</v>
      </c>
      <c r="F1659" s="383">
        <v>0.27400000000000002</v>
      </c>
      <c r="G1659" s="292" t="s">
        <v>16504</v>
      </c>
      <c r="H1659" s="255">
        <v>6.6</v>
      </c>
      <c r="J1659" s="634"/>
      <c r="S1659" s="536"/>
      <c r="T1659" s="635"/>
    </row>
    <row r="1660" spans="1:20" s="298" customFormat="1" ht="25.5">
      <c r="A1660" s="256" t="s">
        <v>3259</v>
      </c>
      <c r="B1660" s="374">
        <v>88247</v>
      </c>
      <c r="C1660" s="289" t="s">
        <v>145</v>
      </c>
      <c r="D1660" s="290" t="s">
        <v>9714</v>
      </c>
      <c r="E1660" s="290" t="s">
        <v>206</v>
      </c>
      <c r="F1660" s="383">
        <v>0.27400000000000002</v>
      </c>
      <c r="G1660" s="292" t="s">
        <v>12206</v>
      </c>
      <c r="H1660" s="255">
        <v>5.13</v>
      </c>
      <c r="J1660" s="634"/>
      <c r="S1660" s="536"/>
      <c r="T1660" s="635"/>
    </row>
    <row r="1661" spans="1:20" s="298" customFormat="1" ht="25.5">
      <c r="A1661" s="256" t="s">
        <v>12</v>
      </c>
      <c r="B1661" s="288" t="s">
        <v>14354</v>
      </c>
      <c r="C1661" s="289" t="s">
        <v>18378</v>
      </c>
      <c r="D1661" s="290" t="s">
        <v>207</v>
      </c>
      <c r="E1661" s="290" t="s">
        <v>109</v>
      </c>
      <c r="F1661" s="383">
        <v>1</v>
      </c>
      <c r="G1661" s="292">
        <v>11.23</v>
      </c>
      <c r="H1661" s="255">
        <v>11.23</v>
      </c>
      <c r="J1661" s="634"/>
      <c r="S1661" s="536"/>
      <c r="T1661" s="635"/>
    </row>
    <row r="1662" spans="1:20" s="298" customFormat="1" ht="25.5">
      <c r="A1662" s="256" t="s">
        <v>12</v>
      </c>
      <c r="B1662" s="374" t="s">
        <v>14332</v>
      </c>
      <c r="C1662" s="289" t="s">
        <v>15761</v>
      </c>
      <c r="D1662" s="290" t="s">
        <v>207</v>
      </c>
      <c r="E1662" s="290" t="s">
        <v>109</v>
      </c>
      <c r="F1662" s="383">
        <v>4</v>
      </c>
      <c r="G1662" s="292">
        <v>2.7</v>
      </c>
      <c r="H1662" s="255">
        <v>10.8</v>
      </c>
      <c r="J1662" s="634"/>
      <c r="S1662" s="536"/>
      <c r="T1662" s="635"/>
    </row>
    <row r="1663" spans="1:20" s="298" customFormat="1" ht="12.75">
      <c r="A1663" s="256" t="s">
        <v>12</v>
      </c>
      <c r="B1663" s="374" t="s">
        <v>14333</v>
      </c>
      <c r="C1663" s="289" t="s">
        <v>14351</v>
      </c>
      <c r="D1663" s="290" t="s">
        <v>207</v>
      </c>
      <c r="E1663" s="290" t="s">
        <v>109</v>
      </c>
      <c r="F1663" s="383">
        <v>16.8</v>
      </c>
      <c r="G1663" s="292">
        <v>0.15</v>
      </c>
      <c r="H1663" s="255">
        <v>2.52</v>
      </c>
      <c r="J1663" s="634"/>
      <c r="S1663" s="536"/>
      <c r="T1663" s="635"/>
    </row>
    <row r="1664" spans="1:20" s="298" customFormat="1" ht="25.5">
      <c r="A1664" s="256" t="s">
        <v>3261</v>
      </c>
      <c r="B1664" s="374">
        <v>39211</v>
      </c>
      <c r="C1664" s="289" t="s">
        <v>4850</v>
      </c>
      <c r="D1664" s="290" t="s">
        <v>207</v>
      </c>
      <c r="E1664" s="290" t="s">
        <v>3240</v>
      </c>
      <c r="F1664" s="383">
        <v>16.8</v>
      </c>
      <c r="G1664" s="292" t="s">
        <v>10017</v>
      </c>
      <c r="H1664" s="255">
        <v>14.95</v>
      </c>
      <c r="J1664" s="634"/>
      <c r="S1664" s="536"/>
      <c r="T1664" s="635"/>
    </row>
    <row r="1665" spans="1:20" s="298" customFormat="1" ht="12.75">
      <c r="A1665" s="256" t="s">
        <v>3261</v>
      </c>
      <c r="B1665" s="374">
        <v>39997</v>
      </c>
      <c r="C1665" s="289" t="s">
        <v>7751</v>
      </c>
      <c r="D1665" s="290" t="s">
        <v>207</v>
      </c>
      <c r="E1665" s="290" t="s">
        <v>3240</v>
      </c>
      <c r="F1665" s="383">
        <v>16.8</v>
      </c>
      <c r="G1665" s="292" t="s">
        <v>9866</v>
      </c>
      <c r="H1665" s="255">
        <v>2.68</v>
      </c>
      <c r="J1665" s="634"/>
      <c r="S1665" s="536"/>
      <c r="T1665" s="635"/>
    </row>
    <row r="1666" spans="1:20" s="298" customFormat="1" ht="12.75">
      <c r="A1666" s="286"/>
      <c r="B1666" s="375" t="s">
        <v>143</v>
      </c>
      <c r="C1666" s="816" t="s">
        <v>16985</v>
      </c>
      <c r="D1666" s="817"/>
      <c r="E1666" s="817"/>
      <c r="F1666" s="817"/>
      <c r="G1666" s="817"/>
      <c r="H1666" s="818"/>
      <c r="J1666" s="634"/>
      <c r="S1666" s="536"/>
      <c r="T1666" s="635"/>
    </row>
    <row r="1667" spans="1:20" s="298" customFormat="1" ht="12.75">
      <c r="A1667" s="286"/>
      <c r="B1667" s="373"/>
      <c r="C1667" s="379"/>
      <c r="D1667" s="382"/>
      <c r="E1667" s="382"/>
      <c r="F1667" s="382"/>
      <c r="G1667" s="382"/>
      <c r="H1667" s="382"/>
      <c r="J1667" s="634"/>
      <c r="S1667" s="536"/>
      <c r="T1667" s="635"/>
    </row>
    <row r="1668" spans="1:20" s="298" customFormat="1" ht="63.75">
      <c r="A1668" s="286"/>
      <c r="B1668" s="372" t="s">
        <v>9022</v>
      </c>
      <c r="C1668" s="231" t="s">
        <v>16984</v>
      </c>
      <c r="D1668" s="232" t="s">
        <v>103</v>
      </c>
      <c r="E1668" s="232" t="s">
        <v>109</v>
      </c>
      <c r="F1668" s="233"/>
      <c r="G1668" s="234"/>
      <c r="H1668" s="235">
        <v>53.910000000000004</v>
      </c>
      <c r="J1668" s="634"/>
      <c r="S1668" s="536"/>
      <c r="T1668" s="635"/>
    </row>
    <row r="1669" spans="1:20" s="298" customFormat="1" ht="25.5">
      <c r="A1669" s="256" t="s">
        <v>3259</v>
      </c>
      <c r="B1669" s="288">
        <v>88264</v>
      </c>
      <c r="C1669" s="289" t="s">
        <v>146</v>
      </c>
      <c r="D1669" s="290" t="s">
        <v>9714</v>
      </c>
      <c r="E1669" s="290" t="s">
        <v>206</v>
      </c>
      <c r="F1669" s="383">
        <v>0.27400000000000002</v>
      </c>
      <c r="G1669" s="292" t="s">
        <v>16504</v>
      </c>
      <c r="H1669" s="255">
        <v>6.6</v>
      </c>
      <c r="J1669" s="634"/>
      <c r="S1669" s="536"/>
      <c r="T1669" s="635"/>
    </row>
    <row r="1670" spans="1:20" s="298" customFormat="1" ht="25.5">
      <c r="A1670" s="256" t="s">
        <v>3259</v>
      </c>
      <c r="B1670" s="374">
        <v>88247</v>
      </c>
      <c r="C1670" s="289" t="s">
        <v>145</v>
      </c>
      <c r="D1670" s="290" t="s">
        <v>9714</v>
      </c>
      <c r="E1670" s="290" t="s">
        <v>206</v>
      </c>
      <c r="F1670" s="383">
        <v>0.27400000000000002</v>
      </c>
      <c r="G1670" s="292" t="s">
        <v>12206</v>
      </c>
      <c r="H1670" s="255">
        <v>5.13</v>
      </c>
      <c r="J1670" s="634"/>
      <c r="S1670" s="536"/>
      <c r="T1670" s="635"/>
    </row>
    <row r="1671" spans="1:20" s="298" customFormat="1" ht="25.5">
      <c r="A1671" s="256" t="s">
        <v>12</v>
      </c>
      <c r="B1671" s="288" t="s">
        <v>14355</v>
      </c>
      <c r="C1671" s="289" t="s">
        <v>15755</v>
      </c>
      <c r="D1671" s="290" t="s">
        <v>207</v>
      </c>
      <c r="E1671" s="290" t="s">
        <v>109</v>
      </c>
      <c r="F1671" s="383">
        <v>1</v>
      </c>
      <c r="G1671" s="292">
        <v>11.23</v>
      </c>
      <c r="H1671" s="255">
        <v>11.23</v>
      </c>
      <c r="J1671" s="634"/>
      <c r="S1671" s="536"/>
      <c r="T1671" s="635"/>
    </row>
    <row r="1672" spans="1:20" s="298" customFormat="1" ht="25.5">
      <c r="A1672" s="256" t="s">
        <v>12</v>
      </c>
      <c r="B1672" s="374" t="s">
        <v>14332</v>
      </c>
      <c r="C1672" s="289" t="s">
        <v>15761</v>
      </c>
      <c r="D1672" s="290" t="s">
        <v>207</v>
      </c>
      <c r="E1672" s="290" t="s">
        <v>109</v>
      </c>
      <c r="F1672" s="383">
        <v>4</v>
      </c>
      <c r="G1672" s="292">
        <v>2.7</v>
      </c>
      <c r="H1672" s="255">
        <v>10.8</v>
      </c>
      <c r="J1672" s="634"/>
      <c r="S1672" s="536"/>
      <c r="T1672" s="635"/>
    </row>
    <row r="1673" spans="1:20" s="298" customFormat="1" ht="12.75">
      <c r="A1673" s="256" t="s">
        <v>12</v>
      </c>
      <c r="B1673" s="374" t="s">
        <v>14333</v>
      </c>
      <c r="C1673" s="289" t="s">
        <v>14351</v>
      </c>
      <c r="D1673" s="290" t="s">
        <v>207</v>
      </c>
      <c r="E1673" s="290" t="s">
        <v>109</v>
      </c>
      <c r="F1673" s="383">
        <v>16.8</v>
      </c>
      <c r="G1673" s="292">
        <v>0.15</v>
      </c>
      <c r="H1673" s="255">
        <v>2.52</v>
      </c>
      <c r="J1673" s="634"/>
      <c r="S1673" s="536"/>
      <c r="T1673" s="635"/>
    </row>
    <row r="1674" spans="1:20" s="298" customFormat="1" ht="25.5">
      <c r="A1674" s="256" t="s">
        <v>3261</v>
      </c>
      <c r="B1674" s="374">
        <v>39211</v>
      </c>
      <c r="C1674" s="289" t="s">
        <v>4850</v>
      </c>
      <c r="D1674" s="290" t="s">
        <v>207</v>
      </c>
      <c r="E1674" s="290" t="s">
        <v>3240</v>
      </c>
      <c r="F1674" s="383">
        <v>16.8</v>
      </c>
      <c r="G1674" s="292" t="s">
        <v>10017</v>
      </c>
      <c r="H1674" s="255">
        <v>14.95</v>
      </c>
      <c r="J1674" s="634"/>
      <c r="S1674" s="536"/>
      <c r="T1674" s="635"/>
    </row>
    <row r="1675" spans="1:20" s="298" customFormat="1" ht="12.75">
      <c r="A1675" s="256" t="s">
        <v>3261</v>
      </c>
      <c r="B1675" s="374">
        <v>39997</v>
      </c>
      <c r="C1675" s="289" t="s">
        <v>7751</v>
      </c>
      <c r="D1675" s="290" t="s">
        <v>207</v>
      </c>
      <c r="E1675" s="290" t="s">
        <v>3240</v>
      </c>
      <c r="F1675" s="383">
        <v>16.8</v>
      </c>
      <c r="G1675" s="292" t="s">
        <v>9866</v>
      </c>
      <c r="H1675" s="255">
        <v>2.68</v>
      </c>
      <c r="J1675" s="634"/>
      <c r="S1675" s="536"/>
      <c r="T1675" s="635"/>
    </row>
    <row r="1676" spans="1:20" s="298" customFormat="1" ht="12.75">
      <c r="A1676" s="286"/>
      <c r="B1676" s="375" t="s">
        <v>143</v>
      </c>
      <c r="C1676" s="816" t="s">
        <v>16985</v>
      </c>
      <c r="D1676" s="817"/>
      <c r="E1676" s="817"/>
      <c r="F1676" s="817"/>
      <c r="G1676" s="817"/>
      <c r="H1676" s="818"/>
      <c r="J1676" s="634"/>
      <c r="S1676" s="536"/>
      <c r="T1676" s="635"/>
    </row>
    <row r="1677" spans="1:20" s="298" customFormat="1" ht="12.75">
      <c r="A1677" s="286"/>
      <c r="B1677" s="373"/>
      <c r="C1677" s="379"/>
      <c r="D1677" s="382"/>
      <c r="E1677" s="382"/>
      <c r="F1677" s="382"/>
      <c r="G1677" s="382"/>
      <c r="H1677" s="382"/>
      <c r="J1677" s="634"/>
      <c r="S1677" s="536"/>
      <c r="T1677" s="635"/>
    </row>
    <row r="1678" spans="1:20" s="298" customFormat="1" ht="63.75">
      <c r="A1678" s="286"/>
      <c r="B1678" s="372" t="s">
        <v>9023</v>
      </c>
      <c r="C1678" s="231" t="s">
        <v>16986</v>
      </c>
      <c r="D1678" s="232" t="s">
        <v>103</v>
      </c>
      <c r="E1678" s="232" t="s">
        <v>109</v>
      </c>
      <c r="F1678" s="233"/>
      <c r="G1678" s="234"/>
      <c r="H1678" s="235">
        <v>54.18</v>
      </c>
      <c r="J1678" s="634"/>
      <c r="S1678" s="536"/>
      <c r="T1678" s="635"/>
    </row>
    <row r="1679" spans="1:20" s="298" customFormat="1" ht="25.5">
      <c r="A1679" s="256" t="s">
        <v>3259</v>
      </c>
      <c r="B1679" s="288">
        <v>88264</v>
      </c>
      <c r="C1679" s="289" t="s">
        <v>146</v>
      </c>
      <c r="D1679" s="290" t="s">
        <v>9714</v>
      </c>
      <c r="E1679" s="290" t="s">
        <v>206</v>
      </c>
      <c r="F1679" s="383">
        <v>0.183</v>
      </c>
      <c r="G1679" s="292" t="s">
        <v>16504</v>
      </c>
      <c r="H1679" s="255">
        <v>4.41</v>
      </c>
      <c r="J1679" s="634"/>
      <c r="S1679" s="536"/>
      <c r="T1679" s="635"/>
    </row>
    <row r="1680" spans="1:20" s="298" customFormat="1" ht="25.5">
      <c r="A1680" s="256" t="s">
        <v>3259</v>
      </c>
      <c r="B1680" s="374">
        <v>88247</v>
      </c>
      <c r="C1680" s="289" t="s">
        <v>145</v>
      </c>
      <c r="D1680" s="290" t="s">
        <v>9714</v>
      </c>
      <c r="E1680" s="290" t="s">
        <v>206</v>
      </c>
      <c r="F1680" s="383">
        <v>0.183</v>
      </c>
      <c r="G1680" s="292" t="s">
        <v>12206</v>
      </c>
      <c r="H1680" s="255">
        <v>3.42</v>
      </c>
      <c r="J1680" s="634"/>
      <c r="S1680" s="536"/>
      <c r="T1680" s="635"/>
    </row>
    <row r="1681" spans="1:20" s="298" customFormat="1" ht="25.5">
      <c r="A1681" s="256" t="s">
        <v>12</v>
      </c>
      <c r="B1681" s="288" t="s">
        <v>14359</v>
      </c>
      <c r="C1681" s="289" t="s">
        <v>15758</v>
      </c>
      <c r="D1681" s="290" t="s">
        <v>207</v>
      </c>
      <c r="E1681" s="290" t="s">
        <v>109</v>
      </c>
      <c r="F1681" s="383">
        <v>1</v>
      </c>
      <c r="G1681" s="292">
        <v>15.4</v>
      </c>
      <c r="H1681" s="255">
        <v>15.4</v>
      </c>
      <c r="J1681" s="634"/>
      <c r="S1681" s="536"/>
      <c r="T1681" s="635"/>
    </row>
    <row r="1682" spans="1:20" s="298" customFormat="1" ht="25.5">
      <c r="A1682" s="256" t="s">
        <v>12</v>
      </c>
      <c r="B1682" s="374" t="s">
        <v>14332</v>
      </c>
      <c r="C1682" s="289" t="s">
        <v>15761</v>
      </c>
      <c r="D1682" s="290" t="s">
        <v>207</v>
      </c>
      <c r="E1682" s="290" t="s">
        <v>109</v>
      </c>
      <c r="F1682" s="383">
        <v>4</v>
      </c>
      <c r="G1682" s="292">
        <v>2.7</v>
      </c>
      <c r="H1682" s="255">
        <v>10.8</v>
      </c>
      <c r="J1682" s="634"/>
      <c r="S1682" s="536"/>
      <c r="T1682" s="635"/>
    </row>
    <row r="1683" spans="1:20" s="298" customFormat="1" ht="12.75">
      <c r="A1683" s="256" t="s">
        <v>12</v>
      </c>
      <c r="B1683" s="374" t="s">
        <v>14333</v>
      </c>
      <c r="C1683" s="289" t="s">
        <v>14351</v>
      </c>
      <c r="D1683" s="290" t="s">
        <v>207</v>
      </c>
      <c r="E1683" s="290" t="s">
        <v>109</v>
      </c>
      <c r="F1683" s="383">
        <v>16.8</v>
      </c>
      <c r="G1683" s="292">
        <v>0.15</v>
      </c>
      <c r="H1683" s="255">
        <v>2.52</v>
      </c>
      <c r="J1683" s="634"/>
      <c r="S1683" s="536"/>
      <c r="T1683" s="635"/>
    </row>
    <row r="1684" spans="1:20" s="298" customFormat="1" ht="25.5">
      <c r="A1684" s="256" t="s">
        <v>3261</v>
      </c>
      <c r="B1684" s="374">
        <v>39211</v>
      </c>
      <c r="C1684" s="289" t="s">
        <v>4850</v>
      </c>
      <c r="D1684" s="290" t="s">
        <v>207</v>
      </c>
      <c r="E1684" s="290" t="s">
        <v>3240</v>
      </c>
      <c r="F1684" s="383">
        <v>16.8</v>
      </c>
      <c r="G1684" s="292" t="s">
        <v>10017</v>
      </c>
      <c r="H1684" s="255">
        <v>14.95</v>
      </c>
      <c r="J1684" s="634"/>
      <c r="S1684" s="536"/>
      <c r="T1684" s="635"/>
    </row>
    <row r="1685" spans="1:20" s="298" customFormat="1" ht="12.75">
      <c r="A1685" s="256" t="s">
        <v>3261</v>
      </c>
      <c r="B1685" s="374">
        <v>39997</v>
      </c>
      <c r="C1685" s="289" t="s">
        <v>7751</v>
      </c>
      <c r="D1685" s="290" t="s">
        <v>207</v>
      </c>
      <c r="E1685" s="290" t="s">
        <v>3240</v>
      </c>
      <c r="F1685" s="383">
        <v>16.8</v>
      </c>
      <c r="G1685" s="292" t="s">
        <v>9866</v>
      </c>
      <c r="H1685" s="255">
        <v>2.68</v>
      </c>
      <c r="J1685" s="634"/>
      <c r="S1685" s="536"/>
      <c r="T1685" s="635"/>
    </row>
    <row r="1686" spans="1:20" s="298" customFormat="1" ht="12.75">
      <c r="A1686" s="286"/>
      <c r="B1686" s="375" t="s">
        <v>143</v>
      </c>
      <c r="C1686" s="816" t="s">
        <v>16987</v>
      </c>
      <c r="D1686" s="817"/>
      <c r="E1686" s="817"/>
      <c r="F1686" s="817"/>
      <c r="G1686" s="817"/>
      <c r="H1686" s="818"/>
      <c r="J1686" s="634"/>
      <c r="S1686" s="536"/>
      <c r="T1686" s="635"/>
    </row>
    <row r="1687" spans="1:20" s="298" customFormat="1" ht="12.75">
      <c r="A1687" s="286"/>
      <c r="B1687" s="373"/>
      <c r="C1687" s="379"/>
      <c r="D1687" s="382"/>
      <c r="E1687" s="382"/>
      <c r="F1687" s="382"/>
      <c r="G1687" s="382"/>
      <c r="H1687" s="382"/>
      <c r="J1687" s="634"/>
      <c r="S1687" s="536"/>
      <c r="T1687" s="635"/>
    </row>
    <row r="1688" spans="1:20" s="298" customFormat="1" ht="38.25">
      <c r="A1688" s="286"/>
      <c r="B1688" s="372" t="s">
        <v>11600</v>
      </c>
      <c r="C1688" s="231" t="s">
        <v>16988</v>
      </c>
      <c r="D1688" s="232" t="s">
        <v>103</v>
      </c>
      <c r="E1688" s="232" t="s">
        <v>109</v>
      </c>
      <c r="F1688" s="233"/>
      <c r="G1688" s="234"/>
      <c r="H1688" s="235">
        <v>10.330000000000002</v>
      </c>
      <c r="J1688" s="634"/>
      <c r="S1688" s="536"/>
      <c r="T1688" s="635"/>
    </row>
    <row r="1689" spans="1:20" s="298" customFormat="1" ht="25.5">
      <c r="A1689" s="256" t="s">
        <v>3259</v>
      </c>
      <c r="B1689" s="288">
        <v>88264</v>
      </c>
      <c r="C1689" s="289" t="s">
        <v>146</v>
      </c>
      <c r="D1689" s="290" t="s">
        <v>9714</v>
      </c>
      <c r="E1689" s="290" t="s">
        <v>206</v>
      </c>
      <c r="F1689" s="383">
        <v>0.2</v>
      </c>
      <c r="G1689" s="292" t="s">
        <v>16504</v>
      </c>
      <c r="H1689" s="255">
        <v>4.82</v>
      </c>
      <c r="J1689" s="634"/>
      <c r="S1689" s="536"/>
      <c r="T1689" s="635"/>
    </row>
    <row r="1690" spans="1:20" s="298" customFormat="1" ht="25.5">
      <c r="A1690" s="256" t="s">
        <v>3259</v>
      </c>
      <c r="B1690" s="374">
        <v>88247</v>
      </c>
      <c r="C1690" s="289" t="s">
        <v>145</v>
      </c>
      <c r="D1690" s="290" t="s">
        <v>9714</v>
      </c>
      <c r="E1690" s="290" t="s">
        <v>206</v>
      </c>
      <c r="F1690" s="383">
        <v>0.15</v>
      </c>
      <c r="G1690" s="292" t="s">
        <v>12206</v>
      </c>
      <c r="H1690" s="255">
        <v>2.81</v>
      </c>
      <c r="J1690" s="634"/>
      <c r="S1690" s="536"/>
      <c r="T1690" s="635"/>
    </row>
    <row r="1691" spans="1:20" s="298" customFormat="1" ht="25.5">
      <c r="A1691" s="256" t="s">
        <v>12</v>
      </c>
      <c r="B1691" s="288" t="s">
        <v>14361</v>
      </c>
      <c r="C1691" s="289" t="s">
        <v>14542</v>
      </c>
      <c r="D1691" s="290" t="s">
        <v>207</v>
      </c>
      <c r="E1691" s="290" t="s">
        <v>109</v>
      </c>
      <c r="F1691" s="383">
        <v>1</v>
      </c>
      <c r="G1691" s="292">
        <v>2.7</v>
      </c>
      <c r="H1691" s="255">
        <v>2.7</v>
      </c>
      <c r="J1691" s="634"/>
      <c r="S1691" s="536"/>
      <c r="T1691" s="635"/>
    </row>
    <row r="1692" spans="1:20" s="298" customFormat="1" ht="12.75">
      <c r="A1692" s="286"/>
      <c r="B1692" s="375" t="s">
        <v>143</v>
      </c>
      <c r="C1692" s="816" t="s">
        <v>16990</v>
      </c>
      <c r="D1692" s="817"/>
      <c r="E1692" s="817"/>
      <c r="F1692" s="817"/>
      <c r="G1692" s="817"/>
      <c r="H1692" s="818"/>
      <c r="J1692" s="634"/>
      <c r="S1692" s="536"/>
      <c r="T1692" s="635"/>
    </row>
    <row r="1693" spans="1:20" s="298" customFormat="1" ht="12.75">
      <c r="A1693" s="286"/>
      <c r="B1693" s="373"/>
      <c r="C1693" s="379"/>
      <c r="D1693" s="382"/>
      <c r="E1693" s="382"/>
      <c r="F1693" s="382"/>
      <c r="G1693" s="382"/>
      <c r="H1693" s="382"/>
      <c r="J1693" s="634"/>
      <c r="S1693" s="536"/>
      <c r="T1693" s="635"/>
    </row>
    <row r="1694" spans="1:20" s="298" customFormat="1" ht="38.25">
      <c r="A1694" s="286"/>
      <c r="B1694" s="372" t="s">
        <v>11601</v>
      </c>
      <c r="C1694" s="231" t="s">
        <v>16989</v>
      </c>
      <c r="D1694" s="232" t="s">
        <v>103</v>
      </c>
      <c r="E1694" s="232" t="s">
        <v>109</v>
      </c>
      <c r="F1694" s="233"/>
      <c r="G1694" s="234"/>
      <c r="H1694" s="235">
        <v>10.110000000000001</v>
      </c>
      <c r="J1694" s="634"/>
      <c r="S1694" s="536"/>
      <c r="T1694" s="635"/>
    </row>
    <row r="1695" spans="1:20" s="298" customFormat="1" ht="25.5">
      <c r="A1695" s="256" t="s">
        <v>3259</v>
      </c>
      <c r="B1695" s="288">
        <v>88264</v>
      </c>
      <c r="C1695" s="289" t="s">
        <v>146</v>
      </c>
      <c r="D1695" s="290" t="s">
        <v>9714</v>
      </c>
      <c r="E1695" s="290" t="s">
        <v>206</v>
      </c>
      <c r="F1695" s="383">
        <v>0.2</v>
      </c>
      <c r="G1695" s="292" t="s">
        <v>16504</v>
      </c>
      <c r="H1695" s="255">
        <v>4.82</v>
      </c>
      <c r="J1695" s="634"/>
      <c r="S1695" s="536"/>
      <c r="T1695" s="635"/>
    </row>
    <row r="1696" spans="1:20" s="298" customFormat="1" ht="25.5">
      <c r="A1696" s="256" t="s">
        <v>3259</v>
      </c>
      <c r="B1696" s="374">
        <v>88247</v>
      </c>
      <c r="C1696" s="289" t="s">
        <v>145</v>
      </c>
      <c r="D1696" s="290" t="s">
        <v>9714</v>
      </c>
      <c r="E1696" s="290" t="s">
        <v>206</v>
      </c>
      <c r="F1696" s="383">
        <v>0.15</v>
      </c>
      <c r="G1696" s="292" t="s">
        <v>12206</v>
      </c>
      <c r="H1696" s="255">
        <v>2.81</v>
      </c>
      <c r="J1696" s="634"/>
      <c r="S1696" s="536"/>
      <c r="T1696" s="635"/>
    </row>
    <row r="1697" spans="1:20" s="298" customFormat="1" ht="25.5">
      <c r="A1697" s="256" t="s">
        <v>12</v>
      </c>
      <c r="B1697" s="288" t="s">
        <v>14360</v>
      </c>
      <c r="C1697" s="289" t="s">
        <v>15759</v>
      </c>
      <c r="D1697" s="290" t="s">
        <v>207</v>
      </c>
      <c r="E1697" s="290" t="s">
        <v>109</v>
      </c>
      <c r="F1697" s="383">
        <v>1</v>
      </c>
      <c r="G1697" s="292">
        <v>2.48</v>
      </c>
      <c r="H1697" s="255">
        <v>2.48</v>
      </c>
      <c r="J1697" s="634"/>
      <c r="S1697" s="536"/>
      <c r="T1697" s="635"/>
    </row>
    <row r="1698" spans="1:20" s="298" customFormat="1" ht="12.75">
      <c r="A1698" s="286"/>
      <c r="B1698" s="375" t="s">
        <v>143</v>
      </c>
      <c r="C1698" s="816" t="s">
        <v>16990</v>
      </c>
      <c r="D1698" s="817"/>
      <c r="E1698" s="817"/>
      <c r="F1698" s="817"/>
      <c r="G1698" s="817"/>
      <c r="H1698" s="818"/>
      <c r="J1698" s="634"/>
      <c r="S1698" s="536"/>
      <c r="T1698" s="635"/>
    </row>
    <row r="1699" spans="1:20" s="298" customFormat="1" ht="12.75">
      <c r="A1699" s="286"/>
      <c r="B1699" s="373"/>
      <c r="C1699" s="379"/>
      <c r="D1699" s="382"/>
      <c r="E1699" s="382"/>
      <c r="F1699" s="382"/>
      <c r="G1699" s="382"/>
      <c r="H1699" s="382"/>
      <c r="J1699" s="634"/>
      <c r="S1699" s="536"/>
      <c r="T1699" s="635"/>
    </row>
    <row r="1700" spans="1:20" s="298" customFormat="1" ht="51">
      <c r="A1700" s="286"/>
      <c r="B1700" s="372" t="s">
        <v>11602</v>
      </c>
      <c r="C1700" s="231" t="s">
        <v>16991</v>
      </c>
      <c r="D1700" s="232" t="s">
        <v>103</v>
      </c>
      <c r="E1700" s="232" t="s">
        <v>109</v>
      </c>
      <c r="F1700" s="233"/>
      <c r="G1700" s="234"/>
      <c r="H1700" s="235">
        <v>77.92</v>
      </c>
      <c r="J1700" s="634"/>
      <c r="S1700" s="536"/>
      <c r="T1700" s="635"/>
    </row>
    <row r="1701" spans="1:20" s="298" customFormat="1" ht="25.5">
      <c r="A1701" s="256" t="s">
        <v>3259</v>
      </c>
      <c r="B1701" s="288">
        <v>88264</v>
      </c>
      <c r="C1701" s="289" t="s">
        <v>146</v>
      </c>
      <c r="D1701" s="290" t="s">
        <v>9714</v>
      </c>
      <c r="E1701" s="290" t="s">
        <v>206</v>
      </c>
      <c r="F1701" s="383">
        <v>0.251</v>
      </c>
      <c r="G1701" s="292" t="s">
        <v>16504</v>
      </c>
      <c r="H1701" s="255">
        <v>6.04</v>
      </c>
      <c r="J1701" s="634"/>
      <c r="S1701" s="536"/>
      <c r="T1701" s="635"/>
    </row>
    <row r="1702" spans="1:20" s="298" customFormat="1" ht="25.5">
      <c r="A1702" s="256" t="s">
        <v>3259</v>
      </c>
      <c r="B1702" s="374">
        <v>88247</v>
      </c>
      <c r="C1702" s="289" t="s">
        <v>145</v>
      </c>
      <c r="D1702" s="290" t="s">
        <v>9714</v>
      </c>
      <c r="E1702" s="290" t="s">
        <v>206</v>
      </c>
      <c r="F1702" s="383">
        <v>0.251</v>
      </c>
      <c r="G1702" s="292" t="s">
        <v>12206</v>
      </c>
      <c r="H1702" s="255">
        <v>4.7</v>
      </c>
      <c r="J1702" s="634"/>
      <c r="S1702" s="536"/>
      <c r="T1702" s="635"/>
    </row>
    <row r="1703" spans="1:20" s="298" customFormat="1" ht="25.5">
      <c r="A1703" s="256" t="s">
        <v>12</v>
      </c>
      <c r="B1703" s="288" t="s">
        <v>14365</v>
      </c>
      <c r="C1703" s="289" t="s">
        <v>15760</v>
      </c>
      <c r="D1703" s="290" t="s">
        <v>207</v>
      </c>
      <c r="E1703" s="290" t="s">
        <v>109</v>
      </c>
      <c r="F1703" s="383">
        <v>1</v>
      </c>
      <c r="G1703" s="292">
        <v>20.75</v>
      </c>
      <c r="H1703" s="255">
        <v>20.75</v>
      </c>
      <c r="J1703" s="634"/>
      <c r="S1703" s="536"/>
      <c r="T1703" s="635"/>
    </row>
    <row r="1704" spans="1:20" s="298" customFormat="1" ht="25.5">
      <c r="A1704" s="256" t="s">
        <v>12</v>
      </c>
      <c r="B1704" s="374" t="s">
        <v>14332</v>
      </c>
      <c r="C1704" s="289" t="s">
        <v>15761</v>
      </c>
      <c r="D1704" s="290" t="s">
        <v>207</v>
      </c>
      <c r="E1704" s="290" t="s">
        <v>109</v>
      </c>
      <c r="F1704" s="383">
        <v>6</v>
      </c>
      <c r="G1704" s="292">
        <v>2.7</v>
      </c>
      <c r="H1704" s="255">
        <v>16.2</v>
      </c>
      <c r="J1704" s="634"/>
      <c r="S1704" s="536"/>
      <c r="T1704" s="635"/>
    </row>
    <row r="1705" spans="1:20" s="298" customFormat="1" ht="12.75">
      <c r="A1705" s="256" t="s">
        <v>12</v>
      </c>
      <c r="B1705" s="374" t="s">
        <v>14333</v>
      </c>
      <c r="C1705" s="289" t="s">
        <v>14351</v>
      </c>
      <c r="D1705" s="290" t="s">
        <v>207</v>
      </c>
      <c r="E1705" s="290" t="s">
        <v>109</v>
      </c>
      <c r="F1705" s="383">
        <v>25.2</v>
      </c>
      <c r="G1705" s="292">
        <v>0.15</v>
      </c>
      <c r="H1705" s="255">
        <v>3.78</v>
      </c>
      <c r="J1705" s="634"/>
      <c r="S1705" s="536"/>
      <c r="T1705" s="635"/>
    </row>
    <row r="1706" spans="1:20" s="298" customFormat="1" ht="25.5">
      <c r="A1706" s="256" t="s">
        <v>3261</v>
      </c>
      <c r="B1706" s="374">
        <v>39211</v>
      </c>
      <c r="C1706" s="289" t="s">
        <v>4850</v>
      </c>
      <c r="D1706" s="290" t="s">
        <v>207</v>
      </c>
      <c r="E1706" s="290" t="s">
        <v>3240</v>
      </c>
      <c r="F1706" s="383">
        <v>25.2</v>
      </c>
      <c r="G1706" s="292" t="s">
        <v>10017</v>
      </c>
      <c r="H1706" s="255">
        <v>22.42</v>
      </c>
      <c r="J1706" s="634"/>
      <c r="S1706" s="536"/>
      <c r="T1706" s="635"/>
    </row>
    <row r="1707" spans="1:20" s="298" customFormat="1" ht="12.75">
      <c r="A1707" s="256" t="s">
        <v>3261</v>
      </c>
      <c r="B1707" s="374">
        <v>39997</v>
      </c>
      <c r="C1707" s="289" t="s">
        <v>7751</v>
      </c>
      <c r="D1707" s="290" t="s">
        <v>207</v>
      </c>
      <c r="E1707" s="290" t="s">
        <v>3240</v>
      </c>
      <c r="F1707" s="383">
        <v>25.2</v>
      </c>
      <c r="G1707" s="292" t="s">
        <v>9866</v>
      </c>
      <c r="H1707" s="255">
        <v>4.03</v>
      </c>
      <c r="J1707" s="634"/>
      <c r="S1707" s="536"/>
      <c r="T1707" s="635"/>
    </row>
    <row r="1708" spans="1:20" s="298" customFormat="1" ht="12.75">
      <c r="A1708" s="286"/>
      <c r="B1708" s="375" t="s">
        <v>143</v>
      </c>
      <c r="C1708" s="816" t="s">
        <v>16992</v>
      </c>
      <c r="D1708" s="817"/>
      <c r="E1708" s="817"/>
      <c r="F1708" s="817"/>
      <c r="G1708" s="817"/>
      <c r="H1708" s="818"/>
      <c r="J1708" s="634"/>
      <c r="S1708" s="536"/>
      <c r="T1708" s="635"/>
    </row>
    <row r="1709" spans="1:20" s="298" customFormat="1" ht="12.75">
      <c r="A1709" s="286"/>
      <c r="B1709" s="373"/>
      <c r="C1709" s="379"/>
      <c r="D1709" s="382"/>
      <c r="E1709" s="382"/>
      <c r="F1709" s="382"/>
      <c r="G1709" s="382"/>
      <c r="H1709" s="382"/>
      <c r="J1709" s="634"/>
      <c r="S1709" s="536"/>
      <c r="T1709" s="635"/>
    </row>
    <row r="1710" spans="1:20" s="298" customFormat="1" ht="38.25">
      <c r="A1710" s="286"/>
      <c r="B1710" s="372" t="s">
        <v>11603</v>
      </c>
      <c r="C1710" s="231" t="s">
        <v>16994</v>
      </c>
      <c r="D1710" s="232" t="s">
        <v>103</v>
      </c>
      <c r="E1710" s="232" t="s">
        <v>109</v>
      </c>
      <c r="F1710" s="233"/>
      <c r="G1710" s="234"/>
      <c r="H1710" s="235">
        <v>13.129999999999999</v>
      </c>
      <c r="J1710" s="634"/>
      <c r="S1710" s="536"/>
      <c r="T1710" s="635"/>
    </row>
    <row r="1711" spans="1:20" s="298" customFormat="1" ht="25.5">
      <c r="A1711" s="256" t="s">
        <v>3259</v>
      </c>
      <c r="B1711" s="288">
        <v>88264</v>
      </c>
      <c r="C1711" s="289" t="s">
        <v>146</v>
      </c>
      <c r="D1711" s="290" t="s">
        <v>9714</v>
      </c>
      <c r="E1711" s="290" t="s">
        <v>206</v>
      </c>
      <c r="F1711" s="383">
        <v>0.05</v>
      </c>
      <c r="G1711" s="292" t="s">
        <v>16504</v>
      </c>
      <c r="H1711" s="255">
        <v>1.2</v>
      </c>
      <c r="J1711" s="634"/>
      <c r="S1711" s="536"/>
      <c r="T1711" s="635"/>
    </row>
    <row r="1712" spans="1:20" s="298" customFormat="1" ht="25.5">
      <c r="A1712" s="256" t="s">
        <v>3259</v>
      </c>
      <c r="B1712" s="374">
        <v>88247</v>
      </c>
      <c r="C1712" s="289" t="s">
        <v>145</v>
      </c>
      <c r="D1712" s="290" t="s">
        <v>9714</v>
      </c>
      <c r="E1712" s="290" t="s">
        <v>206</v>
      </c>
      <c r="F1712" s="383">
        <v>0.05</v>
      </c>
      <c r="G1712" s="292" t="s">
        <v>12206</v>
      </c>
      <c r="H1712" s="255">
        <v>0.93</v>
      </c>
      <c r="J1712" s="634"/>
      <c r="S1712" s="536"/>
      <c r="T1712" s="635"/>
    </row>
    <row r="1713" spans="1:20" s="298" customFormat="1" ht="25.5">
      <c r="A1713" s="256" t="s">
        <v>12</v>
      </c>
      <c r="B1713" s="288" t="s">
        <v>14366</v>
      </c>
      <c r="C1713" s="289" t="s">
        <v>15762</v>
      </c>
      <c r="D1713" s="290" t="s">
        <v>207</v>
      </c>
      <c r="E1713" s="290" t="s">
        <v>109</v>
      </c>
      <c r="F1713" s="383">
        <v>1</v>
      </c>
      <c r="G1713" s="292">
        <v>11</v>
      </c>
      <c r="H1713" s="255">
        <v>11</v>
      </c>
      <c r="J1713" s="634"/>
      <c r="S1713" s="536"/>
      <c r="T1713" s="635"/>
    </row>
    <row r="1714" spans="1:20" s="298" customFormat="1" ht="12.75">
      <c r="A1714" s="286"/>
      <c r="B1714" s="375" t="s">
        <v>143</v>
      </c>
      <c r="C1714" s="816" t="s">
        <v>16993</v>
      </c>
      <c r="D1714" s="817"/>
      <c r="E1714" s="817"/>
      <c r="F1714" s="817"/>
      <c r="G1714" s="817"/>
      <c r="H1714" s="818"/>
      <c r="J1714" s="634"/>
      <c r="S1714" s="536"/>
      <c r="T1714" s="635"/>
    </row>
    <row r="1715" spans="1:20" s="298" customFormat="1" ht="12.75">
      <c r="A1715" s="286"/>
      <c r="B1715" s="373"/>
      <c r="C1715" s="379"/>
      <c r="D1715" s="382"/>
      <c r="E1715" s="382"/>
      <c r="F1715" s="382"/>
      <c r="G1715" s="382"/>
      <c r="H1715" s="382"/>
      <c r="J1715" s="634"/>
      <c r="S1715" s="536"/>
      <c r="T1715" s="635"/>
    </row>
    <row r="1716" spans="1:20" s="298" customFormat="1" ht="38.25">
      <c r="A1716" s="286"/>
      <c r="B1716" s="372" t="s">
        <v>11604</v>
      </c>
      <c r="C1716" s="231" t="s">
        <v>18380</v>
      </c>
      <c r="D1716" s="232" t="s">
        <v>103</v>
      </c>
      <c r="E1716" s="232" t="s">
        <v>109</v>
      </c>
      <c r="F1716" s="233"/>
      <c r="G1716" s="234"/>
      <c r="H1716" s="235">
        <v>12.98</v>
      </c>
      <c r="J1716" s="634"/>
      <c r="S1716" s="536"/>
      <c r="T1716" s="635"/>
    </row>
    <row r="1717" spans="1:20" s="298" customFormat="1" ht="25.5">
      <c r="A1717" s="256" t="s">
        <v>3259</v>
      </c>
      <c r="B1717" s="288">
        <v>88264</v>
      </c>
      <c r="C1717" s="289" t="s">
        <v>146</v>
      </c>
      <c r="D1717" s="290" t="s">
        <v>9714</v>
      </c>
      <c r="E1717" s="290" t="s">
        <v>206</v>
      </c>
      <c r="F1717" s="383">
        <v>0.05</v>
      </c>
      <c r="G1717" s="292" t="s">
        <v>16504</v>
      </c>
      <c r="H1717" s="255">
        <v>1.2</v>
      </c>
      <c r="J1717" s="634"/>
      <c r="S1717" s="536"/>
      <c r="T1717" s="635"/>
    </row>
    <row r="1718" spans="1:20" s="298" customFormat="1" ht="25.5">
      <c r="A1718" s="256" t="s">
        <v>3259</v>
      </c>
      <c r="B1718" s="374">
        <v>88247</v>
      </c>
      <c r="C1718" s="289" t="s">
        <v>145</v>
      </c>
      <c r="D1718" s="290" t="s">
        <v>9714</v>
      </c>
      <c r="E1718" s="290" t="s">
        <v>206</v>
      </c>
      <c r="F1718" s="383">
        <v>0.05</v>
      </c>
      <c r="G1718" s="292" t="s">
        <v>12206</v>
      </c>
      <c r="H1718" s="255">
        <v>0.93</v>
      </c>
      <c r="J1718" s="634"/>
      <c r="S1718" s="536"/>
      <c r="T1718" s="635"/>
    </row>
    <row r="1719" spans="1:20" s="298" customFormat="1" ht="25.5">
      <c r="A1719" s="256" t="s">
        <v>12</v>
      </c>
      <c r="B1719" s="288" t="s">
        <v>14367</v>
      </c>
      <c r="C1719" s="289" t="s">
        <v>18381</v>
      </c>
      <c r="D1719" s="290" t="s">
        <v>207</v>
      </c>
      <c r="E1719" s="290" t="s">
        <v>109</v>
      </c>
      <c r="F1719" s="383">
        <v>1</v>
      </c>
      <c r="G1719" s="292">
        <v>10.85</v>
      </c>
      <c r="H1719" s="255">
        <v>10.85</v>
      </c>
      <c r="J1719" s="634"/>
      <c r="S1719" s="536"/>
      <c r="T1719" s="635"/>
    </row>
    <row r="1720" spans="1:20" s="298" customFormat="1" ht="12.75">
      <c r="A1720" s="286"/>
      <c r="B1720" s="375" t="s">
        <v>143</v>
      </c>
      <c r="C1720" s="816" t="s">
        <v>16995</v>
      </c>
      <c r="D1720" s="817"/>
      <c r="E1720" s="817"/>
      <c r="F1720" s="817"/>
      <c r="G1720" s="817"/>
      <c r="H1720" s="818"/>
      <c r="J1720" s="634"/>
      <c r="S1720" s="536"/>
      <c r="T1720" s="635"/>
    </row>
    <row r="1721" spans="1:20" s="298" customFormat="1" ht="12.75">
      <c r="A1721" s="286"/>
      <c r="B1721" s="373"/>
      <c r="C1721" s="379"/>
      <c r="D1721" s="382"/>
      <c r="E1721" s="382"/>
      <c r="F1721" s="382"/>
      <c r="G1721" s="382"/>
      <c r="H1721" s="382"/>
      <c r="J1721" s="634"/>
      <c r="S1721" s="536"/>
      <c r="T1721" s="635"/>
    </row>
    <row r="1722" spans="1:20" s="298" customFormat="1" ht="38.25">
      <c r="A1722" s="286"/>
      <c r="B1722" s="372" t="s">
        <v>11605</v>
      </c>
      <c r="C1722" s="231" t="s">
        <v>16996</v>
      </c>
      <c r="D1722" s="232" t="s">
        <v>103</v>
      </c>
      <c r="E1722" s="232" t="s">
        <v>109</v>
      </c>
      <c r="F1722" s="233"/>
      <c r="G1722" s="234"/>
      <c r="H1722" s="235">
        <v>19.41</v>
      </c>
      <c r="J1722" s="634"/>
      <c r="S1722" s="536"/>
      <c r="T1722" s="635"/>
    </row>
    <row r="1723" spans="1:20" s="298" customFormat="1" ht="25.5">
      <c r="A1723" s="256" t="s">
        <v>3259</v>
      </c>
      <c r="B1723" s="288">
        <v>88264</v>
      </c>
      <c r="C1723" s="289" t="s">
        <v>146</v>
      </c>
      <c r="D1723" s="290" t="s">
        <v>9714</v>
      </c>
      <c r="E1723" s="290" t="s">
        <v>206</v>
      </c>
      <c r="F1723" s="383">
        <v>0.2</v>
      </c>
      <c r="G1723" s="292" t="s">
        <v>16504</v>
      </c>
      <c r="H1723" s="255">
        <v>4.82</v>
      </c>
      <c r="J1723" s="634"/>
      <c r="S1723" s="536"/>
      <c r="T1723" s="635"/>
    </row>
    <row r="1724" spans="1:20" s="298" customFormat="1" ht="25.5">
      <c r="A1724" s="256" t="s">
        <v>3259</v>
      </c>
      <c r="B1724" s="374">
        <v>88247</v>
      </c>
      <c r="C1724" s="289" t="s">
        <v>145</v>
      </c>
      <c r="D1724" s="290" t="s">
        <v>9714</v>
      </c>
      <c r="E1724" s="290" t="s">
        <v>206</v>
      </c>
      <c r="F1724" s="383">
        <v>0.2</v>
      </c>
      <c r="G1724" s="292" t="s">
        <v>12206</v>
      </c>
      <c r="H1724" s="255">
        <v>3.74</v>
      </c>
      <c r="J1724" s="634"/>
      <c r="S1724" s="536"/>
      <c r="T1724" s="635"/>
    </row>
    <row r="1725" spans="1:20" s="298" customFormat="1" ht="25.5">
      <c r="A1725" s="256" t="s">
        <v>12</v>
      </c>
      <c r="B1725" s="288" t="s">
        <v>14368</v>
      </c>
      <c r="C1725" s="289" t="s">
        <v>15763</v>
      </c>
      <c r="D1725" s="290" t="s">
        <v>207</v>
      </c>
      <c r="E1725" s="290" t="s">
        <v>109</v>
      </c>
      <c r="F1725" s="383">
        <v>1</v>
      </c>
      <c r="G1725" s="292">
        <v>10.85</v>
      </c>
      <c r="H1725" s="255">
        <v>10.85</v>
      </c>
      <c r="J1725" s="634"/>
      <c r="S1725" s="536"/>
      <c r="T1725" s="635"/>
    </row>
    <row r="1726" spans="1:20" s="298" customFormat="1" ht="12.75">
      <c r="A1726" s="286"/>
      <c r="B1726" s="375" t="s">
        <v>143</v>
      </c>
      <c r="C1726" s="816" t="s">
        <v>16997</v>
      </c>
      <c r="D1726" s="817"/>
      <c r="E1726" s="817"/>
      <c r="F1726" s="817"/>
      <c r="G1726" s="817"/>
      <c r="H1726" s="818"/>
      <c r="J1726" s="634"/>
      <c r="S1726" s="536"/>
      <c r="T1726" s="635"/>
    </row>
    <row r="1727" spans="1:20" s="298" customFormat="1" ht="12.75">
      <c r="A1727" s="286"/>
      <c r="B1727" s="373"/>
      <c r="C1727" s="379"/>
      <c r="D1727" s="382"/>
      <c r="E1727" s="382"/>
      <c r="F1727" s="382"/>
      <c r="G1727" s="382"/>
      <c r="H1727" s="382"/>
      <c r="J1727" s="634"/>
      <c r="S1727" s="536"/>
      <c r="T1727" s="635"/>
    </row>
    <row r="1728" spans="1:20" s="298" customFormat="1" ht="38.25">
      <c r="A1728" s="286"/>
      <c r="B1728" s="372" t="s">
        <v>11606</v>
      </c>
      <c r="C1728" s="231" t="s">
        <v>16998</v>
      </c>
      <c r="D1728" s="232" t="s">
        <v>103</v>
      </c>
      <c r="E1728" s="232" t="s">
        <v>109</v>
      </c>
      <c r="F1728" s="233"/>
      <c r="G1728" s="234"/>
      <c r="H1728" s="235">
        <v>11.55</v>
      </c>
      <c r="J1728" s="634"/>
      <c r="S1728" s="536"/>
      <c r="T1728" s="635"/>
    </row>
    <row r="1729" spans="1:20" s="298" customFormat="1" ht="25.5">
      <c r="A1729" s="256" t="s">
        <v>3259</v>
      </c>
      <c r="B1729" s="288">
        <v>88264</v>
      </c>
      <c r="C1729" s="289" t="s">
        <v>146</v>
      </c>
      <c r="D1729" s="290" t="s">
        <v>9714</v>
      </c>
      <c r="E1729" s="290" t="s">
        <v>206</v>
      </c>
      <c r="F1729" s="383">
        <v>0.05</v>
      </c>
      <c r="G1729" s="292" t="s">
        <v>16504</v>
      </c>
      <c r="H1729" s="255">
        <v>1.2</v>
      </c>
      <c r="J1729" s="634"/>
      <c r="S1729" s="536"/>
      <c r="T1729" s="635"/>
    </row>
    <row r="1730" spans="1:20" s="298" customFormat="1" ht="25.5">
      <c r="A1730" s="256" t="s">
        <v>3259</v>
      </c>
      <c r="B1730" s="374">
        <v>88247</v>
      </c>
      <c r="C1730" s="289" t="s">
        <v>145</v>
      </c>
      <c r="D1730" s="290" t="s">
        <v>9714</v>
      </c>
      <c r="E1730" s="290" t="s">
        <v>206</v>
      </c>
      <c r="F1730" s="383">
        <v>0.05</v>
      </c>
      <c r="G1730" s="292" t="s">
        <v>12206</v>
      </c>
      <c r="H1730" s="255">
        <v>0.93</v>
      </c>
      <c r="J1730" s="634"/>
      <c r="S1730" s="536"/>
      <c r="T1730" s="635"/>
    </row>
    <row r="1731" spans="1:20" s="298" customFormat="1" ht="25.5">
      <c r="A1731" s="256" t="s">
        <v>12</v>
      </c>
      <c r="B1731" s="288" t="s">
        <v>14369</v>
      </c>
      <c r="C1731" s="289" t="s">
        <v>15764</v>
      </c>
      <c r="D1731" s="290" t="s">
        <v>207</v>
      </c>
      <c r="E1731" s="290" t="s">
        <v>109</v>
      </c>
      <c r="F1731" s="383">
        <v>1</v>
      </c>
      <c r="G1731" s="292">
        <v>9.42</v>
      </c>
      <c r="H1731" s="255">
        <v>9.42</v>
      </c>
      <c r="J1731" s="634"/>
      <c r="S1731" s="536"/>
      <c r="T1731" s="635"/>
    </row>
    <row r="1732" spans="1:20" s="298" customFormat="1" ht="12.75">
      <c r="A1732" s="286"/>
      <c r="B1732" s="375" t="s">
        <v>143</v>
      </c>
      <c r="C1732" s="816" t="s">
        <v>16999</v>
      </c>
      <c r="D1732" s="817"/>
      <c r="E1732" s="817"/>
      <c r="F1732" s="817"/>
      <c r="G1732" s="817"/>
      <c r="H1732" s="818"/>
      <c r="J1732" s="634"/>
      <c r="S1732" s="536"/>
      <c r="T1732" s="635"/>
    </row>
    <row r="1733" spans="1:20" s="298" customFormat="1" ht="12.75">
      <c r="A1733" s="286"/>
      <c r="B1733" s="373"/>
      <c r="C1733" s="379"/>
      <c r="D1733" s="382"/>
      <c r="E1733" s="382"/>
      <c r="F1733" s="382"/>
      <c r="G1733" s="382"/>
      <c r="H1733" s="382"/>
      <c r="J1733" s="634"/>
      <c r="S1733" s="536"/>
      <c r="T1733" s="635"/>
    </row>
    <row r="1734" spans="1:20" s="298" customFormat="1" ht="51">
      <c r="A1734" s="286"/>
      <c r="B1734" s="372" t="s">
        <v>11607</v>
      </c>
      <c r="C1734" s="231" t="s">
        <v>17135</v>
      </c>
      <c r="D1734" s="232" t="s">
        <v>103</v>
      </c>
      <c r="E1734" s="232" t="s">
        <v>5</v>
      </c>
      <c r="F1734" s="233"/>
      <c r="G1734" s="234"/>
      <c r="H1734" s="235">
        <v>18.079999999999998</v>
      </c>
      <c r="J1734" s="634"/>
      <c r="S1734" s="536"/>
      <c r="T1734" s="635"/>
    </row>
    <row r="1735" spans="1:20" s="298" customFormat="1" ht="25.5">
      <c r="A1735" s="256" t="s">
        <v>3259</v>
      </c>
      <c r="B1735" s="288">
        <v>88264</v>
      </c>
      <c r="C1735" s="289" t="s">
        <v>146</v>
      </c>
      <c r="D1735" s="290" t="s">
        <v>9714</v>
      </c>
      <c r="E1735" s="290" t="s">
        <v>206</v>
      </c>
      <c r="F1735" s="383">
        <v>0.2</v>
      </c>
      <c r="G1735" s="292" t="s">
        <v>16504</v>
      </c>
      <c r="H1735" s="255">
        <v>4.82</v>
      </c>
      <c r="J1735" s="634"/>
      <c r="S1735" s="536"/>
      <c r="T1735" s="635"/>
    </row>
    <row r="1736" spans="1:20" s="298" customFormat="1" ht="25.5">
      <c r="A1736" s="256" t="s">
        <v>3259</v>
      </c>
      <c r="B1736" s="374">
        <v>88247</v>
      </c>
      <c r="C1736" s="289" t="s">
        <v>145</v>
      </c>
      <c r="D1736" s="290" t="s">
        <v>9714</v>
      </c>
      <c r="E1736" s="290" t="s">
        <v>206</v>
      </c>
      <c r="F1736" s="383">
        <v>0.2</v>
      </c>
      <c r="G1736" s="292" t="s">
        <v>12206</v>
      </c>
      <c r="H1736" s="255">
        <v>3.74</v>
      </c>
      <c r="J1736" s="634"/>
      <c r="S1736" s="536"/>
      <c r="T1736" s="635"/>
    </row>
    <row r="1737" spans="1:20" s="298" customFormat="1" ht="25.5">
      <c r="A1737" s="256" t="s">
        <v>12</v>
      </c>
      <c r="B1737" s="288" t="s">
        <v>14370</v>
      </c>
      <c r="C1737" s="289" t="s">
        <v>15765</v>
      </c>
      <c r="D1737" s="290" t="s">
        <v>207</v>
      </c>
      <c r="E1737" s="290" t="s">
        <v>5</v>
      </c>
      <c r="F1737" s="383">
        <v>1</v>
      </c>
      <c r="G1737" s="292">
        <v>9.5266666666666655</v>
      </c>
      <c r="H1737" s="255">
        <v>9.52</v>
      </c>
      <c r="J1737" s="634"/>
      <c r="S1737" s="536"/>
      <c r="T1737" s="635"/>
    </row>
    <row r="1738" spans="1:20" s="298" customFormat="1" ht="12.75">
      <c r="A1738" s="286"/>
      <c r="B1738" s="375" t="s">
        <v>143</v>
      </c>
      <c r="C1738" s="816" t="s">
        <v>17000</v>
      </c>
      <c r="D1738" s="817"/>
      <c r="E1738" s="817"/>
      <c r="F1738" s="817"/>
      <c r="G1738" s="817"/>
      <c r="H1738" s="818"/>
      <c r="J1738" s="634"/>
      <c r="S1738" s="536"/>
      <c r="T1738" s="635"/>
    </row>
    <row r="1739" spans="1:20" s="298" customFormat="1" ht="12.75">
      <c r="A1739" s="286"/>
      <c r="B1739" s="373"/>
      <c r="C1739" s="379"/>
      <c r="D1739" s="382"/>
      <c r="E1739" s="382"/>
      <c r="F1739" s="382"/>
      <c r="G1739" s="382"/>
      <c r="H1739" s="382"/>
      <c r="J1739" s="634"/>
      <c r="S1739" s="536"/>
      <c r="T1739" s="635"/>
    </row>
    <row r="1740" spans="1:20" s="298" customFormat="1" ht="51">
      <c r="A1740" s="286"/>
      <c r="B1740" s="372" t="s">
        <v>11608</v>
      </c>
      <c r="C1740" s="231" t="s">
        <v>17136</v>
      </c>
      <c r="D1740" s="232" t="s">
        <v>103</v>
      </c>
      <c r="E1740" s="232" t="s">
        <v>5</v>
      </c>
      <c r="F1740" s="233"/>
      <c r="G1740" s="234"/>
      <c r="H1740" s="235">
        <v>14.91</v>
      </c>
      <c r="J1740" s="634"/>
      <c r="S1740" s="536"/>
      <c r="T1740" s="635"/>
    </row>
    <row r="1741" spans="1:20" s="298" customFormat="1" ht="25.5">
      <c r="A1741" s="256" t="s">
        <v>3259</v>
      </c>
      <c r="B1741" s="288">
        <v>88264</v>
      </c>
      <c r="C1741" s="289" t="s">
        <v>146</v>
      </c>
      <c r="D1741" s="290" t="s">
        <v>9714</v>
      </c>
      <c r="E1741" s="290" t="s">
        <v>206</v>
      </c>
      <c r="F1741" s="383">
        <v>0.2</v>
      </c>
      <c r="G1741" s="292" t="s">
        <v>16504</v>
      </c>
      <c r="H1741" s="255">
        <v>4.82</v>
      </c>
      <c r="J1741" s="634"/>
      <c r="S1741" s="536"/>
      <c r="T1741" s="635"/>
    </row>
    <row r="1742" spans="1:20" s="298" customFormat="1" ht="25.5">
      <c r="A1742" s="256" t="s">
        <v>3259</v>
      </c>
      <c r="B1742" s="374">
        <v>88247</v>
      </c>
      <c r="C1742" s="289" t="s">
        <v>145</v>
      </c>
      <c r="D1742" s="290" t="s">
        <v>9714</v>
      </c>
      <c r="E1742" s="290" t="s">
        <v>206</v>
      </c>
      <c r="F1742" s="383">
        <v>0.2</v>
      </c>
      <c r="G1742" s="292" t="s">
        <v>12206</v>
      </c>
      <c r="H1742" s="255">
        <v>3.74</v>
      </c>
      <c r="J1742" s="634"/>
      <c r="S1742" s="536"/>
      <c r="T1742" s="635"/>
    </row>
    <row r="1743" spans="1:20" s="298" customFormat="1" ht="25.5">
      <c r="A1743" s="256" t="s">
        <v>12</v>
      </c>
      <c r="B1743" s="288" t="s">
        <v>14381</v>
      </c>
      <c r="C1743" s="289" t="s">
        <v>15766</v>
      </c>
      <c r="D1743" s="290" t="s">
        <v>207</v>
      </c>
      <c r="E1743" s="290" t="s">
        <v>5</v>
      </c>
      <c r="F1743" s="383">
        <v>1</v>
      </c>
      <c r="G1743" s="292">
        <v>6.3500000000000005</v>
      </c>
      <c r="H1743" s="255">
        <v>6.35</v>
      </c>
      <c r="J1743" s="634"/>
      <c r="S1743" s="536"/>
      <c r="T1743" s="635"/>
    </row>
    <row r="1744" spans="1:20" s="298" customFormat="1" ht="12.75">
      <c r="A1744" s="286"/>
      <c r="B1744" s="375" t="s">
        <v>143</v>
      </c>
      <c r="C1744" s="816" t="s">
        <v>17000</v>
      </c>
      <c r="D1744" s="817"/>
      <c r="E1744" s="817"/>
      <c r="F1744" s="817"/>
      <c r="G1744" s="817"/>
      <c r="H1744" s="818"/>
      <c r="J1744" s="634"/>
      <c r="S1744" s="536"/>
      <c r="T1744" s="635"/>
    </row>
    <row r="1745" spans="1:20" s="298" customFormat="1" ht="12.75">
      <c r="A1745" s="286"/>
      <c r="B1745" s="373"/>
      <c r="C1745" s="379"/>
      <c r="D1745" s="382"/>
      <c r="E1745" s="382"/>
      <c r="F1745" s="382"/>
      <c r="G1745" s="382"/>
      <c r="H1745" s="382"/>
      <c r="J1745" s="634"/>
      <c r="S1745" s="536"/>
      <c r="T1745" s="635"/>
    </row>
    <row r="1746" spans="1:20" s="298" customFormat="1" ht="63.75">
      <c r="A1746" s="286"/>
      <c r="B1746" s="372" t="s">
        <v>11609</v>
      </c>
      <c r="C1746" s="231" t="s">
        <v>18391</v>
      </c>
      <c r="D1746" s="232" t="s">
        <v>103</v>
      </c>
      <c r="E1746" s="232" t="s">
        <v>109</v>
      </c>
      <c r="F1746" s="233"/>
      <c r="G1746" s="234"/>
      <c r="H1746" s="235">
        <v>127.60000000000001</v>
      </c>
      <c r="J1746" s="634"/>
      <c r="S1746" s="536"/>
      <c r="T1746" s="635"/>
    </row>
    <row r="1747" spans="1:20" s="298" customFormat="1" ht="25.5">
      <c r="A1747" s="256" t="s">
        <v>3259</v>
      </c>
      <c r="B1747" s="288">
        <v>88264</v>
      </c>
      <c r="C1747" s="289" t="s">
        <v>146</v>
      </c>
      <c r="D1747" s="290" t="s">
        <v>9714</v>
      </c>
      <c r="E1747" s="290" t="s">
        <v>206</v>
      </c>
      <c r="F1747" s="383">
        <v>1</v>
      </c>
      <c r="G1747" s="292" t="s">
        <v>16504</v>
      </c>
      <c r="H1747" s="255">
        <v>24.1</v>
      </c>
      <c r="J1747" s="634"/>
      <c r="S1747" s="536"/>
      <c r="T1747" s="635"/>
    </row>
    <row r="1748" spans="1:20" s="298" customFormat="1" ht="25.5">
      <c r="A1748" s="256" t="s">
        <v>3259</v>
      </c>
      <c r="B1748" s="374">
        <v>88247</v>
      </c>
      <c r="C1748" s="289" t="s">
        <v>145</v>
      </c>
      <c r="D1748" s="290" t="s">
        <v>9714</v>
      </c>
      <c r="E1748" s="290" t="s">
        <v>206</v>
      </c>
      <c r="F1748" s="383">
        <v>1</v>
      </c>
      <c r="G1748" s="292" t="s">
        <v>12206</v>
      </c>
      <c r="H1748" s="255">
        <v>18.739999999999998</v>
      </c>
      <c r="J1748" s="634"/>
      <c r="S1748" s="536"/>
      <c r="T1748" s="635"/>
    </row>
    <row r="1749" spans="1:20" s="298" customFormat="1" ht="38.25">
      <c r="A1749" s="256" t="s">
        <v>12</v>
      </c>
      <c r="B1749" s="288" t="s">
        <v>11594</v>
      </c>
      <c r="C1749" s="289" t="s">
        <v>18384</v>
      </c>
      <c r="D1749" s="290" t="s">
        <v>207</v>
      </c>
      <c r="E1749" s="290" t="s">
        <v>109</v>
      </c>
      <c r="F1749" s="383">
        <v>1</v>
      </c>
      <c r="G1749" s="292">
        <v>84.76</v>
      </c>
      <c r="H1749" s="255">
        <v>84.76</v>
      </c>
      <c r="J1749" s="634"/>
      <c r="S1749" s="536"/>
      <c r="T1749" s="635"/>
    </row>
    <row r="1750" spans="1:20" s="298" customFormat="1" ht="12.75">
      <c r="A1750" s="286"/>
      <c r="B1750" s="375" t="s">
        <v>143</v>
      </c>
      <c r="C1750" s="816" t="s">
        <v>17001</v>
      </c>
      <c r="D1750" s="817"/>
      <c r="E1750" s="817"/>
      <c r="F1750" s="817"/>
      <c r="G1750" s="817"/>
      <c r="H1750" s="818"/>
      <c r="J1750" s="634"/>
      <c r="S1750" s="536"/>
      <c r="T1750" s="635"/>
    </row>
    <row r="1751" spans="1:20" s="298" customFormat="1" ht="12.75">
      <c r="A1751" s="286"/>
      <c r="B1751" s="373"/>
      <c r="C1751" s="379"/>
      <c r="D1751" s="382"/>
      <c r="E1751" s="382"/>
      <c r="F1751" s="382"/>
      <c r="G1751" s="382"/>
      <c r="H1751" s="382"/>
      <c r="J1751" s="634"/>
      <c r="S1751" s="536"/>
      <c r="T1751" s="635"/>
    </row>
    <row r="1752" spans="1:20" s="298" customFormat="1" ht="63.75">
      <c r="A1752" s="286"/>
      <c r="B1752" s="372" t="s">
        <v>11610</v>
      </c>
      <c r="C1752" s="231" t="s">
        <v>18392</v>
      </c>
      <c r="D1752" s="232" t="s">
        <v>103</v>
      </c>
      <c r="E1752" s="232" t="s">
        <v>109</v>
      </c>
      <c r="F1752" s="233"/>
      <c r="G1752" s="234"/>
      <c r="H1752" s="235">
        <v>127.39</v>
      </c>
      <c r="J1752" s="634"/>
      <c r="S1752" s="536"/>
      <c r="T1752" s="635"/>
    </row>
    <row r="1753" spans="1:20" s="298" customFormat="1" ht="25.5">
      <c r="A1753" s="256" t="s">
        <v>3259</v>
      </c>
      <c r="B1753" s="288">
        <v>88264</v>
      </c>
      <c r="C1753" s="289" t="s">
        <v>146</v>
      </c>
      <c r="D1753" s="290" t="s">
        <v>9714</v>
      </c>
      <c r="E1753" s="290" t="s">
        <v>206</v>
      </c>
      <c r="F1753" s="383">
        <v>1</v>
      </c>
      <c r="G1753" s="292" t="s">
        <v>16504</v>
      </c>
      <c r="H1753" s="255">
        <v>24.1</v>
      </c>
      <c r="J1753" s="634"/>
      <c r="S1753" s="536"/>
      <c r="T1753" s="635"/>
    </row>
    <row r="1754" spans="1:20" s="298" customFormat="1" ht="25.5">
      <c r="A1754" s="256" t="s">
        <v>3259</v>
      </c>
      <c r="B1754" s="374">
        <v>88247</v>
      </c>
      <c r="C1754" s="289" t="s">
        <v>145</v>
      </c>
      <c r="D1754" s="290" t="s">
        <v>9714</v>
      </c>
      <c r="E1754" s="290" t="s">
        <v>206</v>
      </c>
      <c r="F1754" s="383">
        <v>1</v>
      </c>
      <c r="G1754" s="292" t="s">
        <v>12206</v>
      </c>
      <c r="H1754" s="255">
        <v>18.739999999999998</v>
      </c>
      <c r="J1754" s="634"/>
      <c r="S1754" s="536"/>
      <c r="T1754" s="635"/>
    </row>
    <row r="1755" spans="1:20" s="298" customFormat="1" ht="51">
      <c r="A1755" s="256" t="s">
        <v>12</v>
      </c>
      <c r="B1755" s="288" t="s">
        <v>11595</v>
      </c>
      <c r="C1755" s="289" t="s">
        <v>24829</v>
      </c>
      <c r="D1755" s="290" t="s">
        <v>207</v>
      </c>
      <c r="E1755" s="290" t="s">
        <v>109</v>
      </c>
      <c r="F1755" s="383">
        <v>1</v>
      </c>
      <c r="G1755" s="292">
        <v>84.55</v>
      </c>
      <c r="H1755" s="255">
        <v>84.55</v>
      </c>
      <c r="J1755" s="634"/>
      <c r="S1755" s="536"/>
      <c r="T1755" s="635"/>
    </row>
    <row r="1756" spans="1:20" s="298" customFormat="1" ht="12.75">
      <c r="A1756" s="286"/>
      <c r="B1756" s="375" t="s">
        <v>143</v>
      </c>
      <c r="C1756" s="816" t="s">
        <v>17002</v>
      </c>
      <c r="D1756" s="817"/>
      <c r="E1756" s="817"/>
      <c r="F1756" s="817"/>
      <c r="G1756" s="817"/>
      <c r="H1756" s="818"/>
      <c r="J1756" s="634"/>
      <c r="S1756" s="536"/>
      <c r="T1756" s="635"/>
    </row>
    <row r="1757" spans="1:20" s="298" customFormat="1" ht="12.75">
      <c r="A1757" s="286"/>
      <c r="B1757" s="373"/>
      <c r="C1757" s="379"/>
      <c r="D1757" s="382"/>
      <c r="E1757" s="382"/>
      <c r="F1757" s="382"/>
      <c r="G1757" s="382"/>
      <c r="H1757" s="382"/>
      <c r="J1757" s="634"/>
      <c r="S1757" s="536"/>
      <c r="T1757" s="635"/>
    </row>
    <row r="1758" spans="1:20" s="298" customFormat="1" ht="63.75">
      <c r="A1758" s="286"/>
      <c r="B1758" s="372" t="s">
        <v>11611</v>
      </c>
      <c r="C1758" s="231" t="s">
        <v>18393</v>
      </c>
      <c r="D1758" s="232" t="s">
        <v>103</v>
      </c>
      <c r="E1758" s="232" t="s">
        <v>109</v>
      </c>
      <c r="F1758" s="233"/>
      <c r="G1758" s="234"/>
      <c r="H1758" s="235">
        <v>274.45000000000005</v>
      </c>
      <c r="J1758" s="634"/>
      <c r="S1758" s="536"/>
      <c r="T1758" s="635"/>
    </row>
    <row r="1759" spans="1:20" s="298" customFormat="1" ht="25.5">
      <c r="A1759" s="256" t="s">
        <v>3259</v>
      </c>
      <c r="B1759" s="288">
        <v>88264</v>
      </c>
      <c r="C1759" s="289" t="s">
        <v>146</v>
      </c>
      <c r="D1759" s="290" t="s">
        <v>9714</v>
      </c>
      <c r="E1759" s="290" t="s">
        <v>206</v>
      </c>
      <c r="F1759" s="383">
        <v>1</v>
      </c>
      <c r="G1759" s="292" t="s">
        <v>16504</v>
      </c>
      <c r="H1759" s="255">
        <v>24.1</v>
      </c>
      <c r="J1759" s="634"/>
      <c r="S1759" s="536"/>
      <c r="T1759" s="635"/>
    </row>
    <row r="1760" spans="1:20" s="298" customFormat="1" ht="25.5">
      <c r="A1760" s="256" t="s">
        <v>3259</v>
      </c>
      <c r="B1760" s="374">
        <v>88247</v>
      </c>
      <c r="C1760" s="289" t="s">
        <v>145</v>
      </c>
      <c r="D1760" s="290" t="s">
        <v>9714</v>
      </c>
      <c r="E1760" s="290" t="s">
        <v>206</v>
      </c>
      <c r="F1760" s="383">
        <v>1</v>
      </c>
      <c r="G1760" s="292" t="s">
        <v>12206</v>
      </c>
      <c r="H1760" s="255">
        <v>18.739999999999998</v>
      </c>
      <c r="J1760" s="634"/>
      <c r="S1760" s="536"/>
      <c r="T1760" s="635"/>
    </row>
    <row r="1761" spans="1:20" s="298" customFormat="1" ht="38.25">
      <c r="A1761" s="256" t="s">
        <v>12</v>
      </c>
      <c r="B1761" s="288" t="s">
        <v>11596</v>
      </c>
      <c r="C1761" s="289" t="s">
        <v>18385</v>
      </c>
      <c r="D1761" s="290" t="s">
        <v>207</v>
      </c>
      <c r="E1761" s="290" t="s">
        <v>109</v>
      </c>
      <c r="F1761" s="383">
        <v>1</v>
      </c>
      <c r="G1761" s="292">
        <v>231.61</v>
      </c>
      <c r="H1761" s="255">
        <v>231.61</v>
      </c>
      <c r="J1761" s="634"/>
      <c r="S1761" s="536"/>
      <c r="T1761" s="635"/>
    </row>
    <row r="1762" spans="1:20" s="298" customFormat="1" ht="12.75">
      <c r="A1762" s="286"/>
      <c r="B1762" s="375" t="s">
        <v>143</v>
      </c>
      <c r="C1762" s="816" t="s">
        <v>17002</v>
      </c>
      <c r="D1762" s="817"/>
      <c r="E1762" s="817"/>
      <c r="F1762" s="817"/>
      <c r="G1762" s="817"/>
      <c r="H1762" s="818"/>
      <c r="J1762" s="634"/>
      <c r="S1762" s="536"/>
      <c r="T1762" s="635"/>
    </row>
    <row r="1763" spans="1:20" s="298" customFormat="1" ht="12.75">
      <c r="A1763" s="286"/>
      <c r="B1763" s="373"/>
      <c r="C1763" s="379"/>
      <c r="D1763" s="382"/>
      <c r="E1763" s="382"/>
      <c r="F1763" s="382"/>
      <c r="G1763" s="382"/>
      <c r="H1763" s="382"/>
      <c r="J1763" s="634"/>
      <c r="S1763" s="536"/>
      <c r="T1763" s="635"/>
    </row>
    <row r="1764" spans="1:20" s="298" customFormat="1" ht="63.75">
      <c r="A1764" s="286"/>
      <c r="B1764" s="372" t="s">
        <v>11612</v>
      </c>
      <c r="C1764" s="231" t="s">
        <v>18394</v>
      </c>
      <c r="D1764" s="232" t="s">
        <v>103</v>
      </c>
      <c r="E1764" s="232" t="s">
        <v>109</v>
      </c>
      <c r="F1764" s="233"/>
      <c r="G1764" s="234"/>
      <c r="H1764" s="235">
        <v>255.78</v>
      </c>
      <c r="J1764" s="634"/>
      <c r="S1764" s="536"/>
      <c r="T1764" s="635"/>
    </row>
    <row r="1765" spans="1:20" s="298" customFormat="1" ht="25.5">
      <c r="A1765" s="256" t="s">
        <v>3259</v>
      </c>
      <c r="B1765" s="288">
        <v>88264</v>
      </c>
      <c r="C1765" s="289" t="s">
        <v>146</v>
      </c>
      <c r="D1765" s="290" t="s">
        <v>9714</v>
      </c>
      <c r="E1765" s="290" t="s">
        <v>206</v>
      </c>
      <c r="F1765" s="383">
        <v>1</v>
      </c>
      <c r="G1765" s="292" t="s">
        <v>16504</v>
      </c>
      <c r="H1765" s="255">
        <v>24.1</v>
      </c>
      <c r="J1765" s="634"/>
      <c r="S1765" s="536"/>
      <c r="T1765" s="635"/>
    </row>
    <row r="1766" spans="1:20" s="298" customFormat="1" ht="25.5">
      <c r="A1766" s="256" t="s">
        <v>3259</v>
      </c>
      <c r="B1766" s="374">
        <v>88247</v>
      </c>
      <c r="C1766" s="289" t="s">
        <v>145</v>
      </c>
      <c r="D1766" s="290" t="s">
        <v>9714</v>
      </c>
      <c r="E1766" s="290" t="s">
        <v>206</v>
      </c>
      <c r="F1766" s="383">
        <v>1</v>
      </c>
      <c r="G1766" s="292" t="s">
        <v>12206</v>
      </c>
      <c r="H1766" s="255">
        <v>18.739999999999998</v>
      </c>
      <c r="J1766" s="634"/>
      <c r="S1766" s="536"/>
      <c r="T1766" s="635"/>
    </row>
    <row r="1767" spans="1:20" s="298" customFormat="1" ht="51">
      <c r="A1767" s="256" t="s">
        <v>12</v>
      </c>
      <c r="B1767" s="288" t="s">
        <v>11597</v>
      </c>
      <c r="C1767" s="289" t="s">
        <v>18386</v>
      </c>
      <c r="D1767" s="290" t="s">
        <v>207</v>
      </c>
      <c r="E1767" s="290" t="s">
        <v>109</v>
      </c>
      <c r="F1767" s="383">
        <v>1</v>
      </c>
      <c r="G1767" s="292">
        <v>212.94789473684213</v>
      </c>
      <c r="H1767" s="255">
        <v>212.94</v>
      </c>
      <c r="J1767" s="634"/>
      <c r="S1767" s="536"/>
      <c r="T1767" s="635"/>
    </row>
    <row r="1768" spans="1:20" s="298" customFormat="1" ht="12.75">
      <c r="A1768" s="286"/>
      <c r="B1768" s="375" t="s">
        <v>143</v>
      </c>
      <c r="C1768" s="816" t="s">
        <v>17002</v>
      </c>
      <c r="D1768" s="817"/>
      <c r="E1768" s="817"/>
      <c r="F1768" s="817"/>
      <c r="G1768" s="817"/>
      <c r="H1768" s="818"/>
      <c r="J1768" s="634"/>
      <c r="S1768" s="536"/>
      <c r="T1768" s="635"/>
    </row>
    <row r="1769" spans="1:20" s="298" customFormat="1" ht="12.75">
      <c r="A1769" s="286"/>
      <c r="B1769" s="373"/>
      <c r="C1769" s="379"/>
      <c r="D1769" s="382"/>
      <c r="E1769" s="382"/>
      <c r="F1769" s="382"/>
      <c r="G1769" s="382"/>
      <c r="H1769" s="382"/>
      <c r="J1769" s="634"/>
      <c r="S1769" s="536"/>
      <c r="T1769" s="635"/>
    </row>
    <row r="1770" spans="1:20" s="298" customFormat="1" ht="63.75">
      <c r="A1770" s="286"/>
      <c r="B1770" s="372" t="s">
        <v>11613</v>
      </c>
      <c r="C1770" s="231" t="s">
        <v>17003</v>
      </c>
      <c r="D1770" s="232" t="s">
        <v>103</v>
      </c>
      <c r="E1770" s="232" t="s">
        <v>109</v>
      </c>
      <c r="F1770" s="233"/>
      <c r="G1770" s="234"/>
      <c r="H1770" s="235">
        <v>483.71000000000004</v>
      </c>
      <c r="J1770" s="634"/>
      <c r="S1770" s="536"/>
      <c r="T1770" s="635"/>
    </row>
    <row r="1771" spans="1:20" s="298" customFormat="1" ht="25.5">
      <c r="A1771" s="256" t="s">
        <v>3259</v>
      </c>
      <c r="B1771" s="288">
        <v>88264</v>
      </c>
      <c r="C1771" s="289" t="s">
        <v>146</v>
      </c>
      <c r="D1771" s="290" t="s">
        <v>9714</v>
      </c>
      <c r="E1771" s="290" t="s">
        <v>206</v>
      </c>
      <c r="F1771" s="383">
        <v>1</v>
      </c>
      <c r="G1771" s="292" t="s">
        <v>16504</v>
      </c>
      <c r="H1771" s="255">
        <v>24.1</v>
      </c>
      <c r="J1771" s="634"/>
      <c r="S1771" s="536"/>
      <c r="T1771" s="635"/>
    </row>
    <row r="1772" spans="1:20" s="298" customFormat="1" ht="25.5">
      <c r="A1772" s="256" t="s">
        <v>3259</v>
      </c>
      <c r="B1772" s="374">
        <v>88247</v>
      </c>
      <c r="C1772" s="289" t="s">
        <v>145</v>
      </c>
      <c r="D1772" s="290" t="s">
        <v>9714</v>
      </c>
      <c r="E1772" s="290" t="s">
        <v>206</v>
      </c>
      <c r="F1772" s="383">
        <v>1</v>
      </c>
      <c r="G1772" s="292" t="s">
        <v>12206</v>
      </c>
      <c r="H1772" s="255">
        <v>18.739999999999998</v>
      </c>
      <c r="J1772" s="634"/>
      <c r="S1772" s="536"/>
      <c r="T1772" s="635"/>
    </row>
    <row r="1773" spans="1:20" s="298" customFormat="1" ht="51">
      <c r="A1773" s="256" t="s">
        <v>12</v>
      </c>
      <c r="B1773" s="288" t="s">
        <v>11598</v>
      </c>
      <c r="C1773" s="289" t="s">
        <v>15753</v>
      </c>
      <c r="D1773" s="290" t="s">
        <v>207</v>
      </c>
      <c r="E1773" s="290" t="s">
        <v>109</v>
      </c>
      <c r="F1773" s="383">
        <v>1</v>
      </c>
      <c r="G1773" s="292">
        <v>440.87</v>
      </c>
      <c r="H1773" s="255">
        <v>440.87</v>
      </c>
      <c r="J1773" s="634"/>
      <c r="S1773" s="536"/>
      <c r="T1773" s="635"/>
    </row>
    <row r="1774" spans="1:20" s="298" customFormat="1" ht="12.75">
      <c r="A1774" s="286"/>
      <c r="B1774" s="375" t="s">
        <v>143</v>
      </c>
      <c r="C1774" s="816" t="s">
        <v>17004</v>
      </c>
      <c r="D1774" s="817"/>
      <c r="E1774" s="817"/>
      <c r="F1774" s="817"/>
      <c r="G1774" s="817"/>
      <c r="H1774" s="818"/>
      <c r="J1774" s="634"/>
      <c r="S1774" s="536"/>
      <c r="T1774" s="635"/>
    </row>
    <row r="1775" spans="1:20" s="298" customFormat="1" ht="12.75">
      <c r="A1775" s="286"/>
      <c r="B1775" s="373"/>
      <c r="C1775" s="379"/>
      <c r="D1775" s="382"/>
      <c r="E1775" s="382"/>
      <c r="F1775" s="382"/>
      <c r="G1775" s="382"/>
      <c r="H1775" s="382"/>
      <c r="J1775" s="634"/>
      <c r="S1775" s="536"/>
      <c r="T1775" s="635"/>
    </row>
    <row r="1776" spans="1:20" s="298" customFormat="1" ht="63.75">
      <c r="A1776" s="286"/>
      <c r="B1776" s="372" t="s">
        <v>14328</v>
      </c>
      <c r="C1776" s="231" t="s">
        <v>17005</v>
      </c>
      <c r="D1776" s="232" t="s">
        <v>103</v>
      </c>
      <c r="E1776" s="232" t="s">
        <v>109</v>
      </c>
      <c r="F1776" s="233"/>
      <c r="G1776" s="234"/>
      <c r="H1776" s="235">
        <v>872.76</v>
      </c>
      <c r="J1776" s="634"/>
      <c r="S1776" s="536"/>
      <c r="T1776" s="635"/>
    </row>
    <row r="1777" spans="1:20" s="298" customFormat="1" ht="25.5">
      <c r="A1777" s="256" t="s">
        <v>3259</v>
      </c>
      <c r="B1777" s="288">
        <v>88264</v>
      </c>
      <c r="C1777" s="289" t="s">
        <v>146</v>
      </c>
      <c r="D1777" s="290" t="s">
        <v>9714</v>
      </c>
      <c r="E1777" s="290" t="s">
        <v>206</v>
      </c>
      <c r="F1777" s="383">
        <v>1</v>
      </c>
      <c r="G1777" s="292" t="s">
        <v>16504</v>
      </c>
      <c r="H1777" s="255">
        <v>24.1</v>
      </c>
      <c r="J1777" s="634"/>
      <c r="S1777" s="536"/>
      <c r="T1777" s="635"/>
    </row>
    <row r="1778" spans="1:20" s="298" customFormat="1" ht="25.5">
      <c r="A1778" s="256" t="s">
        <v>3259</v>
      </c>
      <c r="B1778" s="374">
        <v>88247</v>
      </c>
      <c r="C1778" s="289" t="s">
        <v>145</v>
      </c>
      <c r="D1778" s="290" t="s">
        <v>9714</v>
      </c>
      <c r="E1778" s="290" t="s">
        <v>206</v>
      </c>
      <c r="F1778" s="383">
        <v>1</v>
      </c>
      <c r="G1778" s="292" t="s">
        <v>12206</v>
      </c>
      <c r="H1778" s="255">
        <v>18.739999999999998</v>
      </c>
      <c r="J1778" s="634"/>
      <c r="S1778" s="536"/>
      <c r="T1778" s="635"/>
    </row>
    <row r="1779" spans="1:20" s="298" customFormat="1" ht="51">
      <c r="A1779" s="256" t="s">
        <v>12</v>
      </c>
      <c r="B1779" s="288" t="s">
        <v>11599</v>
      </c>
      <c r="C1779" s="289" t="s">
        <v>15754</v>
      </c>
      <c r="D1779" s="290" t="s">
        <v>207</v>
      </c>
      <c r="E1779" s="290" t="s">
        <v>109</v>
      </c>
      <c r="F1779" s="383">
        <v>1</v>
      </c>
      <c r="G1779" s="292">
        <v>829.92</v>
      </c>
      <c r="H1779" s="255">
        <v>829.92</v>
      </c>
      <c r="J1779" s="634"/>
      <c r="S1779" s="536"/>
      <c r="T1779" s="635"/>
    </row>
    <row r="1780" spans="1:20" s="298" customFormat="1" ht="12.75">
      <c r="A1780" s="286"/>
      <c r="B1780" s="375" t="s">
        <v>143</v>
      </c>
      <c r="C1780" s="816" t="s">
        <v>17002</v>
      </c>
      <c r="D1780" s="817"/>
      <c r="E1780" s="817"/>
      <c r="F1780" s="817"/>
      <c r="G1780" s="817"/>
      <c r="H1780" s="818"/>
      <c r="J1780" s="634"/>
      <c r="S1780" s="536"/>
      <c r="T1780" s="635"/>
    </row>
    <row r="1781" spans="1:20" s="298" customFormat="1" ht="12.75">
      <c r="A1781" s="286"/>
      <c r="B1781" s="373"/>
      <c r="C1781" s="379"/>
      <c r="D1781" s="382"/>
      <c r="E1781" s="382"/>
      <c r="F1781" s="382"/>
      <c r="G1781" s="382"/>
      <c r="H1781" s="382"/>
      <c r="J1781" s="634"/>
      <c r="S1781" s="536"/>
      <c r="T1781" s="635"/>
    </row>
    <row r="1782" spans="1:20" s="298" customFormat="1" ht="51">
      <c r="A1782" s="286"/>
      <c r="B1782" s="372" t="s">
        <v>14329</v>
      </c>
      <c r="C1782" s="231" t="s">
        <v>17023</v>
      </c>
      <c r="D1782" s="232" t="s">
        <v>103</v>
      </c>
      <c r="E1782" s="232" t="s">
        <v>109</v>
      </c>
      <c r="F1782" s="233"/>
      <c r="G1782" s="234"/>
      <c r="H1782" s="235">
        <v>36.300000000000004</v>
      </c>
      <c r="J1782" s="634"/>
      <c r="S1782" s="536"/>
      <c r="T1782" s="635"/>
    </row>
    <row r="1783" spans="1:20" s="298" customFormat="1" ht="25.5">
      <c r="A1783" s="256" t="s">
        <v>3259</v>
      </c>
      <c r="B1783" s="288">
        <v>88264</v>
      </c>
      <c r="C1783" s="289" t="s">
        <v>146</v>
      </c>
      <c r="D1783" s="290" t="s">
        <v>9714</v>
      </c>
      <c r="E1783" s="290" t="s">
        <v>206</v>
      </c>
      <c r="F1783" s="383">
        <v>0.35899999999999999</v>
      </c>
      <c r="G1783" s="292" t="s">
        <v>16504</v>
      </c>
      <c r="H1783" s="255">
        <v>8.65</v>
      </c>
      <c r="J1783" s="634"/>
      <c r="S1783" s="536"/>
      <c r="T1783" s="635"/>
    </row>
    <row r="1784" spans="1:20" s="298" customFormat="1" ht="25.5">
      <c r="A1784" s="256" t="s">
        <v>3259</v>
      </c>
      <c r="B1784" s="374">
        <v>88247</v>
      </c>
      <c r="C1784" s="289" t="s">
        <v>145</v>
      </c>
      <c r="D1784" s="290" t="s">
        <v>9714</v>
      </c>
      <c r="E1784" s="290" t="s">
        <v>206</v>
      </c>
      <c r="F1784" s="383">
        <v>0.23499999999999999</v>
      </c>
      <c r="G1784" s="292" t="s">
        <v>12206</v>
      </c>
      <c r="H1784" s="255">
        <v>4.4000000000000004</v>
      </c>
      <c r="J1784" s="634"/>
      <c r="S1784" s="536"/>
      <c r="T1784" s="635"/>
    </row>
    <row r="1785" spans="1:20" s="298" customFormat="1" ht="12.75">
      <c r="A1785" s="256" t="s">
        <v>3261</v>
      </c>
      <c r="B1785" s="288">
        <v>38101</v>
      </c>
      <c r="C1785" s="289" t="s">
        <v>8492</v>
      </c>
      <c r="D1785" s="290" t="s">
        <v>207</v>
      </c>
      <c r="E1785" s="290" t="s">
        <v>3240</v>
      </c>
      <c r="F1785" s="383">
        <v>1</v>
      </c>
      <c r="G1785" s="292" t="s">
        <v>10512</v>
      </c>
      <c r="H1785" s="255">
        <v>6.83</v>
      </c>
      <c r="J1785" s="634"/>
      <c r="S1785" s="536"/>
      <c r="T1785" s="635"/>
    </row>
    <row r="1786" spans="1:20" s="298" customFormat="1" ht="51">
      <c r="A1786" s="256" t="s">
        <v>3261</v>
      </c>
      <c r="B1786" s="288">
        <v>38099</v>
      </c>
      <c r="C1786" s="289" t="s">
        <v>8087</v>
      </c>
      <c r="D1786" s="290" t="s">
        <v>207</v>
      </c>
      <c r="E1786" s="290" t="s">
        <v>3240</v>
      </c>
      <c r="F1786" s="383">
        <v>1</v>
      </c>
      <c r="G1786" s="292" t="s">
        <v>11172</v>
      </c>
      <c r="H1786" s="255">
        <v>1.32</v>
      </c>
      <c r="J1786" s="634"/>
      <c r="S1786" s="536"/>
      <c r="T1786" s="635"/>
    </row>
    <row r="1787" spans="1:20" s="298" customFormat="1" ht="12.75">
      <c r="A1787" s="256" t="s">
        <v>12</v>
      </c>
      <c r="B1787" s="288" t="s">
        <v>14563</v>
      </c>
      <c r="C1787" s="289" t="s">
        <v>17013</v>
      </c>
      <c r="D1787" s="290" t="s">
        <v>207</v>
      </c>
      <c r="E1787" s="290" t="s">
        <v>109</v>
      </c>
      <c r="F1787" s="383">
        <v>1</v>
      </c>
      <c r="G1787" s="292">
        <v>15.1</v>
      </c>
      <c r="H1787" s="255">
        <v>15.1</v>
      </c>
      <c r="J1787" s="634"/>
      <c r="S1787" s="536"/>
      <c r="T1787" s="635"/>
    </row>
    <row r="1788" spans="1:20" s="298" customFormat="1" ht="12.75">
      <c r="A1788" s="286"/>
      <c r="B1788" s="375" t="s">
        <v>143</v>
      </c>
      <c r="C1788" s="816" t="s">
        <v>17012</v>
      </c>
      <c r="D1788" s="817"/>
      <c r="E1788" s="817"/>
      <c r="F1788" s="817"/>
      <c r="G1788" s="817"/>
      <c r="H1788" s="818"/>
      <c r="J1788" s="634"/>
      <c r="S1788" s="536"/>
      <c r="T1788" s="635"/>
    </row>
    <row r="1789" spans="1:20" s="298" customFormat="1" ht="12.75">
      <c r="A1789" s="286"/>
      <c r="B1789" s="373"/>
      <c r="C1789" s="379"/>
      <c r="D1789" s="382"/>
      <c r="E1789" s="382"/>
      <c r="F1789" s="382"/>
      <c r="G1789" s="382"/>
      <c r="H1789" s="382"/>
      <c r="J1789" s="634"/>
      <c r="S1789" s="536"/>
      <c r="T1789" s="635"/>
    </row>
    <row r="1790" spans="1:20" s="298" customFormat="1" ht="38.25">
      <c r="A1790" s="286"/>
      <c r="B1790" s="372" t="s">
        <v>14331</v>
      </c>
      <c r="C1790" s="231" t="s">
        <v>17025</v>
      </c>
      <c r="D1790" s="232" t="s">
        <v>103</v>
      </c>
      <c r="E1790" s="232" t="s">
        <v>109</v>
      </c>
      <c r="F1790" s="233"/>
      <c r="G1790" s="234"/>
      <c r="H1790" s="235">
        <v>8.43</v>
      </c>
      <c r="J1790" s="634"/>
      <c r="S1790" s="536"/>
      <c r="T1790" s="635"/>
    </row>
    <row r="1791" spans="1:20" s="298" customFormat="1" ht="12.75">
      <c r="A1791" s="256" t="s">
        <v>3261</v>
      </c>
      <c r="B1791" s="288">
        <v>2556</v>
      </c>
      <c r="C1791" s="289" t="s">
        <v>5308</v>
      </c>
      <c r="D1791" s="290" t="s">
        <v>207</v>
      </c>
      <c r="E1791" s="290" t="s">
        <v>3240</v>
      </c>
      <c r="F1791" s="383">
        <v>1</v>
      </c>
      <c r="G1791" s="292" t="s">
        <v>11192</v>
      </c>
      <c r="H1791" s="255">
        <v>1.91</v>
      </c>
      <c r="J1791" s="634"/>
      <c r="S1791" s="536"/>
      <c r="T1791" s="635"/>
    </row>
    <row r="1792" spans="1:20" s="298" customFormat="1" ht="25.5">
      <c r="A1792" s="256" t="s">
        <v>3259</v>
      </c>
      <c r="B1792" s="374">
        <v>88247</v>
      </c>
      <c r="C1792" s="289" t="s">
        <v>145</v>
      </c>
      <c r="D1792" s="290" t="s">
        <v>9714</v>
      </c>
      <c r="E1792" s="290" t="s">
        <v>206</v>
      </c>
      <c r="F1792" s="383">
        <v>0.14499999999999999</v>
      </c>
      <c r="G1792" s="292" t="s">
        <v>12206</v>
      </c>
      <c r="H1792" s="255">
        <v>2.71</v>
      </c>
      <c r="J1792" s="634"/>
      <c r="S1792" s="536"/>
      <c r="T1792" s="635"/>
    </row>
    <row r="1793" spans="1:20" s="298" customFormat="1" ht="25.5">
      <c r="A1793" s="256" t="s">
        <v>3259</v>
      </c>
      <c r="B1793" s="288">
        <v>88264</v>
      </c>
      <c r="C1793" s="289" t="s">
        <v>146</v>
      </c>
      <c r="D1793" s="290" t="s">
        <v>9714</v>
      </c>
      <c r="E1793" s="290" t="s">
        <v>206</v>
      </c>
      <c r="F1793" s="383">
        <v>0.14499999999999999</v>
      </c>
      <c r="G1793" s="292" t="s">
        <v>16504</v>
      </c>
      <c r="H1793" s="255">
        <v>3.49</v>
      </c>
      <c r="J1793" s="634"/>
      <c r="S1793" s="536"/>
      <c r="T1793" s="635"/>
    </row>
    <row r="1794" spans="1:20" s="298" customFormat="1" ht="38.25">
      <c r="A1794" s="256" t="s">
        <v>3259</v>
      </c>
      <c r="B1794" s="288">
        <v>88630</v>
      </c>
      <c r="C1794" s="289" t="s">
        <v>3039</v>
      </c>
      <c r="D1794" s="290" t="s">
        <v>229</v>
      </c>
      <c r="E1794" s="290" t="s">
        <v>209</v>
      </c>
      <c r="F1794" s="383">
        <v>8.9999999999999998E-4</v>
      </c>
      <c r="G1794" s="292" t="s">
        <v>24290</v>
      </c>
      <c r="H1794" s="255">
        <v>0.32</v>
      </c>
      <c r="J1794" s="634"/>
      <c r="S1794" s="536"/>
      <c r="T1794" s="635"/>
    </row>
    <row r="1795" spans="1:20" s="298" customFormat="1" ht="12.75">
      <c r="A1795" s="286"/>
      <c r="B1795" s="375" t="s">
        <v>143</v>
      </c>
      <c r="C1795" s="816" t="s">
        <v>17024</v>
      </c>
      <c r="D1795" s="817"/>
      <c r="E1795" s="817"/>
      <c r="F1795" s="817"/>
      <c r="G1795" s="817"/>
      <c r="H1795" s="818"/>
      <c r="J1795" s="634"/>
      <c r="S1795" s="536"/>
      <c r="T1795" s="635"/>
    </row>
    <row r="1796" spans="1:20" s="298" customFormat="1" ht="12.75">
      <c r="A1796" s="286"/>
      <c r="B1796" s="373"/>
      <c r="C1796" s="379"/>
      <c r="D1796" s="382"/>
      <c r="E1796" s="382"/>
      <c r="F1796" s="382"/>
      <c r="G1796" s="382"/>
      <c r="H1796" s="382"/>
      <c r="J1796" s="634"/>
      <c r="S1796" s="536"/>
      <c r="T1796" s="635"/>
    </row>
    <row r="1797" spans="1:20" s="298" customFormat="1" ht="38.25">
      <c r="A1797" s="286"/>
      <c r="B1797" s="372" t="s">
        <v>14335</v>
      </c>
      <c r="C1797" s="231" t="s">
        <v>17035</v>
      </c>
      <c r="D1797" s="232" t="s">
        <v>103</v>
      </c>
      <c r="E1797" s="232" t="s">
        <v>109</v>
      </c>
      <c r="F1797" s="233"/>
      <c r="G1797" s="234"/>
      <c r="H1797" s="235">
        <v>204.32</v>
      </c>
      <c r="J1797" s="634"/>
      <c r="S1797" s="536"/>
      <c r="T1797" s="635"/>
    </row>
    <row r="1798" spans="1:20" s="298" customFormat="1" ht="25.5">
      <c r="A1798" s="256" t="s">
        <v>3259</v>
      </c>
      <c r="B1798" s="288">
        <v>88264</v>
      </c>
      <c r="C1798" s="289" t="s">
        <v>146</v>
      </c>
      <c r="D1798" s="290" t="s">
        <v>9714</v>
      </c>
      <c r="E1798" s="290" t="s">
        <v>206</v>
      </c>
      <c r="F1798" s="383">
        <v>0.15</v>
      </c>
      <c r="G1798" s="292" t="s">
        <v>16504</v>
      </c>
      <c r="H1798" s="255">
        <v>3.61</v>
      </c>
      <c r="J1798" s="634"/>
      <c r="S1798" s="536"/>
      <c r="T1798" s="635"/>
    </row>
    <row r="1799" spans="1:20" s="298" customFormat="1" ht="25.5">
      <c r="A1799" s="256" t="s">
        <v>3259</v>
      </c>
      <c r="B1799" s="374">
        <v>88247</v>
      </c>
      <c r="C1799" s="289" t="s">
        <v>145</v>
      </c>
      <c r="D1799" s="290" t="s">
        <v>9714</v>
      </c>
      <c r="E1799" s="290" t="s">
        <v>206</v>
      </c>
      <c r="F1799" s="383">
        <v>0.15</v>
      </c>
      <c r="G1799" s="292" t="s">
        <v>12206</v>
      </c>
      <c r="H1799" s="255">
        <v>2.81</v>
      </c>
      <c r="J1799" s="634"/>
      <c r="S1799" s="536"/>
      <c r="T1799" s="635"/>
    </row>
    <row r="1800" spans="1:20" s="298" customFormat="1" ht="25.5">
      <c r="A1800" s="256" t="s">
        <v>12</v>
      </c>
      <c r="B1800" s="288" t="s">
        <v>14564</v>
      </c>
      <c r="C1800" s="289" t="s">
        <v>17029</v>
      </c>
      <c r="D1800" s="290" t="s">
        <v>207</v>
      </c>
      <c r="E1800" s="290" t="s">
        <v>109</v>
      </c>
      <c r="F1800" s="383">
        <v>1</v>
      </c>
      <c r="G1800" s="292">
        <v>197.9</v>
      </c>
      <c r="H1800" s="255">
        <v>197.9</v>
      </c>
      <c r="J1800" s="634"/>
      <c r="S1800" s="536"/>
      <c r="T1800" s="635"/>
    </row>
    <row r="1801" spans="1:20" s="298" customFormat="1" ht="12.75">
      <c r="A1801" s="286"/>
      <c r="B1801" s="375" t="s">
        <v>143</v>
      </c>
      <c r="C1801" s="816" t="s">
        <v>17027</v>
      </c>
      <c r="D1801" s="817"/>
      <c r="E1801" s="817"/>
      <c r="F1801" s="817"/>
      <c r="G1801" s="817"/>
      <c r="H1801" s="818"/>
      <c r="J1801" s="634"/>
      <c r="S1801" s="536"/>
      <c r="T1801" s="635"/>
    </row>
    <row r="1802" spans="1:20" s="298" customFormat="1" ht="12.75">
      <c r="A1802" s="286"/>
      <c r="B1802" s="373"/>
      <c r="C1802" s="379"/>
      <c r="D1802" s="382"/>
      <c r="E1802" s="382"/>
      <c r="F1802" s="382"/>
      <c r="G1802" s="382"/>
      <c r="H1802" s="382"/>
      <c r="J1802" s="634"/>
      <c r="S1802" s="536"/>
      <c r="T1802" s="635"/>
    </row>
    <row r="1803" spans="1:20" s="298" customFormat="1" ht="25.5">
      <c r="A1803" s="286"/>
      <c r="B1803" s="372" t="s">
        <v>14339</v>
      </c>
      <c r="C1803" s="231" t="s">
        <v>17037</v>
      </c>
      <c r="D1803" s="232" t="s">
        <v>103</v>
      </c>
      <c r="E1803" s="232" t="s">
        <v>109</v>
      </c>
      <c r="F1803" s="233"/>
      <c r="G1803" s="234"/>
      <c r="H1803" s="235">
        <v>8.3000000000000007</v>
      </c>
      <c r="J1803" s="634"/>
      <c r="S1803" s="536"/>
      <c r="T1803" s="635"/>
    </row>
    <row r="1804" spans="1:20" s="298" customFormat="1" ht="25.5">
      <c r="A1804" s="256" t="s">
        <v>3261</v>
      </c>
      <c r="B1804" s="288">
        <v>1872</v>
      </c>
      <c r="C1804" s="289" t="s">
        <v>5317</v>
      </c>
      <c r="D1804" s="290" t="s">
        <v>207</v>
      </c>
      <c r="E1804" s="290" t="s">
        <v>3240</v>
      </c>
      <c r="F1804" s="383">
        <v>1</v>
      </c>
      <c r="G1804" s="292" t="s">
        <v>16690</v>
      </c>
      <c r="H1804" s="255">
        <v>2.1</v>
      </c>
      <c r="J1804" s="634"/>
      <c r="S1804" s="536"/>
      <c r="T1804" s="635"/>
    </row>
    <row r="1805" spans="1:20" s="298" customFormat="1" ht="25.5">
      <c r="A1805" s="256" t="s">
        <v>3259</v>
      </c>
      <c r="B1805" s="374">
        <v>88247</v>
      </c>
      <c r="C1805" s="289" t="s">
        <v>145</v>
      </c>
      <c r="D1805" s="290" t="s">
        <v>9714</v>
      </c>
      <c r="E1805" s="290" t="s">
        <v>206</v>
      </c>
      <c r="F1805" s="383">
        <v>0.14499999999999999</v>
      </c>
      <c r="G1805" s="292" t="s">
        <v>12206</v>
      </c>
      <c r="H1805" s="255">
        <v>2.71</v>
      </c>
      <c r="J1805" s="634"/>
      <c r="S1805" s="536"/>
      <c r="T1805" s="635"/>
    </row>
    <row r="1806" spans="1:20" s="298" customFormat="1" ht="25.5">
      <c r="A1806" s="256" t="s">
        <v>3259</v>
      </c>
      <c r="B1806" s="288">
        <v>88264</v>
      </c>
      <c r="C1806" s="289" t="s">
        <v>146</v>
      </c>
      <c r="D1806" s="290" t="s">
        <v>9714</v>
      </c>
      <c r="E1806" s="290" t="s">
        <v>206</v>
      </c>
      <c r="F1806" s="383">
        <v>0.14499999999999999</v>
      </c>
      <c r="G1806" s="292" t="s">
        <v>16504</v>
      </c>
      <c r="H1806" s="255">
        <v>3.49</v>
      </c>
      <c r="J1806" s="634"/>
      <c r="S1806" s="536"/>
      <c r="T1806" s="635"/>
    </row>
    <row r="1807" spans="1:20" s="298" customFormat="1" ht="12.75">
      <c r="A1807" s="286"/>
      <c r="B1807" s="375" t="s">
        <v>143</v>
      </c>
      <c r="C1807" s="816" t="s">
        <v>17036</v>
      </c>
      <c r="D1807" s="817"/>
      <c r="E1807" s="817"/>
      <c r="F1807" s="817"/>
      <c r="G1807" s="817"/>
      <c r="H1807" s="818"/>
      <c r="J1807" s="634"/>
      <c r="S1807" s="536"/>
      <c r="T1807" s="635"/>
    </row>
    <row r="1808" spans="1:20" s="298" customFormat="1" ht="12.75">
      <c r="A1808" s="286"/>
      <c r="B1808" s="373"/>
      <c r="C1808" s="379"/>
      <c r="D1808" s="382"/>
      <c r="E1808" s="382"/>
      <c r="F1808" s="382"/>
      <c r="G1808" s="382"/>
      <c r="H1808" s="382"/>
      <c r="J1808" s="634"/>
      <c r="S1808" s="536"/>
      <c r="T1808" s="635"/>
    </row>
    <row r="1809" spans="1:20" s="298" customFormat="1" ht="25.5">
      <c r="A1809" s="286"/>
      <c r="B1809" s="372" t="s">
        <v>14347</v>
      </c>
      <c r="C1809" s="231" t="s">
        <v>17038</v>
      </c>
      <c r="D1809" s="232" t="s">
        <v>103</v>
      </c>
      <c r="E1809" s="232" t="s">
        <v>109</v>
      </c>
      <c r="F1809" s="233"/>
      <c r="G1809" s="234"/>
      <c r="H1809" s="235">
        <v>10.370000000000001</v>
      </c>
      <c r="J1809" s="634"/>
      <c r="S1809" s="536"/>
      <c r="T1809" s="635"/>
    </row>
    <row r="1810" spans="1:20" s="298" customFormat="1" ht="25.5">
      <c r="A1810" s="256" t="s">
        <v>3261</v>
      </c>
      <c r="B1810" s="288">
        <v>1873</v>
      </c>
      <c r="C1810" s="289" t="s">
        <v>5318</v>
      </c>
      <c r="D1810" s="290" t="s">
        <v>207</v>
      </c>
      <c r="E1810" s="290" t="s">
        <v>3240</v>
      </c>
      <c r="F1810" s="383">
        <v>1</v>
      </c>
      <c r="G1810" s="292" t="s">
        <v>19225</v>
      </c>
      <c r="H1810" s="255">
        <v>4.17</v>
      </c>
      <c r="J1810" s="634"/>
      <c r="S1810" s="536"/>
      <c r="T1810" s="635"/>
    </row>
    <row r="1811" spans="1:20" s="298" customFormat="1" ht="25.5">
      <c r="A1811" s="256" t="s">
        <v>3259</v>
      </c>
      <c r="B1811" s="374">
        <v>88247</v>
      </c>
      <c r="C1811" s="289" t="s">
        <v>145</v>
      </c>
      <c r="D1811" s="290" t="s">
        <v>9714</v>
      </c>
      <c r="E1811" s="290" t="s">
        <v>206</v>
      </c>
      <c r="F1811" s="383">
        <v>0.14499999999999999</v>
      </c>
      <c r="G1811" s="292" t="s">
        <v>12206</v>
      </c>
      <c r="H1811" s="255">
        <v>2.71</v>
      </c>
      <c r="J1811" s="634"/>
      <c r="S1811" s="536"/>
      <c r="T1811" s="635"/>
    </row>
    <row r="1812" spans="1:20" s="298" customFormat="1" ht="25.5">
      <c r="A1812" s="256" t="s">
        <v>3259</v>
      </c>
      <c r="B1812" s="288">
        <v>88264</v>
      </c>
      <c r="C1812" s="289" t="s">
        <v>146</v>
      </c>
      <c r="D1812" s="290" t="s">
        <v>9714</v>
      </c>
      <c r="E1812" s="290" t="s">
        <v>206</v>
      </c>
      <c r="F1812" s="383">
        <v>0.14499999999999999</v>
      </c>
      <c r="G1812" s="292" t="s">
        <v>16504</v>
      </c>
      <c r="H1812" s="255">
        <v>3.49</v>
      </c>
      <c r="J1812" s="634"/>
      <c r="S1812" s="536"/>
      <c r="T1812" s="635"/>
    </row>
    <row r="1813" spans="1:20" s="298" customFormat="1" ht="12.75">
      <c r="A1813" s="286"/>
      <c r="B1813" s="375" t="s">
        <v>143</v>
      </c>
      <c r="C1813" s="816" t="s">
        <v>17036</v>
      </c>
      <c r="D1813" s="817"/>
      <c r="E1813" s="817"/>
      <c r="F1813" s="817"/>
      <c r="G1813" s="817"/>
      <c r="H1813" s="818"/>
      <c r="J1813" s="634"/>
      <c r="S1813" s="536"/>
      <c r="T1813" s="635"/>
    </row>
    <row r="1814" spans="1:20" s="298" customFormat="1" ht="12.75">
      <c r="A1814" s="286"/>
      <c r="B1814" s="373"/>
      <c r="C1814" s="379"/>
      <c r="D1814" s="382"/>
      <c r="E1814" s="382"/>
      <c r="F1814" s="382"/>
      <c r="G1814" s="382"/>
      <c r="H1814" s="382"/>
      <c r="J1814" s="634"/>
      <c r="S1814" s="536"/>
      <c r="T1814" s="635"/>
    </row>
    <row r="1815" spans="1:20" s="298" customFormat="1" ht="38.25">
      <c r="A1815" s="286"/>
      <c r="B1815" s="372" t="s">
        <v>14348</v>
      </c>
      <c r="C1815" s="231" t="s">
        <v>17042</v>
      </c>
      <c r="D1815" s="232" t="s">
        <v>103</v>
      </c>
      <c r="E1815" s="232" t="s">
        <v>109</v>
      </c>
      <c r="F1815" s="233"/>
      <c r="G1815" s="234"/>
      <c r="H1815" s="235">
        <v>29.979999999999997</v>
      </c>
      <c r="J1815" s="634"/>
      <c r="S1815" s="536"/>
      <c r="T1815" s="635"/>
    </row>
    <row r="1816" spans="1:20" s="298" customFormat="1" ht="25.5">
      <c r="A1816" s="256" t="s">
        <v>3259</v>
      </c>
      <c r="B1816" s="374">
        <v>88247</v>
      </c>
      <c r="C1816" s="289" t="s">
        <v>145</v>
      </c>
      <c r="D1816" s="290" t="s">
        <v>9714</v>
      </c>
      <c r="E1816" s="290" t="s">
        <v>206</v>
      </c>
      <c r="F1816" s="383">
        <v>0.496</v>
      </c>
      <c r="G1816" s="292" t="s">
        <v>12206</v>
      </c>
      <c r="H1816" s="255">
        <v>9.2899999999999991</v>
      </c>
      <c r="J1816" s="634"/>
      <c r="S1816" s="536"/>
      <c r="T1816" s="635"/>
    </row>
    <row r="1817" spans="1:20" s="298" customFormat="1" ht="25.5">
      <c r="A1817" s="256" t="s">
        <v>3259</v>
      </c>
      <c r="B1817" s="288">
        <v>88264</v>
      </c>
      <c r="C1817" s="289" t="s">
        <v>146</v>
      </c>
      <c r="D1817" s="290" t="s">
        <v>9714</v>
      </c>
      <c r="E1817" s="290" t="s">
        <v>206</v>
      </c>
      <c r="F1817" s="383">
        <v>0.496</v>
      </c>
      <c r="G1817" s="292" t="s">
        <v>16504</v>
      </c>
      <c r="H1817" s="255">
        <v>11.95</v>
      </c>
      <c r="J1817" s="634"/>
      <c r="S1817" s="536"/>
      <c r="T1817" s="635"/>
    </row>
    <row r="1818" spans="1:20" s="298" customFormat="1" ht="12.75">
      <c r="A1818" s="256" t="s">
        <v>12</v>
      </c>
      <c r="B1818" s="288" t="s">
        <v>14565</v>
      </c>
      <c r="C1818" s="289" t="s">
        <v>17039</v>
      </c>
      <c r="D1818" s="290" t="s">
        <v>207</v>
      </c>
      <c r="E1818" s="290" t="s">
        <v>109</v>
      </c>
      <c r="F1818" s="383">
        <v>1</v>
      </c>
      <c r="G1818" s="292">
        <v>5</v>
      </c>
      <c r="H1818" s="255">
        <v>5</v>
      </c>
      <c r="J1818" s="634"/>
      <c r="S1818" s="536"/>
      <c r="T1818" s="635"/>
    </row>
    <row r="1819" spans="1:20" s="298" customFormat="1" ht="25.5">
      <c r="A1819" s="256" t="s">
        <v>12</v>
      </c>
      <c r="B1819" s="288" t="s">
        <v>14566</v>
      </c>
      <c r="C1819" s="289" t="s">
        <v>17040</v>
      </c>
      <c r="D1819" s="290" t="s">
        <v>207</v>
      </c>
      <c r="E1819" s="290" t="s">
        <v>109</v>
      </c>
      <c r="F1819" s="383">
        <v>1</v>
      </c>
      <c r="G1819" s="292">
        <v>3.74</v>
      </c>
      <c r="H1819" s="255">
        <v>3.74</v>
      </c>
      <c r="J1819" s="634"/>
      <c r="S1819" s="536"/>
      <c r="T1819" s="635"/>
    </row>
    <row r="1820" spans="1:20" s="298" customFormat="1" ht="12.75">
      <c r="A1820" s="286"/>
      <c r="B1820" s="375" t="s">
        <v>143</v>
      </c>
      <c r="C1820" s="816" t="s">
        <v>17041</v>
      </c>
      <c r="D1820" s="817"/>
      <c r="E1820" s="817"/>
      <c r="F1820" s="817"/>
      <c r="G1820" s="817"/>
      <c r="H1820" s="818"/>
      <c r="J1820" s="634"/>
      <c r="S1820" s="536"/>
      <c r="T1820" s="635"/>
    </row>
    <row r="1821" spans="1:20" s="298" customFormat="1" ht="12.75">
      <c r="A1821" s="286"/>
      <c r="B1821" s="373"/>
      <c r="C1821" s="379"/>
      <c r="D1821" s="382"/>
      <c r="E1821" s="382"/>
      <c r="F1821" s="382"/>
      <c r="G1821" s="382"/>
      <c r="H1821" s="382"/>
      <c r="J1821" s="634"/>
      <c r="S1821" s="536"/>
      <c r="T1821" s="635"/>
    </row>
    <row r="1822" spans="1:20" s="298" customFormat="1" ht="25.5">
      <c r="A1822" s="286"/>
      <c r="B1822" s="372" t="s">
        <v>14353</v>
      </c>
      <c r="C1822" s="231" t="s">
        <v>17044</v>
      </c>
      <c r="D1822" s="232" t="s">
        <v>103</v>
      </c>
      <c r="E1822" s="232" t="s">
        <v>109</v>
      </c>
      <c r="F1822" s="233"/>
      <c r="G1822" s="234"/>
      <c r="H1822" s="235">
        <v>48.26</v>
      </c>
      <c r="J1822" s="634"/>
      <c r="S1822" s="536"/>
      <c r="T1822" s="635"/>
    </row>
    <row r="1823" spans="1:20" s="298" customFormat="1" ht="25.5">
      <c r="A1823" s="256" t="s">
        <v>3259</v>
      </c>
      <c r="B1823" s="374">
        <v>88247</v>
      </c>
      <c r="C1823" s="289" t="s">
        <v>145</v>
      </c>
      <c r="D1823" s="290" t="s">
        <v>9714</v>
      </c>
      <c r="E1823" s="290" t="s">
        <v>206</v>
      </c>
      <c r="F1823" s="383">
        <v>0.3</v>
      </c>
      <c r="G1823" s="292" t="s">
        <v>12206</v>
      </c>
      <c r="H1823" s="255">
        <v>5.62</v>
      </c>
      <c r="J1823" s="634"/>
      <c r="S1823" s="536"/>
      <c r="T1823" s="635"/>
    </row>
    <row r="1824" spans="1:20" s="298" customFormat="1" ht="25.5">
      <c r="A1824" s="256" t="s">
        <v>3259</v>
      </c>
      <c r="B1824" s="288">
        <v>88264</v>
      </c>
      <c r="C1824" s="289" t="s">
        <v>146</v>
      </c>
      <c r="D1824" s="290" t="s">
        <v>9714</v>
      </c>
      <c r="E1824" s="290" t="s">
        <v>206</v>
      </c>
      <c r="F1824" s="383">
        <v>0.3</v>
      </c>
      <c r="G1824" s="292" t="s">
        <v>16504</v>
      </c>
      <c r="H1824" s="255">
        <v>7.23</v>
      </c>
      <c r="J1824" s="634"/>
      <c r="S1824" s="536"/>
      <c r="T1824" s="635"/>
    </row>
    <row r="1825" spans="1:20" s="298" customFormat="1" ht="12.75">
      <c r="A1825" s="256" t="s">
        <v>12</v>
      </c>
      <c r="B1825" s="288" t="s">
        <v>14382</v>
      </c>
      <c r="C1825" s="289" t="s">
        <v>15767</v>
      </c>
      <c r="D1825" s="290" t="s">
        <v>207</v>
      </c>
      <c r="E1825" s="290" t="s">
        <v>109</v>
      </c>
      <c r="F1825" s="383">
        <v>1</v>
      </c>
      <c r="G1825" s="292">
        <v>35.409999999999997</v>
      </c>
      <c r="H1825" s="255">
        <v>35.409999999999997</v>
      </c>
      <c r="J1825" s="634"/>
      <c r="S1825" s="536"/>
      <c r="T1825" s="635"/>
    </row>
    <row r="1826" spans="1:20" s="298" customFormat="1" ht="12.75">
      <c r="A1826" s="286"/>
      <c r="B1826" s="375" t="s">
        <v>143</v>
      </c>
      <c r="C1826" s="816" t="s">
        <v>17043</v>
      </c>
      <c r="D1826" s="817"/>
      <c r="E1826" s="817"/>
      <c r="F1826" s="817"/>
      <c r="G1826" s="817"/>
      <c r="H1826" s="818"/>
      <c r="J1826" s="634"/>
      <c r="S1826" s="536"/>
      <c r="T1826" s="635"/>
    </row>
    <row r="1827" spans="1:20" s="298" customFormat="1" ht="12.75">
      <c r="A1827" s="286"/>
      <c r="B1827" s="373"/>
      <c r="C1827" s="379"/>
      <c r="D1827" s="382"/>
      <c r="E1827" s="382"/>
      <c r="F1827" s="382"/>
      <c r="G1827" s="382"/>
      <c r="H1827" s="382"/>
      <c r="J1827" s="634"/>
      <c r="S1827" s="536"/>
      <c r="T1827" s="635"/>
    </row>
    <row r="1828" spans="1:20" s="298" customFormat="1" ht="25.5">
      <c r="A1828" s="286"/>
      <c r="B1828" s="372" t="s">
        <v>14358</v>
      </c>
      <c r="C1828" s="231" t="s">
        <v>17045</v>
      </c>
      <c r="D1828" s="232" t="s">
        <v>103</v>
      </c>
      <c r="E1828" s="232" t="s">
        <v>109</v>
      </c>
      <c r="F1828" s="233"/>
      <c r="G1828" s="234"/>
      <c r="H1828" s="235">
        <v>46.76</v>
      </c>
      <c r="J1828" s="634"/>
      <c r="S1828" s="536"/>
      <c r="T1828" s="635"/>
    </row>
    <row r="1829" spans="1:20" s="298" customFormat="1" ht="25.5">
      <c r="A1829" s="256" t="s">
        <v>3259</v>
      </c>
      <c r="B1829" s="374">
        <v>88247</v>
      </c>
      <c r="C1829" s="289" t="s">
        <v>145</v>
      </c>
      <c r="D1829" s="290" t="s">
        <v>9714</v>
      </c>
      <c r="E1829" s="290" t="s">
        <v>206</v>
      </c>
      <c r="F1829" s="383">
        <v>0.3</v>
      </c>
      <c r="G1829" s="292" t="s">
        <v>12206</v>
      </c>
      <c r="H1829" s="255">
        <v>5.62</v>
      </c>
      <c r="J1829" s="634"/>
      <c r="S1829" s="536"/>
      <c r="T1829" s="635"/>
    </row>
    <row r="1830" spans="1:20" s="298" customFormat="1" ht="25.5">
      <c r="A1830" s="256" t="s">
        <v>3259</v>
      </c>
      <c r="B1830" s="288">
        <v>88264</v>
      </c>
      <c r="C1830" s="289" t="s">
        <v>146</v>
      </c>
      <c r="D1830" s="290" t="s">
        <v>9714</v>
      </c>
      <c r="E1830" s="290" t="s">
        <v>206</v>
      </c>
      <c r="F1830" s="383">
        <v>0.3</v>
      </c>
      <c r="G1830" s="292" t="s">
        <v>16504</v>
      </c>
      <c r="H1830" s="255">
        <v>7.23</v>
      </c>
      <c r="J1830" s="634"/>
      <c r="S1830" s="536"/>
      <c r="T1830" s="635"/>
    </row>
    <row r="1831" spans="1:20" s="298" customFormat="1" ht="12.75">
      <c r="A1831" s="256" t="s">
        <v>12</v>
      </c>
      <c r="B1831" s="288" t="s">
        <v>14383</v>
      </c>
      <c r="C1831" s="289" t="s">
        <v>15768</v>
      </c>
      <c r="D1831" s="290" t="s">
        <v>207</v>
      </c>
      <c r="E1831" s="290" t="s">
        <v>109</v>
      </c>
      <c r="F1831" s="383">
        <v>1</v>
      </c>
      <c r="G1831" s="292">
        <v>33.909999999999997</v>
      </c>
      <c r="H1831" s="255">
        <v>33.909999999999997</v>
      </c>
      <c r="J1831" s="634"/>
      <c r="S1831" s="536"/>
      <c r="T1831" s="635"/>
    </row>
    <row r="1832" spans="1:20" s="298" customFormat="1" ht="12.75">
      <c r="A1832" s="286"/>
      <c r="B1832" s="375" t="s">
        <v>143</v>
      </c>
      <c r="C1832" s="816" t="s">
        <v>17043</v>
      </c>
      <c r="D1832" s="817"/>
      <c r="E1832" s="817"/>
      <c r="F1832" s="817"/>
      <c r="G1832" s="817"/>
      <c r="H1832" s="818"/>
      <c r="J1832" s="634"/>
      <c r="S1832" s="536"/>
      <c r="T1832" s="635"/>
    </row>
    <row r="1833" spans="1:20" s="298" customFormat="1" ht="12.75">
      <c r="A1833" s="286"/>
      <c r="B1833" s="373"/>
      <c r="C1833" s="379"/>
      <c r="D1833" s="382"/>
      <c r="E1833" s="382"/>
      <c r="F1833" s="382"/>
      <c r="G1833" s="382"/>
      <c r="H1833" s="382"/>
      <c r="J1833" s="634"/>
      <c r="S1833" s="536"/>
      <c r="T1833" s="635"/>
    </row>
    <row r="1834" spans="1:20" s="298" customFormat="1" ht="25.5">
      <c r="A1834" s="286"/>
      <c r="B1834" s="372" t="s">
        <v>14362</v>
      </c>
      <c r="C1834" s="231" t="s">
        <v>17046</v>
      </c>
      <c r="D1834" s="232" t="s">
        <v>103</v>
      </c>
      <c r="E1834" s="232" t="s">
        <v>109</v>
      </c>
      <c r="F1834" s="233"/>
      <c r="G1834" s="234"/>
      <c r="H1834" s="235">
        <v>49.51</v>
      </c>
      <c r="J1834" s="634"/>
      <c r="S1834" s="536"/>
      <c r="T1834" s="635"/>
    </row>
    <row r="1835" spans="1:20" s="298" customFormat="1" ht="25.5">
      <c r="A1835" s="256" t="s">
        <v>3259</v>
      </c>
      <c r="B1835" s="374">
        <v>88247</v>
      </c>
      <c r="C1835" s="289" t="s">
        <v>145</v>
      </c>
      <c r="D1835" s="290" t="s">
        <v>9714</v>
      </c>
      <c r="E1835" s="290" t="s">
        <v>206</v>
      </c>
      <c r="F1835" s="383">
        <v>0.3</v>
      </c>
      <c r="G1835" s="292" t="s">
        <v>12206</v>
      </c>
      <c r="H1835" s="255">
        <v>5.62</v>
      </c>
      <c r="J1835" s="634"/>
      <c r="S1835" s="536"/>
      <c r="T1835" s="635"/>
    </row>
    <row r="1836" spans="1:20" s="298" customFormat="1" ht="25.5">
      <c r="A1836" s="256" t="s">
        <v>3259</v>
      </c>
      <c r="B1836" s="288">
        <v>88264</v>
      </c>
      <c r="C1836" s="289" t="s">
        <v>146</v>
      </c>
      <c r="D1836" s="290" t="s">
        <v>9714</v>
      </c>
      <c r="E1836" s="290" t="s">
        <v>206</v>
      </c>
      <c r="F1836" s="383">
        <v>0.3</v>
      </c>
      <c r="G1836" s="292" t="s">
        <v>16504</v>
      </c>
      <c r="H1836" s="255">
        <v>7.23</v>
      </c>
      <c r="J1836" s="634"/>
      <c r="S1836" s="536"/>
      <c r="T1836" s="635"/>
    </row>
    <row r="1837" spans="1:20" s="298" customFormat="1" ht="12.75">
      <c r="A1837" s="256" t="s">
        <v>12</v>
      </c>
      <c r="B1837" s="288" t="s">
        <v>14384</v>
      </c>
      <c r="C1837" s="289" t="s">
        <v>15769</v>
      </c>
      <c r="D1837" s="290" t="s">
        <v>207</v>
      </c>
      <c r="E1837" s="290" t="s">
        <v>109</v>
      </c>
      <c r="F1837" s="383">
        <v>1</v>
      </c>
      <c r="G1837" s="292">
        <v>36.659999999999997</v>
      </c>
      <c r="H1837" s="255">
        <v>36.659999999999997</v>
      </c>
      <c r="J1837" s="634"/>
      <c r="S1837" s="536"/>
      <c r="T1837" s="635"/>
    </row>
    <row r="1838" spans="1:20" s="298" customFormat="1" ht="12.75">
      <c r="A1838" s="286"/>
      <c r="B1838" s="375" t="s">
        <v>143</v>
      </c>
      <c r="C1838" s="816" t="s">
        <v>17043</v>
      </c>
      <c r="D1838" s="817"/>
      <c r="E1838" s="817"/>
      <c r="F1838" s="817"/>
      <c r="G1838" s="817"/>
      <c r="H1838" s="818"/>
      <c r="J1838" s="634"/>
      <c r="S1838" s="536"/>
      <c r="T1838" s="635"/>
    </row>
    <row r="1839" spans="1:20" s="298" customFormat="1" ht="12.75">
      <c r="A1839" s="286"/>
      <c r="B1839" s="373"/>
      <c r="C1839" s="379"/>
      <c r="D1839" s="382"/>
      <c r="E1839" s="382"/>
      <c r="F1839" s="382"/>
      <c r="G1839" s="382"/>
      <c r="H1839" s="382"/>
      <c r="J1839" s="634"/>
      <c r="S1839" s="536"/>
      <c r="T1839" s="635"/>
    </row>
    <row r="1840" spans="1:20" s="298" customFormat="1" ht="25.5">
      <c r="A1840" s="286"/>
      <c r="B1840" s="372" t="s">
        <v>14364</v>
      </c>
      <c r="C1840" s="231" t="s">
        <v>17047</v>
      </c>
      <c r="D1840" s="232" t="s">
        <v>103</v>
      </c>
      <c r="E1840" s="232" t="s">
        <v>109</v>
      </c>
      <c r="F1840" s="233"/>
      <c r="G1840" s="234"/>
      <c r="H1840" s="235">
        <v>58.42</v>
      </c>
      <c r="J1840" s="634"/>
      <c r="S1840" s="536"/>
      <c r="T1840" s="635"/>
    </row>
    <row r="1841" spans="1:68" s="298" customFormat="1" ht="25.5">
      <c r="A1841" s="256" t="s">
        <v>3259</v>
      </c>
      <c r="B1841" s="374">
        <v>88247</v>
      </c>
      <c r="C1841" s="289" t="s">
        <v>145</v>
      </c>
      <c r="D1841" s="290" t="s">
        <v>9714</v>
      </c>
      <c r="E1841" s="290" t="s">
        <v>206</v>
      </c>
      <c r="F1841" s="383">
        <v>0.3</v>
      </c>
      <c r="G1841" s="292" t="s">
        <v>12206</v>
      </c>
      <c r="H1841" s="255">
        <v>5.62</v>
      </c>
      <c r="J1841" s="634"/>
      <c r="S1841" s="536"/>
      <c r="T1841" s="635"/>
    </row>
    <row r="1842" spans="1:68" s="298" customFormat="1" ht="25.5">
      <c r="A1842" s="256" t="s">
        <v>3259</v>
      </c>
      <c r="B1842" s="288">
        <v>88264</v>
      </c>
      <c r="C1842" s="289" t="s">
        <v>146</v>
      </c>
      <c r="D1842" s="290" t="s">
        <v>9714</v>
      </c>
      <c r="E1842" s="290" t="s">
        <v>206</v>
      </c>
      <c r="F1842" s="383">
        <v>0.3</v>
      </c>
      <c r="G1842" s="292" t="s">
        <v>16504</v>
      </c>
      <c r="H1842" s="255">
        <v>7.23</v>
      </c>
      <c r="J1842" s="634"/>
      <c r="S1842" s="536"/>
      <c r="T1842" s="635"/>
    </row>
    <row r="1843" spans="1:68" s="298" customFormat="1" ht="12.75">
      <c r="A1843" s="256" t="s">
        <v>12</v>
      </c>
      <c r="B1843" s="288" t="s">
        <v>14385</v>
      </c>
      <c r="C1843" s="289" t="s">
        <v>15770</v>
      </c>
      <c r="D1843" s="290" t="s">
        <v>207</v>
      </c>
      <c r="E1843" s="290" t="s">
        <v>109</v>
      </c>
      <c r="F1843" s="383">
        <v>1</v>
      </c>
      <c r="G1843" s="292">
        <v>45.57</v>
      </c>
      <c r="H1843" s="255">
        <v>45.57</v>
      </c>
      <c r="J1843" s="634"/>
      <c r="S1843" s="536"/>
      <c r="T1843" s="635"/>
    </row>
    <row r="1844" spans="1:68" s="298" customFormat="1" ht="12.75">
      <c r="A1844" s="286"/>
      <c r="B1844" s="375" t="s">
        <v>143</v>
      </c>
      <c r="C1844" s="816" t="s">
        <v>17043</v>
      </c>
      <c r="D1844" s="817"/>
      <c r="E1844" s="817"/>
      <c r="F1844" s="817"/>
      <c r="G1844" s="817"/>
      <c r="H1844" s="818"/>
      <c r="J1844" s="634"/>
      <c r="S1844" s="536"/>
      <c r="T1844" s="635"/>
    </row>
    <row r="1845" spans="1:68" s="529" customFormat="1" ht="12.75">
      <c r="A1845" s="286"/>
      <c r="B1845" s="293"/>
      <c r="C1845" s="229"/>
      <c r="D1845" s="230"/>
      <c r="E1845" s="230"/>
      <c r="F1845" s="230"/>
      <c r="G1845" s="230"/>
      <c r="H1845" s="230"/>
      <c r="I1845" s="298"/>
      <c r="J1845" s="521"/>
      <c r="K1845" s="298"/>
      <c r="L1845" s="298"/>
      <c r="M1845" s="298"/>
      <c r="N1845" s="298"/>
      <c r="O1845" s="298"/>
      <c r="P1845" s="298"/>
      <c r="Q1845" s="298"/>
      <c r="R1845" s="298"/>
      <c r="S1845" s="536"/>
      <c r="T1845" s="635"/>
      <c r="U1845" s="298"/>
      <c r="V1845" s="298"/>
      <c r="W1845" s="298"/>
      <c r="X1845" s="298"/>
      <c r="Y1845" s="298"/>
      <c r="Z1845" s="298"/>
      <c r="AA1845" s="298"/>
      <c r="AB1845" s="298"/>
      <c r="AC1845" s="298"/>
      <c r="AD1845" s="298"/>
      <c r="AE1845" s="298"/>
      <c r="AF1845" s="298"/>
      <c r="AG1845" s="298"/>
      <c r="AH1845" s="298"/>
      <c r="AI1845" s="298"/>
      <c r="AJ1845" s="298"/>
      <c r="AK1845" s="298"/>
      <c r="AL1845" s="298"/>
      <c r="AM1845" s="298"/>
      <c r="AN1845" s="298"/>
      <c r="AO1845" s="298"/>
      <c r="AP1845" s="298"/>
      <c r="AQ1845" s="298"/>
      <c r="AR1845" s="298"/>
      <c r="AS1845" s="298"/>
      <c r="AT1845" s="298"/>
      <c r="AU1845" s="298"/>
      <c r="AV1845" s="298"/>
      <c r="AW1845" s="298"/>
      <c r="AX1845" s="298"/>
      <c r="AY1845" s="298"/>
      <c r="AZ1845" s="298"/>
      <c r="BA1845" s="298"/>
      <c r="BB1845" s="298"/>
      <c r="BC1845" s="298"/>
      <c r="BD1845" s="298"/>
      <c r="BE1845" s="298"/>
      <c r="BF1845" s="298"/>
      <c r="BG1845" s="298"/>
      <c r="BH1845" s="298"/>
      <c r="BI1845" s="298"/>
      <c r="BJ1845" s="298"/>
      <c r="BK1845" s="298"/>
      <c r="BL1845" s="298"/>
      <c r="BM1845" s="298"/>
      <c r="BN1845" s="298"/>
      <c r="BO1845" s="298"/>
      <c r="BP1845" s="298"/>
    </row>
    <row r="1846" spans="1:68" s="298" customFormat="1" ht="51">
      <c r="A1846" s="286"/>
      <c r="B1846" s="372" t="s">
        <v>14376</v>
      </c>
      <c r="C1846" s="231" t="s">
        <v>17105</v>
      </c>
      <c r="D1846" s="232" t="s">
        <v>103</v>
      </c>
      <c r="E1846" s="232" t="s">
        <v>5</v>
      </c>
      <c r="F1846" s="233"/>
      <c r="G1846" s="234"/>
      <c r="H1846" s="235">
        <v>22.490000000000002</v>
      </c>
      <c r="J1846" s="634"/>
      <c r="S1846" s="536"/>
      <c r="T1846" s="635"/>
    </row>
    <row r="1847" spans="1:68" s="298" customFormat="1" ht="38.25">
      <c r="A1847" s="256" t="s">
        <v>3261</v>
      </c>
      <c r="B1847" s="288">
        <v>21136</v>
      </c>
      <c r="C1847" s="289" t="s">
        <v>4557</v>
      </c>
      <c r="D1847" s="290" t="s">
        <v>207</v>
      </c>
      <c r="E1847" s="290" t="s">
        <v>3243</v>
      </c>
      <c r="F1847" s="383">
        <v>1.05</v>
      </c>
      <c r="G1847" s="292" t="s">
        <v>18763</v>
      </c>
      <c r="H1847" s="255">
        <v>13.33</v>
      </c>
      <c r="J1847" s="634"/>
      <c r="S1847" s="536"/>
      <c r="T1847" s="635"/>
    </row>
    <row r="1848" spans="1:68" s="298" customFormat="1" ht="25.5">
      <c r="A1848" s="256" t="s">
        <v>3259</v>
      </c>
      <c r="B1848" s="374">
        <v>88247</v>
      </c>
      <c r="C1848" s="289" t="s">
        <v>145</v>
      </c>
      <c r="D1848" s="290" t="s">
        <v>9714</v>
      </c>
      <c r="E1848" s="290" t="s">
        <v>206</v>
      </c>
      <c r="F1848" s="383">
        <v>0.10440000000000001</v>
      </c>
      <c r="G1848" s="292" t="s">
        <v>12206</v>
      </c>
      <c r="H1848" s="255">
        <v>1.95</v>
      </c>
      <c r="J1848" s="634"/>
      <c r="S1848" s="536"/>
      <c r="T1848" s="635"/>
    </row>
    <row r="1849" spans="1:68" s="298" customFormat="1" ht="25.5">
      <c r="A1849" s="256" t="s">
        <v>3259</v>
      </c>
      <c r="B1849" s="374">
        <v>88264</v>
      </c>
      <c r="C1849" s="289" t="s">
        <v>146</v>
      </c>
      <c r="D1849" s="290" t="s">
        <v>9714</v>
      </c>
      <c r="E1849" s="290" t="s">
        <v>206</v>
      </c>
      <c r="F1849" s="383">
        <v>0.10440000000000001</v>
      </c>
      <c r="G1849" s="292" t="s">
        <v>16504</v>
      </c>
      <c r="H1849" s="255">
        <v>2.5099999999999998</v>
      </c>
      <c r="J1849" s="634"/>
      <c r="S1849" s="536"/>
      <c r="T1849" s="635"/>
    </row>
    <row r="1850" spans="1:68" s="298" customFormat="1" ht="76.5">
      <c r="A1850" s="256" t="s">
        <v>3259</v>
      </c>
      <c r="B1850" s="374">
        <v>91170</v>
      </c>
      <c r="C1850" s="289" t="s">
        <v>2426</v>
      </c>
      <c r="D1850" s="290" t="s">
        <v>229</v>
      </c>
      <c r="E1850" s="290" t="s">
        <v>5</v>
      </c>
      <c r="F1850" s="383">
        <v>1</v>
      </c>
      <c r="G1850" s="292" t="s">
        <v>11069</v>
      </c>
      <c r="H1850" s="255">
        <v>2.6</v>
      </c>
      <c r="J1850" s="634"/>
      <c r="S1850" s="536"/>
      <c r="T1850" s="635"/>
    </row>
    <row r="1851" spans="1:68" s="298" customFormat="1" ht="51">
      <c r="A1851" s="256" t="s">
        <v>3259</v>
      </c>
      <c r="B1851" s="374">
        <v>95753</v>
      </c>
      <c r="C1851" s="289" t="s">
        <v>1597</v>
      </c>
      <c r="D1851" s="290" t="s">
        <v>229</v>
      </c>
      <c r="E1851" s="290" t="s">
        <v>109</v>
      </c>
      <c r="F1851" s="383">
        <v>0.33329999999999999</v>
      </c>
      <c r="G1851" s="292" t="s">
        <v>10198</v>
      </c>
      <c r="H1851" s="255">
        <v>2.1</v>
      </c>
      <c r="J1851" s="634"/>
      <c r="S1851" s="536"/>
      <c r="T1851" s="635"/>
    </row>
    <row r="1852" spans="1:68" s="298" customFormat="1" ht="12.75">
      <c r="A1852" s="286"/>
      <c r="B1852" s="375" t="s">
        <v>143</v>
      </c>
      <c r="C1852" s="816" t="s">
        <v>17106</v>
      </c>
      <c r="D1852" s="817"/>
      <c r="E1852" s="817"/>
      <c r="F1852" s="817"/>
      <c r="G1852" s="817"/>
      <c r="H1852" s="818"/>
      <c r="J1852" s="634"/>
      <c r="S1852" s="536"/>
      <c r="T1852" s="635"/>
    </row>
    <row r="1853" spans="1:68" s="298" customFormat="1" ht="12.75">
      <c r="A1853" s="286"/>
      <c r="B1853" s="373"/>
      <c r="C1853" s="379"/>
      <c r="D1853" s="382"/>
      <c r="E1853" s="382"/>
      <c r="F1853" s="382"/>
      <c r="G1853" s="382"/>
      <c r="H1853" s="382"/>
      <c r="J1853" s="634"/>
      <c r="S1853" s="536"/>
      <c r="T1853" s="635"/>
    </row>
    <row r="1854" spans="1:68" s="298" customFormat="1" ht="25.5">
      <c r="A1854" s="286"/>
      <c r="B1854" s="372" t="s">
        <v>14377</v>
      </c>
      <c r="C1854" s="231" t="s">
        <v>17108</v>
      </c>
      <c r="D1854" s="232" t="s">
        <v>103</v>
      </c>
      <c r="E1854" s="232" t="s">
        <v>5</v>
      </c>
      <c r="F1854" s="233"/>
      <c r="G1854" s="234"/>
      <c r="H1854" s="235">
        <v>17.11</v>
      </c>
      <c r="J1854" s="634"/>
      <c r="L1854" s="256">
        <v>95</v>
      </c>
      <c r="M1854" s="256">
        <v>70</v>
      </c>
      <c r="N1854" s="256">
        <v>50</v>
      </c>
      <c r="S1854" s="536"/>
      <c r="T1854" s="635"/>
    </row>
    <row r="1855" spans="1:68" s="298" customFormat="1" ht="25.5">
      <c r="A1855" s="256" t="s">
        <v>3259</v>
      </c>
      <c r="B1855" s="288">
        <v>88264</v>
      </c>
      <c r="C1855" s="289" t="s">
        <v>146</v>
      </c>
      <c r="D1855" s="290" t="s">
        <v>9714</v>
      </c>
      <c r="E1855" s="290" t="s">
        <v>206</v>
      </c>
      <c r="F1855" s="383">
        <v>9.9999999999999992E-2</v>
      </c>
      <c r="G1855" s="292" t="s">
        <v>16504</v>
      </c>
      <c r="H1855" s="255">
        <v>2.41</v>
      </c>
      <c r="J1855" s="634"/>
      <c r="L1855" s="256">
        <v>4.7100000000000003E-2</v>
      </c>
      <c r="M1855" s="256">
        <v>4.07E-2</v>
      </c>
      <c r="N1855" s="256">
        <v>3.3700000000000001E-2</v>
      </c>
      <c r="S1855" s="536"/>
      <c r="T1855" s="635"/>
    </row>
    <row r="1856" spans="1:68" s="298" customFormat="1" ht="25.5">
      <c r="A1856" s="256" t="s">
        <v>3259</v>
      </c>
      <c r="B1856" s="374">
        <v>88247</v>
      </c>
      <c r="C1856" s="289" t="s">
        <v>145</v>
      </c>
      <c r="D1856" s="290" t="s">
        <v>9714</v>
      </c>
      <c r="E1856" s="290" t="s">
        <v>206</v>
      </c>
      <c r="F1856" s="383">
        <v>9.9999999999999992E-2</v>
      </c>
      <c r="G1856" s="292" t="s">
        <v>12206</v>
      </c>
      <c r="H1856" s="255">
        <v>1.87</v>
      </c>
      <c r="J1856" s="634"/>
      <c r="S1856" s="536"/>
      <c r="T1856" s="635"/>
    </row>
    <row r="1857" spans="1:20" s="298" customFormat="1" ht="25.5">
      <c r="A1857" s="256" t="s">
        <v>12</v>
      </c>
      <c r="B1857" s="288" t="s">
        <v>14386</v>
      </c>
      <c r="C1857" s="289" t="s">
        <v>15771</v>
      </c>
      <c r="D1857" s="290" t="s">
        <v>207</v>
      </c>
      <c r="E1857" s="290" t="s">
        <v>5</v>
      </c>
      <c r="F1857" s="383">
        <v>1.1000000000000001</v>
      </c>
      <c r="G1857" s="292">
        <v>11.666666666666666</v>
      </c>
      <c r="H1857" s="255">
        <v>12.83</v>
      </c>
      <c r="J1857" s="634"/>
      <c r="S1857" s="536"/>
      <c r="T1857" s="635"/>
    </row>
    <row r="1858" spans="1:20" s="298" customFormat="1" ht="12.75">
      <c r="A1858" s="286"/>
      <c r="B1858" s="375" t="s">
        <v>143</v>
      </c>
      <c r="C1858" s="816" t="s">
        <v>17107</v>
      </c>
      <c r="D1858" s="817"/>
      <c r="E1858" s="817"/>
      <c r="F1858" s="817"/>
      <c r="G1858" s="817"/>
      <c r="H1858" s="818"/>
      <c r="J1858" s="634"/>
      <c r="S1858" s="536"/>
      <c r="T1858" s="635"/>
    </row>
    <row r="1859" spans="1:20" s="298" customFormat="1" ht="12.75">
      <c r="A1859" s="286"/>
      <c r="B1859" s="373"/>
      <c r="C1859" s="379"/>
      <c r="D1859" s="382"/>
      <c r="E1859" s="382"/>
      <c r="F1859" s="382"/>
      <c r="G1859" s="382"/>
      <c r="H1859" s="382"/>
      <c r="J1859" s="634"/>
      <c r="S1859" s="536"/>
      <c r="T1859" s="635"/>
    </row>
    <row r="1860" spans="1:20" s="298" customFormat="1" ht="38.25">
      <c r="A1860" s="286"/>
      <c r="B1860" s="372" t="s">
        <v>14378</v>
      </c>
      <c r="C1860" s="231" t="s">
        <v>17111</v>
      </c>
      <c r="D1860" s="232" t="s">
        <v>103</v>
      </c>
      <c r="E1860" s="232" t="s">
        <v>10</v>
      </c>
      <c r="F1860" s="233"/>
      <c r="G1860" s="234"/>
      <c r="H1860" s="235">
        <v>159.35999999999999</v>
      </c>
      <c r="J1860" s="634"/>
      <c r="L1860" s="256"/>
      <c r="M1860" s="256"/>
      <c r="N1860" s="256"/>
      <c r="S1860" s="536"/>
      <c r="T1860" s="635"/>
    </row>
    <row r="1861" spans="1:20" s="298" customFormat="1" ht="38.25">
      <c r="A1861" s="256" t="s">
        <v>3261</v>
      </c>
      <c r="B1861" s="288">
        <v>11315</v>
      </c>
      <c r="C1861" s="289" t="s">
        <v>8134</v>
      </c>
      <c r="D1861" s="290" t="s">
        <v>207</v>
      </c>
      <c r="E1861" s="290" t="s">
        <v>3240</v>
      </c>
      <c r="F1861" s="383">
        <v>1</v>
      </c>
      <c r="G1861" s="292" t="s">
        <v>20697</v>
      </c>
      <c r="H1861" s="255">
        <v>158.13</v>
      </c>
      <c r="J1861" s="634"/>
      <c r="L1861" s="256"/>
      <c r="M1861" s="256"/>
      <c r="N1861" s="256"/>
      <c r="S1861" s="536"/>
      <c r="T1861" s="635"/>
    </row>
    <row r="1862" spans="1:20" s="298" customFormat="1" ht="51">
      <c r="A1862" s="256" t="s">
        <v>3259</v>
      </c>
      <c r="B1862" s="374">
        <v>87316</v>
      </c>
      <c r="C1862" s="289" t="s">
        <v>9328</v>
      </c>
      <c r="D1862" s="290" t="s">
        <v>229</v>
      </c>
      <c r="E1862" s="290" t="s">
        <v>209</v>
      </c>
      <c r="F1862" s="383">
        <v>2E-3</v>
      </c>
      <c r="G1862" s="292" t="s">
        <v>24202</v>
      </c>
      <c r="H1862" s="255">
        <v>0.76</v>
      </c>
      <c r="J1862" s="634"/>
      <c r="S1862" s="536"/>
      <c r="T1862" s="635"/>
    </row>
    <row r="1863" spans="1:20" s="298" customFormat="1" ht="25.5">
      <c r="A1863" s="256" t="s">
        <v>3259</v>
      </c>
      <c r="B1863" s="288">
        <v>88309</v>
      </c>
      <c r="C1863" s="289" t="s">
        <v>105</v>
      </c>
      <c r="D1863" s="290" t="s">
        <v>9714</v>
      </c>
      <c r="E1863" s="290" t="s">
        <v>206</v>
      </c>
      <c r="F1863" s="383">
        <v>0.02</v>
      </c>
      <c r="G1863" s="292" t="s">
        <v>11439</v>
      </c>
      <c r="H1863" s="255">
        <v>0.47</v>
      </c>
      <c r="J1863" s="634"/>
      <c r="S1863" s="536"/>
      <c r="T1863" s="635"/>
    </row>
    <row r="1864" spans="1:20" s="298" customFormat="1" ht="12.75">
      <c r="A1864" s="286"/>
      <c r="B1864" s="375" t="s">
        <v>143</v>
      </c>
      <c r="C1864" s="816" t="s">
        <v>14508</v>
      </c>
      <c r="D1864" s="817"/>
      <c r="E1864" s="817"/>
      <c r="F1864" s="817"/>
      <c r="G1864" s="817"/>
      <c r="H1864" s="818"/>
      <c r="J1864" s="634"/>
      <c r="S1864" s="536"/>
      <c r="T1864" s="635"/>
    </row>
    <row r="1865" spans="1:20" s="298" customFormat="1" ht="12.75">
      <c r="A1865" s="286"/>
      <c r="B1865" s="822"/>
      <c r="C1865" s="817"/>
      <c r="D1865" s="817"/>
      <c r="E1865" s="817"/>
      <c r="F1865" s="817"/>
      <c r="G1865" s="817"/>
      <c r="H1865" s="818"/>
      <c r="J1865" s="634"/>
      <c r="S1865" s="536"/>
      <c r="T1865" s="635"/>
    </row>
    <row r="1866" spans="1:20" s="298" customFormat="1" ht="25.5">
      <c r="A1866" s="286"/>
      <c r="B1866" s="372" t="s">
        <v>14379</v>
      </c>
      <c r="C1866" s="231" t="s">
        <v>17110</v>
      </c>
      <c r="D1866" s="232" t="s">
        <v>103</v>
      </c>
      <c r="E1866" s="232" t="s">
        <v>10</v>
      </c>
      <c r="F1866" s="233"/>
      <c r="G1866" s="234"/>
      <c r="H1866" s="235">
        <v>37.83</v>
      </c>
      <c r="J1866" s="634"/>
      <c r="S1866" s="536"/>
      <c r="T1866" s="635"/>
    </row>
    <row r="1867" spans="1:20" s="298" customFormat="1" ht="25.5">
      <c r="A1867" s="256" t="s">
        <v>3259</v>
      </c>
      <c r="B1867" s="288">
        <v>88316</v>
      </c>
      <c r="C1867" s="289" t="s">
        <v>104</v>
      </c>
      <c r="D1867" s="290" t="s">
        <v>9714</v>
      </c>
      <c r="E1867" s="290" t="s">
        <v>206</v>
      </c>
      <c r="F1867" s="383">
        <v>0.63300000000000001</v>
      </c>
      <c r="G1867" s="292" t="s">
        <v>10172</v>
      </c>
      <c r="H1867" s="255">
        <v>11.14</v>
      </c>
      <c r="J1867" s="634"/>
      <c r="S1867" s="536"/>
      <c r="T1867" s="635"/>
    </row>
    <row r="1868" spans="1:20" s="298" customFormat="1" ht="25.5">
      <c r="A1868" s="256" t="s">
        <v>3259</v>
      </c>
      <c r="B1868" s="374">
        <v>88264</v>
      </c>
      <c r="C1868" s="289" t="s">
        <v>146</v>
      </c>
      <c r="D1868" s="290" t="s">
        <v>9714</v>
      </c>
      <c r="E1868" s="290" t="s">
        <v>206</v>
      </c>
      <c r="F1868" s="383">
        <v>0.63300000000000001</v>
      </c>
      <c r="G1868" s="292" t="s">
        <v>16504</v>
      </c>
      <c r="H1868" s="255">
        <v>15.25</v>
      </c>
      <c r="J1868" s="634"/>
      <c r="S1868" s="536"/>
      <c r="T1868" s="635"/>
    </row>
    <row r="1869" spans="1:20" s="298" customFormat="1" ht="25.5">
      <c r="A1869" s="256" t="s">
        <v>12</v>
      </c>
      <c r="B1869" s="288" t="s">
        <v>14387</v>
      </c>
      <c r="C1869" s="289" t="s">
        <v>14495</v>
      </c>
      <c r="D1869" s="290" t="s">
        <v>207</v>
      </c>
      <c r="E1869" s="290" t="s">
        <v>109</v>
      </c>
      <c r="F1869" s="383">
        <v>1</v>
      </c>
      <c r="G1869" s="292">
        <v>11.444505821861227</v>
      </c>
      <c r="H1869" s="255">
        <v>11.44</v>
      </c>
      <c r="J1869" s="634"/>
      <c r="S1869" s="536"/>
      <c r="T1869" s="635"/>
    </row>
    <row r="1870" spans="1:20" s="298" customFormat="1" ht="12.75">
      <c r="A1870" s="286"/>
      <c r="B1870" s="288" t="s">
        <v>143</v>
      </c>
      <c r="C1870" s="816" t="s">
        <v>9647</v>
      </c>
      <c r="D1870" s="817"/>
      <c r="E1870" s="817"/>
      <c r="F1870" s="817"/>
      <c r="G1870" s="817"/>
      <c r="H1870" s="818"/>
      <c r="J1870" s="634"/>
      <c r="K1870" s="524"/>
      <c r="L1870" s="524"/>
      <c r="M1870" s="524"/>
      <c r="N1870" s="524"/>
      <c r="O1870" s="524"/>
      <c r="S1870" s="536"/>
      <c r="T1870" s="635"/>
    </row>
    <row r="1871" spans="1:20" s="298" customFormat="1" ht="12.75">
      <c r="A1871" s="286"/>
      <c r="B1871" s="373"/>
      <c r="C1871" s="379"/>
      <c r="D1871" s="382"/>
      <c r="E1871" s="382"/>
      <c r="F1871" s="382"/>
      <c r="G1871" s="382"/>
      <c r="H1871" s="382"/>
      <c r="J1871" s="634"/>
      <c r="S1871" s="536"/>
      <c r="T1871" s="635"/>
    </row>
    <row r="1872" spans="1:20" s="298" customFormat="1" ht="51">
      <c r="A1872" s="286"/>
      <c r="B1872" s="372" t="s">
        <v>14380</v>
      </c>
      <c r="C1872" s="231" t="s">
        <v>18425</v>
      </c>
      <c r="D1872" s="232" t="s">
        <v>103</v>
      </c>
      <c r="E1872" s="232" t="s">
        <v>10</v>
      </c>
      <c r="F1872" s="233"/>
      <c r="G1872" s="234"/>
      <c r="H1872" s="235">
        <v>2.77</v>
      </c>
      <c r="J1872" s="634"/>
      <c r="L1872" s="256"/>
      <c r="M1872" s="256"/>
      <c r="N1872" s="256"/>
      <c r="S1872" s="536"/>
      <c r="T1872" s="635"/>
    </row>
    <row r="1873" spans="1:20" s="298" customFormat="1" ht="51">
      <c r="A1873" s="256" t="s">
        <v>3261</v>
      </c>
      <c r="B1873" s="288">
        <v>1573</v>
      </c>
      <c r="C1873" s="289" t="s">
        <v>8434</v>
      </c>
      <c r="D1873" s="290" t="s">
        <v>207</v>
      </c>
      <c r="E1873" s="290" t="s">
        <v>3240</v>
      </c>
      <c r="F1873" s="383">
        <v>1</v>
      </c>
      <c r="G1873" s="292" t="s">
        <v>11172</v>
      </c>
      <c r="H1873" s="255">
        <v>1.32</v>
      </c>
      <c r="J1873" s="634"/>
      <c r="L1873" s="256"/>
      <c r="M1873" s="256"/>
      <c r="N1873" s="256"/>
      <c r="S1873" s="536"/>
      <c r="T1873" s="635"/>
    </row>
    <row r="1874" spans="1:20" s="298" customFormat="1" ht="51">
      <c r="A1874" s="256" t="s">
        <v>3261</v>
      </c>
      <c r="B1874" s="288">
        <v>13246</v>
      </c>
      <c r="C1874" s="289" t="s">
        <v>7494</v>
      </c>
      <c r="D1874" s="290" t="s">
        <v>207</v>
      </c>
      <c r="E1874" s="290" t="s">
        <v>3240</v>
      </c>
      <c r="F1874" s="383">
        <v>1</v>
      </c>
      <c r="G1874" s="292" t="s">
        <v>11058</v>
      </c>
      <c r="H1874" s="255">
        <v>0.25</v>
      </c>
      <c r="J1874" s="634"/>
      <c r="L1874" s="256"/>
      <c r="M1874" s="256"/>
      <c r="N1874" s="256"/>
      <c r="S1874" s="536"/>
      <c r="T1874" s="635"/>
    </row>
    <row r="1875" spans="1:20" s="298" customFormat="1" ht="25.5">
      <c r="A1875" s="256" t="s">
        <v>3259</v>
      </c>
      <c r="B1875" s="288">
        <v>88264</v>
      </c>
      <c r="C1875" s="289" t="s">
        <v>146</v>
      </c>
      <c r="D1875" s="290" t="s">
        <v>9714</v>
      </c>
      <c r="E1875" s="290" t="s">
        <v>206</v>
      </c>
      <c r="F1875" s="383">
        <v>0.05</v>
      </c>
      <c r="G1875" s="292" t="s">
        <v>16504</v>
      </c>
      <c r="H1875" s="255">
        <v>1.2</v>
      </c>
      <c r="J1875" s="634"/>
      <c r="S1875" s="536"/>
      <c r="T1875" s="635"/>
    </row>
    <row r="1876" spans="1:20" s="298" customFormat="1" ht="12.75">
      <c r="A1876" s="286"/>
      <c r="B1876" s="375" t="s">
        <v>143</v>
      </c>
      <c r="C1876" s="816" t="s">
        <v>14516</v>
      </c>
      <c r="D1876" s="817"/>
      <c r="E1876" s="817"/>
      <c r="F1876" s="817"/>
      <c r="G1876" s="817"/>
      <c r="H1876" s="818"/>
      <c r="J1876" s="634"/>
      <c r="S1876" s="536"/>
      <c r="T1876" s="635"/>
    </row>
    <row r="1877" spans="1:20" s="298" customFormat="1" ht="12.75">
      <c r="A1877" s="286"/>
      <c r="B1877" s="373"/>
      <c r="C1877" s="379"/>
      <c r="D1877" s="382"/>
      <c r="E1877" s="382"/>
      <c r="F1877" s="382"/>
      <c r="G1877" s="382"/>
      <c r="H1877" s="382"/>
      <c r="J1877" s="634"/>
      <c r="S1877" s="536"/>
      <c r="T1877" s="635"/>
    </row>
    <row r="1878" spans="1:20" s="298" customFormat="1" ht="38.25">
      <c r="A1878" s="286"/>
      <c r="B1878" s="372" t="s">
        <v>14393</v>
      </c>
      <c r="C1878" s="231" t="s">
        <v>17112</v>
      </c>
      <c r="D1878" s="232" t="s">
        <v>103</v>
      </c>
      <c r="E1878" s="232" t="s">
        <v>10</v>
      </c>
      <c r="F1878" s="233"/>
      <c r="G1878" s="234"/>
      <c r="H1878" s="235">
        <v>26.880000000000003</v>
      </c>
      <c r="J1878" s="634"/>
      <c r="L1878" s="256"/>
      <c r="M1878" s="256"/>
      <c r="N1878" s="256"/>
      <c r="S1878" s="536"/>
      <c r="T1878" s="635"/>
    </row>
    <row r="1879" spans="1:20" s="298" customFormat="1" ht="25.5">
      <c r="A1879" s="256" t="s">
        <v>3261</v>
      </c>
      <c r="B1879" s="288" t="s">
        <v>14514</v>
      </c>
      <c r="C1879" s="289" t="s">
        <v>14515</v>
      </c>
      <c r="D1879" s="290" t="s">
        <v>207</v>
      </c>
      <c r="E1879" s="290" t="s">
        <v>3240</v>
      </c>
      <c r="F1879" s="383">
        <v>1</v>
      </c>
      <c r="G1879" s="292">
        <v>22.6</v>
      </c>
      <c r="H1879" s="255">
        <v>22.6</v>
      </c>
      <c r="J1879" s="634"/>
      <c r="L1879" s="256"/>
      <c r="M1879" s="256"/>
      <c r="N1879" s="256"/>
      <c r="S1879" s="536"/>
      <c r="T1879" s="635"/>
    </row>
    <row r="1880" spans="1:20" s="298" customFormat="1" ht="25.5">
      <c r="A1880" s="256" t="s">
        <v>3259</v>
      </c>
      <c r="B1880" s="374">
        <v>88247</v>
      </c>
      <c r="C1880" s="289" t="s">
        <v>145</v>
      </c>
      <c r="D1880" s="290" t="s">
        <v>9714</v>
      </c>
      <c r="E1880" s="290" t="s">
        <v>206</v>
      </c>
      <c r="F1880" s="383">
        <v>0.1</v>
      </c>
      <c r="G1880" s="292" t="s">
        <v>12206</v>
      </c>
      <c r="H1880" s="255">
        <v>1.87</v>
      </c>
      <c r="J1880" s="634"/>
      <c r="S1880" s="536"/>
      <c r="T1880" s="635"/>
    </row>
    <row r="1881" spans="1:20" s="298" customFormat="1" ht="25.5">
      <c r="A1881" s="256" t="s">
        <v>3259</v>
      </c>
      <c r="B1881" s="288">
        <v>88264</v>
      </c>
      <c r="C1881" s="289" t="s">
        <v>146</v>
      </c>
      <c r="D1881" s="290" t="s">
        <v>9714</v>
      </c>
      <c r="E1881" s="290" t="s">
        <v>206</v>
      </c>
      <c r="F1881" s="383">
        <v>0.1</v>
      </c>
      <c r="G1881" s="292" t="s">
        <v>16504</v>
      </c>
      <c r="H1881" s="255">
        <v>2.41</v>
      </c>
      <c r="J1881" s="634"/>
      <c r="S1881" s="536"/>
      <c r="T1881" s="635"/>
    </row>
    <row r="1882" spans="1:20" s="298" customFormat="1" ht="12.75">
      <c r="A1882" s="286"/>
      <c r="B1882" s="375" t="s">
        <v>143</v>
      </c>
      <c r="C1882" s="816" t="s">
        <v>14512</v>
      </c>
      <c r="D1882" s="817"/>
      <c r="E1882" s="817"/>
      <c r="F1882" s="817"/>
      <c r="G1882" s="817"/>
      <c r="H1882" s="818"/>
      <c r="J1882" s="634"/>
      <c r="S1882" s="536"/>
      <c r="T1882" s="635"/>
    </row>
    <row r="1883" spans="1:20" s="298" customFormat="1" ht="12.75">
      <c r="A1883" s="286"/>
      <c r="B1883" s="373"/>
      <c r="C1883" s="379"/>
      <c r="D1883" s="382"/>
      <c r="E1883" s="382"/>
      <c r="F1883" s="382"/>
      <c r="G1883" s="382"/>
      <c r="H1883" s="382"/>
      <c r="J1883" s="634"/>
      <c r="S1883" s="536"/>
      <c r="T1883" s="635"/>
    </row>
    <row r="1884" spans="1:20" s="298" customFormat="1" ht="38.25">
      <c r="A1884" s="286"/>
      <c r="B1884" s="372" t="s">
        <v>14394</v>
      </c>
      <c r="C1884" s="231" t="s">
        <v>17118</v>
      </c>
      <c r="D1884" s="232" t="s">
        <v>103</v>
      </c>
      <c r="E1884" s="232" t="s">
        <v>10</v>
      </c>
      <c r="F1884" s="233"/>
      <c r="G1884" s="234"/>
      <c r="H1884" s="235">
        <v>34.730000000000004</v>
      </c>
      <c r="J1884" s="634"/>
      <c r="L1884" s="256"/>
      <c r="M1884" s="256"/>
      <c r="N1884" s="256"/>
      <c r="S1884" s="536"/>
      <c r="T1884" s="635"/>
    </row>
    <row r="1885" spans="1:20" s="298" customFormat="1" ht="25.5">
      <c r="A1885" s="256" t="s">
        <v>12</v>
      </c>
      <c r="B1885" s="288" t="s">
        <v>14567</v>
      </c>
      <c r="C1885" s="289" t="s">
        <v>17113</v>
      </c>
      <c r="D1885" s="290" t="s">
        <v>207</v>
      </c>
      <c r="E1885" s="290" t="s">
        <v>109</v>
      </c>
      <c r="F1885" s="383">
        <v>1</v>
      </c>
      <c r="G1885" s="292">
        <v>30.454000000000001</v>
      </c>
      <c r="H1885" s="255">
        <v>30.45</v>
      </c>
      <c r="J1885" s="634"/>
      <c r="L1885" s="256"/>
      <c r="M1885" s="256"/>
      <c r="N1885" s="256"/>
      <c r="S1885" s="536"/>
      <c r="T1885" s="635"/>
    </row>
    <row r="1886" spans="1:20" s="298" customFormat="1" ht="25.5">
      <c r="A1886" s="256" t="s">
        <v>3259</v>
      </c>
      <c r="B1886" s="374">
        <v>88247</v>
      </c>
      <c r="C1886" s="289" t="s">
        <v>145</v>
      </c>
      <c r="D1886" s="290" t="s">
        <v>9714</v>
      </c>
      <c r="E1886" s="290" t="s">
        <v>206</v>
      </c>
      <c r="F1886" s="383">
        <v>0.1</v>
      </c>
      <c r="G1886" s="292" t="s">
        <v>12206</v>
      </c>
      <c r="H1886" s="255">
        <v>1.87</v>
      </c>
      <c r="J1886" s="634"/>
      <c r="S1886" s="536"/>
      <c r="T1886" s="635"/>
    </row>
    <row r="1887" spans="1:20" s="298" customFormat="1" ht="25.5">
      <c r="A1887" s="256" t="s">
        <v>3259</v>
      </c>
      <c r="B1887" s="288">
        <v>88264</v>
      </c>
      <c r="C1887" s="289" t="s">
        <v>146</v>
      </c>
      <c r="D1887" s="290" t="s">
        <v>9714</v>
      </c>
      <c r="E1887" s="290" t="s">
        <v>206</v>
      </c>
      <c r="F1887" s="383">
        <v>0.1</v>
      </c>
      <c r="G1887" s="292" t="s">
        <v>16504</v>
      </c>
      <c r="H1887" s="255">
        <v>2.41</v>
      </c>
      <c r="J1887" s="634"/>
      <c r="S1887" s="536"/>
      <c r="T1887" s="635"/>
    </row>
    <row r="1888" spans="1:20" s="298" customFormat="1" ht="12.75">
      <c r="A1888" s="286"/>
      <c r="B1888" s="375" t="s">
        <v>143</v>
      </c>
      <c r="C1888" s="816" t="s">
        <v>14512</v>
      </c>
      <c r="D1888" s="817"/>
      <c r="E1888" s="817"/>
      <c r="F1888" s="817"/>
      <c r="G1888" s="817"/>
      <c r="H1888" s="818"/>
      <c r="J1888" s="634"/>
      <c r="S1888" s="536"/>
      <c r="T1888" s="635"/>
    </row>
    <row r="1889" spans="1:20" s="298" customFormat="1" ht="12.75">
      <c r="A1889" s="286"/>
      <c r="B1889" s="373"/>
      <c r="C1889" s="379"/>
      <c r="D1889" s="382"/>
      <c r="E1889" s="382"/>
      <c r="F1889" s="382"/>
      <c r="G1889" s="382"/>
      <c r="H1889" s="382"/>
      <c r="J1889" s="634"/>
      <c r="S1889" s="536"/>
      <c r="T1889" s="635"/>
    </row>
    <row r="1890" spans="1:20" s="298" customFormat="1" ht="25.5">
      <c r="A1890" s="286"/>
      <c r="B1890" s="372" t="s">
        <v>14395</v>
      </c>
      <c r="C1890" s="231" t="s">
        <v>17127</v>
      </c>
      <c r="D1890" s="232" t="s">
        <v>103</v>
      </c>
      <c r="E1890" s="232" t="s">
        <v>10</v>
      </c>
      <c r="F1890" s="233"/>
      <c r="G1890" s="234"/>
      <c r="H1890" s="235">
        <v>8.370000000000001</v>
      </c>
      <c r="J1890" s="634"/>
      <c r="L1890" s="256"/>
      <c r="M1890" s="256"/>
      <c r="N1890" s="256"/>
      <c r="S1890" s="536"/>
      <c r="T1890" s="635"/>
    </row>
    <row r="1891" spans="1:20" s="298" customFormat="1" ht="12.75">
      <c r="A1891" s="256" t="s">
        <v>12</v>
      </c>
      <c r="B1891" s="288" t="s">
        <v>14569</v>
      </c>
      <c r="C1891" s="289" t="s">
        <v>17119</v>
      </c>
      <c r="D1891" s="290" t="s">
        <v>207</v>
      </c>
      <c r="E1891" s="290" t="s">
        <v>109</v>
      </c>
      <c r="F1891" s="383">
        <v>1</v>
      </c>
      <c r="G1891" s="292">
        <v>2.2200000000000002</v>
      </c>
      <c r="H1891" s="255">
        <v>2.2200000000000002</v>
      </c>
      <c r="J1891" s="634"/>
      <c r="L1891" s="256"/>
      <c r="M1891" s="256"/>
      <c r="N1891" s="256"/>
      <c r="S1891" s="536"/>
      <c r="T1891" s="635"/>
    </row>
    <row r="1892" spans="1:20" s="298" customFormat="1" ht="25.5">
      <c r="A1892" s="256" t="s">
        <v>3259</v>
      </c>
      <c r="B1892" s="374">
        <v>88247</v>
      </c>
      <c r="C1892" s="289" t="s">
        <v>145</v>
      </c>
      <c r="D1892" s="290" t="s">
        <v>9714</v>
      </c>
      <c r="E1892" s="290" t="s">
        <v>206</v>
      </c>
      <c r="F1892" s="383">
        <v>0.2</v>
      </c>
      <c r="G1892" s="292" t="s">
        <v>12206</v>
      </c>
      <c r="H1892" s="255">
        <v>3.74</v>
      </c>
      <c r="J1892" s="634"/>
      <c r="S1892" s="536"/>
      <c r="T1892" s="635"/>
    </row>
    <row r="1893" spans="1:20" s="298" customFormat="1" ht="25.5">
      <c r="A1893" s="256" t="s">
        <v>3259</v>
      </c>
      <c r="B1893" s="288">
        <v>88264</v>
      </c>
      <c r="C1893" s="289" t="s">
        <v>146</v>
      </c>
      <c r="D1893" s="290" t="s">
        <v>9714</v>
      </c>
      <c r="E1893" s="290" t="s">
        <v>206</v>
      </c>
      <c r="F1893" s="383">
        <v>0.1</v>
      </c>
      <c r="G1893" s="292" t="s">
        <v>16504</v>
      </c>
      <c r="H1893" s="255">
        <v>2.41</v>
      </c>
      <c r="J1893" s="634"/>
      <c r="S1893" s="536"/>
      <c r="T1893" s="635"/>
    </row>
    <row r="1894" spans="1:20" s="298" customFormat="1" ht="12.75">
      <c r="A1894" s="286"/>
      <c r="B1894" s="375" t="s">
        <v>143</v>
      </c>
      <c r="C1894" s="816" t="s">
        <v>17126</v>
      </c>
      <c r="D1894" s="817"/>
      <c r="E1894" s="817"/>
      <c r="F1894" s="817"/>
      <c r="G1894" s="817"/>
      <c r="H1894" s="818"/>
      <c r="J1894" s="634"/>
      <c r="S1894" s="536"/>
      <c r="T1894" s="635"/>
    </row>
    <row r="1895" spans="1:20" s="298" customFormat="1" ht="12.75">
      <c r="A1895" s="286"/>
      <c r="B1895" s="373"/>
      <c r="C1895" s="379"/>
      <c r="D1895" s="382"/>
      <c r="E1895" s="382"/>
      <c r="F1895" s="382"/>
      <c r="G1895" s="382"/>
      <c r="H1895" s="382"/>
      <c r="J1895" s="634"/>
      <c r="S1895" s="536"/>
      <c r="T1895" s="635"/>
    </row>
    <row r="1896" spans="1:20" s="298" customFormat="1" ht="38.25">
      <c r="A1896" s="286"/>
      <c r="B1896" s="372" t="s">
        <v>14396</v>
      </c>
      <c r="C1896" s="231" t="s">
        <v>17129</v>
      </c>
      <c r="D1896" s="232" t="s">
        <v>103</v>
      </c>
      <c r="E1896" s="232" t="s">
        <v>3243</v>
      </c>
      <c r="F1896" s="233"/>
      <c r="G1896" s="234"/>
      <c r="H1896" s="235">
        <v>4.82</v>
      </c>
      <c r="J1896" s="634"/>
      <c r="L1896" s="256"/>
      <c r="M1896" s="256"/>
      <c r="N1896" s="256"/>
      <c r="S1896" s="536"/>
      <c r="T1896" s="635"/>
    </row>
    <row r="1897" spans="1:20" s="298" customFormat="1" ht="25.5">
      <c r="A1897" s="256" t="s">
        <v>3261</v>
      </c>
      <c r="B1897" s="288">
        <v>2688</v>
      </c>
      <c r="C1897" s="289" t="s">
        <v>6243</v>
      </c>
      <c r="D1897" s="290" t="s">
        <v>207</v>
      </c>
      <c r="E1897" s="290" t="s">
        <v>3243</v>
      </c>
      <c r="F1897" s="383">
        <v>1</v>
      </c>
      <c r="G1897" s="292" t="s">
        <v>11547</v>
      </c>
      <c r="H1897" s="255">
        <v>2.17</v>
      </c>
      <c r="J1897" s="634"/>
      <c r="L1897" s="256"/>
      <c r="M1897" s="256"/>
      <c r="N1897" s="256"/>
      <c r="S1897" s="536"/>
      <c r="T1897" s="635"/>
    </row>
    <row r="1898" spans="1:20" s="298" customFormat="1" ht="25.5">
      <c r="A1898" s="256" t="s">
        <v>3259</v>
      </c>
      <c r="B1898" s="374">
        <v>88247</v>
      </c>
      <c r="C1898" s="289" t="s">
        <v>145</v>
      </c>
      <c r="D1898" s="290" t="s">
        <v>9714</v>
      </c>
      <c r="E1898" s="290" t="s">
        <v>206</v>
      </c>
      <c r="F1898" s="383">
        <v>6.2E-2</v>
      </c>
      <c r="G1898" s="292" t="s">
        <v>12206</v>
      </c>
      <c r="H1898" s="255">
        <v>1.1599999999999999</v>
      </c>
      <c r="J1898" s="634"/>
      <c r="S1898" s="536"/>
      <c r="T1898" s="635"/>
    </row>
    <row r="1899" spans="1:20" s="298" customFormat="1" ht="25.5">
      <c r="A1899" s="256" t="s">
        <v>3259</v>
      </c>
      <c r="B1899" s="288">
        <v>88264</v>
      </c>
      <c r="C1899" s="289" t="s">
        <v>146</v>
      </c>
      <c r="D1899" s="290" t="s">
        <v>9714</v>
      </c>
      <c r="E1899" s="290" t="s">
        <v>206</v>
      </c>
      <c r="F1899" s="383">
        <v>6.2E-2</v>
      </c>
      <c r="G1899" s="292" t="s">
        <v>16504</v>
      </c>
      <c r="H1899" s="255">
        <v>1.49</v>
      </c>
      <c r="J1899" s="634"/>
      <c r="S1899" s="536"/>
      <c r="T1899" s="635"/>
    </row>
    <row r="1900" spans="1:20" s="298" customFormat="1" ht="12.75">
      <c r="A1900" s="286"/>
      <c r="B1900" s="375" t="s">
        <v>143</v>
      </c>
      <c r="C1900" s="816" t="s">
        <v>17128</v>
      </c>
      <c r="D1900" s="817"/>
      <c r="E1900" s="817"/>
      <c r="F1900" s="817"/>
      <c r="G1900" s="817"/>
      <c r="H1900" s="818"/>
      <c r="J1900" s="634"/>
      <c r="S1900" s="536"/>
      <c r="T1900" s="635"/>
    </row>
    <row r="1901" spans="1:20" s="298" customFormat="1" ht="12.75">
      <c r="A1901" s="286"/>
      <c r="B1901" s="373"/>
      <c r="C1901" s="379"/>
      <c r="D1901" s="382"/>
      <c r="E1901" s="382"/>
      <c r="F1901" s="382"/>
      <c r="G1901" s="382"/>
      <c r="H1901" s="382"/>
      <c r="J1901" s="634"/>
      <c r="S1901" s="536"/>
      <c r="T1901" s="635"/>
    </row>
    <row r="1902" spans="1:20" s="298" customFormat="1" ht="38.25">
      <c r="A1902" s="286"/>
      <c r="B1902" s="372" t="s">
        <v>14397</v>
      </c>
      <c r="C1902" s="231" t="s">
        <v>17130</v>
      </c>
      <c r="D1902" s="232" t="s">
        <v>103</v>
      </c>
      <c r="E1902" s="232" t="s">
        <v>3243</v>
      </c>
      <c r="F1902" s="233"/>
      <c r="G1902" s="234"/>
      <c r="H1902" s="235">
        <v>6.37</v>
      </c>
      <c r="J1902" s="634"/>
      <c r="L1902" s="256"/>
      <c r="M1902" s="256"/>
      <c r="N1902" s="256"/>
      <c r="S1902" s="536"/>
      <c r="T1902" s="635"/>
    </row>
    <row r="1903" spans="1:20" s="298" customFormat="1" ht="25.5">
      <c r="A1903" s="256" t="s">
        <v>3261</v>
      </c>
      <c r="B1903" s="288">
        <v>2690</v>
      </c>
      <c r="C1903" s="289" t="s">
        <v>6244</v>
      </c>
      <c r="D1903" s="290" t="s">
        <v>207</v>
      </c>
      <c r="E1903" s="290" t="s">
        <v>3243</v>
      </c>
      <c r="F1903" s="383">
        <v>1</v>
      </c>
      <c r="G1903" s="292" t="s">
        <v>11114</v>
      </c>
      <c r="H1903" s="255">
        <v>3.72</v>
      </c>
      <c r="J1903" s="634"/>
      <c r="L1903" s="256"/>
      <c r="M1903" s="256"/>
      <c r="N1903" s="256"/>
      <c r="S1903" s="536"/>
      <c r="T1903" s="635"/>
    </row>
    <row r="1904" spans="1:20" s="298" customFormat="1" ht="25.5">
      <c r="A1904" s="256" t="s">
        <v>3259</v>
      </c>
      <c r="B1904" s="374">
        <v>88247</v>
      </c>
      <c r="C1904" s="289" t="s">
        <v>145</v>
      </c>
      <c r="D1904" s="290" t="s">
        <v>9714</v>
      </c>
      <c r="E1904" s="290" t="s">
        <v>206</v>
      </c>
      <c r="F1904" s="383">
        <v>6.2E-2</v>
      </c>
      <c r="G1904" s="292" t="s">
        <v>12206</v>
      </c>
      <c r="H1904" s="255">
        <v>1.1599999999999999</v>
      </c>
      <c r="J1904" s="634"/>
      <c r="S1904" s="536"/>
      <c r="T1904" s="635"/>
    </row>
    <row r="1905" spans="1:20" s="298" customFormat="1" ht="25.5">
      <c r="A1905" s="256" t="s">
        <v>3259</v>
      </c>
      <c r="B1905" s="288">
        <v>88264</v>
      </c>
      <c r="C1905" s="289" t="s">
        <v>146</v>
      </c>
      <c r="D1905" s="290" t="s">
        <v>9714</v>
      </c>
      <c r="E1905" s="290" t="s">
        <v>206</v>
      </c>
      <c r="F1905" s="383">
        <v>6.2E-2</v>
      </c>
      <c r="G1905" s="292" t="s">
        <v>16504</v>
      </c>
      <c r="H1905" s="255">
        <v>1.49</v>
      </c>
      <c r="J1905" s="634"/>
      <c r="S1905" s="536"/>
      <c r="T1905" s="635"/>
    </row>
    <row r="1906" spans="1:20" s="298" customFormat="1" ht="12.75">
      <c r="A1906" s="286"/>
      <c r="B1906" s="375" t="s">
        <v>143</v>
      </c>
      <c r="C1906" s="816" t="s">
        <v>17128</v>
      </c>
      <c r="D1906" s="817"/>
      <c r="E1906" s="817"/>
      <c r="F1906" s="817"/>
      <c r="G1906" s="817"/>
      <c r="H1906" s="818"/>
      <c r="J1906" s="634"/>
      <c r="S1906" s="536"/>
      <c r="T1906" s="635"/>
    </row>
    <row r="1907" spans="1:20" s="298" customFormat="1" ht="12.75">
      <c r="A1907" s="286"/>
      <c r="B1907" s="373"/>
      <c r="C1907" s="379"/>
      <c r="D1907" s="382"/>
      <c r="E1907" s="382"/>
      <c r="F1907" s="382"/>
      <c r="G1907" s="382"/>
      <c r="H1907" s="382"/>
      <c r="J1907" s="634"/>
      <c r="S1907" s="536"/>
      <c r="T1907" s="635"/>
    </row>
    <row r="1908" spans="1:20" s="298" customFormat="1" ht="51">
      <c r="A1908" s="286"/>
      <c r="B1908" s="372" t="s">
        <v>14398</v>
      </c>
      <c r="C1908" s="231" t="s">
        <v>18383</v>
      </c>
      <c r="D1908" s="232" t="s">
        <v>103</v>
      </c>
      <c r="E1908" s="232" t="s">
        <v>109</v>
      </c>
      <c r="F1908" s="233"/>
      <c r="G1908" s="234"/>
      <c r="H1908" s="235">
        <v>84.850000000000009</v>
      </c>
      <c r="J1908" s="634"/>
      <c r="S1908" s="536"/>
      <c r="T1908" s="635"/>
    </row>
    <row r="1909" spans="1:20" s="298" customFormat="1" ht="25.5">
      <c r="A1909" s="256" t="s">
        <v>3259</v>
      </c>
      <c r="B1909" s="288">
        <v>88264</v>
      </c>
      <c r="C1909" s="289" t="s">
        <v>146</v>
      </c>
      <c r="D1909" s="290" t="s">
        <v>9714</v>
      </c>
      <c r="E1909" s="290" t="s">
        <v>206</v>
      </c>
      <c r="F1909" s="383">
        <v>0.36599999999999999</v>
      </c>
      <c r="G1909" s="292" t="s">
        <v>16504</v>
      </c>
      <c r="H1909" s="255">
        <v>8.82</v>
      </c>
      <c r="J1909" s="634"/>
      <c r="S1909" s="536"/>
      <c r="T1909" s="635"/>
    </row>
    <row r="1910" spans="1:20" s="298" customFormat="1" ht="25.5">
      <c r="A1910" s="256" t="s">
        <v>3259</v>
      </c>
      <c r="B1910" s="374">
        <v>88247</v>
      </c>
      <c r="C1910" s="289" t="s">
        <v>145</v>
      </c>
      <c r="D1910" s="290" t="s">
        <v>9714</v>
      </c>
      <c r="E1910" s="290" t="s">
        <v>206</v>
      </c>
      <c r="F1910" s="383">
        <v>0.36599999999999999</v>
      </c>
      <c r="G1910" s="292" t="s">
        <v>12206</v>
      </c>
      <c r="H1910" s="255">
        <v>6.85</v>
      </c>
      <c r="J1910" s="634"/>
      <c r="S1910" s="536"/>
      <c r="T1910" s="635"/>
    </row>
    <row r="1911" spans="1:20" s="298" customFormat="1" ht="25.5">
      <c r="A1911" s="256" t="s">
        <v>12</v>
      </c>
      <c r="B1911" s="288" t="s">
        <v>14539</v>
      </c>
      <c r="C1911" s="289" t="s">
        <v>18382</v>
      </c>
      <c r="D1911" s="290" t="s">
        <v>207</v>
      </c>
      <c r="E1911" s="290" t="s">
        <v>109</v>
      </c>
      <c r="F1911" s="383">
        <v>1</v>
      </c>
      <c r="G1911" s="292">
        <v>22.75</v>
      </c>
      <c r="H1911" s="255">
        <v>22.75</v>
      </c>
      <c r="J1911" s="634"/>
      <c r="S1911" s="536"/>
      <c r="T1911" s="635"/>
    </row>
    <row r="1912" spans="1:20" s="298" customFormat="1" ht="25.5">
      <c r="A1912" s="256" t="s">
        <v>12</v>
      </c>
      <c r="B1912" s="374" t="s">
        <v>14332</v>
      </c>
      <c r="C1912" s="289" t="s">
        <v>15761</v>
      </c>
      <c r="D1912" s="290" t="s">
        <v>207</v>
      </c>
      <c r="E1912" s="290" t="s">
        <v>109</v>
      </c>
      <c r="F1912" s="383">
        <v>6</v>
      </c>
      <c r="G1912" s="292">
        <v>2.7</v>
      </c>
      <c r="H1912" s="255">
        <v>16.2</v>
      </c>
      <c r="J1912" s="634"/>
      <c r="S1912" s="536"/>
      <c r="T1912" s="635"/>
    </row>
    <row r="1913" spans="1:20" s="298" customFormat="1" ht="12.75">
      <c r="A1913" s="256" t="s">
        <v>12</v>
      </c>
      <c r="B1913" s="374" t="s">
        <v>14333</v>
      </c>
      <c r="C1913" s="289" t="s">
        <v>14351</v>
      </c>
      <c r="D1913" s="290" t="s">
        <v>207</v>
      </c>
      <c r="E1913" s="290" t="s">
        <v>109</v>
      </c>
      <c r="F1913" s="383">
        <v>25.2</v>
      </c>
      <c r="G1913" s="292">
        <v>0.15</v>
      </c>
      <c r="H1913" s="255">
        <v>3.78</v>
      </c>
      <c r="J1913" s="634"/>
      <c r="S1913" s="536"/>
      <c r="T1913" s="635"/>
    </row>
    <row r="1914" spans="1:20" s="298" customFormat="1" ht="25.5">
      <c r="A1914" s="256" t="s">
        <v>3261</v>
      </c>
      <c r="B1914" s="374">
        <v>39211</v>
      </c>
      <c r="C1914" s="289" t="s">
        <v>4850</v>
      </c>
      <c r="D1914" s="290" t="s">
        <v>207</v>
      </c>
      <c r="E1914" s="290" t="s">
        <v>3240</v>
      </c>
      <c r="F1914" s="383">
        <v>25.2</v>
      </c>
      <c r="G1914" s="292" t="s">
        <v>10017</v>
      </c>
      <c r="H1914" s="255">
        <v>22.42</v>
      </c>
      <c r="J1914" s="634"/>
      <c r="S1914" s="536"/>
      <c r="T1914" s="635"/>
    </row>
    <row r="1915" spans="1:20" s="298" customFormat="1" ht="12.75">
      <c r="A1915" s="256" t="s">
        <v>3261</v>
      </c>
      <c r="B1915" s="374">
        <v>39997</v>
      </c>
      <c r="C1915" s="289" t="s">
        <v>7751</v>
      </c>
      <c r="D1915" s="290" t="s">
        <v>207</v>
      </c>
      <c r="E1915" s="290" t="s">
        <v>3240</v>
      </c>
      <c r="F1915" s="383">
        <v>25.2</v>
      </c>
      <c r="G1915" s="292" t="s">
        <v>9866</v>
      </c>
      <c r="H1915" s="255">
        <v>4.03</v>
      </c>
      <c r="J1915" s="634"/>
      <c r="S1915" s="536"/>
      <c r="T1915" s="635"/>
    </row>
    <row r="1916" spans="1:20" s="298" customFormat="1" ht="12.75">
      <c r="A1916" s="286"/>
      <c r="B1916" s="375" t="s">
        <v>143</v>
      </c>
      <c r="C1916" s="816" t="s">
        <v>16983</v>
      </c>
      <c r="D1916" s="817"/>
      <c r="E1916" s="817"/>
      <c r="F1916" s="817"/>
      <c r="G1916" s="817"/>
      <c r="H1916" s="818"/>
      <c r="J1916" s="634"/>
      <c r="S1916" s="536"/>
      <c r="T1916" s="635"/>
    </row>
    <row r="1917" spans="1:20" s="298" customFormat="1" ht="12.75">
      <c r="A1917" s="286"/>
      <c r="B1917" s="373"/>
      <c r="C1917" s="379"/>
      <c r="D1917" s="382"/>
      <c r="E1917" s="382"/>
      <c r="F1917" s="382"/>
      <c r="G1917" s="382"/>
      <c r="H1917" s="382"/>
      <c r="J1917" s="634"/>
      <c r="S1917" s="536"/>
      <c r="T1917" s="635"/>
    </row>
    <row r="1918" spans="1:20" s="298" customFormat="1" ht="63.75">
      <c r="A1918" s="286"/>
      <c r="B1918" s="372" t="s">
        <v>14399</v>
      </c>
      <c r="C1918" s="231" t="s">
        <v>17131</v>
      </c>
      <c r="D1918" s="232" t="s">
        <v>103</v>
      </c>
      <c r="E1918" s="232" t="s">
        <v>109</v>
      </c>
      <c r="F1918" s="233"/>
      <c r="G1918" s="234"/>
      <c r="H1918" s="235">
        <v>44.04</v>
      </c>
      <c r="J1918" s="634"/>
      <c r="S1918" s="536"/>
      <c r="T1918" s="635"/>
    </row>
    <row r="1919" spans="1:20" s="298" customFormat="1" ht="25.5">
      <c r="A1919" s="256" t="s">
        <v>3259</v>
      </c>
      <c r="B1919" s="288">
        <v>88264</v>
      </c>
      <c r="C1919" s="289" t="s">
        <v>146</v>
      </c>
      <c r="D1919" s="290" t="s">
        <v>9714</v>
      </c>
      <c r="E1919" s="290" t="s">
        <v>206</v>
      </c>
      <c r="F1919" s="383">
        <v>0.188</v>
      </c>
      <c r="G1919" s="292" t="s">
        <v>16504</v>
      </c>
      <c r="H1919" s="255">
        <v>4.53</v>
      </c>
      <c r="J1919" s="634"/>
      <c r="S1919" s="536"/>
      <c r="T1919" s="635"/>
    </row>
    <row r="1920" spans="1:20" s="298" customFormat="1" ht="25.5">
      <c r="A1920" s="256" t="s">
        <v>3259</v>
      </c>
      <c r="B1920" s="374">
        <v>88247</v>
      </c>
      <c r="C1920" s="289" t="s">
        <v>145</v>
      </c>
      <c r="D1920" s="290" t="s">
        <v>9714</v>
      </c>
      <c r="E1920" s="290" t="s">
        <v>206</v>
      </c>
      <c r="F1920" s="383">
        <v>0.188</v>
      </c>
      <c r="G1920" s="292" t="s">
        <v>12206</v>
      </c>
      <c r="H1920" s="255">
        <v>3.52</v>
      </c>
      <c r="J1920" s="634"/>
      <c r="S1920" s="536"/>
      <c r="T1920" s="635"/>
    </row>
    <row r="1921" spans="1:20" s="298" customFormat="1" ht="25.5">
      <c r="A1921" s="256" t="s">
        <v>12</v>
      </c>
      <c r="B1921" s="288" t="s">
        <v>14423</v>
      </c>
      <c r="C1921" s="289" t="s">
        <v>15785</v>
      </c>
      <c r="D1921" s="290" t="s">
        <v>207</v>
      </c>
      <c r="E1921" s="290" t="s">
        <v>109</v>
      </c>
      <c r="F1921" s="383">
        <v>1</v>
      </c>
      <c r="G1921" s="292">
        <v>5.04</v>
      </c>
      <c r="H1921" s="255">
        <v>5.04</v>
      </c>
      <c r="J1921" s="634"/>
      <c r="S1921" s="536"/>
      <c r="T1921" s="635"/>
    </row>
    <row r="1922" spans="1:20" s="298" customFormat="1" ht="25.5">
      <c r="A1922" s="256" t="s">
        <v>12</v>
      </c>
      <c r="B1922" s="374" t="s">
        <v>14332</v>
      </c>
      <c r="C1922" s="289" t="s">
        <v>15761</v>
      </c>
      <c r="D1922" s="290" t="s">
        <v>207</v>
      </c>
      <c r="E1922" s="290" t="s">
        <v>109</v>
      </c>
      <c r="F1922" s="383">
        <v>4</v>
      </c>
      <c r="G1922" s="292">
        <v>2.7</v>
      </c>
      <c r="H1922" s="255">
        <v>10.8</v>
      </c>
      <c r="J1922" s="634"/>
      <c r="S1922" s="536"/>
      <c r="T1922" s="635"/>
    </row>
    <row r="1923" spans="1:20" s="298" customFormat="1" ht="12.75">
      <c r="A1923" s="256" t="s">
        <v>12</v>
      </c>
      <c r="B1923" s="374" t="s">
        <v>14333</v>
      </c>
      <c r="C1923" s="289" t="s">
        <v>14351</v>
      </c>
      <c r="D1923" s="290" t="s">
        <v>207</v>
      </c>
      <c r="E1923" s="290" t="s">
        <v>109</v>
      </c>
      <c r="F1923" s="383">
        <v>16.8</v>
      </c>
      <c r="G1923" s="292">
        <v>0.15</v>
      </c>
      <c r="H1923" s="255">
        <v>2.52</v>
      </c>
      <c r="J1923" s="634"/>
      <c r="S1923" s="536"/>
      <c r="T1923" s="635"/>
    </row>
    <row r="1924" spans="1:20" s="298" customFormat="1" ht="25.5">
      <c r="A1924" s="256" t="s">
        <v>3261</v>
      </c>
      <c r="B1924" s="374">
        <v>39211</v>
      </c>
      <c r="C1924" s="289" t="s">
        <v>4850</v>
      </c>
      <c r="D1924" s="290" t="s">
        <v>207</v>
      </c>
      <c r="E1924" s="290" t="s">
        <v>3240</v>
      </c>
      <c r="F1924" s="383">
        <v>16.8</v>
      </c>
      <c r="G1924" s="292" t="s">
        <v>10017</v>
      </c>
      <c r="H1924" s="255">
        <v>14.95</v>
      </c>
      <c r="J1924" s="634"/>
      <c r="S1924" s="536"/>
      <c r="T1924" s="635"/>
    </row>
    <row r="1925" spans="1:20" s="298" customFormat="1" ht="12.75">
      <c r="A1925" s="256" t="s">
        <v>3261</v>
      </c>
      <c r="B1925" s="374">
        <v>39997</v>
      </c>
      <c r="C1925" s="289" t="s">
        <v>7751</v>
      </c>
      <c r="D1925" s="290" t="s">
        <v>207</v>
      </c>
      <c r="E1925" s="290" t="s">
        <v>3240</v>
      </c>
      <c r="F1925" s="383">
        <v>16.8</v>
      </c>
      <c r="G1925" s="292" t="s">
        <v>9866</v>
      </c>
      <c r="H1925" s="255">
        <v>2.68</v>
      </c>
      <c r="J1925" s="634"/>
      <c r="S1925" s="536"/>
      <c r="T1925" s="635"/>
    </row>
    <row r="1926" spans="1:20" s="298" customFormat="1" ht="12.75">
      <c r="A1926" s="286"/>
      <c r="B1926" s="375" t="s">
        <v>143</v>
      </c>
      <c r="C1926" s="816" t="s">
        <v>17132</v>
      </c>
      <c r="D1926" s="817"/>
      <c r="E1926" s="817"/>
      <c r="F1926" s="817"/>
      <c r="G1926" s="817"/>
      <c r="H1926" s="818"/>
      <c r="J1926" s="634"/>
      <c r="S1926" s="536"/>
      <c r="T1926" s="635"/>
    </row>
    <row r="1927" spans="1:20" s="298" customFormat="1" ht="12.75">
      <c r="A1927" s="286"/>
      <c r="B1927" s="373"/>
      <c r="C1927" s="379"/>
      <c r="D1927" s="382"/>
      <c r="E1927" s="382"/>
      <c r="F1927" s="382"/>
      <c r="G1927" s="382"/>
      <c r="H1927" s="382"/>
      <c r="J1927" s="634"/>
      <c r="S1927" s="536"/>
      <c r="T1927" s="635"/>
    </row>
    <row r="1928" spans="1:20" s="298" customFormat="1" ht="38.25">
      <c r="A1928" s="286"/>
      <c r="B1928" s="372" t="s">
        <v>14400</v>
      </c>
      <c r="C1928" s="231" t="s">
        <v>17133</v>
      </c>
      <c r="D1928" s="232" t="s">
        <v>103</v>
      </c>
      <c r="E1928" s="232" t="s">
        <v>109</v>
      </c>
      <c r="F1928" s="233"/>
      <c r="G1928" s="234"/>
      <c r="H1928" s="235">
        <v>15.07</v>
      </c>
      <c r="J1928" s="634"/>
      <c r="S1928" s="536"/>
      <c r="T1928" s="635"/>
    </row>
    <row r="1929" spans="1:20" s="298" customFormat="1" ht="25.5">
      <c r="A1929" s="256" t="s">
        <v>3259</v>
      </c>
      <c r="B1929" s="288">
        <v>88264</v>
      </c>
      <c r="C1929" s="289" t="s">
        <v>146</v>
      </c>
      <c r="D1929" s="290" t="s">
        <v>9714</v>
      </c>
      <c r="E1929" s="290" t="s">
        <v>206</v>
      </c>
      <c r="F1929" s="383">
        <v>0.2</v>
      </c>
      <c r="G1929" s="292" t="s">
        <v>16504</v>
      </c>
      <c r="H1929" s="255">
        <v>4.82</v>
      </c>
      <c r="J1929" s="634"/>
      <c r="S1929" s="536"/>
      <c r="T1929" s="635"/>
    </row>
    <row r="1930" spans="1:20" s="298" customFormat="1" ht="25.5">
      <c r="A1930" s="256" t="s">
        <v>3259</v>
      </c>
      <c r="B1930" s="374">
        <v>88247</v>
      </c>
      <c r="C1930" s="289" t="s">
        <v>145</v>
      </c>
      <c r="D1930" s="290" t="s">
        <v>9714</v>
      </c>
      <c r="E1930" s="290" t="s">
        <v>206</v>
      </c>
      <c r="F1930" s="383">
        <v>0.2</v>
      </c>
      <c r="G1930" s="292" t="s">
        <v>12206</v>
      </c>
      <c r="H1930" s="255">
        <v>3.74</v>
      </c>
      <c r="J1930" s="634"/>
      <c r="S1930" s="536"/>
      <c r="T1930" s="635"/>
    </row>
    <row r="1931" spans="1:20" s="298" customFormat="1" ht="25.5">
      <c r="A1931" s="256" t="s">
        <v>12</v>
      </c>
      <c r="B1931" s="288" t="s">
        <v>14538</v>
      </c>
      <c r="C1931" s="289" t="s">
        <v>15786</v>
      </c>
      <c r="D1931" s="290" t="s">
        <v>207</v>
      </c>
      <c r="E1931" s="290" t="s">
        <v>109</v>
      </c>
      <c r="F1931" s="383">
        <v>1</v>
      </c>
      <c r="G1931" s="292">
        <v>6.51</v>
      </c>
      <c r="H1931" s="255">
        <v>6.51</v>
      </c>
      <c r="J1931" s="634"/>
      <c r="S1931" s="536"/>
      <c r="T1931" s="635"/>
    </row>
    <row r="1932" spans="1:20" s="298" customFormat="1" ht="12.75">
      <c r="A1932" s="286"/>
      <c r="B1932" s="375" t="s">
        <v>143</v>
      </c>
      <c r="C1932" s="816" t="s">
        <v>16997</v>
      </c>
      <c r="D1932" s="817"/>
      <c r="E1932" s="817"/>
      <c r="F1932" s="817"/>
      <c r="G1932" s="817"/>
      <c r="H1932" s="818"/>
      <c r="J1932" s="634"/>
      <c r="S1932" s="536"/>
      <c r="T1932" s="635"/>
    </row>
    <row r="1933" spans="1:20" s="298" customFormat="1" ht="12.75">
      <c r="A1933" s="286"/>
      <c r="B1933" s="373"/>
      <c r="C1933" s="379"/>
      <c r="D1933" s="382"/>
      <c r="E1933" s="382"/>
      <c r="F1933" s="382"/>
      <c r="G1933" s="382"/>
      <c r="H1933" s="382"/>
      <c r="J1933" s="634"/>
      <c r="S1933" s="536"/>
      <c r="T1933" s="635"/>
    </row>
    <row r="1934" spans="1:20" s="298" customFormat="1" ht="38.25">
      <c r="A1934" s="286"/>
      <c r="B1934" s="372" t="s">
        <v>14401</v>
      </c>
      <c r="C1934" s="231" t="s">
        <v>17134</v>
      </c>
      <c r="D1934" s="232" t="s">
        <v>103</v>
      </c>
      <c r="E1934" s="232" t="s">
        <v>109</v>
      </c>
      <c r="F1934" s="233"/>
      <c r="G1934" s="234"/>
      <c r="H1934" s="235">
        <v>20.54</v>
      </c>
      <c r="J1934" s="634"/>
      <c r="S1934" s="536"/>
      <c r="T1934" s="635"/>
    </row>
    <row r="1935" spans="1:20" s="298" customFormat="1" ht="25.5">
      <c r="A1935" s="256" t="s">
        <v>3259</v>
      </c>
      <c r="B1935" s="288">
        <v>88264</v>
      </c>
      <c r="C1935" s="289" t="s">
        <v>146</v>
      </c>
      <c r="D1935" s="290" t="s">
        <v>9714</v>
      </c>
      <c r="E1935" s="290" t="s">
        <v>206</v>
      </c>
      <c r="F1935" s="383">
        <v>0.2</v>
      </c>
      <c r="G1935" s="292" t="s">
        <v>16504</v>
      </c>
      <c r="H1935" s="255">
        <v>4.82</v>
      </c>
      <c r="J1935" s="634"/>
      <c r="S1935" s="536"/>
      <c r="T1935" s="635"/>
    </row>
    <row r="1936" spans="1:20" s="298" customFormat="1" ht="25.5">
      <c r="A1936" s="256" t="s">
        <v>3259</v>
      </c>
      <c r="B1936" s="374">
        <v>88247</v>
      </c>
      <c r="C1936" s="289" t="s">
        <v>145</v>
      </c>
      <c r="D1936" s="290" t="s">
        <v>9714</v>
      </c>
      <c r="E1936" s="290" t="s">
        <v>206</v>
      </c>
      <c r="F1936" s="383">
        <v>0.2</v>
      </c>
      <c r="G1936" s="292" t="s">
        <v>12206</v>
      </c>
      <c r="H1936" s="255">
        <v>3.74</v>
      </c>
      <c r="J1936" s="634"/>
      <c r="S1936" s="536"/>
      <c r="T1936" s="635"/>
    </row>
    <row r="1937" spans="1:20" s="298" customFormat="1" ht="25.5">
      <c r="A1937" s="256" t="s">
        <v>12</v>
      </c>
      <c r="B1937" s="288" t="s">
        <v>14540</v>
      </c>
      <c r="C1937" s="289" t="s">
        <v>15787</v>
      </c>
      <c r="D1937" s="290" t="s">
        <v>207</v>
      </c>
      <c r="E1937" s="290" t="s">
        <v>109</v>
      </c>
      <c r="F1937" s="383">
        <v>1</v>
      </c>
      <c r="G1937" s="292">
        <v>11.98</v>
      </c>
      <c r="H1937" s="255">
        <v>11.98</v>
      </c>
      <c r="J1937" s="634"/>
      <c r="S1937" s="536"/>
      <c r="T1937" s="635"/>
    </row>
    <row r="1938" spans="1:20" s="298" customFormat="1" ht="12.75">
      <c r="A1938" s="286"/>
      <c r="B1938" s="375" t="s">
        <v>143</v>
      </c>
      <c r="C1938" s="816" t="s">
        <v>16997</v>
      </c>
      <c r="D1938" s="817"/>
      <c r="E1938" s="817"/>
      <c r="F1938" s="817"/>
      <c r="G1938" s="817"/>
      <c r="H1938" s="818"/>
      <c r="J1938" s="634"/>
      <c r="S1938" s="536"/>
      <c r="T1938" s="635"/>
    </row>
    <row r="1939" spans="1:20" s="298" customFormat="1" ht="12.75">
      <c r="A1939" s="286"/>
      <c r="B1939" s="373"/>
      <c r="C1939" s="379"/>
      <c r="D1939" s="382"/>
      <c r="E1939" s="382"/>
      <c r="F1939" s="382"/>
      <c r="G1939" s="382"/>
      <c r="H1939" s="382"/>
      <c r="J1939" s="634"/>
      <c r="S1939" s="536"/>
      <c r="T1939" s="635"/>
    </row>
    <row r="1940" spans="1:20" s="298" customFormat="1" ht="51">
      <c r="A1940" s="286"/>
      <c r="B1940" s="372" t="s">
        <v>14402</v>
      </c>
      <c r="C1940" s="231" t="s">
        <v>17137</v>
      </c>
      <c r="D1940" s="232" t="s">
        <v>103</v>
      </c>
      <c r="E1940" s="232" t="s">
        <v>5</v>
      </c>
      <c r="F1940" s="233"/>
      <c r="G1940" s="234"/>
      <c r="H1940" s="235">
        <v>38.86</v>
      </c>
      <c r="J1940" s="634"/>
      <c r="S1940" s="536"/>
      <c r="T1940" s="635"/>
    </row>
    <row r="1941" spans="1:20" s="298" customFormat="1" ht="25.5">
      <c r="A1941" s="256" t="s">
        <v>12</v>
      </c>
      <c r="B1941" s="288" t="s">
        <v>14421</v>
      </c>
      <c r="C1941" s="289" t="s">
        <v>15783</v>
      </c>
      <c r="D1941" s="290" t="s">
        <v>207</v>
      </c>
      <c r="E1941" s="290" t="s">
        <v>5</v>
      </c>
      <c r="F1941" s="383">
        <v>0.98199999999999998</v>
      </c>
      <c r="G1941" s="292">
        <v>17.956666666666667</v>
      </c>
      <c r="H1941" s="255">
        <v>17.63</v>
      </c>
      <c r="J1941" s="634"/>
      <c r="S1941" s="536"/>
      <c r="T1941" s="635"/>
    </row>
    <row r="1942" spans="1:20" s="298" customFormat="1" ht="25.5">
      <c r="A1942" s="256" t="s">
        <v>3259</v>
      </c>
      <c r="B1942" s="374">
        <v>88249</v>
      </c>
      <c r="C1942" s="289" t="s">
        <v>3051</v>
      </c>
      <c r="D1942" s="290" t="s">
        <v>9714</v>
      </c>
      <c r="E1942" s="290" t="s">
        <v>206</v>
      </c>
      <c r="F1942" s="383">
        <v>9.0999999999999998E-2</v>
      </c>
      <c r="G1942" s="292" t="s">
        <v>10374</v>
      </c>
      <c r="H1942" s="255">
        <v>2.72</v>
      </c>
      <c r="J1942" s="634"/>
      <c r="S1942" s="536"/>
      <c r="T1942" s="635"/>
    </row>
    <row r="1943" spans="1:20" s="298" customFormat="1" ht="25.5">
      <c r="A1943" s="256" t="s">
        <v>3259</v>
      </c>
      <c r="B1943" s="374">
        <v>88264</v>
      </c>
      <c r="C1943" s="289" t="s">
        <v>146</v>
      </c>
      <c r="D1943" s="290" t="s">
        <v>9714</v>
      </c>
      <c r="E1943" s="290" t="s">
        <v>206</v>
      </c>
      <c r="F1943" s="383">
        <v>9.0999999999999998E-2</v>
      </c>
      <c r="G1943" s="292" t="s">
        <v>16504</v>
      </c>
      <c r="H1943" s="255">
        <v>2.19</v>
      </c>
      <c r="J1943" s="634"/>
      <c r="S1943" s="536"/>
      <c r="T1943" s="635"/>
    </row>
    <row r="1944" spans="1:20" s="298" customFormat="1" ht="51">
      <c r="A1944" s="256" t="s">
        <v>14338</v>
      </c>
      <c r="B1944" s="374" t="s">
        <v>14349</v>
      </c>
      <c r="C1944" s="289" t="s">
        <v>14350</v>
      </c>
      <c r="D1944" s="290" t="s">
        <v>103</v>
      </c>
      <c r="E1944" s="290" t="s">
        <v>109</v>
      </c>
      <c r="F1944" s="383">
        <v>0.33300000000000002</v>
      </c>
      <c r="G1944" s="292">
        <v>41.21</v>
      </c>
      <c r="H1944" s="255">
        <v>13.72</v>
      </c>
      <c r="J1944" s="634"/>
      <c r="S1944" s="536"/>
      <c r="T1944" s="635"/>
    </row>
    <row r="1945" spans="1:20" s="298" customFormat="1" ht="76.5">
      <c r="A1945" s="256" t="s">
        <v>3259</v>
      </c>
      <c r="B1945" s="374">
        <v>91170</v>
      </c>
      <c r="C1945" s="289" t="s">
        <v>2426</v>
      </c>
      <c r="D1945" s="290" t="s">
        <v>229</v>
      </c>
      <c r="E1945" s="290" t="s">
        <v>5</v>
      </c>
      <c r="F1945" s="383">
        <v>1</v>
      </c>
      <c r="G1945" s="292" t="s">
        <v>11069</v>
      </c>
      <c r="H1945" s="255">
        <v>2.6</v>
      </c>
      <c r="J1945" s="634"/>
      <c r="S1945" s="536"/>
      <c r="T1945" s="635"/>
    </row>
    <row r="1946" spans="1:20" s="298" customFormat="1" ht="12.75">
      <c r="A1946" s="286"/>
      <c r="B1946" s="375" t="s">
        <v>143</v>
      </c>
      <c r="C1946" s="816" t="s">
        <v>16970</v>
      </c>
      <c r="D1946" s="817"/>
      <c r="E1946" s="817"/>
      <c r="F1946" s="817"/>
      <c r="G1946" s="817"/>
      <c r="H1946" s="818"/>
      <c r="J1946" s="634"/>
      <c r="S1946" s="536"/>
      <c r="T1946" s="635"/>
    </row>
    <row r="1947" spans="1:20" s="298" customFormat="1" ht="12.75">
      <c r="A1947" s="286"/>
      <c r="B1947" s="373"/>
      <c r="C1947" s="379"/>
      <c r="D1947" s="382"/>
      <c r="E1947" s="382"/>
      <c r="F1947" s="382"/>
      <c r="G1947" s="382"/>
      <c r="H1947" s="382"/>
      <c r="J1947" s="634"/>
      <c r="S1947" s="536"/>
      <c r="T1947" s="635"/>
    </row>
    <row r="1948" spans="1:20" s="298" customFormat="1" ht="51">
      <c r="A1948" s="286"/>
      <c r="B1948" s="372" t="s">
        <v>14403</v>
      </c>
      <c r="C1948" s="231" t="s">
        <v>17138</v>
      </c>
      <c r="D1948" s="232" t="s">
        <v>103</v>
      </c>
      <c r="E1948" s="232" t="s">
        <v>5</v>
      </c>
      <c r="F1948" s="233"/>
      <c r="G1948" s="234"/>
      <c r="H1948" s="235">
        <v>46.470000000000006</v>
      </c>
      <c r="J1948" s="634"/>
      <c r="S1948" s="536"/>
      <c r="T1948" s="635"/>
    </row>
    <row r="1949" spans="1:20" s="298" customFormat="1" ht="25.5">
      <c r="A1949" s="256" t="s">
        <v>12</v>
      </c>
      <c r="B1949" s="288" t="s">
        <v>14422</v>
      </c>
      <c r="C1949" s="289" t="s">
        <v>15784</v>
      </c>
      <c r="D1949" s="290" t="s">
        <v>207</v>
      </c>
      <c r="E1949" s="290" t="s">
        <v>5</v>
      </c>
      <c r="F1949" s="383">
        <v>0.99099999999999999</v>
      </c>
      <c r="G1949" s="292">
        <v>14.536666666666667</v>
      </c>
      <c r="H1949" s="255">
        <v>14.4</v>
      </c>
      <c r="J1949" s="634"/>
      <c r="S1949" s="536"/>
      <c r="T1949" s="635"/>
    </row>
    <row r="1950" spans="1:20" s="298" customFormat="1" ht="25.5">
      <c r="A1950" s="256" t="s">
        <v>3259</v>
      </c>
      <c r="B1950" s="374">
        <v>88249</v>
      </c>
      <c r="C1950" s="289" t="s">
        <v>3051</v>
      </c>
      <c r="D1950" s="290" t="s">
        <v>9714</v>
      </c>
      <c r="E1950" s="290" t="s">
        <v>206</v>
      </c>
      <c r="F1950" s="383">
        <v>6.3E-2</v>
      </c>
      <c r="G1950" s="292" t="s">
        <v>10374</v>
      </c>
      <c r="H1950" s="255">
        <v>1.88</v>
      </c>
      <c r="J1950" s="634"/>
      <c r="S1950" s="536"/>
      <c r="T1950" s="635"/>
    </row>
    <row r="1951" spans="1:20" s="298" customFormat="1" ht="25.5">
      <c r="A1951" s="256" t="s">
        <v>3259</v>
      </c>
      <c r="B1951" s="374">
        <v>88264</v>
      </c>
      <c r="C1951" s="289" t="s">
        <v>146</v>
      </c>
      <c r="D1951" s="290" t="s">
        <v>9714</v>
      </c>
      <c r="E1951" s="290" t="s">
        <v>206</v>
      </c>
      <c r="F1951" s="383">
        <v>6.3E-2</v>
      </c>
      <c r="G1951" s="292" t="s">
        <v>16504</v>
      </c>
      <c r="H1951" s="255">
        <v>1.51</v>
      </c>
      <c r="J1951" s="634"/>
      <c r="S1951" s="536"/>
      <c r="T1951" s="635"/>
    </row>
    <row r="1952" spans="1:20" s="298" customFormat="1" ht="51">
      <c r="A1952" s="256" t="s">
        <v>14338</v>
      </c>
      <c r="B1952" s="374" t="s">
        <v>14352</v>
      </c>
      <c r="C1952" s="289" t="s">
        <v>16980</v>
      </c>
      <c r="D1952" s="290" t="s">
        <v>103</v>
      </c>
      <c r="E1952" s="290" t="s">
        <v>109</v>
      </c>
      <c r="F1952" s="383">
        <v>0.33300000000000002</v>
      </c>
      <c r="G1952" s="292">
        <v>38.130000000000003</v>
      </c>
      <c r="H1952" s="255">
        <v>12.69</v>
      </c>
      <c r="J1952" s="634"/>
      <c r="S1952" s="536"/>
      <c r="T1952" s="635"/>
    </row>
    <row r="1953" spans="1:20" s="298" customFormat="1" ht="76.5">
      <c r="A1953" s="256" t="s">
        <v>3259</v>
      </c>
      <c r="B1953" s="374">
        <v>96562</v>
      </c>
      <c r="C1953" s="289" t="s">
        <v>10798</v>
      </c>
      <c r="D1953" s="290" t="s">
        <v>229</v>
      </c>
      <c r="E1953" s="290" t="s">
        <v>5</v>
      </c>
      <c r="F1953" s="383">
        <v>1</v>
      </c>
      <c r="G1953" s="292" t="s">
        <v>16503</v>
      </c>
      <c r="H1953" s="255">
        <v>15.99</v>
      </c>
      <c r="J1953" s="634"/>
      <c r="S1953" s="536"/>
      <c r="T1953" s="635"/>
    </row>
    <row r="1954" spans="1:20" s="298" customFormat="1" ht="12.75">
      <c r="A1954" s="286"/>
      <c r="B1954" s="375" t="s">
        <v>143</v>
      </c>
      <c r="C1954" s="816" t="s">
        <v>16979</v>
      </c>
      <c r="D1954" s="817"/>
      <c r="E1954" s="817"/>
      <c r="F1954" s="817"/>
      <c r="G1954" s="817"/>
      <c r="H1954" s="818"/>
      <c r="J1954" s="634"/>
      <c r="S1954" s="536"/>
      <c r="T1954" s="635"/>
    </row>
    <row r="1955" spans="1:20" s="298" customFormat="1" ht="12.75">
      <c r="A1955" s="286"/>
      <c r="B1955" s="373"/>
      <c r="C1955" s="379"/>
      <c r="D1955" s="382"/>
      <c r="E1955" s="382"/>
      <c r="F1955" s="382"/>
      <c r="G1955" s="382"/>
      <c r="H1955" s="382"/>
      <c r="J1955" s="634"/>
      <c r="S1955" s="536"/>
      <c r="T1955" s="635"/>
    </row>
    <row r="1956" spans="1:20" s="298" customFormat="1" ht="38.25">
      <c r="A1956" s="286"/>
      <c r="B1956" s="372" t="s">
        <v>14404</v>
      </c>
      <c r="C1956" s="231" t="s">
        <v>14575</v>
      </c>
      <c r="D1956" s="232" t="s">
        <v>103</v>
      </c>
      <c r="E1956" s="232" t="s">
        <v>3243</v>
      </c>
      <c r="F1956" s="233"/>
      <c r="G1956" s="234"/>
      <c r="H1956" s="235">
        <v>2.99</v>
      </c>
      <c r="J1956" s="634"/>
      <c r="S1956" s="536"/>
      <c r="T1956" s="635"/>
    </row>
    <row r="1957" spans="1:20" s="298" customFormat="1" ht="25.5">
      <c r="A1957" s="256" t="s">
        <v>3259</v>
      </c>
      <c r="B1957" s="288">
        <v>88264</v>
      </c>
      <c r="C1957" s="289" t="s">
        <v>146</v>
      </c>
      <c r="D1957" s="290" t="s">
        <v>9714</v>
      </c>
      <c r="E1957" s="290" t="s">
        <v>206</v>
      </c>
      <c r="F1957" s="383">
        <v>2.69E-2</v>
      </c>
      <c r="G1957" s="292" t="s">
        <v>16504</v>
      </c>
      <c r="H1957" s="255">
        <v>0.64</v>
      </c>
      <c r="J1957" s="634"/>
      <c r="S1957" s="536"/>
      <c r="T1957" s="635"/>
    </row>
    <row r="1958" spans="1:20" s="298" customFormat="1" ht="25.5">
      <c r="A1958" s="256" t="s">
        <v>3259</v>
      </c>
      <c r="B1958" s="374">
        <v>88247</v>
      </c>
      <c r="C1958" s="289" t="s">
        <v>145</v>
      </c>
      <c r="D1958" s="290" t="s">
        <v>9714</v>
      </c>
      <c r="E1958" s="290" t="s">
        <v>206</v>
      </c>
      <c r="F1958" s="383">
        <v>2.69E-2</v>
      </c>
      <c r="G1958" s="292" t="s">
        <v>12206</v>
      </c>
      <c r="H1958" s="255">
        <v>0.5</v>
      </c>
      <c r="J1958" s="634"/>
      <c r="S1958" s="536"/>
      <c r="T1958" s="635"/>
    </row>
    <row r="1959" spans="1:20" s="298" customFormat="1" ht="25.5">
      <c r="A1959" s="256" t="s">
        <v>3261</v>
      </c>
      <c r="B1959" s="288">
        <v>39599</v>
      </c>
      <c r="C1959" s="289" t="s">
        <v>5243</v>
      </c>
      <c r="D1959" s="290" t="s">
        <v>207</v>
      </c>
      <c r="E1959" s="290" t="s">
        <v>3243</v>
      </c>
      <c r="F1959" s="383">
        <v>1.05</v>
      </c>
      <c r="G1959" s="292" t="s">
        <v>10908</v>
      </c>
      <c r="H1959" s="255">
        <v>1.85</v>
      </c>
      <c r="J1959" s="634"/>
      <c r="S1959" s="536"/>
      <c r="T1959" s="635"/>
    </row>
    <row r="1960" spans="1:20" s="298" customFormat="1" ht="12.75">
      <c r="A1960" s="286"/>
      <c r="B1960" s="375" t="s">
        <v>143</v>
      </c>
      <c r="C1960" s="816" t="s">
        <v>14574</v>
      </c>
      <c r="D1960" s="817"/>
      <c r="E1960" s="817"/>
      <c r="F1960" s="817"/>
      <c r="G1960" s="817"/>
      <c r="H1960" s="818"/>
      <c r="J1960" s="634"/>
      <c r="S1960" s="536"/>
      <c r="T1960" s="635"/>
    </row>
    <row r="1961" spans="1:20" s="298" customFormat="1" ht="12.75">
      <c r="A1961" s="286"/>
      <c r="B1961" s="373"/>
      <c r="C1961" s="379"/>
      <c r="D1961" s="382"/>
      <c r="E1961" s="382"/>
      <c r="F1961" s="382"/>
      <c r="G1961" s="382"/>
      <c r="H1961" s="382"/>
      <c r="J1961" s="634"/>
      <c r="S1961" s="536"/>
      <c r="T1961" s="635"/>
    </row>
    <row r="1962" spans="1:20" s="298" customFormat="1" ht="25.5">
      <c r="A1962" s="286"/>
      <c r="B1962" s="372" t="s">
        <v>14409</v>
      </c>
      <c r="C1962" s="231" t="s">
        <v>17139</v>
      </c>
      <c r="D1962" s="232" t="s">
        <v>103</v>
      </c>
      <c r="E1962" s="232" t="s">
        <v>3243</v>
      </c>
      <c r="F1962" s="233"/>
      <c r="G1962" s="234"/>
      <c r="H1962" s="235">
        <v>2.54</v>
      </c>
      <c r="J1962" s="634"/>
      <c r="S1962" s="536"/>
      <c r="T1962" s="635"/>
    </row>
    <row r="1963" spans="1:20" s="298" customFormat="1" ht="25.5">
      <c r="A1963" s="256" t="s">
        <v>3259</v>
      </c>
      <c r="B1963" s="288">
        <v>88264</v>
      </c>
      <c r="C1963" s="289" t="s">
        <v>146</v>
      </c>
      <c r="D1963" s="290" t="s">
        <v>9714</v>
      </c>
      <c r="E1963" s="290" t="s">
        <v>206</v>
      </c>
      <c r="F1963" s="383">
        <v>2.69E-2</v>
      </c>
      <c r="G1963" s="292" t="s">
        <v>16504</v>
      </c>
      <c r="H1963" s="255">
        <v>0.64</v>
      </c>
      <c r="J1963" s="634"/>
      <c r="S1963" s="536"/>
      <c r="T1963" s="635"/>
    </row>
    <row r="1964" spans="1:20" s="298" customFormat="1" ht="25.5">
      <c r="A1964" s="256" t="s">
        <v>3259</v>
      </c>
      <c r="B1964" s="374">
        <v>88247</v>
      </c>
      <c r="C1964" s="289" t="s">
        <v>145</v>
      </c>
      <c r="D1964" s="290" t="s">
        <v>9714</v>
      </c>
      <c r="E1964" s="290" t="s">
        <v>206</v>
      </c>
      <c r="F1964" s="383">
        <v>2.69E-2</v>
      </c>
      <c r="G1964" s="292" t="s">
        <v>12206</v>
      </c>
      <c r="H1964" s="255">
        <v>0.5</v>
      </c>
      <c r="J1964" s="634"/>
      <c r="S1964" s="536"/>
      <c r="T1964" s="635"/>
    </row>
    <row r="1965" spans="1:20" s="298" customFormat="1" ht="12.75">
      <c r="A1965" s="256" t="s">
        <v>12</v>
      </c>
      <c r="B1965" s="288" t="s">
        <v>14392</v>
      </c>
      <c r="C1965" s="289" t="s">
        <v>15774</v>
      </c>
      <c r="D1965" s="290" t="s">
        <v>207</v>
      </c>
      <c r="E1965" s="290" t="s">
        <v>5</v>
      </c>
      <c r="F1965" s="383">
        <v>1.05</v>
      </c>
      <c r="G1965" s="292">
        <v>1.3383</v>
      </c>
      <c r="H1965" s="255">
        <v>1.4</v>
      </c>
      <c r="J1965" s="634"/>
      <c r="S1965" s="536"/>
      <c r="T1965" s="635"/>
    </row>
    <row r="1966" spans="1:20" s="298" customFormat="1" ht="12.75">
      <c r="A1966" s="286"/>
      <c r="B1966" s="375" t="s">
        <v>143</v>
      </c>
      <c r="C1966" s="816" t="s">
        <v>14574</v>
      </c>
      <c r="D1966" s="817"/>
      <c r="E1966" s="817"/>
      <c r="F1966" s="817"/>
      <c r="G1966" s="817"/>
      <c r="H1966" s="818"/>
      <c r="J1966" s="634"/>
      <c r="S1966" s="536"/>
      <c r="T1966" s="635"/>
    </row>
    <row r="1967" spans="1:20" s="298" customFormat="1" ht="12.75">
      <c r="A1967" s="286"/>
      <c r="B1967" s="373"/>
      <c r="C1967" s="379"/>
      <c r="D1967" s="382"/>
      <c r="E1967" s="382"/>
      <c r="F1967" s="382"/>
      <c r="G1967" s="382"/>
      <c r="H1967" s="382"/>
      <c r="J1967" s="634"/>
      <c r="S1967" s="536"/>
      <c r="T1967" s="635"/>
    </row>
    <row r="1968" spans="1:20" s="298" customFormat="1" ht="51">
      <c r="A1968" s="286"/>
      <c r="B1968" s="372" t="s">
        <v>14410</v>
      </c>
      <c r="C1968" s="231" t="s">
        <v>17140</v>
      </c>
      <c r="D1968" s="232" t="s">
        <v>103</v>
      </c>
      <c r="E1968" s="232" t="s">
        <v>109</v>
      </c>
      <c r="F1968" s="233"/>
      <c r="G1968" s="234"/>
      <c r="H1968" s="235">
        <v>20.82</v>
      </c>
      <c r="J1968" s="634"/>
      <c r="S1968" s="536"/>
      <c r="T1968" s="635"/>
    </row>
    <row r="1969" spans="1:68" s="298" customFormat="1" ht="25.5">
      <c r="A1969" s="256" t="s">
        <v>3259</v>
      </c>
      <c r="B1969" s="288">
        <v>88264</v>
      </c>
      <c r="C1969" s="289" t="s">
        <v>146</v>
      </c>
      <c r="D1969" s="290" t="s">
        <v>9714</v>
      </c>
      <c r="E1969" s="290" t="s">
        <v>206</v>
      </c>
      <c r="F1969" s="383">
        <v>0.3</v>
      </c>
      <c r="G1969" s="292" t="s">
        <v>16504</v>
      </c>
      <c r="H1969" s="255">
        <v>7.23</v>
      </c>
      <c r="J1969" s="634"/>
      <c r="S1969" s="536"/>
      <c r="T1969" s="635"/>
    </row>
    <row r="1970" spans="1:68" s="298" customFormat="1" ht="51">
      <c r="A1970" s="256" t="s">
        <v>3261</v>
      </c>
      <c r="B1970" s="288">
        <v>38084</v>
      </c>
      <c r="C1970" s="289" t="s">
        <v>8487</v>
      </c>
      <c r="D1970" s="290" t="s">
        <v>207</v>
      </c>
      <c r="E1970" s="290" t="s">
        <v>3240</v>
      </c>
      <c r="F1970" s="383">
        <v>1</v>
      </c>
      <c r="G1970" s="292" t="s">
        <v>18849</v>
      </c>
      <c r="H1970" s="255">
        <v>13.59</v>
      </c>
      <c r="J1970" s="634"/>
      <c r="S1970" s="536"/>
      <c r="T1970" s="635"/>
    </row>
    <row r="1971" spans="1:68" s="298" customFormat="1" ht="12.75">
      <c r="A1971" s="286"/>
      <c r="B1971" s="375" t="s">
        <v>143</v>
      </c>
      <c r="C1971" s="816" t="s">
        <v>14557</v>
      </c>
      <c r="D1971" s="817"/>
      <c r="E1971" s="817"/>
      <c r="F1971" s="817"/>
      <c r="G1971" s="817"/>
      <c r="H1971" s="818"/>
      <c r="J1971" s="634"/>
      <c r="S1971" s="536"/>
      <c r="T1971" s="635"/>
    </row>
    <row r="1972" spans="1:68" s="298" customFormat="1" ht="12.75">
      <c r="A1972" s="286"/>
      <c r="B1972" s="373"/>
      <c r="C1972" s="379"/>
      <c r="D1972" s="382"/>
      <c r="E1972" s="382"/>
      <c r="F1972" s="382"/>
      <c r="G1972" s="382"/>
      <c r="H1972" s="382"/>
      <c r="J1972" s="634"/>
      <c r="S1972" s="536"/>
      <c r="T1972" s="635"/>
    </row>
    <row r="1973" spans="1:68" s="298" customFormat="1" ht="51">
      <c r="A1973" s="286"/>
      <c r="B1973" s="372" t="s">
        <v>14411</v>
      </c>
      <c r="C1973" s="231" t="s">
        <v>17156</v>
      </c>
      <c r="D1973" s="232" t="s">
        <v>103</v>
      </c>
      <c r="E1973" s="232" t="s">
        <v>109</v>
      </c>
      <c r="F1973" s="233"/>
      <c r="G1973" s="234"/>
      <c r="H1973" s="235">
        <v>58.25</v>
      </c>
      <c r="J1973" s="634"/>
      <c r="S1973" s="536"/>
      <c r="T1973" s="635"/>
    </row>
    <row r="1974" spans="1:68" s="298" customFormat="1" ht="25.5">
      <c r="A1974" s="256" t="s">
        <v>3259</v>
      </c>
      <c r="B1974" s="288">
        <v>88264</v>
      </c>
      <c r="C1974" s="289" t="s">
        <v>146</v>
      </c>
      <c r="D1974" s="290" t="s">
        <v>9714</v>
      </c>
      <c r="E1974" s="290" t="s">
        <v>206</v>
      </c>
      <c r="F1974" s="383">
        <v>0.20619999999999999</v>
      </c>
      <c r="G1974" s="292" t="s">
        <v>16504</v>
      </c>
      <c r="H1974" s="255">
        <v>4.96</v>
      </c>
      <c r="J1974" s="634"/>
      <c r="S1974" s="536"/>
      <c r="T1974" s="635"/>
    </row>
    <row r="1975" spans="1:68" s="298" customFormat="1" ht="25.5">
      <c r="A1975" s="256" t="s">
        <v>3259</v>
      </c>
      <c r="B1975" s="374">
        <v>88247</v>
      </c>
      <c r="C1975" s="289" t="s">
        <v>145</v>
      </c>
      <c r="D1975" s="290" t="s">
        <v>9714</v>
      </c>
      <c r="E1975" s="290" t="s">
        <v>206</v>
      </c>
      <c r="F1975" s="383">
        <v>0.20619999999999999</v>
      </c>
      <c r="G1975" s="292" t="s">
        <v>12206</v>
      </c>
      <c r="H1975" s="255">
        <v>3.86</v>
      </c>
      <c r="J1975" s="634"/>
      <c r="S1975" s="536"/>
      <c r="T1975" s="635"/>
    </row>
    <row r="1976" spans="1:68" s="298" customFormat="1" ht="25.5">
      <c r="A1976" s="256" t="s">
        <v>12</v>
      </c>
      <c r="B1976" s="288" t="s">
        <v>14571</v>
      </c>
      <c r="C1976" s="289" t="s">
        <v>17144</v>
      </c>
      <c r="D1976" s="290" t="s">
        <v>207</v>
      </c>
      <c r="E1976" s="290" t="s">
        <v>109</v>
      </c>
      <c r="F1976" s="383">
        <v>1</v>
      </c>
      <c r="G1976" s="292">
        <v>21.3</v>
      </c>
      <c r="H1976" s="255">
        <v>21.3</v>
      </c>
      <c r="J1976" s="634"/>
      <c r="S1976" s="536"/>
      <c r="T1976" s="635"/>
    </row>
    <row r="1977" spans="1:68" s="298" customFormat="1" ht="25.5">
      <c r="A1977" s="256" t="s">
        <v>3261</v>
      </c>
      <c r="B1977" s="288">
        <v>38104</v>
      </c>
      <c r="C1977" s="289" t="s">
        <v>8490</v>
      </c>
      <c r="D1977" s="290" t="s">
        <v>207</v>
      </c>
      <c r="E1977" s="290" t="s">
        <v>3240</v>
      </c>
      <c r="F1977" s="383">
        <v>1</v>
      </c>
      <c r="G1977" s="292" t="s">
        <v>16099</v>
      </c>
      <c r="H1977" s="255">
        <v>28.13</v>
      </c>
      <c r="J1977" s="634"/>
      <c r="S1977" s="536"/>
      <c r="T1977" s="635"/>
    </row>
    <row r="1978" spans="1:68" s="298" customFormat="1" ht="12.75">
      <c r="A1978" s="286"/>
      <c r="B1978" s="375" t="s">
        <v>143</v>
      </c>
      <c r="C1978" s="816" t="s">
        <v>17157</v>
      </c>
      <c r="D1978" s="817"/>
      <c r="E1978" s="817"/>
      <c r="F1978" s="817"/>
      <c r="G1978" s="817"/>
      <c r="H1978" s="818"/>
      <c r="J1978" s="634"/>
      <c r="S1978" s="536"/>
      <c r="T1978" s="635"/>
    </row>
    <row r="1979" spans="1:68" s="298" customFormat="1" ht="12.75">
      <c r="A1979" s="286"/>
      <c r="B1979" s="373"/>
      <c r="C1979" s="379"/>
      <c r="D1979" s="382"/>
      <c r="E1979" s="382"/>
      <c r="F1979" s="382"/>
      <c r="G1979" s="382"/>
      <c r="H1979" s="382"/>
      <c r="J1979" s="634"/>
      <c r="S1979" s="536"/>
      <c r="T1979" s="635"/>
    </row>
    <row r="1980" spans="1:68" s="298" customFormat="1" ht="63.75">
      <c r="A1980" s="286"/>
      <c r="B1980" s="372" t="s">
        <v>14412</v>
      </c>
      <c r="C1980" s="581" t="s">
        <v>17158</v>
      </c>
      <c r="D1980" s="232" t="s">
        <v>103</v>
      </c>
      <c r="E1980" s="232" t="s">
        <v>109</v>
      </c>
      <c r="F1980" s="233"/>
      <c r="G1980" s="234"/>
      <c r="H1980" s="235">
        <v>886.61</v>
      </c>
      <c r="J1980" s="521"/>
      <c r="L1980" s="256"/>
      <c r="M1980" s="256"/>
      <c r="N1980" s="256"/>
      <c r="O1980" s="256"/>
      <c r="S1980" s="536"/>
      <c r="T1980" s="635"/>
    </row>
    <row r="1981" spans="1:68" s="298" customFormat="1" ht="63.75">
      <c r="A1981" s="256" t="s">
        <v>12</v>
      </c>
      <c r="B1981" s="288" t="s">
        <v>14390</v>
      </c>
      <c r="C1981" s="289" t="s">
        <v>15772</v>
      </c>
      <c r="D1981" s="290" t="s">
        <v>207</v>
      </c>
      <c r="E1981" s="290" t="s">
        <v>109</v>
      </c>
      <c r="F1981" s="383">
        <v>1</v>
      </c>
      <c r="G1981" s="292">
        <v>854.1</v>
      </c>
      <c r="H1981" s="255">
        <v>854.1</v>
      </c>
      <c r="J1981" s="521"/>
      <c r="L1981" s="256"/>
      <c r="M1981" s="256"/>
      <c r="N1981" s="256"/>
      <c r="O1981" s="256"/>
      <c r="S1981" s="536"/>
      <c r="T1981" s="635"/>
    </row>
    <row r="1982" spans="1:68" s="298" customFormat="1" ht="25.5">
      <c r="A1982" s="256" t="s">
        <v>3259</v>
      </c>
      <c r="B1982" s="374">
        <v>88266</v>
      </c>
      <c r="C1982" s="289" t="s">
        <v>3060</v>
      </c>
      <c r="D1982" s="290" t="s">
        <v>9714</v>
      </c>
      <c r="E1982" s="290" t="s">
        <v>206</v>
      </c>
      <c r="F1982" s="383">
        <v>1</v>
      </c>
      <c r="G1982" s="292" t="s">
        <v>24383</v>
      </c>
      <c r="H1982" s="255">
        <v>32.51</v>
      </c>
      <c r="J1982" s="634"/>
      <c r="S1982" s="536"/>
      <c r="T1982" s="635"/>
    </row>
    <row r="1983" spans="1:68" s="298" customFormat="1">
      <c r="A1983" s="256"/>
      <c r="B1983" s="288" t="s">
        <v>143</v>
      </c>
      <c r="C1983" s="238" t="s">
        <v>14576</v>
      </c>
      <c r="D1983" s="386"/>
      <c r="E1983" s="386"/>
      <c r="F1983" s="386"/>
      <c r="G1983" s="386"/>
      <c r="H1983" s="387"/>
      <c r="J1983" s="521"/>
      <c r="L1983" s="648"/>
      <c r="M1983" s="648"/>
      <c r="S1983" s="536"/>
      <c r="T1983" s="635"/>
    </row>
    <row r="1984" spans="1:68" s="529" customFormat="1" ht="12.75">
      <c r="A1984" s="286"/>
      <c r="B1984" s="293"/>
      <c r="C1984" s="229"/>
      <c r="D1984" s="230"/>
      <c r="E1984" s="230"/>
      <c r="F1984" s="230"/>
      <c r="G1984" s="230"/>
      <c r="H1984" s="230"/>
      <c r="I1984" s="298"/>
      <c r="J1984" s="521"/>
      <c r="K1984" s="298"/>
      <c r="L1984" s="298"/>
      <c r="M1984" s="298"/>
      <c r="N1984" s="298"/>
      <c r="O1984" s="298"/>
      <c r="P1984" s="298"/>
      <c r="Q1984" s="298"/>
      <c r="R1984" s="298"/>
      <c r="S1984" s="536"/>
      <c r="T1984" s="635"/>
      <c r="U1984" s="298"/>
      <c r="V1984" s="298"/>
      <c r="W1984" s="298"/>
      <c r="X1984" s="298"/>
      <c r="Y1984" s="298"/>
      <c r="Z1984" s="298"/>
      <c r="AA1984" s="298"/>
      <c r="AB1984" s="298"/>
      <c r="AC1984" s="298"/>
      <c r="AD1984" s="298"/>
      <c r="AE1984" s="298"/>
      <c r="AF1984" s="298"/>
      <c r="AG1984" s="298"/>
      <c r="AH1984" s="298"/>
      <c r="AI1984" s="298"/>
      <c r="AJ1984" s="298"/>
      <c r="AK1984" s="298"/>
      <c r="AL1984" s="298"/>
      <c r="AM1984" s="298"/>
      <c r="AN1984" s="298"/>
      <c r="AO1984" s="298"/>
      <c r="AP1984" s="298"/>
      <c r="AQ1984" s="298"/>
      <c r="AR1984" s="298"/>
      <c r="AS1984" s="298"/>
      <c r="AT1984" s="298"/>
      <c r="AU1984" s="298"/>
      <c r="AV1984" s="298"/>
      <c r="AW1984" s="298"/>
      <c r="AX1984" s="298"/>
      <c r="AY1984" s="298"/>
      <c r="AZ1984" s="298"/>
      <c r="BA1984" s="298"/>
      <c r="BB1984" s="298"/>
      <c r="BC1984" s="298"/>
      <c r="BD1984" s="298"/>
      <c r="BE1984" s="298"/>
      <c r="BF1984" s="298"/>
      <c r="BG1984" s="298"/>
      <c r="BH1984" s="298"/>
      <c r="BI1984" s="298"/>
      <c r="BJ1984" s="298"/>
      <c r="BK1984" s="298"/>
      <c r="BL1984" s="298"/>
      <c r="BM1984" s="298"/>
      <c r="BN1984" s="298"/>
      <c r="BO1984" s="298"/>
      <c r="BP1984" s="298"/>
    </row>
    <row r="1985" spans="1:68" s="298" customFormat="1" ht="25.5">
      <c r="A1985" s="286"/>
      <c r="B1985" s="372" t="s">
        <v>14413</v>
      </c>
      <c r="C1985" s="581" t="s">
        <v>18444</v>
      </c>
      <c r="D1985" s="232" t="s">
        <v>103</v>
      </c>
      <c r="E1985" s="232" t="s">
        <v>109</v>
      </c>
      <c r="F1985" s="233"/>
      <c r="G1985" s="234"/>
      <c r="H1985" s="235">
        <v>1942.41</v>
      </c>
      <c r="J1985" s="521"/>
      <c r="L1985" s="256"/>
      <c r="M1985" s="256"/>
      <c r="N1985" s="256"/>
      <c r="O1985" s="256"/>
      <c r="S1985" s="536"/>
      <c r="T1985" s="635"/>
    </row>
    <row r="1986" spans="1:68" s="298" customFormat="1" ht="12.75">
      <c r="A1986" s="256" t="s">
        <v>12</v>
      </c>
      <c r="B1986" s="288" t="s">
        <v>14416</v>
      </c>
      <c r="C1986" s="289" t="s">
        <v>18443</v>
      </c>
      <c r="D1986" s="290" t="s">
        <v>207</v>
      </c>
      <c r="E1986" s="290" t="s">
        <v>109</v>
      </c>
      <c r="F1986" s="383">
        <v>1</v>
      </c>
      <c r="G1986" s="292">
        <v>1909.9</v>
      </c>
      <c r="H1986" s="255">
        <v>1909.9</v>
      </c>
      <c r="J1986" s="521"/>
      <c r="L1986" s="256"/>
      <c r="M1986" s="256"/>
      <c r="N1986" s="256"/>
      <c r="O1986" s="256"/>
      <c r="S1986" s="536"/>
      <c r="T1986" s="635"/>
    </row>
    <row r="1987" spans="1:68" s="298" customFormat="1" ht="25.5">
      <c r="A1987" s="256" t="s">
        <v>3259</v>
      </c>
      <c r="B1987" s="374">
        <v>88266</v>
      </c>
      <c r="C1987" s="289" t="s">
        <v>3060</v>
      </c>
      <c r="D1987" s="290" t="s">
        <v>9714</v>
      </c>
      <c r="E1987" s="290" t="s">
        <v>206</v>
      </c>
      <c r="F1987" s="383">
        <v>1</v>
      </c>
      <c r="G1987" s="292" t="s">
        <v>24383</v>
      </c>
      <c r="H1987" s="255">
        <v>32.51</v>
      </c>
      <c r="J1987" s="634"/>
      <c r="S1987" s="536"/>
      <c r="T1987" s="635"/>
    </row>
    <row r="1988" spans="1:68" s="298" customFormat="1">
      <c r="A1988" s="256"/>
      <c r="B1988" s="288" t="s">
        <v>143</v>
      </c>
      <c r="C1988" s="238" t="s">
        <v>17161</v>
      </c>
      <c r="D1988" s="386"/>
      <c r="E1988" s="386"/>
      <c r="F1988" s="386"/>
      <c r="G1988" s="386"/>
      <c r="H1988" s="387"/>
      <c r="J1988" s="521"/>
      <c r="L1988" s="648"/>
      <c r="M1988" s="648"/>
      <c r="S1988" s="536"/>
      <c r="T1988" s="635"/>
    </row>
    <row r="1989" spans="1:68" s="529" customFormat="1" ht="12.75">
      <c r="A1989" s="286"/>
      <c r="B1989" s="293"/>
      <c r="C1989" s="229"/>
      <c r="D1989" s="230"/>
      <c r="E1989" s="230"/>
      <c r="F1989" s="230"/>
      <c r="G1989" s="230"/>
      <c r="H1989" s="230"/>
      <c r="I1989" s="298"/>
      <c r="J1989" s="521"/>
      <c r="K1989" s="298"/>
      <c r="L1989" s="298"/>
      <c r="M1989" s="298"/>
      <c r="N1989" s="298"/>
      <c r="O1989" s="298"/>
      <c r="P1989" s="298"/>
      <c r="Q1989" s="298"/>
      <c r="R1989" s="298"/>
      <c r="S1989" s="536"/>
      <c r="T1989" s="635"/>
      <c r="U1989" s="298"/>
      <c r="V1989" s="298"/>
      <c r="W1989" s="298"/>
      <c r="X1989" s="298"/>
      <c r="Y1989" s="298"/>
      <c r="Z1989" s="298"/>
      <c r="AA1989" s="298"/>
      <c r="AB1989" s="298"/>
      <c r="AC1989" s="298"/>
      <c r="AD1989" s="298"/>
      <c r="AE1989" s="298"/>
      <c r="AF1989" s="298"/>
      <c r="AG1989" s="298"/>
      <c r="AH1989" s="298"/>
      <c r="AI1989" s="298"/>
      <c r="AJ1989" s="298"/>
      <c r="AK1989" s="298"/>
      <c r="AL1989" s="298"/>
      <c r="AM1989" s="298"/>
      <c r="AN1989" s="298"/>
      <c r="AO1989" s="298"/>
      <c r="AP1989" s="298"/>
      <c r="AQ1989" s="298"/>
      <c r="AR1989" s="298"/>
      <c r="AS1989" s="298"/>
      <c r="AT1989" s="298"/>
      <c r="AU1989" s="298"/>
      <c r="AV1989" s="298"/>
      <c r="AW1989" s="298"/>
      <c r="AX1989" s="298"/>
      <c r="AY1989" s="298"/>
      <c r="AZ1989" s="298"/>
      <c r="BA1989" s="298"/>
      <c r="BB1989" s="298"/>
      <c r="BC1989" s="298"/>
      <c r="BD1989" s="298"/>
      <c r="BE1989" s="298"/>
      <c r="BF1989" s="298"/>
      <c r="BG1989" s="298"/>
      <c r="BH1989" s="298"/>
      <c r="BI1989" s="298"/>
      <c r="BJ1989" s="298"/>
      <c r="BK1989" s="298"/>
      <c r="BL1989" s="298"/>
      <c r="BM1989" s="298"/>
      <c r="BN1989" s="298"/>
      <c r="BO1989" s="298"/>
      <c r="BP1989" s="298"/>
    </row>
    <row r="1990" spans="1:68" s="298" customFormat="1" ht="76.5">
      <c r="A1990" s="286"/>
      <c r="B1990" s="372" t="s">
        <v>14414</v>
      </c>
      <c r="C1990" s="581" t="s">
        <v>14546</v>
      </c>
      <c r="D1990" s="232" t="s">
        <v>103</v>
      </c>
      <c r="E1990" s="232" t="s">
        <v>109</v>
      </c>
      <c r="F1990" s="233"/>
      <c r="G1990" s="234"/>
      <c r="H1990" s="235">
        <v>70.509999999999991</v>
      </c>
      <c r="J1990" s="521"/>
      <c r="L1990" s="256"/>
      <c r="M1990" s="256"/>
      <c r="N1990" s="256"/>
      <c r="O1990" s="256"/>
      <c r="S1990" s="536"/>
      <c r="T1990" s="635"/>
    </row>
    <row r="1991" spans="1:68" s="298" customFormat="1" ht="63.75">
      <c r="A1991" s="256" t="s">
        <v>12</v>
      </c>
      <c r="B1991" s="288" t="s">
        <v>14407</v>
      </c>
      <c r="C1991" s="289" t="s">
        <v>14544</v>
      </c>
      <c r="D1991" s="290" t="s">
        <v>207</v>
      </c>
      <c r="E1991" s="290" t="s">
        <v>109</v>
      </c>
      <c r="F1991" s="383">
        <v>1</v>
      </c>
      <c r="G1991" s="292">
        <v>38</v>
      </c>
      <c r="H1991" s="255">
        <v>38</v>
      </c>
      <c r="J1991" s="521"/>
      <c r="L1991" s="256"/>
      <c r="M1991" s="256"/>
      <c r="N1991" s="256"/>
      <c r="O1991" s="256"/>
      <c r="S1991" s="536"/>
      <c r="T1991" s="635"/>
    </row>
    <row r="1992" spans="1:68" s="298" customFormat="1" ht="25.5">
      <c r="A1992" s="256" t="s">
        <v>3259</v>
      </c>
      <c r="B1992" s="374">
        <v>88266</v>
      </c>
      <c r="C1992" s="289" t="s">
        <v>3060</v>
      </c>
      <c r="D1992" s="290" t="s">
        <v>9714</v>
      </c>
      <c r="E1992" s="290" t="s">
        <v>206</v>
      </c>
      <c r="F1992" s="383">
        <v>1</v>
      </c>
      <c r="G1992" s="292" t="s">
        <v>24383</v>
      </c>
      <c r="H1992" s="255">
        <v>32.51</v>
      </c>
      <c r="J1992" s="634"/>
      <c r="S1992" s="536"/>
      <c r="T1992" s="635"/>
    </row>
    <row r="1993" spans="1:68" s="298" customFormat="1">
      <c r="A1993" s="256"/>
      <c r="B1993" s="288" t="s">
        <v>143</v>
      </c>
      <c r="C1993" s="238" t="s">
        <v>17161</v>
      </c>
      <c r="D1993" s="386"/>
      <c r="E1993" s="386"/>
      <c r="F1993" s="386"/>
      <c r="G1993" s="386"/>
      <c r="H1993" s="387"/>
      <c r="J1993" s="521"/>
      <c r="L1993" s="648"/>
      <c r="M1993" s="648"/>
      <c r="S1993" s="536"/>
      <c r="T1993" s="635"/>
    </row>
    <row r="1994" spans="1:68" s="529" customFormat="1" ht="12.75">
      <c r="A1994" s="286"/>
      <c r="B1994" s="293"/>
      <c r="C1994" s="229"/>
      <c r="D1994" s="230"/>
      <c r="E1994" s="230"/>
      <c r="F1994" s="230"/>
      <c r="G1994" s="230"/>
      <c r="H1994" s="230"/>
      <c r="I1994" s="298"/>
      <c r="J1994" s="521"/>
      <c r="K1994" s="298"/>
      <c r="L1994" s="298"/>
      <c r="M1994" s="298"/>
      <c r="N1994" s="298"/>
      <c r="O1994" s="298"/>
      <c r="P1994" s="298"/>
      <c r="Q1994" s="298"/>
      <c r="R1994" s="298"/>
      <c r="S1994" s="536"/>
      <c r="T1994" s="635"/>
      <c r="U1994" s="298"/>
      <c r="V1994" s="298"/>
      <c r="W1994" s="298"/>
      <c r="X1994" s="298"/>
      <c r="Y1994" s="298"/>
      <c r="Z1994" s="298"/>
      <c r="AA1994" s="298"/>
      <c r="AB1994" s="298"/>
      <c r="AC1994" s="298"/>
      <c r="AD1994" s="298"/>
      <c r="AE1994" s="298"/>
      <c r="AF1994" s="298"/>
      <c r="AG1994" s="298"/>
      <c r="AH1994" s="298"/>
      <c r="AI1994" s="298"/>
      <c r="AJ1994" s="298"/>
      <c r="AK1994" s="298"/>
      <c r="AL1994" s="298"/>
      <c r="AM1994" s="298"/>
      <c r="AN1994" s="298"/>
      <c r="AO1994" s="298"/>
      <c r="AP1994" s="298"/>
      <c r="AQ1994" s="298"/>
      <c r="AR1994" s="298"/>
      <c r="AS1994" s="298"/>
      <c r="AT1994" s="298"/>
      <c r="AU1994" s="298"/>
      <c r="AV1994" s="298"/>
      <c r="AW1994" s="298"/>
      <c r="AX1994" s="298"/>
      <c r="AY1994" s="298"/>
      <c r="AZ1994" s="298"/>
      <c r="BA1994" s="298"/>
      <c r="BB1994" s="298"/>
      <c r="BC1994" s="298"/>
      <c r="BD1994" s="298"/>
      <c r="BE1994" s="298"/>
      <c r="BF1994" s="298"/>
      <c r="BG1994" s="298"/>
      <c r="BH1994" s="298"/>
      <c r="BI1994" s="298"/>
      <c r="BJ1994" s="298"/>
      <c r="BK1994" s="298"/>
      <c r="BL1994" s="298"/>
      <c r="BM1994" s="298"/>
      <c r="BN1994" s="298"/>
      <c r="BO1994" s="298"/>
      <c r="BP1994" s="298"/>
    </row>
    <row r="1995" spans="1:68" s="298" customFormat="1" ht="76.5">
      <c r="A1995" s="286"/>
      <c r="B1995" s="372" t="s">
        <v>14415</v>
      </c>
      <c r="C1995" s="581" t="s">
        <v>17166</v>
      </c>
      <c r="D1995" s="232" t="s">
        <v>103</v>
      </c>
      <c r="E1995" s="232" t="s">
        <v>109</v>
      </c>
      <c r="F1995" s="233"/>
      <c r="G1995" s="234"/>
      <c r="H1995" s="235">
        <v>1171.08</v>
      </c>
      <c r="J1995" s="521"/>
      <c r="L1995" s="256"/>
      <c r="M1995" s="256"/>
      <c r="N1995" s="256"/>
      <c r="O1995" s="256"/>
      <c r="S1995" s="536"/>
      <c r="T1995" s="635"/>
    </row>
    <row r="1996" spans="1:68" s="298" customFormat="1" ht="63.75">
      <c r="A1996" s="256" t="s">
        <v>12</v>
      </c>
      <c r="B1996" s="288" t="s">
        <v>14391</v>
      </c>
      <c r="C1996" s="289" t="s">
        <v>15773</v>
      </c>
      <c r="D1996" s="290" t="s">
        <v>207</v>
      </c>
      <c r="E1996" s="290" t="s">
        <v>109</v>
      </c>
      <c r="F1996" s="383">
        <v>1</v>
      </c>
      <c r="G1996" s="292">
        <v>911</v>
      </c>
      <c r="H1996" s="255">
        <v>911</v>
      </c>
      <c r="J1996" s="521"/>
      <c r="L1996" s="256"/>
      <c r="M1996" s="256"/>
      <c r="N1996" s="256"/>
      <c r="O1996" s="256"/>
      <c r="S1996" s="536"/>
      <c r="T1996" s="635"/>
    </row>
    <row r="1997" spans="1:68" s="298" customFormat="1" ht="25.5">
      <c r="A1997" s="256" t="s">
        <v>3259</v>
      </c>
      <c r="B1997" s="374">
        <v>88266</v>
      </c>
      <c r="C1997" s="289" t="s">
        <v>3060</v>
      </c>
      <c r="D1997" s="290" t="s">
        <v>9714</v>
      </c>
      <c r="E1997" s="290" t="s">
        <v>206</v>
      </c>
      <c r="F1997" s="383">
        <v>8</v>
      </c>
      <c r="G1997" s="292" t="s">
        <v>24383</v>
      </c>
      <c r="H1997" s="255">
        <v>260.08</v>
      </c>
      <c r="J1997" s="521"/>
      <c r="L1997" s="256"/>
      <c r="M1997" s="256"/>
      <c r="N1997" s="256"/>
      <c r="O1997" s="256"/>
      <c r="S1997" s="536"/>
      <c r="T1997" s="635"/>
    </row>
    <row r="1998" spans="1:68" s="298" customFormat="1">
      <c r="A1998" s="256"/>
      <c r="B1998" s="288" t="s">
        <v>143</v>
      </c>
      <c r="C1998" s="238" t="s">
        <v>14572</v>
      </c>
      <c r="D1998" s="386"/>
      <c r="E1998" s="386"/>
      <c r="F1998" s="386"/>
      <c r="G1998" s="386"/>
      <c r="H1998" s="387"/>
      <c r="J1998" s="521"/>
      <c r="L1998" s="648"/>
      <c r="M1998" s="648"/>
      <c r="S1998" s="536"/>
      <c r="T1998" s="635"/>
    </row>
    <row r="1999" spans="1:68" s="529" customFormat="1" ht="12.75">
      <c r="A1999" s="286"/>
      <c r="B1999" s="293"/>
      <c r="C1999" s="229"/>
      <c r="D1999" s="230"/>
      <c r="E1999" s="230"/>
      <c r="F1999" s="230"/>
      <c r="G1999" s="230"/>
      <c r="H1999" s="230"/>
      <c r="I1999" s="298"/>
      <c r="J1999" s="521"/>
      <c r="K1999" s="298"/>
      <c r="L1999" s="298"/>
      <c r="M1999" s="298"/>
      <c r="N1999" s="298"/>
      <c r="O1999" s="298"/>
      <c r="P1999" s="298"/>
      <c r="Q1999" s="298"/>
      <c r="R1999" s="298"/>
      <c r="S1999" s="536"/>
      <c r="T1999" s="635"/>
      <c r="U1999" s="298"/>
      <c r="V1999" s="298"/>
      <c r="W1999" s="298"/>
      <c r="X1999" s="298"/>
      <c r="Y1999" s="298"/>
      <c r="Z1999" s="298"/>
      <c r="AA1999" s="298"/>
      <c r="AB1999" s="298"/>
      <c r="AC1999" s="298"/>
      <c r="AD1999" s="298"/>
      <c r="AE1999" s="298"/>
      <c r="AF1999" s="298"/>
      <c r="AG1999" s="298"/>
      <c r="AH1999" s="298"/>
      <c r="AI1999" s="298"/>
      <c r="AJ1999" s="298"/>
      <c r="AK1999" s="298"/>
      <c r="AL1999" s="298"/>
      <c r="AM1999" s="298"/>
      <c r="AN1999" s="298"/>
      <c r="AO1999" s="298"/>
      <c r="AP1999" s="298"/>
      <c r="AQ1999" s="298"/>
      <c r="AR1999" s="298"/>
      <c r="AS1999" s="298"/>
      <c r="AT1999" s="298"/>
      <c r="AU1999" s="298"/>
      <c r="AV1999" s="298"/>
      <c r="AW1999" s="298"/>
      <c r="AX1999" s="298"/>
      <c r="AY1999" s="298"/>
      <c r="AZ1999" s="298"/>
      <c r="BA1999" s="298"/>
      <c r="BB1999" s="298"/>
      <c r="BC1999" s="298"/>
      <c r="BD1999" s="298"/>
      <c r="BE1999" s="298"/>
      <c r="BF1999" s="298"/>
      <c r="BG1999" s="298"/>
      <c r="BH1999" s="298"/>
      <c r="BI1999" s="298"/>
      <c r="BJ1999" s="298"/>
      <c r="BK1999" s="298"/>
      <c r="BL1999" s="298"/>
      <c r="BM1999" s="298"/>
      <c r="BN1999" s="298"/>
      <c r="BO1999" s="298"/>
      <c r="BP1999" s="298"/>
    </row>
    <row r="2000" spans="1:68" s="298" customFormat="1" ht="76.5">
      <c r="A2000" s="286"/>
      <c r="B2000" s="372" t="s">
        <v>14424</v>
      </c>
      <c r="C2000" s="581" t="s">
        <v>18448</v>
      </c>
      <c r="D2000" s="232" t="s">
        <v>103</v>
      </c>
      <c r="E2000" s="232" t="s">
        <v>109</v>
      </c>
      <c r="F2000" s="233"/>
      <c r="G2000" s="234"/>
      <c r="H2000" s="235">
        <v>2710.08</v>
      </c>
      <c r="J2000" s="521"/>
      <c r="L2000" s="256"/>
      <c r="M2000" s="256"/>
      <c r="N2000" s="256"/>
      <c r="O2000" s="256"/>
      <c r="S2000" s="536"/>
      <c r="T2000" s="635"/>
    </row>
    <row r="2001" spans="1:68" s="298" customFormat="1" ht="63.75">
      <c r="A2001" s="256" t="s">
        <v>12</v>
      </c>
      <c r="B2001" s="288" t="s">
        <v>18446</v>
      </c>
      <c r="C2001" s="289" t="s">
        <v>18447</v>
      </c>
      <c r="D2001" s="290" t="s">
        <v>207</v>
      </c>
      <c r="E2001" s="290" t="s">
        <v>109</v>
      </c>
      <c r="F2001" s="383">
        <v>1</v>
      </c>
      <c r="G2001" s="292">
        <v>2450</v>
      </c>
      <c r="H2001" s="255">
        <v>2450</v>
      </c>
      <c r="J2001" s="521"/>
      <c r="L2001" s="256"/>
      <c r="M2001" s="256"/>
      <c r="N2001" s="256"/>
      <c r="O2001" s="256"/>
      <c r="S2001" s="536"/>
      <c r="T2001" s="635"/>
    </row>
    <row r="2002" spans="1:68" s="298" customFormat="1" ht="25.5">
      <c r="A2002" s="256" t="s">
        <v>3259</v>
      </c>
      <c r="B2002" s="374">
        <v>88266</v>
      </c>
      <c r="C2002" s="289" t="s">
        <v>3060</v>
      </c>
      <c r="D2002" s="290" t="s">
        <v>9714</v>
      </c>
      <c r="E2002" s="290" t="s">
        <v>206</v>
      </c>
      <c r="F2002" s="383">
        <v>8</v>
      </c>
      <c r="G2002" s="292" t="s">
        <v>24383</v>
      </c>
      <c r="H2002" s="255">
        <v>260.08</v>
      </c>
      <c r="J2002" s="521"/>
      <c r="L2002" s="256"/>
      <c r="M2002" s="256"/>
      <c r="N2002" s="256"/>
      <c r="O2002" s="256"/>
      <c r="S2002" s="536"/>
      <c r="T2002" s="635"/>
    </row>
    <row r="2003" spans="1:68" s="298" customFormat="1">
      <c r="A2003" s="256"/>
      <c r="B2003" s="288" t="s">
        <v>143</v>
      </c>
      <c r="C2003" s="238" t="s">
        <v>14572</v>
      </c>
      <c r="D2003" s="386"/>
      <c r="E2003" s="386"/>
      <c r="F2003" s="386"/>
      <c r="G2003" s="386"/>
      <c r="H2003" s="387"/>
      <c r="J2003" s="521"/>
      <c r="L2003" s="648"/>
      <c r="M2003" s="648"/>
      <c r="S2003" s="536"/>
      <c r="T2003" s="635"/>
    </row>
    <row r="2004" spans="1:68" s="529" customFormat="1" ht="12.75">
      <c r="A2004" s="286"/>
      <c r="B2004" s="293"/>
      <c r="C2004" s="229"/>
      <c r="D2004" s="230"/>
      <c r="E2004" s="230"/>
      <c r="F2004" s="230"/>
      <c r="G2004" s="230"/>
      <c r="H2004" s="230"/>
      <c r="I2004" s="298"/>
      <c r="J2004" s="521"/>
      <c r="K2004" s="298"/>
      <c r="L2004" s="298"/>
      <c r="M2004" s="298"/>
      <c r="N2004" s="298"/>
      <c r="O2004" s="298"/>
      <c r="P2004" s="298"/>
      <c r="Q2004" s="298"/>
      <c r="R2004" s="298"/>
      <c r="S2004" s="536"/>
      <c r="T2004" s="635"/>
      <c r="U2004" s="298"/>
      <c r="V2004" s="298"/>
      <c r="W2004" s="298"/>
      <c r="X2004" s="298"/>
      <c r="Y2004" s="298"/>
      <c r="Z2004" s="298"/>
      <c r="AA2004" s="298"/>
      <c r="AB2004" s="298"/>
      <c r="AC2004" s="298"/>
      <c r="AD2004" s="298"/>
      <c r="AE2004" s="298"/>
      <c r="AF2004" s="298"/>
      <c r="AG2004" s="298"/>
      <c r="AH2004" s="298"/>
      <c r="AI2004" s="298"/>
      <c r="AJ2004" s="298"/>
      <c r="AK2004" s="298"/>
      <c r="AL2004" s="298"/>
      <c r="AM2004" s="298"/>
      <c r="AN2004" s="298"/>
      <c r="AO2004" s="298"/>
      <c r="AP2004" s="298"/>
      <c r="AQ2004" s="298"/>
      <c r="AR2004" s="298"/>
      <c r="AS2004" s="298"/>
      <c r="AT2004" s="298"/>
      <c r="AU2004" s="298"/>
      <c r="AV2004" s="298"/>
      <c r="AW2004" s="298"/>
      <c r="AX2004" s="298"/>
      <c r="AY2004" s="298"/>
      <c r="AZ2004" s="298"/>
      <c r="BA2004" s="298"/>
      <c r="BB2004" s="298"/>
      <c r="BC2004" s="298"/>
      <c r="BD2004" s="298"/>
      <c r="BE2004" s="298"/>
      <c r="BF2004" s="298"/>
      <c r="BG2004" s="298"/>
      <c r="BH2004" s="298"/>
      <c r="BI2004" s="298"/>
      <c r="BJ2004" s="298"/>
      <c r="BK2004" s="298"/>
      <c r="BL2004" s="298"/>
      <c r="BM2004" s="298"/>
      <c r="BN2004" s="298"/>
      <c r="BO2004" s="298"/>
      <c r="BP2004" s="298"/>
    </row>
    <row r="2005" spans="1:68" s="298" customFormat="1" ht="25.5">
      <c r="A2005" s="286"/>
      <c r="B2005" s="372" t="s">
        <v>14425</v>
      </c>
      <c r="C2005" s="581" t="s">
        <v>17167</v>
      </c>
      <c r="D2005" s="232" t="s">
        <v>103</v>
      </c>
      <c r="E2005" s="232" t="s">
        <v>109</v>
      </c>
      <c r="F2005" s="233"/>
      <c r="G2005" s="234"/>
      <c r="H2005" s="235">
        <v>3528.61</v>
      </c>
      <c r="J2005" s="521"/>
      <c r="L2005" s="256"/>
      <c r="M2005" s="256"/>
      <c r="N2005" s="256"/>
      <c r="O2005" s="256"/>
      <c r="S2005" s="536"/>
      <c r="T2005" s="635"/>
    </row>
    <row r="2006" spans="1:68" s="298" customFormat="1" ht="12.75">
      <c r="A2006" s="256" t="s">
        <v>12</v>
      </c>
      <c r="B2006" s="288" t="s">
        <v>14405</v>
      </c>
      <c r="C2006" s="289" t="s">
        <v>15775</v>
      </c>
      <c r="D2006" s="290" t="s">
        <v>207</v>
      </c>
      <c r="E2006" s="290" t="s">
        <v>109</v>
      </c>
      <c r="F2006" s="383">
        <v>1</v>
      </c>
      <c r="G2006" s="292">
        <v>3496.1</v>
      </c>
      <c r="H2006" s="255">
        <v>3496.1</v>
      </c>
      <c r="J2006" s="521"/>
      <c r="L2006" s="256"/>
      <c r="M2006" s="256"/>
      <c r="N2006" s="256"/>
      <c r="O2006" s="256"/>
      <c r="S2006" s="536"/>
      <c r="T2006" s="635"/>
    </row>
    <row r="2007" spans="1:68" s="298" customFormat="1" ht="25.5">
      <c r="A2007" s="256" t="s">
        <v>3259</v>
      </c>
      <c r="B2007" s="374">
        <v>88266</v>
      </c>
      <c r="C2007" s="289" t="s">
        <v>3060</v>
      </c>
      <c r="D2007" s="290" t="s">
        <v>9714</v>
      </c>
      <c r="E2007" s="290" t="s">
        <v>206</v>
      </c>
      <c r="F2007" s="383">
        <v>1</v>
      </c>
      <c r="G2007" s="292" t="s">
        <v>24383</v>
      </c>
      <c r="H2007" s="255">
        <v>32.51</v>
      </c>
      <c r="J2007" s="521"/>
      <c r="L2007" s="256"/>
      <c r="M2007" s="256"/>
      <c r="N2007" s="256"/>
      <c r="O2007" s="256"/>
      <c r="S2007" s="536"/>
      <c r="T2007" s="635"/>
    </row>
    <row r="2008" spans="1:68" s="298" customFormat="1">
      <c r="A2008" s="256"/>
      <c r="B2008" s="288" t="s">
        <v>143</v>
      </c>
      <c r="C2008" s="238" t="s">
        <v>17161</v>
      </c>
      <c r="D2008" s="386"/>
      <c r="E2008" s="386"/>
      <c r="F2008" s="386"/>
      <c r="G2008" s="386"/>
      <c r="H2008" s="387"/>
      <c r="J2008" s="521"/>
      <c r="L2008" s="648"/>
      <c r="M2008" s="648"/>
      <c r="S2008" s="536"/>
      <c r="T2008" s="635"/>
    </row>
    <row r="2009" spans="1:68" s="529" customFormat="1" ht="12.75">
      <c r="A2009" s="286"/>
      <c r="B2009" s="293"/>
      <c r="C2009" s="229"/>
      <c r="D2009" s="230"/>
      <c r="E2009" s="230"/>
      <c r="F2009" s="230"/>
      <c r="G2009" s="230"/>
      <c r="H2009" s="230"/>
      <c r="I2009" s="298"/>
      <c r="J2009" s="521"/>
      <c r="K2009" s="298"/>
      <c r="L2009" s="298"/>
      <c r="M2009" s="298"/>
      <c r="N2009" s="298"/>
      <c r="O2009" s="298"/>
      <c r="P2009" s="298"/>
      <c r="Q2009" s="298"/>
      <c r="R2009" s="298"/>
      <c r="S2009" s="536"/>
      <c r="T2009" s="635"/>
      <c r="U2009" s="298"/>
      <c r="V2009" s="298"/>
      <c r="W2009" s="298"/>
      <c r="X2009" s="298"/>
      <c r="Y2009" s="298"/>
      <c r="Z2009" s="298"/>
      <c r="AA2009" s="298"/>
      <c r="AB2009" s="298"/>
      <c r="AC2009" s="298"/>
      <c r="AD2009" s="298"/>
      <c r="AE2009" s="298"/>
      <c r="AF2009" s="298"/>
      <c r="AG2009" s="298"/>
      <c r="AH2009" s="298"/>
      <c r="AI2009" s="298"/>
      <c r="AJ2009" s="298"/>
      <c r="AK2009" s="298"/>
      <c r="AL2009" s="298"/>
      <c r="AM2009" s="298"/>
      <c r="AN2009" s="298"/>
      <c r="AO2009" s="298"/>
      <c r="AP2009" s="298"/>
      <c r="AQ2009" s="298"/>
      <c r="AR2009" s="298"/>
      <c r="AS2009" s="298"/>
      <c r="AT2009" s="298"/>
      <c r="AU2009" s="298"/>
      <c r="AV2009" s="298"/>
      <c r="AW2009" s="298"/>
      <c r="AX2009" s="298"/>
      <c r="AY2009" s="298"/>
      <c r="AZ2009" s="298"/>
      <c r="BA2009" s="298"/>
      <c r="BB2009" s="298"/>
      <c r="BC2009" s="298"/>
      <c r="BD2009" s="298"/>
      <c r="BE2009" s="298"/>
      <c r="BF2009" s="298"/>
      <c r="BG2009" s="298"/>
      <c r="BH2009" s="298"/>
      <c r="BI2009" s="298"/>
      <c r="BJ2009" s="298"/>
      <c r="BK2009" s="298"/>
      <c r="BL2009" s="298"/>
      <c r="BM2009" s="298"/>
      <c r="BN2009" s="298"/>
      <c r="BO2009" s="298"/>
      <c r="BP2009" s="298"/>
    </row>
    <row r="2010" spans="1:68" s="298" customFormat="1" ht="89.25">
      <c r="A2010" s="286"/>
      <c r="B2010" s="372" t="s">
        <v>14428</v>
      </c>
      <c r="C2010" s="581" t="s">
        <v>18435</v>
      </c>
      <c r="D2010" s="232" t="s">
        <v>103</v>
      </c>
      <c r="E2010" s="232" t="s">
        <v>109</v>
      </c>
      <c r="F2010" s="233"/>
      <c r="G2010" s="234"/>
      <c r="H2010" s="235">
        <v>1136.5</v>
      </c>
      <c r="J2010" s="521"/>
      <c r="L2010" s="256"/>
      <c r="M2010" s="256"/>
      <c r="N2010" s="256"/>
      <c r="O2010" s="256"/>
      <c r="S2010" s="536"/>
      <c r="T2010" s="635"/>
    </row>
    <row r="2011" spans="1:68" s="298" customFormat="1" ht="89.25">
      <c r="A2011" s="256" t="s">
        <v>12</v>
      </c>
      <c r="B2011" s="374" t="s">
        <v>14389</v>
      </c>
      <c r="C2011" s="289" t="s">
        <v>18436</v>
      </c>
      <c r="D2011" s="290" t="s">
        <v>207</v>
      </c>
      <c r="E2011" s="290" t="s">
        <v>109</v>
      </c>
      <c r="F2011" s="383">
        <v>1</v>
      </c>
      <c r="G2011" s="292">
        <v>1034</v>
      </c>
      <c r="H2011" s="255">
        <v>1034</v>
      </c>
      <c r="J2011" s="521"/>
      <c r="L2011" s="256"/>
      <c r="M2011" s="256"/>
      <c r="N2011" s="256"/>
      <c r="O2011" s="256"/>
      <c r="S2011" s="536"/>
      <c r="T2011" s="635"/>
    </row>
    <row r="2012" spans="1:68" s="298" customFormat="1" ht="25.5">
      <c r="A2012" s="256" t="s">
        <v>3259</v>
      </c>
      <c r="B2012" s="374">
        <v>88266</v>
      </c>
      <c r="C2012" s="289" t="s">
        <v>3060</v>
      </c>
      <c r="D2012" s="290" t="s">
        <v>9714</v>
      </c>
      <c r="E2012" s="290" t="s">
        <v>206</v>
      </c>
      <c r="F2012" s="383">
        <v>2</v>
      </c>
      <c r="G2012" s="292" t="s">
        <v>24383</v>
      </c>
      <c r="H2012" s="255">
        <v>65.02</v>
      </c>
      <c r="J2012" s="521"/>
      <c r="L2012" s="256"/>
      <c r="M2012" s="256"/>
      <c r="N2012" s="256"/>
      <c r="O2012" s="256"/>
      <c r="S2012" s="536"/>
      <c r="T2012" s="635"/>
    </row>
    <row r="2013" spans="1:68" s="298" customFormat="1" ht="25.5">
      <c r="A2013" s="256" t="s">
        <v>3259</v>
      </c>
      <c r="B2013" s="374">
        <v>88247</v>
      </c>
      <c r="C2013" s="289" t="s">
        <v>145</v>
      </c>
      <c r="D2013" s="290" t="s">
        <v>9714</v>
      </c>
      <c r="E2013" s="290" t="s">
        <v>206</v>
      </c>
      <c r="F2013" s="383">
        <v>2</v>
      </c>
      <c r="G2013" s="292" t="s">
        <v>12206</v>
      </c>
      <c r="H2013" s="255">
        <v>37.479999999999997</v>
      </c>
      <c r="J2013" s="634"/>
      <c r="S2013" s="536"/>
      <c r="T2013" s="635"/>
    </row>
    <row r="2014" spans="1:68" s="298" customFormat="1">
      <c r="A2014" s="256"/>
      <c r="B2014" s="288" t="s">
        <v>143</v>
      </c>
      <c r="C2014" s="238" t="s">
        <v>17171</v>
      </c>
      <c r="D2014" s="386"/>
      <c r="E2014" s="386"/>
      <c r="F2014" s="386"/>
      <c r="G2014" s="386"/>
      <c r="H2014" s="387"/>
      <c r="J2014" s="521"/>
      <c r="L2014" s="648"/>
      <c r="M2014" s="648"/>
      <c r="S2014" s="536"/>
      <c r="T2014" s="635"/>
    </row>
    <row r="2015" spans="1:68" s="529" customFormat="1" ht="12.75">
      <c r="A2015" s="286"/>
      <c r="B2015" s="293"/>
      <c r="C2015" s="229"/>
      <c r="D2015" s="230"/>
      <c r="E2015" s="230"/>
      <c r="F2015" s="230"/>
      <c r="G2015" s="230"/>
      <c r="H2015" s="230"/>
      <c r="I2015" s="298"/>
      <c r="J2015" s="521"/>
      <c r="K2015" s="298"/>
      <c r="L2015" s="298"/>
      <c r="M2015" s="298"/>
      <c r="N2015" s="298"/>
      <c r="O2015" s="298"/>
      <c r="P2015" s="298"/>
      <c r="Q2015" s="298"/>
      <c r="R2015" s="298"/>
      <c r="S2015" s="536"/>
      <c r="T2015" s="635"/>
      <c r="U2015" s="298"/>
      <c r="V2015" s="298"/>
      <c r="W2015" s="298"/>
      <c r="X2015" s="298"/>
      <c r="Y2015" s="298"/>
      <c r="Z2015" s="298"/>
      <c r="AA2015" s="298"/>
      <c r="AB2015" s="298"/>
      <c r="AC2015" s="298"/>
      <c r="AD2015" s="298"/>
      <c r="AE2015" s="298"/>
      <c r="AF2015" s="298"/>
      <c r="AG2015" s="298"/>
      <c r="AH2015" s="298"/>
      <c r="AI2015" s="298"/>
      <c r="AJ2015" s="298"/>
      <c r="AK2015" s="298"/>
      <c r="AL2015" s="298"/>
      <c r="AM2015" s="298"/>
      <c r="AN2015" s="298"/>
      <c r="AO2015" s="298"/>
      <c r="AP2015" s="298"/>
      <c r="AQ2015" s="298"/>
      <c r="AR2015" s="298"/>
      <c r="AS2015" s="298"/>
      <c r="AT2015" s="298"/>
      <c r="AU2015" s="298"/>
      <c r="AV2015" s="298"/>
      <c r="AW2015" s="298"/>
      <c r="AX2015" s="298"/>
      <c r="AY2015" s="298"/>
      <c r="AZ2015" s="298"/>
      <c r="BA2015" s="298"/>
      <c r="BB2015" s="298"/>
      <c r="BC2015" s="298"/>
      <c r="BD2015" s="298"/>
      <c r="BE2015" s="298"/>
      <c r="BF2015" s="298"/>
      <c r="BG2015" s="298"/>
      <c r="BH2015" s="298"/>
      <c r="BI2015" s="298"/>
      <c r="BJ2015" s="298"/>
      <c r="BK2015" s="298"/>
      <c r="BL2015" s="298"/>
      <c r="BM2015" s="298"/>
      <c r="BN2015" s="298"/>
      <c r="BO2015" s="298"/>
      <c r="BP2015" s="298"/>
    </row>
    <row r="2016" spans="1:68" s="298" customFormat="1" ht="38.25">
      <c r="A2016" s="286"/>
      <c r="B2016" s="372" t="s">
        <v>14429</v>
      </c>
      <c r="C2016" s="581" t="s">
        <v>17172</v>
      </c>
      <c r="D2016" s="232" t="s">
        <v>103</v>
      </c>
      <c r="E2016" s="232" t="s">
        <v>109</v>
      </c>
      <c r="F2016" s="233"/>
      <c r="G2016" s="234"/>
      <c r="H2016" s="235">
        <v>401.85</v>
      </c>
      <c r="J2016" s="521"/>
      <c r="L2016" s="256"/>
      <c r="M2016" s="256"/>
      <c r="N2016" s="256"/>
      <c r="O2016" s="256"/>
      <c r="S2016" s="536"/>
      <c r="T2016" s="635"/>
    </row>
    <row r="2017" spans="1:68" s="298" customFormat="1" ht="25.5">
      <c r="A2017" s="256" t="s">
        <v>12</v>
      </c>
      <c r="B2017" s="288" t="s">
        <v>14406</v>
      </c>
      <c r="C2017" s="289" t="s">
        <v>15776</v>
      </c>
      <c r="D2017" s="290" t="s">
        <v>207</v>
      </c>
      <c r="E2017" s="290" t="s">
        <v>109</v>
      </c>
      <c r="F2017" s="383">
        <v>1</v>
      </c>
      <c r="G2017" s="292">
        <v>389</v>
      </c>
      <c r="H2017" s="255">
        <v>389</v>
      </c>
      <c r="J2017" s="521"/>
      <c r="L2017" s="256"/>
      <c r="M2017" s="256"/>
      <c r="N2017" s="256"/>
      <c r="O2017" s="256"/>
      <c r="S2017" s="536"/>
      <c r="T2017" s="635"/>
    </row>
    <row r="2018" spans="1:68" s="298" customFormat="1" ht="25.5">
      <c r="A2018" s="256" t="s">
        <v>3259</v>
      </c>
      <c r="B2018" s="288">
        <v>88264</v>
      </c>
      <c r="C2018" s="289" t="s">
        <v>146</v>
      </c>
      <c r="D2018" s="290" t="s">
        <v>9714</v>
      </c>
      <c r="E2018" s="290" t="s">
        <v>206</v>
      </c>
      <c r="F2018" s="383">
        <v>0.3</v>
      </c>
      <c r="G2018" s="292" t="s">
        <v>16504</v>
      </c>
      <c r="H2018" s="255">
        <v>7.23</v>
      </c>
      <c r="J2018" s="634"/>
      <c r="S2018" s="536"/>
      <c r="T2018" s="635"/>
    </row>
    <row r="2019" spans="1:68" s="298" customFormat="1" ht="25.5">
      <c r="A2019" s="256" t="s">
        <v>3259</v>
      </c>
      <c r="B2019" s="374">
        <v>88247</v>
      </c>
      <c r="C2019" s="289" t="s">
        <v>145</v>
      </c>
      <c r="D2019" s="290" t="s">
        <v>9714</v>
      </c>
      <c r="E2019" s="290" t="s">
        <v>206</v>
      </c>
      <c r="F2019" s="383">
        <v>0.3</v>
      </c>
      <c r="G2019" s="292" t="s">
        <v>12206</v>
      </c>
      <c r="H2019" s="255">
        <v>5.62</v>
      </c>
      <c r="J2019" s="634"/>
      <c r="S2019" s="536"/>
      <c r="T2019" s="635"/>
    </row>
    <row r="2020" spans="1:68" s="298" customFormat="1">
      <c r="A2020" s="256"/>
      <c r="B2020" s="288" t="s">
        <v>143</v>
      </c>
      <c r="C2020" s="238" t="s">
        <v>14578</v>
      </c>
      <c r="D2020" s="386"/>
      <c r="E2020" s="386"/>
      <c r="F2020" s="386"/>
      <c r="G2020" s="386"/>
      <c r="H2020" s="387"/>
      <c r="J2020" s="521"/>
      <c r="L2020" s="648"/>
      <c r="M2020" s="648"/>
      <c r="S2020" s="536"/>
      <c r="T2020" s="635"/>
    </row>
    <row r="2021" spans="1:68" s="529" customFormat="1" ht="12.75">
      <c r="A2021" s="286"/>
      <c r="B2021" s="293"/>
      <c r="C2021" s="229"/>
      <c r="D2021" s="230"/>
      <c r="E2021" s="230"/>
      <c r="F2021" s="230"/>
      <c r="G2021" s="230"/>
      <c r="H2021" s="230"/>
      <c r="I2021" s="298"/>
      <c r="J2021" s="521"/>
      <c r="K2021" s="298"/>
      <c r="L2021" s="298"/>
      <c r="M2021" s="298"/>
      <c r="N2021" s="298"/>
      <c r="O2021" s="298"/>
      <c r="P2021" s="298"/>
      <c r="Q2021" s="298"/>
      <c r="R2021" s="298"/>
      <c r="S2021" s="536"/>
      <c r="T2021" s="635"/>
      <c r="U2021" s="298"/>
      <c r="V2021" s="298"/>
      <c r="W2021" s="298"/>
      <c r="X2021" s="298"/>
      <c r="Y2021" s="298"/>
      <c r="Z2021" s="298"/>
      <c r="AA2021" s="298"/>
      <c r="AB2021" s="298"/>
      <c r="AC2021" s="298"/>
      <c r="AD2021" s="298"/>
      <c r="AE2021" s="298"/>
      <c r="AF2021" s="298"/>
      <c r="AG2021" s="298"/>
      <c r="AH2021" s="298"/>
      <c r="AI2021" s="298"/>
      <c r="AJ2021" s="298"/>
      <c r="AK2021" s="298"/>
      <c r="AL2021" s="298"/>
      <c r="AM2021" s="298"/>
      <c r="AN2021" s="298"/>
      <c r="AO2021" s="298"/>
      <c r="AP2021" s="298"/>
      <c r="AQ2021" s="298"/>
      <c r="AR2021" s="298"/>
      <c r="AS2021" s="298"/>
      <c r="AT2021" s="298"/>
      <c r="AU2021" s="298"/>
      <c r="AV2021" s="298"/>
      <c r="AW2021" s="298"/>
      <c r="AX2021" s="298"/>
      <c r="AY2021" s="298"/>
      <c r="AZ2021" s="298"/>
      <c r="BA2021" s="298"/>
      <c r="BB2021" s="298"/>
      <c r="BC2021" s="298"/>
      <c r="BD2021" s="298"/>
      <c r="BE2021" s="298"/>
      <c r="BF2021" s="298"/>
      <c r="BG2021" s="298"/>
      <c r="BH2021" s="298"/>
      <c r="BI2021" s="298"/>
      <c r="BJ2021" s="298"/>
      <c r="BK2021" s="298"/>
      <c r="BL2021" s="298"/>
      <c r="BM2021" s="298"/>
      <c r="BN2021" s="298"/>
      <c r="BO2021" s="298"/>
      <c r="BP2021" s="298"/>
    </row>
    <row r="2022" spans="1:68" s="298" customFormat="1" ht="25.5">
      <c r="A2022" s="286"/>
      <c r="B2022" s="372" t="s">
        <v>14430</v>
      </c>
      <c r="C2022" s="581" t="s">
        <v>17175</v>
      </c>
      <c r="D2022" s="232" t="s">
        <v>103</v>
      </c>
      <c r="E2022" s="232" t="s">
        <v>109</v>
      </c>
      <c r="F2022" s="233"/>
      <c r="G2022" s="234"/>
      <c r="H2022" s="235">
        <v>24.65</v>
      </c>
      <c r="J2022" s="521"/>
      <c r="L2022" s="256"/>
      <c r="M2022" s="256"/>
      <c r="N2022" s="256"/>
      <c r="O2022" s="256"/>
      <c r="S2022" s="536"/>
      <c r="T2022" s="635"/>
    </row>
    <row r="2023" spans="1:68" s="298" customFormat="1" ht="12.75">
      <c r="A2023" s="256" t="s">
        <v>12</v>
      </c>
      <c r="B2023" s="288" t="s">
        <v>15777</v>
      </c>
      <c r="C2023" s="289" t="s">
        <v>17174</v>
      </c>
      <c r="D2023" s="290" t="s">
        <v>207</v>
      </c>
      <c r="E2023" s="290" t="s">
        <v>109</v>
      </c>
      <c r="F2023" s="383">
        <v>1</v>
      </c>
      <c r="G2023" s="292">
        <v>14.9</v>
      </c>
      <c r="H2023" s="255">
        <v>14.9</v>
      </c>
      <c r="J2023" s="521"/>
      <c r="L2023" s="256"/>
      <c r="M2023" s="256"/>
      <c r="N2023" s="256"/>
      <c r="O2023" s="256"/>
      <c r="S2023" s="536"/>
      <c r="T2023" s="635"/>
    </row>
    <row r="2024" spans="1:68" s="298" customFormat="1" ht="25.5">
      <c r="A2024" s="256" t="s">
        <v>3259</v>
      </c>
      <c r="B2024" s="374">
        <v>88266</v>
      </c>
      <c r="C2024" s="289" t="s">
        <v>3060</v>
      </c>
      <c r="D2024" s="290" t="s">
        <v>9714</v>
      </c>
      <c r="E2024" s="290" t="s">
        <v>206</v>
      </c>
      <c r="F2024" s="383">
        <v>0.3</v>
      </c>
      <c r="G2024" s="292" t="s">
        <v>24383</v>
      </c>
      <c r="H2024" s="255">
        <v>9.75</v>
      </c>
      <c r="J2024" s="634"/>
      <c r="S2024" s="536"/>
      <c r="T2024" s="635"/>
    </row>
    <row r="2025" spans="1:68" s="298" customFormat="1">
      <c r="A2025" s="256"/>
      <c r="B2025" s="288" t="s">
        <v>143</v>
      </c>
      <c r="C2025" s="238" t="s">
        <v>17173</v>
      </c>
      <c r="D2025" s="386"/>
      <c r="E2025" s="386"/>
      <c r="F2025" s="386"/>
      <c r="G2025" s="386"/>
      <c r="H2025" s="387"/>
      <c r="J2025" s="521"/>
      <c r="L2025" s="648"/>
      <c r="M2025" s="648"/>
      <c r="S2025" s="536"/>
      <c r="T2025" s="635"/>
    </row>
    <row r="2026" spans="1:68" s="529" customFormat="1" ht="12.75">
      <c r="A2026" s="286"/>
      <c r="B2026" s="293"/>
      <c r="C2026" s="229"/>
      <c r="D2026" s="230"/>
      <c r="E2026" s="230"/>
      <c r="F2026" s="230"/>
      <c r="G2026" s="230"/>
      <c r="H2026" s="230"/>
      <c r="I2026" s="298"/>
      <c r="J2026" s="521"/>
      <c r="K2026" s="298"/>
      <c r="L2026" s="298"/>
      <c r="M2026" s="298"/>
      <c r="N2026" s="298"/>
      <c r="O2026" s="298"/>
      <c r="P2026" s="298"/>
      <c r="Q2026" s="298"/>
      <c r="R2026" s="298"/>
      <c r="S2026" s="536"/>
      <c r="T2026" s="635"/>
      <c r="U2026" s="298"/>
      <c r="V2026" s="298"/>
      <c r="W2026" s="298"/>
      <c r="X2026" s="298"/>
      <c r="Y2026" s="298"/>
      <c r="Z2026" s="298"/>
      <c r="AA2026" s="298"/>
      <c r="AB2026" s="298"/>
      <c r="AC2026" s="298"/>
      <c r="AD2026" s="298"/>
      <c r="AE2026" s="298"/>
      <c r="AF2026" s="298"/>
      <c r="AG2026" s="298"/>
      <c r="AH2026" s="298"/>
      <c r="AI2026" s="298"/>
      <c r="AJ2026" s="298"/>
      <c r="AK2026" s="298"/>
      <c r="AL2026" s="298"/>
      <c r="AM2026" s="298"/>
      <c r="AN2026" s="298"/>
      <c r="AO2026" s="298"/>
      <c r="AP2026" s="298"/>
      <c r="AQ2026" s="298"/>
      <c r="AR2026" s="298"/>
      <c r="AS2026" s="298"/>
      <c r="AT2026" s="298"/>
      <c r="AU2026" s="298"/>
      <c r="AV2026" s="298"/>
      <c r="AW2026" s="298"/>
      <c r="AX2026" s="298"/>
      <c r="AY2026" s="298"/>
      <c r="AZ2026" s="298"/>
      <c r="BA2026" s="298"/>
      <c r="BB2026" s="298"/>
      <c r="BC2026" s="298"/>
      <c r="BD2026" s="298"/>
      <c r="BE2026" s="298"/>
      <c r="BF2026" s="298"/>
      <c r="BG2026" s="298"/>
      <c r="BH2026" s="298"/>
      <c r="BI2026" s="298"/>
      <c r="BJ2026" s="298"/>
      <c r="BK2026" s="298"/>
      <c r="BL2026" s="298"/>
      <c r="BM2026" s="298"/>
      <c r="BN2026" s="298"/>
      <c r="BO2026" s="298"/>
      <c r="BP2026" s="298"/>
    </row>
    <row r="2027" spans="1:68" s="298" customFormat="1" ht="25.5">
      <c r="A2027" s="286"/>
      <c r="B2027" s="372" t="s">
        <v>14431</v>
      </c>
      <c r="C2027" s="581" t="s">
        <v>17183</v>
      </c>
      <c r="D2027" s="232" t="s">
        <v>103</v>
      </c>
      <c r="E2027" s="232" t="s">
        <v>109</v>
      </c>
      <c r="F2027" s="233"/>
      <c r="G2027" s="234"/>
      <c r="H2027" s="235">
        <v>72.659999999999982</v>
      </c>
      <c r="J2027" s="521"/>
      <c r="L2027" s="256"/>
      <c r="M2027" s="256"/>
      <c r="N2027" s="256"/>
      <c r="O2027" s="256"/>
      <c r="S2027" s="536"/>
      <c r="T2027" s="635"/>
    </row>
    <row r="2028" spans="1:68" s="298" customFormat="1" ht="12.75">
      <c r="A2028" s="256" t="s">
        <v>12</v>
      </c>
      <c r="B2028" s="288" t="s">
        <v>14417</v>
      </c>
      <c r="C2028" s="289" t="s">
        <v>15779</v>
      </c>
      <c r="D2028" s="290" t="s">
        <v>207</v>
      </c>
      <c r="E2028" s="290" t="s">
        <v>109</v>
      </c>
      <c r="F2028" s="383">
        <v>1</v>
      </c>
      <c r="G2028" s="292">
        <v>64.099999999999994</v>
      </c>
      <c r="H2028" s="255">
        <v>64.099999999999994</v>
      </c>
      <c r="J2028" s="521"/>
      <c r="L2028" s="256"/>
      <c r="M2028" s="256"/>
      <c r="N2028" s="256"/>
      <c r="O2028" s="256"/>
      <c r="S2028" s="536"/>
      <c r="T2028" s="635"/>
    </row>
    <row r="2029" spans="1:68" s="298" customFormat="1" ht="25.5">
      <c r="A2029" s="256" t="s">
        <v>3259</v>
      </c>
      <c r="B2029" s="288">
        <v>88264</v>
      </c>
      <c r="C2029" s="289" t="s">
        <v>146</v>
      </c>
      <c r="D2029" s="290" t="s">
        <v>9714</v>
      </c>
      <c r="E2029" s="290" t="s">
        <v>206</v>
      </c>
      <c r="F2029" s="383">
        <v>0.2</v>
      </c>
      <c r="G2029" s="292" t="s">
        <v>16504</v>
      </c>
      <c r="H2029" s="255">
        <v>4.82</v>
      </c>
      <c r="J2029" s="634"/>
      <c r="S2029" s="536"/>
      <c r="T2029" s="635"/>
    </row>
    <row r="2030" spans="1:68" s="298" customFormat="1" ht="25.5">
      <c r="A2030" s="256" t="s">
        <v>3259</v>
      </c>
      <c r="B2030" s="374">
        <v>88247</v>
      </c>
      <c r="C2030" s="289" t="s">
        <v>145</v>
      </c>
      <c r="D2030" s="290" t="s">
        <v>9714</v>
      </c>
      <c r="E2030" s="290" t="s">
        <v>206</v>
      </c>
      <c r="F2030" s="383">
        <v>0.2</v>
      </c>
      <c r="G2030" s="292" t="s">
        <v>12206</v>
      </c>
      <c r="H2030" s="255">
        <v>3.74</v>
      </c>
      <c r="J2030" s="634"/>
      <c r="S2030" s="536"/>
      <c r="T2030" s="635"/>
    </row>
    <row r="2031" spans="1:68" s="298" customFormat="1">
      <c r="A2031" s="256"/>
      <c r="B2031" s="288" t="s">
        <v>143</v>
      </c>
      <c r="C2031" s="238" t="s">
        <v>17182</v>
      </c>
      <c r="D2031" s="386"/>
      <c r="E2031" s="386"/>
      <c r="F2031" s="386"/>
      <c r="G2031" s="386"/>
      <c r="H2031" s="387"/>
      <c r="J2031" s="521"/>
      <c r="L2031" s="648"/>
      <c r="M2031" s="648"/>
      <c r="S2031" s="536"/>
      <c r="T2031" s="635"/>
    </row>
    <row r="2032" spans="1:68" s="529" customFormat="1" ht="12.75">
      <c r="A2032" s="286"/>
      <c r="B2032" s="293"/>
      <c r="C2032" s="229"/>
      <c r="D2032" s="230"/>
      <c r="E2032" s="230"/>
      <c r="F2032" s="230"/>
      <c r="G2032" s="230"/>
      <c r="H2032" s="230"/>
      <c r="I2032" s="298"/>
      <c r="J2032" s="521"/>
      <c r="K2032" s="298"/>
      <c r="L2032" s="298"/>
      <c r="M2032" s="298"/>
      <c r="N2032" s="298"/>
      <c r="O2032" s="298"/>
      <c r="P2032" s="298"/>
      <c r="Q2032" s="298"/>
      <c r="R2032" s="298"/>
      <c r="S2032" s="536"/>
      <c r="T2032" s="635"/>
      <c r="U2032" s="298"/>
      <c r="V2032" s="298"/>
      <c r="W2032" s="298"/>
      <c r="X2032" s="298"/>
      <c r="Y2032" s="298"/>
      <c r="Z2032" s="298"/>
      <c r="AA2032" s="298"/>
      <c r="AB2032" s="298"/>
      <c r="AC2032" s="298"/>
      <c r="AD2032" s="298"/>
      <c r="AE2032" s="298"/>
      <c r="AF2032" s="298"/>
      <c r="AG2032" s="298"/>
      <c r="AH2032" s="298"/>
      <c r="AI2032" s="298"/>
      <c r="AJ2032" s="298"/>
      <c r="AK2032" s="298"/>
      <c r="AL2032" s="298"/>
      <c r="AM2032" s="298"/>
      <c r="AN2032" s="298"/>
      <c r="AO2032" s="298"/>
      <c r="AP2032" s="298"/>
      <c r="AQ2032" s="298"/>
      <c r="AR2032" s="298"/>
      <c r="AS2032" s="298"/>
      <c r="AT2032" s="298"/>
      <c r="AU2032" s="298"/>
      <c r="AV2032" s="298"/>
      <c r="AW2032" s="298"/>
      <c r="AX2032" s="298"/>
      <c r="AY2032" s="298"/>
      <c r="AZ2032" s="298"/>
      <c r="BA2032" s="298"/>
      <c r="BB2032" s="298"/>
      <c r="BC2032" s="298"/>
      <c r="BD2032" s="298"/>
      <c r="BE2032" s="298"/>
      <c r="BF2032" s="298"/>
      <c r="BG2032" s="298"/>
      <c r="BH2032" s="298"/>
      <c r="BI2032" s="298"/>
      <c r="BJ2032" s="298"/>
      <c r="BK2032" s="298"/>
      <c r="BL2032" s="298"/>
      <c r="BM2032" s="298"/>
      <c r="BN2032" s="298"/>
      <c r="BO2032" s="298"/>
      <c r="BP2032" s="298"/>
    </row>
    <row r="2033" spans="1:68" s="298" customFormat="1" ht="25.5">
      <c r="A2033" s="286"/>
      <c r="B2033" s="372" t="s">
        <v>14444</v>
      </c>
      <c r="C2033" s="581" t="s">
        <v>17184</v>
      </c>
      <c r="D2033" s="232" t="s">
        <v>103</v>
      </c>
      <c r="E2033" s="232" t="s">
        <v>109</v>
      </c>
      <c r="F2033" s="233"/>
      <c r="G2033" s="234"/>
      <c r="H2033" s="235">
        <v>89.74</v>
      </c>
      <c r="J2033" s="521"/>
      <c r="L2033" s="256"/>
      <c r="M2033" s="256"/>
      <c r="N2033" s="256"/>
      <c r="O2033" s="256"/>
      <c r="S2033" s="536"/>
      <c r="T2033" s="635"/>
    </row>
    <row r="2034" spans="1:68" s="298" customFormat="1" ht="12.75">
      <c r="A2034" s="256" t="s">
        <v>12</v>
      </c>
      <c r="B2034" s="288" t="s">
        <v>14408</v>
      </c>
      <c r="C2034" s="289" t="s">
        <v>15778</v>
      </c>
      <c r="D2034" s="290" t="s">
        <v>207</v>
      </c>
      <c r="E2034" s="290" t="s">
        <v>109</v>
      </c>
      <c r="F2034" s="383">
        <v>1</v>
      </c>
      <c r="G2034" s="292">
        <v>86</v>
      </c>
      <c r="H2034" s="255">
        <v>86</v>
      </c>
      <c r="J2034" s="521"/>
      <c r="L2034" s="256"/>
      <c r="M2034" s="256"/>
      <c r="N2034" s="256"/>
      <c r="O2034" s="256"/>
      <c r="S2034" s="536"/>
      <c r="T2034" s="635"/>
    </row>
    <row r="2035" spans="1:68" s="298" customFormat="1" ht="25.5">
      <c r="A2035" s="256" t="s">
        <v>3259</v>
      </c>
      <c r="B2035" s="374">
        <v>88247</v>
      </c>
      <c r="C2035" s="289" t="s">
        <v>145</v>
      </c>
      <c r="D2035" s="290" t="s">
        <v>9714</v>
      </c>
      <c r="E2035" s="290" t="s">
        <v>206</v>
      </c>
      <c r="F2035" s="383">
        <v>0.2</v>
      </c>
      <c r="G2035" s="292" t="s">
        <v>12206</v>
      </c>
      <c r="H2035" s="255">
        <v>3.74</v>
      </c>
      <c r="J2035" s="634"/>
      <c r="S2035" s="536"/>
      <c r="T2035" s="635"/>
    </row>
    <row r="2036" spans="1:68" s="298" customFormat="1">
      <c r="A2036" s="256"/>
      <c r="B2036" s="288" t="s">
        <v>143</v>
      </c>
      <c r="C2036" s="238" t="s">
        <v>17185</v>
      </c>
      <c r="D2036" s="386"/>
      <c r="E2036" s="386"/>
      <c r="F2036" s="386"/>
      <c r="G2036" s="386"/>
      <c r="H2036" s="387"/>
      <c r="J2036" s="521"/>
      <c r="L2036" s="648"/>
      <c r="M2036" s="648"/>
      <c r="S2036" s="536"/>
      <c r="T2036" s="635"/>
    </row>
    <row r="2037" spans="1:68" s="529" customFormat="1" ht="12.75">
      <c r="A2037" s="286"/>
      <c r="B2037" s="293"/>
      <c r="C2037" s="229"/>
      <c r="D2037" s="230"/>
      <c r="E2037" s="230"/>
      <c r="F2037" s="230"/>
      <c r="G2037" s="230"/>
      <c r="H2037" s="230"/>
      <c r="I2037" s="298"/>
      <c r="J2037" s="521"/>
      <c r="K2037" s="298"/>
      <c r="L2037" s="298"/>
      <c r="M2037" s="298"/>
      <c r="N2037" s="298"/>
      <c r="O2037" s="298"/>
      <c r="P2037" s="298"/>
      <c r="Q2037" s="298"/>
      <c r="R2037" s="298"/>
      <c r="S2037" s="536"/>
      <c r="T2037" s="635"/>
      <c r="U2037" s="298"/>
      <c r="V2037" s="298"/>
      <c r="W2037" s="298"/>
      <c r="X2037" s="298"/>
      <c r="Y2037" s="298"/>
      <c r="Z2037" s="298"/>
      <c r="AA2037" s="298"/>
      <c r="AB2037" s="298"/>
      <c r="AC2037" s="298"/>
      <c r="AD2037" s="298"/>
      <c r="AE2037" s="298"/>
      <c r="AF2037" s="298"/>
      <c r="AG2037" s="298"/>
      <c r="AH2037" s="298"/>
      <c r="AI2037" s="298"/>
      <c r="AJ2037" s="298"/>
      <c r="AK2037" s="298"/>
      <c r="AL2037" s="298"/>
      <c r="AM2037" s="298"/>
      <c r="AN2037" s="298"/>
      <c r="AO2037" s="298"/>
      <c r="AP2037" s="298"/>
      <c r="AQ2037" s="298"/>
      <c r="AR2037" s="298"/>
      <c r="AS2037" s="298"/>
      <c r="AT2037" s="298"/>
      <c r="AU2037" s="298"/>
      <c r="AV2037" s="298"/>
      <c r="AW2037" s="298"/>
      <c r="AX2037" s="298"/>
      <c r="AY2037" s="298"/>
      <c r="AZ2037" s="298"/>
      <c r="BA2037" s="298"/>
      <c r="BB2037" s="298"/>
      <c r="BC2037" s="298"/>
      <c r="BD2037" s="298"/>
      <c r="BE2037" s="298"/>
      <c r="BF2037" s="298"/>
      <c r="BG2037" s="298"/>
      <c r="BH2037" s="298"/>
      <c r="BI2037" s="298"/>
      <c r="BJ2037" s="298"/>
      <c r="BK2037" s="298"/>
      <c r="BL2037" s="298"/>
      <c r="BM2037" s="298"/>
      <c r="BN2037" s="298"/>
      <c r="BO2037" s="298"/>
      <c r="BP2037" s="298"/>
    </row>
    <row r="2038" spans="1:68" s="298" customFormat="1" ht="25.5">
      <c r="A2038" s="286"/>
      <c r="B2038" s="372" t="s">
        <v>14445</v>
      </c>
      <c r="C2038" s="581" t="s">
        <v>18587</v>
      </c>
      <c r="D2038" s="232" t="s">
        <v>103</v>
      </c>
      <c r="E2038" s="232" t="s">
        <v>109</v>
      </c>
      <c r="F2038" s="233"/>
      <c r="G2038" s="234"/>
      <c r="H2038" s="235">
        <v>1005.3199999999999</v>
      </c>
      <c r="J2038" s="521"/>
      <c r="L2038" s="256"/>
      <c r="M2038" s="256"/>
      <c r="N2038" s="256"/>
      <c r="O2038" s="256"/>
      <c r="S2038" s="536"/>
      <c r="T2038" s="635"/>
    </row>
    <row r="2039" spans="1:68" s="298" customFormat="1" ht="25.5">
      <c r="A2039" s="256" t="s">
        <v>12</v>
      </c>
      <c r="B2039" s="288" t="s">
        <v>14418</v>
      </c>
      <c r="C2039" s="289" t="s">
        <v>18586</v>
      </c>
      <c r="D2039" s="290" t="s">
        <v>207</v>
      </c>
      <c r="E2039" s="290" t="s">
        <v>109</v>
      </c>
      <c r="F2039" s="383">
        <v>1</v>
      </c>
      <c r="G2039" s="292">
        <v>983.9</v>
      </c>
      <c r="H2039" s="255">
        <v>983.9</v>
      </c>
      <c r="J2039" s="521"/>
      <c r="L2039" s="256"/>
      <c r="M2039" s="256"/>
      <c r="N2039" s="256"/>
      <c r="O2039" s="256"/>
      <c r="S2039" s="536"/>
      <c r="T2039" s="635"/>
    </row>
    <row r="2040" spans="1:68" s="298" customFormat="1" ht="25.5">
      <c r="A2040" s="256" t="s">
        <v>3259</v>
      </c>
      <c r="B2040" s="288">
        <v>88264</v>
      </c>
      <c r="C2040" s="289" t="s">
        <v>146</v>
      </c>
      <c r="D2040" s="290" t="s">
        <v>9714</v>
      </c>
      <c r="E2040" s="290" t="s">
        <v>206</v>
      </c>
      <c r="F2040" s="383">
        <v>0.5</v>
      </c>
      <c r="G2040" s="292" t="s">
        <v>16504</v>
      </c>
      <c r="H2040" s="255">
        <v>12.05</v>
      </c>
      <c r="J2040" s="634"/>
      <c r="S2040" s="536"/>
      <c r="T2040" s="635"/>
    </row>
    <row r="2041" spans="1:68" s="298" customFormat="1" ht="25.5">
      <c r="A2041" s="256" t="s">
        <v>3259</v>
      </c>
      <c r="B2041" s="374">
        <v>88247</v>
      </c>
      <c r="C2041" s="289" t="s">
        <v>145</v>
      </c>
      <c r="D2041" s="290" t="s">
        <v>9714</v>
      </c>
      <c r="E2041" s="290" t="s">
        <v>206</v>
      </c>
      <c r="F2041" s="383">
        <v>0.5</v>
      </c>
      <c r="G2041" s="292" t="s">
        <v>12206</v>
      </c>
      <c r="H2041" s="255">
        <v>9.3699999999999992</v>
      </c>
      <c r="J2041" s="634"/>
      <c r="S2041" s="536"/>
      <c r="T2041" s="635"/>
    </row>
    <row r="2042" spans="1:68" s="298" customFormat="1">
      <c r="A2042" s="256"/>
      <c r="B2042" s="288" t="s">
        <v>143</v>
      </c>
      <c r="C2042" s="238" t="s">
        <v>17187</v>
      </c>
      <c r="D2042" s="386"/>
      <c r="E2042" s="386"/>
      <c r="F2042" s="386"/>
      <c r="G2042" s="386"/>
      <c r="H2042" s="387"/>
      <c r="J2042" s="521"/>
      <c r="L2042" s="648"/>
      <c r="M2042" s="648"/>
      <c r="S2042" s="536"/>
      <c r="T2042" s="635"/>
    </row>
    <row r="2043" spans="1:68" s="529" customFormat="1" ht="12.75">
      <c r="A2043" s="286"/>
      <c r="B2043" s="293"/>
      <c r="C2043" s="229"/>
      <c r="D2043" s="230"/>
      <c r="E2043" s="230"/>
      <c r="F2043" s="230"/>
      <c r="G2043" s="230"/>
      <c r="H2043" s="230"/>
      <c r="I2043" s="298"/>
      <c r="J2043" s="521"/>
      <c r="K2043" s="298"/>
      <c r="L2043" s="298"/>
      <c r="M2043" s="298"/>
      <c r="N2043" s="298"/>
      <c r="O2043" s="298"/>
      <c r="P2043" s="298"/>
      <c r="Q2043" s="298"/>
      <c r="R2043" s="298"/>
      <c r="S2043" s="536"/>
      <c r="T2043" s="635"/>
      <c r="U2043" s="298"/>
      <c r="V2043" s="298"/>
      <c r="W2043" s="298"/>
      <c r="X2043" s="298"/>
      <c r="Y2043" s="298"/>
      <c r="Z2043" s="298"/>
      <c r="AA2043" s="298"/>
      <c r="AB2043" s="298"/>
      <c r="AC2043" s="298"/>
      <c r="AD2043" s="298"/>
      <c r="AE2043" s="298"/>
      <c r="AF2043" s="298"/>
      <c r="AG2043" s="298"/>
      <c r="AH2043" s="298"/>
      <c r="AI2043" s="298"/>
      <c r="AJ2043" s="298"/>
      <c r="AK2043" s="298"/>
      <c r="AL2043" s="298"/>
      <c r="AM2043" s="298"/>
      <c r="AN2043" s="298"/>
      <c r="AO2043" s="298"/>
      <c r="AP2043" s="298"/>
      <c r="AQ2043" s="298"/>
      <c r="AR2043" s="298"/>
      <c r="AS2043" s="298"/>
      <c r="AT2043" s="298"/>
      <c r="AU2043" s="298"/>
      <c r="AV2043" s="298"/>
      <c r="AW2043" s="298"/>
      <c r="AX2043" s="298"/>
      <c r="AY2043" s="298"/>
      <c r="AZ2043" s="298"/>
      <c r="BA2043" s="298"/>
      <c r="BB2043" s="298"/>
      <c r="BC2043" s="298"/>
      <c r="BD2043" s="298"/>
      <c r="BE2043" s="298"/>
      <c r="BF2043" s="298"/>
      <c r="BG2043" s="298"/>
      <c r="BH2043" s="298"/>
      <c r="BI2043" s="298"/>
      <c r="BJ2043" s="298"/>
      <c r="BK2043" s="298"/>
      <c r="BL2043" s="298"/>
      <c r="BM2043" s="298"/>
      <c r="BN2043" s="298"/>
      <c r="BO2043" s="298"/>
      <c r="BP2043" s="298"/>
    </row>
    <row r="2044" spans="1:68" s="298" customFormat="1" ht="25.5">
      <c r="A2044" s="286"/>
      <c r="B2044" s="372" t="s">
        <v>14446</v>
      </c>
      <c r="C2044" s="581" t="s">
        <v>17186</v>
      </c>
      <c r="D2044" s="232" t="s">
        <v>103</v>
      </c>
      <c r="E2044" s="232" t="s">
        <v>109</v>
      </c>
      <c r="F2044" s="233"/>
      <c r="G2044" s="234"/>
      <c r="H2044" s="235">
        <v>173.57</v>
      </c>
      <c r="J2044" s="521"/>
      <c r="L2044" s="256"/>
      <c r="M2044" s="256"/>
      <c r="N2044" s="256"/>
      <c r="O2044" s="256"/>
      <c r="S2044" s="536"/>
      <c r="T2044" s="635"/>
    </row>
    <row r="2045" spans="1:68" s="298" customFormat="1" ht="12.75">
      <c r="A2045" s="256" t="s">
        <v>12</v>
      </c>
      <c r="B2045" s="288" t="s">
        <v>14419</v>
      </c>
      <c r="C2045" s="289" t="s">
        <v>15781</v>
      </c>
      <c r="D2045" s="290" t="s">
        <v>207</v>
      </c>
      <c r="E2045" s="290" t="s">
        <v>109</v>
      </c>
      <c r="F2045" s="383">
        <v>1</v>
      </c>
      <c r="G2045" s="292">
        <v>141.06</v>
      </c>
      <c r="H2045" s="255">
        <v>141.06</v>
      </c>
      <c r="J2045" s="521"/>
      <c r="L2045" s="256"/>
      <c r="M2045" s="256"/>
      <c r="N2045" s="256"/>
      <c r="O2045" s="256"/>
      <c r="S2045" s="536"/>
      <c r="T2045" s="635"/>
    </row>
    <row r="2046" spans="1:68" s="298" customFormat="1" ht="25.5">
      <c r="A2046" s="256" t="s">
        <v>3259</v>
      </c>
      <c r="B2046" s="374">
        <v>88266</v>
      </c>
      <c r="C2046" s="289" t="s">
        <v>3060</v>
      </c>
      <c r="D2046" s="290" t="s">
        <v>9714</v>
      </c>
      <c r="E2046" s="290" t="s">
        <v>206</v>
      </c>
      <c r="F2046" s="383">
        <v>1</v>
      </c>
      <c r="G2046" s="292" t="s">
        <v>24383</v>
      </c>
      <c r="H2046" s="255">
        <v>32.51</v>
      </c>
      <c r="J2046" s="634"/>
      <c r="S2046" s="536"/>
      <c r="T2046" s="635"/>
    </row>
    <row r="2047" spans="1:68" s="298" customFormat="1">
      <c r="A2047" s="256"/>
      <c r="B2047" s="288" t="s">
        <v>143</v>
      </c>
      <c r="C2047" s="238" t="s">
        <v>17188</v>
      </c>
      <c r="D2047" s="386"/>
      <c r="E2047" s="386"/>
      <c r="F2047" s="386"/>
      <c r="G2047" s="386"/>
      <c r="H2047" s="387"/>
      <c r="J2047" s="521"/>
      <c r="L2047" s="648"/>
      <c r="M2047" s="648"/>
      <c r="S2047" s="536"/>
      <c r="T2047" s="635"/>
    </row>
    <row r="2048" spans="1:68" s="529" customFormat="1" ht="12.75">
      <c r="A2048" s="286"/>
      <c r="B2048" s="293"/>
      <c r="C2048" s="229"/>
      <c r="D2048" s="230"/>
      <c r="E2048" s="230"/>
      <c r="F2048" s="230"/>
      <c r="G2048" s="230"/>
      <c r="H2048" s="230"/>
      <c r="I2048" s="298"/>
      <c r="J2048" s="521"/>
      <c r="K2048" s="298"/>
      <c r="L2048" s="298"/>
      <c r="M2048" s="298"/>
      <c r="N2048" s="298"/>
      <c r="O2048" s="298"/>
      <c r="P2048" s="298"/>
      <c r="Q2048" s="298"/>
      <c r="R2048" s="298"/>
      <c r="S2048" s="536"/>
      <c r="T2048" s="635"/>
      <c r="U2048" s="298"/>
      <c r="V2048" s="298"/>
      <c r="W2048" s="298"/>
      <c r="X2048" s="298"/>
      <c r="Y2048" s="298"/>
      <c r="Z2048" s="298"/>
      <c r="AA2048" s="298"/>
      <c r="AB2048" s="298"/>
      <c r="AC2048" s="298"/>
      <c r="AD2048" s="298"/>
      <c r="AE2048" s="298"/>
      <c r="AF2048" s="298"/>
      <c r="AG2048" s="298"/>
      <c r="AH2048" s="298"/>
      <c r="AI2048" s="298"/>
      <c r="AJ2048" s="298"/>
      <c r="AK2048" s="298"/>
      <c r="AL2048" s="298"/>
      <c r="AM2048" s="298"/>
      <c r="AN2048" s="298"/>
      <c r="AO2048" s="298"/>
      <c r="AP2048" s="298"/>
      <c r="AQ2048" s="298"/>
      <c r="AR2048" s="298"/>
      <c r="AS2048" s="298"/>
      <c r="AT2048" s="298"/>
      <c r="AU2048" s="298"/>
      <c r="AV2048" s="298"/>
      <c r="AW2048" s="298"/>
      <c r="AX2048" s="298"/>
      <c r="AY2048" s="298"/>
      <c r="AZ2048" s="298"/>
      <c r="BA2048" s="298"/>
      <c r="BB2048" s="298"/>
      <c r="BC2048" s="298"/>
      <c r="BD2048" s="298"/>
      <c r="BE2048" s="298"/>
      <c r="BF2048" s="298"/>
      <c r="BG2048" s="298"/>
      <c r="BH2048" s="298"/>
      <c r="BI2048" s="298"/>
      <c r="BJ2048" s="298"/>
      <c r="BK2048" s="298"/>
      <c r="BL2048" s="298"/>
      <c r="BM2048" s="298"/>
      <c r="BN2048" s="298"/>
      <c r="BO2048" s="298"/>
      <c r="BP2048" s="298"/>
    </row>
    <row r="2049" spans="1:68" s="298" customFormat="1" ht="38.25">
      <c r="A2049" s="286"/>
      <c r="B2049" s="372" t="s">
        <v>14447</v>
      </c>
      <c r="C2049" s="581" t="s">
        <v>18597</v>
      </c>
      <c r="D2049" s="232" t="s">
        <v>103</v>
      </c>
      <c r="E2049" s="232" t="s">
        <v>109</v>
      </c>
      <c r="F2049" s="233"/>
      <c r="G2049" s="234"/>
      <c r="H2049" s="235">
        <v>44.56</v>
      </c>
      <c r="J2049" s="521"/>
      <c r="L2049" s="256"/>
      <c r="M2049" s="256"/>
      <c r="N2049" s="256"/>
      <c r="O2049" s="256"/>
      <c r="S2049" s="536"/>
      <c r="T2049" s="635"/>
    </row>
    <row r="2050" spans="1:68" s="298" customFormat="1" ht="25.5">
      <c r="A2050" s="256" t="s">
        <v>12</v>
      </c>
      <c r="B2050" s="288" t="s">
        <v>14420</v>
      </c>
      <c r="C2050" s="289" t="s">
        <v>18445</v>
      </c>
      <c r="D2050" s="290" t="s">
        <v>207</v>
      </c>
      <c r="E2050" s="290" t="s">
        <v>109</v>
      </c>
      <c r="F2050" s="383">
        <v>1</v>
      </c>
      <c r="G2050" s="292">
        <v>34.32</v>
      </c>
      <c r="H2050" s="255">
        <v>34.32</v>
      </c>
      <c r="J2050" s="521"/>
      <c r="L2050" s="256"/>
      <c r="M2050" s="256"/>
      <c r="N2050" s="256"/>
      <c r="O2050" s="256"/>
      <c r="S2050" s="536"/>
      <c r="T2050" s="635"/>
    </row>
    <row r="2051" spans="1:68" s="298" customFormat="1" ht="25.5">
      <c r="A2051" s="256" t="s">
        <v>3259</v>
      </c>
      <c r="B2051" s="374">
        <v>88266</v>
      </c>
      <c r="C2051" s="289" t="s">
        <v>3060</v>
      </c>
      <c r="D2051" s="290" t="s">
        <v>9714</v>
      </c>
      <c r="E2051" s="290" t="s">
        <v>206</v>
      </c>
      <c r="F2051" s="383">
        <v>0.2</v>
      </c>
      <c r="G2051" s="292" t="s">
        <v>24383</v>
      </c>
      <c r="H2051" s="255">
        <v>6.5</v>
      </c>
      <c r="J2051" s="634"/>
      <c r="S2051" s="536"/>
      <c r="T2051" s="635"/>
    </row>
    <row r="2052" spans="1:68" s="298" customFormat="1" ht="25.5">
      <c r="A2052" s="256" t="s">
        <v>3259</v>
      </c>
      <c r="B2052" s="374">
        <v>88247</v>
      </c>
      <c r="C2052" s="289" t="s">
        <v>145</v>
      </c>
      <c r="D2052" s="290" t="s">
        <v>9714</v>
      </c>
      <c r="E2052" s="290" t="s">
        <v>206</v>
      </c>
      <c r="F2052" s="383">
        <v>0.2</v>
      </c>
      <c r="G2052" s="292" t="s">
        <v>12206</v>
      </c>
      <c r="H2052" s="255">
        <v>3.74</v>
      </c>
      <c r="J2052" s="634"/>
      <c r="S2052" s="536"/>
      <c r="T2052" s="635"/>
    </row>
    <row r="2053" spans="1:68" s="298" customFormat="1">
      <c r="A2053" s="256"/>
      <c r="B2053" s="288" t="s">
        <v>143</v>
      </c>
      <c r="C2053" s="238" t="s">
        <v>17189</v>
      </c>
      <c r="D2053" s="386"/>
      <c r="E2053" s="386"/>
      <c r="F2053" s="386"/>
      <c r="G2053" s="386"/>
      <c r="H2053" s="387"/>
      <c r="J2053" s="521"/>
      <c r="L2053" s="648"/>
      <c r="M2053" s="648"/>
      <c r="S2053" s="536"/>
      <c r="T2053" s="635"/>
    </row>
    <row r="2054" spans="1:68" s="529" customFormat="1" ht="12.75">
      <c r="A2054" s="286"/>
      <c r="B2054" s="823"/>
      <c r="C2054" s="820"/>
      <c r="D2054" s="820"/>
      <c r="E2054" s="820"/>
      <c r="F2054" s="820"/>
      <c r="G2054" s="820"/>
      <c r="H2054" s="821"/>
      <c r="I2054" s="298"/>
      <c r="J2054" s="521"/>
      <c r="K2054" s="649"/>
      <c r="L2054" s="298"/>
      <c r="M2054" s="298"/>
      <c r="N2054" s="298"/>
      <c r="O2054" s="298"/>
      <c r="P2054" s="298"/>
      <c r="Q2054" s="298"/>
      <c r="R2054" s="298"/>
      <c r="S2054" s="536"/>
      <c r="T2054" s="635"/>
      <c r="U2054" s="298"/>
      <c r="V2054" s="298"/>
      <c r="W2054" s="298"/>
      <c r="X2054" s="298"/>
      <c r="Y2054" s="298"/>
      <c r="Z2054" s="298"/>
      <c r="AA2054" s="298"/>
      <c r="AB2054" s="298"/>
      <c r="AC2054" s="298"/>
      <c r="AD2054" s="298"/>
      <c r="AE2054" s="298"/>
      <c r="AF2054" s="298"/>
      <c r="AG2054" s="298"/>
      <c r="AH2054" s="298"/>
      <c r="AI2054" s="298"/>
      <c r="AJ2054" s="298"/>
      <c r="AK2054" s="298"/>
      <c r="AL2054" s="298"/>
      <c r="AM2054" s="298"/>
      <c r="AN2054" s="298"/>
      <c r="AO2054" s="298"/>
      <c r="AP2054" s="298"/>
      <c r="AQ2054" s="298"/>
      <c r="AR2054" s="298"/>
      <c r="AS2054" s="298"/>
      <c r="AT2054" s="298"/>
      <c r="AU2054" s="298"/>
      <c r="AV2054" s="298"/>
      <c r="AW2054" s="298"/>
      <c r="AX2054" s="298"/>
      <c r="AY2054" s="298"/>
      <c r="AZ2054" s="298"/>
      <c r="BA2054" s="298"/>
      <c r="BB2054" s="298"/>
      <c r="BC2054" s="298"/>
      <c r="BD2054" s="298"/>
      <c r="BE2054" s="298"/>
      <c r="BF2054" s="298"/>
      <c r="BG2054" s="298"/>
      <c r="BH2054" s="298"/>
      <c r="BI2054" s="298"/>
      <c r="BJ2054" s="298"/>
      <c r="BK2054" s="298"/>
      <c r="BL2054" s="298"/>
      <c r="BM2054" s="298"/>
      <c r="BN2054" s="298"/>
      <c r="BO2054" s="298"/>
      <c r="BP2054" s="298"/>
    </row>
    <row r="2055" spans="1:68" s="529" customFormat="1" ht="25.5">
      <c r="A2055" s="286"/>
      <c r="B2055" s="372" t="s">
        <v>14459</v>
      </c>
      <c r="C2055" s="231" t="s">
        <v>136</v>
      </c>
      <c r="D2055" s="232" t="s">
        <v>103</v>
      </c>
      <c r="E2055" s="232" t="s">
        <v>128</v>
      </c>
      <c r="F2055" s="233"/>
      <c r="G2055" s="234"/>
      <c r="H2055" s="235">
        <v>5.25</v>
      </c>
      <c r="I2055" s="298"/>
      <c r="J2055" s="649"/>
      <c r="K2055" s="649"/>
      <c r="L2055" s="298"/>
      <c r="M2055" s="298"/>
      <c r="N2055" s="298"/>
      <c r="O2055" s="298"/>
      <c r="P2055" s="298"/>
      <c r="Q2055" s="298"/>
      <c r="R2055" s="298"/>
      <c r="S2055" s="536"/>
      <c r="T2055" s="635"/>
      <c r="U2055" s="298"/>
      <c r="V2055" s="298"/>
      <c r="W2055" s="298"/>
      <c r="X2055" s="298"/>
      <c r="Y2055" s="298"/>
      <c r="Z2055" s="298"/>
      <c r="AA2055" s="298"/>
      <c r="AB2055" s="298"/>
      <c r="AC2055" s="298"/>
      <c r="AD2055" s="298"/>
      <c r="AE2055" s="298"/>
      <c r="AF2055" s="298"/>
      <c r="AG2055" s="298"/>
      <c r="AH2055" s="298"/>
      <c r="AI2055" s="298"/>
      <c r="AJ2055" s="298"/>
      <c r="AK2055" s="298"/>
      <c r="AL2055" s="298"/>
      <c r="AM2055" s="298"/>
      <c r="AN2055" s="298"/>
      <c r="AO2055" s="298"/>
      <c r="AP2055" s="298"/>
      <c r="AQ2055" s="298"/>
      <c r="AR2055" s="298"/>
      <c r="AS2055" s="298"/>
      <c r="AT2055" s="298"/>
      <c r="AU2055" s="298"/>
      <c r="AV2055" s="298"/>
      <c r="AW2055" s="298"/>
      <c r="AX2055" s="298"/>
      <c r="AY2055" s="298"/>
      <c r="AZ2055" s="298"/>
      <c r="BA2055" s="298"/>
      <c r="BB2055" s="298"/>
      <c r="BC2055" s="298"/>
      <c r="BD2055" s="298"/>
      <c r="BE2055" s="298"/>
      <c r="BF2055" s="298"/>
      <c r="BG2055" s="298"/>
      <c r="BH2055" s="298"/>
      <c r="BI2055" s="298"/>
      <c r="BJ2055" s="298"/>
      <c r="BK2055" s="298"/>
      <c r="BL2055" s="298"/>
      <c r="BM2055" s="298"/>
      <c r="BN2055" s="298"/>
      <c r="BO2055" s="298"/>
      <c r="BP2055" s="298"/>
    </row>
    <row r="2056" spans="1:68" s="298" customFormat="1" ht="25.5">
      <c r="A2056" s="256" t="s">
        <v>3261</v>
      </c>
      <c r="B2056" s="288">
        <v>344</v>
      </c>
      <c r="C2056" s="289" t="s">
        <v>9487</v>
      </c>
      <c r="D2056" s="290" t="s">
        <v>207</v>
      </c>
      <c r="E2056" s="290" t="s">
        <v>3244</v>
      </c>
      <c r="F2056" s="383" t="s">
        <v>147</v>
      </c>
      <c r="G2056" s="292" t="s">
        <v>16466</v>
      </c>
      <c r="H2056" s="255">
        <v>0.43</v>
      </c>
      <c r="J2056" s="649"/>
      <c r="K2056" s="649"/>
      <c r="S2056" s="536"/>
      <c r="T2056" s="635"/>
    </row>
    <row r="2057" spans="1:68" s="298" customFormat="1" ht="25.5">
      <c r="A2057" s="256" t="s">
        <v>3259</v>
      </c>
      <c r="B2057" s="374">
        <v>88264</v>
      </c>
      <c r="C2057" s="289" t="s">
        <v>146</v>
      </c>
      <c r="D2057" s="290" t="s">
        <v>9714</v>
      </c>
      <c r="E2057" s="290" t="s">
        <v>206</v>
      </c>
      <c r="F2057" s="383" t="s">
        <v>142</v>
      </c>
      <c r="G2057" s="292" t="s">
        <v>16504</v>
      </c>
      <c r="H2057" s="255">
        <v>4.82</v>
      </c>
      <c r="J2057" s="649"/>
      <c r="K2057" s="649"/>
      <c r="S2057" s="536"/>
      <c r="T2057" s="635"/>
    </row>
    <row r="2058" spans="1:68" s="529" customFormat="1" ht="12.75">
      <c r="A2058" s="286"/>
      <c r="B2058" s="288" t="s">
        <v>143</v>
      </c>
      <c r="C2058" s="603" t="s">
        <v>14467</v>
      </c>
      <c r="D2058" s="386"/>
      <c r="E2058" s="386"/>
      <c r="F2058" s="386"/>
      <c r="G2058" s="386"/>
      <c r="H2058" s="387"/>
      <c r="I2058" s="298"/>
      <c r="J2058" s="521"/>
      <c r="K2058" s="649"/>
      <c r="L2058" s="298"/>
      <c r="M2058" s="298"/>
      <c r="N2058" s="298"/>
      <c r="O2058" s="298"/>
      <c r="P2058" s="298"/>
      <c r="Q2058" s="298"/>
      <c r="R2058" s="298"/>
      <c r="S2058" s="536"/>
      <c r="T2058" s="635"/>
      <c r="U2058" s="298"/>
      <c r="V2058" s="298"/>
      <c r="W2058" s="298"/>
      <c r="X2058" s="298"/>
      <c r="Y2058" s="298"/>
      <c r="Z2058" s="298"/>
      <c r="AA2058" s="298"/>
      <c r="AB2058" s="298"/>
      <c r="AC2058" s="298"/>
      <c r="AD2058" s="298"/>
      <c r="AE2058" s="298"/>
      <c r="AF2058" s="298"/>
      <c r="AG2058" s="298"/>
      <c r="AH2058" s="298"/>
      <c r="AI2058" s="298"/>
      <c r="AJ2058" s="298"/>
      <c r="AK2058" s="298"/>
      <c r="AL2058" s="298"/>
      <c r="AM2058" s="298"/>
      <c r="AN2058" s="298"/>
      <c r="AO2058" s="298"/>
      <c r="AP2058" s="298"/>
      <c r="AQ2058" s="298"/>
      <c r="AR2058" s="298"/>
      <c r="AS2058" s="298"/>
      <c r="AT2058" s="298"/>
      <c r="AU2058" s="298"/>
      <c r="AV2058" s="298"/>
      <c r="AW2058" s="298"/>
      <c r="AX2058" s="298"/>
      <c r="AY2058" s="298"/>
      <c r="AZ2058" s="298"/>
      <c r="BA2058" s="298"/>
      <c r="BB2058" s="298"/>
      <c r="BC2058" s="298"/>
      <c r="BD2058" s="298"/>
      <c r="BE2058" s="298"/>
      <c r="BF2058" s="298"/>
      <c r="BG2058" s="298"/>
      <c r="BH2058" s="298"/>
      <c r="BI2058" s="298"/>
      <c r="BJ2058" s="298"/>
      <c r="BK2058" s="298"/>
      <c r="BL2058" s="298"/>
      <c r="BM2058" s="298"/>
      <c r="BN2058" s="298"/>
      <c r="BO2058" s="298"/>
      <c r="BP2058" s="298"/>
    </row>
    <row r="2059" spans="1:68" s="298" customFormat="1" ht="12.75">
      <c r="B2059" s="293"/>
      <c r="C2059" s="229"/>
      <c r="D2059" s="230"/>
      <c r="E2059" s="230"/>
      <c r="F2059" s="533"/>
      <c r="G2059" s="230"/>
      <c r="H2059" s="230"/>
      <c r="J2059" s="521"/>
      <c r="L2059" s="638"/>
      <c r="S2059" s="536"/>
      <c r="T2059" s="635"/>
    </row>
    <row r="2060" spans="1:68" s="525" customFormat="1" ht="25.5">
      <c r="B2060" s="372" t="s">
        <v>14461</v>
      </c>
      <c r="C2060" s="231" t="s">
        <v>18454</v>
      </c>
      <c r="D2060" s="232" t="s">
        <v>103</v>
      </c>
      <c r="E2060" s="232" t="s">
        <v>10</v>
      </c>
      <c r="F2060" s="233"/>
      <c r="G2060" s="234"/>
      <c r="H2060" s="235">
        <v>33968.5</v>
      </c>
      <c r="I2060" s="298"/>
      <c r="J2060" s="521"/>
      <c r="K2060" s="298"/>
      <c r="L2060" s="650"/>
      <c r="M2060" s="298"/>
      <c r="N2060" s="298"/>
      <c r="O2060" s="298"/>
      <c r="P2060" s="298"/>
      <c r="Q2060" s="298"/>
      <c r="R2060" s="298"/>
      <c r="S2060" s="536"/>
      <c r="T2060" s="635"/>
      <c r="U2060" s="298"/>
      <c r="V2060" s="298"/>
      <c r="W2060" s="298"/>
      <c r="X2060" s="298"/>
      <c r="Y2060" s="298"/>
      <c r="Z2060" s="298"/>
      <c r="AA2060" s="298"/>
      <c r="AB2060" s="298"/>
      <c r="AC2060" s="298"/>
      <c r="AD2060" s="298"/>
      <c r="AE2060" s="298"/>
      <c r="AF2060" s="298"/>
      <c r="AG2060" s="298"/>
      <c r="AH2060" s="298"/>
      <c r="AI2060" s="298"/>
      <c r="AJ2060" s="298"/>
      <c r="AK2060" s="298"/>
      <c r="AL2060" s="298"/>
      <c r="AM2060" s="298"/>
      <c r="AN2060" s="298"/>
      <c r="AO2060" s="298"/>
      <c r="AP2060" s="298"/>
      <c r="AQ2060" s="298"/>
      <c r="AR2060" s="298"/>
      <c r="AS2060" s="298"/>
      <c r="AT2060" s="298"/>
      <c r="AU2060" s="298"/>
      <c r="AV2060" s="298"/>
      <c r="AW2060" s="298"/>
      <c r="AX2060" s="298"/>
      <c r="AY2060" s="298"/>
      <c r="AZ2060" s="298"/>
      <c r="BA2060" s="298"/>
      <c r="BB2060" s="298"/>
      <c r="BC2060" s="298"/>
      <c r="BD2060" s="298"/>
      <c r="BE2060" s="298"/>
      <c r="BF2060" s="298"/>
      <c r="BG2060" s="298"/>
      <c r="BH2060" s="298"/>
      <c r="BI2060" s="298"/>
      <c r="BJ2060" s="298"/>
      <c r="BK2060" s="298"/>
      <c r="BL2060" s="298"/>
      <c r="BM2060" s="298"/>
      <c r="BN2060" s="298"/>
      <c r="BO2060" s="298"/>
      <c r="BP2060" s="298"/>
    </row>
    <row r="2061" spans="1:68" s="506" customFormat="1" ht="25.5">
      <c r="A2061" s="506" t="s">
        <v>3259</v>
      </c>
      <c r="B2061" s="288">
        <v>88247</v>
      </c>
      <c r="C2061" s="289" t="s">
        <v>145</v>
      </c>
      <c r="D2061" s="290" t="s">
        <v>9714</v>
      </c>
      <c r="E2061" s="290" t="s">
        <v>206</v>
      </c>
      <c r="F2061" s="383">
        <v>7.3205</v>
      </c>
      <c r="G2061" s="292" t="s">
        <v>12206</v>
      </c>
      <c r="H2061" s="255">
        <v>137.18</v>
      </c>
      <c r="I2061" s="298"/>
      <c r="J2061" s="521"/>
      <c r="K2061" s="298"/>
      <c r="L2061" s="298"/>
      <c r="M2061" s="298"/>
      <c r="N2061" s="298"/>
      <c r="O2061" s="298"/>
      <c r="P2061" s="298"/>
      <c r="Q2061" s="298"/>
      <c r="R2061" s="298"/>
      <c r="S2061" s="536"/>
      <c r="T2061" s="635"/>
      <c r="U2061" s="298"/>
      <c r="V2061" s="298"/>
      <c r="W2061" s="298"/>
      <c r="X2061" s="298"/>
      <c r="Y2061" s="298"/>
      <c r="Z2061" s="298"/>
      <c r="AA2061" s="298"/>
      <c r="AB2061" s="298"/>
      <c r="AC2061" s="298"/>
      <c r="AD2061" s="298"/>
      <c r="AE2061" s="298"/>
      <c r="AF2061" s="298"/>
      <c r="AG2061" s="298"/>
      <c r="AH2061" s="298"/>
      <c r="AI2061" s="298"/>
      <c r="AJ2061" s="298"/>
      <c r="AK2061" s="298"/>
      <c r="AL2061" s="298"/>
      <c r="AM2061" s="298"/>
      <c r="AN2061" s="298"/>
      <c r="AO2061" s="298"/>
      <c r="AP2061" s="298"/>
      <c r="AQ2061" s="298"/>
      <c r="AR2061" s="298"/>
      <c r="AS2061" s="298"/>
      <c r="AT2061" s="298"/>
      <c r="AU2061" s="298"/>
      <c r="AV2061" s="298"/>
      <c r="AW2061" s="298"/>
      <c r="AX2061" s="298"/>
      <c r="AY2061" s="298"/>
      <c r="AZ2061" s="298"/>
      <c r="BA2061" s="298"/>
      <c r="BB2061" s="298"/>
      <c r="BC2061" s="298"/>
      <c r="BD2061" s="298"/>
      <c r="BE2061" s="298"/>
      <c r="BF2061" s="298"/>
      <c r="BG2061" s="298"/>
      <c r="BH2061" s="298"/>
      <c r="BI2061" s="298"/>
      <c r="BJ2061" s="298"/>
      <c r="BK2061" s="298"/>
      <c r="BL2061" s="298"/>
      <c r="BM2061" s="298"/>
      <c r="BN2061" s="298"/>
      <c r="BO2061" s="298"/>
      <c r="BP2061" s="298"/>
    </row>
    <row r="2062" spans="1:68" s="506" customFormat="1" ht="25.5">
      <c r="A2062" s="506" t="s">
        <v>3259</v>
      </c>
      <c r="B2062" s="288">
        <v>88264</v>
      </c>
      <c r="C2062" s="289" t="s">
        <v>146</v>
      </c>
      <c r="D2062" s="290" t="s">
        <v>9714</v>
      </c>
      <c r="E2062" s="290" t="s">
        <v>206</v>
      </c>
      <c r="F2062" s="383">
        <v>7.3205</v>
      </c>
      <c r="G2062" s="292" t="s">
        <v>16504</v>
      </c>
      <c r="H2062" s="255">
        <v>176.42</v>
      </c>
      <c r="I2062" s="298"/>
      <c r="J2062" s="521"/>
      <c r="K2062" s="298"/>
      <c r="L2062" s="298"/>
      <c r="M2062" s="298"/>
      <c r="N2062" s="298"/>
      <c r="O2062" s="298"/>
      <c r="P2062" s="298"/>
      <c r="Q2062" s="298"/>
      <c r="R2062" s="298"/>
      <c r="S2062" s="536"/>
      <c r="T2062" s="635"/>
      <c r="U2062" s="298"/>
      <c r="V2062" s="298"/>
      <c r="W2062" s="298"/>
      <c r="X2062" s="298"/>
      <c r="Y2062" s="298"/>
      <c r="Z2062" s="298"/>
      <c r="AA2062" s="298"/>
      <c r="AB2062" s="298"/>
      <c r="AC2062" s="298"/>
      <c r="AD2062" s="298"/>
      <c r="AE2062" s="298"/>
      <c r="AF2062" s="298"/>
      <c r="AG2062" s="298"/>
      <c r="AH2062" s="298"/>
      <c r="AI2062" s="298"/>
      <c r="AJ2062" s="298"/>
      <c r="AK2062" s="298"/>
      <c r="AL2062" s="298"/>
      <c r="AM2062" s="298"/>
      <c r="AN2062" s="298"/>
      <c r="AO2062" s="298"/>
      <c r="AP2062" s="298"/>
      <c r="AQ2062" s="298"/>
      <c r="AR2062" s="298"/>
      <c r="AS2062" s="298"/>
      <c r="AT2062" s="298"/>
      <c r="AU2062" s="298"/>
      <c r="AV2062" s="298"/>
      <c r="AW2062" s="298"/>
      <c r="AX2062" s="298"/>
      <c r="AY2062" s="298"/>
      <c r="AZ2062" s="298"/>
      <c r="BA2062" s="298"/>
      <c r="BB2062" s="298"/>
      <c r="BC2062" s="298"/>
      <c r="BD2062" s="298"/>
      <c r="BE2062" s="298"/>
      <c r="BF2062" s="298"/>
      <c r="BG2062" s="298"/>
      <c r="BH2062" s="298"/>
      <c r="BI2062" s="298"/>
      <c r="BJ2062" s="298"/>
      <c r="BK2062" s="298"/>
      <c r="BL2062" s="298"/>
      <c r="BM2062" s="298"/>
      <c r="BN2062" s="298"/>
      <c r="BO2062" s="298"/>
      <c r="BP2062" s="298"/>
    </row>
    <row r="2063" spans="1:68" s="506" customFormat="1" ht="25.5">
      <c r="A2063" s="506" t="s">
        <v>12</v>
      </c>
      <c r="B2063" s="288" t="s">
        <v>9607</v>
      </c>
      <c r="C2063" s="289" t="s">
        <v>24726</v>
      </c>
      <c r="D2063" s="290" t="s">
        <v>207</v>
      </c>
      <c r="E2063" s="290" t="s">
        <v>109</v>
      </c>
      <c r="F2063" s="383">
        <v>7.3205</v>
      </c>
      <c r="G2063" s="292">
        <v>4597.3500000000004</v>
      </c>
      <c r="H2063" s="255">
        <v>33654.9</v>
      </c>
      <c r="I2063" s="298"/>
      <c r="J2063" s="521"/>
      <c r="K2063" s="298"/>
      <c r="L2063" s="298"/>
      <c r="M2063" s="298"/>
      <c r="N2063" s="298"/>
      <c r="O2063" s="298"/>
      <c r="P2063" s="298"/>
      <c r="Q2063" s="298"/>
      <c r="R2063" s="298"/>
      <c r="S2063" s="536"/>
      <c r="T2063" s="635"/>
      <c r="U2063" s="298"/>
      <c r="V2063" s="298"/>
      <c r="W2063" s="298"/>
      <c r="X2063" s="298"/>
      <c r="Y2063" s="298"/>
      <c r="Z2063" s="298"/>
      <c r="AA2063" s="298"/>
      <c r="AB2063" s="298"/>
      <c r="AC2063" s="298"/>
      <c r="AD2063" s="298"/>
      <c r="AE2063" s="298"/>
      <c r="AF2063" s="298"/>
      <c r="AG2063" s="298"/>
      <c r="AH2063" s="298"/>
      <c r="AI2063" s="298"/>
      <c r="AJ2063" s="298"/>
      <c r="AK2063" s="298"/>
      <c r="AL2063" s="298"/>
      <c r="AM2063" s="298"/>
      <c r="AN2063" s="298"/>
      <c r="AO2063" s="298"/>
      <c r="AP2063" s="298"/>
      <c r="AQ2063" s="298"/>
      <c r="AR2063" s="298"/>
      <c r="AS2063" s="298"/>
      <c r="AT2063" s="298"/>
      <c r="AU2063" s="298"/>
      <c r="AV2063" s="298"/>
      <c r="AW2063" s="298"/>
      <c r="AX2063" s="298"/>
      <c r="AY2063" s="298"/>
      <c r="AZ2063" s="298"/>
      <c r="BA2063" s="298"/>
      <c r="BB2063" s="298"/>
      <c r="BC2063" s="298"/>
      <c r="BD2063" s="298"/>
      <c r="BE2063" s="298"/>
      <c r="BF2063" s="298"/>
      <c r="BG2063" s="298"/>
      <c r="BH2063" s="298"/>
      <c r="BI2063" s="298"/>
      <c r="BJ2063" s="298"/>
      <c r="BK2063" s="298"/>
      <c r="BL2063" s="298"/>
      <c r="BM2063" s="298"/>
      <c r="BN2063" s="298"/>
      <c r="BO2063" s="298"/>
      <c r="BP2063" s="298"/>
    </row>
    <row r="2064" spans="1:68" s="298" customFormat="1" ht="12.75">
      <c r="B2064" s="288" t="s">
        <v>143</v>
      </c>
      <c r="C2064" s="819" t="s">
        <v>18453</v>
      </c>
      <c r="D2064" s="820"/>
      <c r="E2064" s="820"/>
      <c r="F2064" s="820"/>
      <c r="G2064" s="820"/>
      <c r="H2064" s="821"/>
      <c r="J2064" s="521"/>
      <c r="S2064" s="536"/>
      <c r="T2064" s="635"/>
    </row>
    <row r="2065" spans="1:68" s="298" customFormat="1" ht="12.75">
      <c r="B2065" s="293"/>
      <c r="C2065" s="229"/>
      <c r="D2065" s="230"/>
      <c r="E2065" s="230"/>
      <c r="F2065" s="533"/>
      <c r="G2065" s="230"/>
      <c r="H2065" s="230"/>
      <c r="J2065" s="521"/>
      <c r="L2065" s="638"/>
      <c r="S2065" s="536"/>
      <c r="T2065" s="635"/>
    </row>
    <row r="2066" spans="1:68" s="525" customFormat="1" ht="25.5">
      <c r="B2066" s="372" t="s">
        <v>14462</v>
      </c>
      <c r="C2066" s="231" t="s">
        <v>18455</v>
      </c>
      <c r="D2066" s="232" t="s">
        <v>103</v>
      </c>
      <c r="E2066" s="232" t="s">
        <v>10</v>
      </c>
      <c r="F2066" s="233"/>
      <c r="G2066" s="234"/>
      <c r="H2066" s="235">
        <v>576.5</v>
      </c>
      <c r="I2066" s="298"/>
      <c r="J2066" s="521"/>
      <c r="K2066" s="298"/>
      <c r="L2066" s="650"/>
      <c r="M2066" s="298"/>
      <c r="N2066" s="298"/>
      <c r="O2066" s="298"/>
      <c r="P2066" s="298"/>
      <c r="Q2066" s="298"/>
      <c r="R2066" s="298"/>
      <c r="S2066" s="536"/>
      <c r="T2066" s="635"/>
      <c r="U2066" s="298"/>
      <c r="V2066" s="298"/>
      <c r="W2066" s="298"/>
      <c r="X2066" s="298"/>
      <c r="Y2066" s="298"/>
      <c r="Z2066" s="298"/>
      <c r="AA2066" s="298"/>
      <c r="AB2066" s="298"/>
      <c r="AC2066" s="298"/>
      <c r="AD2066" s="298"/>
      <c r="AE2066" s="298"/>
      <c r="AF2066" s="298"/>
      <c r="AG2066" s="298"/>
      <c r="AH2066" s="298"/>
      <c r="AI2066" s="298"/>
      <c r="AJ2066" s="298"/>
      <c r="AK2066" s="298"/>
      <c r="AL2066" s="298"/>
      <c r="AM2066" s="298"/>
      <c r="AN2066" s="298"/>
      <c r="AO2066" s="298"/>
      <c r="AP2066" s="298"/>
      <c r="AQ2066" s="298"/>
      <c r="AR2066" s="298"/>
      <c r="AS2066" s="298"/>
      <c r="AT2066" s="298"/>
      <c r="AU2066" s="298"/>
      <c r="AV2066" s="298"/>
      <c r="AW2066" s="298"/>
      <c r="AX2066" s="298"/>
      <c r="AY2066" s="298"/>
      <c r="AZ2066" s="298"/>
      <c r="BA2066" s="298"/>
      <c r="BB2066" s="298"/>
      <c r="BC2066" s="298"/>
      <c r="BD2066" s="298"/>
      <c r="BE2066" s="298"/>
      <c r="BF2066" s="298"/>
      <c r="BG2066" s="298"/>
      <c r="BH2066" s="298"/>
      <c r="BI2066" s="298"/>
      <c r="BJ2066" s="298"/>
      <c r="BK2066" s="298"/>
      <c r="BL2066" s="298"/>
      <c r="BM2066" s="298"/>
      <c r="BN2066" s="298"/>
      <c r="BO2066" s="298"/>
      <c r="BP2066" s="298"/>
    </row>
    <row r="2067" spans="1:68" s="506" customFormat="1" ht="38.25">
      <c r="A2067" s="506" t="s">
        <v>3259</v>
      </c>
      <c r="B2067" s="288">
        <v>93358</v>
      </c>
      <c r="C2067" s="289" t="s">
        <v>16227</v>
      </c>
      <c r="D2067" s="290" t="s">
        <v>229</v>
      </c>
      <c r="E2067" s="290" t="s">
        <v>209</v>
      </c>
      <c r="F2067" s="534">
        <v>0.3</v>
      </c>
      <c r="G2067" s="292" t="s">
        <v>23682</v>
      </c>
      <c r="H2067" s="255">
        <v>20.89</v>
      </c>
      <c r="I2067" s="298"/>
      <c r="J2067" s="521"/>
      <c r="K2067" s="298"/>
      <c r="L2067" s="298"/>
      <c r="M2067" s="298"/>
      <c r="N2067" s="298"/>
      <c r="O2067" s="298"/>
      <c r="P2067" s="298"/>
      <c r="Q2067" s="298"/>
      <c r="R2067" s="298"/>
      <c r="S2067" s="536"/>
      <c r="T2067" s="635"/>
      <c r="U2067" s="298"/>
      <c r="V2067" s="298"/>
      <c r="W2067" s="298"/>
      <c r="X2067" s="298"/>
      <c r="Y2067" s="298"/>
      <c r="Z2067" s="298"/>
      <c r="AA2067" s="298"/>
      <c r="AB2067" s="298"/>
      <c r="AC2067" s="298"/>
      <c r="AD2067" s="298"/>
      <c r="AE2067" s="298"/>
      <c r="AF2067" s="298"/>
      <c r="AG2067" s="298"/>
      <c r="AH2067" s="298"/>
      <c r="AI2067" s="298"/>
      <c r="AJ2067" s="298"/>
      <c r="AK2067" s="298"/>
      <c r="AL2067" s="298"/>
      <c r="AM2067" s="298"/>
      <c r="AN2067" s="298"/>
      <c r="AO2067" s="298"/>
      <c r="AP2067" s="298"/>
      <c r="AQ2067" s="298"/>
      <c r="AR2067" s="298"/>
      <c r="AS2067" s="298"/>
      <c r="AT2067" s="298"/>
      <c r="AU2067" s="298"/>
      <c r="AV2067" s="298"/>
      <c r="AW2067" s="298"/>
      <c r="AX2067" s="298"/>
      <c r="AY2067" s="298"/>
      <c r="AZ2067" s="298"/>
      <c r="BA2067" s="298"/>
      <c r="BB2067" s="298"/>
      <c r="BC2067" s="298"/>
      <c r="BD2067" s="298"/>
      <c r="BE2067" s="298"/>
      <c r="BF2067" s="298"/>
      <c r="BG2067" s="298"/>
      <c r="BH2067" s="298"/>
      <c r="BI2067" s="298"/>
      <c r="BJ2067" s="298"/>
      <c r="BK2067" s="298"/>
      <c r="BL2067" s="298"/>
      <c r="BM2067" s="298"/>
      <c r="BN2067" s="298"/>
      <c r="BO2067" s="298"/>
      <c r="BP2067" s="298"/>
    </row>
    <row r="2068" spans="1:68" s="506" customFormat="1" ht="38.25">
      <c r="A2068" s="506" t="s">
        <v>3259</v>
      </c>
      <c r="B2068" s="288">
        <v>101616</v>
      </c>
      <c r="C2068" s="289" t="s">
        <v>13664</v>
      </c>
      <c r="D2068" s="290" t="s">
        <v>229</v>
      </c>
      <c r="E2068" s="290" t="s">
        <v>193</v>
      </c>
      <c r="F2068" s="534">
        <v>1</v>
      </c>
      <c r="G2068" s="292" t="s">
        <v>11219</v>
      </c>
      <c r="H2068" s="255">
        <v>5.27</v>
      </c>
      <c r="I2068" s="298"/>
      <c r="J2068" s="521"/>
      <c r="K2068" s="298"/>
      <c r="L2068" s="298"/>
      <c r="M2068" s="298"/>
      <c r="N2068" s="298"/>
      <c r="O2068" s="298"/>
      <c r="P2068" s="298"/>
      <c r="Q2068" s="298"/>
      <c r="R2068" s="298"/>
      <c r="S2068" s="536"/>
      <c r="T2068" s="635"/>
      <c r="U2068" s="298"/>
      <c r="V2068" s="298"/>
      <c r="W2068" s="298"/>
      <c r="X2068" s="298"/>
      <c r="Y2068" s="298"/>
      <c r="Z2068" s="298"/>
      <c r="AA2068" s="298"/>
      <c r="AB2068" s="298"/>
      <c r="AC2068" s="298"/>
      <c r="AD2068" s="298"/>
      <c r="AE2068" s="298"/>
      <c r="AF2068" s="298"/>
      <c r="AG2068" s="298"/>
      <c r="AH2068" s="298"/>
      <c r="AI2068" s="298"/>
      <c r="AJ2068" s="298"/>
      <c r="AK2068" s="298"/>
      <c r="AL2068" s="298"/>
      <c r="AM2068" s="298"/>
      <c r="AN2068" s="298"/>
      <c r="AO2068" s="298"/>
      <c r="AP2068" s="298"/>
      <c r="AQ2068" s="298"/>
      <c r="AR2068" s="298"/>
      <c r="AS2068" s="298"/>
      <c r="AT2068" s="298"/>
      <c r="AU2068" s="298"/>
      <c r="AV2068" s="298"/>
      <c r="AW2068" s="298"/>
      <c r="AX2068" s="298"/>
      <c r="AY2068" s="298"/>
      <c r="AZ2068" s="298"/>
      <c r="BA2068" s="298"/>
      <c r="BB2068" s="298"/>
      <c r="BC2068" s="298"/>
      <c r="BD2068" s="298"/>
      <c r="BE2068" s="298"/>
      <c r="BF2068" s="298"/>
      <c r="BG2068" s="298"/>
      <c r="BH2068" s="298"/>
      <c r="BI2068" s="298"/>
      <c r="BJ2068" s="298"/>
      <c r="BK2068" s="298"/>
      <c r="BL2068" s="298"/>
      <c r="BM2068" s="298"/>
      <c r="BN2068" s="298"/>
      <c r="BO2068" s="298"/>
      <c r="BP2068" s="298"/>
    </row>
    <row r="2069" spans="1:68" s="506" customFormat="1" ht="25.5">
      <c r="A2069" s="506" t="s">
        <v>14338</v>
      </c>
      <c r="B2069" s="288" t="s">
        <v>14363</v>
      </c>
      <c r="C2069" s="289" t="s">
        <v>15405</v>
      </c>
      <c r="D2069" s="290" t="s">
        <v>103</v>
      </c>
      <c r="E2069" s="290" t="s">
        <v>3241</v>
      </c>
      <c r="F2069" s="534">
        <v>0.05</v>
      </c>
      <c r="G2069" s="292">
        <v>183.81</v>
      </c>
      <c r="H2069" s="255">
        <v>9.19</v>
      </c>
      <c r="I2069" s="298"/>
      <c r="J2069" s="521"/>
      <c r="K2069" s="298"/>
      <c r="L2069" s="298"/>
      <c r="M2069" s="298"/>
      <c r="N2069" s="298"/>
      <c r="O2069" s="298"/>
      <c r="P2069" s="298"/>
      <c r="Q2069" s="298"/>
      <c r="R2069" s="298"/>
      <c r="S2069" s="536"/>
      <c r="T2069" s="635"/>
      <c r="U2069" s="298"/>
      <c r="V2069" s="298"/>
      <c r="W2069" s="298"/>
      <c r="X2069" s="298"/>
      <c r="Y2069" s="298"/>
      <c r="Z2069" s="298"/>
      <c r="AA2069" s="298"/>
      <c r="AB2069" s="298"/>
      <c r="AC2069" s="298"/>
      <c r="AD2069" s="298"/>
      <c r="AE2069" s="298"/>
      <c r="AF2069" s="298"/>
      <c r="AG2069" s="298"/>
      <c r="AH2069" s="298"/>
      <c r="AI2069" s="298"/>
      <c r="AJ2069" s="298"/>
      <c r="AK2069" s="298"/>
      <c r="AL2069" s="298"/>
      <c r="AM2069" s="298"/>
      <c r="AN2069" s="298"/>
      <c r="AO2069" s="298"/>
      <c r="AP2069" s="298"/>
      <c r="AQ2069" s="298"/>
      <c r="AR2069" s="298"/>
      <c r="AS2069" s="298"/>
      <c r="AT2069" s="298"/>
      <c r="AU2069" s="298"/>
      <c r="AV2069" s="298"/>
      <c r="AW2069" s="298"/>
      <c r="AX2069" s="298"/>
      <c r="AY2069" s="298"/>
      <c r="AZ2069" s="298"/>
      <c r="BA2069" s="298"/>
      <c r="BB2069" s="298"/>
      <c r="BC2069" s="298"/>
      <c r="BD2069" s="298"/>
      <c r="BE2069" s="298"/>
      <c r="BF2069" s="298"/>
      <c r="BG2069" s="298"/>
      <c r="BH2069" s="298"/>
      <c r="BI2069" s="298"/>
      <c r="BJ2069" s="298"/>
      <c r="BK2069" s="298"/>
      <c r="BL2069" s="298"/>
      <c r="BM2069" s="298"/>
      <c r="BN2069" s="298"/>
      <c r="BO2069" s="298"/>
      <c r="BP2069" s="298"/>
    </row>
    <row r="2070" spans="1:68" s="506" customFormat="1" ht="38.25">
      <c r="A2070" s="506" t="s">
        <v>3259</v>
      </c>
      <c r="B2070" s="288">
        <v>96545</v>
      </c>
      <c r="C2070" s="289" t="s">
        <v>1441</v>
      </c>
      <c r="D2070" s="290" t="s">
        <v>229</v>
      </c>
      <c r="E2070" s="290" t="s">
        <v>108</v>
      </c>
      <c r="F2070" s="534">
        <v>10.425600000000001</v>
      </c>
      <c r="G2070" s="292" t="s">
        <v>11215</v>
      </c>
      <c r="H2070" s="255">
        <v>167.01</v>
      </c>
      <c r="I2070" s="298"/>
      <c r="J2070" s="521"/>
      <c r="K2070" s="298"/>
      <c r="L2070" s="298"/>
      <c r="M2070" s="298"/>
      <c r="N2070" s="298"/>
      <c r="O2070" s="298"/>
      <c r="P2070" s="298"/>
      <c r="Q2070" s="298"/>
      <c r="R2070" s="298"/>
      <c r="S2070" s="536"/>
      <c r="T2070" s="635"/>
      <c r="U2070" s="298"/>
      <c r="V2070" s="298"/>
      <c r="W2070" s="298"/>
      <c r="X2070" s="298"/>
      <c r="Y2070" s="298"/>
      <c r="Z2070" s="298"/>
      <c r="AA2070" s="298"/>
      <c r="AB2070" s="298"/>
      <c r="AC2070" s="298"/>
      <c r="AD2070" s="298"/>
      <c r="AE2070" s="298"/>
      <c r="AF2070" s="298"/>
      <c r="AG2070" s="298"/>
      <c r="AH2070" s="298"/>
      <c r="AI2070" s="298"/>
      <c r="AJ2070" s="298"/>
      <c r="AK2070" s="298"/>
      <c r="AL2070" s="298"/>
      <c r="AM2070" s="298"/>
      <c r="AN2070" s="298"/>
      <c r="AO2070" s="298"/>
      <c r="AP2070" s="298"/>
      <c r="AQ2070" s="298"/>
      <c r="AR2070" s="298"/>
      <c r="AS2070" s="298"/>
      <c r="AT2070" s="298"/>
      <c r="AU2070" s="298"/>
      <c r="AV2070" s="298"/>
      <c r="AW2070" s="298"/>
      <c r="AX2070" s="298"/>
      <c r="AY2070" s="298"/>
      <c r="AZ2070" s="298"/>
      <c r="BA2070" s="298"/>
      <c r="BB2070" s="298"/>
      <c r="BC2070" s="298"/>
      <c r="BD2070" s="298"/>
      <c r="BE2070" s="298"/>
      <c r="BF2070" s="298"/>
      <c r="BG2070" s="298"/>
      <c r="BH2070" s="298"/>
      <c r="BI2070" s="298"/>
      <c r="BJ2070" s="298"/>
      <c r="BK2070" s="298"/>
      <c r="BL2070" s="298"/>
      <c r="BM2070" s="298"/>
      <c r="BN2070" s="298"/>
      <c r="BO2070" s="298"/>
      <c r="BP2070" s="298"/>
    </row>
    <row r="2071" spans="1:68" s="506" customFormat="1" ht="51">
      <c r="A2071" s="506" t="s">
        <v>3259</v>
      </c>
      <c r="B2071" s="288">
        <v>94970</v>
      </c>
      <c r="C2071" s="289" t="s">
        <v>22453</v>
      </c>
      <c r="D2071" s="290" t="s">
        <v>229</v>
      </c>
      <c r="E2071" s="290" t="s">
        <v>209</v>
      </c>
      <c r="F2071" s="534">
        <v>0.13032000000000002</v>
      </c>
      <c r="G2071" s="292" t="s">
        <v>22454</v>
      </c>
      <c r="H2071" s="255">
        <v>48.17</v>
      </c>
      <c r="I2071" s="298"/>
      <c r="J2071" s="521"/>
      <c r="K2071" s="298"/>
      <c r="L2071" s="298"/>
      <c r="M2071" s="298"/>
      <c r="N2071" s="298"/>
      <c r="O2071" s="298"/>
      <c r="P2071" s="298"/>
      <c r="Q2071" s="298"/>
      <c r="R2071" s="298"/>
      <c r="S2071" s="536"/>
      <c r="T2071" s="635"/>
      <c r="U2071" s="298"/>
      <c r="V2071" s="298"/>
      <c r="W2071" s="298"/>
      <c r="X2071" s="298"/>
      <c r="Y2071" s="298"/>
      <c r="Z2071" s="298"/>
      <c r="AA2071" s="298"/>
      <c r="AB2071" s="298"/>
      <c r="AC2071" s="298"/>
      <c r="AD2071" s="298"/>
      <c r="AE2071" s="298"/>
      <c r="AF2071" s="298"/>
      <c r="AG2071" s="298"/>
      <c r="AH2071" s="298"/>
      <c r="AI2071" s="298"/>
      <c r="AJ2071" s="298"/>
      <c r="AK2071" s="298"/>
      <c r="AL2071" s="298"/>
      <c r="AM2071" s="298"/>
      <c r="AN2071" s="298"/>
      <c r="AO2071" s="298"/>
      <c r="AP2071" s="298"/>
      <c r="AQ2071" s="298"/>
      <c r="AR2071" s="298"/>
      <c r="AS2071" s="298"/>
      <c r="AT2071" s="298"/>
      <c r="AU2071" s="298"/>
      <c r="AV2071" s="298"/>
      <c r="AW2071" s="298"/>
      <c r="AX2071" s="298"/>
      <c r="AY2071" s="298"/>
      <c r="AZ2071" s="298"/>
      <c r="BA2071" s="298"/>
      <c r="BB2071" s="298"/>
      <c r="BC2071" s="298"/>
      <c r="BD2071" s="298"/>
      <c r="BE2071" s="298"/>
      <c r="BF2071" s="298"/>
      <c r="BG2071" s="298"/>
      <c r="BH2071" s="298"/>
      <c r="BI2071" s="298"/>
      <c r="BJ2071" s="298"/>
      <c r="BK2071" s="298"/>
      <c r="BL2071" s="298"/>
      <c r="BM2071" s="298"/>
      <c r="BN2071" s="298"/>
      <c r="BO2071" s="298"/>
      <c r="BP2071" s="298"/>
    </row>
    <row r="2072" spans="1:68" s="506" customFormat="1" ht="38.25">
      <c r="A2072" s="506" t="s">
        <v>3259</v>
      </c>
      <c r="B2072" s="288">
        <v>92873</v>
      </c>
      <c r="C2072" s="289" t="s">
        <v>144</v>
      </c>
      <c r="D2072" s="290" t="s">
        <v>229</v>
      </c>
      <c r="E2072" s="290" t="s">
        <v>209</v>
      </c>
      <c r="F2072" s="534">
        <v>0.13032000000000002</v>
      </c>
      <c r="G2072" s="292" t="s">
        <v>22437</v>
      </c>
      <c r="H2072" s="255">
        <v>24.35</v>
      </c>
      <c r="I2072" s="298"/>
      <c r="J2072" s="521"/>
      <c r="K2072" s="298"/>
      <c r="L2072" s="298"/>
      <c r="M2072" s="298"/>
      <c r="N2072" s="298"/>
      <c r="O2072" s="298"/>
      <c r="P2072" s="298"/>
      <c r="Q2072" s="298"/>
      <c r="R2072" s="298"/>
      <c r="S2072" s="536"/>
      <c r="T2072" s="635"/>
      <c r="U2072" s="298"/>
      <c r="V2072" s="298"/>
      <c r="W2072" s="298"/>
      <c r="X2072" s="298"/>
      <c r="Y2072" s="298"/>
      <c r="Z2072" s="298"/>
      <c r="AA2072" s="298"/>
      <c r="AB2072" s="298"/>
      <c r="AC2072" s="298"/>
      <c r="AD2072" s="298"/>
      <c r="AE2072" s="298"/>
      <c r="AF2072" s="298"/>
      <c r="AG2072" s="298"/>
      <c r="AH2072" s="298"/>
      <c r="AI2072" s="298"/>
      <c r="AJ2072" s="298"/>
      <c r="AK2072" s="298"/>
      <c r="AL2072" s="298"/>
      <c r="AM2072" s="298"/>
      <c r="AN2072" s="298"/>
      <c r="AO2072" s="298"/>
      <c r="AP2072" s="298"/>
      <c r="AQ2072" s="298"/>
      <c r="AR2072" s="298"/>
      <c r="AS2072" s="298"/>
      <c r="AT2072" s="298"/>
      <c r="AU2072" s="298"/>
      <c r="AV2072" s="298"/>
      <c r="AW2072" s="298"/>
      <c r="AX2072" s="298"/>
      <c r="AY2072" s="298"/>
      <c r="AZ2072" s="298"/>
      <c r="BA2072" s="298"/>
      <c r="BB2072" s="298"/>
      <c r="BC2072" s="298"/>
      <c r="BD2072" s="298"/>
      <c r="BE2072" s="298"/>
      <c r="BF2072" s="298"/>
      <c r="BG2072" s="298"/>
      <c r="BH2072" s="298"/>
      <c r="BI2072" s="298"/>
      <c r="BJ2072" s="298"/>
      <c r="BK2072" s="298"/>
      <c r="BL2072" s="298"/>
      <c r="BM2072" s="298"/>
      <c r="BN2072" s="298"/>
      <c r="BO2072" s="298"/>
      <c r="BP2072" s="298"/>
    </row>
    <row r="2073" spans="1:68" s="506" customFormat="1" ht="76.5">
      <c r="A2073" s="506" t="s">
        <v>3259</v>
      </c>
      <c r="B2073" s="288">
        <v>87455</v>
      </c>
      <c r="C2073" s="289" t="s">
        <v>2603</v>
      </c>
      <c r="D2073" s="290" t="s">
        <v>229</v>
      </c>
      <c r="E2073" s="290" t="s">
        <v>193</v>
      </c>
      <c r="F2073" s="534">
        <v>2.99736</v>
      </c>
      <c r="G2073" s="292" t="s">
        <v>16453</v>
      </c>
      <c r="H2073" s="255">
        <v>225.85</v>
      </c>
      <c r="I2073" s="298"/>
      <c r="J2073" s="521"/>
      <c r="K2073" s="298"/>
      <c r="L2073" s="638"/>
      <c r="M2073" s="298"/>
      <c r="N2073" s="298"/>
      <c r="O2073" s="298"/>
      <c r="P2073" s="298"/>
      <c r="Q2073" s="298"/>
      <c r="R2073" s="298"/>
      <c r="S2073" s="536"/>
      <c r="T2073" s="635"/>
      <c r="U2073" s="298"/>
      <c r="V2073" s="298"/>
      <c r="W2073" s="298"/>
      <c r="X2073" s="298"/>
      <c r="Y2073" s="298"/>
      <c r="Z2073" s="298"/>
      <c r="AA2073" s="298"/>
      <c r="AB2073" s="298"/>
      <c r="AC2073" s="298"/>
      <c r="AD2073" s="298"/>
      <c r="AE2073" s="298"/>
      <c r="AF2073" s="298"/>
      <c r="AG2073" s="298"/>
      <c r="AH2073" s="298"/>
      <c r="AI2073" s="298"/>
      <c r="AJ2073" s="298"/>
      <c r="AK2073" s="298"/>
      <c r="AL2073" s="298"/>
      <c r="AM2073" s="298"/>
      <c r="AN2073" s="298"/>
      <c r="AO2073" s="298"/>
      <c r="AP2073" s="298"/>
      <c r="AQ2073" s="298"/>
      <c r="AR2073" s="298"/>
      <c r="AS2073" s="298"/>
      <c r="AT2073" s="298"/>
      <c r="AU2073" s="298"/>
      <c r="AV2073" s="298"/>
      <c r="AW2073" s="298"/>
      <c r="AX2073" s="298"/>
      <c r="AY2073" s="298"/>
      <c r="AZ2073" s="298"/>
      <c r="BA2073" s="298"/>
      <c r="BB2073" s="298"/>
      <c r="BC2073" s="298"/>
      <c r="BD2073" s="298"/>
      <c r="BE2073" s="298"/>
      <c r="BF2073" s="298"/>
      <c r="BG2073" s="298"/>
      <c r="BH2073" s="298"/>
      <c r="BI2073" s="298"/>
      <c r="BJ2073" s="298"/>
      <c r="BK2073" s="298"/>
      <c r="BL2073" s="298"/>
      <c r="BM2073" s="298"/>
      <c r="BN2073" s="298"/>
      <c r="BO2073" s="298"/>
      <c r="BP2073" s="298"/>
    </row>
    <row r="2074" spans="1:68" s="506" customFormat="1" ht="38.25">
      <c r="A2074" s="506" t="s">
        <v>3259</v>
      </c>
      <c r="B2074" s="288">
        <v>88489</v>
      </c>
      <c r="C2074" s="289" t="s">
        <v>227</v>
      </c>
      <c r="D2074" s="290" t="s">
        <v>229</v>
      </c>
      <c r="E2074" s="290" t="s">
        <v>193</v>
      </c>
      <c r="F2074" s="534">
        <v>5.99472</v>
      </c>
      <c r="G2074" s="292" t="s">
        <v>11393</v>
      </c>
      <c r="H2074" s="255">
        <v>75.77</v>
      </c>
      <c r="I2074" s="298"/>
      <c r="J2074" s="521"/>
      <c r="K2074" s="298"/>
      <c r="L2074" s="298"/>
      <c r="M2074" s="298"/>
      <c r="N2074" s="298"/>
      <c r="O2074" s="298"/>
      <c r="P2074" s="298"/>
      <c r="Q2074" s="298"/>
      <c r="R2074" s="298"/>
      <c r="S2074" s="536"/>
      <c r="T2074" s="635"/>
      <c r="U2074" s="298"/>
      <c r="V2074" s="298"/>
      <c r="W2074" s="298"/>
      <c r="X2074" s="298"/>
      <c r="Y2074" s="298"/>
      <c r="Z2074" s="298"/>
      <c r="AA2074" s="298"/>
      <c r="AB2074" s="298"/>
      <c r="AC2074" s="298"/>
      <c r="AD2074" s="298"/>
      <c r="AE2074" s="298"/>
      <c r="AF2074" s="298"/>
      <c r="AG2074" s="298"/>
      <c r="AH2074" s="298"/>
      <c r="AI2074" s="298"/>
      <c r="AJ2074" s="298"/>
      <c r="AK2074" s="298"/>
      <c r="AL2074" s="298"/>
      <c r="AM2074" s="298"/>
      <c r="AN2074" s="298"/>
      <c r="AO2074" s="298"/>
      <c r="AP2074" s="298"/>
      <c r="AQ2074" s="298"/>
      <c r="AR2074" s="298"/>
      <c r="AS2074" s="298"/>
      <c r="AT2074" s="298"/>
      <c r="AU2074" s="298"/>
      <c r="AV2074" s="298"/>
      <c r="AW2074" s="298"/>
      <c r="AX2074" s="298"/>
      <c r="AY2074" s="298"/>
      <c r="AZ2074" s="298"/>
      <c r="BA2074" s="298"/>
      <c r="BB2074" s="298"/>
      <c r="BC2074" s="298"/>
      <c r="BD2074" s="298"/>
      <c r="BE2074" s="298"/>
      <c r="BF2074" s="298"/>
      <c r="BG2074" s="298"/>
      <c r="BH2074" s="298"/>
      <c r="BI2074" s="298"/>
      <c r="BJ2074" s="298"/>
      <c r="BK2074" s="298"/>
      <c r="BL2074" s="298"/>
      <c r="BM2074" s="298"/>
      <c r="BN2074" s="298"/>
      <c r="BO2074" s="298"/>
      <c r="BP2074" s="298"/>
    </row>
    <row r="2075" spans="1:68" s="298" customFormat="1" ht="12.75">
      <c r="B2075" s="288" t="s">
        <v>143</v>
      </c>
      <c r="C2075" s="819" t="s">
        <v>14676</v>
      </c>
      <c r="D2075" s="820"/>
      <c r="E2075" s="820"/>
      <c r="F2075" s="820"/>
      <c r="G2075" s="820"/>
      <c r="H2075" s="821"/>
      <c r="J2075" s="521"/>
      <c r="S2075" s="536"/>
      <c r="T2075" s="635"/>
    </row>
    <row r="2076" spans="1:68" s="298" customFormat="1" ht="12.75">
      <c r="B2076" s="823"/>
      <c r="C2076" s="820"/>
      <c r="D2076" s="820"/>
      <c r="E2076" s="820"/>
      <c r="F2076" s="820"/>
      <c r="G2076" s="820"/>
      <c r="H2076" s="821"/>
      <c r="J2076" s="521"/>
      <c r="S2076" s="536"/>
      <c r="T2076" s="635"/>
    </row>
    <row r="2077" spans="1:68" s="525" customFormat="1" ht="76.5">
      <c r="B2077" s="372" t="s">
        <v>14463</v>
      </c>
      <c r="C2077" s="231" t="s">
        <v>18506</v>
      </c>
      <c r="D2077" s="232" t="s">
        <v>103</v>
      </c>
      <c r="E2077" s="232" t="s">
        <v>10</v>
      </c>
      <c r="F2077" s="233"/>
      <c r="G2077" s="234"/>
      <c r="H2077" s="235">
        <v>6451.380000000001</v>
      </c>
      <c r="I2077" s="298"/>
      <c r="J2077" s="521"/>
      <c r="K2077" s="298"/>
      <c r="L2077" s="298"/>
      <c r="M2077" s="298"/>
      <c r="N2077" s="298"/>
      <c r="O2077" s="298"/>
      <c r="P2077" s="298"/>
      <c r="Q2077" s="298"/>
      <c r="R2077" s="298"/>
      <c r="S2077" s="536"/>
      <c r="T2077" s="635"/>
      <c r="U2077" s="298"/>
      <c r="V2077" s="298"/>
      <c r="W2077" s="298"/>
      <c r="X2077" s="298"/>
      <c r="Y2077" s="298"/>
      <c r="Z2077" s="298"/>
      <c r="AA2077" s="298"/>
      <c r="AB2077" s="298"/>
      <c r="AC2077" s="298"/>
      <c r="AD2077" s="298"/>
      <c r="AE2077" s="298"/>
      <c r="AF2077" s="298"/>
      <c r="AG2077" s="298"/>
      <c r="AH2077" s="298"/>
      <c r="AI2077" s="298"/>
      <c r="AJ2077" s="298"/>
      <c r="AK2077" s="298"/>
      <c r="AL2077" s="298"/>
      <c r="AM2077" s="298"/>
      <c r="AN2077" s="298"/>
      <c r="AO2077" s="298"/>
      <c r="AP2077" s="298"/>
      <c r="AQ2077" s="298"/>
      <c r="AR2077" s="298"/>
      <c r="AS2077" s="298"/>
      <c r="AT2077" s="298"/>
      <c r="AU2077" s="298"/>
      <c r="AV2077" s="298"/>
      <c r="AW2077" s="298"/>
      <c r="AX2077" s="298"/>
      <c r="AY2077" s="298"/>
      <c r="AZ2077" s="298"/>
      <c r="BA2077" s="298"/>
      <c r="BB2077" s="298"/>
      <c r="BC2077" s="298"/>
      <c r="BD2077" s="298"/>
      <c r="BE2077" s="298"/>
      <c r="BF2077" s="298"/>
      <c r="BG2077" s="298"/>
      <c r="BH2077" s="298"/>
      <c r="BI2077" s="298"/>
      <c r="BJ2077" s="298"/>
      <c r="BK2077" s="298"/>
      <c r="BL2077" s="298"/>
      <c r="BM2077" s="298"/>
      <c r="BN2077" s="298"/>
      <c r="BO2077" s="298"/>
      <c r="BP2077" s="298"/>
    </row>
    <row r="2078" spans="1:68" s="506" customFormat="1" ht="12.75">
      <c r="A2078" s="506" t="s">
        <v>12</v>
      </c>
      <c r="B2078" s="288" t="s">
        <v>18462</v>
      </c>
      <c r="C2078" s="289" t="s">
        <v>18463</v>
      </c>
      <c r="D2078" s="290" t="s">
        <v>207</v>
      </c>
      <c r="E2078" s="290" t="s">
        <v>109</v>
      </c>
      <c r="F2078" s="534">
        <v>1</v>
      </c>
      <c r="G2078" s="292">
        <v>1800</v>
      </c>
      <c r="H2078" s="255">
        <v>1800</v>
      </c>
      <c r="I2078" s="298"/>
      <c r="J2078" s="521"/>
      <c r="K2078" s="298" t="s">
        <v>18400</v>
      </c>
      <c r="L2078" s="298"/>
      <c r="M2078" s="298"/>
      <c r="N2078" s="298"/>
      <c r="O2078" s="298"/>
      <c r="P2078" s="298"/>
      <c r="Q2078" s="298"/>
      <c r="R2078" s="298"/>
      <c r="S2078" s="536"/>
      <c r="T2078" s="635"/>
      <c r="U2078" s="298"/>
      <c r="V2078" s="298"/>
      <c r="W2078" s="298"/>
      <c r="X2078" s="298"/>
      <c r="Y2078" s="298"/>
      <c r="Z2078" s="298"/>
      <c r="AA2078" s="298"/>
      <c r="AB2078" s="298"/>
      <c r="AC2078" s="298"/>
      <c r="AD2078" s="298"/>
      <c r="AE2078" s="298"/>
      <c r="AF2078" s="298"/>
      <c r="AG2078" s="298"/>
      <c r="AH2078" s="298"/>
      <c r="AI2078" s="298"/>
      <c r="AJ2078" s="298"/>
      <c r="AK2078" s="298"/>
      <c r="AL2078" s="298"/>
      <c r="AM2078" s="298"/>
      <c r="AN2078" s="298"/>
      <c r="AO2078" s="298"/>
      <c r="AP2078" s="298"/>
      <c r="AQ2078" s="298"/>
      <c r="AR2078" s="298"/>
      <c r="AS2078" s="298"/>
      <c r="AT2078" s="298"/>
      <c r="AU2078" s="298"/>
      <c r="AV2078" s="298"/>
      <c r="AW2078" s="298"/>
      <c r="AX2078" s="298"/>
      <c r="AY2078" s="298"/>
      <c r="AZ2078" s="298"/>
      <c r="BA2078" s="298"/>
      <c r="BB2078" s="298"/>
      <c r="BC2078" s="298"/>
      <c r="BD2078" s="298"/>
      <c r="BE2078" s="298"/>
      <c r="BF2078" s="298"/>
      <c r="BG2078" s="298"/>
      <c r="BH2078" s="298"/>
      <c r="BI2078" s="298"/>
      <c r="BJ2078" s="298"/>
      <c r="BK2078" s="298"/>
      <c r="BL2078" s="298"/>
      <c r="BM2078" s="298"/>
      <c r="BN2078" s="298"/>
      <c r="BO2078" s="298"/>
      <c r="BP2078" s="298"/>
    </row>
    <row r="2079" spans="1:68" s="506" customFormat="1" ht="25.5">
      <c r="A2079" s="506" t="s">
        <v>3259</v>
      </c>
      <c r="B2079" s="288">
        <v>88316</v>
      </c>
      <c r="C2079" s="289" t="s">
        <v>104</v>
      </c>
      <c r="D2079" s="290" t="s">
        <v>9714</v>
      </c>
      <c r="E2079" s="290" t="s">
        <v>206</v>
      </c>
      <c r="F2079" s="534">
        <v>6</v>
      </c>
      <c r="G2079" s="292" t="s">
        <v>10172</v>
      </c>
      <c r="H2079" s="255">
        <v>105.66</v>
      </c>
      <c r="I2079" s="298"/>
      <c r="J2079" s="521"/>
      <c r="K2079" s="298" t="s">
        <v>18400</v>
      </c>
      <c r="L2079" s="298"/>
      <c r="M2079" s="298"/>
      <c r="N2079" s="298"/>
      <c r="O2079" s="298"/>
      <c r="P2079" s="298"/>
      <c r="Q2079" s="298"/>
      <c r="R2079" s="298"/>
      <c r="S2079" s="536"/>
      <c r="T2079" s="635"/>
      <c r="U2079" s="298"/>
      <c r="V2079" s="298"/>
      <c r="W2079" s="298"/>
      <c r="X2079" s="298"/>
      <c r="Y2079" s="298"/>
      <c r="Z2079" s="298"/>
      <c r="AA2079" s="298"/>
      <c r="AB2079" s="298"/>
      <c r="AC2079" s="298"/>
      <c r="AD2079" s="298"/>
      <c r="AE2079" s="298"/>
      <c r="AF2079" s="298"/>
      <c r="AG2079" s="298"/>
      <c r="AH2079" s="298"/>
      <c r="AI2079" s="298"/>
      <c r="AJ2079" s="298"/>
      <c r="AK2079" s="298"/>
      <c r="AL2079" s="298"/>
      <c r="AM2079" s="298"/>
      <c r="AN2079" s="298"/>
      <c r="AO2079" s="298"/>
      <c r="AP2079" s="298"/>
      <c r="AQ2079" s="298"/>
      <c r="AR2079" s="298"/>
      <c r="AS2079" s="298"/>
      <c r="AT2079" s="298"/>
      <c r="AU2079" s="298"/>
      <c r="AV2079" s="298"/>
      <c r="AW2079" s="298"/>
      <c r="AX2079" s="298"/>
      <c r="AY2079" s="298"/>
      <c r="AZ2079" s="298"/>
      <c r="BA2079" s="298"/>
      <c r="BB2079" s="298"/>
      <c r="BC2079" s="298"/>
      <c r="BD2079" s="298"/>
      <c r="BE2079" s="298"/>
      <c r="BF2079" s="298"/>
      <c r="BG2079" s="298"/>
      <c r="BH2079" s="298"/>
      <c r="BI2079" s="298"/>
      <c r="BJ2079" s="298"/>
      <c r="BK2079" s="298"/>
      <c r="BL2079" s="298"/>
      <c r="BM2079" s="298"/>
      <c r="BN2079" s="298"/>
      <c r="BO2079" s="298"/>
      <c r="BP2079" s="298"/>
    </row>
    <row r="2080" spans="1:68" s="506" customFormat="1" ht="76.5">
      <c r="A2080" s="506" t="s">
        <v>3259</v>
      </c>
      <c r="B2080" s="288">
        <v>91634</v>
      </c>
      <c r="C2080" s="289" t="s">
        <v>466</v>
      </c>
      <c r="D2080" s="290" t="s">
        <v>8987</v>
      </c>
      <c r="E2080" s="290" t="s">
        <v>212</v>
      </c>
      <c r="F2080" s="534">
        <v>1.25</v>
      </c>
      <c r="G2080" s="292" t="s">
        <v>21432</v>
      </c>
      <c r="H2080" s="255">
        <v>196.08</v>
      </c>
      <c r="I2080" s="298"/>
      <c r="J2080" s="521"/>
      <c r="K2080" s="298" t="s">
        <v>18400</v>
      </c>
      <c r="L2080" s="298"/>
      <c r="M2080" s="298"/>
      <c r="N2080" s="298"/>
      <c r="O2080" s="298"/>
      <c r="P2080" s="298"/>
      <c r="Q2080" s="298"/>
      <c r="R2080" s="298"/>
      <c r="S2080" s="536"/>
      <c r="T2080" s="635"/>
      <c r="U2080" s="298"/>
      <c r="V2080" s="298"/>
      <c r="W2080" s="298"/>
      <c r="X2080" s="298"/>
      <c r="Y2080" s="298"/>
      <c r="Z2080" s="298"/>
      <c r="AA2080" s="298"/>
      <c r="AB2080" s="298"/>
      <c r="AC2080" s="298"/>
      <c r="AD2080" s="298"/>
      <c r="AE2080" s="298"/>
      <c r="AF2080" s="298"/>
      <c r="AG2080" s="298"/>
      <c r="AH2080" s="298"/>
      <c r="AI2080" s="298"/>
      <c r="AJ2080" s="298"/>
      <c r="AK2080" s="298"/>
      <c r="AL2080" s="298"/>
      <c r="AM2080" s="298"/>
      <c r="AN2080" s="298"/>
      <c r="AO2080" s="298"/>
      <c r="AP2080" s="298"/>
      <c r="AQ2080" s="298"/>
      <c r="AR2080" s="298"/>
      <c r="AS2080" s="298"/>
      <c r="AT2080" s="298"/>
      <c r="AU2080" s="298"/>
      <c r="AV2080" s="298"/>
      <c r="AW2080" s="298"/>
      <c r="AX2080" s="298"/>
      <c r="AY2080" s="298"/>
      <c r="AZ2080" s="298"/>
      <c r="BA2080" s="298"/>
      <c r="BB2080" s="298"/>
      <c r="BC2080" s="298"/>
      <c r="BD2080" s="298"/>
      <c r="BE2080" s="298"/>
      <c r="BF2080" s="298"/>
      <c r="BG2080" s="298"/>
      <c r="BH2080" s="298"/>
      <c r="BI2080" s="298"/>
      <c r="BJ2080" s="298"/>
      <c r="BK2080" s="298"/>
      <c r="BL2080" s="298"/>
      <c r="BM2080" s="298"/>
      <c r="BN2080" s="298"/>
      <c r="BO2080" s="298"/>
      <c r="BP2080" s="298"/>
    </row>
    <row r="2081" spans="1:68" s="506" customFormat="1" ht="38.25">
      <c r="A2081" s="506" t="s">
        <v>3259</v>
      </c>
      <c r="B2081" s="288">
        <v>92873</v>
      </c>
      <c r="C2081" s="289" t="s">
        <v>144</v>
      </c>
      <c r="D2081" s="290" t="s">
        <v>229</v>
      </c>
      <c r="E2081" s="290" t="s">
        <v>209</v>
      </c>
      <c r="F2081" s="534">
        <v>0.15</v>
      </c>
      <c r="G2081" s="292" t="s">
        <v>22437</v>
      </c>
      <c r="H2081" s="255">
        <v>28.02</v>
      </c>
      <c r="I2081" s="298"/>
      <c r="J2081" s="521"/>
      <c r="K2081" s="298" t="s">
        <v>18400</v>
      </c>
      <c r="L2081" s="298"/>
      <c r="M2081" s="298"/>
      <c r="N2081" s="298"/>
      <c r="O2081" s="298"/>
      <c r="P2081" s="298"/>
      <c r="Q2081" s="298"/>
      <c r="R2081" s="298"/>
      <c r="S2081" s="536"/>
      <c r="T2081" s="635"/>
      <c r="U2081" s="298"/>
      <c r="V2081" s="298"/>
      <c r="W2081" s="298"/>
      <c r="X2081" s="298"/>
      <c r="Y2081" s="298"/>
      <c r="Z2081" s="298"/>
      <c r="AA2081" s="298"/>
      <c r="AB2081" s="298"/>
      <c r="AC2081" s="298"/>
      <c r="AD2081" s="298"/>
      <c r="AE2081" s="298"/>
      <c r="AF2081" s="298"/>
      <c r="AG2081" s="298"/>
      <c r="AH2081" s="298"/>
      <c r="AI2081" s="298"/>
      <c r="AJ2081" s="298"/>
      <c r="AK2081" s="298"/>
      <c r="AL2081" s="298"/>
      <c r="AM2081" s="298"/>
      <c r="AN2081" s="298"/>
      <c r="AO2081" s="298"/>
      <c r="AP2081" s="298"/>
      <c r="AQ2081" s="298"/>
      <c r="AR2081" s="298"/>
      <c r="AS2081" s="298"/>
      <c r="AT2081" s="298"/>
      <c r="AU2081" s="298"/>
      <c r="AV2081" s="298"/>
      <c r="AW2081" s="298"/>
      <c r="AX2081" s="298"/>
      <c r="AY2081" s="298"/>
      <c r="AZ2081" s="298"/>
      <c r="BA2081" s="298"/>
      <c r="BB2081" s="298"/>
      <c r="BC2081" s="298"/>
      <c r="BD2081" s="298"/>
      <c r="BE2081" s="298"/>
      <c r="BF2081" s="298"/>
      <c r="BG2081" s="298"/>
      <c r="BH2081" s="298"/>
      <c r="BI2081" s="298"/>
      <c r="BJ2081" s="298"/>
      <c r="BK2081" s="298"/>
      <c r="BL2081" s="298"/>
      <c r="BM2081" s="298"/>
      <c r="BN2081" s="298"/>
      <c r="BO2081" s="298"/>
      <c r="BP2081" s="298"/>
    </row>
    <row r="2082" spans="1:68" s="506" customFormat="1" ht="51">
      <c r="A2082" s="506" t="s">
        <v>3259</v>
      </c>
      <c r="B2082" s="288">
        <v>94969</v>
      </c>
      <c r="C2082" s="289" t="s">
        <v>22451</v>
      </c>
      <c r="D2082" s="290" t="s">
        <v>229</v>
      </c>
      <c r="E2082" s="290" t="s">
        <v>209</v>
      </c>
      <c r="F2082" s="534">
        <v>0.15</v>
      </c>
      <c r="G2082" s="292" t="s">
        <v>22452</v>
      </c>
      <c r="H2082" s="255">
        <v>52.12</v>
      </c>
      <c r="I2082" s="298"/>
      <c r="J2082" s="521"/>
      <c r="K2082" s="298" t="s">
        <v>18400</v>
      </c>
      <c r="L2082" s="298"/>
      <c r="M2082" s="298"/>
      <c r="N2082" s="298"/>
      <c r="O2082" s="298"/>
      <c r="P2082" s="298"/>
      <c r="Q2082" s="298"/>
      <c r="R2082" s="298"/>
      <c r="S2082" s="536"/>
      <c r="T2082" s="635"/>
      <c r="U2082" s="298"/>
      <c r="V2082" s="298"/>
      <c r="W2082" s="298"/>
      <c r="X2082" s="298"/>
      <c r="Y2082" s="298"/>
      <c r="Z2082" s="298"/>
      <c r="AA2082" s="298"/>
      <c r="AB2082" s="298"/>
      <c r="AC2082" s="298"/>
      <c r="AD2082" s="298"/>
      <c r="AE2082" s="298"/>
      <c r="AF2082" s="298"/>
      <c r="AG2082" s="298"/>
      <c r="AH2082" s="298"/>
      <c r="AI2082" s="298"/>
      <c r="AJ2082" s="298"/>
      <c r="AK2082" s="298"/>
      <c r="AL2082" s="298"/>
      <c r="AM2082" s="298"/>
      <c r="AN2082" s="298"/>
      <c r="AO2082" s="298"/>
      <c r="AP2082" s="298"/>
      <c r="AQ2082" s="298"/>
      <c r="AR2082" s="298"/>
      <c r="AS2082" s="298"/>
      <c r="AT2082" s="298"/>
      <c r="AU2082" s="298"/>
      <c r="AV2082" s="298"/>
      <c r="AW2082" s="298"/>
      <c r="AX2082" s="298"/>
      <c r="AY2082" s="298"/>
      <c r="AZ2082" s="298"/>
      <c r="BA2082" s="298"/>
      <c r="BB2082" s="298"/>
      <c r="BC2082" s="298"/>
      <c r="BD2082" s="298"/>
      <c r="BE2082" s="298"/>
      <c r="BF2082" s="298"/>
      <c r="BG2082" s="298"/>
      <c r="BH2082" s="298"/>
      <c r="BI2082" s="298"/>
      <c r="BJ2082" s="298"/>
      <c r="BK2082" s="298"/>
      <c r="BL2082" s="298"/>
      <c r="BM2082" s="298"/>
      <c r="BN2082" s="298"/>
      <c r="BO2082" s="298"/>
      <c r="BP2082" s="298"/>
    </row>
    <row r="2083" spans="1:68" s="506" customFormat="1" ht="76.5">
      <c r="A2083" s="506" t="s">
        <v>3261</v>
      </c>
      <c r="B2083" s="288">
        <v>5047</v>
      </c>
      <c r="C2083" s="289" t="s">
        <v>5532</v>
      </c>
      <c r="D2083" s="290" t="s">
        <v>207</v>
      </c>
      <c r="E2083" s="290" t="s">
        <v>3240</v>
      </c>
      <c r="F2083" s="534">
        <v>3</v>
      </c>
      <c r="G2083" s="292" t="s">
        <v>19355</v>
      </c>
      <c r="H2083" s="255">
        <v>823.95</v>
      </c>
      <c r="I2083" s="298"/>
      <c r="J2083" s="521"/>
      <c r="K2083" s="298"/>
      <c r="L2083" s="298"/>
      <c r="M2083" s="298"/>
      <c r="N2083" s="298"/>
      <c r="O2083" s="298"/>
      <c r="P2083" s="298"/>
      <c r="Q2083" s="298"/>
      <c r="R2083" s="298"/>
      <c r="S2083" s="536"/>
      <c r="T2083" s="635"/>
      <c r="U2083" s="298"/>
      <c r="V2083" s="298"/>
      <c r="W2083" s="298"/>
      <c r="X2083" s="298"/>
      <c r="Y2083" s="298"/>
      <c r="Z2083" s="298"/>
      <c r="AA2083" s="298"/>
      <c r="AB2083" s="298"/>
      <c r="AC2083" s="298"/>
      <c r="AD2083" s="298"/>
      <c r="AE2083" s="298"/>
      <c r="AF2083" s="298"/>
      <c r="AG2083" s="298"/>
      <c r="AH2083" s="298"/>
      <c r="AI2083" s="298"/>
      <c r="AJ2083" s="298"/>
      <c r="AK2083" s="298"/>
      <c r="AL2083" s="298"/>
      <c r="AM2083" s="298"/>
      <c r="AN2083" s="298"/>
      <c r="AO2083" s="298"/>
      <c r="AP2083" s="298"/>
      <c r="AQ2083" s="298"/>
      <c r="AR2083" s="298"/>
      <c r="AS2083" s="298"/>
      <c r="AT2083" s="298"/>
      <c r="AU2083" s="298"/>
      <c r="AV2083" s="298"/>
      <c r="AW2083" s="298"/>
      <c r="AX2083" s="298"/>
      <c r="AY2083" s="298"/>
      <c r="AZ2083" s="298"/>
      <c r="BA2083" s="298"/>
      <c r="BB2083" s="298"/>
      <c r="BC2083" s="298"/>
      <c r="BD2083" s="298"/>
      <c r="BE2083" s="298"/>
      <c r="BF2083" s="298"/>
      <c r="BG2083" s="298"/>
      <c r="BH2083" s="298"/>
      <c r="BI2083" s="298"/>
      <c r="BJ2083" s="298"/>
      <c r="BK2083" s="298"/>
      <c r="BL2083" s="298"/>
      <c r="BM2083" s="298"/>
      <c r="BN2083" s="298"/>
      <c r="BO2083" s="298"/>
      <c r="BP2083" s="298"/>
    </row>
    <row r="2084" spans="1:68" s="506" customFormat="1" ht="38.25">
      <c r="A2084" s="506" t="s">
        <v>3261</v>
      </c>
      <c r="B2084" s="288">
        <v>12327</v>
      </c>
      <c r="C2084" s="289" t="s">
        <v>5550</v>
      </c>
      <c r="D2084" s="290" t="s">
        <v>207</v>
      </c>
      <c r="E2084" s="290" t="s">
        <v>3240</v>
      </c>
      <c r="F2084" s="534">
        <v>6</v>
      </c>
      <c r="G2084" s="292" t="s">
        <v>16467</v>
      </c>
      <c r="H2084" s="255">
        <v>184.68</v>
      </c>
      <c r="I2084" s="298"/>
      <c r="J2084" s="521"/>
      <c r="K2084" s="298"/>
      <c r="L2084" s="298"/>
      <c r="M2084" s="298"/>
      <c r="N2084" s="298"/>
      <c r="O2084" s="298"/>
      <c r="P2084" s="298"/>
      <c r="Q2084" s="298"/>
      <c r="R2084" s="298"/>
      <c r="S2084" s="536"/>
      <c r="T2084" s="635"/>
      <c r="U2084" s="298"/>
      <c r="V2084" s="298"/>
      <c r="W2084" s="298"/>
      <c r="X2084" s="298"/>
      <c r="Y2084" s="298"/>
      <c r="Z2084" s="298"/>
      <c r="AA2084" s="298"/>
      <c r="AB2084" s="298"/>
      <c r="AC2084" s="298"/>
      <c r="AD2084" s="298"/>
      <c r="AE2084" s="298"/>
      <c r="AF2084" s="298"/>
      <c r="AG2084" s="298"/>
      <c r="AH2084" s="298"/>
      <c r="AI2084" s="298"/>
      <c r="AJ2084" s="298"/>
      <c r="AK2084" s="298"/>
      <c r="AL2084" s="298"/>
      <c r="AM2084" s="298"/>
      <c r="AN2084" s="298"/>
      <c r="AO2084" s="298"/>
      <c r="AP2084" s="298"/>
      <c r="AQ2084" s="298"/>
      <c r="AR2084" s="298"/>
      <c r="AS2084" s="298"/>
      <c r="AT2084" s="298"/>
      <c r="AU2084" s="298"/>
      <c r="AV2084" s="298"/>
      <c r="AW2084" s="298"/>
      <c r="AX2084" s="298"/>
      <c r="AY2084" s="298"/>
      <c r="AZ2084" s="298"/>
      <c r="BA2084" s="298"/>
      <c r="BB2084" s="298"/>
      <c r="BC2084" s="298"/>
      <c r="BD2084" s="298"/>
      <c r="BE2084" s="298"/>
      <c r="BF2084" s="298"/>
      <c r="BG2084" s="298"/>
      <c r="BH2084" s="298"/>
      <c r="BI2084" s="298"/>
      <c r="BJ2084" s="298"/>
      <c r="BK2084" s="298"/>
      <c r="BL2084" s="298"/>
      <c r="BM2084" s="298"/>
      <c r="BN2084" s="298"/>
      <c r="BO2084" s="298"/>
      <c r="BP2084" s="298"/>
    </row>
    <row r="2085" spans="1:68" s="506" customFormat="1" ht="38.25" customHeight="1">
      <c r="A2085" s="506" t="s">
        <v>3261</v>
      </c>
      <c r="B2085" s="288">
        <v>4777</v>
      </c>
      <c r="C2085" s="289" t="s">
        <v>5372</v>
      </c>
      <c r="D2085" s="290" t="s">
        <v>207</v>
      </c>
      <c r="E2085" s="290" t="s">
        <v>3244</v>
      </c>
      <c r="F2085" s="534">
        <v>21.731600000000004</v>
      </c>
      <c r="G2085" s="292" t="s">
        <v>10513</v>
      </c>
      <c r="H2085" s="255">
        <v>212.1</v>
      </c>
      <c r="I2085" s="298"/>
      <c r="J2085" s="521"/>
      <c r="K2085" s="298" t="s">
        <v>18481</v>
      </c>
      <c r="L2085" s="298"/>
      <c r="M2085" s="298"/>
      <c r="N2085" s="298"/>
      <c r="O2085" s="298"/>
      <c r="P2085" s="298"/>
      <c r="Q2085" s="298"/>
      <c r="R2085" s="298"/>
      <c r="S2085" s="536"/>
      <c r="T2085" s="635"/>
      <c r="U2085" s="298"/>
      <c r="V2085" s="298"/>
      <c r="W2085" s="298"/>
      <c r="X2085" s="298"/>
      <c r="Y2085" s="298"/>
      <c r="Z2085" s="298"/>
      <c r="AA2085" s="298"/>
      <c r="AB2085" s="298"/>
      <c r="AC2085" s="298"/>
      <c r="AD2085" s="298"/>
      <c r="AE2085" s="298"/>
      <c r="AF2085" s="298"/>
      <c r="AG2085" s="298"/>
      <c r="AH2085" s="298"/>
      <c r="AI2085" s="298"/>
      <c r="AJ2085" s="298"/>
      <c r="AK2085" s="298"/>
      <c r="AL2085" s="298"/>
      <c r="AM2085" s="298"/>
      <c r="AN2085" s="298"/>
      <c r="AO2085" s="298"/>
      <c r="AP2085" s="298"/>
      <c r="AQ2085" s="298"/>
      <c r="AR2085" s="298"/>
      <c r="AS2085" s="298"/>
      <c r="AT2085" s="298"/>
      <c r="AU2085" s="298"/>
      <c r="AV2085" s="298"/>
      <c r="AW2085" s="298"/>
      <c r="AX2085" s="298"/>
      <c r="AY2085" s="298"/>
      <c r="AZ2085" s="298"/>
      <c r="BA2085" s="298"/>
      <c r="BB2085" s="298"/>
      <c r="BC2085" s="298"/>
      <c r="BD2085" s="298"/>
      <c r="BE2085" s="298"/>
      <c r="BF2085" s="298"/>
      <c r="BG2085" s="298"/>
      <c r="BH2085" s="298"/>
      <c r="BI2085" s="298"/>
      <c r="BJ2085" s="298"/>
      <c r="BK2085" s="298"/>
      <c r="BL2085" s="298"/>
      <c r="BM2085" s="298"/>
      <c r="BN2085" s="298"/>
      <c r="BO2085" s="298"/>
      <c r="BP2085" s="298"/>
    </row>
    <row r="2086" spans="1:68" s="506" customFormat="1" ht="38.25">
      <c r="A2086" s="506" t="s">
        <v>3261</v>
      </c>
      <c r="B2086" s="288">
        <v>4276</v>
      </c>
      <c r="C2086" s="289" t="s">
        <v>7485</v>
      </c>
      <c r="D2086" s="290" t="s">
        <v>207</v>
      </c>
      <c r="E2086" s="290" t="s">
        <v>3240</v>
      </c>
      <c r="F2086" s="534">
        <v>3</v>
      </c>
      <c r="G2086" s="292" t="s">
        <v>20314</v>
      </c>
      <c r="H2086" s="255">
        <v>800.76</v>
      </c>
      <c r="I2086" s="298"/>
      <c r="J2086" s="521"/>
      <c r="K2086" s="298"/>
      <c r="L2086" s="298"/>
      <c r="M2086" s="298"/>
      <c r="N2086" s="298"/>
      <c r="O2086" s="298"/>
      <c r="P2086" s="298"/>
      <c r="Q2086" s="298"/>
      <c r="R2086" s="298"/>
      <c r="S2086" s="536"/>
      <c r="T2086" s="635"/>
      <c r="U2086" s="298"/>
      <c r="V2086" s="298"/>
      <c r="W2086" s="298"/>
      <c r="X2086" s="298"/>
      <c r="Y2086" s="298"/>
      <c r="Z2086" s="298"/>
      <c r="AA2086" s="298"/>
      <c r="AB2086" s="298"/>
      <c r="AC2086" s="298"/>
      <c r="AD2086" s="298"/>
      <c r="AE2086" s="298"/>
      <c r="AF2086" s="298"/>
      <c r="AG2086" s="298"/>
      <c r="AH2086" s="298"/>
      <c r="AI2086" s="298"/>
      <c r="AJ2086" s="298"/>
      <c r="AK2086" s="298"/>
      <c r="AL2086" s="298"/>
      <c r="AM2086" s="298"/>
      <c r="AN2086" s="298"/>
      <c r="AO2086" s="298"/>
      <c r="AP2086" s="298"/>
      <c r="AQ2086" s="298"/>
      <c r="AR2086" s="298"/>
      <c r="AS2086" s="298"/>
      <c r="AT2086" s="298"/>
      <c r="AU2086" s="298"/>
      <c r="AV2086" s="298"/>
      <c r="AW2086" s="298"/>
      <c r="AX2086" s="298"/>
      <c r="AY2086" s="298"/>
      <c r="AZ2086" s="298"/>
      <c r="BA2086" s="298"/>
      <c r="BB2086" s="298"/>
      <c r="BC2086" s="298"/>
      <c r="BD2086" s="298"/>
      <c r="BE2086" s="298"/>
      <c r="BF2086" s="298"/>
      <c r="BG2086" s="298"/>
      <c r="BH2086" s="298"/>
      <c r="BI2086" s="298"/>
      <c r="BJ2086" s="298"/>
      <c r="BK2086" s="298"/>
      <c r="BL2086" s="298"/>
      <c r="BM2086" s="298"/>
      <c r="BN2086" s="298"/>
      <c r="BO2086" s="298"/>
      <c r="BP2086" s="298"/>
    </row>
    <row r="2087" spans="1:68" s="506" customFormat="1" ht="38.25">
      <c r="A2087" s="506" t="s">
        <v>3261</v>
      </c>
      <c r="B2087" s="288">
        <v>43130</v>
      </c>
      <c r="C2087" s="289" t="s">
        <v>9486</v>
      </c>
      <c r="D2087" s="290" t="s">
        <v>207</v>
      </c>
      <c r="E2087" s="290" t="s">
        <v>3244</v>
      </c>
      <c r="F2087" s="534">
        <v>1.536</v>
      </c>
      <c r="G2087" s="292" t="s">
        <v>12310</v>
      </c>
      <c r="H2087" s="255">
        <v>30.59</v>
      </c>
      <c r="I2087" s="298"/>
      <c r="J2087" s="521"/>
      <c r="K2087" s="298"/>
      <c r="L2087" s="298"/>
      <c r="M2087" s="298"/>
      <c r="N2087" s="298"/>
      <c r="O2087" s="298"/>
      <c r="P2087" s="298"/>
      <c r="Q2087" s="298"/>
      <c r="R2087" s="298"/>
      <c r="S2087" s="536"/>
      <c r="T2087" s="635"/>
      <c r="U2087" s="298"/>
      <c r="V2087" s="298"/>
      <c r="W2087" s="298"/>
      <c r="X2087" s="298"/>
      <c r="Y2087" s="298"/>
      <c r="Z2087" s="298"/>
      <c r="AA2087" s="298"/>
      <c r="AB2087" s="298"/>
      <c r="AC2087" s="298"/>
      <c r="AD2087" s="298"/>
      <c r="AE2087" s="298"/>
      <c r="AF2087" s="298"/>
      <c r="AG2087" s="298"/>
      <c r="AH2087" s="298"/>
      <c r="AI2087" s="298"/>
      <c r="AJ2087" s="298"/>
      <c r="AK2087" s="298"/>
      <c r="AL2087" s="298"/>
      <c r="AM2087" s="298"/>
      <c r="AN2087" s="298"/>
      <c r="AO2087" s="298"/>
      <c r="AP2087" s="298"/>
      <c r="AQ2087" s="298"/>
      <c r="AR2087" s="298"/>
      <c r="AS2087" s="298"/>
      <c r="AT2087" s="298"/>
      <c r="AU2087" s="298"/>
      <c r="AV2087" s="298"/>
      <c r="AW2087" s="298"/>
      <c r="AX2087" s="298"/>
      <c r="AY2087" s="298"/>
      <c r="AZ2087" s="298"/>
      <c r="BA2087" s="298"/>
      <c r="BB2087" s="298"/>
      <c r="BC2087" s="298"/>
      <c r="BD2087" s="298"/>
      <c r="BE2087" s="298"/>
      <c r="BF2087" s="298"/>
      <c r="BG2087" s="298"/>
      <c r="BH2087" s="298"/>
      <c r="BI2087" s="298"/>
      <c r="BJ2087" s="298"/>
      <c r="BK2087" s="298"/>
      <c r="BL2087" s="298"/>
      <c r="BM2087" s="298"/>
      <c r="BN2087" s="298"/>
      <c r="BO2087" s="298"/>
      <c r="BP2087" s="298"/>
    </row>
    <row r="2088" spans="1:68" s="506" customFormat="1" ht="12.75">
      <c r="A2088" s="506" t="s">
        <v>3261</v>
      </c>
      <c r="B2088" s="288">
        <v>862</v>
      </c>
      <c r="C2088" s="289" t="s">
        <v>5149</v>
      </c>
      <c r="D2088" s="290" t="s">
        <v>207</v>
      </c>
      <c r="E2088" s="290" t="s">
        <v>3243</v>
      </c>
      <c r="F2088" s="534">
        <v>5</v>
      </c>
      <c r="G2088" s="292" t="s">
        <v>10481</v>
      </c>
      <c r="H2088" s="255">
        <v>39.5</v>
      </c>
      <c r="I2088" s="298"/>
      <c r="J2088" s="521"/>
      <c r="K2088" s="298"/>
      <c r="L2088" s="298"/>
      <c r="M2088" s="298"/>
      <c r="N2088" s="298"/>
      <c r="O2088" s="298"/>
      <c r="P2088" s="298"/>
      <c r="Q2088" s="298"/>
      <c r="R2088" s="298"/>
      <c r="S2088" s="536"/>
      <c r="T2088" s="635"/>
      <c r="U2088" s="298"/>
      <c r="V2088" s="298"/>
      <c r="W2088" s="298"/>
      <c r="X2088" s="298"/>
      <c r="Y2088" s="298"/>
      <c r="Z2088" s="298"/>
      <c r="AA2088" s="298"/>
      <c r="AB2088" s="298"/>
      <c r="AC2088" s="298"/>
      <c r="AD2088" s="298"/>
      <c r="AE2088" s="298"/>
      <c r="AF2088" s="298"/>
      <c r="AG2088" s="298"/>
      <c r="AH2088" s="298"/>
      <c r="AI2088" s="298"/>
      <c r="AJ2088" s="298"/>
      <c r="AK2088" s="298"/>
      <c r="AL2088" s="298"/>
      <c r="AM2088" s="298"/>
      <c r="AN2088" s="298"/>
      <c r="AO2088" s="298"/>
      <c r="AP2088" s="298"/>
      <c r="AQ2088" s="298"/>
      <c r="AR2088" s="298"/>
      <c r="AS2088" s="298"/>
      <c r="AT2088" s="298"/>
      <c r="AU2088" s="298"/>
      <c r="AV2088" s="298"/>
      <c r="AW2088" s="298"/>
      <c r="AX2088" s="298"/>
      <c r="AY2088" s="298"/>
      <c r="AZ2088" s="298"/>
      <c r="BA2088" s="298"/>
      <c r="BB2088" s="298"/>
      <c r="BC2088" s="298"/>
      <c r="BD2088" s="298"/>
      <c r="BE2088" s="298"/>
      <c r="BF2088" s="298"/>
      <c r="BG2088" s="298"/>
      <c r="BH2088" s="298"/>
      <c r="BI2088" s="298"/>
      <c r="BJ2088" s="298"/>
      <c r="BK2088" s="298"/>
      <c r="BL2088" s="298"/>
      <c r="BM2088" s="298"/>
      <c r="BN2088" s="298"/>
      <c r="BO2088" s="298"/>
      <c r="BP2088" s="298"/>
    </row>
    <row r="2089" spans="1:68" s="506" customFormat="1" ht="25.5">
      <c r="A2089" s="506" t="s">
        <v>12</v>
      </c>
      <c r="B2089" s="288" t="s">
        <v>18480</v>
      </c>
      <c r="C2089" s="289" t="s">
        <v>18482</v>
      </c>
      <c r="D2089" s="290" t="s">
        <v>207</v>
      </c>
      <c r="E2089" s="290" t="s">
        <v>109</v>
      </c>
      <c r="F2089" s="534">
        <v>3</v>
      </c>
      <c r="G2089" s="292">
        <v>85.66</v>
      </c>
      <c r="H2089" s="255">
        <v>256.98</v>
      </c>
      <c r="I2089" s="298"/>
      <c r="J2089" s="521"/>
      <c r="K2089" s="298"/>
      <c r="L2089" s="298"/>
      <c r="M2089" s="298"/>
      <c r="N2089" s="298"/>
      <c r="O2089" s="298"/>
      <c r="P2089" s="298"/>
      <c r="Q2089" s="298"/>
      <c r="R2089" s="298"/>
      <c r="S2089" s="536"/>
      <c r="T2089" s="635"/>
      <c r="U2089" s="298"/>
      <c r="V2089" s="298"/>
      <c r="W2089" s="298"/>
      <c r="X2089" s="298"/>
      <c r="Y2089" s="298"/>
      <c r="Z2089" s="298"/>
      <c r="AA2089" s="298"/>
      <c r="AB2089" s="298"/>
      <c r="AC2089" s="298"/>
      <c r="AD2089" s="298"/>
      <c r="AE2089" s="298"/>
      <c r="AF2089" s="298"/>
      <c r="AG2089" s="298"/>
      <c r="AH2089" s="298"/>
      <c r="AI2089" s="298"/>
      <c r="AJ2089" s="298"/>
      <c r="AK2089" s="298"/>
      <c r="AL2089" s="298"/>
      <c r="AM2089" s="298"/>
      <c r="AN2089" s="298"/>
      <c r="AO2089" s="298"/>
      <c r="AP2089" s="298"/>
      <c r="AQ2089" s="298"/>
      <c r="AR2089" s="298"/>
      <c r="AS2089" s="298"/>
      <c r="AT2089" s="298"/>
      <c r="AU2089" s="298"/>
      <c r="AV2089" s="298"/>
      <c r="AW2089" s="298"/>
      <c r="AX2089" s="298"/>
      <c r="AY2089" s="298"/>
      <c r="AZ2089" s="298"/>
      <c r="BA2089" s="298"/>
      <c r="BB2089" s="298"/>
      <c r="BC2089" s="298"/>
      <c r="BD2089" s="298"/>
      <c r="BE2089" s="298"/>
      <c r="BF2089" s="298"/>
      <c r="BG2089" s="298"/>
      <c r="BH2089" s="298"/>
      <c r="BI2089" s="298"/>
      <c r="BJ2089" s="298"/>
      <c r="BK2089" s="298"/>
      <c r="BL2089" s="298"/>
      <c r="BM2089" s="298"/>
      <c r="BN2089" s="298"/>
      <c r="BO2089" s="298"/>
      <c r="BP2089" s="298"/>
    </row>
    <row r="2090" spans="1:68" s="506" customFormat="1" ht="12.75">
      <c r="A2090" s="506" t="s">
        <v>12</v>
      </c>
      <c r="B2090" s="288" t="s">
        <v>18479</v>
      </c>
      <c r="C2090" s="289" t="s">
        <v>18485</v>
      </c>
      <c r="D2090" s="290" t="s">
        <v>207</v>
      </c>
      <c r="E2090" s="290" t="s">
        <v>109</v>
      </c>
      <c r="F2090" s="534">
        <v>1</v>
      </c>
      <c r="G2090" s="292">
        <v>113.91</v>
      </c>
      <c r="H2090" s="255">
        <v>113.91</v>
      </c>
      <c r="I2090" s="298"/>
      <c r="J2090" s="521"/>
      <c r="K2090" s="298"/>
      <c r="L2090" s="298"/>
      <c r="M2090" s="298"/>
      <c r="N2090" s="298"/>
      <c r="O2090" s="298"/>
      <c r="P2090" s="298"/>
      <c r="Q2090" s="298"/>
      <c r="R2090" s="298"/>
      <c r="S2090" s="536"/>
      <c r="T2090" s="635"/>
      <c r="U2090" s="298"/>
      <c r="V2090" s="298"/>
      <c r="W2090" s="298"/>
      <c r="X2090" s="298"/>
      <c r="Y2090" s="298"/>
      <c r="Z2090" s="298"/>
      <c r="AA2090" s="298"/>
      <c r="AB2090" s="298"/>
      <c r="AC2090" s="298"/>
      <c r="AD2090" s="298"/>
      <c r="AE2090" s="298"/>
      <c r="AF2090" s="298"/>
      <c r="AG2090" s="298"/>
      <c r="AH2090" s="298"/>
      <c r="AI2090" s="298"/>
      <c r="AJ2090" s="298"/>
      <c r="AK2090" s="298"/>
      <c r="AL2090" s="298"/>
      <c r="AM2090" s="298"/>
      <c r="AN2090" s="298"/>
      <c r="AO2090" s="298"/>
      <c r="AP2090" s="298"/>
      <c r="AQ2090" s="298"/>
      <c r="AR2090" s="298"/>
      <c r="AS2090" s="298"/>
      <c r="AT2090" s="298"/>
      <c r="AU2090" s="298"/>
      <c r="AV2090" s="298"/>
      <c r="AW2090" s="298"/>
      <c r="AX2090" s="298"/>
      <c r="AY2090" s="298"/>
      <c r="AZ2090" s="298"/>
      <c r="BA2090" s="298"/>
      <c r="BB2090" s="298"/>
      <c r="BC2090" s="298"/>
      <c r="BD2090" s="298"/>
      <c r="BE2090" s="298"/>
      <c r="BF2090" s="298"/>
      <c r="BG2090" s="298"/>
      <c r="BH2090" s="298"/>
      <c r="BI2090" s="298"/>
      <c r="BJ2090" s="298"/>
      <c r="BK2090" s="298"/>
      <c r="BL2090" s="298"/>
      <c r="BM2090" s="298"/>
      <c r="BN2090" s="298"/>
      <c r="BO2090" s="298"/>
      <c r="BP2090" s="298"/>
    </row>
    <row r="2091" spans="1:68" s="506" customFormat="1" ht="12.75">
      <c r="A2091" s="506" t="s">
        <v>12</v>
      </c>
      <c r="B2091" s="288" t="s">
        <v>18478</v>
      </c>
      <c r="C2091" s="289" t="s">
        <v>18497</v>
      </c>
      <c r="D2091" s="290" t="s">
        <v>207</v>
      </c>
      <c r="E2091" s="290" t="s">
        <v>109</v>
      </c>
      <c r="F2091" s="534">
        <v>1</v>
      </c>
      <c r="G2091" s="292">
        <v>76.83</v>
      </c>
      <c r="H2091" s="255">
        <v>76.83</v>
      </c>
      <c r="I2091" s="298"/>
      <c r="J2091" s="521"/>
      <c r="K2091" s="298"/>
      <c r="L2091" s="298"/>
      <c r="M2091" s="298"/>
      <c r="N2091" s="298"/>
      <c r="O2091" s="298"/>
      <c r="P2091" s="298"/>
      <c r="Q2091" s="298"/>
      <c r="R2091" s="298"/>
      <c r="S2091" s="536"/>
      <c r="T2091" s="635"/>
      <c r="U2091" s="298"/>
      <c r="V2091" s="298"/>
      <c r="W2091" s="298"/>
      <c r="X2091" s="298"/>
      <c r="Y2091" s="298"/>
      <c r="Z2091" s="298"/>
      <c r="AA2091" s="298"/>
      <c r="AB2091" s="298"/>
      <c r="AC2091" s="298"/>
      <c r="AD2091" s="298"/>
      <c r="AE2091" s="298"/>
      <c r="AF2091" s="298"/>
      <c r="AG2091" s="298"/>
      <c r="AH2091" s="298"/>
      <c r="AI2091" s="298"/>
      <c r="AJ2091" s="298"/>
      <c r="AK2091" s="298"/>
      <c r="AL2091" s="298"/>
      <c r="AM2091" s="298"/>
      <c r="AN2091" s="298"/>
      <c r="AO2091" s="298"/>
      <c r="AP2091" s="298"/>
      <c r="AQ2091" s="298"/>
      <c r="AR2091" s="298"/>
      <c r="AS2091" s="298"/>
      <c r="AT2091" s="298"/>
      <c r="AU2091" s="298"/>
      <c r="AV2091" s="298"/>
      <c r="AW2091" s="298"/>
      <c r="AX2091" s="298"/>
      <c r="AY2091" s="298"/>
      <c r="AZ2091" s="298"/>
      <c r="BA2091" s="298"/>
      <c r="BB2091" s="298"/>
      <c r="BC2091" s="298"/>
      <c r="BD2091" s="298"/>
      <c r="BE2091" s="298"/>
      <c r="BF2091" s="298"/>
      <c r="BG2091" s="298"/>
      <c r="BH2091" s="298"/>
      <c r="BI2091" s="298"/>
      <c r="BJ2091" s="298"/>
      <c r="BK2091" s="298"/>
      <c r="BL2091" s="298"/>
      <c r="BM2091" s="298"/>
      <c r="BN2091" s="298"/>
      <c r="BO2091" s="298"/>
      <c r="BP2091" s="298"/>
    </row>
    <row r="2092" spans="1:68" s="506" customFormat="1" ht="63.75">
      <c r="A2092" s="506" t="s">
        <v>3261</v>
      </c>
      <c r="B2092" s="288">
        <v>1100</v>
      </c>
      <c r="C2092" s="289" t="s">
        <v>5135</v>
      </c>
      <c r="D2092" s="290" t="s">
        <v>207</v>
      </c>
      <c r="E2092" s="290" t="s">
        <v>3240</v>
      </c>
      <c r="F2092" s="534">
        <v>2</v>
      </c>
      <c r="G2092" s="292" t="s">
        <v>10910</v>
      </c>
      <c r="H2092" s="255">
        <v>16.600000000000001</v>
      </c>
      <c r="I2092" s="298"/>
      <c r="J2092" s="521"/>
      <c r="K2092" s="298"/>
      <c r="L2092" s="298"/>
      <c r="M2092" s="298"/>
      <c r="N2092" s="298"/>
      <c r="O2092" s="298"/>
      <c r="P2092" s="298"/>
      <c r="Q2092" s="298"/>
      <c r="R2092" s="298"/>
      <c r="S2092" s="536"/>
      <c r="T2092" s="635"/>
      <c r="U2092" s="298"/>
      <c r="V2092" s="298"/>
      <c r="W2092" s="298"/>
      <c r="X2092" s="298"/>
      <c r="Y2092" s="298"/>
      <c r="Z2092" s="298"/>
      <c r="AA2092" s="298"/>
      <c r="AB2092" s="298"/>
      <c r="AC2092" s="298"/>
      <c r="AD2092" s="298"/>
      <c r="AE2092" s="298"/>
      <c r="AF2092" s="298"/>
      <c r="AG2092" s="298"/>
      <c r="AH2092" s="298"/>
      <c r="AI2092" s="298"/>
      <c r="AJ2092" s="298"/>
      <c r="AK2092" s="298"/>
      <c r="AL2092" s="298"/>
      <c r="AM2092" s="298"/>
      <c r="AN2092" s="298"/>
      <c r="AO2092" s="298"/>
      <c r="AP2092" s="298"/>
      <c r="AQ2092" s="298"/>
      <c r="AR2092" s="298"/>
      <c r="AS2092" s="298"/>
      <c r="AT2092" s="298"/>
      <c r="AU2092" s="298"/>
      <c r="AV2092" s="298"/>
      <c r="AW2092" s="298"/>
      <c r="AX2092" s="298"/>
      <c r="AY2092" s="298"/>
      <c r="AZ2092" s="298"/>
      <c r="BA2092" s="298"/>
      <c r="BB2092" s="298"/>
      <c r="BC2092" s="298"/>
      <c r="BD2092" s="298"/>
      <c r="BE2092" s="298"/>
      <c r="BF2092" s="298"/>
      <c r="BG2092" s="298"/>
      <c r="BH2092" s="298"/>
      <c r="BI2092" s="298"/>
      <c r="BJ2092" s="298"/>
      <c r="BK2092" s="298"/>
      <c r="BL2092" s="298"/>
      <c r="BM2092" s="298"/>
      <c r="BN2092" s="298"/>
      <c r="BO2092" s="298"/>
      <c r="BP2092" s="298"/>
    </row>
    <row r="2093" spans="1:68" s="506" customFormat="1" ht="25.5">
      <c r="A2093" s="506" t="s">
        <v>3259</v>
      </c>
      <c r="B2093" s="288">
        <v>88247</v>
      </c>
      <c r="C2093" s="289" t="s">
        <v>145</v>
      </c>
      <c r="D2093" s="290" t="s">
        <v>9714</v>
      </c>
      <c r="E2093" s="290" t="s">
        <v>206</v>
      </c>
      <c r="F2093" s="534">
        <v>40</v>
      </c>
      <c r="G2093" s="292" t="s">
        <v>12206</v>
      </c>
      <c r="H2093" s="255">
        <v>749.6</v>
      </c>
      <c r="I2093" s="298"/>
      <c r="J2093" s="521"/>
      <c r="K2093" s="298"/>
      <c r="L2093" s="298"/>
      <c r="M2093" s="298"/>
      <c r="N2093" s="298"/>
      <c r="O2093" s="298"/>
      <c r="P2093" s="298"/>
      <c r="Q2093" s="298"/>
      <c r="R2093" s="298"/>
      <c r="S2093" s="536"/>
      <c r="T2093" s="635"/>
      <c r="U2093" s="298"/>
      <c r="V2093" s="298"/>
      <c r="W2093" s="298"/>
      <c r="X2093" s="298"/>
      <c r="Y2093" s="298"/>
      <c r="Z2093" s="298"/>
      <c r="AA2093" s="298"/>
      <c r="AB2093" s="298"/>
      <c r="AC2093" s="298"/>
      <c r="AD2093" s="298"/>
      <c r="AE2093" s="298"/>
      <c r="AF2093" s="298"/>
      <c r="AG2093" s="298"/>
      <c r="AH2093" s="298"/>
      <c r="AI2093" s="298"/>
      <c r="AJ2093" s="298"/>
      <c r="AK2093" s="298"/>
      <c r="AL2093" s="298"/>
      <c r="AM2093" s="298"/>
      <c r="AN2093" s="298"/>
      <c r="AO2093" s="298"/>
      <c r="AP2093" s="298"/>
      <c r="AQ2093" s="298"/>
      <c r="AR2093" s="298"/>
      <c r="AS2093" s="298"/>
      <c r="AT2093" s="298"/>
      <c r="AU2093" s="298"/>
      <c r="AV2093" s="298"/>
      <c r="AW2093" s="298"/>
      <c r="AX2093" s="298"/>
      <c r="AY2093" s="298"/>
      <c r="AZ2093" s="298"/>
      <c r="BA2093" s="298"/>
      <c r="BB2093" s="298"/>
      <c r="BC2093" s="298"/>
      <c r="BD2093" s="298"/>
      <c r="BE2093" s="298"/>
      <c r="BF2093" s="298"/>
      <c r="BG2093" s="298"/>
      <c r="BH2093" s="298"/>
      <c r="BI2093" s="298"/>
      <c r="BJ2093" s="298"/>
      <c r="BK2093" s="298"/>
      <c r="BL2093" s="298"/>
      <c r="BM2093" s="298"/>
      <c r="BN2093" s="298"/>
      <c r="BO2093" s="298"/>
      <c r="BP2093" s="298"/>
    </row>
    <row r="2094" spans="1:68" s="506" customFormat="1" ht="25.5">
      <c r="A2094" s="506" t="s">
        <v>3259</v>
      </c>
      <c r="B2094" s="288">
        <v>88264</v>
      </c>
      <c r="C2094" s="289" t="s">
        <v>146</v>
      </c>
      <c r="D2094" s="290" t="s">
        <v>9714</v>
      </c>
      <c r="E2094" s="290" t="s">
        <v>206</v>
      </c>
      <c r="F2094" s="534">
        <v>40</v>
      </c>
      <c r="G2094" s="292" t="s">
        <v>16504</v>
      </c>
      <c r="H2094" s="255">
        <v>964</v>
      </c>
      <c r="I2094" s="298"/>
      <c r="J2094" s="521"/>
      <c r="K2094" s="298"/>
      <c r="L2094" s="298"/>
      <c r="M2094" s="298"/>
      <c r="N2094" s="298"/>
      <c r="O2094" s="298"/>
      <c r="P2094" s="298"/>
      <c r="Q2094" s="298"/>
      <c r="R2094" s="298"/>
      <c r="S2094" s="536"/>
      <c r="T2094" s="635"/>
      <c r="U2094" s="298"/>
      <c r="V2094" s="298"/>
      <c r="W2094" s="298"/>
      <c r="X2094" s="298"/>
      <c r="Y2094" s="298"/>
      <c r="Z2094" s="298"/>
      <c r="AA2094" s="298"/>
      <c r="AB2094" s="298"/>
      <c r="AC2094" s="298"/>
      <c r="AD2094" s="298"/>
      <c r="AE2094" s="298"/>
      <c r="AF2094" s="298"/>
      <c r="AG2094" s="298"/>
      <c r="AH2094" s="298"/>
      <c r="AI2094" s="298"/>
      <c r="AJ2094" s="298"/>
      <c r="AK2094" s="298"/>
      <c r="AL2094" s="298"/>
      <c r="AM2094" s="298"/>
      <c r="AN2094" s="298"/>
      <c r="AO2094" s="298"/>
      <c r="AP2094" s="298"/>
      <c r="AQ2094" s="298"/>
      <c r="AR2094" s="298"/>
      <c r="AS2094" s="298"/>
      <c r="AT2094" s="298"/>
      <c r="AU2094" s="298"/>
      <c r="AV2094" s="298"/>
      <c r="AW2094" s="298"/>
      <c r="AX2094" s="298"/>
      <c r="AY2094" s="298"/>
      <c r="AZ2094" s="298"/>
      <c r="BA2094" s="298"/>
      <c r="BB2094" s="298"/>
      <c r="BC2094" s="298"/>
      <c r="BD2094" s="298"/>
      <c r="BE2094" s="298"/>
      <c r="BF2094" s="298"/>
      <c r="BG2094" s="298"/>
      <c r="BH2094" s="298"/>
      <c r="BI2094" s="298"/>
      <c r="BJ2094" s="298"/>
      <c r="BK2094" s="298"/>
      <c r="BL2094" s="298"/>
      <c r="BM2094" s="298"/>
      <c r="BN2094" s="298"/>
      <c r="BO2094" s="298"/>
      <c r="BP2094" s="298"/>
    </row>
    <row r="2095" spans="1:68" s="298" customFormat="1" ht="12.75">
      <c r="B2095" s="288" t="s">
        <v>143</v>
      </c>
      <c r="C2095" s="819" t="s">
        <v>18505</v>
      </c>
      <c r="D2095" s="820"/>
      <c r="E2095" s="820"/>
      <c r="F2095" s="820"/>
      <c r="G2095" s="820"/>
      <c r="H2095" s="821"/>
      <c r="J2095" s="521"/>
      <c r="S2095" s="536"/>
      <c r="T2095" s="635"/>
    </row>
    <row r="2096" spans="1:68" s="298" customFormat="1" ht="12.75">
      <c r="A2096" s="286"/>
      <c r="B2096" s="373"/>
      <c r="C2096" s="379"/>
      <c r="D2096" s="382"/>
      <c r="E2096" s="382"/>
      <c r="F2096" s="382"/>
      <c r="G2096" s="382"/>
      <c r="H2096" s="382"/>
      <c r="J2096" s="634"/>
      <c r="S2096" s="536"/>
      <c r="T2096" s="635"/>
    </row>
    <row r="2097" spans="1:20" s="298" customFormat="1" ht="25.5">
      <c r="A2097" s="286"/>
      <c r="B2097" s="372" t="s">
        <v>14465</v>
      </c>
      <c r="C2097" s="231" t="s">
        <v>18507</v>
      </c>
      <c r="D2097" s="232" t="s">
        <v>103</v>
      </c>
      <c r="E2097" s="232" t="s">
        <v>5</v>
      </c>
      <c r="F2097" s="233"/>
      <c r="G2097" s="234"/>
      <c r="H2097" s="235">
        <v>50.5</v>
      </c>
      <c r="J2097" s="634"/>
      <c r="S2097" s="536"/>
      <c r="T2097" s="635"/>
    </row>
    <row r="2098" spans="1:20" s="298" customFormat="1" ht="25.5">
      <c r="A2098" s="506" t="s">
        <v>12</v>
      </c>
      <c r="B2098" s="288" t="s">
        <v>14388</v>
      </c>
      <c r="C2098" s="289" t="s">
        <v>14334</v>
      </c>
      <c r="D2098" s="290" t="s">
        <v>207</v>
      </c>
      <c r="E2098" s="290" t="s">
        <v>5</v>
      </c>
      <c r="F2098" s="383">
        <v>1.1000000000000001</v>
      </c>
      <c r="G2098" s="292">
        <v>43.5</v>
      </c>
      <c r="H2098" s="255">
        <v>47.85</v>
      </c>
      <c r="J2098" s="634"/>
      <c r="S2098" s="536"/>
      <c r="T2098" s="635"/>
    </row>
    <row r="2099" spans="1:20" s="298" customFormat="1" ht="25.5">
      <c r="A2099" s="256" t="s">
        <v>3259</v>
      </c>
      <c r="B2099" s="374">
        <v>88247</v>
      </c>
      <c r="C2099" s="289" t="s">
        <v>145</v>
      </c>
      <c r="D2099" s="290" t="s">
        <v>9714</v>
      </c>
      <c r="E2099" s="290" t="s">
        <v>206</v>
      </c>
      <c r="F2099" s="383">
        <v>6.2E-2</v>
      </c>
      <c r="G2099" s="292" t="s">
        <v>12206</v>
      </c>
      <c r="H2099" s="255">
        <v>1.1599999999999999</v>
      </c>
      <c r="J2099" s="634"/>
      <c r="S2099" s="536"/>
      <c r="T2099" s="635"/>
    </row>
    <row r="2100" spans="1:20" s="298" customFormat="1" ht="25.5">
      <c r="A2100" s="256" t="s">
        <v>3259</v>
      </c>
      <c r="B2100" s="374">
        <v>88264</v>
      </c>
      <c r="C2100" s="289" t="s">
        <v>146</v>
      </c>
      <c r="D2100" s="290" t="s">
        <v>9714</v>
      </c>
      <c r="E2100" s="290" t="s">
        <v>206</v>
      </c>
      <c r="F2100" s="383">
        <v>6.2E-2</v>
      </c>
      <c r="G2100" s="292" t="s">
        <v>16504</v>
      </c>
      <c r="H2100" s="255">
        <v>1.49</v>
      </c>
      <c r="J2100" s="634"/>
      <c r="S2100" s="536"/>
      <c r="T2100" s="635"/>
    </row>
    <row r="2101" spans="1:20" s="298" customFormat="1" ht="12.75">
      <c r="A2101" s="286"/>
      <c r="B2101" s="375" t="s">
        <v>143</v>
      </c>
      <c r="C2101" s="816" t="s">
        <v>16968</v>
      </c>
      <c r="D2101" s="817"/>
      <c r="E2101" s="817"/>
      <c r="F2101" s="817"/>
      <c r="G2101" s="817"/>
      <c r="H2101" s="818"/>
      <c r="J2101" s="634"/>
      <c r="S2101" s="536"/>
      <c r="T2101" s="635"/>
    </row>
    <row r="2102" spans="1:20" s="298" customFormat="1" ht="12.75">
      <c r="A2102" s="286"/>
      <c r="B2102" s="373"/>
      <c r="C2102" s="379"/>
      <c r="D2102" s="382"/>
      <c r="E2102" s="382"/>
      <c r="F2102" s="382"/>
      <c r="G2102" s="382"/>
      <c r="H2102" s="382"/>
      <c r="J2102" s="634"/>
      <c r="S2102" s="536"/>
      <c r="T2102" s="635"/>
    </row>
    <row r="2103" spans="1:20" s="298" customFormat="1" ht="51">
      <c r="A2103" s="286"/>
      <c r="B2103" s="372" t="s">
        <v>14466</v>
      </c>
      <c r="C2103" s="231" t="s">
        <v>18508</v>
      </c>
      <c r="D2103" s="232" t="s">
        <v>103</v>
      </c>
      <c r="E2103" s="232" t="s">
        <v>109</v>
      </c>
      <c r="F2103" s="233"/>
      <c r="G2103" s="234"/>
      <c r="H2103" s="235">
        <v>35.6</v>
      </c>
      <c r="J2103" s="634"/>
      <c r="S2103" s="536"/>
      <c r="T2103" s="635"/>
    </row>
    <row r="2104" spans="1:20" s="298" customFormat="1" ht="25.5">
      <c r="A2104" s="256" t="s">
        <v>3259</v>
      </c>
      <c r="B2104" s="288">
        <v>88264</v>
      </c>
      <c r="C2104" s="289" t="s">
        <v>146</v>
      </c>
      <c r="D2104" s="290" t="s">
        <v>9714</v>
      </c>
      <c r="E2104" s="290" t="s">
        <v>206</v>
      </c>
      <c r="F2104" s="383">
        <v>0.21</v>
      </c>
      <c r="G2104" s="292" t="s">
        <v>16504</v>
      </c>
      <c r="H2104" s="255">
        <v>5.0599999999999996</v>
      </c>
      <c r="J2104" s="634"/>
      <c r="S2104" s="536"/>
      <c r="T2104" s="635"/>
    </row>
    <row r="2105" spans="1:20" s="298" customFormat="1" ht="25.5">
      <c r="A2105" s="256" t="s">
        <v>3259</v>
      </c>
      <c r="B2105" s="374">
        <v>88247</v>
      </c>
      <c r="C2105" s="289" t="s">
        <v>145</v>
      </c>
      <c r="D2105" s="290" t="s">
        <v>9714</v>
      </c>
      <c r="E2105" s="290" t="s">
        <v>206</v>
      </c>
      <c r="F2105" s="383">
        <v>0.21</v>
      </c>
      <c r="G2105" s="292" t="s">
        <v>12206</v>
      </c>
      <c r="H2105" s="255">
        <v>3.93</v>
      </c>
      <c r="J2105" s="634"/>
      <c r="S2105" s="536"/>
      <c r="T2105" s="635"/>
    </row>
    <row r="2106" spans="1:20" s="298" customFormat="1" ht="38.25">
      <c r="A2106" s="256" t="s">
        <v>3261</v>
      </c>
      <c r="B2106" s="288">
        <v>2631</v>
      </c>
      <c r="C2106" s="289" t="s">
        <v>6074</v>
      </c>
      <c r="D2106" s="290" t="s">
        <v>207</v>
      </c>
      <c r="E2106" s="290" t="s">
        <v>3240</v>
      </c>
      <c r="F2106" s="383">
        <v>1</v>
      </c>
      <c r="G2106" s="292" t="s">
        <v>19602</v>
      </c>
      <c r="H2106" s="255">
        <v>26.61</v>
      </c>
      <c r="J2106" s="634"/>
      <c r="S2106" s="536"/>
      <c r="T2106" s="635"/>
    </row>
    <row r="2107" spans="1:20" s="298" customFormat="1" ht="12.75">
      <c r="A2107" s="286"/>
      <c r="B2107" s="375" t="s">
        <v>143</v>
      </c>
      <c r="C2107" s="816" t="s">
        <v>14427</v>
      </c>
      <c r="D2107" s="817"/>
      <c r="E2107" s="817"/>
      <c r="F2107" s="817"/>
      <c r="G2107" s="817"/>
      <c r="H2107" s="818"/>
      <c r="J2107" s="634"/>
      <c r="S2107" s="536"/>
      <c r="T2107" s="635"/>
    </row>
    <row r="2108" spans="1:20" s="298" customFormat="1" ht="12.75">
      <c r="A2108" s="286"/>
      <c r="B2108" s="373"/>
      <c r="C2108" s="379"/>
      <c r="D2108" s="382"/>
      <c r="E2108" s="382"/>
      <c r="F2108" s="382"/>
      <c r="G2108" s="382"/>
      <c r="H2108" s="382"/>
      <c r="J2108" s="634"/>
      <c r="S2108" s="536"/>
      <c r="T2108" s="635"/>
    </row>
    <row r="2109" spans="1:20" s="298" customFormat="1" ht="25.5">
      <c r="A2109" s="286"/>
      <c r="B2109" s="372" t="s">
        <v>14507</v>
      </c>
      <c r="C2109" s="231" t="s">
        <v>17192</v>
      </c>
      <c r="D2109" s="232" t="s">
        <v>103</v>
      </c>
      <c r="E2109" s="232" t="s">
        <v>109</v>
      </c>
      <c r="F2109" s="233"/>
      <c r="G2109" s="234"/>
      <c r="H2109" s="235">
        <v>24.96</v>
      </c>
      <c r="J2109" s="634"/>
      <c r="S2109" s="536"/>
      <c r="T2109" s="635"/>
    </row>
    <row r="2110" spans="1:20" s="298" customFormat="1" ht="25.5">
      <c r="A2110" s="256" t="s">
        <v>3259</v>
      </c>
      <c r="B2110" s="288">
        <v>88264</v>
      </c>
      <c r="C2110" s="289" t="s">
        <v>146</v>
      </c>
      <c r="D2110" s="290" t="s">
        <v>9714</v>
      </c>
      <c r="E2110" s="290" t="s">
        <v>206</v>
      </c>
      <c r="F2110" s="383">
        <v>0.19</v>
      </c>
      <c r="G2110" s="292" t="s">
        <v>16504</v>
      </c>
      <c r="H2110" s="255">
        <v>4.57</v>
      </c>
      <c r="J2110" s="634"/>
      <c r="S2110" s="536"/>
      <c r="T2110" s="635"/>
    </row>
    <row r="2111" spans="1:20" s="298" customFormat="1" ht="25.5">
      <c r="A2111" s="256" t="s">
        <v>3259</v>
      </c>
      <c r="B2111" s="374">
        <v>88247</v>
      </c>
      <c r="C2111" s="289" t="s">
        <v>145</v>
      </c>
      <c r="D2111" s="290" t="s">
        <v>9714</v>
      </c>
      <c r="E2111" s="290" t="s">
        <v>206</v>
      </c>
      <c r="F2111" s="383">
        <v>0.19</v>
      </c>
      <c r="G2111" s="292" t="s">
        <v>12206</v>
      </c>
      <c r="H2111" s="255">
        <v>3.56</v>
      </c>
      <c r="J2111" s="634"/>
      <c r="S2111" s="536"/>
      <c r="T2111" s="635"/>
    </row>
    <row r="2112" spans="1:20" s="298" customFormat="1" ht="51">
      <c r="A2112" s="256" t="s">
        <v>3261</v>
      </c>
      <c r="B2112" s="288">
        <v>2484</v>
      </c>
      <c r="C2112" s="289" t="s">
        <v>5728</v>
      </c>
      <c r="D2112" s="290" t="s">
        <v>207</v>
      </c>
      <c r="E2112" s="290" t="s">
        <v>3240</v>
      </c>
      <c r="F2112" s="383">
        <v>1</v>
      </c>
      <c r="G2112" s="292" t="s">
        <v>15940</v>
      </c>
      <c r="H2112" s="255">
        <v>16.829999999999998</v>
      </c>
      <c r="J2112" s="634"/>
      <c r="S2112" s="536"/>
      <c r="T2112" s="635"/>
    </row>
    <row r="2113" spans="1:20" s="298" customFormat="1" ht="12.75">
      <c r="A2113" s="286"/>
      <c r="B2113" s="375" t="s">
        <v>143</v>
      </c>
      <c r="C2113" s="816" t="s">
        <v>14426</v>
      </c>
      <c r="D2113" s="817"/>
      <c r="E2113" s="817"/>
      <c r="F2113" s="817"/>
      <c r="G2113" s="817"/>
      <c r="H2113" s="818"/>
      <c r="J2113" s="634"/>
      <c r="S2113" s="536"/>
      <c r="T2113" s="635"/>
    </row>
    <row r="2114" spans="1:20" s="298" customFormat="1" ht="12.75">
      <c r="A2114" s="286"/>
      <c r="B2114" s="373"/>
      <c r="C2114" s="379"/>
      <c r="D2114" s="382"/>
      <c r="E2114" s="382"/>
      <c r="F2114" s="382"/>
      <c r="G2114" s="382"/>
      <c r="H2114" s="382"/>
      <c r="J2114" s="634"/>
      <c r="S2114" s="536"/>
      <c r="T2114" s="635"/>
    </row>
    <row r="2115" spans="1:20" s="298" customFormat="1" ht="25.5">
      <c r="A2115" s="286"/>
      <c r="B2115" s="372" t="s">
        <v>14511</v>
      </c>
      <c r="C2115" s="231" t="s">
        <v>17265</v>
      </c>
      <c r="D2115" s="232" t="s">
        <v>103</v>
      </c>
      <c r="E2115" s="232" t="s">
        <v>5</v>
      </c>
      <c r="F2115" s="233"/>
      <c r="G2115" s="234"/>
      <c r="H2115" s="235">
        <v>11.38</v>
      </c>
      <c r="J2115" s="634"/>
      <c r="S2115" s="536"/>
      <c r="T2115" s="635"/>
    </row>
    <row r="2116" spans="1:20" s="298" customFormat="1" ht="12.75">
      <c r="A2116" s="506" t="s">
        <v>12</v>
      </c>
      <c r="B2116" s="374" t="s">
        <v>9608</v>
      </c>
      <c r="C2116" s="289" t="s">
        <v>15749</v>
      </c>
      <c r="D2116" s="290" t="s">
        <v>207</v>
      </c>
      <c r="E2116" s="290" t="s">
        <v>5</v>
      </c>
      <c r="F2116" s="383">
        <v>1.0401</v>
      </c>
      <c r="G2116" s="292">
        <v>10.88</v>
      </c>
      <c r="H2116" s="255">
        <v>11.31</v>
      </c>
      <c r="J2116" s="634"/>
      <c r="S2116" s="536"/>
      <c r="T2116" s="635"/>
    </row>
    <row r="2117" spans="1:20" s="298" customFormat="1" ht="25.5">
      <c r="A2117" s="256" t="s">
        <v>3259</v>
      </c>
      <c r="B2117" s="288">
        <v>88264</v>
      </c>
      <c r="C2117" s="289" t="s">
        <v>146</v>
      </c>
      <c r="D2117" s="290" t="s">
        <v>9714</v>
      </c>
      <c r="E2117" s="290" t="s">
        <v>206</v>
      </c>
      <c r="F2117" s="383">
        <v>3.0000000000000001E-3</v>
      </c>
      <c r="G2117" s="292" t="s">
        <v>16504</v>
      </c>
      <c r="H2117" s="255">
        <v>7.0000000000000007E-2</v>
      </c>
      <c r="J2117" s="634"/>
      <c r="S2117" s="536"/>
      <c r="T2117" s="635"/>
    </row>
    <row r="2118" spans="1:20" s="298" customFormat="1" ht="12.75">
      <c r="A2118" s="286"/>
      <c r="B2118" s="375" t="s">
        <v>143</v>
      </c>
      <c r="C2118" s="816" t="s">
        <v>17264</v>
      </c>
      <c r="D2118" s="817"/>
      <c r="E2118" s="817"/>
      <c r="F2118" s="817"/>
      <c r="G2118" s="817"/>
      <c r="H2118" s="818"/>
      <c r="J2118" s="634"/>
      <c r="S2118" s="536"/>
      <c r="T2118" s="635"/>
    </row>
    <row r="2119" spans="1:20" s="298" customFormat="1" ht="12.75">
      <c r="A2119" s="286"/>
      <c r="B2119" s="373"/>
      <c r="C2119" s="379"/>
      <c r="D2119" s="382"/>
      <c r="E2119" s="382"/>
      <c r="F2119" s="382"/>
      <c r="G2119" s="382"/>
      <c r="H2119" s="382"/>
      <c r="J2119" s="634"/>
      <c r="S2119" s="536"/>
      <c r="T2119" s="635"/>
    </row>
    <row r="2120" spans="1:20" s="298" customFormat="1" ht="25.5">
      <c r="A2120" s="286"/>
      <c r="B2120" s="372" t="s">
        <v>14513</v>
      </c>
      <c r="C2120" s="231" t="s">
        <v>17267</v>
      </c>
      <c r="D2120" s="232" t="s">
        <v>103</v>
      </c>
      <c r="E2120" s="232" t="s">
        <v>5</v>
      </c>
      <c r="F2120" s="233"/>
      <c r="G2120" s="234"/>
      <c r="H2120" s="235">
        <v>13.18</v>
      </c>
      <c r="J2120" s="634"/>
      <c r="S2120" s="536"/>
      <c r="T2120" s="635"/>
    </row>
    <row r="2121" spans="1:20" s="298" customFormat="1" ht="25.5">
      <c r="A2121" s="506" t="s">
        <v>12</v>
      </c>
      <c r="B2121" s="374" t="s">
        <v>14577</v>
      </c>
      <c r="C2121" s="289" t="s">
        <v>17266</v>
      </c>
      <c r="D2121" s="290" t="s">
        <v>207</v>
      </c>
      <c r="E2121" s="290" t="s">
        <v>5</v>
      </c>
      <c r="F2121" s="383">
        <v>1.0401</v>
      </c>
      <c r="G2121" s="292">
        <v>12.62</v>
      </c>
      <c r="H2121" s="255">
        <v>13.12</v>
      </c>
      <c r="J2121" s="634"/>
      <c r="S2121" s="536"/>
      <c r="T2121" s="635"/>
    </row>
    <row r="2122" spans="1:20" s="298" customFormat="1" ht="25.5">
      <c r="A2122" s="256" t="s">
        <v>3259</v>
      </c>
      <c r="B2122" s="288">
        <v>88264</v>
      </c>
      <c r="C2122" s="289" t="s">
        <v>146</v>
      </c>
      <c r="D2122" s="290" t="s">
        <v>9714</v>
      </c>
      <c r="E2122" s="290" t="s">
        <v>206</v>
      </c>
      <c r="F2122" s="383">
        <v>2.8999999999999998E-3</v>
      </c>
      <c r="G2122" s="292" t="s">
        <v>16504</v>
      </c>
      <c r="H2122" s="255">
        <v>0.06</v>
      </c>
      <c r="J2122" s="634"/>
      <c r="S2122" s="536"/>
      <c r="T2122" s="635"/>
    </row>
    <row r="2123" spans="1:20" s="298" customFormat="1" ht="12.75">
      <c r="A2123" s="286"/>
      <c r="B2123" s="375" t="s">
        <v>143</v>
      </c>
      <c r="C2123" s="816" t="s">
        <v>17274</v>
      </c>
      <c r="D2123" s="817"/>
      <c r="E2123" s="817"/>
      <c r="F2123" s="817"/>
      <c r="G2123" s="817"/>
      <c r="H2123" s="818"/>
      <c r="J2123" s="634"/>
      <c r="S2123" s="536"/>
      <c r="T2123" s="635"/>
    </row>
    <row r="2124" spans="1:20" s="298" customFormat="1" ht="12.75">
      <c r="A2124" s="286"/>
      <c r="B2124" s="373"/>
      <c r="C2124" s="379"/>
      <c r="D2124" s="382"/>
      <c r="E2124" s="382"/>
      <c r="F2124" s="382"/>
      <c r="G2124" s="382"/>
      <c r="H2124" s="382"/>
      <c r="J2124" s="634"/>
      <c r="S2124" s="536"/>
      <c r="T2124" s="635"/>
    </row>
    <row r="2125" spans="1:20" s="298" customFormat="1" ht="25.5">
      <c r="A2125" s="286"/>
      <c r="B2125" s="372" t="s">
        <v>14536</v>
      </c>
      <c r="C2125" s="231" t="s">
        <v>17276</v>
      </c>
      <c r="D2125" s="232" t="s">
        <v>103</v>
      </c>
      <c r="E2125" s="232" t="s">
        <v>5</v>
      </c>
      <c r="F2125" s="233"/>
      <c r="G2125" s="234"/>
      <c r="H2125" s="235">
        <v>3.75</v>
      </c>
      <c r="J2125" s="634"/>
      <c r="S2125" s="536"/>
      <c r="T2125" s="635"/>
    </row>
    <row r="2126" spans="1:20" s="298" customFormat="1" ht="25.5">
      <c r="A2126" s="256" t="s">
        <v>3261</v>
      </c>
      <c r="B2126" s="374">
        <v>21127</v>
      </c>
      <c r="C2126" s="289" t="s">
        <v>6456</v>
      </c>
      <c r="D2126" s="290" t="s">
        <v>207</v>
      </c>
      <c r="E2126" s="290" t="s">
        <v>3240</v>
      </c>
      <c r="F2126" s="383">
        <v>8.9999999999999993E-3</v>
      </c>
      <c r="G2126" s="292" t="s">
        <v>10073</v>
      </c>
      <c r="H2126" s="255">
        <v>0.03</v>
      </c>
      <c r="J2126" s="634"/>
      <c r="S2126" s="536"/>
      <c r="T2126" s="635"/>
    </row>
    <row r="2127" spans="1:20" s="298" customFormat="1" ht="25.5">
      <c r="A2127" s="256" t="s">
        <v>3259</v>
      </c>
      <c r="B2127" s="374">
        <v>88247</v>
      </c>
      <c r="C2127" s="289" t="s">
        <v>145</v>
      </c>
      <c r="D2127" s="290" t="s">
        <v>9714</v>
      </c>
      <c r="E2127" s="290" t="s">
        <v>206</v>
      </c>
      <c r="F2127" s="383">
        <v>8.6999999999999994E-2</v>
      </c>
      <c r="G2127" s="292" t="s">
        <v>12206</v>
      </c>
      <c r="H2127" s="255">
        <v>1.63</v>
      </c>
      <c r="J2127" s="634"/>
      <c r="S2127" s="536"/>
      <c r="T2127" s="635"/>
    </row>
    <row r="2128" spans="1:20" s="298" customFormat="1" ht="25.5">
      <c r="A2128" s="256" t="s">
        <v>3259</v>
      </c>
      <c r="B2128" s="288">
        <v>88264</v>
      </c>
      <c r="C2128" s="289" t="s">
        <v>146</v>
      </c>
      <c r="D2128" s="290" t="s">
        <v>9714</v>
      </c>
      <c r="E2128" s="290" t="s">
        <v>206</v>
      </c>
      <c r="F2128" s="383">
        <v>8.6999999999999994E-2</v>
      </c>
      <c r="G2128" s="292" t="s">
        <v>16504</v>
      </c>
      <c r="H2128" s="255">
        <v>2.09</v>
      </c>
      <c r="J2128" s="634"/>
      <c r="S2128" s="536"/>
      <c r="T2128" s="635"/>
    </row>
    <row r="2129" spans="1:68" s="298" customFormat="1" ht="12.75">
      <c r="A2129" s="286"/>
      <c r="B2129" s="375" t="s">
        <v>143</v>
      </c>
      <c r="C2129" s="816" t="s">
        <v>17275</v>
      </c>
      <c r="D2129" s="817"/>
      <c r="E2129" s="817"/>
      <c r="F2129" s="817"/>
      <c r="G2129" s="817"/>
      <c r="H2129" s="818"/>
      <c r="J2129" s="634"/>
      <c r="S2129" s="536"/>
      <c r="T2129" s="635"/>
    </row>
    <row r="2130" spans="1:68" s="529" customFormat="1" ht="12.75">
      <c r="A2130" s="286"/>
      <c r="B2130" s="583"/>
      <c r="C2130" s="466"/>
      <c r="D2130" s="467"/>
      <c r="E2130" s="467"/>
      <c r="F2130" s="467"/>
      <c r="G2130" s="467"/>
      <c r="H2130" s="467"/>
      <c r="I2130" s="298"/>
      <c r="J2130" s="521"/>
      <c r="K2130" s="298"/>
      <c r="L2130" s="298"/>
      <c r="M2130" s="298"/>
      <c r="N2130" s="298"/>
      <c r="O2130" s="298"/>
      <c r="P2130" s="298"/>
      <c r="Q2130" s="298"/>
      <c r="R2130" s="298"/>
      <c r="S2130" s="536"/>
      <c r="T2130" s="635"/>
      <c r="U2130" s="298"/>
      <c r="V2130" s="298"/>
      <c r="W2130" s="298"/>
      <c r="X2130" s="298"/>
      <c r="Y2130" s="298"/>
      <c r="Z2130" s="298"/>
      <c r="AA2130" s="298"/>
      <c r="AB2130" s="298"/>
      <c r="AC2130" s="298"/>
      <c r="AD2130" s="298"/>
      <c r="AE2130" s="298"/>
      <c r="AF2130" s="298"/>
      <c r="AG2130" s="298"/>
      <c r="AH2130" s="298"/>
      <c r="AI2130" s="298"/>
      <c r="AJ2130" s="298"/>
      <c r="AK2130" s="298"/>
      <c r="AL2130" s="298"/>
      <c r="AM2130" s="298"/>
      <c r="AN2130" s="298"/>
      <c r="AO2130" s="298"/>
      <c r="AP2130" s="298"/>
      <c r="AQ2130" s="298"/>
      <c r="AR2130" s="298"/>
      <c r="AS2130" s="298"/>
      <c r="AT2130" s="298"/>
      <c r="AU2130" s="298"/>
      <c r="AV2130" s="298"/>
      <c r="AW2130" s="298"/>
      <c r="AX2130" s="298"/>
      <c r="AY2130" s="298"/>
      <c r="AZ2130" s="298"/>
      <c r="BA2130" s="298"/>
      <c r="BB2130" s="298"/>
      <c r="BC2130" s="298"/>
      <c r="BD2130" s="298"/>
      <c r="BE2130" s="298"/>
      <c r="BF2130" s="298"/>
      <c r="BG2130" s="298"/>
      <c r="BH2130" s="298"/>
      <c r="BI2130" s="298"/>
      <c r="BJ2130" s="298"/>
      <c r="BK2130" s="298"/>
      <c r="BL2130" s="298"/>
      <c r="BM2130" s="298"/>
      <c r="BN2130" s="298"/>
      <c r="BO2130" s="298"/>
      <c r="BP2130" s="298"/>
    </row>
    <row r="2131" spans="1:68" s="529" customFormat="1" ht="51">
      <c r="A2131" s="286"/>
      <c r="B2131" s="372" t="s">
        <v>14537</v>
      </c>
      <c r="C2131" s="231" t="s">
        <v>18520</v>
      </c>
      <c r="D2131" s="232" t="s">
        <v>103</v>
      </c>
      <c r="E2131" s="232" t="s">
        <v>3240</v>
      </c>
      <c r="F2131" s="233"/>
      <c r="G2131" s="234"/>
      <c r="H2131" s="235">
        <v>979.55000000000007</v>
      </c>
      <c r="I2131" s="298"/>
      <c r="J2131" s="521"/>
      <c r="K2131" s="298"/>
      <c r="L2131" s="298"/>
      <c r="M2131" s="298"/>
      <c r="N2131" s="298"/>
      <c r="O2131" s="298"/>
      <c r="P2131" s="298"/>
      <c r="Q2131" s="298"/>
      <c r="R2131" s="298"/>
      <c r="S2131" s="536"/>
      <c r="T2131" s="635"/>
      <c r="U2131" s="298"/>
      <c r="V2131" s="298"/>
      <c r="W2131" s="298"/>
      <c r="X2131" s="298"/>
      <c r="Y2131" s="298"/>
      <c r="Z2131" s="298"/>
      <c r="AA2131" s="298"/>
      <c r="AB2131" s="298"/>
      <c r="AC2131" s="298"/>
      <c r="AD2131" s="298"/>
      <c r="AE2131" s="298"/>
      <c r="AF2131" s="298"/>
      <c r="AG2131" s="298"/>
      <c r="AH2131" s="298"/>
      <c r="AI2131" s="298"/>
      <c r="AJ2131" s="298"/>
      <c r="AK2131" s="298"/>
      <c r="AL2131" s="298"/>
      <c r="AM2131" s="298"/>
      <c r="AN2131" s="298"/>
      <c r="AO2131" s="298"/>
      <c r="AP2131" s="298"/>
      <c r="AQ2131" s="298"/>
      <c r="AR2131" s="298"/>
      <c r="AS2131" s="298"/>
      <c r="AT2131" s="298"/>
      <c r="AU2131" s="298"/>
      <c r="AV2131" s="298"/>
      <c r="AW2131" s="298"/>
      <c r="AX2131" s="298"/>
      <c r="AY2131" s="298"/>
      <c r="AZ2131" s="298"/>
      <c r="BA2131" s="298"/>
      <c r="BB2131" s="298"/>
      <c r="BC2131" s="298"/>
      <c r="BD2131" s="298"/>
      <c r="BE2131" s="298"/>
      <c r="BF2131" s="298"/>
      <c r="BG2131" s="298"/>
      <c r="BH2131" s="298"/>
      <c r="BI2131" s="298"/>
      <c r="BJ2131" s="298"/>
      <c r="BK2131" s="298"/>
      <c r="BL2131" s="298"/>
      <c r="BM2131" s="298"/>
      <c r="BN2131" s="298"/>
      <c r="BO2131" s="298"/>
      <c r="BP2131" s="298"/>
    </row>
    <row r="2132" spans="1:68" s="298" customFormat="1" ht="51">
      <c r="A2132" s="256" t="s">
        <v>3259</v>
      </c>
      <c r="B2132" s="374">
        <v>97889</v>
      </c>
      <c r="C2132" s="289" t="s">
        <v>13022</v>
      </c>
      <c r="D2132" s="290" t="s">
        <v>229</v>
      </c>
      <c r="E2132" s="290" t="s">
        <v>109</v>
      </c>
      <c r="F2132" s="383">
        <v>1</v>
      </c>
      <c r="G2132" s="292" t="s">
        <v>22621</v>
      </c>
      <c r="H2132" s="255">
        <v>673.71</v>
      </c>
      <c r="J2132" s="521"/>
      <c r="S2132" s="536"/>
      <c r="T2132" s="635"/>
    </row>
    <row r="2133" spans="1:68" s="298" customFormat="1" ht="38.25">
      <c r="A2133" s="256" t="s">
        <v>3261</v>
      </c>
      <c r="B2133" s="374">
        <v>21071</v>
      </c>
      <c r="C2133" s="289" t="s">
        <v>8135</v>
      </c>
      <c r="D2133" s="290" t="s">
        <v>207</v>
      </c>
      <c r="E2133" s="290" t="s">
        <v>3240</v>
      </c>
      <c r="F2133" s="383">
        <v>1</v>
      </c>
      <c r="G2133" s="292" t="s">
        <v>20698</v>
      </c>
      <c r="H2133" s="255">
        <v>241.86</v>
      </c>
      <c r="J2133" s="521"/>
      <c r="S2133" s="536"/>
      <c r="T2133" s="635"/>
    </row>
    <row r="2134" spans="1:68" s="298" customFormat="1" ht="51">
      <c r="A2134" s="256" t="s">
        <v>3259</v>
      </c>
      <c r="B2134" s="374">
        <v>87316</v>
      </c>
      <c r="C2134" s="289" t="s">
        <v>9328</v>
      </c>
      <c r="D2134" s="290" t="s">
        <v>229</v>
      </c>
      <c r="E2134" s="290" t="s">
        <v>209</v>
      </c>
      <c r="F2134" s="383">
        <v>4.4999999999999997E-3</v>
      </c>
      <c r="G2134" s="292" t="s">
        <v>24202</v>
      </c>
      <c r="H2134" s="255">
        <v>1.72</v>
      </c>
      <c r="J2134" s="521"/>
      <c r="S2134" s="536"/>
      <c r="T2134" s="635"/>
    </row>
    <row r="2135" spans="1:68" s="298" customFormat="1" ht="25.5">
      <c r="A2135" s="256" t="s">
        <v>3259</v>
      </c>
      <c r="B2135" s="374">
        <v>88309</v>
      </c>
      <c r="C2135" s="289" t="s">
        <v>105</v>
      </c>
      <c r="D2135" s="290" t="s">
        <v>9714</v>
      </c>
      <c r="E2135" s="290" t="s">
        <v>206</v>
      </c>
      <c r="F2135" s="383">
        <v>1.5</v>
      </c>
      <c r="G2135" s="292" t="s">
        <v>11439</v>
      </c>
      <c r="H2135" s="255">
        <v>35.85</v>
      </c>
      <c r="J2135" s="521"/>
      <c r="S2135" s="536"/>
      <c r="T2135" s="635"/>
    </row>
    <row r="2136" spans="1:68" s="298" customFormat="1" ht="25.5">
      <c r="A2136" s="256" t="s">
        <v>3259</v>
      </c>
      <c r="B2136" s="374">
        <v>88316</v>
      </c>
      <c r="C2136" s="289" t="s">
        <v>104</v>
      </c>
      <c r="D2136" s="290" t="s">
        <v>9714</v>
      </c>
      <c r="E2136" s="290" t="s">
        <v>206</v>
      </c>
      <c r="F2136" s="383">
        <v>1.5</v>
      </c>
      <c r="G2136" s="292" t="s">
        <v>10172</v>
      </c>
      <c r="H2136" s="255">
        <v>26.41</v>
      </c>
      <c r="J2136" s="521"/>
      <c r="S2136" s="536"/>
      <c r="T2136" s="635"/>
    </row>
    <row r="2137" spans="1:68" s="298" customFormat="1" ht="12.75">
      <c r="A2137" s="286"/>
      <c r="B2137" s="288" t="s">
        <v>143</v>
      </c>
      <c r="C2137" s="603" t="s">
        <v>14694</v>
      </c>
      <c r="D2137" s="604"/>
      <c r="E2137" s="604"/>
      <c r="F2137" s="604"/>
      <c r="G2137" s="604"/>
      <c r="H2137" s="605"/>
      <c r="J2137" s="646"/>
      <c r="K2137" s="524"/>
      <c r="L2137" s="522"/>
      <c r="M2137" s="522"/>
      <c r="S2137" s="536"/>
      <c r="T2137" s="635"/>
    </row>
    <row r="2138" spans="1:68" s="298" customFormat="1" ht="12.75">
      <c r="A2138" s="286"/>
      <c r="B2138" s="373"/>
      <c r="C2138" s="379"/>
      <c r="D2138" s="382"/>
      <c r="E2138" s="382"/>
      <c r="F2138" s="382"/>
      <c r="G2138" s="382"/>
      <c r="H2138" s="382"/>
      <c r="J2138" s="634"/>
      <c r="S2138" s="536"/>
      <c r="T2138" s="635"/>
    </row>
    <row r="2139" spans="1:68" s="298" customFormat="1" ht="38.25">
      <c r="A2139" s="286"/>
      <c r="B2139" s="372" t="s">
        <v>14543</v>
      </c>
      <c r="C2139" s="231" t="s">
        <v>14517</v>
      </c>
      <c r="D2139" s="232" t="s">
        <v>103</v>
      </c>
      <c r="E2139" s="232" t="s">
        <v>10</v>
      </c>
      <c r="F2139" s="233"/>
      <c r="G2139" s="234"/>
      <c r="H2139" s="235">
        <v>6.04</v>
      </c>
      <c r="J2139" s="634"/>
      <c r="L2139" s="256"/>
      <c r="M2139" s="256"/>
      <c r="N2139" s="256"/>
      <c r="S2139" s="536"/>
      <c r="T2139" s="635"/>
    </row>
    <row r="2140" spans="1:68" s="298" customFormat="1" ht="51">
      <c r="A2140" s="256" t="s">
        <v>3261</v>
      </c>
      <c r="B2140" s="288">
        <v>1578</v>
      </c>
      <c r="C2140" s="289" t="s">
        <v>8433</v>
      </c>
      <c r="D2140" s="290" t="s">
        <v>207</v>
      </c>
      <c r="E2140" s="290" t="s">
        <v>3240</v>
      </c>
      <c r="F2140" s="383">
        <v>1</v>
      </c>
      <c r="G2140" s="292" t="s">
        <v>10482</v>
      </c>
      <c r="H2140" s="255">
        <v>4.59</v>
      </c>
      <c r="J2140" s="634"/>
      <c r="L2140" s="256"/>
      <c r="M2140" s="256"/>
      <c r="N2140" s="256"/>
      <c r="S2140" s="536"/>
      <c r="T2140" s="635"/>
    </row>
    <row r="2141" spans="1:68" s="298" customFormat="1" ht="51">
      <c r="A2141" s="256" t="s">
        <v>3261</v>
      </c>
      <c r="B2141" s="288">
        <v>13246</v>
      </c>
      <c r="C2141" s="289" t="s">
        <v>7494</v>
      </c>
      <c r="D2141" s="290" t="s">
        <v>207</v>
      </c>
      <c r="E2141" s="290" t="s">
        <v>3240</v>
      </c>
      <c r="F2141" s="383">
        <v>1</v>
      </c>
      <c r="G2141" s="292" t="s">
        <v>11058</v>
      </c>
      <c r="H2141" s="255">
        <v>0.25</v>
      </c>
      <c r="J2141" s="634"/>
      <c r="L2141" s="256"/>
      <c r="M2141" s="256"/>
      <c r="N2141" s="256"/>
      <c r="S2141" s="536"/>
      <c r="T2141" s="635"/>
    </row>
    <row r="2142" spans="1:68" s="298" customFormat="1" ht="25.5">
      <c r="A2142" s="256" t="s">
        <v>3259</v>
      </c>
      <c r="B2142" s="288">
        <v>88264</v>
      </c>
      <c r="C2142" s="289" t="s">
        <v>146</v>
      </c>
      <c r="D2142" s="290" t="s">
        <v>9714</v>
      </c>
      <c r="E2142" s="290" t="s">
        <v>206</v>
      </c>
      <c r="F2142" s="383">
        <v>0.05</v>
      </c>
      <c r="G2142" s="292" t="s">
        <v>16504</v>
      </c>
      <c r="H2142" s="255">
        <v>1.2</v>
      </c>
      <c r="J2142" s="634"/>
      <c r="S2142" s="536"/>
      <c r="T2142" s="635"/>
    </row>
    <row r="2143" spans="1:68" s="298" customFormat="1" ht="12.75">
      <c r="A2143" s="286"/>
      <c r="B2143" s="375" t="s">
        <v>143</v>
      </c>
      <c r="C2143" s="816" t="s">
        <v>14516</v>
      </c>
      <c r="D2143" s="817"/>
      <c r="E2143" s="817"/>
      <c r="F2143" s="817"/>
      <c r="G2143" s="817"/>
      <c r="H2143" s="818"/>
      <c r="J2143" s="634"/>
      <c r="S2143" s="536"/>
      <c r="T2143" s="635"/>
    </row>
    <row r="2144" spans="1:68" s="529" customFormat="1" ht="12.75">
      <c r="A2144" s="286"/>
      <c r="B2144" s="293"/>
      <c r="C2144" s="229"/>
      <c r="D2144" s="230"/>
      <c r="E2144" s="230"/>
      <c r="F2144" s="230"/>
      <c r="G2144" s="230"/>
      <c r="H2144" s="230"/>
      <c r="I2144" s="298"/>
      <c r="J2144" s="521"/>
      <c r="K2144" s="298"/>
      <c r="L2144" s="298"/>
      <c r="M2144" s="298"/>
      <c r="N2144" s="298"/>
      <c r="O2144" s="298"/>
      <c r="P2144" s="298"/>
      <c r="Q2144" s="298"/>
      <c r="R2144" s="298"/>
      <c r="S2144" s="536"/>
      <c r="T2144" s="635"/>
      <c r="U2144" s="298"/>
      <c r="V2144" s="298"/>
      <c r="W2144" s="298"/>
      <c r="X2144" s="298"/>
      <c r="Y2144" s="298"/>
      <c r="Z2144" s="298"/>
      <c r="AA2144" s="298"/>
      <c r="AB2144" s="298"/>
      <c r="AC2144" s="298"/>
      <c r="AD2144" s="298"/>
      <c r="AE2144" s="298"/>
      <c r="AF2144" s="298"/>
      <c r="AG2144" s="298"/>
      <c r="AH2144" s="298"/>
      <c r="AI2144" s="298"/>
      <c r="AJ2144" s="298"/>
      <c r="AK2144" s="298"/>
      <c r="AL2144" s="298"/>
      <c r="AM2144" s="298"/>
      <c r="AN2144" s="298"/>
      <c r="AO2144" s="298"/>
      <c r="AP2144" s="298"/>
      <c r="AQ2144" s="298"/>
      <c r="AR2144" s="298"/>
      <c r="AS2144" s="298"/>
      <c r="AT2144" s="298"/>
      <c r="AU2144" s="298"/>
      <c r="AV2144" s="298"/>
      <c r="AW2144" s="298"/>
      <c r="AX2144" s="298"/>
      <c r="AY2144" s="298"/>
      <c r="AZ2144" s="298"/>
      <c r="BA2144" s="298"/>
      <c r="BB2144" s="298"/>
      <c r="BC2144" s="298"/>
      <c r="BD2144" s="298"/>
      <c r="BE2144" s="298"/>
      <c r="BF2144" s="298"/>
      <c r="BG2144" s="298"/>
      <c r="BH2144" s="298"/>
      <c r="BI2144" s="298"/>
      <c r="BJ2144" s="298"/>
      <c r="BK2144" s="298"/>
      <c r="BL2144" s="298"/>
      <c r="BM2144" s="298"/>
      <c r="BN2144" s="298"/>
      <c r="BO2144" s="298"/>
      <c r="BP2144" s="298"/>
    </row>
    <row r="2145" spans="1:68" s="298" customFormat="1" ht="25.5">
      <c r="A2145" s="286"/>
      <c r="B2145" s="372" t="s">
        <v>14545</v>
      </c>
      <c r="C2145" s="581" t="s">
        <v>17281</v>
      </c>
      <c r="D2145" s="232" t="s">
        <v>103</v>
      </c>
      <c r="E2145" s="232" t="s">
        <v>109</v>
      </c>
      <c r="F2145" s="233"/>
      <c r="G2145" s="234"/>
      <c r="H2145" s="235">
        <v>7.72</v>
      </c>
      <c r="J2145" s="521"/>
      <c r="L2145" s="256"/>
      <c r="M2145" s="256"/>
      <c r="N2145" s="256"/>
      <c r="O2145" s="256"/>
      <c r="S2145" s="536"/>
      <c r="T2145" s="635"/>
    </row>
    <row r="2146" spans="1:68" s="298" customFormat="1" ht="38.25">
      <c r="A2146" s="256" t="s">
        <v>3261</v>
      </c>
      <c r="B2146" s="288" t="s">
        <v>17284</v>
      </c>
      <c r="C2146" s="289" t="s">
        <v>17283</v>
      </c>
      <c r="D2146" s="290" t="s">
        <v>207</v>
      </c>
      <c r="E2146" s="290" t="s">
        <v>3240</v>
      </c>
      <c r="F2146" s="383">
        <v>1</v>
      </c>
      <c r="G2146" s="292">
        <v>3.44</v>
      </c>
      <c r="H2146" s="255">
        <v>3.44</v>
      </c>
      <c r="J2146" s="521"/>
      <c r="L2146" s="256"/>
      <c r="M2146" s="256"/>
      <c r="N2146" s="256"/>
      <c r="O2146" s="256"/>
      <c r="S2146" s="536"/>
      <c r="T2146" s="635"/>
    </row>
    <row r="2147" spans="1:68" s="298" customFormat="1" ht="25.5">
      <c r="A2147" s="256" t="s">
        <v>3259</v>
      </c>
      <c r="B2147" s="288">
        <v>88264</v>
      </c>
      <c r="C2147" s="289" t="s">
        <v>146</v>
      </c>
      <c r="D2147" s="290" t="s">
        <v>9714</v>
      </c>
      <c r="E2147" s="290" t="s">
        <v>206</v>
      </c>
      <c r="F2147" s="383">
        <v>0.1</v>
      </c>
      <c r="G2147" s="292" t="s">
        <v>16504</v>
      </c>
      <c r="H2147" s="255">
        <v>2.41</v>
      </c>
      <c r="J2147" s="634"/>
      <c r="S2147" s="536"/>
      <c r="T2147" s="635"/>
    </row>
    <row r="2148" spans="1:68" s="298" customFormat="1" ht="25.5">
      <c r="A2148" s="256" t="s">
        <v>3259</v>
      </c>
      <c r="B2148" s="374">
        <v>88247</v>
      </c>
      <c r="C2148" s="289" t="s">
        <v>145</v>
      </c>
      <c r="D2148" s="290" t="s">
        <v>9714</v>
      </c>
      <c r="E2148" s="290" t="s">
        <v>206</v>
      </c>
      <c r="F2148" s="383">
        <v>0.1</v>
      </c>
      <c r="G2148" s="292" t="s">
        <v>12206</v>
      </c>
      <c r="H2148" s="255">
        <v>1.87</v>
      </c>
      <c r="J2148" s="634"/>
      <c r="S2148" s="536"/>
      <c r="T2148" s="635"/>
    </row>
    <row r="2149" spans="1:68" s="298" customFormat="1">
      <c r="A2149" s="256"/>
      <c r="B2149" s="288" t="s">
        <v>143</v>
      </c>
      <c r="C2149" s="238" t="s">
        <v>17282</v>
      </c>
      <c r="D2149" s="386"/>
      <c r="E2149" s="386"/>
      <c r="F2149" s="386"/>
      <c r="G2149" s="386"/>
      <c r="H2149" s="387"/>
      <c r="J2149" s="521"/>
      <c r="L2149" s="648"/>
      <c r="M2149" s="648"/>
      <c r="S2149" s="536"/>
      <c r="T2149" s="635"/>
    </row>
    <row r="2150" spans="1:68" s="529" customFormat="1" ht="12.75">
      <c r="A2150" s="286"/>
      <c r="B2150" s="293"/>
      <c r="C2150" s="229"/>
      <c r="D2150" s="230"/>
      <c r="E2150" s="230"/>
      <c r="F2150" s="230"/>
      <c r="G2150" s="230"/>
      <c r="H2150" s="230"/>
      <c r="I2150" s="298"/>
      <c r="J2150" s="521"/>
      <c r="K2150" s="298"/>
      <c r="L2150" s="298"/>
      <c r="M2150" s="298"/>
      <c r="N2150" s="298"/>
      <c r="O2150" s="298"/>
      <c r="P2150" s="298"/>
      <c r="Q2150" s="298"/>
      <c r="R2150" s="298"/>
      <c r="S2150" s="536"/>
      <c r="T2150" s="635"/>
      <c r="U2150" s="298"/>
      <c r="V2150" s="298"/>
      <c r="W2150" s="298"/>
      <c r="X2150" s="298"/>
      <c r="Y2150" s="298"/>
      <c r="Z2150" s="298"/>
      <c r="AA2150" s="298"/>
      <c r="AB2150" s="298"/>
      <c r="AC2150" s="298"/>
      <c r="AD2150" s="298"/>
      <c r="AE2150" s="298"/>
      <c r="AF2150" s="298"/>
      <c r="AG2150" s="298"/>
      <c r="AH2150" s="298"/>
      <c r="AI2150" s="298"/>
      <c r="AJ2150" s="298"/>
      <c r="AK2150" s="298"/>
      <c r="AL2150" s="298"/>
      <c r="AM2150" s="298"/>
      <c r="AN2150" s="298"/>
      <c r="AO2150" s="298"/>
      <c r="AP2150" s="298"/>
      <c r="AQ2150" s="298"/>
      <c r="AR2150" s="298"/>
      <c r="AS2150" s="298"/>
      <c r="AT2150" s="298"/>
      <c r="AU2150" s="298"/>
      <c r="AV2150" s="298"/>
      <c r="AW2150" s="298"/>
      <c r="AX2150" s="298"/>
      <c r="AY2150" s="298"/>
      <c r="AZ2150" s="298"/>
      <c r="BA2150" s="298"/>
      <c r="BB2150" s="298"/>
      <c r="BC2150" s="298"/>
      <c r="BD2150" s="298"/>
      <c r="BE2150" s="298"/>
      <c r="BF2150" s="298"/>
      <c r="BG2150" s="298"/>
      <c r="BH2150" s="298"/>
      <c r="BI2150" s="298"/>
      <c r="BJ2150" s="298"/>
      <c r="BK2150" s="298"/>
      <c r="BL2150" s="298"/>
      <c r="BM2150" s="298"/>
      <c r="BN2150" s="298"/>
      <c r="BO2150" s="298"/>
      <c r="BP2150" s="298"/>
    </row>
    <row r="2151" spans="1:68" s="298" customFormat="1" ht="25.5">
      <c r="A2151" s="286"/>
      <c r="B2151" s="372" t="s">
        <v>14548</v>
      </c>
      <c r="C2151" s="581" t="s">
        <v>17285</v>
      </c>
      <c r="D2151" s="232" t="s">
        <v>103</v>
      </c>
      <c r="E2151" s="232" t="s">
        <v>109</v>
      </c>
      <c r="F2151" s="233"/>
      <c r="G2151" s="234"/>
      <c r="H2151" s="235">
        <v>4.58</v>
      </c>
      <c r="J2151" s="521"/>
      <c r="L2151" s="256"/>
      <c r="M2151" s="256"/>
      <c r="N2151" s="256"/>
      <c r="O2151" s="256"/>
      <c r="S2151" s="536"/>
      <c r="T2151" s="635"/>
    </row>
    <row r="2152" spans="1:68" s="298" customFormat="1" ht="25.5">
      <c r="A2152" s="256" t="s">
        <v>12</v>
      </c>
      <c r="B2152" s="288" t="s">
        <v>17278</v>
      </c>
      <c r="C2152" s="289" t="s">
        <v>17280</v>
      </c>
      <c r="D2152" s="290" t="s">
        <v>207</v>
      </c>
      <c r="E2152" s="290" t="s">
        <v>109</v>
      </c>
      <c r="F2152" s="383">
        <v>1</v>
      </c>
      <c r="G2152" s="292">
        <v>0.30285000000000001</v>
      </c>
      <c r="H2152" s="255">
        <v>0.3</v>
      </c>
      <c r="J2152" s="521"/>
      <c r="L2152" s="256"/>
      <c r="M2152" s="256"/>
      <c r="N2152" s="256"/>
      <c r="O2152" s="256"/>
      <c r="S2152" s="536"/>
      <c r="T2152" s="635"/>
    </row>
    <row r="2153" spans="1:68" s="298" customFormat="1" ht="25.5">
      <c r="A2153" s="256" t="s">
        <v>3259</v>
      </c>
      <c r="B2153" s="288">
        <v>88264</v>
      </c>
      <c r="C2153" s="289" t="s">
        <v>146</v>
      </c>
      <c r="D2153" s="290" t="s">
        <v>9714</v>
      </c>
      <c r="E2153" s="290" t="s">
        <v>206</v>
      </c>
      <c r="F2153" s="383">
        <v>0.1</v>
      </c>
      <c r="G2153" s="292" t="s">
        <v>16504</v>
      </c>
      <c r="H2153" s="255">
        <v>2.41</v>
      </c>
      <c r="J2153" s="634"/>
      <c r="S2153" s="536"/>
      <c r="T2153" s="635"/>
    </row>
    <row r="2154" spans="1:68" s="298" customFormat="1" ht="25.5">
      <c r="A2154" s="256" t="s">
        <v>3259</v>
      </c>
      <c r="B2154" s="374">
        <v>88247</v>
      </c>
      <c r="C2154" s="289" t="s">
        <v>145</v>
      </c>
      <c r="D2154" s="290" t="s">
        <v>9714</v>
      </c>
      <c r="E2154" s="290" t="s">
        <v>206</v>
      </c>
      <c r="F2154" s="383">
        <v>0.1</v>
      </c>
      <c r="G2154" s="292" t="s">
        <v>12206</v>
      </c>
      <c r="H2154" s="255">
        <v>1.87</v>
      </c>
      <c r="J2154" s="634"/>
      <c r="S2154" s="536"/>
      <c r="T2154" s="635"/>
    </row>
    <row r="2155" spans="1:68" s="298" customFormat="1">
      <c r="A2155" s="256"/>
      <c r="B2155" s="288" t="s">
        <v>143</v>
      </c>
      <c r="C2155" s="238" t="s">
        <v>17282</v>
      </c>
      <c r="D2155" s="386"/>
      <c r="E2155" s="386"/>
      <c r="F2155" s="386"/>
      <c r="G2155" s="386"/>
      <c r="H2155" s="387"/>
      <c r="J2155" s="521"/>
      <c r="L2155" s="648"/>
      <c r="M2155" s="648"/>
      <c r="S2155" s="536"/>
      <c r="T2155" s="635"/>
    </row>
    <row r="2156" spans="1:68" s="298" customFormat="1" ht="12.75">
      <c r="A2156" s="286"/>
      <c r="B2156" s="373"/>
      <c r="C2156" s="379"/>
      <c r="D2156" s="382"/>
      <c r="E2156" s="382"/>
      <c r="F2156" s="382"/>
      <c r="G2156" s="382"/>
      <c r="H2156" s="382"/>
      <c r="J2156" s="634"/>
      <c r="S2156" s="536"/>
      <c r="T2156" s="635"/>
    </row>
    <row r="2157" spans="1:68" s="298" customFormat="1" ht="25.5">
      <c r="A2157" s="286"/>
      <c r="B2157" s="372" t="s">
        <v>14549</v>
      </c>
      <c r="C2157" s="231" t="s">
        <v>18461</v>
      </c>
      <c r="D2157" s="232" t="s">
        <v>103</v>
      </c>
      <c r="E2157" s="232" t="s">
        <v>5</v>
      </c>
      <c r="F2157" s="233"/>
      <c r="G2157" s="234"/>
      <c r="H2157" s="235">
        <v>9.42</v>
      </c>
      <c r="J2157" s="634"/>
      <c r="S2157" s="536"/>
      <c r="T2157" s="635"/>
    </row>
    <row r="2158" spans="1:68" s="298" customFormat="1" ht="51">
      <c r="A2158" s="256" t="s">
        <v>3261</v>
      </c>
      <c r="B2158" s="374">
        <v>39246</v>
      </c>
      <c r="C2158" s="289" t="s">
        <v>6253</v>
      </c>
      <c r="D2158" s="290" t="s">
        <v>207</v>
      </c>
      <c r="E2158" s="290" t="s">
        <v>3243</v>
      </c>
      <c r="F2158" s="383">
        <v>1.1000000000000001</v>
      </c>
      <c r="G2158" s="292" t="s">
        <v>16197</v>
      </c>
      <c r="H2158" s="255">
        <v>4.93</v>
      </c>
      <c r="J2158" s="634"/>
      <c r="S2158" s="536"/>
      <c r="T2158" s="635"/>
    </row>
    <row r="2159" spans="1:68" s="298" customFormat="1" ht="25.5">
      <c r="A2159" s="256" t="s">
        <v>3259</v>
      </c>
      <c r="B2159" s="374">
        <v>88247</v>
      </c>
      <c r="C2159" s="289" t="s">
        <v>145</v>
      </c>
      <c r="D2159" s="290" t="s">
        <v>9714</v>
      </c>
      <c r="E2159" s="290" t="s">
        <v>206</v>
      </c>
      <c r="F2159" s="383">
        <v>0.105</v>
      </c>
      <c r="G2159" s="292" t="s">
        <v>12206</v>
      </c>
      <c r="H2159" s="255">
        <v>1.96</v>
      </c>
      <c r="J2159" s="634"/>
      <c r="S2159" s="536"/>
      <c r="T2159" s="635"/>
    </row>
    <row r="2160" spans="1:68" s="298" customFormat="1" ht="25.5">
      <c r="A2160" s="256" t="s">
        <v>3259</v>
      </c>
      <c r="B2160" s="374">
        <v>88264</v>
      </c>
      <c r="C2160" s="289" t="s">
        <v>146</v>
      </c>
      <c r="D2160" s="290" t="s">
        <v>9714</v>
      </c>
      <c r="E2160" s="290" t="s">
        <v>206</v>
      </c>
      <c r="F2160" s="383">
        <v>0.105</v>
      </c>
      <c r="G2160" s="292" t="s">
        <v>16504</v>
      </c>
      <c r="H2160" s="255">
        <v>2.5299999999999998</v>
      </c>
      <c r="J2160" s="634"/>
      <c r="S2160" s="536"/>
      <c r="T2160" s="635"/>
    </row>
    <row r="2161" spans="1:20" s="298" customFormat="1" ht="12.75">
      <c r="A2161" s="286"/>
      <c r="B2161" s="375" t="s">
        <v>143</v>
      </c>
      <c r="C2161" s="816" t="s">
        <v>18460</v>
      </c>
      <c r="D2161" s="817"/>
      <c r="E2161" s="817"/>
      <c r="F2161" s="817"/>
      <c r="G2161" s="817"/>
      <c r="H2161" s="818"/>
      <c r="J2161" s="634"/>
      <c r="S2161" s="536"/>
      <c r="T2161" s="635"/>
    </row>
    <row r="2162" spans="1:20" s="298" customFormat="1" ht="12.75">
      <c r="A2162" s="286"/>
      <c r="B2162" s="373"/>
      <c r="C2162" s="379"/>
      <c r="D2162" s="382"/>
      <c r="E2162" s="382"/>
      <c r="F2162" s="382"/>
      <c r="G2162" s="382"/>
      <c r="H2162" s="382"/>
      <c r="J2162" s="634"/>
      <c r="S2162" s="536"/>
      <c r="T2162" s="635"/>
    </row>
    <row r="2163" spans="1:20" s="298" customFormat="1" ht="51">
      <c r="A2163" s="286"/>
      <c r="B2163" s="372" t="s">
        <v>18374</v>
      </c>
      <c r="C2163" s="231" t="s">
        <v>18375</v>
      </c>
      <c r="D2163" s="232" t="s">
        <v>103</v>
      </c>
      <c r="E2163" s="232" t="s">
        <v>5</v>
      </c>
      <c r="F2163" s="233"/>
      <c r="G2163" s="234"/>
      <c r="H2163" s="235">
        <v>12.43</v>
      </c>
      <c r="J2163" s="634"/>
      <c r="S2163" s="536"/>
      <c r="T2163" s="635"/>
    </row>
    <row r="2164" spans="1:20" s="298" customFormat="1" ht="51">
      <c r="A2164" s="256" t="s">
        <v>3261</v>
      </c>
      <c r="B2164" s="374">
        <v>39246</v>
      </c>
      <c r="C2164" s="289" t="s">
        <v>6253</v>
      </c>
      <c r="D2164" s="290" t="s">
        <v>207</v>
      </c>
      <c r="E2164" s="290" t="s">
        <v>3243</v>
      </c>
      <c r="F2164" s="383">
        <v>1.0169999999999999</v>
      </c>
      <c r="G2164" s="292" t="s">
        <v>16197</v>
      </c>
      <c r="H2164" s="255">
        <v>4.5599999999999996</v>
      </c>
      <c r="J2164" s="634"/>
      <c r="S2164" s="536"/>
      <c r="T2164" s="635"/>
    </row>
    <row r="2165" spans="1:20" s="298" customFormat="1" ht="25.5">
      <c r="A2165" s="256" t="s">
        <v>3259</v>
      </c>
      <c r="B2165" s="374">
        <v>88247</v>
      </c>
      <c r="C2165" s="289" t="s">
        <v>145</v>
      </c>
      <c r="D2165" s="290" t="s">
        <v>9714</v>
      </c>
      <c r="E2165" s="290" t="s">
        <v>206</v>
      </c>
      <c r="F2165" s="383">
        <v>0.18400000000000002</v>
      </c>
      <c r="G2165" s="292" t="s">
        <v>12206</v>
      </c>
      <c r="H2165" s="255">
        <v>3.44</v>
      </c>
      <c r="J2165" s="634"/>
      <c r="S2165" s="536"/>
      <c r="T2165" s="635"/>
    </row>
    <row r="2166" spans="1:20" s="298" customFormat="1" ht="25.5">
      <c r="A2166" s="256" t="s">
        <v>3259</v>
      </c>
      <c r="B2166" s="374">
        <v>88264</v>
      </c>
      <c r="C2166" s="289" t="s">
        <v>146</v>
      </c>
      <c r="D2166" s="290" t="s">
        <v>9714</v>
      </c>
      <c r="E2166" s="290" t="s">
        <v>206</v>
      </c>
      <c r="F2166" s="383">
        <v>0.18400000000000002</v>
      </c>
      <c r="G2166" s="292" t="s">
        <v>16504</v>
      </c>
      <c r="H2166" s="255">
        <v>4.43</v>
      </c>
      <c r="J2166" s="634"/>
      <c r="S2166" s="536"/>
      <c r="T2166" s="635"/>
    </row>
    <row r="2167" spans="1:20" s="298" customFormat="1" ht="12.75">
      <c r="A2167" s="286"/>
      <c r="B2167" s="375" t="s">
        <v>143</v>
      </c>
      <c r="C2167" s="816" t="s">
        <v>18376</v>
      </c>
      <c r="D2167" s="817"/>
      <c r="E2167" s="817"/>
      <c r="F2167" s="817"/>
      <c r="G2167" s="817"/>
      <c r="H2167" s="818"/>
      <c r="J2167" s="634"/>
      <c r="S2167" s="536"/>
      <c r="T2167" s="635"/>
    </row>
    <row r="2168" spans="1:20" s="298" customFormat="1" ht="12.75">
      <c r="A2168" s="286"/>
      <c r="B2168" s="373"/>
      <c r="C2168" s="379"/>
      <c r="D2168" s="382"/>
      <c r="E2168" s="382"/>
      <c r="F2168" s="382"/>
      <c r="G2168" s="382"/>
      <c r="H2168" s="382"/>
      <c r="J2168" s="634"/>
      <c r="S2168" s="536"/>
      <c r="T2168" s="635"/>
    </row>
    <row r="2169" spans="1:20" s="298" customFormat="1" ht="63.75">
      <c r="A2169" s="286"/>
      <c r="B2169" s="372" t="s">
        <v>18395</v>
      </c>
      <c r="C2169" s="231" t="s">
        <v>18396</v>
      </c>
      <c r="D2169" s="232" t="s">
        <v>103</v>
      </c>
      <c r="E2169" s="232" t="s">
        <v>109</v>
      </c>
      <c r="F2169" s="233"/>
      <c r="G2169" s="234"/>
      <c r="H2169" s="235">
        <v>361.15999999999997</v>
      </c>
      <c r="J2169" s="634"/>
      <c r="S2169" s="536"/>
      <c r="T2169" s="635"/>
    </row>
    <row r="2170" spans="1:20" s="298" customFormat="1" ht="25.5">
      <c r="A2170" s="256" t="s">
        <v>3259</v>
      </c>
      <c r="B2170" s="288">
        <v>88264</v>
      </c>
      <c r="C2170" s="289" t="s">
        <v>146</v>
      </c>
      <c r="D2170" s="290" t="s">
        <v>9714</v>
      </c>
      <c r="E2170" s="290" t="s">
        <v>206</v>
      </c>
      <c r="F2170" s="383">
        <v>1</v>
      </c>
      <c r="G2170" s="292" t="s">
        <v>16504</v>
      </c>
      <c r="H2170" s="255">
        <v>24.1</v>
      </c>
      <c r="J2170" s="634"/>
      <c r="S2170" s="536"/>
      <c r="T2170" s="635"/>
    </row>
    <row r="2171" spans="1:20" s="298" customFormat="1" ht="25.5">
      <c r="A2171" s="256" t="s">
        <v>3259</v>
      </c>
      <c r="B2171" s="374">
        <v>88247</v>
      </c>
      <c r="C2171" s="289" t="s">
        <v>145</v>
      </c>
      <c r="D2171" s="290" t="s">
        <v>9714</v>
      </c>
      <c r="E2171" s="290" t="s">
        <v>206</v>
      </c>
      <c r="F2171" s="383">
        <v>1</v>
      </c>
      <c r="G2171" s="292" t="s">
        <v>12206</v>
      </c>
      <c r="H2171" s="255">
        <v>18.739999999999998</v>
      </c>
      <c r="J2171" s="634"/>
      <c r="S2171" s="536"/>
      <c r="T2171" s="635"/>
    </row>
    <row r="2172" spans="1:20" s="298" customFormat="1" ht="51">
      <c r="A2172" s="256" t="s">
        <v>12</v>
      </c>
      <c r="B2172" s="288" t="s">
        <v>18387</v>
      </c>
      <c r="C2172" s="289" t="s">
        <v>18389</v>
      </c>
      <c r="D2172" s="290" t="s">
        <v>207</v>
      </c>
      <c r="E2172" s="290" t="s">
        <v>109</v>
      </c>
      <c r="F2172" s="383">
        <v>1</v>
      </c>
      <c r="G2172" s="292">
        <v>318.32</v>
      </c>
      <c r="H2172" s="255">
        <v>318.32</v>
      </c>
      <c r="J2172" s="634"/>
      <c r="S2172" s="536"/>
      <c r="T2172" s="635"/>
    </row>
    <row r="2173" spans="1:20" s="298" customFormat="1" ht="12.75">
      <c r="A2173" s="286"/>
      <c r="B2173" s="375" t="s">
        <v>143</v>
      </c>
      <c r="C2173" s="816" t="s">
        <v>17004</v>
      </c>
      <c r="D2173" s="817"/>
      <c r="E2173" s="817"/>
      <c r="F2173" s="817"/>
      <c r="G2173" s="817"/>
      <c r="H2173" s="818"/>
      <c r="J2173" s="634"/>
      <c r="S2173" s="536"/>
      <c r="T2173" s="635"/>
    </row>
    <row r="2174" spans="1:20" s="298" customFormat="1" ht="12.75">
      <c r="A2174" s="286"/>
      <c r="B2174" s="373"/>
      <c r="C2174" s="379"/>
      <c r="D2174" s="382"/>
      <c r="E2174" s="382"/>
      <c r="F2174" s="382"/>
      <c r="G2174" s="382"/>
      <c r="H2174" s="382"/>
      <c r="J2174" s="634"/>
      <c r="S2174" s="536"/>
      <c r="T2174" s="635"/>
    </row>
    <row r="2175" spans="1:20" s="298" customFormat="1" ht="63.75">
      <c r="A2175" s="286"/>
      <c r="B2175" s="372" t="s">
        <v>18397</v>
      </c>
      <c r="C2175" s="231" t="s">
        <v>18398</v>
      </c>
      <c r="D2175" s="232" t="s">
        <v>103</v>
      </c>
      <c r="E2175" s="232" t="s">
        <v>109</v>
      </c>
      <c r="F2175" s="233"/>
      <c r="G2175" s="234"/>
      <c r="H2175" s="235">
        <v>337.74</v>
      </c>
      <c r="J2175" s="634"/>
      <c r="S2175" s="536"/>
      <c r="T2175" s="635"/>
    </row>
    <row r="2176" spans="1:20" s="298" customFormat="1" ht="25.5">
      <c r="A2176" s="256" t="s">
        <v>3259</v>
      </c>
      <c r="B2176" s="288">
        <v>88264</v>
      </c>
      <c r="C2176" s="289" t="s">
        <v>146</v>
      </c>
      <c r="D2176" s="290" t="s">
        <v>9714</v>
      </c>
      <c r="E2176" s="290" t="s">
        <v>206</v>
      </c>
      <c r="F2176" s="383">
        <v>1</v>
      </c>
      <c r="G2176" s="292" t="s">
        <v>16504</v>
      </c>
      <c r="H2176" s="255">
        <v>24.1</v>
      </c>
      <c r="J2176" s="634"/>
      <c r="S2176" s="536"/>
      <c r="T2176" s="635"/>
    </row>
    <row r="2177" spans="1:20" s="298" customFormat="1" ht="25.5">
      <c r="A2177" s="256" t="s">
        <v>3259</v>
      </c>
      <c r="B2177" s="374">
        <v>88247</v>
      </c>
      <c r="C2177" s="289" t="s">
        <v>145</v>
      </c>
      <c r="D2177" s="290" t="s">
        <v>9714</v>
      </c>
      <c r="E2177" s="290" t="s">
        <v>206</v>
      </c>
      <c r="F2177" s="383">
        <v>1</v>
      </c>
      <c r="G2177" s="292" t="s">
        <v>12206</v>
      </c>
      <c r="H2177" s="255">
        <v>18.739999999999998</v>
      </c>
      <c r="J2177" s="634"/>
      <c r="S2177" s="536"/>
      <c r="T2177" s="635"/>
    </row>
    <row r="2178" spans="1:20" s="298" customFormat="1" ht="51">
      <c r="A2178" s="256" t="s">
        <v>12</v>
      </c>
      <c r="B2178" s="288" t="s">
        <v>18388</v>
      </c>
      <c r="C2178" s="289" t="s">
        <v>18390</v>
      </c>
      <c r="D2178" s="290" t="s">
        <v>207</v>
      </c>
      <c r="E2178" s="290" t="s">
        <v>109</v>
      </c>
      <c r="F2178" s="383">
        <v>1</v>
      </c>
      <c r="G2178" s="292">
        <v>294.89999999999998</v>
      </c>
      <c r="H2178" s="255">
        <v>294.89999999999998</v>
      </c>
      <c r="J2178" s="634"/>
      <c r="S2178" s="536"/>
      <c r="T2178" s="635"/>
    </row>
    <row r="2179" spans="1:20" s="298" customFormat="1" ht="12.75">
      <c r="A2179" s="286"/>
      <c r="B2179" s="375" t="s">
        <v>143</v>
      </c>
      <c r="C2179" s="816" t="s">
        <v>17004</v>
      </c>
      <c r="D2179" s="817"/>
      <c r="E2179" s="817"/>
      <c r="F2179" s="817"/>
      <c r="G2179" s="817"/>
      <c r="H2179" s="818"/>
      <c r="J2179" s="634"/>
      <c r="S2179" s="536"/>
      <c r="T2179" s="635"/>
    </row>
    <row r="2180" spans="1:20" s="298" customFormat="1" ht="12.75">
      <c r="A2180" s="286"/>
      <c r="B2180" s="373"/>
      <c r="C2180" s="379"/>
      <c r="D2180" s="382"/>
      <c r="E2180" s="382"/>
      <c r="F2180" s="382"/>
      <c r="G2180" s="382"/>
      <c r="H2180" s="382"/>
      <c r="J2180" s="634"/>
      <c r="S2180" s="536"/>
      <c r="T2180" s="635"/>
    </row>
    <row r="2181" spans="1:20" s="298" customFormat="1" ht="38.25">
      <c r="A2181" s="286"/>
      <c r="B2181" s="372" t="s">
        <v>18401</v>
      </c>
      <c r="C2181" s="231" t="s">
        <v>18402</v>
      </c>
      <c r="D2181" s="232" t="s">
        <v>103</v>
      </c>
      <c r="E2181" s="232" t="s">
        <v>109</v>
      </c>
      <c r="F2181" s="233"/>
      <c r="G2181" s="234"/>
      <c r="H2181" s="235">
        <v>8.43</v>
      </c>
      <c r="J2181" s="634"/>
      <c r="S2181" s="536"/>
      <c r="T2181" s="635"/>
    </row>
    <row r="2182" spans="1:20" s="298" customFormat="1" ht="12.75">
      <c r="A2182" s="256" t="s">
        <v>3261</v>
      </c>
      <c r="B2182" s="288">
        <v>2556</v>
      </c>
      <c r="C2182" s="289" t="s">
        <v>5308</v>
      </c>
      <c r="D2182" s="290" t="s">
        <v>207</v>
      </c>
      <c r="E2182" s="290" t="s">
        <v>3240</v>
      </c>
      <c r="F2182" s="383">
        <v>1</v>
      </c>
      <c r="G2182" s="292" t="s">
        <v>11192</v>
      </c>
      <c r="H2182" s="255">
        <v>1.91</v>
      </c>
      <c r="J2182" s="634"/>
      <c r="S2182" s="536"/>
      <c r="T2182" s="635"/>
    </row>
    <row r="2183" spans="1:20" s="298" customFormat="1" ht="25.5">
      <c r="A2183" s="256" t="s">
        <v>3259</v>
      </c>
      <c r="B2183" s="374">
        <v>88247</v>
      </c>
      <c r="C2183" s="289" t="s">
        <v>145</v>
      </c>
      <c r="D2183" s="290" t="s">
        <v>9714</v>
      </c>
      <c r="E2183" s="290" t="s">
        <v>206</v>
      </c>
      <c r="F2183" s="383">
        <v>0.14499999999999999</v>
      </c>
      <c r="G2183" s="292" t="s">
        <v>12206</v>
      </c>
      <c r="H2183" s="255">
        <v>2.71</v>
      </c>
      <c r="J2183" s="634"/>
      <c r="S2183" s="536"/>
      <c r="T2183" s="635"/>
    </row>
    <row r="2184" spans="1:20" s="298" customFormat="1" ht="25.5">
      <c r="A2184" s="256" t="s">
        <v>3259</v>
      </c>
      <c r="B2184" s="288">
        <v>88264</v>
      </c>
      <c r="C2184" s="289" t="s">
        <v>146</v>
      </c>
      <c r="D2184" s="290" t="s">
        <v>9714</v>
      </c>
      <c r="E2184" s="290" t="s">
        <v>206</v>
      </c>
      <c r="F2184" s="383">
        <v>0.14499999999999999</v>
      </c>
      <c r="G2184" s="292" t="s">
        <v>16504</v>
      </c>
      <c r="H2184" s="255">
        <v>3.49</v>
      </c>
      <c r="J2184" s="634"/>
      <c r="S2184" s="536"/>
      <c r="T2184" s="635"/>
    </row>
    <row r="2185" spans="1:20" s="298" customFormat="1" ht="38.25">
      <c r="A2185" s="256" t="s">
        <v>3259</v>
      </c>
      <c r="B2185" s="288">
        <v>88630</v>
      </c>
      <c r="C2185" s="289" t="s">
        <v>3039</v>
      </c>
      <c r="D2185" s="290" t="s">
        <v>229</v>
      </c>
      <c r="E2185" s="290" t="s">
        <v>209</v>
      </c>
      <c r="F2185" s="383">
        <v>8.9999999999999998E-4</v>
      </c>
      <c r="G2185" s="292" t="s">
        <v>24290</v>
      </c>
      <c r="H2185" s="255">
        <v>0.32</v>
      </c>
      <c r="J2185" s="634"/>
      <c r="S2185" s="536"/>
      <c r="T2185" s="635"/>
    </row>
    <row r="2186" spans="1:20" s="298" customFormat="1" ht="12.75">
      <c r="A2186" s="286"/>
      <c r="B2186" s="375" t="s">
        <v>143</v>
      </c>
      <c r="C2186" s="816" t="s">
        <v>17024</v>
      </c>
      <c r="D2186" s="817"/>
      <c r="E2186" s="817"/>
      <c r="F2186" s="817"/>
      <c r="G2186" s="817"/>
      <c r="H2186" s="818"/>
      <c r="J2186" s="634"/>
      <c r="S2186" s="536"/>
      <c r="T2186" s="635"/>
    </row>
    <row r="2187" spans="1:20" s="298" customFormat="1" ht="12.75">
      <c r="A2187" s="286"/>
      <c r="B2187" s="373"/>
      <c r="C2187" s="379"/>
      <c r="D2187" s="382"/>
      <c r="E2187" s="382"/>
      <c r="F2187" s="382"/>
      <c r="G2187" s="382"/>
      <c r="H2187" s="382"/>
      <c r="J2187" s="634"/>
      <c r="S2187" s="536"/>
      <c r="T2187" s="635"/>
    </row>
    <row r="2188" spans="1:20" s="298" customFormat="1" ht="25.5">
      <c r="A2188" s="286"/>
      <c r="B2188" s="372" t="s">
        <v>18403</v>
      </c>
      <c r="C2188" s="231" t="s">
        <v>18404</v>
      </c>
      <c r="D2188" s="232" t="s">
        <v>103</v>
      </c>
      <c r="E2188" s="232" t="s">
        <v>109</v>
      </c>
      <c r="F2188" s="233"/>
      <c r="G2188" s="234"/>
      <c r="H2188" s="235">
        <v>16.580000000000002</v>
      </c>
      <c r="J2188" s="634"/>
      <c r="S2188" s="536"/>
      <c r="T2188" s="635"/>
    </row>
    <row r="2189" spans="1:20" s="298" customFormat="1" ht="12.75">
      <c r="A2189" s="256" t="s">
        <v>3261</v>
      </c>
      <c r="B2189" s="288">
        <v>2557</v>
      </c>
      <c r="C2189" s="289" t="s">
        <v>5309</v>
      </c>
      <c r="D2189" s="290" t="s">
        <v>207</v>
      </c>
      <c r="E2189" s="290" t="s">
        <v>3240</v>
      </c>
      <c r="F2189" s="383">
        <v>1</v>
      </c>
      <c r="G2189" s="292" t="s">
        <v>11321</v>
      </c>
      <c r="H2189" s="255">
        <v>4.04</v>
      </c>
      <c r="J2189" s="634"/>
      <c r="S2189" s="536"/>
      <c r="T2189" s="635"/>
    </row>
    <row r="2190" spans="1:20" s="298" customFormat="1" ht="25.5">
      <c r="A2190" s="256" t="s">
        <v>3259</v>
      </c>
      <c r="B2190" s="374">
        <v>88247</v>
      </c>
      <c r="C2190" s="289" t="s">
        <v>145</v>
      </c>
      <c r="D2190" s="290" t="s">
        <v>9714</v>
      </c>
      <c r="E2190" s="290" t="s">
        <v>206</v>
      </c>
      <c r="F2190" s="383">
        <v>0.28299999999999997</v>
      </c>
      <c r="G2190" s="292" t="s">
        <v>12206</v>
      </c>
      <c r="H2190" s="255">
        <v>5.3</v>
      </c>
      <c r="J2190" s="634"/>
      <c r="S2190" s="536"/>
      <c r="T2190" s="635"/>
    </row>
    <row r="2191" spans="1:20" s="298" customFormat="1" ht="25.5">
      <c r="A2191" s="256" t="s">
        <v>3259</v>
      </c>
      <c r="B2191" s="288">
        <v>88264</v>
      </c>
      <c r="C2191" s="289" t="s">
        <v>146</v>
      </c>
      <c r="D2191" s="290" t="s">
        <v>9714</v>
      </c>
      <c r="E2191" s="290" t="s">
        <v>206</v>
      </c>
      <c r="F2191" s="383">
        <v>0.28299999999999997</v>
      </c>
      <c r="G2191" s="292" t="s">
        <v>16504</v>
      </c>
      <c r="H2191" s="255">
        <v>6.82</v>
      </c>
      <c r="J2191" s="634"/>
      <c r="S2191" s="536"/>
      <c r="T2191" s="635"/>
    </row>
    <row r="2192" spans="1:20" s="298" customFormat="1" ht="38.25">
      <c r="A2192" s="256" t="s">
        <v>3259</v>
      </c>
      <c r="B2192" s="288">
        <v>88630</v>
      </c>
      <c r="C2192" s="289" t="s">
        <v>3039</v>
      </c>
      <c r="D2192" s="290" t="s">
        <v>229</v>
      </c>
      <c r="E2192" s="290" t="s">
        <v>209</v>
      </c>
      <c r="F2192" s="383">
        <v>1.1999999999999999E-3</v>
      </c>
      <c r="G2192" s="292" t="s">
        <v>24290</v>
      </c>
      <c r="H2192" s="255">
        <v>0.42</v>
      </c>
      <c r="J2192" s="634"/>
      <c r="S2192" s="536"/>
      <c r="T2192" s="635"/>
    </row>
    <row r="2193" spans="1:20" s="298" customFormat="1" ht="12.75">
      <c r="A2193" s="286"/>
      <c r="B2193" s="375" t="s">
        <v>143</v>
      </c>
      <c r="C2193" s="816" t="s">
        <v>17024</v>
      </c>
      <c r="D2193" s="817"/>
      <c r="E2193" s="817"/>
      <c r="F2193" s="817"/>
      <c r="G2193" s="817"/>
      <c r="H2193" s="818"/>
      <c r="J2193" s="634"/>
      <c r="S2193" s="536"/>
      <c r="T2193" s="635"/>
    </row>
    <row r="2194" spans="1:20" s="298" customFormat="1" ht="12.75">
      <c r="A2194" s="286"/>
      <c r="B2194" s="373"/>
      <c r="C2194" s="379"/>
      <c r="D2194" s="382"/>
      <c r="E2194" s="382"/>
      <c r="F2194" s="382"/>
      <c r="G2194" s="382"/>
      <c r="H2194" s="382"/>
      <c r="J2194" s="634"/>
      <c r="S2194" s="536"/>
      <c r="T2194" s="635"/>
    </row>
    <row r="2195" spans="1:20" s="298" customFormat="1" ht="51">
      <c r="A2195" s="286"/>
      <c r="B2195" s="372" t="s">
        <v>18405</v>
      </c>
      <c r="C2195" s="231" t="s">
        <v>18407</v>
      </c>
      <c r="D2195" s="232" t="s">
        <v>103</v>
      </c>
      <c r="E2195" s="232" t="s">
        <v>109</v>
      </c>
      <c r="F2195" s="233"/>
      <c r="G2195" s="234"/>
      <c r="H2195" s="235">
        <v>42.07</v>
      </c>
      <c r="J2195" s="634"/>
      <c r="S2195" s="536"/>
      <c r="T2195" s="635"/>
    </row>
    <row r="2196" spans="1:20" s="298" customFormat="1" ht="38.25">
      <c r="A2196" s="256" t="s">
        <v>3261</v>
      </c>
      <c r="B2196" s="288">
        <v>20254</v>
      </c>
      <c r="C2196" s="289" t="s">
        <v>9505</v>
      </c>
      <c r="D2196" s="290" t="s">
        <v>207</v>
      </c>
      <c r="E2196" s="290" t="s">
        <v>3240</v>
      </c>
      <c r="F2196" s="383">
        <v>1</v>
      </c>
      <c r="G2196" s="292" t="s">
        <v>19215</v>
      </c>
      <c r="H2196" s="255">
        <v>27.26</v>
      </c>
      <c r="J2196" s="634"/>
      <c r="S2196" s="536"/>
      <c r="T2196" s="635"/>
    </row>
    <row r="2197" spans="1:20" s="298" customFormat="1" ht="25.5">
      <c r="A2197" s="256" t="s">
        <v>3259</v>
      </c>
      <c r="B2197" s="374">
        <v>88247</v>
      </c>
      <c r="C2197" s="289" t="s">
        <v>145</v>
      </c>
      <c r="D2197" s="290" t="s">
        <v>9714</v>
      </c>
      <c r="E2197" s="290" t="s">
        <v>206</v>
      </c>
      <c r="F2197" s="383">
        <v>0.34599999999999997</v>
      </c>
      <c r="G2197" s="292" t="s">
        <v>12206</v>
      </c>
      <c r="H2197" s="255">
        <v>6.48</v>
      </c>
      <c r="J2197" s="634"/>
      <c r="S2197" s="536"/>
      <c r="T2197" s="635"/>
    </row>
    <row r="2198" spans="1:20" s="298" customFormat="1" ht="25.5">
      <c r="A2198" s="256" t="s">
        <v>3259</v>
      </c>
      <c r="B2198" s="288">
        <v>88264</v>
      </c>
      <c r="C2198" s="289" t="s">
        <v>146</v>
      </c>
      <c r="D2198" s="290" t="s">
        <v>9714</v>
      </c>
      <c r="E2198" s="290" t="s">
        <v>206</v>
      </c>
      <c r="F2198" s="383">
        <v>0.34599999999999997</v>
      </c>
      <c r="G2198" s="292" t="s">
        <v>16504</v>
      </c>
      <c r="H2198" s="255">
        <v>8.33</v>
      </c>
      <c r="J2198" s="634"/>
      <c r="S2198" s="536"/>
      <c r="T2198" s="635"/>
    </row>
    <row r="2199" spans="1:20" s="298" customFormat="1" ht="12.75">
      <c r="A2199" s="286"/>
      <c r="B2199" s="375" t="s">
        <v>143</v>
      </c>
      <c r="C2199" s="816" t="s">
        <v>18406</v>
      </c>
      <c r="D2199" s="817"/>
      <c r="E2199" s="817"/>
      <c r="F2199" s="817"/>
      <c r="G2199" s="817"/>
      <c r="H2199" s="818"/>
      <c r="J2199" s="634"/>
      <c r="S2199" s="536"/>
      <c r="T2199" s="635"/>
    </row>
    <row r="2200" spans="1:20" s="298" customFormat="1" ht="12.75">
      <c r="A2200" s="286"/>
      <c r="B2200" s="373"/>
      <c r="C2200" s="379"/>
      <c r="D2200" s="382"/>
      <c r="E2200" s="382"/>
      <c r="F2200" s="382"/>
      <c r="G2200" s="382"/>
      <c r="H2200" s="382"/>
      <c r="J2200" s="634"/>
      <c r="S2200" s="536"/>
      <c r="T2200" s="635"/>
    </row>
    <row r="2201" spans="1:20" s="298" customFormat="1" ht="38.25">
      <c r="A2201" s="286"/>
      <c r="B2201" s="372" t="s">
        <v>18412</v>
      </c>
      <c r="C2201" s="231" t="s">
        <v>18414</v>
      </c>
      <c r="D2201" s="232" t="s">
        <v>103</v>
      </c>
      <c r="E2201" s="232" t="s">
        <v>5</v>
      </c>
      <c r="F2201" s="233"/>
      <c r="G2201" s="234"/>
      <c r="H2201" s="235">
        <v>20.479999999999997</v>
      </c>
      <c r="J2201" s="634"/>
      <c r="S2201" s="536"/>
      <c r="T2201" s="635"/>
    </row>
    <row r="2202" spans="1:20" s="298" customFormat="1" ht="12.75">
      <c r="A2202" s="256" t="s">
        <v>12</v>
      </c>
      <c r="B2202" s="288" t="s">
        <v>18415</v>
      </c>
      <c r="C2202" s="289" t="s">
        <v>18416</v>
      </c>
      <c r="D2202" s="290" t="s">
        <v>207</v>
      </c>
      <c r="E2202" s="290" t="s">
        <v>5</v>
      </c>
      <c r="F2202" s="383">
        <v>1.05</v>
      </c>
      <c r="G2202" s="292">
        <v>6.76</v>
      </c>
      <c r="H2202" s="255">
        <v>7.09</v>
      </c>
      <c r="J2202" s="634"/>
      <c r="S2202" s="536"/>
      <c r="T2202" s="635"/>
    </row>
    <row r="2203" spans="1:20" s="298" customFormat="1" ht="25.5">
      <c r="A2203" s="256" t="s">
        <v>3259</v>
      </c>
      <c r="B2203" s="374">
        <v>88247</v>
      </c>
      <c r="C2203" s="289" t="s">
        <v>145</v>
      </c>
      <c r="D2203" s="290" t="s">
        <v>9714</v>
      </c>
      <c r="E2203" s="290" t="s">
        <v>206</v>
      </c>
      <c r="F2203" s="383">
        <v>4.7849999999999997E-2</v>
      </c>
      <c r="G2203" s="292" t="s">
        <v>12206</v>
      </c>
      <c r="H2203" s="255">
        <v>0.89</v>
      </c>
      <c r="J2203" s="634"/>
      <c r="S2203" s="536"/>
      <c r="T2203" s="635"/>
    </row>
    <row r="2204" spans="1:20" s="298" customFormat="1" ht="25.5">
      <c r="A2204" s="256" t="s">
        <v>3259</v>
      </c>
      <c r="B2204" s="288">
        <v>88264</v>
      </c>
      <c r="C2204" s="289" t="s">
        <v>146</v>
      </c>
      <c r="D2204" s="290" t="s">
        <v>9714</v>
      </c>
      <c r="E2204" s="290" t="s">
        <v>206</v>
      </c>
      <c r="F2204" s="383">
        <v>4.7849999999999997E-2</v>
      </c>
      <c r="G2204" s="292" t="s">
        <v>16504</v>
      </c>
      <c r="H2204" s="255">
        <v>1.1499999999999999</v>
      </c>
      <c r="J2204" s="634"/>
      <c r="S2204" s="536"/>
      <c r="T2204" s="635"/>
    </row>
    <row r="2205" spans="1:20" s="298" customFormat="1" ht="38.25">
      <c r="A2205" s="256" t="s">
        <v>3259</v>
      </c>
      <c r="B2205" s="288">
        <v>98463</v>
      </c>
      <c r="C2205" s="289" t="s">
        <v>3469</v>
      </c>
      <c r="D2205" s="290" t="s">
        <v>229</v>
      </c>
      <c r="E2205" s="290" t="s">
        <v>109</v>
      </c>
      <c r="F2205" s="383">
        <v>0.5</v>
      </c>
      <c r="G2205" s="292" t="s">
        <v>16430</v>
      </c>
      <c r="H2205" s="255">
        <v>11.35</v>
      </c>
      <c r="J2205" s="634"/>
      <c r="S2205" s="536"/>
      <c r="T2205" s="635"/>
    </row>
    <row r="2206" spans="1:20" s="298" customFormat="1" ht="12.75">
      <c r="A2206" s="286"/>
      <c r="B2206" s="375" t="s">
        <v>143</v>
      </c>
      <c r="C2206" s="816" t="s">
        <v>18413</v>
      </c>
      <c r="D2206" s="817"/>
      <c r="E2206" s="817"/>
      <c r="F2206" s="817"/>
      <c r="G2206" s="817"/>
      <c r="H2206" s="818"/>
      <c r="J2206" s="634"/>
      <c r="S2206" s="536"/>
      <c r="T2206" s="635"/>
    </row>
    <row r="2207" spans="1:20" s="92" customFormat="1" ht="12.75">
      <c r="A2207" s="286"/>
      <c r="B2207" s="834"/>
      <c r="C2207" s="835"/>
      <c r="D2207" s="835"/>
      <c r="E2207" s="835"/>
      <c r="F2207" s="835"/>
      <c r="G2207" s="835"/>
      <c r="H2207" s="836"/>
      <c r="J2207" s="176"/>
    </row>
    <row r="2208" spans="1:20" s="92" customFormat="1" ht="38.25">
      <c r="A2208" s="286"/>
      <c r="B2208" s="372" t="s">
        <v>18424</v>
      </c>
      <c r="C2208" s="231" t="s">
        <v>18600</v>
      </c>
      <c r="D2208" s="232" t="s">
        <v>103</v>
      </c>
      <c r="E2208" s="232" t="s">
        <v>10</v>
      </c>
      <c r="F2208" s="233"/>
      <c r="G2208" s="234"/>
      <c r="H2208" s="235">
        <v>462.71</v>
      </c>
      <c r="J2208" s="176"/>
      <c r="K2208" s="172"/>
      <c r="L2208" s="172"/>
      <c r="M2208" s="172"/>
      <c r="N2208" s="172"/>
      <c r="O2208" s="172"/>
      <c r="P2208" s="172"/>
      <c r="Q2208" s="172"/>
      <c r="R2208" s="172"/>
      <c r="S2208" s="172"/>
    </row>
    <row r="2209" spans="1:20" s="92" customFormat="1" ht="25.5">
      <c r="A2209" s="256" t="s">
        <v>3259</v>
      </c>
      <c r="B2209" s="288">
        <v>88316</v>
      </c>
      <c r="C2209" s="289" t="s">
        <v>104</v>
      </c>
      <c r="D2209" s="290" t="s">
        <v>9714</v>
      </c>
      <c r="E2209" s="290" t="s">
        <v>206</v>
      </c>
      <c r="F2209" s="383">
        <v>0.3</v>
      </c>
      <c r="G2209" s="292" t="s">
        <v>10172</v>
      </c>
      <c r="H2209" s="255">
        <v>5.28</v>
      </c>
      <c r="J2209" s="176"/>
    </row>
    <row r="2210" spans="1:20" s="92" customFormat="1" ht="25.5">
      <c r="A2210" s="256" t="s">
        <v>3259</v>
      </c>
      <c r="B2210" s="374">
        <v>88264</v>
      </c>
      <c r="C2210" s="289" t="s">
        <v>146</v>
      </c>
      <c r="D2210" s="290" t="s">
        <v>9714</v>
      </c>
      <c r="E2210" s="290" t="s">
        <v>206</v>
      </c>
      <c r="F2210" s="383">
        <v>0.3</v>
      </c>
      <c r="G2210" s="292" t="s">
        <v>16504</v>
      </c>
      <c r="H2210" s="255">
        <v>7.23</v>
      </c>
      <c r="J2210" s="176"/>
    </row>
    <row r="2211" spans="1:20" s="92" customFormat="1" ht="25.5">
      <c r="A2211" s="256" t="s">
        <v>12</v>
      </c>
      <c r="B2211" s="288" t="s">
        <v>18417</v>
      </c>
      <c r="C2211" s="289" t="s">
        <v>18599</v>
      </c>
      <c r="D2211" s="290" t="s">
        <v>207</v>
      </c>
      <c r="E2211" s="290" t="s">
        <v>109</v>
      </c>
      <c r="F2211" s="383">
        <v>1</v>
      </c>
      <c r="G2211" s="292">
        <v>450.2</v>
      </c>
      <c r="H2211" s="255">
        <v>450.2</v>
      </c>
      <c r="J2211" s="176"/>
    </row>
    <row r="2212" spans="1:20" s="92" customFormat="1" ht="12.75">
      <c r="A2212" s="286"/>
      <c r="B2212" s="288" t="s">
        <v>143</v>
      </c>
      <c r="C2212" s="837" t="s">
        <v>18423</v>
      </c>
      <c r="D2212" s="835"/>
      <c r="E2212" s="835"/>
      <c r="F2212" s="835"/>
      <c r="G2212" s="835"/>
      <c r="H2212" s="836"/>
      <c r="J2212" s="176"/>
      <c r="K2212" s="179"/>
      <c r="L2212" s="179"/>
      <c r="M2212" s="179"/>
      <c r="N2212" s="179"/>
      <c r="O2212" s="179"/>
    </row>
    <row r="2213" spans="1:20" s="298" customFormat="1" ht="12.75">
      <c r="A2213" s="286"/>
      <c r="B2213" s="373"/>
      <c r="C2213" s="379"/>
      <c r="D2213" s="382"/>
      <c r="E2213" s="382"/>
      <c r="F2213" s="382"/>
      <c r="G2213" s="382"/>
      <c r="H2213" s="382"/>
      <c r="J2213" s="634"/>
      <c r="S2213" s="536"/>
      <c r="T2213" s="635"/>
    </row>
    <row r="2214" spans="1:20" s="298" customFormat="1" ht="51">
      <c r="A2214" s="286"/>
      <c r="B2214" s="372" t="s">
        <v>18426</v>
      </c>
      <c r="C2214" s="231" t="s">
        <v>18427</v>
      </c>
      <c r="D2214" s="232" t="s">
        <v>103</v>
      </c>
      <c r="E2214" s="232" t="s">
        <v>10</v>
      </c>
      <c r="F2214" s="233"/>
      <c r="G2214" s="234"/>
      <c r="H2214" s="235">
        <v>4.0999999999999996</v>
      </c>
      <c r="J2214" s="634"/>
      <c r="L2214" s="256"/>
      <c r="M2214" s="256"/>
      <c r="N2214" s="256"/>
      <c r="S2214" s="536"/>
      <c r="T2214" s="635"/>
    </row>
    <row r="2215" spans="1:20" s="298" customFormat="1" ht="51">
      <c r="A2215" s="256" t="s">
        <v>3261</v>
      </c>
      <c r="B2215" s="288">
        <v>1577</v>
      </c>
      <c r="C2215" s="289" t="s">
        <v>8431</v>
      </c>
      <c r="D2215" s="290" t="s">
        <v>207</v>
      </c>
      <c r="E2215" s="290" t="s">
        <v>3240</v>
      </c>
      <c r="F2215" s="383">
        <v>1</v>
      </c>
      <c r="G2215" s="292" t="s">
        <v>9838</v>
      </c>
      <c r="H2215" s="255">
        <v>2.65</v>
      </c>
      <c r="J2215" s="634"/>
      <c r="L2215" s="256"/>
      <c r="M2215" s="256"/>
      <c r="N2215" s="256"/>
      <c r="S2215" s="536"/>
      <c r="T2215" s="635"/>
    </row>
    <row r="2216" spans="1:20" s="298" customFormat="1" ht="51">
      <c r="A2216" s="256" t="s">
        <v>3261</v>
      </c>
      <c r="B2216" s="288">
        <v>13246</v>
      </c>
      <c r="C2216" s="289" t="s">
        <v>7494</v>
      </c>
      <c r="D2216" s="290" t="s">
        <v>207</v>
      </c>
      <c r="E2216" s="290" t="s">
        <v>3240</v>
      </c>
      <c r="F2216" s="383">
        <v>1</v>
      </c>
      <c r="G2216" s="292" t="s">
        <v>11058</v>
      </c>
      <c r="H2216" s="255">
        <v>0.25</v>
      </c>
      <c r="J2216" s="634"/>
      <c r="L2216" s="256"/>
      <c r="M2216" s="256"/>
      <c r="N2216" s="256"/>
      <c r="S2216" s="536"/>
      <c r="T2216" s="635"/>
    </row>
    <row r="2217" spans="1:20" s="298" customFormat="1" ht="25.5">
      <c r="A2217" s="256" t="s">
        <v>3259</v>
      </c>
      <c r="B2217" s="288">
        <v>88264</v>
      </c>
      <c r="C2217" s="289" t="s">
        <v>146</v>
      </c>
      <c r="D2217" s="290" t="s">
        <v>9714</v>
      </c>
      <c r="E2217" s="290" t="s">
        <v>206</v>
      </c>
      <c r="F2217" s="383">
        <v>0.05</v>
      </c>
      <c r="G2217" s="292" t="s">
        <v>16504</v>
      </c>
      <c r="H2217" s="255">
        <v>1.2</v>
      </c>
      <c r="J2217" s="634"/>
      <c r="S2217" s="536"/>
      <c r="T2217" s="635"/>
    </row>
    <row r="2218" spans="1:20" s="298" customFormat="1" ht="12.75">
      <c r="A2218" s="286"/>
      <c r="B2218" s="375" t="s">
        <v>143</v>
      </c>
      <c r="C2218" s="816" t="s">
        <v>14516</v>
      </c>
      <c r="D2218" s="817"/>
      <c r="E2218" s="817"/>
      <c r="F2218" s="817"/>
      <c r="G2218" s="817"/>
      <c r="H2218" s="818"/>
      <c r="J2218" s="634"/>
      <c r="S2218" s="536"/>
      <c r="T2218" s="635"/>
    </row>
    <row r="2219" spans="1:20" s="298" customFormat="1" ht="12.75">
      <c r="A2219" s="286"/>
      <c r="B2219" s="373"/>
      <c r="C2219" s="379"/>
      <c r="D2219" s="382"/>
      <c r="E2219" s="382"/>
      <c r="F2219" s="382"/>
      <c r="G2219" s="382"/>
      <c r="H2219" s="382"/>
      <c r="J2219" s="634"/>
      <c r="S2219" s="536"/>
      <c r="T2219" s="635"/>
    </row>
    <row r="2220" spans="1:20" s="298" customFormat="1" ht="25.5">
      <c r="A2220" s="286"/>
      <c r="B2220" s="372" t="s">
        <v>18430</v>
      </c>
      <c r="C2220" s="231" t="s">
        <v>18431</v>
      </c>
      <c r="D2220" s="232" t="s">
        <v>103</v>
      </c>
      <c r="E2220" s="232" t="s">
        <v>10</v>
      </c>
      <c r="F2220" s="233"/>
      <c r="G2220" s="234"/>
      <c r="H2220" s="235">
        <v>4.99</v>
      </c>
      <c r="J2220" s="634"/>
      <c r="L2220" s="256"/>
      <c r="M2220" s="256"/>
      <c r="N2220" s="256"/>
      <c r="S2220" s="536"/>
      <c r="T2220" s="635"/>
    </row>
    <row r="2221" spans="1:20" s="298" customFormat="1" ht="22.5" customHeight="1">
      <c r="A2221" s="256" t="s">
        <v>12</v>
      </c>
      <c r="B2221" s="288" t="s">
        <v>18428</v>
      </c>
      <c r="C2221" s="289" t="s">
        <v>18429</v>
      </c>
      <c r="D2221" s="290" t="s">
        <v>207</v>
      </c>
      <c r="E2221" s="290" t="s">
        <v>109</v>
      </c>
      <c r="F2221" s="383">
        <v>1</v>
      </c>
      <c r="G2221" s="292">
        <v>3.79</v>
      </c>
      <c r="H2221" s="255">
        <v>3.79</v>
      </c>
      <c r="J2221" s="634"/>
      <c r="L2221" s="256"/>
      <c r="M2221" s="256"/>
      <c r="N2221" s="256"/>
      <c r="S2221" s="536"/>
      <c r="T2221" s="635"/>
    </row>
    <row r="2222" spans="1:20" s="298" customFormat="1" ht="25.5">
      <c r="A2222" s="256" t="s">
        <v>3259</v>
      </c>
      <c r="B2222" s="288">
        <v>88264</v>
      </c>
      <c r="C2222" s="289" t="s">
        <v>146</v>
      </c>
      <c r="D2222" s="290" t="s">
        <v>9714</v>
      </c>
      <c r="E2222" s="290" t="s">
        <v>206</v>
      </c>
      <c r="F2222" s="383">
        <v>0.05</v>
      </c>
      <c r="G2222" s="292" t="s">
        <v>16504</v>
      </c>
      <c r="H2222" s="255">
        <v>1.2</v>
      </c>
      <c r="J2222" s="634"/>
      <c r="S2222" s="536"/>
      <c r="T2222" s="635"/>
    </row>
    <row r="2223" spans="1:20" s="298" customFormat="1" ht="12.75">
      <c r="A2223" s="286"/>
      <c r="B2223" s="375" t="s">
        <v>143</v>
      </c>
      <c r="C2223" s="816" t="s">
        <v>14516</v>
      </c>
      <c r="D2223" s="817"/>
      <c r="E2223" s="817"/>
      <c r="F2223" s="817"/>
      <c r="G2223" s="817"/>
      <c r="H2223" s="818"/>
      <c r="J2223" s="634"/>
      <c r="S2223" s="536"/>
      <c r="T2223" s="635"/>
    </row>
    <row r="2224" spans="1:20" s="298" customFormat="1" ht="12.75">
      <c r="A2224" s="286"/>
      <c r="B2224" s="373"/>
      <c r="C2224" s="379"/>
      <c r="D2224" s="382"/>
      <c r="E2224" s="382"/>
      <c r="F2224" s="382"/>
      <c r="G2224" s="382"/>
      <c r="H2224" s="382"/>
      <c r="J2224" s="634"/>
      <c r="S2224" s="536"/>
      <c r="T2224" s="635"/>
    </row>
    <row r="2225" spans="1:20" s="298" customFormat="1" ht="51">
      <c r="A2225" s="286"/>
      <c r="B2225" s="372" t="s">
        <v>18440</v>
      </c>
      <c r="C2225" s="231" t="s">
        <v>18442</v>
      </c>
      <c r="D2225" s="232" t="s">
        <v>103</v>
      </c>
      <c r="E2225" s="232" t="s">
        <v>109</v>
      </c>
      <c r="F2225" s="233"/>
      <c r="G2225" s="234"/>
      <c r="H2225" s="235">
        <v>44.04</v>
      </c>
      <c r="J2225" s="634"/>
      <c r="S2225" s="536"/>
      <c r="T2225" s="635"/>
    </row>
    <row r="2226" spans="1:20" s="298" customFormat="1" ht="25.5">
      <c r="A2226" s="256" t="s">
        <v>3259</v>
      </c>
      <c r="B2226" s="288">
        <v>88264</v>
      </c>
      <c r="C2226" s="289" t="s">
        <v>146</v>
      </c>
      <c r="D2226" s="290" t="s">
        <v>9714</v>
      </c>
      <c r="E2226" s="290" t="s">
        <v>206</v>
      </c>
      <c r="F2226" s="383">
        <v>0.188</v>
      </c>
      <c r="G2226" s="292" t="s">
        <v>16504</v>
      </c>
      <c r="H2226" s="255">
        <v>4.53</v>
      </c>
      <c r="J2226" s="634"/>
      <c r="S2226" s="536"/>
      <c r="T2226" s="635"/>
    </row>
    <row r="2227" spans="1:20" s="298" customFormat="1" ht="25.5">
      <c r="A2227" s="256" t="s">
        <v>3259</v>
      </c>
      <c r="B2227" s="374">
        <v>88247</v>
      </c>
      <c r="C2227" s="289" t="s">
        <v>145</v>
      </c>
      <c r="D2227" s="290" t="s">
        <v>9714</v>
      </c>
      <c r="E2227" s="290" t="s">
        <v>206</v>
      </c>
      <c r="F2227" s="383">
        <v>0.188</v>
      </c>
      <c r="G2227" s="292" t="s">
        <v>12206</v>
      </c>
      <c r="H2227" s="255">
        <v>3.52</v>
      </c>
      <c r="J2227" s="634"/>
      <c r="S2227" s="536"/>
      <c r="T2227" s="635"/>
    </row>
    <row r="2228" spans="1:20" s="298" customFormat="1" ht="25.5">
      <c r="A2228" s="256" t="s">
        <v>12</v>
      </c>
      <c r="B2228" s="288" t="s">
        <v>14570</v>
      </c>
      <c r="C2228" s="289" t="s">
        <v>18437</v>
      </c>
      <c r="D2228" s="290" t="s">
        <v>207</v>
      </c>
      <c r="E2228" s="290" t="s">
        <v>109</v>
      </c>
      <c r="F2228" s="383">
        <v>1</v>
      </c>
      <c r="G2228" s="292">
        <v>5.04</v>
      </c>
      <c r="H2228" s="255">
        <v>5.04</v>
      </c>
      <c r="J2228" s="634"/>
      <c r="S2228" s="536"/>
      <c r="T2228" s="635"/>
    </row>
    <row r="2229" spans="1:20" s="298" customFormat="1" ht="25.5">
      <c r="A2229" s="256" t="s">
        <v>12</v>
      </c>
      <c r="B2229" s="374" t="s">
        <v>14332</v>
      </c>
      <c r="C2229" s="289" t="s">
        <v>15761</v>
      </c>
      <c r="D2229" s="290" t="s">
        <v>207</v>
      </c>
      <c r="E2229" s="290" t="s">
        <v>109</v>
      </c>
      <c r="F2229" s="383">
        <v>4</v>
      </c>
      <c r="G2229" s="292">
        <v>2.7</v>
      </c>
      <c r="H2229" s="255">
        <v>10.8</v>
      </c>
      <c r="J2229" s="634"/>
      <c r="S2229" s="536"/>
      <c r="T2229" s="635"/>
    </row>
    <row r="2230" spans="1:20" s="298" customFormat="1" ht="12.75">
      <c r="A2230" s="256" t="s">
        <v>12</v>
      </c>
      <c r="B2230" s="374" t="s">
        <v>14333</v>
      </c>
      <c r="C2230" s="289" t="s">
        <v>14351</v>
      </c>
      <c r="D2230" s="290" t="s">
        <v>207</v>
      </c>
      <c r="E2230" s="290" t="s">
        <v>109</v>
      </c>
      <c r="F2230" s="383">
        <v>16.8</v>
      </c>
      <c r="G2230" s="292">
        <v>0.15</v>
      </c>
      <c r="H2230" s="255">
        <v>2.52</v>
      </c>
      <c r="J2230" s="634"/>
      <c r="S2230" s="536"/>
      <c r="T2230" s="635"/>
    </row>
    <row r="2231" spans="1:20" s="298" customFormat="1" ht="25.5">
      <c r="A2231" s="256" t="s">
        <v>3261</v>
      </c>
      <c r="B2231" s="374">
        <v>39211</v>
      </c>
      <c r="C2231" s="289" t="s">
        <v>4850</v>
      </c>
      <c r="D2231" s="290" t="s">
        <v>207</v>
      </c>
      <c r="E2231" s="290" t="s">
        <v>3240</v>
      </c>
      <c r="F2231" s="383">
        <v>16.8</v>
      </c>
      <c r="G2231" s="292" t="s">
        <v>10017</v>
      </c>
      <c r="H2231" s="255">
        <v>14.95</v>
      </c>
      <c r="J2231" s="634"/>
      <c r="S2231" s="536"/>
      <c r="T2231" s="635"/>
    </row>
    <row r="2232" spans="1:20" s="298" customFormat="1" ht="12.75">
      <c r="A2232" s="256" t="s">
        <v>3261</v>
      </c>
      <c r="B2232" s="374">
        <v>39997</v>
      </c>
      <c r="C2232" s="289" t="s">
        <v>7751</v>
      </c>
      <c r="D2232" s="290" t="s">
        <v>207</v>
      </c>
      <c r="E2232" s="290" t="s">
        <v>3240</v>
      </c>
      <c r="F2232" s="383">
        <v>16.8</v>
      </c>
      <c r="G2232" s="292" t="s">
        <v>9866</v>
      </c>
      <c r="H2232" s="255">
        <v>2.68</v>
      </c>
      <c r="J2232" s="634"/>
      <c r="S2232" s="536"/>
      <c r="T2232" s="635"/>
    </row>
    <row r="2233" spans="1:20" s="298" customFormat="1" ht="12.75">
      <c r="A2233" s="286"/>
      <c r="B2233" s="375" t="s">
        <v>143</v>
      </c>
      <c r="C2233" s="816" t="s">
        <v>17132</v>
      </c>
      <c r="D2233" s="817"/>
      <c r="E2233" s="817"/>
      <c r="F2233" s="817"/>
      <c r="G2233" s="817"/>
      <c r="H2233" s="818"/>
      <c r="J2233" s="634"/>
      <c r="S2233" s="536"/>
      <c r="T2233" s="635"/>
    </row>
    <row r="2234" spans="1:20" s="298" customFormat="1" ht="12.75">
      <c r="A2234" s="286"/>
      <c r="B2234" s="373"/>
      <c r="C2234" s="379"/>
      <c r="D2234" s="382"/>
      <c r="E2234" s="382"/>
      <c r="F2234" s="382"/>
      <c r="G2234" s="382"/>
      <c r="H2234" s="382"/>
      <c r="J2234" s="634"/>
      <c r="S2234" s="536"/>
      <c r="T2234" s="635"/>
    </row>
    <row r="2235" spans="1:20" s="298" customFormat="1" ht="38.25">
      <c r="A2235" s="286"/>
      <c r="B2235" s="372" t="s">
        <v>18441</v>
      </c>
      <c r="C2235" s="231" t="s">
        <v>17133</v>
      </c>
      <c r="D2235" s="232" t="s">
        <v>103</v>
      </c>
      <c r="E2235" s="232" t="s">
        <v>109</v>
      </c>
      <c r="F2235" s="233"/>
      <c r="G2235" s="234"/>
      <c r="H2235" s="235">
        <v>15.07</v>
      </c>
      <c r="J2235" s="634"/>
      <c r="S2235" s="536"/>
      <c r="T2235" s="635"/>
    </row>
    <row r="2236" spans="1:20" s="298" customFormat="1" ht="25.5">
      <c r="A2236" s="256" t="s">
        <v>3259</v>
      </c>
      <c r="B2236" s="288">
        <v>88264</v>
      </c>
      <c r="C2236" s="289" t="s">
        <v>146</v>
      </c>
      <c r="D2236" s="290" t="s">
        <v>9714</v>
      </c>
      <c r="E2236" s="290" t="s">
        <v>206</v>
      </c>
      <c r="F2236" s="383">
        <v>0.2</v>
      </c>
      <c r="G2236" s="292" t="s">
        <v>16504</v>
      </c>
      <c r="H2236" s="255">
        <v>4.82</v>
      </c>
      <c r="J2236" s="634"/>
      <c r="S2236" s="536"/>
      <c r="T2236" s="635"/>
    </row>
    <row r="2237" spans="1:20" s="298" customFormat="1" ht="25.5">
      <c r="A2237" s="256" t="s">
        <v>3259</v>
      </c>
      <c r="B2237" s="374">
        <v>88247</v>
      </c>
      <c r="C2237" s="289" t="s">
        <v>145</v>
      </c>
      <c r="D2237" s="290" t="s">
        <v>9714</v>
      </c>
      <c r="E2237" s="290" t="s">
        <v>206</v>
      </c>
      <c r="F2237" s="383">
        <v>0.2</v>
      </c>
      <c r="G2237" s="292" t="s">
        <v>12206</v>
      </c>
      <c r="H2237" s="255">
        <v>3.74</v>
      </c>
      <c r="J2237" s="634"/>
      <c r="S2237" s="536"/>
      <c r="T2237" s="635"/>
    </row>
    <row r="2238" spans="1:20" s="298" customFormat="1" ht="25.5">
      <c r="A2238" s="256" t="s">
        <v>12</v>
      </c>
      <c r="B2238" s="288" t="s">
        <v>18438</v>
      </c>
      <c r="C2238" s="289" t="s">
        <v>18439</v>
      </c>
      <c r="D2238" s="290" t="s">
        <v>207</v>
      </c>
      <c r="E2238" s="290" t="s">
        <v>109</v>
      </c>
      <c r="F2238" s="383">
        <v>1</v>
      </c>
      <c r="G2238" s="292">
        <v>6.51</v>
      </c>
      <c r="H2238" s="255">
        <v>6.51</v>
      </c>
      <c r="J2238" s="634"/>
      <c r="S2238" s="536"/>
      <c r="T2238" s="635"/>
    </row>
    <row r="2239" spans="1:20" s="298" customFormat="1" ht="12.75">
      <c r="A2239" s="286"/>
      <c r="B2239" s="375" t="s">
        <v>143</v>
      </c>
      <c r="C2239" s="816" t="s">
        <v>16997</v>
      </c>
      <c r="D2239" s="817"/>
      <c r="E2239" s="817"/>
      <c r="F2239" s="817"/>
      <c r="G2239" s="817"/>
      <c r="H2239" s="818"/>
      <c r="J2239" s="634"/>
      <c r="S2239" s="536"/>
      <c r="T2239" s="635"/>
    </row>
    <row r="2240" spans="1:20" s="92" customFormat="1" ht="12.75">
      <c r="A2240" s="286"/>
      <c r="B2240" s="373"/>
      <c r="C2240" s="379"/>
      <c r="D2240" s="382"/>
      <c r="E2240" s="382"/>
      <c r="F2240" s="382"/>
      <c r="G2240" s="382"/>
      <c r="H2240" s="382"/>
      <c r="J2240" s="176"/>
    </row>
    <row r="2241" spans="1:68" s="92" customFormat="1" ht="38.25">
      <c r="A2241" s="286"/>
      <c r="B2241" s="372" t="s">
        <v>18517</v>
      </c>
      <c r="C2241" s="231" t="s">
        <v>18511</v>
      </c>
      <c r="D2241" s="232" t="s">
        <v>103</v>
      </c>
      <c r="E2241" s="232" t="s">
        <v>109</v>
      </c>
      <c r="F2241" s="233"/>
      <c r="G2241" s="234"/>
      <c r="H2241" s="235">
        <v>3835.7299999999996</v>
      </c>
      <c r="J2241" s="176"/>
      <c r="K2241" s="172"/>
      <c r="L2241" s="172"/>
      <c r="M2241" s="172"/>
      <c r="N2241" s="172"/>
      <c r="O2241" s="172"/>
      <c r="P2241" s="172"/>
      <c r="Q2241" s="172"/>
      <c r="R2241" s="172"/>
      <c r="S2241" s="172"/>
    </row>
    <row r="2242" spans="1:68" s="92" customFormat="1" ht="102">
      <c r="A2242" s="256" t="s">
        <v>3259</v>
      </c>
      <c r="B2242" s="288">
        <v>102281</v>
      </c>
      <c r="C2242" s="289" t="s">
        <v>16233</v>
      </c>
      <c r="D2242" s="290" t="s">
        <v>229</v>
      </c>
      <c r="E2242" s="290" t="s">
        <v>209</v>
      </c>
      <c r="F2242" s="383">
        <v>5.9828490494964024</v>
      </c>
      <c r="G2242" s="292" t="s">
        <v>11516</v>
      </c>
      <c r="H2242" s="255">
        <v>22.67</v>
      </c>
      <c r="J2242" s="176"/>
    </row>
    <row r="2243" spans="1:68" s="92" customFormat="1" ht="51">
      <c r="A2243" s="256" t="s">
        <v>3259</v>
      </c>
      <c r="B2243" s="374">
        <v>96624</v>
      </c>
      <c r="C2243" s="289" t="s">
        <v>15897</v>
      </c>
      <c r="D2243" s="290" t="s">
        <v>229</v>
      </c>
      <c r="E2243" s="290" t="s">
        <v>209</v>
      </c>
      <c r="F2243" s="383">
        <v>8.8357293382212935E-3</v>
      </c>
      <c r="G2243" s="292" t="s">
        <v>22224</v>
      </c>
      <c r="H2243" s="255">
        <v>1.51</v>
      </c>
      <c r="J2243" s="72"/>
    </row>
    <row r="2244" spans="1:68" s="92" customFormat="1" ht="38.25">
      <c r="A2244" s="256" t="s">
        <v>3259</v>
      </c>
      <c r="B2244" s="374">
        <v>101617</v>
      </c>
      <c r="C2244" s="289" t="s">
        <v>13665</v>
      </c>
      <c r="D2244" s="290" t="s">
        <v>229</v>
      </c>
      <c r="E2244" s="290" t="s">
        <v>193</v>
      </c>
      <c r="F2244" s="383">
        <v>2.6590440219984011</v>
      </c>
      <c r="G2244" s="292" t="s">
        <v>11272</v>
      </c>
      <c r="H2244" s="255">
        <v>6.94</v>
      </c>
      <c r="J2244" s="72"/>
    </row>
    <row r="2245" spans="1:68" s="92" customFormat="1" ht="51">
      <c r="A2245" s="256" t="s">
        <v>3259</v>
      </c>
      <c r="B2245" s="374">
        <v>96557</v>
      </c>
      <c r="C2245" s="289" t="s">
        <v>1482</v>
      </c>
      <c r="D2245" s="290" t="s">
        <v>229</v>
      </c>
      <c r="E2245" s="290" t="s">
        <v>209</v>
      </c>
      <c r="F2245" s="383">
        <v>0.26413725633219587</v>
      </c>
      <c r="G2245" s="292" t="s">
        <v>22467</v>
      </c>
      <c r="H2245" s="255">
        <v>108.96</v>
      </c>
      <c r="J2245" s="72"/>
      <c r="L2245" s="700" t="s">
        <v>18512</v>
      </c>
    </row>
    <row r="2246" spans="1:68" s="92" customFormat="1" ht="51">
      <c r="A2246" s="256" t="s">
        <v>3259</v>
      </c>
      <c r="B2246" s="374">
        <v>91004</v>
      </c>
      <c r="C2246" s="289" t="s">
        <v>1335</v>
      </c>
      <c r="D2246" s="290" t="s">
        <v>229</v>
      </c>
      <c r="E2246" s="290" t="s">
        <v>193</v>
      </c>
      <c r="F2246" s="383">
        <v>7.3827427359360138</v>
      </c>
      <c r="G2246" s="292" t="s">
        <v>10536</v>
      </c>
      <c r="H2246" s="255">
        <v>112.29</v>
      </c>
      <c r="J2246" s="72"/>
      <c r="L2246" s="700" t="s">
        <v>18513</v>
      </c>
    </row>
    <row r="2247" spans="1:68" s="92" customFormat="1" ht="38.25">
      <c r="A2247" s="256" t="s">
        <v>3259</v>
      </c>
      <c r="B2247" s="374">
        <v>92482</v>
      </c>
      <c r="C2247" s="289" t="s">
        <v>12880</v>
      </c>
      <c r="D2247" s="290" t="s">
        <v>229</v>
      </c>
      <c r="E2247" s="290" t="s">
        <v>193</v>
      </c>
      <c r="F2247" s="383">
        <v>2.4626944811490388</v>
      </c>
      <c r="G2247" s="292" t="s">
        <v>22284</v>
      </c>
      <c r="H2247" s="255">
        <v>676.92</v>
      </c>
      <c r="J2247" s="72"/>
      <c r="L2247" s="700" t="s">
        <v>18514</v>
      </c>
    </row>
    <row r="2248" spans="1:68" s="92" customFormat="1" ht="76.5">
      <c r="A2248" s="256" t="s">
        <v>3259</v>
      </c>
      <c r="B2248" s="374">
        <v>90854</v>
      </c>
      <c r="C2248" s="289" t="s">
        <v>4034</v>
      </c>
      <c r="D2248" s="290" t="s">
        <v>229</v>
      </c>
      <c r="E2248" s="290" t="s">
        <v>209</v>
      </c>
      <c r="F2248" s="383">
        <v>1.4765485471872029</v>
      </c>
      <c r="G2248" s="292" t="s">
        <v>22406</v>
      </c>
      <c r="H2248" s="255">
        <v>608.29</v>
      </c>
      <c r="J2248" s="72"/>
      <c r="L2248" s="700" t="s">
        <v>18513</v>
      </c>
    </row>
    <row r="2249" spans="1:68" s="92" customFormat="1" ht="76.5">
      <c r="A2249" s="256" t="s">
        <v>3259</v>
      </c>
      <c r="B2249" s="374">
        <v>90853</v>
      </c>
      <c r="C2249" s="289" t="s">
        <v>4033</v>
      </c>
      <c r="D2249" s="290" t="s">
        <v>229</v>
      </c>
      <c r="E2249" s="290" t="s">
        <v>209</v>
      </c>
      <c r="F2249" s="383">
        <v>0.36940417217235583</v>
      </c>
      <c r="G2249" s="292" t="s">
        <v>22405</v>
      </c>
      <c r="H2249" s="255">
        <v>157.07</v>
      </c>
      <c r="J2249" s="72"/>
      <c r="L2249" s="700" t="s">
        <v>18514</v>
      </c>
    </row>
    <row r="2250" spans="1:68" s="92" customFormat="1" ht="51">
      <c r="A2250" s="256" t="s">
        <v>3259</v>
      </c>
      <c r="B2250" s="374">
        <v>92915</v>
      </c>
      <c r="C2250" s="289" t="s">
        <v>3428</v>
      </c>
      <c r="D2250" s="290" t="s">
        <v>229</v>
      </c>
      <c r="E2250" s="290" t="s">
        <v>108</v>
      </c>
      <c r="F2250" s="383">
        <v>73.838108774382349</v>
      </c>
      <c r="G2250" s="292" t="s">
        <v>10123</v>
      </c>
      <c r="H2250" s="255">
        <v>1267.8</v>
      </c>
      <c r="J2250" s="72"/>
    </row>
    <row r="2251" spans="1:68" s="92" customFormat="1" ht="38.25">
      <c r="A2251" s="256" t="s">
        <v>14338</v>
      </c>
      <c r="B2251" s="374" t="s">
        <v>18515</v>
      </c>
      <c r="C2251" s="289" t="s">
        <v>18518</v>
      </c>
      <c r="D2251" s="290" t="s">
        <v>103</v>
      </c>
      <c r="E2251" s="290" t="s">
        <v>109</v>
      </c>
      <c r="F2251" s="383">
        <v>1</v>
      </c>
      <c r="G2251" s="292">
        <v>873.28</v>
      </c>
      <c r="H2251" s="255">
        <v>873.28</v>
      </c>
      <c r="J2251" s="72"/>
    </row>
    <row r="2252" spans="1:68" s="92" customFormat="1" ht="12.75">
      <c r="A2252" s="286"/>
      <c r="B2252" s="375" t="s">
        <v>143</v>
      </c>
      <c r="C2252" s="837" t="s">
        <v>18516</v>
      </c>
      <c r="D2252" s="835"/>
      <c r="E2252" s="835"/>
      <c r="F2252" s="835"/>
      <c r="G2252" s="835"/>
      <c r="H2252" s="836"/>
      <c r="J2252" s="176"/>
      <c r="K2252" s="88"/>
      <c r="L2252" s="88"/>
      <c r="M2252" s="88"/>
      <c r="N2252" s="88"/>
      <c r="O2252" s="88"/>
    </row>
    <row r="2253" spans="1:68" s="529" customFormat="1" ht="12.75">
      <c r="A2253" s="286"/>
      <c r="B2253" s="293"/>
      <c r="C2253" s="229"/>
      <c r="D2253" s="230"/>
      <c r="E2253" s="230"/>
      <c r="F2253" s="230"/>
      <c r="G2253" s="230"/>
      <c r="H2253" s="230"/>
      <c r="I2253" s="298"/>
      <c r="J2253" s="521"/>
      <c r="K2253" s="298"/>
      <c r="L2253" s="298"/>
      <c r="M2253" s="298"/>
      <c r="N2253" s="298"/>
      <c r="O2253" s="298"/>
      <c r="P2253" s="298"/>
      <c r="Q2253" s="298"/>
      <c r="R2253" s="298"/>
      <c r="S2253" s="536"/>
      <c r="T2253" s="635"/>
      <c r="U2253" s="298"/>
      <c r="V2253" s="298"/>
      <c r="W2253" s="298"/>
      <c r="X2253" s="298"/>
      <c r="Y2253" s="298"/>
      <c r="Z2253" s="298"/>
      <c r="AA2253" s="298"/>
      <c r="AB2253" s="298"/>
      <c r="AC2253" s="298"/>
      <c r="AD2253" s="298"/>
      <c r="AE2253" s="298"/>
      <c r="AF2253" s="298"/>
      <c r="AG2253" s="298"/>
      <c r="AH2253" s="298"/>
      <c r="AI2253" s="298"/>
      <c r="AJ2253" s="298"/>
      <c r="AK2253" s="298"/>
      <c r="AL2253" s="298"/>
      <c r="AM2253" s="298"/>
      <c r="AN2253" s="298"/>
      <c r="AO2253" s="298"/>
      <c r="AP2253" s="298"/>
      <c r="AQ2253" s="298"/>
      <c r="AR2253" s="298"/>
      <c r="AS2253" s="298"/>
      <c r="AT2253" s="298"/>
      <c r="AU2253" s="298"/>
      <c r="AV2253" s="298"/>
      <c r="AW2253" s="298"/>
      <c r="AX2253" s="298"/>
      <c r="AY2253" s="298"/>
      <c r="AZ2253" s="298"/>
      <c r="BA2253" s="298"/>
      <c r="BB2253" s="298"/>
      <c r="BC2253" s="298"/>
      <c r="BD2253" s="298"/>
      <c r="BE2253" s="298"/>
      <c r="BF2253" s="298"/>
      <c r="BG2253" s="298"/>
      <c r="BH2253" s="298"/>
      <c r="BI2253" s="298"/>
      <c r="BJ2253" s="298"/>
      <c r="BK2253" s="298"/>
      <c r="BL2253" s="298"/>
      <c r="BM2253" s="298"/>
      <c r="BN2253" s="298"/>
      <c r="BO2253" s="298"/>
      <c r="BP2253" s="298"/>
    </row>
    <row r="2254" spans="1:68" s="298" customFormat="1" ht="51">
      <c r="A2254" s="286"/>
      <c r="B2254" s="372" t="s">
        <v>18521</v>
      </c>
      <c r="C2254" s="581" t="s">
        <v>24478</v>
      </c>
      <c r="D2254" s="232" t="s">
        <v>103</v>
      </c>
      <c r="E2254" s="232" t="s">
        <v>109</v>
      </c>
      <c r="F2254" s="233"/>
      <c r="G2254" s="234"/>
      <c r="H2254" s="235">
        <v>3326.3499999999995</v>
      </c>
      <c r="J2254" s="521"/>
      <c r="L2254" s="256"/>
      <c r="M2254" s="256"/>
      <c r="N2254" s="256"/>
      <c r="O2254" s="256"/>
      <c r="S2254" s="536"/>
      <c r="T2254" s="635"/>
    </row>
    <row r="2255" spans="1:68" s="298" customFormat="1" ht="12.75">
      <c r="A2255" s="256" t="s">
        <v>3261</v>
      </c>
      <c r="B2255" s="288">
        <v>863</v>
      </c>
      <c r="C2255" s="289" t="s">
        <v>5156</v>
      </c>
      <c r="D2255" s="290" t="s">
        <v>207</v>
      </c>
      <c r="E2255" s="290" t="s">
        <v>3243</v>
      </c>
      <c r="F2255" s="383">
        <v>9</v>
      </c>
      <c r="G2255" s="292" t="s">
        <v>16328</v>
      </c>
      <c r="H2255" s="255">
        <v>241.56</v>
      </c>
      <c r="J2255" s="521"/>
      <c r="L2255" s="256"/>
      <c r="M2255" s="256"/>
      <c r="N2255" s="256"/>
      <c r="O2255" s="256"/>
      <c r="S2255" s="536"/>
      <c r="T2255" s="635"/>
    </row>
    <row r="2256" spans="1:68" s="298" customFormat="1" ht="38.25">
      <c r="A2256" s="256" t="s">
        <v>3261</v>
      </c>
      <c r="B2256" s="288">
        <v>42248</v>
      </c>
      <c r="C2256" s="289" t="s">
        <v>11419</v>
      </c>
      <c r="D2256" s="290" t="s">
        <v>207</v>
      </c>
      <c r="E2256" s="290" t="s">
        <v>3240</v>
      </c>
      <c r="F2256" s="383">
        <v>1</v>
      </c>
      <c r="G2256" s="292" t="s">
        <v>20082</v>
      </c>
      <c r="H2256" s="255">
        <v>946.23</v>
      </c>
      <c r="J2256" s="521"/>
      <c r="L2256" s="256"/>
      <c r="M2256" s="256"/>
      <c r="N2256" s="256"/>
      <c r="O2256" s="256"/>
      <c r="S2256" s="536"/>
      <c r="T2256" s="635"/>
    </row>
    <row r="2257" spans="1:68" s="298" customFormat="1" ht="76.5">
      <c r="A2257" s="256" t="s">
        <v>3259</v>
      </c>
      <c r="B2257" s="288">
        <v>5928</v>
      </c>
      <c r="C2257" s="289" t="s">
        <v>298</v>
      </c>
      <c r="D2257" s="290" t="s">
        <v>8987</v>
      </c>
      <c r="E2257" s="290" t="s">
        <v>212</v>
      </c>
      <c r="F2257" s="383">
        <v>0.18</v>
      </c>
      <c r="G2257" s="292" t="s">
        <v>21398</v>
      </c>
      <c r="H2257" s="255">
        <v>32.08</v>
      </c>
      <c r="J2257" s="521"/>
      <c r="L2257" s="256"/>
      <c r="M2257" s="256"/>
      <c r="N2257" s="256"/>
      <c r="O2257" s="256"/>
      <c r="S2257" s="536"/>
      <c r="T2257" s="635"/>
    </row>
    <row r="2258" spans="1:68" s="298" customFormat="1" ht="38.25">
      <c r="A2258" s="256" t="s">
        <v>3261</v>
      </c>
      <c r="B2258" s="288">
        <v>14166</v>
      </c>
      <c r="C2258" s="289" t="s">
        <v>7789</v>
      </c>
      <c r="D2258" s="290" t="s">
        <v>207</v>
      </c>
      <c r="E2258" s="290" t="s">
        <v>3240</v>
      </c>
      <c r="F2258" s="383">
        <v>1</v>
      </c>
      <c r="G2258" s="292" t="s">
        <v>20473</v>
      </c>
      <c r="H2258" s="255">
        <v>1483.6</v>
      </c>
      <c r="J2258" s="521"/>
      <c r="L2258" s="256"/>
      <c r="M2258" s="256"/>
      <c r="N2258" s="256"/>
      <c r="O2258" s="256"/>
      <c r="S2258" s="536"/>
      <c r="T2258" s="635"/>
    </row>
    <row r="2259" spans="1:68" s="298" customFormat="1" ht="38.25">
      <c r="A2259" s="256" t="s">
        <v>3261</v>
      </c>
      <c r="B2259" s="288">
        <v>39746</v>
      </c>
      <c r="C2259" s="289" t="s">
        <v>5538</v>
      </c>
      <c r="D2259" s="290" t="s">
        <v>207</v>
      </c>
      <c r="E2259" s="290" t="s">
        <v>3240</v>
      </c>
      <c r="F2259" s="383">
        <v>4</v>
      </c>
      <c r="G2259" s="292" t="s">
        <v>19358</v>
      </c>
      <c r="H2259" s="255">
        <v>580.04</v>
      </c>
      <c r="J2259" s="521"/>
      <c r="L2259" s="256"/>
      <c r="M2259" s="256"/>
      <c r="N2259" s="256"/>
      <c r="O2259" s="256"/>
      <c r="S2259" s="536"/>
      <c r="T2259" s="635"/>
    </row>
    <row r="2260" spans="1:68" s="298" customFormat="1" ht="25.5">
      <c r="A2260" s="256" t="s">
        <v>3259</v>
      </c>
      <c r="B2260" s="288">
        <v>88264</v>
      </c>
      <c r="C2260" s="289" t="s">
        <v>146</v>
      </c>
      <c r="D2260" s="290" t="s">
        <v>9714</v>
      </c>
      <c r="E2260" s="290" t="s">
        <v>206</v>
      </c>
      <c r="F2260" s="383">
        <v>1</v>
      </c>
      <c r="G2260" s="292" t="s">
        <v>16504</v>
      </c>
      <c r="H2260" s="255">
        <v>24.1</v>
      </c>
      <c r="J2260" s="634"/>
      <c r="S2260" s="536"/>
      <c r="T2260" s="635"/>
    </row>
    <row r="2261" spans="1:68" s="298" customFormat="1" ht="25.5">
      <c r="A2261" s="256" t="s">
        <v>3259</v>
      </c>
      <c r="B2261" s="374">
        <v>88247</v>
      </c>
      <c r="C2261" s="289" t="s">
        <v>145</v>
      </c>
      <c r="D2261" s="290" t="s">
        <v>9714</v>
      </c>
      <c r="E2261" s="290" t="s">
        <v>206</v>
      </c>
      <c r="F2261" s="383">
        <v>1</v>
      </c>
      <c r="G2261" s="292" t="s">
        <v>12206</v>
      </c>
      <c r="H2261" s="255">
        <v>18.739999999999998</v>
      </c>
      <c r="J2261" s="634"/>
      <c r="S2261" s="536"/>
      <c r="T2261" s="635"/>
    </row>
    <row r="2262" spans="1:68" s="298" customFormat="1">
      <c r="A2262" s="256"/>
      <c r="B2262" s="288" t="s">
        <v>143</v>
      </c>
      <c r="C2262" s="238" t="s">
        <v>14787</v>
      </c>
      <c r="D2262" s="386"/>
      <c r="E2262" s="386"/>
      <c r="F2262" s="386"/>
      <c r="G2262" s="386"/>
      <c r="H2262" s="387"/>
      <c r="J2262" s="521"/>
      <c r="L2262" s="648"/>
      <c r="M2262" s="648"/>
      <c r="S2262" s="536"/>
      <c r="T2262" s="635"/>
    </row>
    <row r="2263" spans="1:68" s="298" customFormat="1" ht="12.75">
      <c r="A2263" s="286"/>
      <c r="B2263" s="373"/>
      <c r="C2263" s="379"/>
      <c r="D2263" s="382"/>
      <c r="E2263" s="382"/>
      <c r="F2263" s="382"/>
      <c r="G2263" s="382"/>
      <c r="H2263" s="382"/>
      <c r="J2263" s="634"/>
      <c r="S2263" s="536"/>
      <c r="T2263" s="635"/>
    </row>
    <row r="2264" spans="1:68" s="298" customFormat="1" ht="38.25">
      <c r="A2264" s="286"/>
      <c r="B2264" s="372" t="s">
        <v>18522</v>
      </c>
      <c r="C2264" s="231" t="s">
        <v>18524</v>
      </c>
      <c r="D2264" s="232" t="s">
        <v>103</v>
      </c>
      <c r="E2264" s="232" t="s">
        <v>109</v>
      </c>
      <c r="F2264" s="233"/>
      <c r="G2264" s="234"/>
      <c r="H2264" s="235">
        <v>20.29</v>
      </c>
      <c r="J2264" s="634"/>
      <c r="S2264" s="536"/>
      <c r="T2264" s="635"/>
    </row>
    <row r="2265" spans="1:68" s="298" customFormat="1" ht="25.5">
      <c r="A2265" s="256" t="s">
        <v>3259</v>
      </c>
      <c r="B2265" s="288">
        <v>88264</v>
      </c>
      <c r="C2265" s="289" t="s">
        <v>146</v>
      </c>
      <c r="D2265" s="290" t="s">
        <v>9714</v>
      </c>
      <c r="E2265" s="290" t="s">
        <v>206</v>
      </c>
      <c r="F2265" s="383">
        <v>0.29800000000000004</v>
      </c>
      <c r="G2265" s="292" t="s">
        <v>16504</v>
      </c>
      <c r="H2265" s="255">
        <v>7.18</v>
      </c>
      <c r="J2265" s="634"/>
      <c r="S2265" s="536"/>
      <c r="T2265" s="635"/>
    </row>
    <row r="2266" spans="1:68" s="298" customFormat="1" ht="25.5">
      <c r="A2266" s="256" t="s">
        <v>3259</v>
      </c>
      <c r="B2266" s="374">
        <v>88247</v>
      </c>
      <c r="C2266" s="289" t="s">
        <v>145</v>
      </c>
      <c r="D2266" s="290" t="s">
        <v>9714</v>
      </c>
      <c r="E2266" s="290" t="s">
        <v>206</v>
      </c>
      <c r="F2266" s="383">
        <v>0.29800000000000004</v>
      </c>
      <c r="G2266" s="292" t="s">
        <v>12206</v>
      </c>
      <c r="H2266" s="255">
        <v>5.58</v>
      </c>
      <c r="J2266" s="634"/>
      <c r="S2266" s="536"/>
      <c r="T2266" s="635"/>
    </row>
    <row r="2267" spans="1:68" s="298" customFormat="1" ht="38.25">
      <c r="A2267" s="256" t="s">
        <v>3261</v>
      </c>
      <c r="B2267" s="288">
        <v>2643</v>
      </c>
      <c r="C2267" s="289" t="s">
        <v>7154</v>
      </c>
      <c r="D2267" s="290" t="s">
        <v>207</v>
      </c>
      <c r="E2267" s="290" t="s">
        <v>3240</v>
      </c>
      <c r="F2267" s="383">
        <v>1</v>
      </c>
      <c r="G2267" s="292" t="s">
        <v>10485</v>
      </c>
      <c r="H2267" s="255">
        <v>7.53</v>
      </c>
      <c r="J2267" s="634"/>
      <c r="S2267" s="536"/>
      <c r="T2267" s="635"/>
    </row>
    <row r="2268" spans="1:68" s="298" customFormat="1" ht="12.75">
      <c r="A2268" s="286"/>
      <c r="B2268" s="375" t="s">
        <v>143</v>
      </c>
      <c r="C2268" s="816" t="s">
        <v>18523</v>
      </c>
      <c r="D2268" s="817"/>
      <c r="E2268" s="817"/>
      <c r="F2268" s="817"/>
      <c r="G2268" s="817"/>
      <c r="H2268" s="818"/>
      <c r="J2268" s="634"/>
      <c r="S2268" s="536"/>
      <c r="T2268" s="635"/>
    </row>
    <row r="2269" spans="1:68" s="529" customFormat="1" ht="12.75">
      <c r="A2269" s="286"/>
      <c r="B2269" s="293"/>
      <c r="C2269" s="229"/>
      <c r="D2269" s="230"/>
      <c r="E2269" s="230"/>
      <c r="F2269" s="230"/>
      <c r="G2269" s="230"/>
      <c r="H2269" s="230"/>
      <c r="I2269" s="298"/>
      <c r="J2269" s="521"/>
      <c r="K2269" s="298"/>
      <c r="L2269" s="298"/>
      <c r="M2269" s="298"/>
      <c r="N2269" s="298"/>
      <c r="O2269" s="298"/>
      <c r="P2269" s="298"/>
      <c r="Q2269" s="298"/>
      <c r="R2269" s="298"/>
      <c r="S2269" s="536"/>
      <c r="T2269" s="635"/>
      <c r="U2269" s="298"/>
      <c r="V2269" s="298"/>
      <c r="W2269" s="298"/>
      <c r="X2269" s="298"/>
      <c r="Y2269" s="298"/>
      <c r="Z2269" s="298"/>
      <c r="AA2269" s="298"/>
      <c r="AB2269" s="298"/>
      <c r="AC2269" s="298"/>
      <c r="AD2269" s="298"/>
      <c r="AE2269" s="298"/>
      <c r="AF2269" s="298"/>
      <c r="AG2269" s="298"/>
      <c r="AH2269" s="298"/>
      <c r="AI2269" s="298"/>
      <c r="AJ2269" s="298"/>
      <c r="AK2269" s="298"/>
      <c r="AL2269" s="298"/>
      <c r="AM2269" s="298"/>
      <c r="AN2269" s="298"/>
      <c r="AO2269" s="298"/>
      <c r="AP2269" s="298"/>
      <c r="AQ2269" s="298"/>
      <c r="AR2269" s="298"/>
      <c r="AS2269" s="298"/>
      <c r="AT2269" s="298"/>
      <c r="AU2269" s="298"/>
      <c r="AV2269" s="298"/>
      <c r="AW2269" s="298"/>
      <c r="AX2269" s="298"/>
      <c r="AY2269" s="298"/>
      <c r="AZ2269" s="298"/>
      <c r="BA2269" s="298"/>
      <c r="BB2269" s="298"/>
      <c r="BC2269" s="298"/>
      <c r="BD2269" s="298"/>
      <c r="BE2269" s="298"/>
      <c r="BF2269" s="298"/>
      <c r="BG2269" s="298"/>
      <c r="BH2269" s="298"/>
      <c r="BI2269" s="298"/>
      <c r="BJ2269" s="298"/>
      <c r="BK2269" s="298"/>
      <c r="BL2269" s="298"/>
      <c r="BM2269" s="298"/>
      <c r="BN2269" s="298"/>
      <c r="BO2269" s="298"/>
      <c r="BP2269" s="298"/>
    </row>
    <row r="2270" spans="1:68" s="298" customFormat="1" ht="25.5">
      <c r="A2270" s="286"/>
      <c r="B2270" s="372" t="s">
        <v>14786</v>
      </c>
      <c r="C2270" s="581" t="s">
        <v>18333</v>
      </c>
      <c r="D2270" s="232" t="s">
        <v>103</v>
      </c>
      <c r="E2270" s="232" t="s">
        <v>109</v>
      </c>
      <c r="F2270" s="233"/>
      <c r="G2270" s="234"/>
      <c r="H2270" s="235">
        <v>566.88</v>
      </c>
      <c r="J2270" s="521"/>
      <c r="L2270" s="256"/>
      <c r="M2270" s="256"/>
      <c r="N2270" s="256"/>
      <c r="O2270" s="256"/>
      <c r="S2270" s="536"/>
      <c r="T2270" s="635"/>
    </row>
    <row r="2271" spans="1:68" s="298" customFormat="1" ht="12.75">
      <c r="A2271" s="256" t="s">
        <v>12</v>
      </c>
      <c r="B2271" s="288" t="s">
        <v>18299</v>
      </c>
      <c r="C2271" s="289" t="s">
        <v>18301</v>
      </c>
      <c r="D2271" s="290" t="s">
        <v>207</v>
      </c>
      <c r="E2271" s="290" t="s">
        <v>109</v>
      </c>
      <c r="F2271" s="383">
        <v>1</v>
      </c>
      <c r="G2271" s="292">
        <v>524.04</v>
      </c>
      <c r="H2271" s="255">
        <v>524.04</v>
      </c>
      <c r="J2271" s="521"/>
      <c r="L2271" s="256"/>
      <c r="M2271" s="256"/>
      <c r="N2271" s="256"/>
      <c r="O2271" s="256"/>
      <c r="S2271" s="536"/>
      <c r="T2271" s="635"/>
    </row>
    <row r="2272" spans="1:68" s="298" customFormat="1" ht="25.5">
      <c r="A2272" s="256" t="s">
        <v>3259</v>
      </c>
      <c r="B2272" s="288">
        <v>88264</v>
      </c>
      <c r="C2272" s="289" t="s">
        <v>146</v>
      </c>
      <c r="D2272" s="290" t="s">
        <v>9714</v>
      </c>
      <c r="E2272" s="290" t="s">
        <v>206</v>
      </c>
      <c r="F2272" s="383">
        <v>1</v>
      </c>
      <c r="G2272" s="292" t="s">
        <v>16504</v>
      </c>
      <c r="H2272" s="255">
        <v>24.1</v>
      </c>
      <c r="J2272" s="634"/>
      <c r="S2272" s="536"/>
      <c r="T2272" s="635"/>
    </row>
    <row r="2273" spans="1:68" s="298" customFormat="1" ht="25.5">
      <c r="A2273" s="256" t="s">
        <v>3259</v>
      </c>
      <c r="B2273" s="374">
        <v>88247</v>
      </c>
      <c r="C2273" s="289" t="s">
        <v>145</v>
      </c>
      <c r="D2273" s="290" t="s">
        <v>9714</v>
      </c>
      <c r="E2273" s="290" t="s">
        <v>206</v>
      </c>
      <c r="F2273" s="383">
        <v>1</v>
      </c>
      <c r="G2273" s="292" t="s">
        <v>12206</v>
      </c>
      <c r="H2273" s="255">
        <v>18.739999999999998</v>
      </c>
      <c r="J2273" s="634"/>
      <c r="S2273" s="536"/>
      <c r="T2273" s="635"/>
    </row>
    <row r="2274" spans="1:68" s="298" customFormat="1">
      <c r="A2274" s="256"/>
      <c r="B2274" s="288" t="s">
        <v>143</v>
      </c>
      <c r="C2274" s="238" t="s">
        <v>14787</v>
      </c>
      <c r="D2274" s="386"/>
      <c r="E2274" s="386"/>
      <c r="F2274" s="386"/>
      <c r="G2274" s="386"/>
      <c r="H2274" s="387"/>
      <c r="J2274" s="521"/>
      <c r="L2274" s="648"/>
      <c r="M2274" s="648"/>
      <c r="S2274" s="536"/>
      <c r="T2274" s="635"/>
    </row>
    <row r="2275" spans="1:68" s="529" customFormat="1" ht="12.75">
      <c r="A2275" s="286"/>
      <c r="B2275" s="293"/>
      <c r="C2275" s="229"/>
      <c r="D2275" s="230"/>
      <c r="E2275" s="230"/>
      <c r="F2275" s="230"/>
      <c r="G2275" s="230"/>
      <c r="H2275" s="230"/>
      <c r="I2275" s="298"/>
      <c r="J2275" s="521"/>
      <c r="K2275" s="298"/>
      <c r="L2275" s="298"/>
      <c r="M2275" s="298"/>
      <c r="N2275" s="298"/>
      <c r="O2275" s="298"/>
      <c r="P2275" s="298"/>
      <c r="Q2275" s="298"/>
      <c r="R2275" s="298"/>
      <c r="S2275" s="536"/>
      <c r="T2275" s="635"/>
      <c r="U2275" s="298"/>
      <c r="V2275" s="298"/>
      <c r="W2275" s="298"/>
      <c r="X2275" s="298"/>
      <c r="Y2275" s="298"/>
      <c r="Z2275" s="298"/>
      <c r="AA2275" s="298"/>
      <c r="AB2275" s="298"/>
      <c r="AC2275" s="298"/>
      <c r="AD2275" s="298"/>
      <c r="AE2275" s="298"/>
      <c r="AF2275" s="298"/>
      <c r="AG2275" s="298"/>
      <c r="AH2275" s="298"/>
      <c r="AI2275" s="298"/>
      <c r="AJ2275" s="298"/>
      <c r="AK2275" s="298"/>
      <c r="AL2275" s="298"/>
      <c r="AM2275" s="298"/>
      <c r="AN2275" s="298"/>
      <c r="AO2275" s="298"/>
      <c r="AP2275" s="298"/>
      <c r="AQ2275" s="298"/>
      <c r="AR2275" s="298"/>
      <c r="AS2275" s="298"/>
      <c r="AT2275" s="298"/>
      <c r="AU2275" s="298"/>
      <c r="AV2275" s="298"/>
      <c r="AW2275" s="298"/>
      <c r="AX2275" s="298"/>
      <c r="AY2275" s="298"/>
      <c r="AZ2275" s="298"/>
      <c r="BA2275" s="298"/>
      <c r="BB2275" s="298"/>
      <c r="BC2275" s="298"/>
      <c r="BD2275" s="298"/>
      <c r="BE2275" s="298"/>
      <c r="BF2275" s="298"/>
      <c r="BG2275" s="298"/>
      <c r="BH2275" s="298"/>
      <c r="BI2275" s="298"/>
      <c r="BJ2275" s="298"/>
      <c r="BK2275" s="298"/>
      <c r="BL2275" s="298"/>
      <c r="BM2275" s="298"/>
      <c r="BN2275" s="298"/>
      <c r="BO2275" s="298"/>
      <c r="BP2275" s="298"/>
    </row>
    <row r="2276" spans="1:68" s="298" customFormat="1" ht="25.5">
      <c r="A2276" s="286"/>
      <c r="B2276" s="372" t="s">
        <v>14788</v>
      </c>
      <c r="C2276" s="581" t="s">
        <v>14789</v>
      </c>
      <c r="D2276" s="232" t="s">
        <v>103</v>
      </c>
      <c r="E2276" s="232" t="s">
        <v>109</v>
      </c>
      <c r="F2276" s="233"/>
      <c r="G2276" s="234"/>
      <c r="H2276" s="235">
        <v>835.88</v>
      </c>
      <c r="J2276" s="521"/>
      <c r="L2276" s="256"/>
      <c r="M2276" s="256"/>
      <c r="N2276" s="256"/>
      <c r="O2276" s="256"/>
      <c r="S2276" s="536"/>
      <c r="T2276" s="635"/>
    </row>
    <row r="2277" spans="1:68" s="298" customFormat="1" ht="12.75">
      <c r="A2277" s="256" t="s">
        <v>12</v>
      </c>
      <c r="B2277" s="288" t="s">
        <v>14621</v>
      </c>
      <c r="C2277" s="289" t="s">
        <v>14622</v>
      </c>
      <c r="D2277" s="290" t="s">
        <v>207</v>
      </c>
      <c r="E2277" s="290" t="s">
        <v>109</v>
      </c>
      <c r="F2277" s="383">
        <v>1</v>
      </c>
      <c r="G2277" s="292">
        <v>793.04</v>
      </c>
      <c r="H2277" s="255">
        <v>793.04</v>
      </c>
      <c r="J2277" s="521"/>
      <c r="L2277" s="256"/>
      <c r="M2277" s="256"/>
      <c r="N2277" s="256"/>
      <c r="O2277" s="256"/>
      <c r="S2277" s="536"/>
      <c r="T2277" s="635"/>
    </row>
    <row r="2278" spans="1:68" s="298" customFormat="1" ht="25.5">
      <c r="A2278" s="256" t="s">
        <v>3259</v>
      </c>
      <c r="B2278" s="288">
        <v>88264</v>
      </c>
      <c r="C2278" s="289" t="s">
        <v>146</v>
      </c>
      <c r="D2278" s="290" t="s">
        <v>9714</v>
      </c>
      <c r="E2278" s="290" t="s">
        <v>206</v>
      </c>
      <c r="F2278" s="383">
        <v>1</v>
      </c>
      <c r="G2278" s="292" t="s">
        <v>16504</v>
      </c>
      <c r="H2278" s="255">
        <v>24.1</v>
      </c>
      <c r="J2278" s="634"/>
      <c r="S2278" s="536"/>
      <c r="T2278" s="635"/>
    </row>
    <row r="2279" spans="1:68" s="298" customFormat="1" ht="25.5">
      <c r="A2279" s="256" t="s">
        <v>3259</v>
      </c>
      <c r="B2279" s="374">
        <v>88247</v>
      </c>
      <c r="C2279" s="289" t="s">
        <v>145</v>
      </c>
      <c r="D2279" s="290" t="s">
        <v>9714</v>
      </c>
      <c r="E2279" s="290" t="s">
        <v>206</v>
      </c>
      <c r="F2279" s="383">
        <v>1</v>
      </c>
      <c r="G2279" s="292" t="s">
        <v>12206</v>
      </c>
      <c r="H2279" s="255">
        <v>18.739999999999998</v>
      </c>
      <c r="J2279" s="634"/>
      <c r="S2279" s="536"/>
      <c r="T2279" s="635"/>
    </row>
    <row r="2280" spans="1:68" s="298" customFormat="1">
      <c r="A2280" s="256"/>
      <c r="B2280" s="288" t="s">
        <v>143</v>
      </c>
      <c r="C2280" s="238" t="s">
        <v>14787</v>
      </c>
      <c r="D2280" s="386"/>
      <c r="E2280" s="386"/>
      <c r="F2280" s="386"/>
      <c r="G2280" s="386"/>
      <c r="H2280" s="387"/>
      <c r="J2280" s="521"/>
      <c r="L2280" s="648"/>
      <c r="M2280" s="648"/>
      <c r="S2280" s="536"/>
      <c r="T2280" s="635"/>
    </row>
    <row r="2281" spans="1:68" s="529" customFormat="1" ht="12.75">
      <c r="A2281" s="286"/>
      <c r="B2281" s="293"/>
      <c r="C2281" s="229"/>
      <c r="D2281" s="230"/>
      <c r="E2281" s="230"/>
      <c r="F2281" s="230"/>
      <c r="G2281" s="230"/>
      <c r="H2281" s="230"/>
      <c r="I2281" s="298"/>
      <c r="J2281" s="521"/>
      <c r="K2281" s="298"/>
      <c r="L2281" s="298"/>
      <c r="M2281" s="298"/>
      <c r="N2281" s="298"/>
      <c r="O2281" s="298"/>
      <c r="P2281" s="298"/>
      <c r="Q2281" s="298"/>
      <c r="R2281" s="298"/>
      <c r="S2281" s="536"/>
      <c r="T2281" s="635"/>
      <c r="U2281" s="298"/>
      <c r="V2281" s="298"/>
      <c r="W2281" s="298"/>
      <c r="X2281" s="298"/>
      <c r="Y2281" s="298"/>
      <c r="Z2281" s="298"/>
      <c r="AA2281" s="298"/>
      <c r="AB2281" s="298"/>
      <c r="AC2281" s="298"/>
      <c r="AD2281" s="298"/>
      <c r="AE2281" s="298"/>
      <c r="AF2281" s="298"/>
      <c r="AG2281" s="298"/>
      <c r="AH2281" s="298"/>
      <c r="AI2281" s="298"/>
      <c r="AJ2281" s="298"/>
      <c r="AK2281" s="298"/>
      <c r="AL2281" s="298"/>
      <c r="AM2281" s="298"/>
      <c r="AN2281" s="298"/>
      <c r="AO2281" s="298"/>
      <c r="AP2281" s="298"/>
      <c r="AQ2281" s="298"/>
      <c r="AR2281" s="298"/>
      <c r="AS2281" s="298"/>
      <c r="AT2281" s="298"/>
      <c r="AU2281" s="298"/>
      <c r="AV2281" s="298"/>
      <c r="AW2281" s="298"/>
      <c r="AX2281" s="298"/>
      <c r="AY2281" s="298"/>
      <c r="AZ2281" s="298"/>
      <c r="BA2281" s="298"/>
      <c r="BB2281" s="298"/>
      <c r="BC2281" s="298"/>
      <c r="BD2281" s="298"/>
      <c r="BE2281" s="298"/>
      <c r="BF2281" s="298"/>
      <c r="BG2281" s="298"/>
      <c r="BH2281" s="298"/>
      <c r="BI2281" s="298"/>
      <c r="BJ2281" s="298"/>
      <c r="BK2281" s="298"/>
      <c r="BL2281" s="298"/>
      <c r="BM2281" s="298"/>
      <c r="BN2281" s="298"/>
      <c r="BO2281" s="298"/>
      <c r="BP2281" s="298"/>
    </row>
    <row r="2282" spans="1:68" s="298" customFormat="1" ht="25.5">
      <c r="A2282" s="286"/>
      <c r="B2282" s="372" t="s">
        <v>14791</v>
      </c>
      <c r="C2282" s="581" t="s">
        <v>14792</v>
      </c>
      <c r="D2282" s="232" t="s">
        <v>103</v>
      </c>
      <c r="E2282" s="232" t="s">
        <v>3243</v>
      </c>
      <c r="F2282" s="233"/>
      <c r="G2282" s="234"/>
      <c r="H2282" s="235">
        <v>57.86</v>
      </c>
      <c r="J2282" s="521"/>
      <c r="L2282" s="256"/>
      <c r="M2282" s="256"/>
      <c r="N2282" s="256"/>
      <c r="O2282" s="256"/>
      <c r="S2282" s="536"/>
      <c r="T2282" s="635"/>
    </row>
    <row r="2283" spans="1:68" s="298" customFormat="1" ht="25.5">
      <c r="A2283" s="256" t="s">
        <v>3261</v>
      </c>
      <c r="B2283" s="288">
        <v>122</v>
      </c>
      <c r="C2283" s="289" t="s">
        <v>4686</v>
      </c>
      <c r="D2283" s="290" t="s">
        <v>207</v>
      </c>
      <c r="E2283" s="290" t="s">
        <v>3240</v>
      </c>
      <c r="F2283" s="383">
        <v>1.72E-2</v>
      </c>
      <c r="G2283" s="292" t="s">
        <v>16584</v>
      </c>
      <c r="H2283" s="255">
        <v>1.38</v>
      </c>
      <c r="J2283" s="521"/>
      <c r="L2283" s="256"/>
      <c r="M2283" s="256"/>
      <c r="N2283" s="256"/>
      <c r="O2283" s="256"/>
      <c r="S2283" s="536"/>
      <c r="T2283" s="635"/>
    </row>
    <row r="2284" spans="1:68" s="298" customFormat="1" ht="25.5">
      <c r="A2284" s="256" t="s">
        <v>3261</v>
      </c>
      <c r="B2284" s="288">
        <v>20065</v>
      </c>
      <c r="C2284" s="289" t="s">
        <v>8743</v>
      </c>
      <c r="D2284" s="290" t="s">
        <v>207</v>
      </c>
      <c r="E2284" s="290" t="s">
        <v>3243</v>
      </c>
      <c r="F2284" s="383">
        <v>1.05</v>
      </c>
      <c r="G2284" s="292" t="s">
        <v>21098</v>
      </c>
      <c r="H2284" s="255">
        <v>38.869999999999997</v>
      </c>
      <c r="J2284" s="634"/>
      <c r="S2284" s="536"/>
      <c r="T2284" s="635"/>
    </row>
    <row r="2285" spans="1:68" s="298" customFormat="1" ht="25.5">
      <c r="A2285" s="256" t="s">
        <v>3261</v>
      </c>
      <c r="B2285" s="288">
        <v>20083</v>
      </c>
      <c r="C2285" s="289" t="s">
        <v>8071</v>
      </c>
      <c r="D2285" s="290" t="s">
        <v>207</v>
      </c>
      <c r="E2285" s="290" t="s">
        <v>3240</v>
      </c>
      <c r="F2285" s="383">
        <v>2.8199999999999999E-2</v>
      </c>
      <c r="G2285" s="292" t="s">
        <v>20658</v>
      </c>
      <c r="H2285" s="255">
        <v>1.96</v>
      </c>
      <c r="J2285" s="634"/>
      <c r="S2285" s="536"/>
      <c r="T2285" s="635"/>
    </row>
    <row r="2286" spans="1:68" s="298" customFormat="1" ht="12.75">
      <c r="A2286" s="256" t="s">
        <v>3261</v>
      </c>
      <c r="B2286" s="288">
        <v>38383</v>
      </c>
      <c r="C2286" s="289" t="s">
        <v>6950</v>
      </c>
      <c r="D2286" s="290" t="s">
        <v>207</v>
      </c>
      <c r="E2286" s="290" t="s">
        <v>3240</v>
      </c>
      <c r="F2286" s="383">
        <v>0.123</v>
      </c>
      <c r="G2286" s="292" t="s">
        <v>11068</v>
      </c>
      <c r="H2286" s="255">
        <v>0.25</v>
      </c>
      <c r="J2286" s="634"/>
      <c r="S2286" s="536"/>
      <c r="T2286" s="635"/>
    </row>
    <row r="2287" spans="1:68" s="298" customFormat="1" ht="38.25">
      <c r="A2287" s="256" t="s">
        <v>3259</v>
      </c>
      <c r="B2287" s="288">
        <v>88248</v>
      </c>
      <c r="C2287" s="289" t="s">
        <v>106</v>
      </c>
      <c r="D2287" s="290" t="s">
        <v>9714</v>
      </c>
      <c r="E2287" s="290" t="s">
        <v>206</v>
      </c>
      <c r="F2287" s="383">
        <v>0.37</v>
      </c>
      <c r="G2287" s="292" t="s">
        <v>10175</v>
      </c>
      <c r="H2287" s="255">
        <v>6.74</v>
      </c>
      <c r="J2287" s="634"/>
      <c r="S2287" s="536"/>
      <c r="T2287" s="635"/>
    </row>
    <row r="2288" spans="1:68" s="298" customFormat="1" ht="25.5">
      <c r="A2288" s="256" t="s">
        <v>3259</v>
      </c>
      <c r="B2288" s="288">
        <v>88267</v>
      </c>
      <c r="C2288" s="289" t="s">
        <v>107</v>
      </c>
      <c r="D2288" s="290" t="s">
        <v>9714</v>
      </c>
      <c r="E2288" s="290" t="s">
        <v>206</v>
      </c>
      <c r="F2288" s="383">
        <v>0.37</v>
      </c>
      <c r="G2288" s="292" t="s">
        <v>10792</v>
      </c>
      <c r="H2288" s="255">
        <v>8.66</v>
      </c>
      <c r="J2288" s="634"/>
      <c r="S2288" s="536"/>
      <c r="T2288" s="635"/>
    </row>
    <row r="2289" spans="1:68" s="298" customFormat="1">
      <c r="A2289" s="256"/>
      <c r="B2289" s="288" t="s">
        <v>143</v>
      </c>
      <c r="C2289" s="238" t="s">
        <v>18342</v>
      </c>
      <c r="D2289" s="386"/>
      <c r="E2289" s="386"/>
      <c r="F2289" s="386"/>
      <c r="G2289" s="386"/>
      <c r="H2289" s="387"/>
      <c r="J2289" s="521"/>
      <c r="L2289" s="648"/>
      <c r="M2289" s="648"/>
      <c r="S2289" s="536"/>
      <c r="T2289" s="635"/>
    </row>
    <row r="2290" spans="1:68" s="529" customFormat="1" ht="12.75">
      <c r="A2290" s="286"/>
      <c r="B2290" s="293"/>
      <c r="C2290" s="229"/>
      <c r="D2290" s="230"/>
      <c r="E2290" s="230"/>
      <c r="F2290" s="230"/>
      <c r="G2290" s="230"/>
      <c r="H2290" s="230"/>
      <c r="I2290" s="298"/>
      <c r="J2290" s="521"/>
      <c r="K2290" s="298"/>
      <c r="L2290" s="298"/>
      <c r="M2290" s="298"/>
      <c r="N2290" s="298"/>
      <c r="O2290" s="298"/>
      <c r="P2290" s="298"/>
      <c r="Q2290" s="298"/>
      <c r="R2290" s="298"/>
      <c r="S2290" s="536"/>
      <c r="T2290" s="635"/>
      <c r="U2290" s="298"/>
      <c r="V2290" s="298"/>
      <c r="W2290" s="298"/>
      <c r="X2290" s="298"/>
      <c r="Y2290" s="298"/>
      <c r="Z2290" s="298"/>
      <c r="AA2290" s="298"/>
      <c r="AB2290" s="298"/>
      <c r="AC2290" s="298"/>
      <c r="AD2290" s="298"/>
      <c r="AE2290" s="298"/>
      <c r="AF2290" s="298"/>
      <c r="AG2290" s="298"/>
      <c r="AH2290" s="298"/>
      <c r="AI2290" s="298"/>
      <c r="AJ2290" s="298"/>
      <c r="AK2290" s="298"/>
      <c r="AL2290" s="298"/>
      <c r="AM2290" s="298"/>
      <c r="AN2290" s="298"/>
      <c r="AO2290" s="298"/>
      <c r="AP2290" s="298"/>
      <c r="AQ2290" s="298"/>
      <c r="AR2290" s="298"/>
      <c r="AS2290" s="298"/>
      <c r="AT2290" s="298"/>
      <c r="AU2290" s="298"/>
      <c r="AV2290" s="298"/>
      <c r="AW2290" s="298"/>
      <c r="AX2290" s="298"/>
      <c r="AY2290" s="298"/>
      <c r="AZ2290" s="298"/>
      <c r="BA2290" s="298"/>
      <c r="BB2290" s="298"/>
      <c r="BC2290" s="298"/>
      <c r="BD2290" s="298"/>
      <c r="BE2290" s="298"/>
      <c r="BF2290" s="298"/>
      <c r="BG2290" s="298"/>
      <c r="BH2290" s="298"/>
      <c r="BI2290" s="298"/>
      <c r="BJ2290" s="298"/>
      <c r="BK2290" s="298"/>
      <c r="BL2290" s="298"/>
      <c r="BM2290" s="298"/>
      <c r="BN2290" s="298"/>
      <c r="BO2290" s="298"/>
      <c r="BP2290" s="298"/>
    </row>
    <row r="2291" spans="1:68" s="298" customFormat="1" ht="51">
      <c r="A2291" s="286"/>
      <c r="B2291" s="372" t="s">
        <v>14793</v>
      </c>
      <c r="C2291" s="581" t="s">
        <v>14794</v>
      </c>
      <c r="D2291" s="232" t="s">
        <v>103</v>
      </c>
      <c r="E2291" s="232" t="s">
        <v>5</v>
      </c>
      <c r="F2291" s="233"/>
      <c r="G2291" s="234"/>
      <c r="H2291" s="235">
        <v>13.04</v>
      </c>
      <c r="J2291" s="521"/>
      <c r="L2291" s="256"/>
      <c r="M2291" s="256"/>
      <c r="N2291" s="256"/>
      <c r="O2291" s="256"/>
      <c r="S2291" s="536"/>
      <c r="T2291" s="635"/>
    </row>
    <row r="2292" spans="1:68" s="298" customFormat="1" ht="51">
      <c r="A2292" s="256" t="s">
        <v>12</v>
      </c>
      <c r="B2292" s="288" t="s">
        <v>14615</v>
      </c>
      <c r="C2292" s="289" t="s">
        <v>14616</v>
      </c>
      <c r="D2292" s="290" t="s">
        <v>207</v>
      </c>
      <c r="E2292" s="290" t="s">
        <v>5</v>
      </c>
      <c r="F2292" s="383">
        <v>1.1000000000000001</v>
      </c>
      <c r="G2292" s="292">
        <v>6.770999999999999</v>
      </c>
      <c r="H2292" s="255">
        <v>7.44</v>
      </c>
      <c r="J2292" s="521"/>
      <c r="L2292" s="256"/>
      <c r="M2292" s="256"/>
      <c r="N2292" s="256"/>
      <c r="O2292" s="256"/>
      <c r="S2292" s="536"/>
      <c r="T2292" s="635"/>
    </row>
    <row r="2293" spans="1:68" s="298" customFormat="1" ht="25.5">
      <c r="A2293" s="256" t="s">
        <v>3259</v>
      </c>
      <c r="B2293" s="288">
        <v>88264</v>
      </c>
      <c r="C2293" s="289" t="s">
        <v>146</v>
      </c>
      <c r="D2293" s="290" t="s">
        <v>9714</v>
      </c>
      <c r="E2293" s="290" t="s">
        <v>206</v>
      </c>
      <c r="F2293" s="383">
        <v>0.13100000000000001</v>
      </c>
      <c r="G2293" s="292" t="s">
        <v>16504</v>
      </c>
      <c r="H2293" s="255">
        <v>3.15</v>
      </c>
      <c r="J2293" s="634"/>
      <c r="S2293" s="536"/>
      <c r="T2293" s="635"/>
    </row>
    <row r="2294" spans="1:68" s="298" customFormat="1" ht="25.5">
      <c r="A2294" s="256" t="s">
        <v>3259</v>
      </c>
      <c r="B2294" s="374">
        <v>88247</v>
      </c>
      <c r="C2294" s="289" t="s">
        <v>145</v>
      </c>
      <c r="D2294" s="290" t="s">
        <v>9714</v>
      </c>
      <c r="E2294" s="290" t="s">
        <v>206</v>
      </c>
      <c r="F2294" s="383">
        <v>0.13100000000000001</v>
      </c>
      <c r="G2294" s="292" t="s">
        <v>12206</v>
      </c>
      <c r="H2294" s="255">
        <v>2.4500000000000002</v>
      </c>
      <c r="J2294" s="634"/>
      <c r="S2294" s="536"/>
      <c r="T2294" s="635"/>
    </row>
    <row r="2295" spans="1:68" s="298" customFormat="1">
      <c r="A2295" s="256"/>
      <c r="B2295" s="288" t="s">
        <v>143</v>
      </c>
      <c r="C2295" s="238" t="s">
        <v>14795</v>
      </c>
      <c r="D2295" s="386"/>
      <c r="E2295" s="386"/>
      <c r="F2295" s="386"/>
      <c r="G2295" s="386"/>
      <c r="H2295" s="387"/>
      <c r="J2295" s="521"/>
      <c r="L2295" s="648"/>
      <c r="M2295" s="648"/>
      <c r="S2295" s="536"/>
      <c r="T2295" s="635"/>
    </row>
    <row r="2296" spans="1:68" s="298" customFormat="1" ht="12.75">
      <c r="A2296" s="286"/>
      <c r="B2296" s="822"/>
      <c r="C2296" s="817"/>
      <c r="D2296" s="817"/>
      <c r="E2296" s="817"/>
      <c r="F2296" s="817"/>
      <c r="G2296" s="817"/>
      <c r="H2296" s="818"/>
      <c r="J2296" s="634"/>
      <c r="S2296" s="536"/>
      <c r="T2296" s="635"/>
    </row>
    <row r="2297" spans="1:68" s="298" customFormat="1" ht="38.25">
      <c r="A2297" s="286"/>
      <c r="B2297" s="372" t="s">
        <v>14798</v>
      </c>
      <c r="C2297" s="231" t="s">
        <v>14810</v>
      </c>
      <c r="D2297" s="232" t="s">
        <v>103</v>
      </c>
      <c r="E2297" s="232" t="s">
        <v>3240</v>
      </c>
      <c r="F2297" s="233"/>
      <c r="G2297" s="234"/>
      <c r="H2297" s="235">
        <v>81.48</v>
      </c>
      <c r="J2297" s="634"/>
      <c r="S2297" s="536"/>
      <c r="T2297" s="635"/>
    </row>
    <row r="2298" spans="1:68" s="298" customFormat="1" ht="25.5">
      <c r="A2298" s="256" t="s">
        <v>3261</v>
      </c>
      <c r="B2298" s="374">
        <v>305</v>
      </c>
      <c r="C2298" s="289" t="s">
        <v>4739</v>
      </c>
      <c r="D2298" s="290" t="s">
        <v>207</v>
      </c>
      <c r="E2298" s="290" t="s">
        <v>3240</v>
      </c>
      <c r="F2298" s="383">
        <v>2</v>
      </c>
      <c r="G2298" s="292" t="s">
        <v>11474</v>
      </c>
      <c r="H2298" s="255">
        <v>20.54</v>
      </c>
      <c r="J2298" s="634"/>
      <c r="S2298" s="536"/>
      <c r="T2298" s="635"/>
    </row>
    <row r="2299" spans="1:68" s="298" customFormat="1" ht="51">
      <c r="A2299" s="256" t="s">
        <v>3261</v>
      </c>
      <c r="B2299" s="374">
        <v>20078</v>
      </c>
      <c r="C2299" s="289" t="s">
        <v>7558</v>
      </c>
      <c r="D2299" s="290" t="s">
        <v>207</v>
      </c>
      <c r="E2299" s="290" t="s">
        <v>3240</v>
      </c>
      <c r="F2299" s="383">
        <v>0.14000000000000001</v>
      </c>
      <c r="G2299" s="292" t="s">
        <v>9726</v>
      </c>
      <c r="H2299" s="255">
        <v>4.12</v>
      </c>
      <c r="J2299" s="634"/>
      <c r="S2299" s="536"/>
      <c r="T2299" s="635"/>
    </row>
    <row r="2300" spans="1:68" s="298" customFormat="1" ht="25.5">
      <c r="A2300" s="256" t="s">
        <v>3261</v>
      </c>
      <c r="B2300" s="374">
        <v>20174</v>
      </c>
      <c r="C2300" s="289" t="s">
        <v>8351</v>
      </c>
      <c r="D2300" s="290" t="s">
        <v>207</v>
      </c>
      <c r="E2300" s="290" t="s">
        <v>3240</v>
      </c>
      <c r="F2300" s="383">
        <v>1</v>
      </c>
      <c r="G2300" s="292" t="s">
        <v>19199</v>
      </c>
      <c r="H2300" s="255">
        <v>38.5</v>
      </c>
      <c r="J2300" s="634"/>
      <c r="S2300" s="536"/>
      <c r="T2300" s="635"/>
    </row>
    <row r="2301" spans="1:68" s="298" customFormat="1" ht="38.25">
      <c r="A2301" s="256" t="s">
        <v>3259</v>
      </c>
      <c r="B2301" s="374">
        <v>88248</v>
      </c>
      <c r="C2301" s="289" t="s">
        <v>106</v>
      </c>
      <c r="D2301" s="290" t="s">
        <v>9714</v>
      </c>
      <c r="E2301" s="290" t="s">
        <v>206</v>
      </c>
      <c r="F2301" s="383">
        <v>0.44</v>
      </c>
      <c r="G2301" s="292" t="s">
        <v>10175</v>
      </c>
      <c r="H2301" s="255">
        <v>8.02</v>
      </c>
      <c r="J2301" s="634"/>
      <c r="S2301" s="536"/>
      <c r="T2301" s="635"/>
    </row>
    <row r="2302" spans="1:68" s="298" customFormat="1" ht="25.5">
      <c r="A2302" s="256" t="s">
        <v>3259</v>
      </c>
      <c r="B2302" s="374">
        <v>88267</v>
      </c>
      <c r="C2302" s="289" t="s">
        <v>107</v>
      </c>
      <c r="D2302" s="290" t="s">
        <v>9714</v>
      </c>
      <c r="E2302" s="290" t="s">
        <v>206</v>
      </c>
      <c r="F2302" s="383">
        <v>0.44</v>
      </c>
      <c r="G2302" s="292" t="s">
        <v>10792</v>
      </c>
      <c r="H2302" s="255">
        <v>10.3</v>
      </c>
      <c r="J2302" s="634"/>
      <c r="S2302" s="536"/>
      <c r="T2302" s="635"/>
    </row>
    <row r="2303" spans="1:68" s="298" customFormat="1" ht="12.75">
      <c r="A2303" s="286"/>
      <c r="B2303" s="375" t="s">
        <v>143</v>
      </c>
      <c r="C2303" s="819" t="s">
        <v>14805</v>
      </c>
      <c r="D2303" s="820"/>
      <c r="E2303" s="820"/>
      <c r="F2303" s="820"/>
      <c r="G2303" s="820"/>
      <c r="H2303" s="821"/>
      <c r="J2303" s="634"/>
      <c r="S2303" s="536"/>
      <c r="T2303" s="635"/>
    </row>
    <row r="2304" spans="1:68" s="529" customFormat="1" ht="12.75">
      <c r="A2304" s="286"/>
      <c r="B2304" s="293"/>
      <c r="C2304" s="229"/>
      <c r="D2304" s="230"/>
      <c r="E2304" s="230"/>
      <c r="F2304" s="230"/>
      <c r="G2304" s="230"/>
      <c r="H2304" s="230"/>
      <c r="I2304" s="298"/>
      <c r="J2304" s="521"/>
      <c r="K2304" s="298"/>
      <c r="L2304" s="298"/>
      <c r="M2304" s="298"/>
      <c r="N2304" s="298"/>
      <c r="O2304" s="298"/>
      <c r="P2304" s="298"/>
      <c r="Q2304" s="298"/>
      <c r="R2304" s="298"/>
      <c r="S2304" s="536"/>
      <c r="T2304" s="635"/>
      <c r="U2304" s="298"/>
      <c r="V2304" s="298"/>
      <c r="W2304" s="298"/>
      <c r="X2304" s="298"/>
      <c r="Y2304" s="298"/>
      <c r="Z2304" s="298"/>
      <c r="AA2304" s="298"/>
      <c r="AB2304" s="298"/>
      <c r="AC2304" s="298"/>
      <c r="AD2304" s="298"/>
      <c r="AE2304" s="298"/>
      <c r="AF2304" s="298"/>
      <c r="AG2304" s="298"/>
      <c r="AH2304" s="298"/>
      <c r="AI2304" s="298"/>
      <c r="AJ2304" s="298"/>
      <c r="AK2304" s="298"/>
      <c r="AL2304" s="298"/>
      <c r="AM2304" s="298"/>
      <c r="AN2304" s="298"/>
      <c r="AO2304" s="298"/>
      <c r="AP2304" s="298"/>
      <c r="AQ2304" s="298"/>
      <c r="AR2304" s="298"/>
      <c r="AS2304" s="298"/>
      <c r="AT2304" s="298"/>
      <c r="AU2304" s="298"/>
      <c r="AV2304" s="298"/>
      <c r="AW2304" s="298"/>
      <c r="AX2304" s="298"/>
      <c r="AY2304" s="298"/>
      <c r="AZ2304" s="298"/>
      <c r="BA2304" s="298"/>
      <c r="BB2304" s="298"/>
      <c r="BC2304" s="298"/>
      <c r="BD2304" s="298"/>
      <c r="BE2304" s="298"/>
      <c r="BF2304" s="298"/>
      <c r="BG2304" s="298"/>
      <c r="BH2304" s="298"/>
      <c r="BI2304" s="298"/>
      <c r="BJ2304" s="298"/>
      <c r="BK2304" s="298"/>
      <c r="BL2304" s="298"/>
      <c r="BM2304" s="298"/>
      <c r="BN2304" s="298"/>
      <c r="BO2304" s="298"/>
      <c r="BP2304" s="298"/>
    </row>
    <row r="2305" spans="1:68" s="298" customFormat="1" ht="25.5">
      <c r="A2305" s="286"/>
      <c r="B2305" s="372" t="s">
        <v>14806</v>
      </c>
      <c r="C2305" s="581" t="s">
        <v>14809</v>
      </c>
      <c r="D2305" s="232" t="s">
        <v>103</v>
      </c>
      <c r="E2305" s="232" t="s">
        <v>109</v>
      </c>
      <c r="F2305" s="233"/>
      <c r="G2305" s="234"/>
      <c r="H2305" s="235">
        <v>52.76</v>
      </c>
      <c r="J2305" s="521"/>
      <c r="L2305" s="256"/>
      <c r="M2305" s="256"/>
      <c r="N2305" s="256"/>
      <c r="O2305" s="256"/>
      <c r="S2305" s="536"/>
      <c r="T2305" s="635"/>
    </row>
    <row r="2306" spans="1:68" s="298" customFormat="1" ht="12.75">
      <c r="A2306" s="256" t="s">
        <v>12</v>
      </c>
      <c r="B2306" s="288" t="s">
        <v>14617</v>
      </c>
      <c r="C2306" s="289" t="s">
        <v>14618</v>
      </c>
      <c r="D2306" s="290" t="s">
        <v>207</v>
      </c>
      <c r="E2306" s="290" t="s">
        <v>109</v>
      </c>
      <c r="F2306" s="383">
        <v>1</v>
      </c>
      <c r="G2306" s="292">
        <v>47.39</v>
      </c>
      <c r="H2306" s="255">
        <v>47.39</v>
      </c>
      <c r="J2306" s="521"/>
      <c r="L2306" s="256"/>
      <c r="M2306" s="256"/>
      <c r="N2306" s="256"/>
      <c r="O2306" s="256"/>
      <c r="S2306" s="536"/>
      <c r="T2306" s="635"/>
    </row>
    <row r="2307" spans="1:68" s="298" customFormat="1" ht="25.5">
      <c r="A2307" s="256" t="s">
        <v>3259</v>
      </c>
      <c r="B2307" s="288">
        <v>100308</v>
      </c>
      <c r="C2307" s="289" t="s">
        <v>4542</v>
      </c>
      <c r="D2307" s="290" t="s">
        <v>9714</v>
      </c>
      <c r="E2307" s="290" t="s">
        <v>206</v>
      </c>
      <c r="F2307" s="383">
        <v>0.2</v>
      </c>
      <c r="G2307" s="292" t="s">
        <v>9767</v>
      </c>
      <c r="H2307" s="255">
        <v>5.37</v>
      </c>
      <c r="J2307" s="634"/>
      <c r="S2307" s="536"/>
      <c r="T2307" s="635"/>
    </row>
    <row r="2308" spans="1:68" s="298" customFormat="1">
      <c r="A2308" s="256"/>
      <c r="B2308" s="288" t="s">
        <v>143</v>
      </c>
      <c r="C2308" s="238" t="s">
        <v>14807</v>
      </c>
      <c r="D2308" s="386"/>
      <c r="E2308" s="386"/>
      <c r="F2308" s="386"/>
      <c r="G2308" s="386"/>
      <c r="H2308" s="387"/>
      <c r="J2308" s="521"/>
      <c r="L2308" s="648"/>
      <c r="M2308" s="648"/>
      <c r="S2308" s="536"/>
      <c r="T2308" s="635"/>
    </row>
    <row r="2309" spans="1:68" s="529" customFormat="1" ht="12.75">
      <c r="A2309" s="286"/>
      <c r="B2309" s="293"/>
      <c r="C2309" s="229"/>
      <c r="D2309" s="230"/>
      <c r="E2309" s="230"/>
      <c r="F2309" s="230"/>
      <c r="G2309" s="230"/>
      <c r="H2309" s="230"/>
      <c r="I2309" s="298"/>
      <c r="J2309" s="521"/>
      <c r="K2309" s="298"/>
      <c r="L2309" s="298"/>
      <c r="M2309" s="298"/>
      <c r="N2309" s="298"/>
      <c r="O2309" s="298"/>
      <c r="P2309" s="298"/>
      <c r="Q2309" s="298"/>
      <c r="R2309" s="298"/>
      <c r="S2309" s="536"/>
      <c r="T2309" s="635"/>
      <c r="U2309" s="298"/>
      <c r="V2309" s="298"/>
      <c r="W2309" s="298"/>
      <c r="X2309" s="298"/>
      <c r="Y2309" s="298"/>
      <c r="Z2309" s="298"/>
      <c r="AA2309" s="298"/>
      <c r="AB2309" s="298"/>
      <c r="AC2309" s="298"/>
      <c r="AD2309" s="298"/>
      <c r="AE2309" s="298"/>
      <c r="AF2309" s="298"/>
      <c r="AG2309" s="298"/>
      <c r="AH2309" s="298"/>
      <c r="AI2309" s="298"/>
      <c r="AJ2309" s="298"/>
      <c r="AK2309" s="298"/>
      <c r="AL2309" s="298"/>
      <c r="AM2309" s="298"/>
      <c r="AN2309" s="298"/>
      <c r="AO2309" s="298"/>
      <c r="AP2309" s="298"/>
      <c r="AQ2309" s="298"/>
      <c r="AR2309" s="298"/>
      <c r="AS2309" s="298"/>
      <c r="AT2309" s="298"/>
      <c r="AU2309" s="298"/>
      <c r="AV2309" s="298"/>
      <c r="AW2309" s="298"/>
      <c r="AX2309" s="298"/>
      <c r="AY2309" s="298"/>
      <c r="AZ2309" s="298"/>
      <c r="BA2309" s="298"/>
      <c r="BB2309" s="298"/>
      <c r="BC2309" s="298"/>
      <c r="BD2309" s="298"/>
      <c r="BE2309" s="298"/>
      <c r="BF2309" s="298"/>
      <c r="BG2309" s="298"/>
      <c r="BH2309" s="298"/>
      <c r="BI2309" s="298"/>
      <c r="BJ2309" s="298"/>
      <c r="BK2309" s="298"/>
      <c r="BL2309" s="298"/>
      <c r="BM2309" s="298"/>
      <c r="BN2309" s="298"/>
      <c r="BO2309" s="298"/>
      <c r="BP2309" s="298"/>
    </row>
    <row r="2310" spans="1:68" s="298" customFormat="1" ht="25.5">
      <c r="A2310" s="286"/>
      <c r="B2310" s="372" t="s">
        <v>14808</v>
      </c>
      <c r="C2310" s="581" t="s">
        <v>18350</v>
      </c>
      <c r="D2310" s="232" t="s">
        <v>103</v>
      </c>
      <c r="E2310" s="232" t="s">
        <v>109</v>
      </c>
      <c r="F2310" s="233"/>
      <c r="G2310" s="234"/>
      <c r="H2310" s="235">
        <v>49.11</v>
      </c>
      <c r="J2310" s="521"/>
      <c r="L2310" s="256"/>
      <c r="M2310" s="256"/>
      <c r="N2310" s="256"/>
      <c r="O2310" s="256"/>
      <c r="S2310" s="536"/>
      <c r="T2310" s="635"/>
    </row>
    <row r="2311" spans="1:68" s="298" customFormat="1" ht="25.5">
      <c r="A2311" s="256" t="s">
        <v>12</v>
      </c>
      <c r="B2311" s="288" t="s">
        <v>18303</v>
      </c>
      <c r="C2311" s="289" t="s">
        <v>18305</v>
      </c>
      <c r="D2311" s="290" t="s">
        <v>207</v>
      </c>
      <c r="E2311" s="290" t="s">
        <v>109</v>
      </c>
      <c r="F2311" s="383">
        <v>1</v>
      </c>
      <c r="G2311" s="292">
        <v>43.74</v>
      </c>
      <c r="H2311" s="255">
        <v>43.74</v>
      </c>
      <c r="J2311" s="521"/>
      <c r="L2311" s="256"/>
      <c r="M2311" s="256"/>
      <c r="N2311" s="256"/>
      <c r="O2311" s="256"/>
      <c r="S2311" s="536"/>
      <c r="T2311" s="635"/>
    </row>
    <row r="2312" spans="1:68" s="298" customFormat="1" ht="25.5">
      <c r="A2312" s="256" t="s">
        <v>3259</v>
      </c>
      <c r="B2312" s="288">
        <v>100308</v>
      </c>
      <c r="C2312" s="289" t="s">
        <v>4542</v>
      </c>
      <c r="D2312" s="290" t="s">
        <v>9714</v>
      </c>
      <c r="E2312" s="290" t="s">
        <v>206</v>
      </c>
      <c r="F2312" s="383">
        <v>0.2</v>
      </c>
      <c r="G2312" s="292" t="s">
        <v>9767</v>
      </c>
      <c r="H2312" s="255">
        <v>5.37</v>
      </c>
      <c r="J2312" s="634"/>
      <c r="S2312" s="536"/>
      <c r="T2312" s="635"/>
    </row>
    <row r="2313" spans="1:68" s="298" customFormat="1">
      <c r="A2313" s="256"/>
      <c r="B2313" s="288" t="s">
        <v>143</v>
      </c>
      <c r="C2313" s="238" t="s">
        <v>18351</v>
      </c>
      <c r="D2313" s="386"/>
      <c r="E2313" s="386"/>
      <c r="F2313" s="386"/>
      <c r="G2313" s="386"/>
      <c r="H2313" s="387"/>
      <c r="J2313" s="521"/>
      <c r="L2313" s="648"/>
      <c r="M2313" s="648"/>
      <c r="S2313" s="536"/>
      <c r="T2313" s="635"/>
    </row>
    <row r="2314" spans="1:68" s="298" customFormat="1" ht="12.75">
      <c r="A2314" s="286"/>
      <c r="B2314" s="373"/>
      <c r="C2314" s="379"/>
      <c r="D2314" s="382"/>
      <c r="E2314" s="382"/>
      <c r="F2314" s="382"/>
      <c r="G2314" s="382"/>
      <c r="H2314" s="382"/>
      <c r="J2314" s="634"/>
      <c r="S2314" s="536"/>
      <c r="T2314" s="635"/>
    </row>
    <row r="2315" spans="1:68" s="298" customFormat="1" ht="25.5">
      <c r="A2315" s="286"/>
      <c r="B2315" s="372" t="s">
        <v>14838</v>
      </c>
      <c r="C2315" s="231" t="s">
        <v>16784</v>
      </c>
      <c r="D2315" s="232" t="s">
        <v>103</v>
      </c>
      <c r="E2315" s="232" t="s">
        <v>5</v>
      </c>
      <c r="F2315" s="233"/>
      <c r="G2315" s="234"/>
      <c r="H2315" s="235">
        <v>12.32</v>
      </c>
      <c r="J2315" s="634"/>
      <c r="S2315" s="536"/>
      <c r="T2315" s="635"/>
    </row>
    <row r="2316" spans="1:68" s="298" customFormat="1" ht="12.75">
      <c r="A2316" s="256" t="s">
        <v>12</v>
      </c>
      <c r="B2316" s="288" t="s">
        <v>16775</v>
      </c>
      <c r="C2316" s="289" t="s">
        <v>16781</v>
      </c>
      <c r="D2316" s="290" t="s">
        <v>207</v>
      </c>
      <c r="E2316" s="290" t="s">
        <v>5</v>
      </c>
      <c r="F2316" s="383">
        <v>1.02</v>
      </c>
      <c r="G2316" s="292">
        <v>7.1820000000000004</v>
      </c>
      <c r="H2316" s="255">
        <v>7.32</v>
      </c>
      <c r="J2316" s="634"/>
      <c r="S2316" s="536"/>
      <c r="T2316" s="635"/>
    </row>
    <row r="2317" spans="1:68" s="298" customFormat="1" ht="25.5">
      <c r="A2317" s="256" t="s">
        <v>3259</v>
      </c>
      <c r="B2317" s="374">
        <v>88316</v>
      </c>
      <c r="C2317" s="289" t="s">
        <v>104</v>
      </c>
      <c r="D2317" s="290" t="s">
        <v>9714</v>
      </c>
      <c r="E2317" s="290" t="s">
        <v>206</v>
      </c>
      <c r="F2317" s="383">
        <v>0.12</v>
      </c>
      <c r="G2317" s="292" t="s">
        <v>10172</v>
      </c>
      <c r="H2317" s="255">
        <v>2.11</v>
      </c>
      <c r="J2317" s="634"/>
      <c r="S2317" s="536"/>
      <c r="T2317" s="635"/>
    </row>
    <row r="2318" spans="1:68" s="298" customFormat="1" ht="25.5">
      <c r="A2318" s="256" t="s">
        <v>3259</v>
      </c>
      <c r="B2318" s="374">
        <v>88264</v>
      </c>
      <c r="C2318" s="289" t="s">
        <v>146</v>
      </c>
      <c r="D2318" s="290" t="s">
        <v>9714</v>
      </c>
      <c r="E2318" s="290" t="s">
        <v>206</v>
      </c>
      <c r="F2318" s="383">
        <v>0.12</v>
      </c>
      <c r="G2318" s="292" t="s">
        <v>16504</v>
      </c>
      <c r="H2318" s="255">
        <v>2.89</v>
      </c>
      <c r="J2318" s="634"/>
      <c r="S2318" s="536"/>
      <c r="T2318" s="635"/>
    </row>
    <row r="2319" spans="1:68" s="298" customFormat="1" ht="12.75">
      <c r="A2319" s="286"/>
      <c r="B2319" s="375" t="s">
        <v>143</v>
      </c>
      <c r="C2319" s="816" t="s">
        <v>16783</v>
      </c>
      <c r="D2319" s="817"/>
      <c r="E2319" s="817"/>
      <c r="F2319" s="817"/>
      <c r="G2319" s="817"/>
      <c r="H2319" s="818"/>
      <c r="J2319" s="634"/>
      <c r="S2319" s="536"/>
      <c r="T2319" s="635"/>
    </row>
    <row r="2320" spans="1:68" s="298" customFormat="1" ht="12.75">
      <c r="A2320" s="286"/>
      <c r="B2320" s="373"/>
      <c r="C2320" s="379"/>
      <c r="D2320" s="382"/>
      <c r="E2320" s="382"/>
      <c r="F2320" s="382"/>
      <c r="G2320" s="382"/>
      <c r="H2320" s="382"/>
      <c r="J2320" s="634"/>
      <c r="S2320" s="536"/>
      <c r="T2320" s="635"/>
    </row>
    <row r="2321" spans="1:68" s="298" customFormat="1" ht="25.5">
      <c r="A2321" s="286"/>
      <c r="B2321" s="372" t="s">
        <v>14839</v>
      </c>
      <c r="C2321" s="231" t="s">
        <v>16785</v>
      </c>
      <c r="D2321" s="232" t="s">
        <v>103</v>
      </c>
      <c r="E2321" s="232" t="s">
        <v>5</v>
      </c>
      <c r="F2321" s="233"/>
      <c r="G2321" s="234"/>
      <c r="H2321" s="235">
        <v>14.4</v>
      </c>
      <c r="J2321" s="634"/>
      <c r="S2321" s="536"/>
      <c r="T2321" s="635"/>
    </row>
    <row r="2322" spans="1:68" s="298" customFormat="1" ht="12.75">
      <c r="A2322" s="256" t="s">
        <v>12</v>
      </c>
      <c r="B2322" s="288" t="s">
        <v>16776</v>
      </c>
      <c r="C2322" s="289" t="s">
        <v>16782</v>
      </c>
      <c r="D2322" s="290" t="s">
        <v>207</v>
      </c>
      <c r="E2322" s="290" t="s">
        <v>5</v>
      </c>
      <c r="F2322" s="383">
        <v>1.02</v>
      </c>
      <c r="G2322" s="292">
        <v>9.2170000000000005</v>
      </c>
      <c r="H2322" s="255">
        <v>9.4</v>
      </c>
      <c r="J2322" s="634"/>
      <c r="S2322" s="536"/>
      <c r="T2322" s="635"/>
    </row>
    <row r="2323" spans="1:68" s="298" customFormat="1" ht="25.5">
      <c r="A2323" s="256" t="s">
        <v>3259</v>
      </c>
      <c r="B2323" s="374">
        <v>88316</v>
      </c>
      <c r="C2323" s="289" t="s">
        <v>104</v>
      </c>
      <c r="D2323" s="290" t="s">
        <v>9714</v>
      </c>
      <c r="E2323" s="290" t="s">
        <v>206</v>
      </c>
      <c r="F2323" s="383">
        <v>0.12</v>
      </c>
      <c r="G2323" s="292" t="s">
        <v>10172</v>
      </c>
      <c r="H2323" s="255">
        <v>2.11</v>
      </c>
      <c r="J2323" s="634"/>
      <c r="S2323" s="536"/>
      <c r="T2323" s="635"/>
    </row>
    <row r="2324" spans="1:68" s="298" customFormat="1" ht="25.5">
      <c r="A2324" s="256" t="s">
        <v>3259</v>
      </c>
      <c r="B2324" s="374">
        <v>88264</v>
      </c>
      <c r="C2324" s="289" t="s">
        <v>146</v>
      </c>
      <c r="D2324" s="290" t="s">
        <v>9714</v>
      </c>
      <c r="E2324" s="290" t="s">
        <v>206</v>
      </c>
      <c r="F2324" s="383">
        <v>0.12</v>
      </c>
      <c r="G2324" s="292" t="s">
        <v>16504</v>
      </c>
      <c r="H2324" s="255">
        <v>2.89</v>
      </c>
      <c r="J2324" s="634"/>
      <c r="S2324" s="536"/>
      <c r="T2324" s="635"/>
    </row>
    <row r="2325" spans="1:68" s="298" customFormat="1" ht="12.75">
      <c r="A2325" s="286"/>
      <c r="B2325" s="375" t="s">
        <v>143</v>
      </c>
      <c r="C2325" s="816" t="s">
        <v>16783</v>
      </c>
      <c r="D2325" s="817"/>
      <c r="E2325" s="817"/>
      <c r="F2325" s="817"/>
      <c r="G2325" s="817"/>
      <c r="H2325" s="818"/>
      <c r="J2325" s="634"/>
      <c r="S2325" s="536"/>
      <c r="T2325" s="635"/>
    </row>
    <row r="2326" spans="1:68" s="298" customFormat="1" ht="12.75">
      <c r="A2326" s="286"/>
      <c r="B2326" s="373"/>
      <c r="C2326" s="379"/>
      <c r="D2326" s="382"/>
      <c r="E2326" s="382"/>
      <c r="F2326" s="382"/>
      <c r="G2326" s="382"/>
      <c r="H2326" s="382"/>
      <c r="J2326" s="634"/>
      <c r="S2326" s="536"/>
      <c r="T2326" s="635"/>
    </row>
    <row r="2327" spans="1:68" s="298" customFormat="1" ht="63.75">
      <c r="A2327" s="286"/>
      <c r="B2327" s="372" t="s">
        <v>16789</v>
      </c>
      <c r="C2327" s="231" t="s">
        <v>16818</v>
      </c>
      <c r="D2327" s="232" t="s">
        <v>103</v>
      </c>
      <c r="E2327" s="232" t="s">
        <v>5</v>
      </c>
      <c r="F2327" s="233"/>
      <c r="G2327" s="234"/>
      <c r="H2327" s="235">
        <v>37.25</v>
      </c>
      <c r="J2327" s="634"/>
      <c r="S2327" s="536"/>
      <c r="T2327" s="635"/>
    </row>
    <row r="2328" spans="1:68" s="298" customFormat="1" ht="38.25">
      <c r="A2328" s="256" t="s">
        <v>3261</v>
      </c>
      <c r="B2328" s="374">
        <v>39664</v>
      </c>
      <c r="C2328" s="289" t="s">
        <v>8673</v>
      </c>
      <c r="D2328" s="290" t="s">
        <v>207</v>
      </c>
      <c r="E2328" s="290" t="s">
        <v>3243</v>
      </c>
      <c r="F2328" s="383">
        <v>1.0210999999999999</v>
      </c>
      <c r="G2328" s="292" t="s">
        <v>16477</v>
      </c>
      <c r="H2328" s="255">
        <v>29.62</v>
      </c>
      <c r="J2328" s="634"/>
      <c r="S2328" s="536"/>
      <c r="T2328" s="635"/>
    </row>
    <row r="2329" spans="1:68" s="298" customFormat="1" ht="25.5">
      <c r="A2329" s="256" t="s">
        <v>12</v>
      </c>
      <c r="B2329" s="288" t="s">
        <v>16796</v>
      </c>
      <c r="C2329" s="289" t="s">
        <v>16805</v>
      </c>
      <c r="D2329" s="290" t="s">
        <v>207</v>
      </c>
      <c r="E2329" s="290" t="s">
        <v>5</v>
      </c>
      <c r="F2329" s="383">
        <v>1.0210999999999999</v>
      </c>
      <c r="G2329" s="292">
        <v>5.165</v>
      </c>
      <c r="H2329" s="255">
        <v>5.27</v>
      </c>
      <c r="J2329" s="634"/>
      <c r="S2329" s="536"/>
      <c r="T2329" s="635"/>
    </row>
    <row r="2330" spans="1:68" s="298" customFormat="1" ht="38.25">
      <c r="A2330" s="256" t="s">
        <v>3259</v>
      </c>
      <c r="B2330" s="374">
        <v>88248</v>
      </c>
      <c r="C2330" s="289" t="s">
        <v>106</v>
      </c>
      <c r="D2330" s="290" t="s">
        <v>9714</v>
      </c>
      <c r="E2330" s="290" t="s">
        <v>206</v>
      </c>
      <c r="F2330" s="383">
        <v>5.7000000000000002E-2</v>
      </c>
      <c r="G2330" s="292" t="s">
        <v>10175</v>
      </c>
      <c r="H2330" s="255">
        <v>1.03</v>
      </c>
      <c r="J2330" s="634"/>
      <c r="S2330" s="536"/>
      <c r="T2330" s="635"/>
    </row>
    <row r="2331" spans="1:68" s="298" customFormat="1" ht="25.5">
      <c r="A2331" s="256" t="s">
        <v>3259</v>
      </c>
      <c r="B2331" s="374">
        <v>88267</v>
      </c>
      <c r="C2331" s="289" t="s">
        <v>107</v>
      </c>
      <c r="D2331" s="290" t="s">
        <v>9714</v>
      </c>
      <c r="E2331" s="290" t="s">
        <v>206</v>
      </c>
      <c r="F2331" s="383">
        <v>5.7000000000000002E-2</v>
      </c>
      <c r="G2331" s="292" t="s">
        <v>10792</v>
      </c>
      <c r="H2331" s="255">
        <v>1.33</v>
      </c>
      <c r="J2331" s="634"/>
      <c r="S2331" s="536"/>
      <c r="T2331" s="635"/>
    </row>
    <row r="2332" spans="1:68" s="298" customFormat="1" ht="12.75">
      <c r="A2332" s="286"/>
      <c r="B2332" s="375" t="s">
        <v>143</v>
      </c>
      <c r="C2332" s="816" t="s">
        <v>16793</v>
      </c>
      <c r="D2332" s="817"/>
      <c r="E2332" s="817"/>
      <c r="F2332" s="817"/>
      <c r="G2332" s="817"/>
      <c r="H2332" s="818"/>
      <c r="J2332" s="634"/>
      <c r="S2332" s="536"/>
      <c r="T2332" s="635"/>
    </row>
    <row r="2333" spans="1:68" s="529" customFormat="1" ht="12.75">
      <c r="A2333" s="286"/>
      <c r="B2333" s="293"/>
      <c r="C2333" s="229"/>
      <c r="D2333" s="230"/>
      <c r="E2333" s="230"/>
      <c r="F2333" s="230"/>
      <c r="G2333" s="230"/>
      <c r="H2333" s="230"/>
      <c r="I2333" s="298"/>
      <c r="J2333" s="521"/>
      <c r="K2333" s="298"/>
      <c r="L2333" s="298"/>
      <c r="M2333" s="298"/>
      <c r="N2333" s="298"/>
      <c r="O2333" s="298"/>
      <c r="P2333" s="298"/>
      <c r="Q2333" s="298"/>
      <c r="R2333" s="298"/>
      <c r="S2333" s="536"/>
      <c r="T2333" s="635"/>
      <c r="U2333" s="298"/>
      <c r="V2333" s="298"/>
      <c r="W2333" s="298"/>
      <c r="X2333" s="298"/>
      <c r="Y2333" s="298"/>
      <c r="Z2333" s="298"/>
      <c r="AA2333" s="298"/>
      <c r="AB2333" s="298"/>
      <c r="AC2333" s="298"/>
      <c r="AD2333" s="298"/>
      <c r="AE2333" s="298"/>
      <c r="AF2333" s="298"/>
      <c r="AG2333" s="298"/>
      <c r="AH2333" s="298"/>
      <c r="AI2333" s="298"/>
      <c r="AJ2333" s="298"/>
      <c r="AK2333" s="298"/>
      <c r="AL2333" s="298"/>
      <c r="AM2333" s="298"/>
      <c r="AN2333" s="298"/>
      <c r="AO2333" s="298"/>
      <c r="AP2333" s="298"/>
      <c r="AQ2333" s="298"/>
      <c r="AR2333" s="298"/>
      <c r="AS2333" s="298"/>
      <c r="AT2333" s="298"/>
      <c r="AU2333" s="298"/>
      <c r="AV2333" s="298"/>
      <c r="AW2333" s="298"/>
      <c r="AX2333" s="298"/>
      <c r="AY2333" s="298"/>
      <c r="AZ2333" s="298"/>
      <c r="BA2333" s="298"/>
      <c r="BB2333" s="298"/>
      <c r="BC2333" s="298"/>
      <c r="BD2333" s="298"/>
      <c r="BE2333" s="298"/>
      <c r="BF2333" s="298"/>
      <c r="BG2333" s="298"/>
      <c r="BH2333" s="298"/>
      <c r="BI2333" s="298"/>
      <c r="BJ2333" s="298"/>
      <c r="BK2333" s="298"/>
      <c r="BL2333" s="298"/>
      <c r="BM2333" s="298"/>
      <c r="BN2333" s="298"/>
      <c r="BO2333" s="298"/>
      <c r="BP2333" s="298"/>
    </row>
    <row r="2334" spans="1:68" s="298" customFormat="1" ht="25.5">
      <c r="A2334" s="286"/>
      <c r="B2334" s="372" t="s">
        <v>14842</v>
      </c>
      <c r="C2334" s="581" t="s">
        <v>18334</v>
      </c>
      <c r="D2334" s="232" t="s">
        <v>103</v>
      </c>
      <c r="E2334" s="232" t="s">
        <v>109</v>
      </c>
      <c r="F2334" s="233"/>
      <c r="G2334" s="234"/>
      <c r="H2334" s="235">
        <v>201.33</v>
      </c>
      <c r="J2334" s="521"/>
      <c r="L2334" s="256"/>
      <c r="M2334" s="256"/>
      <c r="N2334" s="256"/>
      <c r="O2334" s="256"/>
      <c r="S2334" s="536"/>
      <c r="T2334" s="635"/>
    </row>
    <row r="2335" spans="1:68" s="298" customFormat="1" ht="12.75">
      <c r="A2335" s="256" t="s">
        <v>12</v>
      </c>
      <c r="B2335" s="288" t="s">
        <v>14620</v>
      </c>
      <c r="C2335" s="289" t="s">
        <v>18298</v>
      </c>
      <c r="D2335" s="290" t="s">
        <v>207</v>
      </c>
      <c r="E2335" s="290" t="s">
        <v>109</v>
      </c>
      <c r="F2335" s="383">
        <v>1</v>
      </c>
      <c r="G2335" s="292">
        <v>158.49</v>
      </c>
      <c r="H2335" s="255">
        <v>158.49</v>
      </c>
      <c r="J2335" s="521"/>
      <c r="L2335" s="256"/>
      <c r="M2335" s="256"/>
      <c r="N2335" s="256"/>
      <c r="O2335" s="256"/>
      <c r="S2335" s="536"/>
      <c r="T2335" s="635"/>
    </row>
    <row r="2336" spans="1:68" s="298" customFormat="1" ht="25.5">
      <c r="A2336" s="256" t="s">
        <v>3259</v>
      </c>
      <c r="B2336" s="288">
        <v>88264</v>
      </c>
      <c r="C2336" s="289" t="s">
        <v>146</v>
      </c>
      <c r="D2336" s="290" t="s">
        <v>9714</v>
      </c>
      <c r="E2336" s="290" t="s">
        <v>206</v>
      </c>
      <c r="F2336" s="383">
        <v>1</v>
      </c>
      <c r="G2336" s="292" t="s">
        <v>16504</v>
      </c>
      <c r="H2336" s="255">
        <v>24.1</v>
      </c>
      <c r="J2336" s="634"/>
      <c r="S2336" s="536"/>
      <c r="T2336" s="635"/>
    </row>
    <row r="2337" spans="1:68" s="298" customFormat="1" ht="25.5">
      <c r="A2337" s="256" t="s">
        <v>3259</v>
      </c>
      <c r="B2337" s="374">
        <v>88247</v>
      </c>
      <c r="C2337" s="289" t="s">
        <v>145</v>
      </c>
      <c r="D2337" s="290" t="s">
        <v>9714</v>
      </c>
      <c r="E2337" s="290" t="s">
        <v>206</v>
      </c>
      <c r="F2337" s="383">
        <v>1</v>
      </c>
      <c r="G2337" s="292" t="s">
        <v>12206</v>
      </c>
      <c r="H2337" s="255">
        <v>18.739999999999998</v>
      </c>
      <c r="J2337" s="634"/>
      <c r="S2337" s="536"/>
      <c r="T2337" s="635"/>
    </row>
    <row r="2338" spans="1:68" s="298" customFormat="1">
      <c r="A2338" s="256"/>
      <c r="B2338" s="288" t="s">
        <v>143</v>
      </c>
      <c r="C2338" s="238" t="s">
        <v>14787</v>
      </c>
      <c r="D2338" s="386"/>
      <c r="E2338" s="386"/>
      <c r="F2338" s="386"/>
      <c r="G2338" s="386"/>
      <c r="H2338" s="387"/>
      <c r="J2338" s="521"/>
      <c r="L2338" s="648"/>
      <c r="M2338" s="648"/>
      <c r="S2338" s="536"/>
      <c r="T2338" s="635"/>
    </row>
    <row r="2339" spans="1:68" s="529" customFormat="1" ht="12.75">
      <c r="A2339" s="286"/>
      <c r="B2339" s="293"/>
      <c r="C2339" s="229"/>
      <c r="D2339" s="230"/>
      <c r="E2339" s="230"/>
      <c r="F2339" s="230"/>
      <c r="G2339" s="230"/>
      <c r="H2339" s="230"/>
      <c r="I2339" s="298"/>
      <c r="J2339" s="521"/>
      <c r="K2339" s="298"/>
      <c r="L2339" s="298"/>
      <c r="M2339" s="298"/>
      <c r="N2339" s="298"/>
      <c r="O2339" s="298"/>
      <c r="P2339" s="298"/>
      <c r="Q2339" s="298"/>
      <c r="R2339" s="298"/>
      <c r="S2339" s="536"/>
      <c r="T2339" s="635"/>
      <c r="U2339" s="298"/>
      <c r="V2339" s="298"/>
      <c r="W2339" s="298"/>
      <c r="X2339" s="298"/>
      <c r="Y2339" s="298"/>
      <c r="Z2339" s="298"/>
      <c r="AA2339" s="298"/>
      <c r="AB2339" s="298"/>
      <c r="AC2339" s="298"/>
      <c r="AD2339" s="298"/>
      <c r="AE2339" s="298"/>
      <c r="AF2339" s="298"/>
      <c r="AG2339" s="298"/>
      <c r="AH2339" s="298"/>
      <c r="AI2339" s="298"/>
      <c r="AJ2339" s="298"/>
      <c r="AK2339" s="298"/>
      <c r="AL2339" s="298"/>
      <c r="AM2339" s="298"/>
      <c r="AN2339" s="298"/>
      <c r="AO2339" s="298"/>
      <c r="AP2339" s="298"/>
      <c r="AQ2339" s="298"/>
      <c r="AR2339" s="298"/>
      <c r="AS2339" s="298"/>
      <c r="AT2339" s="298"/>
      <c r="AU2339" s="298"/>
      <c r="AV2339" s="298"/>
      <c r="AW2339" s="298"/>
      <c r="AX2339" s="298"/>
      <c r="AY2339" s="298"/>
      <c r="AZ2339" s="298"/>
      <c r="BA2339" s="298"/>
      <c r="BB2339" s="298"/>
      <c r="BC2339" s="298"/>
      <c r="BD2339" s="298"/>
      <c r="BE2339" s="298"/>
      <c r="BF2339" s="298"/>
      <c r="BG2339" s="298"/>
      <c r="BH2339" s="298"/>
      <c r="BI2339" s="298"/>
      <c r="BJ2339" s="298"/>
      <c r="BK2339" s="298"/>
      <c r="BL2339" s="298"/>
      <c r="BM2339" s="298"/>
      <c r="BN2339" s="298"/>
      <c r="BO2339" s="298"/>
      <c r="BP2339" s="298"/>
    </row>
    <row r="2340" spans="1:68" s="298" customFormat="1" ht="25.5">
      <c r="A2340" s="286"/>
      <c r="B2340" s="372" t="s">
        <v>14849</v>
      </c>
      <c r="C2340" s="581" t="s">
        <v>18337</v>
      </c>
      <c r="D2340" s="232" t="s">
        <v>103</v>
      </c>
      <c r="E2340" s="232" t="s">
        <v>109</v>
      </c>
      <c r="F2340" s="233"/>
      <c r="G2340" s="234"/>
      <c r="H2340" s="235">
        <v>134.85000000000002</v>
      </c>
      <c r="J2340" s="521"/>
      <c r="L2340" s="256"/>
      <c r="M2340" s="256"/>
      <c r="N2340" s="256"/>
      <c r="O2340" s="256"/>
      <c r="S2340" s="536"/>
      <c r="T2340" s="635"/>
    </row>
    <row r="2341" spans="1:68" s="298" customFormat="1" ht="12.75">
      <c r="A2341" s="256" t="s">
        <v>12</v>
      </c>
      <c r="B2341" s="288" t="s">
        <v>18300</v>
      </c>
      <c r="C2341" s="289" t="s">
        <v>18302</v>
      </c>
      <c r="D2341" s="290" t="s">
        <v>207</v>
      </c>
      <c r="E2341" s="290" t="s">
        <v>109</v>
      </c>
      <c r="F2341" s="383">
        <v>1</v>
      </c>
      <c r="G2341" s="292">
        <v>92.01</v>
      </c>
      <c r="H2341" s="255">
        <v>92.01</v>
      </c>
      <c r="J2341" s="521"/>
      <c r="L2341" s="256"/>
      <c r="M2341" s="256"/>
      <c r="N2341" s="256"/>
      <c r="O2341" s="256"/>
      <c r="S2341" s="536"/>
      <c r="T2341" s="635"/>
    </row>
    <row r="2342" spans="1:68" s="298" customFormat="1" ht="25.5">
      <c r="A2342" s="256" t="s">
        <v>3259</v>
      </c>
      <c r="B2342" s="288">
        <v>88264</v>
      </c>
      <c r="C2342" s="289" t="s">
        <v>146</v>
      </c>
      <c r="D2342" s="290" t="s">
        <v>9714</v>
      </c>
      <c r="E2342" s="290" t="s">
        <v>206</v>
      </c>
      <c r="F2342" s="383">
        <v>1</v>
      </c>
      <c r="G2342" s="292" t="s">
        <v>16504</v>
      </c>
      <c r="H2342" s="255">
        <v>24.1</v>
      </c>
      <c r="J2342" s="634"/>
      <c r="S2342" s="536"/>
      <c r="T2342" s="635"/>
    </row>
    <row r="2343" spans="1:68" s="298" customFormat="1" ht="25.5">
      <c r="A2343" s="256" t="s">
        <v>3259</v>
      </c>
      <c r="B2343" s="374">
        <v>88247</v>
      </c>
      <c r="C2343" s="289" t="s">
        <v>145</v>
      </c>
      <c r="D2343" s="290" t="s">
        <v>9714</v>
      </c>
      <c r="E2343" s="290" t="s">
        <v>206</v>
      </c>
      <c r="F2343" s="383">
        <v>1</v>
      </c>
      <c r="G2343" s="292" t="s">
        <v>12206</v>
      </c>
      <c r="H2343" s="255">
        <v>18.739999999999998</v>
      </c>
      <c r="J2343" s="634"/>
      <c r="S2343" s="536"/>
      <c r="T2343" s="635"/>
    </row>
    <row r="2344" spans="1:68" s="298" customFormat="1">
      <c r="A2344" s="256"/>
      <c r="B2344" s="288" t="s">
        <v>143</v>
      </c>
      <c r="C2344" s="238" t="s">
        <v>14787</v>
      </c>
      <c r="D2344" s="386"/>
      <c r="E2344" s="386"/>
      <c r="F2344" s="386"/>
      <c r="G2344" s="386"/>
      <c r="H2344" s="387"/>
      <c r="J2344" s="521"/>
      <c r="L2344" s="648"/>
      <c r="M2344" s="648"/>
      <c r="S2344" s="536"/>
      <c r="T2344" s="635"/>
    </row>
    <row r="2345" spans="1:68" s="298" customFormat="1" ht="12.75">
      <c r="A2345" s="286"/>
      <c r="B2345" s="373"/>
      <c r="C2345" s="379"/>
      <c r="D2345" s="382"/>
      <c r="E2345" s="382"/>
      <c r="F2345" s="382"/>
      <c r="G2345" s="382"/>
      <c r="H2345" s="382"/>
      <c r="J2345" s="634"/>
      <c r="S2345" s="536"/>
      <c r="T2345" s="635"/>
    </row>
    <row r="2346" spans="1:68" s="298" customFormat="1" ht="63.75">
      <c r="A2346" s="286"/>
      <c r="B2346" s="372" t="s">
        <v>14850</v>
      </c>
      <c r="C2346" s="231" t="s">
        <v>16817</v>
      </c>
      <c r="D2346" s="232" t="s">
        <v>103</v>
      </c>
      <c r="E2346" s="232" t="s">
        <v>5</v>
      </c>
      <c r="F2346" s="233"/>
      <c r="G2346" s="234"/>
      <c r="H2346" s="235">
        <v>24.890000000000004</v>
      </c>
      <c r="J2346" s="634"/>
      <c r="S2346" s="536"/>
      <c r="T2346" s="635"/>
    </row>
    <row r="2347" spans="1:68" s="298" customFormat="1" ht="38.25">
      <c r="A2347" s="256" t="s">
        <v>3261</v>
      </c>
      <c r="B2347" s="374">
        <v>39662</v>
      </c>
      <c r="C2347" s="289" t="s">
        <v>8670</v>
      </c>
      <c r="D2347" s="290" t="s">
        <v>207</v>
      </c>
      <c r="E2347" s="290" t="s">
        <v>3243</v>
      </c>
      <c r="F2347" s="383">
        <v>1.0210999999999999</v>
      </c>
      <c r="G2347" s="292" t="s">
        <v>14132</v>
      </c>
      <c r="H2347" s="255">
        <v>19.25</v>
      </c>
      <c r="J2347" s="634"/>
      <c r="S2347" s="536"/>
      <c r="T2347" s="635"/>
    </row>
    <row r="2348" spans="1:68" s="298" customFormat="1" ht="25.5">
      <c r="A2348" s="256" t="s">
        <v>12</v>
      </c>
      <c r="B2348" s="288" t="s">
        <v>16792</v>
      </c>
      <c r="C2348" s="289" t="s">
        <v>16797</v>
      </c>
      <c r="D2348" s="290" t="s">
        <v>207</v>
      </c>
      <c r="E2348" s="290" t="s">
        <v>5</v>
      </c>
      <c r="F2348" s="383">
        <v>1.0210999999999999</v>
      </c>
      <c r="G2348" s="292">
        <v>3.42</v>
      </c>
      <c r="H2348" s="255">
        <v>3.49</v>
      </c>
      <c r="J2348" s="634"/>
      <c r="S2348" s="536"/>
      <c r="T2348" s="635"/>
    </row>
    <row r="2349" spans="1:68" s="298" customFormat="1" ht="38.25">
      <c r="A2349" s="256" t="s">
        <v>3259</v>
      </c>
      <c r="B2349" s="374">
        <v>88248</v>
      </c>
      <c r="C2349" s="289" t="s">
        <v>106</v>
      </c>
      <c r="D2349" s="290" t="s">
        <v>9714</v>
      </c>
      <c r="E2349" s="290" t="s">
        <v>206</v>
      </c>
      <c r="F2349" s="383">
        <v>5.1999999999999998E-2</v>
      </c>
      <c r="G2349" s="292" t="s">
        <v>10175</v>
      </c>
      <c r="H2349" s="255">
        <v>0.94</v>
      </c>
      <c r="J2349" s="634"/>
      <c r="S2349" s="536"/>
      <c r="T2349" s="635"/>
    </row>
    <row r="2350" spans="1:68" s="298" customFormat="1" ht="25.5">
      <c r="A2350" s="256" t="s">
        <v>3259</v>
      </c>
      <c r="B2350" s="374">
        <v>88267</v>
      </c>
      <c r="C2350" s="289" t="s">
        <v>107</v>
      </c>
      <c r="D2350" s="290" t="s">
        <v>9714</v>
      </c>
      <c r="E2350" s="290" t="s">
        <v>206</v>
      </c>
      <c r="F2350" s="383">
        <v>5.1999999999999998E-2</v>
      </c>
      <c r="G2350" s="292" t="s">
        <v>10792</v>
      </c>
      <c r="H2350" s="255">
        <v>1.21</v>
      </c>
      <c r="J2350" s="634"/>
      <c r="S2350" s="536"/>
      <c r="T2350" s="635"/>
    </row>
    <row r="2351" spans="1:68" s="298" customFormat="1" ht="12.75">
      <c r="A2351" s="286"/>
      <c r="B2351" s="375" t="s">
        <v>143</v>
      </c>
      <c r="C2351" s="816" t="s">
        <v>16794</v>
      </c>
      <c r="D2351" s="817"/>
      <c r="E2351" s="817"/>
      <c r="F2351" s="817"/>
      <c r="G2351" s="817"/>
      <c r="H2351" s="818"/>
      <c r="J2351" s="634"/>
      <c r="S2351" s="536"/>
      <c r="T2351" s="635"/>
    </row>
    <row r="2352" spans="1:68" s="529" customFormat="1" ht="12.75">
      <c r="A2352" s="286"/>
      <c r="B2352" s="293"/>
      <c r="C2352" s="229"/>
      <c r="D2352" s="230"/>
      <c r="E2352" s="230"/>
      <c r="F2352" s="230"/>
      <c r="G2352" s="230"/>
      <c r="H2352" s="230"/>
      <c r="I2352" s="298"/>
      <c r="J2352" s="521"/>
      <c r="K2352" s="298"/>
      <c r="L2352" s="298"/>
      <c r="M2352" s="298"/>
      <c r="N2352" s="298"/>
      <c r="O2352" s="298"/>
      <c r="P2352" s="298"/>
      <c r="Q2352" s="298"/>
      <c r="R2352" s="298"/>
      <c r="S2352" s="536"/>
      <c r="T2352" s="635"/>
      <c r="U2352" s="298"/>
      <c r="V2352" s="298"/>
      <c r="W2352" s="298"/>
      <c r="X2352" s="298"/>
      <c r="Y2352" s="298"/>
      <c r="Z2352" s="298"/>
      <c r="AA2352" s="298"/>
      <c r="AB2352" s="298"/>
      <c r="AC2352" s="298"/>
      <c r="AD2352" s="298"/>
      <c r="AE2352" s="298"/>
      <c r="AF2352" s="298"/>
      <c r="AG2352" s="298"/>
      <c r="AH2352" s="298"/>
      <c r="AI2352" s="298"/>
      <c r="AJ2352" s="298"/>
      <c r="AK2352" s="298"/>
      <c r="AL2352" s="298"/>
      <c r="AM2352" s="298"/>
      <c r="AN2352" s="298"/>
      <c r="AO2352" s="298"/>
      <c r="AP2352" s="298"/>
      <c r="AQ2352" s="298"/>
      <c r="AR2352" s="298"/>
      <c r="AS2352" s="298"/>
      <c r="AT2352" s="298"/>
      <c r="AU2352" s="298"/>
      <c r="AV2352" s="298"/>
      <c r="AW2352" s="298"/>
      <c r="AX2352" s="298"/>
      <c r="AY2352" s="298"/>
      <c r="AZ2352" s="298"/>
      <c r="BA2352" s="298"/>
      <c r="BB2352" s="298"/>
      <c r="BC2352" s="298"/>
      <c r="BD2352" s="298"/>
      <c r="BE2352" s="298"/>
      <c r="BF2352" s="298"/>
      <c r="BG2352" s="298"/>
      <c r="BH2352" s="298"/>
      <c r="BI2352" s="298"/>
      <c r="BJ2352" s="298"/>
      <c r="BK2352" s="298"/>
      <c r="BL2352" s="298"/>
      <c r="BM2352" s="298"/>
      <c r="BN2352" s="298"/>
      <c r="BO2352" s="298"/>
      <c r="BP2352" s="298"/>
    </row>
    <row r="2353" spans="1:68" s="298" customFormat="1" ht="51">
      <c r="A2353" s="286"/>
      <c r="B2353" s="372" t="s">
        <v>14851</v>
      </c>
      <c r="C2353" s="581" t="s">
        <v>18338</v>
      </c>
      <c r="D2353" s="232" t="s">
        <v>103</v>
      </c>
      <c r="E2353" s="232" t="s">
        <v>5</v>
      </c>
      <c r="F2353" s="233"/>
      <c r="G2353" s="234"/>
      <c r="H2353" s="235">
        <v>11.030000000000001</v>
      </c>
      <c r="J2353" s="521"/>
      <c r="L2353" s="256"/>
      <c r="M2353" s="256"/>
      <c r="N2353" s="256"/>
      <c r="O2353" s="256"/>
      <c r="S2353" s="536"/>
      <c r="T2353" s="635"/>
    </row>
    <row r="2354" spans="1:68" s="298" customFormat="1" ht="51">
      <c r="A2354" s="256" t="s">
        <v>12</v>
      </c>
      <c r="B2354" s="288" t="s">
        <v>18339</v>
      </c>
      <c r="C2354" s="289" t="s">
        <v>18340</v>
      </c>
      <c r="D2354" s="290" t="s">
        <v>207</v>
      </c>
      <c r="E2354" s="290" t="s">
        <v>5</v>
      </c>
      <c r="F2354" s="383">
        <v>1.1000000000000001</v>
      </c>
      <c r="G2354" s="292">
        <v>4.9420000000000002</v>
      </c>
      <c r="H2354" s="255">
        <v>5.43</v>
      </c>
      <c r="J2354" s="521"/>
      <c r="L2354" s="256"/>
      <c r="M2354" s="256"/>
      <c r="N2354" s="256"/>
      <c r="O2354" s="256"/>
      <c r="S2354" s="536"/>
      <c r="T2354" s="635"/>
    </row>
    <row r="2355" spans="1:68" s="298" customFormat="1" ht="25.5">
      <c r="A2355" s="256" t="s">
        <v>3259</v>
      </c>
      <c r="B2355" s="288">
        <v>88264</v>
      </c>
      <c r="C2355" s="289" t="s">
        <v>146</v>
      </c>
      <c r="D2355" s="290" t="s">
        <v>9714</v>
      </c>
      <c r="E2355" s="290" t="s">
        <v>206</v>
      </c>
      <c r="F2355" s="383">
        <v>0.13100000000000001</v>
      </c>
      <c r="G2355" s="292" t="s">
        <v>16504</v>
      </c>
      <c r="H2355" s="255">
        <v>3.15</v>
      </c>
      <c r="J2355" s="634"/>
      <c r="S2355" s="536"/>
      <c r="T2355" s="635"/>
    </row>
    <row r="2356" spans="1:68" s="298" customFormat="1" ht="25.5">
      <c r="A2356" s="256" t="s">
        <v>3259</v>
      </c>
      <c r="B2356" s="374">
        <v>88247</v>
      </c>
      <c r="C2356" s="289" t="s">
        <v>145</v>
      </c>
      <c r="D2356" s="290" t="s">
        <v>9714</v>
      </c>
      <c r="E2356" s="290" t="s">
        <v>206</v>
      </c>
      <c r="F2356" s="383">
        <v>0.13100000000000001</v>
      </c>
      <c r="G2356" s="292" t="s">
        <v>12206</v>
      </c>
      <c r="H2356" s="255">
        <v>2.4500000000000002</v>
      </c>
      <c r="J2356" s="634"/>
      <c r="S2356" s="536"/>
      <c r="T2356" s="635"/>
    </row>
    <row r="2357" spans="1:68" s="298" customFormat="1">
      <c r="A2357" s="256"/>
      <c r="B2357" s="288" t="s">
        <v>143</v>
      </c>
      <c r="C2357" s="238" t="s">
        <v>14795</v>
      </c>
      <c r="D2357" s="386"/>
      <c r="E2357" s="386"/>
      <c r="F2357" s="386"/>
      <c r="G2357" s="386"/>
      <c r="H2357" s="387"/>
      <c r="J2357" s="521"/>
      <c r="L2357" s="648"/>
      <c r="M2357" s="648"/>
      <c r="S2357" s="536"/>
      <c r="T2357" s="635"/>
    </row>
    <row r="2358" spans="1:68" s="298" customFormat="1" ht="12.75">
      <c r="A2358" s="286"/>
      <c r="B2358" s="373"/>
      <c r="C2358" s="379"/>
      <c r="D2358" s="382"/>
      <c r="E2358" s="382"/>
      <c r="F2358" s="382"/>
      <c r="G2358" s="382"/>
      <c r="H2358" s="382"/>
      <c r="J2358" s="634"/>
      <c r="S2358" s="536"/>
      <c r="T2358" s="635"/>
    </row>
    <row r="2359" spans="1:68" s="298" customFormat="1" ht="25.5">
      <c r="A2359" s="286"/>
      <c r="B2359" s="372" t="s">
        <v>14852</v>
      </c>
      <c r="C2359" s="231" t="s">
        <v>16814</v>
      </c>
      <c r="D2359" s="232" t="s">
        <v>103</v>
      </c>
      <c r="E2359" s="232" t="s">
        <v>5</v>
      </c>
      <c r="F2359" s="233"/>
      <c r="G2359" s="234"/>
      <c r="H2359" s="235">
        <v>1.94</v>
      </c>
      <c r="J2359" s="634"/>
      <c r="S2359" s="536"/>
      <c r="T2359" s="635"/>
    </row>
    <row r="2360" spans="1:68" s="298" customFormat="1" ht="25.5">
      <c r="A2360" s="256" t="s">
        <v>12</v>
      </c>
      <c r="B2360" s="288" t="s">
        <v>16807</v>
      </c>
      <c r="C2360" s="289" t="s">
        <v>16808</v>
      </c>
      <c r="D2360" s="290" t="s">
        <v>207</v>
      </c>
      <c r="E2360" s="290" t="s">
        <v>109</v>
      </c>
      <c r="F2360" s="383">
        <v>2.7500000000000004E-2</v>
      </c>
      <c r="G2360" s="292">
        <v>4.4000000000000004</v>
      </c>
      <c r="H2360" s="255">
        <v>0.12</v>
      </c>
      <c r="J2360" s="634"/>
      <c r="K2360" s="298">
        <v>1</v>
      </c>
      <c r="L2360" s="298">
        <v>40</v>
      </c>
      <c r="S2360" s="536"/>
      <c r="T2360" s="635"/>
    </row>
    <row r="2361" spans="1:68" s="298" customFormat="1" ht="38.25">
      <c r="A2361" s="256" t="s">
        <v>3259</v>
      </c>
      <c r="B2361" s="374">
        <v>88248</v>
      </c>
      <c r="C2361" s="289" t="s">
        <v>106</v>
      </c>
      <c r="D2361" s="290" t="s">
        <v>9714</v>
      </c>
      <c r="E2361" s="290" t="s">
        <v>206</v>
      </c>
      <c r="F2361" s="383">
        <v>0.1</v>
      </c>
      <c r="G2361" s="292" t="s">
        <v>10175</v>
      </c>
      <c r="H2361" s="255">
        <v>1.82</v>
      </c>
      <c r="J2361" s="634"/>
      <c r="K2361" s="298">
        <f>L2361/L2360</f>
        <v>2.5000000000000001E-2</v>
      </c>
      <c r="L2361" s="298">
        <v>1</v>
      </c>
      <c r="S2361" s="536"/>
      <c r="T2361" s="635"/>
    </row>
    <row r="2362" spans="1:68" s="298" customFormat="1" ht="12.75">
      <c r="A2362" s="286"/>
      <c r="B2362" s="375" t="s">
        <v>143</v>
      </c>
      <c r="C2362" s="816" t="s">
        <v>16806</v>
      </c>
      <c r="D2362" s="817"/>
      <c r="E2362" s="817"/>
      <c r="F2362" s="817"/>
      <c r="G2362" s="817"/>
      <c r="H2362" s="818"/>
      <c r="J2362" s="634"/>
      <c r="S2362" s="536"/>
      <c r="T2362" s="635"/>
    </row>
    <row r="2363" spans="1:68" s="529" customFormat="1" ht="12.75">
      <c r="A2363" s="286"/>
      <c r="B2363" s="293"/>
      <c r="C2363" s="229"/>
      <c r="D2363" s="230"/>
      <c r="E2363" s="230"/>
      <c r="F2363" s="230"/>
      <c r="G2363" s="230"/>
      <c r="H2363" s="230"/>
      <c r="I2363" s="298"/>
      <c r="J2363" s="521"/>
      <c r="K2363" s="298"/>
      <c r="L2363" s="298"/>
      <c r="M2363" s="298"/>
      <c r="N2363" s="298"/>
      <c r="O2363" s="298"/>
      <c r="P2363" s="298"/>
      <c r="Q2363" s="298"/>
      <c r="R2363" s="298"/>
      <c r="S2363" s="536"/>
      <c r="T2363" s="635"/>
      <c r="U2363" s="298"/>
      <c r="V2363" s="298"/>
      <c r="W2363" s="298"/>
      <c r="X2363" s="298"/>
      <c r="Y2363" s="298"/>
      <c r="Z2363" s="298"/>
      <c r="AA2363" s="298"/>
      <c r="AB2363" s="298"/>
      <c r="AC2363" s="298"/>
      <c r="AD2363" s="298"/>
      <c r="AE2363" s="298"/>
      <c r="AF2363" s="298"/>
      <c r="AG2363" s="298"/>
      <c r="AH2363" s="298"/>
      <c r="AI2363" s="298"/>
      <c r="AJ2363" s="298"/>
      <c r="AK2363" s="298"/>
      <c r="AL2363" s="298"/>
      <c r="AM2363" s="298"/>
      <c r="AN2363" s="298"/>
      <c r="AO2363" s="298"/>
      <c r="AP2363" s="298"/>
      <c r="AQ2363" s="298"/>
      <c r="AR2363" s="298"/>
      <c r="AS2363" s="298"/>
      <c r="AT2363" s="298"/>
      <c r="AU2363" s="298"/>
      <c r="AV2363" s="298"/>
      <c r="AW2363" s="298"/>
      <c r="AX2363" s="298"/>
      <c r="AY2363" s="298"/>
      <c r="AZ2363" s="298"/>
      <c r="BA2363" s="298"/>
      <c r="BB2363" s="298"/>
      <c r="BC2363" s="298"/>
      <c r="BD2363" s="298"/>
      <c r="BE2363" s="298"/>
      <c r="BF2363" s="298"/>
      <c r="BG2363" s="298"/>
      <c r="BH2363" s="298"/>
      <c r="BI2363" s="298"/>
      <c r="BJ2363" s="298"/>
      <c r="BK2363" s="298"/>
      <c r="BL2363" s="298"/>
      <c r="BM2363" s="298"/>
      <c r="BN2363" s="298"/>
      <c r="BO2363" s="298"/>
      <c r="BP2363" s="298"/>
    </row>
    <row r="2364" spans="1:68" s="298" customFormat="1" ht="25.5">
      <c r="A2364" s="286"/>
      <c r="B2364" s="372" t="s">
        <v>18341</v>
      </c>
      <c r="C2364" s="581" t="s">
        <v>18349</v>
      </c>
      <c r="D2364" s="232" t="s">
        <v>103</v>
      </c>
      <c r="E2364" s="232" t="s">
        <v>109</v>
      </c>
      <c r="F2364" s="233"/>
      <c r="G2364" s="234"/>
      <c r="H2364" s="235">
        <v>29.970000000000002</v>
      </c>
      <c r="J2364" s="521"/>
      <c r="L2364" s="256"/>
      <c r="M2364" s="256"/>
      <c r="N2364" s="256"/>
      <c r="O2364" s="256"/>
      <c r="S2364" s="536"/>
      <c r="T2364" s="635"/>
    </row>
    <row r="2365" spans="1:68" s="298" customFormat="1" ht="12.75">
      <c r="A2365" s="256" t="s">
        <v>12</v>
      </c>
      <c r="B2365" s="288" t="s">
        <v>14619</v>
      </c>
      <c r="C2365" s="289" t="s">
        <v>18297</v>
      </c>
      <c r="D2365" s="290" t="s">
        <v>207</v>
      </c>
      <c r="E2365" s="290" t="s">
        <v>109</v>
      </c>
      <c r="F2365" s="383">
        <v>1</v>
      </c>
      <c r="G2365" s="292">
        <v>24.6</v>
      </c>
      <c r="H2365" s="255">
        <v>24.6</v>
      </c>
      <c r="J2365" s="521"/>
      <c r="L2365" s="256"/>
      <c r="M2365" s="256"/>
      <c r="N2365" s="256"/>
      <c r="O2365" s="256"/>
      <c r="S2365" s="536"/>
      <c r="T2365" s="635"/>
    </row>
    <row r="2366" spans="1:68" s="298" customFormat="1" ht="25.5">
      <c r="A2366" s="256" t="s">
        <v>3259</v>
      </c>
      <c r="B2366" s="288">
        <v>100308</v>
      </c>
      <c r="C2366" s="289" t="s">
        <v>4542</v>
      </c>
      <c r="D2366" s="290" t="s">
        <v>9714</v>
      </c>
      <c r="E2366" s="290" t="s">
        <v>206</v>
      </c>
      <c r="F2366" s="383">
        <v>0.2</v>
      </c>
      <c r="G2366" s="292" t="s">
        <v>9767</v>
      </c>
      <c r="H2366" s="255">
        <v>5.37</v>
      </c>
      <c r="J2366" s="634"/>
      <c r="S2366" s="536"/>
      <c r="T2366" s="635"/>
    </row>
    <row r="2367" spans="1:68" s="298" customFormat="1">
      <c r="A2367" s="256"/>
      <c r="B2367" s="288" t="s">
        <v>143</v>
      </c>
      <c r="C2367" s="238" t="s">
        <v>14807</v>
      </c>
      <c r="D2367" s="386"/>
      <c r="E2367" s="386"/>
      <c r="F2367" s="386"/>
      <c r="G2367" s="386"/>
      <c r="H2367" s="387"/>
      <c r="J2367" s="521"/>
      <c r="L2367" s="648"/>
      <c r="M2367" s="648"/>
      <c r="S2367" s="536"/>
      <c r="T2367" s="635"/>
    </row>
    <row r="2368" spans="1:68" s="529" customFormat="1" ht="12.75">
      <c r="A2368" s="286"/>
      <c r="B2368" s="293"/>
      <c r="C2368" s="229"/>
      <c r="D2368" s="230"/>
      <c r="E2368" s="230"/>
      <c r="F2368" s="230"/>
      <c r="G2368" s="230"/>
      <c r="H2368" s="230"/>
      <c r="I2368" s="298"/>
      <c r="J2368" s="521"/>
      <c r="K2368" s="298"/>
      <c r="L2368" s="298"/>
      <c r="M2368" s="298"/>
      <c r="N2368" s="298"/>
      <c r="O2368" s="298"/>
      <c r="P2368" s="298"/>
      <c r="Q2368" s="298"/>
      <c r="R2368" s="298"/>
      <c r="S2368" s="536"/>
      <c r="T2368" s="635"/>
      <c r="U2368" s="298"/>
      <c r="V2368" s="298"/>
      <c r="W2368" s="298"/>
      <c r="X2368" s="298"/>
      <c r="Y2368" s="298"/>
      <c r="Z2368" s="298"/>
      <c r="AA2368" s="298"/>
      <c r="AB2368" s="298"/>
      <c r="AC2368" s="298"/>
      <c r="AD2368" s="298"/>
      <c r="AE2368" s="298"/>
      <c r="AF2368" s="298"/>
      <c r="AG2368" s="298"/>
      <c r="AH2368" s="298"/>
      <c r="AI2368" s="298"/>
      <c r="AJ2368" s="298"/>
      <c r="AK2368" s="298"/>
      <c r="AL2368" s="298"/>
      <c r="AM2368" s="298"/>
      <c r="AN2368" s="298"/>
      <c r="AO2368" s="298"/>
      <c r="AP2368" s="298"/>
      <c r="AQ2368" s="298"/>
      <c r="AR2368" s="298"/>
      <c r="AS2368" s="298"/>
      <c r="AT2368" s="298"/>
      <c r="AU2368" s="298"/>
      <c r="AV2368" s="298"/>
      <c r="AW2368" s="298"/>
      <c r="AX2368" s="298"/>
      <c r="AY2368" s="298"/>
      <c r="AZ2368" s="298"/>
      <c r="BA2368" s="298"/>
      <c r="BB2368" s="298"/>
      <c r="BC2368" s="298"/>
      <c r="BD2368" s="298"/>
      <c r="BE2368" s="298"/>
      <c r="BF2368" s="298"/>
      <c r="BG2368" s="298"/>
      <c r="BH2368" s="298"/>
      <c r="BI2368" s="298"/>
      <c r="BJ2368" s="298"/>
      <c r="BK2368" s="298"/>
      <c r="BL2368" s="298"/>
      <c r="BM2368" s="298"/>
      <c r="BN2368" s="298"/>
      <c r="BO2368" s="298"/>
      <c r="BP2368" s="298"/>
    </row>
    <row r="2369" spans="1:20" s="298" customFormat="1" ht="38.25">
      <c r="A2369" s="286"/>
      <c r="B2369" s="372" t="s">
        <v>18352</v>
      </c>
      <c r="C2369" s="581" t="s">
        <v>18353</v>
      </c>
      <c r="D2369" s="232" t="s">
        <v>103</v>
      </c>
      <c r="E2369" s="232" t="s">
        <v>109</v>
      </c>
      <c r="F2369" s="233"/>
      <c r="G2369" s="234"/>
      <c r="H2369" s="235">
        <v>44.949999999999996</v>
      </c>
      <c r="J2369" s="521"/>
      <c r="L2369" s="256"/>
      <c r="M2369" s="256"/>
      <c r="N2369" s="256"/>
      <c r="O2369" s="256"/>
      <c r="S2369" s="536"/>
      <c r="T2369" s="635"/>
    </row>
    <row r="2370" spans="1:20" s="298" customFormat="1" ht="25.5">
      <c r="A2370" s="256" t="s">
        <v>12</v>
      </c>
      <c r="B2370" s="288" t="s">
        <v>18304</v>
      </c>
      <c r="C2370" s="289" t="s">
        <v>18306</v>
      </c>
      <c r="D2370" s="290" t="s">
        <v>207</v>
      </c>
      <c r="E2370" s="290" t="s">
        <v>109</v>
      </c>
      <c r="F2370" s="383">
        <v>1</v>
      </c>
      <c r="G2370" s="292">
        <v>39.58</v>
      </c>
      <c r="H2370" s="255">
        <v>39.58</v>
      </c>
      <c r="J2370" s="521"/>
      <c r="L2370" s="256"/>
      <c r="M2370" s="256"/>
      <c r="N2370" s="256"/>
      <c r="O2370" s="256"/>
      <c r="S2370" s="536"/>
      <c r="T2370" s="635"/>
    </row>
    <row r="2371" spans="1:20" s="298" customFormat="1" ht="25.5">
      <c r="A2371" s="256" t="s">
        <v>3259</v>
      </c>
      <c r="B2371" s="288">
        <v>100308</v>
      </c>
      <c r="C2371" s="289" t="s">
        <v>4542</v>
      </c>
      <c r="D2371" s="290" t="s">
        <v>9714</v>
      </c>
      <c r="E2371" s="290" t="s">
        <v>206</v>
      </c>
      <c r="F2371" s="383">
        <v>0.2</v>
      </c>
      <c r="G2371" s="292" t="s">
        <v>9767</v>
      </c>
      <c r="H2371" s="255">
        <v>5.37</v>
      </c>
      <c r="J2371" s="634"/>
      <c r="S2371" s="536"/>
      <c r="T2371" s="635"/>
    </row>
    <row r="2372" spans="1:20" s="298" customFormat="1">
      <c r="A2372" s="256"/>
      <c r="B2372" s="288" t="s">
        <v>143</v>
      </c>
      <c r="C2372" s="238" t="s">
        <v>18351</v>
      </c>
      <c r="D2372" s="386"/>
      <c r="E2372" s="386"/>
      <c r="F2372" s="386"/>
      <c r="G2372" s="386"/>
      <c r="H2372" s="387"/>
      <c r="J2372" s="521"/>
      <c r="L2372" s="648"/>
      <c r="M2372" s="648"/>
      <c r="S2372" s="536"/>
      <c r="T2372" s="635"/>
    </row>
    <row r="2373" spans="1:20" s="298" customFormat="1" ht="12.75">
      <c r="A2373" s="286"/>
      <c r="B2373" s="373"/>
      <c r="C2373" s="379"/>
      <c r="D2373" s="382"/>
      <c r="E2373" s="382"/>
      <c r="F2373" s="382"/>
      <c r="G2373" s="382"/>
      <c r="H2373" s="382"/>
      <c r="J2373" s="634"/>
      <c r="S2373" s="536"/>
      <c r="T2373" s="635"/>
    </row>
    <row r="2374" spans="1:20" s="298" customFormat="1" ht="38.25">
      <c r="A2374" s="286"/>
      <c r="B2374" s="372" t="s">
        <v>14884</v>
      </c>
      <c r="C2374" s="231" t="s">
        <v>18325</v>
      </c>
      <c r="D2374" s="232" t="s">
        <v>103</v>
      </c>
      <c r="E2374" s="232" t="s">
        <v>109</v>
      </c>
      <c r="F2374" s="233"/>
      <c r="G2374" s="234"/>
      <c r="H2374" s="235">
        <v>3661.72</v>
      </c>
      <c r="J2374" s="634"/>
      <c r="S2374" s="536"/>
      <c r="T2374" s="635"/>
    </row>
    <row r="2375" spans="1:20" s="298" customFormat="1" ht="51">
      <c r="A2375" s="256" t="s">
        <v>3261</v>
      </c>
      <c r="B2375" s="288">
        <v>42422</v>
      </c>
      <c r="C2375" s="289" t="s">
        <v>4788</v>
      </c>
      <c r="D2375" s="290" t="s">
        <v>207</v>
      </c>
      <c r="E2375" s="290" t="s">
        <v>3240</v>
      </c>
      <c r="F2375" s="383">
        <v>1</v>
      </c>
      <c r="G2375" s="292" t="s">
        <v>18892</v>
      </c>
      <c r="H2375" s="255">
        <v>3279</v>
      </c>
      <c r="J2375" s="634"/>
      <c r="S2375" s="536"/>
      <c r="T2375" s="635"/>
    </row>
    <row r="2376" spans="1:20" s="298" customFormat="1" ht="25.5">
      <c r="A2376" s="256" t="s">
        <v>3259</v>
      </c>
      <c r="B2376" s="374">
        <v>88243</v>
      </c>
      <c r="C2376" s="289" t="s">
        <v>3048</v>
      </c>
      <c r="D2376" s="290" t="s">
        <v>9714</v>
      </c>
      <c r="E2376" s="290" t="s">
        <v>206</v>
      </c>
      <c r="F2376" s="383">
        <v>8</v>
      </c>
      <c r="G2376" s="292" t="s">
        <v>11563</v>
      </c>
      <c r="H2376" s="255">
        <v>167.68</v>
      </c>
      <c r="J2376" s="634"/>
      <c r="S2376" s="536"/>
      <c r="T2376" s="635"/>
    </row>
    <row r="2377" spans="1:20" s="298" customFormat="1" ht="25.5">
      <c r="A2377" s="256" t="s">
        <v>3259</v>
      </c>
      <c r="B2377" s="374">
        <v>100308</v>
      </c>
      <c r="C2377" s="289" t="s">
        <v>4542</v>
      </c>
      <c r="D2377" s="290" t="s">
        <v>9714</v>
      </c>
      <c r="E2377" s="290" t="s">
        <v>206</v>
      </c>
      <c r="F2377" s="383">
        <v>8</v>
      </c>
      <c r="G2377" s="292" t="s">
        <v>9767</v>
      </c>
      <c r="H2377" s="255">
        <v>215.04</v>
      </c>
      <c r="J2377" s="634"/>
      <c r="S2377" s="536"/>
      <c r="T2377" s="635"/>
    </row>
    <row r="2378" spans="1:20" s="298" customFormat="1" ht="12.75">
      <c r="A2378" s="286"/>
      <c r="B2378" s="375" t="s">
        <v>143</v>
      </c>
      <c r="C2378" s="816" t="s">
        <v>16819</v>
      </c>
      <c r="D2378" s="817"/>
      <c r="E2378" s="817"/>
      <c r="F2378" s="817"/>
      <c r="G2378" s="817"/>
      <c r="H2378" s="818"/>
      <c r="J2378" s="634"/>
      <c r="S2378" s="536"/>
      <c r="T2378" s="635"/>
    </row>
    <row r="2379" spans="1:20" s="298" customFormat="1" ht="12.75">
      <c r="A2379" s="286"/>
      <c r="B2379" s="373"/>
      <c r="C2379" s="379"/>
      <c r="D2379" s="382"/>
      <c r="E2379" s="382"/>
      <c r="F2379" s="382"/>
      <c r="G2379" s="382"/>
      <c r="H2379" s="382"/>
      <c r="J2379" s="634"/>
      <c r="S2379" s="536"/>
      <c r="T2379" s="635"/>
    </row>
    <row r="2380" spans="1:20" s="298" customFormat="1" ht="25.5">
      <c r="A2380" s="286"/>
      <c r="B2380" s="372" t="s">
        <v>14889</v>
      </c>
      <c r="C2380" s="231" t="s">
        <v>16828</v>
      </c>
      <c r="D2380" s="232" t="s">
        <v>103</v>
      </c>
      <c r="E2380" s="232" t="s">
        <v>109</v>
      </c>
      <c r="F2380" s="233"/>
      <c r="G2380" s="234"/>
      <c r="H2380" s="235">
        <v>73.72999999999999</v>
      </c>
      <c r="J2380" s="634"/>
      <c r="S2380" s="536"/>
      <c r="T2380" s="635"/>
    </row>
    <row r="2381" spans="1:20" s="298" customFormat="1" ht="25.5">
      <c r="A2381" s="256" t="s">
        <v>3261</v>
      </c>
      <c r="B2381" s="288" t="s">
        <v>18146</v>
      </c>
      <c r="C2381" s="289" t="s">
        <v>16830</v>
      </c>
      <c r="D2381" s="290" t="s">
        <v>8987</v>
      </c>
      <c r="E2381" s="290" t="s">
        <v>212</v>
      </c>
      <c r="F2381" s="383">
        <v>0.3012048192771084</v>
      </c>
      <c r="G2381" s="292">
        <v>1.9467000000000001</v>
      </c>
      <c r="H2381" s="255">
        <v>0.57999999999999996</v>
      </c>
      <c r="J2381" s="634"/>
      <c r="S2381" s="536"/>
      <c r="T2381" s="635"/>
    </row>
    <row r="2382" spans="1:20" s="298" customFormat="1" ht="25.5">
      <c r="A2382" s="256" t="s">
        <v>3261</v>
      </c>
      <c r="B2382" s="374" t="s">
        <v>18147</v>
      </c>
      <c r="C2382" s="289" t="s">
        <v>16830</v>
      </c>
      <c r="D2382" s="290" t="s">
        <v>8987</v>
      </c>
      <c r="E2382" s="290" t="s">
        <v>215</v>
      </c>
      <c r="F2382" s="383">
        <v>0.3012048192771084</v>
      </c>
      <c r="G2382" s="292">
        <v>1.0161</v>
      </c>
      <c r="H2382" s="255">
        <v>0.3</v>
      </c>
      <c r="J2382" s="634"/>
      <c r="S2382" s="536"/>
      <c r="T2382" s="635"/>
    </row>
    <row r="2383" spans="1:20" s="298" customFormat="1" ht="25.5">
      <c r="A2383" s="256" t="s">
        <v>3259</v>
      </c>
      <c r="B2383" s="374">
        <v>88316</v>
      </c>
      <c r="C2383" s="289" t="s">
        <v>104</v>
      </c>
      <c r="D2383" s="290" t="s">
        <v>9714</v>
      </c>
      <c r="E2383" s="290" t="s">
        <v>206</v>
      </c>
      <c r="F2383" s="383">
        <v>0.3012048192771084</v>
      </c>
      <c r="G2383" s="292" t="s">
        <v>10172</v>
      </c>
      <c r="H2383" s="255">
        <v>5.3</v>
      </c>
      <c r="J2383" s="634"/>
      <c r="S2383" s="536"/>
      <c r="T2383" s="635"/>
    </row>
    <row r="2384" spans="1:20" s="298" customFormat="1" ht="12.75">
      <c r="A2384" s="256" t="s">
        <v>3261</v>
      </c>
      <c r="B2384" s="374" t="s">
        <v>16826</v>
      </c>
      <c r="C2384" s="289" t="s">
        <v>16829</v>
      </c>
      <c r="D2384" s="290" t="s">
        <v>207</v>
      </c>
      <c r="E2384" s="290" t="s">
        <v>3240</v>
      </c>
      <c r="F2384" s="383">
        <v>4.0000000000000008E-2</v>
      </c>
      <c r="G2384" s="292">
        <v>1688.7977000000001</v>
      </c>
      <c r="H2384" s="255">
        <v>67.55</v>
      </c>
      <c r="J2384" s="634"/>
      <c r="S2384" s="536"/>
      <c r="T2384" s="635"/>
    </row>
    <row r="2385" spans="1:68" s="298" customFormat="1" ht="12.75">
      <c r="A2385" s="286"/>
      <c r="B2385" s="375" t="s">
        <v>143</v>
      </c>
      <c r="C2385" s="816" t="s">
        <v>16827</v>
      </c>
      <c r="D2385" s="817"/>
      <c r="E2385" s="817"/>
      <c r="F2385" s="817"/>
      <c r="G2385" s="817"/>
      <c r="H2385" s="818"/>
      <c r="J2385" s="634"/>
      <c r="S2385" s="536"/>
      <c r="T2385" s="635"/>
    </row>
    <row r="2386" spans="1:68" s="298" customFormat="1" ht="12.75">
      <c r="A2386" s="286"/>
      <c r="B2386" s="373"/>
      <c r="C2386" s="379"/>
      <c r="D2386" s="382"/>
      <c r="E2386" s="382"/>
      <c r="F2386" s="382"/>
      <c r="G2386" s="382"/>
      <c r="H2386" s="382"/>
      <c r="J2386" s="634"/>
      <c r="S2386" s="536"/>
      <c r="T2386" s="635"/>
    </row>
    <row r="2387" spans="1:68" s="525" customFormat="1" ht="38.25">
      <c r="B2387" s="526" t="s">
        <v>14893</v>
      </c>
      <c r="C2387" s="582" t="s">
        <v>18326</v>
      </c>
      <c r="D2387" s="526" t="s">
        <v>103</v>
      </c>
      <c r="E2387" s="526" t="s">
        <v>10</v>
      </c>
      <c r="F2387" s="527"/>
      <c r="G2387" s="528"/>
      <c r="H2387" s="528">
        <v>2591.4899999999998</v>
      </c>
      <c r="I2387" s="298"/>
      <c r="J2387" s="521"/>
      <c r="K2387" s="298"/>
      <c r="L2387" s="298"/>
      <c r="M2387" s="298"/>
      <c r="N2387" s="298"/>
      <c r="O2387" s="298"/>
      <c r="P2387" s="298"/>
      <c r="Q2387" s="298"/>
      <c r="R2387" s="298"/>
      <c r="S2387" s="536"/>
      <c r="T2387" s="635"/>
      <c r="U2387" s="298"/>
      <c r="V2387" s="298"/>
      <c r="W2387" s="298"/>
      <c r="X2387" s="298"/>
      <c r="Y2387" s="298"/>
      <c r="Z2387" s="298"/>
      <c r="AA2387" s="298"/>
      <c r="AB2387" s="298"/>
      <c r="AC2387" s="298"/>
      <c r="AD2387" s="298"/>
      <c r="AE2387" s="298"/>
      <c r="AF2387" s="298"/>
      <c r="AG2387" s="298"/>
      <c r="AH2387" s="298"/>
      <c r="AI2387" s="298"/>
      <c r="AJ2387" s="298"/>
      <c r="AK2387" s="298"/>
      <c r="AL2387" s="298"/>
      <c r="AM2387" s="298"/>
      <c r="AN2387" s="298"/>
      <c r="AO2387" s="298"/>
      <c r="AP2387" s="298"/>
      <c r="AQ2387" s="298"/>
      <c r="AR2387" s="298"/>
      <c r="AS2387" s="298"/>
      <c r="AT2387" s="298"/>
      <c r="AU2387" s="298"/>
      <c r="AV2387" s="298"/>
      <c r="AW2387" s="298"/>
      <c r="AX2387" s="298"/>
      <c r="AY2387" s="298"/>
      <c r="AZ2387" s="298"/>
      <c r="BA2387" s="298"/>
      <c r="BB2387" s="298"/>
      <c r="BC2387" s="298"/>
      <c r="BD2387" s="298"/>
      <c r="BE2387" s="298"/>
      <c r="BF2387" s="298"/>
      <c r="BG2387" s="298"/>
      <c r="BH2387" s="298"/>
      <c r="BI2387" s="298"/>
      <c r="BJ2387" s="298"/>
      <c r="BK2387" s="298"/>
      <c r="BL2387" s="298"/>
      <c r="BM2387" s="298"/>
      <c r="BN2387" s="298"/>
      <c r="BO2387" s="298"/>
      <c r="BP2387" s="298"/>
    </row>
    <row r="2388" spans="1:68" s="529" customFormat="1" ht="51">
      <c r="A2388" s="256" t="s">
        <v>3261</v>
      </c>
      <c r="B2388" s="288">
        <v>42425</v>
      </c>
      <c r="C2388" s="289" t="s">
        <v>4787</v>
      </c>
      <c r="D2388" s="290" t="s">
        <v>207</v>
      </c>
      <c r="E2388" s="290" t="s">
        <v>3240</v>
      </c>
      <c r="F2388" s="383">
        <v>1</v>
      </c>
      <c r="G2388" s="292" t="s">
        <v>18891</v>
      </c>
      <c r="H2388" s="255">
        <v>2208.77</v>
      </c>
      <c r="I2388" s="298"/>
      <c r="J2388" s="521"/>
      <c r="K2388" s="298"/>
      <c r="L2388" s="298"/>
      <c r="M2388" s="298"/>
      <c r="N2388" s="298"/>
      <c r="O2388" s="298"/>
      <c r="P2388" s="298"/>
      <c r="Q2388" s="298"/>
      <c r="R2388" s="298"/>
      <c r="S2388" s="536"/>
      <c r="T2388" s="635"/>
      <c r="U2388" s="298"/>
      <c r="V2388" s="298"/>
      <c r="W2388" s="298"/>
      <c r="X2388" s="298"/>
      <c r="Y2388" s="298"/>
      <c r="Z2388" s="298"/>
      <c r="AA2388" s="298"/>
      <c r="AB2388" s="298"/>
      <c r="AC2388" s="298"/>
      <c r="AD2388" s="298"/>
      <c r="AE2388" s="298"/>
      <c r="AF2388" s="298"/>
      <c r="AG2388" s="298"/>
      <c r="AH2388" s="298"/>
      <c r="AI2388" s="298"/>
      <c r="AJ2388" s="298"/>
      <c r="AK2388" s="298"/>
      <c r="AL2388" s="298"/>
      <c r="AM2388" s="298"/>
      <c r="AN2388" s="298"/>
      <c r="AO2388" s="298"/>
      <c r="AP2388" s="298"/>
      <c r="AQ2388" s="298"/>
      <c r="AR2388" s="298"/>
      <c r="AS2388" s="298"/>
      <c r="AT2388" s="298"/>
      <c r="AU2388" s="298"/>
      <c r="AV2388" s="298"/>
      <c r="AW2388" s="298"/>
      <c r="AX2388" s="298"/>
      <c r="AY2388" s="298"/>
      <c r="AZ2388" s="298"/>
      <c r="BA2388" s="298"/>
      <c r="BB2388" s="298"/>
      <c r="BC2388" s="298"/>
      <c r="BD2388" s="298"/>
      <c r="BE2388" s="298"/>
      <c r="BF2388" s="298"/>
      <c r="BG2388" s="298"/>
      <c r="BH2388" s="298"/>
      <c r="BI2388" s="298"/>
      <c r="BJ2388" s="298"/>
      <c r="BK2388" s="298"/>
      <c r="BL2388" s="298"/>
      <c r="BM2388" s="298"/>
      <c r="BN2388" s="298"/>
      <c r="BO2388" s="298"/>
      <c r="BP2388" s="298"/>
    </row>
    <row r="2389" spans="1:68" s="529" customFormat="1" ht="25.5">
      <c r="A2389" s="256" t="s">
        <v>3259</v>
      </c>
      <c r="B2389" s="374">
        <v>88243</v>
      </c>
      <c r="C2389" s="289" t="s">
        <v>3048</v>
      </c>
      <c r="D2389" s="290" t="s">
        <v>9714</v>
      </c>
      <c r="E2389" s="290" t="s">
        <v>206</v>
      </c>
      <c r="F2389" s="383">
        <v>8</v>
      </c>
      <c r="G2389" s="292" t="s">
        <v>11563</v>
      </c>
      <c r="H2389" s="255">
        <v>167.68</v>
      </c>
      <c r="I2389" s="298"/>
      <c r="J2389" s="521"/>
      <c r="K2389" s="298"/>
      <c r="L2389" s="298"/>
      <c r="M2389" s="298"/>
      <c r="N2389" s="298"/>
      <c r="O2389" s="298"/>
      <c r="P2389" s="298"/>
      <c r="Q2389" s="298"/>
      <c r="R2389" s="298"/>
      <c r="S2389" s="536"/>
      <c r="T2389" s="635"/>
      <c r="U2389" s="298"/>
      <c r="V2389" s="298"/>
      <c r="W2389" s="298"/>
      <c r="X2389" s="298"/>
      <c r="Y2389" s="298"/>
      <c r="Z2389" s="298"/>
      <c r="AA2389" s="298"/>
      <c r="AB2389" s="298"/>
      <c r="AC2389" s="298"/>
      <c r="AD2389" s="298"/>
      <c r="AE2389" s="298"/>
      <c r="AF2389" s="298"/>
      <c r="AG2389" s="298"/>
      <c r="AH2389" s="298"/>
      <c r="AI2389" s="298"/>
      <c r="AJ2389" s="298"/>
      <c r="AK2389" s="298"/>
      <c r="AL2389" s="298"/>
      <c r="AM2389" s="298"/>
      <c r="AN2389" s="298"/>
      <c r="AO2389" s="298"/>
      <c r="AP2389" s="298"/>
      <c r="AQ2389" s="298"/>
      <c r="AR2389" s="298"/>
      <c r="AS2389" s="298"/>
      <c r="AT2389" s="298"/>
      <c r="AU2389" s="298"/>
      <c r="AV2389" s="298"/>
      <c r="AW2389" s="298"/>
      <c r="AX2389" s="298"/>
      <c r="AY2389" s="298"/>
      <c r="AZ2389" s="298"/>
      <c r="BA2389" s="298"/>
      <c r="BB2389" s="298"/>
      <c r="BC2389" s="298"/>
      <c r="BD2389" s="298"/>
      <c r="BE2389" s="298"/>
      <c r="BF2389" s="298"/>
      <c r="BG2389" s="298"/>
      <c r="BH2389" s="298"/>
      <c r="BI2389" s="298"/>
      <c r="BJ2389" s="298"/>
      <c r="BK2389" s="298"/>
      <c r="BL2389" s="298"/>
      <c r="BM2389" s="298"/>
      <c r="BN2389" s="298"/>
      <c r="BO2389" s="298"/>
      <c r="BP2389" s="298"/>
    </row>
    <row r="2390" spans="1:68" s="529" customFormat="1" ht="25.5">
      <c r="A2390" s="256" t="s">
        <v>3259</v>
      </c>
      <c r="B2390" s="374">
        <v>100308</v>
      </c>
      <c r="C2390" s="289" t="s">
        <v>4542</v>
      </c>
      <c r="D2390" s="290" t="s">
        <v>9714</v>
      </c>
      <c r="E2390" s="290" t="s">
        <v>206</v>
      </c>
      <c r="F2390" s="383">
        <v>8</v>
      </c>
      <c r="G2390" s="292" t="s">
        <v>9767</v>
      </c>
      <c r="H2390" s="255">
        <v>215.04</v>
      </c>
      <c r="I2390" s="298"/>
      <c r="J2390" s="521"/>
      <c r="K2390" s="298"/>
      <c r="L2390" s="298"/>
      <c r="M2390" s="298"/>
      <c r="N2390" s="298"/>
      <c r="O2390" s="298"/>
      <c r="P2390" s="298"/>
      <c r="Q2390" s="298"/>
      <c r="R2390" s="298"/>
      <c r="S2390" s="536"/>
      <c r="T2390" s="635"/>
      <c r="U2390" s="298"/>
      <c r="V2390" s="298"/>
      <c r="W2390" s="298"/>
      <c r="X2390" s="298"/>
      <c r="Y2390" s="298"/>
      <c r="Z2390" s="298"/>
      <c r="AA2390" s="298"/>
      <c r="AB2390" s="298"/>
      <c r="AC2390" s="298"/>
      <c r="AD2390" s="298"/>
      <c r="AE2390" s="298"/>
      <c r="AF2390" s="298"/>
      <c r="AG2390" s="298"/>
      <c r="AH2390" s="298"/>
      <c r="AI2390" s="298"/>
      <c r="AJ2390" s="298"/>
      <c r="AK2390" s="298"/>
      <c r="AL2390" s="298"/>
      <c r="AM2390" s="298"/>
      <c r="AN2390" s="298"/>
      <c r="AO2390" s="298"/>
      <c r="AP2390" s="298"/>
      <c r="AQ2390" s="298"/>
      <c r="AR2390" s="298"/>
      <c r="AS2390" s="298"/>
      <c r="AT2390" s="298"/>
      <c r="AU2390" s="298"/>
      <c r="AV2390" s="298"/>
      <c r="AW2390" s="298"/>
      <c r="AX2390" s="298"/>
      <c r="AY2390" s="298"/>
      <c r="AZ2390" s="298"/>
      <c r="BA2390" s="298"/>
      <c r="BB2390" s="298"/>
      <c r="BC2390" s="298"/>
      <c r="BD2390" s="298"/>
      <c r="BE2390" s="298"/>
      <c r="BF2390" s="298"/>
      <c r="BG2390" s="298"/>
      <c r="BH2390" s="298"/>
      <c r="BI2390" s="298"/>
      <c r="BJ2390" s="298"/>
      <c r="BK2390" s="298"/>
      <c r="BL2390" s="298"/>
      <c r="BM2390" s="298"/>
      <c r="BN2390" s="298"/>
      <c r="BO2390" s="298"/>
      <c r="BP2390" s="298"/>
    </row>
    <row r="2391" spans="1:68" s="529" customFormat="1" ht="12.75">
      <c r="B2391" s="531" t="s">
        <v>143</v>
      </c>
      <c r="C2391" s="816" t="s">
        <v>16819</v>
      </c>
      <c r="D2391" s="817"/>
      <c r="E2391" s="817"/>
      <c r="F2391" s="817"/>
      <c r="G2391" s="817"/>
      <c r="H2391" s="818"/>
      <c r="I2391" s="298"/>
      <c r="J2391" s="521"/>
      <c r="K2391" s="298"/>
      <c r="L2391" s="298"/>
      <c r="M2391" s="298"/>
      <c r="N2391" s="298"/>
      <c r="O2391" s="298"/>
      <c r="P2391" s="298"/>
      <c r="Q2391" s="298"/>
      <c r="R2391" s="298"/>
      <c r="S2391" s="536"/>
      <c r="T2391" s="635"/>
      <c r="U2391" s="298"/>
      <c r="V2391" s="298"/>
      <c r="W2391" s="298"/>
      <c r="X2391" s="298"/>
      <c r="Y2391" s="298"/>
      <c r="Z2391" s="298"/>
      <c r="AA2391" s="298"/>
      <c r="AB2391" s="298"/>
      <c r="AC2391" s="298"/>
      <c r="AD2391" s="298"/>
      <c r="AE2391" s="298"/>
      <c r="AF2391" s="298"/>
      <c r="AG2391" s="298"/>
      <c r="AH2391" s="298"/>
      <c r="AI2391" s="298"/>
      <c r="AJ2391" s="298"/>
      <c r="AK2391" s="298"/>
      <c r="AL2391" s="298"/>
      <c r="AM2391" s="298"/>
      <c r="AN2391" s="298"/>
      <c r="AO2391" s="298"/>
      <c r="AP2391" s="298"/>
      <c r="AQ2391" s="298"/>
      <c r="AR2391" s="298"/>
      <c r="AS2391" s="298"/>
      <c r="AT2391" s="298"/>
      <c r="AU2391" s="298"/>
      <c r="AV2391" s="298"/>
      <c r="AW2391" s="298"/>
      <c r="AX2391" s="298"/>
      <c r="AY2391" s="298"/>
      <c r="AZ2391" s="298"/>
      <c r="BA2391" s="298"/>
      <c r="BB2391" s="298"/>
      <c r="BC2391" s="298"/>
      <c r="BD2391" s="298"/>
      <c r="BE2391" s="298"/>
      <c r="BF2391" s="298"/>
      <c r="BG2391" s="298"/>
      <c r="BH2391" s="298"/>
      <c r="BI2391" s="298"/>
      <c r="BJ2391" s="298"/>
      <c r="BK2391" s="298"/>
      <c r="BL2391" s="298"/>
      <c r="BM2391" s="298"/>
      <c r="BN2391" s="298"/>
      <c r="BO2391" s="298"/>
      <c r="BP2391" s="298"/>
    </row>
    <row r="2392" spans="1:68" s="298" customFormat="1" ht="12.75">
      <c r="B2392" s="518"/>
      <c r="C2392" s="401"/>
      <c r="D2392" s="391"/>
      <c r="E2392" s="391"/>
      <c r="F2392" s="519"/>
      <c r="G2392" s="417"/>
      <c r="H2392" s="520"/>
      <c r="J2392" s="521"/>
      <c r="K2392" s="517"/>
      <c r="L2392" s="522"/>
      <c r="M2392" s="468"/>
      <c r="N2392" s="468"/>
      <c r="O2392" s="523"/>
      <c r="P2392" s="524"/>
      <c r="S2392" s="536"/>
      <c r="T2392" s="635"/>
    </row>
    <row r="2393" spans="1:68" s="525" customFormat="1" ht="25.5">
      <c r="B2393" s="526" t="s">
        <v>14914</v>
      </c>
      <c r="C2393" s="582" t="s">
        <v>16831</v>
      </c>
      <c r="D2393" s="526" t="s">
        <v>103</v>
      </c>
      <c r="E2393" s="526" t="s">
        <v>10</v>
      </c>
      <c r="F2393" s="527"/>
      <c r="G2393" s="528"/>
      <c r="H2393" s="528">
        <v>7.7899999999999991</v>
      </c>
      <c r="I2393" s="298"/>
      <c r="J2393" s="521"/>
      <c r="K2393" s="298"/>
      <c r="L2393" s="298"/>
      <c r="M2393" s="298"/>
      <c r="N2393" s="298"/>
      <c r="O2393" s="298"/>
      <c r="P2393" s="298"/>
      <c r="Q2393" s="298"/>
      <c r="R2393" s="298"/>
      <c r="S2393" s="536"/>
      <c r="T2393" s="635"/>
      <c r="U2393" s="298"/>
      <c r="V2393" s="298"/>
      <c r="W2393" s="298"/>
      <c r="X2393" s="298"/>
      <c r="Y2393" s="298"/>
      <c r="Z2393" s="298"/>
      <c r="AA2393" s="298"/>
      <c r="AB2393" s="298"/>
      <c r="AC2393" s="298"/>
      <c r="AD2393" s="298"/>
      <c r="AE2393" s="298"/>
      <c r="AF2393" s="298"/>
      <c r="AG2393" s="298"/>
      <c r="AH2393" s="298"/>
      <c r="AI2393" s="298"/>
      <c r="AJ2393" s="298"/>
      <c r="AK2393" s="298"/>
      <c r="AL2393" s="298"/>
      <c r="AM2393" s="298"/>
      <c r="AN2393" s="298"/>
      <c r="AO2393" s="298"/>
      <c r="AP2393" s="298"/>
      <c r="AQ2393" s="298"/>
      <c r="AR2393" s="298"/>
      <c r="AS2393" s="298"/>
      <c r="AT2393" s="298"/>
      <c r="AU2393" s="298"/>
      <c r="AV2393" s="298"/>
      <c r="AW2393" s="298"/>
      <c r="AX2393" s="298"/>
      <c r="AY2393" s="298"/>
      <c r="AZ2393" s="298"/>
      <c r="BA2393" s="298"/>
      <c r="BB2393" s="298"/>
      <c r="BC2393" s="298"/>
      <c r="BD2393" s="298"/>
      <c r="BE2393" s="298"/>
      <c r="BF2393" s="298"/>
      <c r="BG2393" s="298"/>
      <c r="BH2393" s="298"/>
      <c r="BI2393" s="298"/>
      <c r="BJ2393" s="298"/>
      <c r="BK2393" s="298"/>
      <c r="BL2393" s="298"/>
      <c r="BM2393" s="298"/>
      <c r="BN2393" s="298"/>
      <c r="BO2393" s="298"/>
      <c r="BP2393" s="298"/>
    </row>
    <row r="2394" spans="1:68" s="529" customFormat="1" ht="25.5">
      <c r="A2394" s="529" t="s">
        <v>12</v>
      </c>
      <c r="B2394" s="530" t="s">
        <v>16832</v>
      </c>
      <c r="C2394" s="289" t="s">
        <v>16831</v>
      </c>
      <c r="D2394" s="290" t="s">
        <v>207</v>
      </c>
      <c r="E2394" s="290" t="s">
        <v>109</v>
      </c>
      <c r="F2394" s="383">
        <v>1</v>
      </c>
      <c r="G2394" s="292">
        <v>4.2699999999999996</v>
      </c>
      <c r="H2394" s="255">
        <v>4.2699999999999996</v>
      </c>
      <c r="I2394" s="298"/>
      <c r="J2394" s="521"/>
      <c r="K2394" s="298"/>
      <c r="L2394" s="298"/>
      <c r="M2394" s="298"/>
      <c r="N2394" s="298"/>
      <c r="O2394" s="298"/>
      <c r="P2394" s="298"/>
      <c r="Q2394" s="298"/>
      <c r="R2394" s="298"/>
      <c r="S2394" s="536"/>
      <c r="T2394" s="635"/>
      <c r="U2394" s="298"/>
      <c r="V2394" s="298"/>
      <c r="W2394" s="298"/>
      <c r="X2394" s="298"/>
      <c r="Y2394" s="298"/>
      <c r="Z2394" s="298"/>
      <c r="AA2394" s="298"/>
      <c r="AB2394" s="298"/>
      <c r="AC2394" s="298"/>
      <c r="AD2394" s="298"/>
      <c r="AE2394" s="298"/>
      <c r="AF2394" s="298"/>
      <c r="AG2394" s="298"/>
      <c r="AH2394" s="298"/>
      <c r="AI2394" s="298"/>
      <c r="AJ2394" s="298"/>
      <c r="AK2394" s="298"/>
      <c r="AL2394" s="298"/>
      <c r="AM2394" s="298"/>
      <c r="AN2394" s="298"/>
      <c r="AO2394" s="298"/>
      <c r="AP2394" s="298"/>
      <c r="AQ2394" s="298"/>
      <c r="AR2394" s="298"/>
      <c r="AS2394" s="298"/>
      <c r="AT2394" s="298"/>
      <c r="AU2394" s="298"/>
      <c r="AV2394" s="298"/>
      <c r="AW2394" s="298"/>
      <c r="AX2394" s="298"/>
      <c r="AY2394" s="298"/>
      <c r="AZ2394" s="298"/>
      <c r="BA2394" s="298"/>
      <c r="BB2394" s="298"/>
      <c r="BC2394" s="298"/>
      <c r="BD2394" s="298"/>
      <c r="BE2394" s="298"/>
      <c r="BF2394" s="298"/>
      <c r="BG2394" s="298"/>
      <c r="BH2394" s="298"/>
      <c r="BI2394" s="298"/>
      <c r="BJ2394" s="298"/>
      <c r="BK2394" s="298"/>
      <c r="BL2394" s="298"/>
      <c r="BM2394" s="298"/>
      <c r="BN2394" s="298"/>
      <c r="BO2394" s="298"/>
      <c r="BP2394" s="298"/>
    </row>
    <row r="2395" spans="1:68" s="529" customFormat="1" ht="25.5">
      <c r="A2395" s="529" t="s">
        <v>3259</v>
      </c>
      <c r="B2395" s="530">
        <v>88316</v>
      </c>
      <c r="C2395" s="289" t="s">
        <v>104</v>
      </c>
      <c r="D2395" s="290" t="s">
        <v>9714</v>
      </c>
      <c r="E2395" s="290" t="s">
        <v>206</v>
      </c>
      <c r="F2395" s="383">
        <v>0.2</v>
      </c>
      <c r="G2395" s="292" t="s">
        <v>10172</v>
      </c>
      <c r="H2395" s="255">
        <v>3.52</v>
      </c>
      <c r="I2395" s="298"/>
      <c r="J2395" s="521"/>
      <c r="K2395" s="298"/>
      <c r="L2395" s="298"/>
      <c r="M2395" s="298"/>
      <c r="N2395" s="298"/>
      <c r="O2395" s="298"/>
      <c r="P2395" s="298"/>
      <c r="Q2395" s="298"/>
      <c r="R2395" s="298"/>
      <c r="S2395" s="536"/>
      <c r="T2395" s="635"/>
      <c r="U2395" s="298"/>
      <c r="V2395" s="298"/>
      <c r="W2395" s="298"/>
      <c r="X2395" s="298"/>
      <c r="Y2395" s="298"/>
      <c r="Z2395" s="298"/>
      <c r="AA2395" s="298"/>
      <c r="AB2395" s="298"/>
      <c r="AC2395" s="298"/>
      <c r="AD2395" s="298"/>
      <c r="AE2395" s="298"/>
      <c r="AF2395" s="298"/>
      <c r="AG2395" s="298"/>
      <c r="AH2395" s="298"/>
      <c r="AI2395" s="298"/>
      <c r="AJ2395" s="298"/>
      <c r="AK2395" s="298"/>
      <c r="AL2395" s="298"/>
      <c r="AM2395" s="298"/>
      <c r="AN2395" s="298"/>
      <c r="AO2395" s="298"/>
      <c r="AP2395" s="298"/>
      <c r="AQ2395" s="298"/>
      <c r="AR2395" s="298"/>
      <c r="AS2395" s="298"/>
      <c r="AT2395" s="298"/>
      <c r="AU2395" s="298"/>
      <c r="AV2395" s="298"/>
      <c r="AW2395" s="298"/>
      <c r="AX2395" s="298"/>
      <c r="AY2395" s="298"/>
      <c r="AZ2395" s="298"/>
      <c r="BA2395" s="298"/>
      <c r="BB2395" s="298"/>
      <c r="BC2395" s="298"/>
      <c r="BD2395" s="298"/>
      <c r="BE2395" s="298"/>
      <c r="BF2395" s="298"/>
      <c r="BG2395" s="298"/>
      <c r="BH2395" s="298"/>
      <c r="BI2395" s="298"/>
      <c r="BJ2395" s="298"/>
      <c r="BK2395" s="298"/>
      <c r="BL2395" s="298"/>
      <c r="BM2395" s="298"/>
      <c r="BN2395" s="298"/>
      <c r="BO2395" s="298"/>
      <c r="BP2395" s="298"/>
    </row>
    <row r="2396" spans="1:68" s="529" customFormat="1" ht="12.75">
      <c r="B2396" s="375" t="s">
        <v>143</v>
      </c>
      <c r="C2396" s="816" t="s">
        <v>16806</v>
      </c>
      <c r="D2396" s="817"/>
      <c r="E2396" s="817"/>
      <c r="F2396" s="817"/>
      <c r="G2396" s="817"/>
      <c r="H2396" s="818"/>
      <c r="I2396" s="298"/>
      <c r="J2396" s="521"/>
      <c r="K2396" s="298"/>
      <c r="L2396" s="298"/>
      <c r="M2396" s="298"/>
      <c r="N2396" s="298"/>
      <c r="O2396" s="298"/>
      <c r="P2396" s="298"/>
      <c r="Q2396" s="298"/>
      <c r="R2396" s="298"/>
      <c r="S2396" s="536"/>
      <c r="T2396" s="635"/>
      <c r="U2396" s="298"/>
      <c r="V2396" s="298"/>
      <c r="W2396" s="298"/>
      <c r="X2396" s="298"/>
      <c r="Y2396" s="298"/>
      <c r="Z2396" s="298"/>
      <c r="AA2396" s="298"/>
      <c r="AB2396" s="298"/>
      <c r="AC2396" s="298"/>
      <c r="AD2396" s="298"/>
      <c r="AE2396" s="298"/>
      <c r="AF2396" s="298"/>
      <c r="AG2396" s="298"/>
      <c r="AH2396" s="298"/>
      <c r="AI2396" s="298"/>
      <c r="AJ2396" s="298"/>
      <c r="AK2396" s="298"/>
      <c r="AL2396" s="298"/>
      <c r="AM2396" s="298"/>
      <c r="AN2396" s="298"/>
      <c r="AO2396" s="298"/>
      <c r="AP2396" s="298"/>
      <c r="AQ2396" s="298"/>
      <c r="AR2396" s="298"/>
      <c r="AS2396" s="298"/>
      <c r="AT2396" s="298"/>
      <c r="AU2396" s="298"/>
      <c r="AV2396" s="298"/>
      <c r="AW2396" s="298"/>
      <c r="AX2396" s="298"/>
      <c r="AY2396" s="298"/>
      <c r="AZ2396" s="298"/>
      <c r="BA2396" s="298"/>
      <c r="BB2396" s="298"/>
      <c r="BC2396" s="298"/>
      <c r="BD2396" s="298"/>
      <c r="BE2396" s="298"/>
      <c r="BF2396" s="298"/>
      <c r="BG2396" s="298"/>
      <c r="BH2396" s="298"/>
      <c r="BI2396" s="298"/>
      <c r="BJ2396" s="298"/>
      <c r="BK2396" s="298"/>
      <c r="BL2396" s="298"/>
      <c r="BM2396" s="298"/>
      <c r="BN2396" s="298"/>
      <c r="BO2396" s="298"/>
      <c r="BP2396" s="298"/>
    </row>
    <row r="2397" spans="1:68" s="298" customFormat="1" ht="12.75">
      <c r="A2397" s="286"/>
      <c r="B2397" s="373"/>
      <c r="C2397" s="379"/>
      <c r="D2397" s="382"/>
      <c r="E2397" s="382"/>
      <c r="F2397" s="382"/>
      <c r="G2397" s="382"/>
      <c r="H2397" s="382"/>
      <c r="J2397" s="634"/>
      <c r="S2397" s="536"/>
      <c r="T2397" s="635"/>
    </row>
    <row r="2398" spans="1:68" s="298" customFormat="1" ht="25.5">
      <c r="A2398" s="286"/>
      <c r="B2398" s="372" t="s">
        <v>14918</v>
      </c>
      <c r="C2398" s="231" t="s">
        <v>16837</v>
      </c>
      <c r="D2398" s="232" t="s">
        <v>103</v>
      </c>
      <c r="E2398" s="232" t="s">
        <v>109</v>
      </c>
      <c r="F2398" s="233"/>
      <c r="G2398" s="234"/>
      <c r="H2398" s="235">
        <v>510.41</v>
      </c>
      <c r="J2398" s="634"/>
      <c r="S2398" s="536"/>
      <c r="T2398" s="635"/>
    </row>
    <row r="2399" spans="1:68" s="298" customFormat="1" ht="12.75">
      <c r="A2399" s="256" t="s">
        <v>12</v>
      </c>
      <c r="B2399" s="288" t="s">
        <v>14625</v>
      </c>
      <c r="C2399" s="289" t="s">
        <v>15728</v>
      </c>
      <c r="D2399" s="290" t="s">
        <v>207</v>
      </c>
      <c r="E2399" s="290" t="s">
        <v>109</v>
      </c>
      <c r="F2399" s="383">
        <v>1</v>
      </c>
      <c r="G2399" s="292">
        <v>489.6</v>
      </c>
      <c r="H2399" s="255">
        <v>489.6</v>
      </c>
      <c r="J2399" s="634"/>
      <c r="S2399" s="536"/>
      <c r="T2399" s="635"/>
    </row>
    <row r="2400" spans="1:68" s="298" customFormat="1" ht="25.5">
      <c r="A2400" s="256" t="s">
        <v>3261</v>
      </c>
      <c r="B2400" s="374">
        <v>3146</v>
      </c>
      <c r="C2400" s="289" t="s">
        <v>6463</v>
      </c>
      <c r="D2400" s="290" t="s">
        <v>207</v>
      </c>
      <c r="E2400" s="290" t="s">
        <v>3240</v>
      </c>
      <c r="F2400" s="383">
        <v>0.08</v>
      </c>
      <c r="G2400" s="292" t="s">
        <v>11333</v>
      </c>
      <c r="H2400" s="255">
        <v>0.31</v>
      </c>
      <c r="J2400" s="634"/>
      <c r="S2400" s="536"/>
      <c r="T2400" s="635"/>
    </row>
    <row r="2401" spans="1:20" s="298" customFormat="1" ht="25.5">
      <c r="A2401" s="256" t="s">
        <v>3259</v>
      </c>
      <c r="B2401" s="374">
        <v>88316</v>
      </c>
      <c r="C2401" s="289" t="s">
        <v>104</v>
      </c>
      <c r="D2401" s="290" t="s">
        <v>9714</v>
      </c>
      <c r="E2401" s="290" t="s">
        <v>206</v>
      </c>
      <c r="F2401" s="383">
        <v>0.5</v>
      </c>
      <c r="G2401" s="292" t="s">
        <v>10172</v>
      </c>
      <c r="H2401" s="255">
        <v>8.8000000000000007</v>
      </c>
      <c r="J2401" s="634"/>
      <c r="S2401" s="536"/>
      <c r="T2401" s="635"/>
    </row>
    <row r="2402" spans="1:20" s="298" customFormat="1" ht="25.5">
      <c r="A2402" s="256" t="s">
        <v>3259</v>
      </c>
      <c r="B2402" s="374">
        <v>88267</v>
      </c>
      <c r="C2402" s="289" t="s">
        <v>107</v>
      </c>
      <c r="D2402" s="290" t="s">
        <v>9714</v>
      </c>
      <c r="E2402" s="290" t="s">
        <v>206</v>
      </c>
      <c r="F2402" s="383">
        <v>0.5</v>
      </c>
      <c r="G2402" s="292" t="s">
        <v>10792</v>
      </c>
      <c r="H2402" s="255">
        <v>11.7</v>
      </c>
      <c r="J2402" s="634"/>
      <c r="S2402" s="536"/>
      <c r="T2402" s="635"/>
    </row>
    <row r="2403" spans="1:20" s="298" customFormat="1" ht="12.75">
      <c r="A2403" s="286"/>
      <c r="B2403" s="375" t="s">
        <v>143</v>
      </c>
      <c r="C2403" s="816" t="s">
        <v>16838</v>
      </c>
      <c r="D2403" s="817"/>
      <c r="E2403" s="817"/>
      <c r="F2403" s="817"/>
      <c r="G2403" s="817"/>
      <c r="H2403" s="818"/>
      <c r="J2403" s="634"/>
      <c r="S2403" s="536"/>
      <c r="T2403" s="635"/>
    </row>
    <row r="2404" spans="1:20" s="298" customFormat="1" ht="12.75">
      <c r="A2404" s="286"/>
      <c r="B2404" s="373"/>
      <c r="C2404" s="379"/>
      <c r="D2404" s="382"/>
      <c r="E2404" s="382"/>
      <c r="F2404" s="382"/>
      <c r="G2404" s="382"/>
      <c r="H2404" s="382"/>
      <c r="J2404" s="634"/>
      <c r="S2404" s="536"/>
      <c r="T2404" s="635"/>
    </row>
    <row r="2405" spans="1:20" s="298" customFormat="1" ht="25.5">
      <c r="A2405" s="286"/>
      <c r="B2405" s="372" t="s">
        <v>14938</v>
      </c>
      <c r="C2405" s="231" t="s">
        <v>16839</v>
      </c>
      <c r="D2405" s="232" t="s">
        <v>103</v>
      </c>
      <c r="E2405" s="232" t="s">
        <v>109</v>
      </c>
      <c r="F2405" s="233"/>
      <c r="G2405" s="234"/>
      <c r="H2405" s="235">
        <v>379.71</v>
      </c>
      <c r="J2405" s="634"/>
      <c r="S2405" s="536"/>
      <c r="T2405" s="635"/>
    </row>
    <row r="2406" spans="1:20" s="298" customFormat="1" ht="12.75">
      <c r="A2406" s="256" t="s">
        <v>12</v>
      </c>
      <c r="B2406" s="288" t="s">
        <v>14626</v>
      </c>
      <c r="C2406" s="289" t="s">
        <v>15729</v>
      </c>
      <c r="D2406" s="290" t="s">
        <v>207</v>
      </c>
      <c r="E2406" s="290" t="s">
        <v>109</v>
      </c>
      <c r="F2406" s="383">
        <v>1</v>
      </c>
      <c r="G2406" s="292">
        <v>358.9</v>
      </c>
      <c r="H2406" s="255">
        <v>358.9</v>
      </c>
      <c r="J2406" s="634"/>
      <c r="S2406" s="536"/>
      <c r="T2406" s="635"/>
    </row>
    <row r="2407" spans="1:20" s="298" customFormat="1" ht="25.5">
      <c r="A2407" s="256" t="s">
        <v>3261</v>
      </c>
      <c r="B2407" s="374">
        <v>3146</v>
      </c>
      <c r="C2407" s="289" t="s">
        <v>6463</v>
      </c>
      <c r="D2407" s="290" t="s">
        <v>207</v>
      </c>
      <c r="E2407" s="290" t="s">
        <v>3240</v>
      </c>
      <c r="F2407" s="383">
        <v>0.08</v>
      </c>
      <c r="G2407" s="292" t="s">
        <v>11333</v>
      </c>
      <c r="H2407" s="255">
        <v>0.31</v>
      </c>
      <c r="J2407" s="634"/>
      <c r="S2407" s="536"/>
      <c r="T2407" s="635"/>
    </row>
    <row r="2408" spans="1:20" s="298" customFormat="1" ht="25.5">
      <c r="A2408" s="256" t="s">
        <v>3259</v>
      </c>
      <c r="B2408" s="374">
        <v>88316</v>
      </c>
      <c r="C2408" s="289" t="s">
        <v>104</v>
      </c>
      <c r="D2408" s="290" t="s">
        <v>9714</v>
      </c>
      <c r="E2408" s="290" t="s">
        <v>206</v>
      </c>
      <c r="F2408" s="383">
        <v>0.5</v>
      </c>
      <c r="G2408" s="292" t="s">
        <v>10172</v>
      </c>
      <c r="H2408" s="255">
        <v>8.8000000000000007</v>
      </c>
      <c r="J2408" s="634"/>
      <c r="S2408" s="536"/>
      <c r="T2408" s="635"/>
    </row>
    <row r="2409" spans="1:20" s="298" customFormat="1" ht="25.5">
      <c r="A2409" s="256" t="s">
        <v>3259</v>
      </c>
      <c r="B2409" s="374">
        <v>88267</v>
      </c>
      <c r="C2409" s="289" t="s">
        <v>107</v>
      </c>
      <c r="D2409" s="290" t="s">
        <v>9714</v>
      </c>
      <c r="E2409" s="290" t="s">
        <v>206</v>
      </c>
      <c r="F2409" s="383">
        <v>0.5</v>
      </c>
      <c r="G2409" s="292" t="s">
        <v>10792</v>
      </c>
      <c r="H2409" s="255">
        <v>11.7</v>
      </c>
      <c r="J2409" s="634"/>
      <c r="S2409" s="536"/>
      <c r="T2409" s="635"/>
    </row>
    <row r="2410" spans="1:20" s="298" customFormat="1" ht="12.75">
      <c r="A2410" s="286"/>
      <c r="B2410" s="375" t="s">
        <v>143</v>
      </c>
      <c r="C2410" s="816" t="s">
        <v>16838</v>
      </c>
      <c r="D2410" s="817"/>
      <c r="E2410" s="817"/>
      <c r="F2410" s="817"/>
      <c r="G2410" s="817"/>
      <c r="H2410" s="818"/>
      <c r="J2410" s="634"/>
      <c r="S2410" s="536"/>
      <c r="T2410" s="635"/>
    </row>
    <row r="2411" spans="1:20" s="298" customFormat="1" ht="12.75">
      <c r="A2411" s="286"/>
      <c r="B2411" s="373"/>
      <c r="C2411" s="379"/>
      <c r="D2411" s="382"/>
      <c r="E2411" s="382"/>
      <c r="F2411" s="382"/>
      <c r="G2411" s="382"/>
      <c r="H2411" s="382"/>
      <c r="J2411" s="634"/>
      <c r="S2411" s="536"/>
      <c r="T2411" s="635"/>
    </row>
    <row r="2412" spans="1:20" s="298" customFormat="1" ht="25.5">
      <c r="A2412" s="286"/>
      <c r="B2412" s="372" t="s">
        <v>14954</v>
      </c>
      <c r="C2412" s="231" t="s">
        <v>16840</v>
      </c>
      <c r="D2412" s="232" t="s">
        <v>103</v>
      </c>
      <c r="E2412" s="232" t="s">
        <v>109</v>
      </c>
      <c r="F2412" s="233"/>
      <c r="G2412" s="234"/>
      <c r="H2412" s="235">
        <v>483.05</v>
      </c>
      <c r="J2412" s="634"/>
      <c r="S2412" s="536"/>
      <c r="T2412" s="635"/>
    </row>
    <row r="2413" spans="1:20" s="298" customFormat="1" ht="12.75">
      <c r="A2413" s="256" t="s">
        <v>12</v>
      </c>
      <c r="B2413" s="288" t="s">
        <v>14627</v>
      </c>
      <c r="C2413" s="289" t="s">
        <v>15730</v>
      </c>
      <c r="D2413" s="290" t="s">
        <v>207</v>
      </c>
      <c r="E2413" s="290" t="s">
        <v>109</v>
      </c>
      <c r="F2413" s="383">
        <v>1</v>
      </c>
      <c r="G2413" s="292">
        <v>462.24</v>
      </c>
      <c r="H2413" s="255">
        <v>462.24</v>
      </c>
      <c r="J2413" s="634"/>
      <c r="S2413" s="536"/>
      <c r="T2413" s="635"/>
    </row>
    <row r="2414" spans="1:20" s="298" customFormat="1" ht="25.5">
      <c r="A2414" s="256" t="s">
        <v>3261</v>
      </c>
      <c r="B2414" s="374">
        <v>3146</v>
      </c>
      <c r="C2414" s="289" t="s">
        <v>6463</v>
      </c>
      <c r="D2414" s="290" t="s">
        <v>207</v>
      </c>
      <c r="E2414" s="290" t="s">
        <v>3240</v>
      </c>
      <c r="F2414" s="383">
        <v>0.08</v>
      </c>
      <c r="G2414" s="292" t="s">
        <v>11333</v>
      </c>
      <c r="H2414" s="255">
        <v>0.31</v>
      </c>
      <c r="J2414" s="634"/>
      <c r="S2414" s="536"/>
      <c r="T2414" s="635"/>
    </row>
    <row r="2415" spans="1:20" s="298" customFormat="1" ht="25.5">
      <c r="A2415" s="256" t="s">
        <v>3259</v>
      </c>
      <c r="B2415" s="374">
        <v>88316</v>
      </c>
      <c r="C2415" s="289" t="s">
        <v>104</v>
      </c>
      <c r="D2415" s="290" t="s">
        <v>9714</v>
      </c>
      <c r="E2415" s="290" t="s">
        <v>206</v>
      </c>
      <c r="F2415" s="383">
        <v>0.5</v>
      </c>
      <c r="G2415" s="292" t="s">
        <v>10172</v>
      </c>
      <c r="H2415" s="255">
        <v>8.8000000000000007</v>
      </c>
      <c r="J2415" s="634"/>
      <c r="S2415" s="536"/>
      <c r="T2415" s="635"/>
    </row>
    <row r="2416" spans="1:20" s="298" customFormat="1" ht="25.5">
      <c r="A2416" s="256" t="s">
        <v>3259</v>
      </c>
      <c r="B2416" s="374">
        <v>88267</v>
      </c>
      <c r="C2416" s="289" t="s">
        <v>107</v>
      </c>
      <c r="D2416" s="290" t="s">
        <v>9714</v>
      </c>
      <c r="E2416" s="290" t="s">
        <v>206</v>
      </c>
      <c r="F2416" s="383">
        <v>0.5</v>
      </c>
      <c r="G2416" s="292" t="s">
        <v>10792</v>
      </c>
      <c r="H2416" s="255">
        <v>11.7</v>
      </c>
      <c r="J2416" s="634"/>
      <c r="S2416" s="536"/>
      <c r="T2416" s="635"/>
    </row>
    <row r="2417" spans="1:68" s="298" customFormat="1" ht="12.75">
      <c r="A2417" s="286"/>
      <c r="B2417" s="375" t="s">
        <v>143</v>
      </c>
      <c r="C2417" s="816" t="s">
        <v>16838</v>
      </c>
      <c r="D2417" s="817"/>
      <c r="E2417" s="817"/>
      <c r="F2417" s="817"/>
      <c r="G2417" s="817"/>
      <c r="H2417" s="818"/>
      <c r="J2417" s="634"/>
      <c r="S2417" s="536"/>
      <c r="T2417" s="635"/>
    </row>
    <row r="2418" spans="1:68" s="298" customFormat="1" ht="12.75">
      <c r="A2418" s="286"/>
      <c r="B2418" s="373"/>
      <c r="C2418" s="379"/>
      <c r="D2418" s="382"/>
      <c r="E2418" s="382"/>
      <c r="F2418" s="382"/>
      <c r="G2418" s="382"/>
      <c r="H2418" s="382"/>
      <c r="J2418" s="634"/>
      <c r="S2418" s="536"/>
      <c r="T2418" s="635"/>
    </row>
    <row r="2419" spans="1:68" s="298" customFormat="1" ht="38.25">
      <c r="A2419" s="286"/>
      <c r="B2419" s="372" t="s">
        <v>14956</v>
      </c>
      <c r="C2419" s="231" t="s">
        <v>18329</v>
      </c>
      <c r="D2419" s="232" t="s">
        <v>103</v>
      </c>
      <c r="E2419" s="232" t="s">
        <v>109</v>
      </c>
      <c r="F2419" s="233"/>
      <c r="G2419" s="234"/>
      <c r="H2419" s="235">
        <v>360.02000000000004</v>
      </c>
      <c r="J2419" s="634"/>
      <c r="S2419" s="536"/>
      <c r="T2419" s="635"/>
    </row>
    <row r="2420" spans="1:68" s="298" customFormat="1" ht="25.5">
      <c r="A2420" s="256" t="s">
        <v>12</v>
      </c>
      <c r="B2420" s="288" t="s">
        <v>15731</v>
      </c>
      <c r="C2420" s="289" t="s">
        <v>18328</v>
      </c>
      <c r="D2420" s="290" t="s">
        <v>207</v>
      </c>
      <c r="E2420" s="290" t="s">
        <v>109</v>
      </c>
      <c r="F2420" s="383">
        <v>1</v>
      </c>
      <c r="G2420" s="292">
        <v>277</v>
      </c>
      <c r="H2420" s="255">
        <v>277</v>
      </c>
      <c r="J2420" s="634"/>
      <c r="S2420" s="536"/>
      <c r="T2420" s="635"/>
    </row>
    <row r="2421" spans="1:68" s="298" customFormat="1" ht="25.5">
      <c r="A2421" s="256" t="s">
        <v>3259</v>
      </c>
      <c r="B2421" s="374">
        <v>88316</v>
      </c>
      <c r="C2421" s="289" t="s">
        <v>104</v>
      </c>
      <c r="D2421" s="290" t="s">
        <v>9714</v>
      </c>
      <c r="E2421" s="290" t="s">
        <v>206</v>
      </c>
      <c r="F2421" s="383">
        <v>2</v>
      </c>
      <c r="G2421" s="292" t="s">
        <v>10172</v>
      </c>
      <c r="H2421" s="255">
        <v>35.22</v>
      </c>
      <c r="J2421" s="634"/>
      <c r="S2421" s="536"/>
      <c r="T2421" s="635"/>
    </row>
    <row r="2422" spans="1:68" s="298" customFormat="1" ht="25.5">
      <c r="A2422" s="256" t="s">
        <v>3259</v>
      </c>
      <c r="B2422" s="374">
        <v>88309</v>
      </c>
      <c r="C2422" s="289" t="s">
        <v>105</v>
      </c>
      <c r="D2422" s="290" t="s">
        <v>9714</v>
      </c>
      <c r="E2422" s="290" t="s">
        <v>206</v>
      </c>
      <c r="F2422" s="383">
        <v>2</v>
      </c>
      <c r="G2422" s="292" t="s">
        <v>11439</v>
      </c>
      <c r="H2422" s="255">
        <v>47.8</v>
      </c>
      <c r="J2422" s="634"/>
      <c r="S2422" s="536"/>
      <c r="T2422" s="635"/>
    </row>
    <row r="2423" spans="1:68" s="298" customFormat="1" ht="12.75">
      <c r="A2423" s="286"/>
      <c r="B2423" s="375" t="s">
        <v>143</v>
      </c>
      <c r="C2423" s="816" t="s">
        <v>16806</v>
      </c>
      <c r="D2423" s="817"/>
      <c r="E2423" s="817"/>
      <c r="F2423" s="817"/>
      <c r="G2423" s="817"/>
      <c r="H2423" s="818"/>
      <c r="J2423" s="634"/>
      <c r="S2423" s="536"/>
      <c r="T2423" s="635"/>
    </row>
    <row r="2424" spans="1:68" s="298" customFormat="1" ht="12.75">
      <c r="A2424" s="286"/>
      <c r="B2424" s="373"/>
      <c r="C2424" s="379"/>
      <c r="D2424" s="382"/>
      <c r="E2424" s="382"/>
      <c r="F2424" s="382"/>
      <c r="G2424" s="382"/>
      <c r="H2424" s="382"/>
      <c r="J2424" s="634"/>
      <c r="S2424" s="536"/>
      <c r="T2424" s="635"/>
    </row>
    <row r="2425" spans="1:68" s="298" customFormat="1" ht="38.25">
      <c r="A2425" s="286"/>
      <c r="B2425" s="372" t="s">
        <v>14990</v>
      </c>
      <c r="C2425" s="231" t="s">
        <v>16853</v>
      </c>
      <c r="D2425" s="232" t="s">
        <v>103</v>
      </c>
      <c r="E2425" s="232" t="s">
        <v>193</v>
      </c>
      <c r="F2425" s="233"/>
      <c r="G2425" s="234"/>
      <c r="H2425" s="235">
        <v>102.83</v>
      </c>
      <c r="J2425" s="634"/>
      <c r="S2425" s="536"/>
      <c r="T2425" s="635"/>
    </row>
    <row r="2426" spans="1:68" s="298" customFormat="1" ht="25.5">
      <c r="A2426" s="256" t="s">
        <v>3261</v>
      </c>
      <c r="B2426" s="374">
        <v>43106</v>
      </c>
      <c r="C2426" s="289" t="s">
        <v>9529</v>
      </c>
      <c r="D2426" s="290" t="s">
        <v>207</v>
      </c>
      <c r="E2426" s="290" t="s">
        <v>3244</v>
      </c>
      <c r="F2426" s="383">
        <v>5.9904000000000002</v>
      </c>
      <c r="G2426" s="292" t="s">
        <v>19324</v>
      </c>
      <c r="H2426" s="255">
        <v>89.91</v>
      </c>
      <c r="J2426" s="634"/>
      <c r="S2426" s="536"/>
      <c r="T2426" s="635"/>
    </row>
    <row r="2427" spans="1:68" s="298" customFormat="1" ht="25.5">
      <c r="A2427" s="256" t="s">
        <v>3259</v>
      </c>
      <c r="B2427" s="374">
        <v>88315</v>
      </c>
      <c r="C2427" s="289" t="s">
        <v>208</v>
      </c>
      <c r="D2427" s="290" t="s">
        <v>9714</v>
      </c>
      <c r="E2427" s="290" t="s">
        <v>206</v>
      </c>
      <c r="F2427" s="383">
        <v>0.3</v>
      </c>
      <c r="G2427" s="292" t="s">
        <v>21052</v>
      </c>
      <c r="H2427" s="255">
        <v>7.13</v>
      </c>
      <c r="J2427" s="634"/>
      <c r="S2427" s="536"/>
      <c r="T2427" s="635"/>
    </row>
    <row r="2428" spans="1:68" s="298" customFormat="1" ht="25.5">
      <c r="A2428" s="256" t="s">
        <v>3259</v>
      </c>
      <c r="B2428" s="374">
        <v>88251</v>
      </c>
      <c r="C2428" s="289" t="s">
        <v>210</v>
      </c>
      <c r="D2428" s="290" t="s">
        <v>9714</v>
      </c>
      <c r="E2428" s="290" t="s">
        <v>206</v>
      </c>
      <c r="F2428" s="383">
        <v>0.3</v>
      </c>
      <c r="G2428" s="292" t="s">
        <v>21271</v>
      </c>
      <c r="H2428" s="255">
        <v>5.79</v>
      </c>
      <c r="J2428" s="634"/>
      <c r="S2428" s="536"/>
      <c r="T2428" s="635"/>
    </row>
    <row r="2429" spans="1:68" s="298" customFormat="1" ht="12.75">
      <c r="A2429" s="286"/>
      <c r="B2429" s="375" t="s">
        <v>143</v>
      </c>
      <c r="C2429" s="816" t="s">
        <v>16852</v>
      </c>
      <c r="D2429" s="817"/>
      <c r="E2429" s="817"/>
      <c r="F2429" s="817"/>
      <c r="G2429" s="817"/>
      <c r="H2429" s="818"/>
      <c r="J2429" s="634"/>
      <c r="S2429" s="536"/>
      <c r="T2429" s="635"/>
    </row>
    <row r="2430" spans="1:68" s="529" customFormat="1" ht="12.75">
      <c r="A2430" s="286"/>
      <c r="B2430" s="293"/>
      <c r="C2430" s="229"/>
      <c r="D2430" s="230"/>
      <c r="E2430" s="230"/>
      <c r="F2430" s="230"/>
      <c r="G2430" s="230"/>
      <c r="H2430" s="230"/>
      <c r="I2430" s="298"/>
      <c r="J2430" s="521"/>
      <c r="K2430" s="298"/>
      <c r="L2430" s="298"/>
      <c r="M2430" s="298"/>
      <c r="N2430" s="298"/>
      <c r="O2430" s="298"/>
      <c r="P2430" s="298"/>
      <c r="Q2430" s="298"/>
      <c r="R2430" s="298"/>
      <c r="S2430" s="536"/>
      <c r="T2430" s="635"/>
      <c r="U2430" s="298"/>
      <c r="V2430" s="298"/>
      <c r="W2430" s="298"/>
      <c r="X2430" s="298"/>
      <c r="Y2430" s="298"/>
      <c r="Z2430" s="298"/>
      <c r="AA2430" s="298"/>
      <c r="AB2430" s="298"/>
      <c r="AC2430" s="298"/>
      <c r="AD2430" s="298"/>
      <c r="AE2430" s="298"/>
      <c r="AF2430" s="298"/>
      <c r="AG2430" s="298"/>
      <c r="AH2430" s="298"/>
      <c r="AI2430" s="298"/>
      <c r="AJ2430" s="298"/>
      <c r="AK2430" s="298"/>
      <c r="AL2430" s="298"/>
      <c r="AM2430" s="298"/>
      <c r="AN2430" s="298"/>
      <c r="AO2430" s="298"/>
      <c r="AP2430" s="298"/>
      <c r="AQ2430" s="298"/>
      <c r="AR2430" s="298"/>
      <c r="AS2430" s="298"/>
      <c r="AT2430" s="298"/>
      <c r="AU2430" s="298"/>
      <c r="AV2430" s="298"/>
      <c r="AW2430" s="298"/>
      <c r="AX2430" s="298"/>
      <c r="AY2430" s="298"/>
      <c r="AZ2430" s="298"/>
      <c r="BA2430" s="298"/>
      <c r="BB2430" s="298"/>
      <c r="BC2430" s="298"/>
      <c r="BD2430" s="298"/>
      <c r="BE2430" s="298"/>
      <c r="BF2430" s="298"/>
      <c r="BG2430" s="298"/>
      <c r="BH2430" s="298"/>
      <c r="BI2430" s="298"/>
      <c r="BJ2430" s="298"/>
      <c r="BK2430" s="298"/>
      <c r="BL2430" s="298"/>
      <c r="BM2430" s="298"/>
      <c r="BN2430" s="298"/>
      <c r="BO2430" s="298"/>
      <c r="BP2430" s="298"/>
    </row>
    <row r="2431" spans="1:68" s="298" customFormat="1" ht="25.5">
      <c r="A2431" s="286"/>
      <c r="B2431" s="372" t="s">
        <v>14992</v>
      </c>
      <c r="C2431" s="581" t="s">
        <v>16866</v>
      </c>
      <c r="D2431" s="232" t="s">
        <v>103</v>
      </c>
      <c r="E2431" s="232" t="s">
        <v>109</v>
      </c>
      <c r="F2431" s="233"/>
      <c r="G2431" s="234"/>
      <c r="H2431" s="235">
        <v>3976.7799999999997</v>
      </c>
      <c r="J2431" s="521"/>
      <c r="L2431" s="256"/>
      <c r="M2431" s="256"/>
      <c r="N2431" s="256"/>
      <c r="O2431" s="256"/>
      <c r="S2431" s="536"/>
      <c r="T2431" s="635"/>
    </row>
    <row r="2432" spans="1:68" s="298" customFormat="1" ht="12.75">
      <c r="A2432" s="256" t="s">
        <v>12</v>
      </c>
      <c r="B2432" s="288" t="s">
        <v>15743</v>
      </c>
      <c r="C2432" s="289" t="s">
        <v>18654</v>
      </c>
      <c r="D2432" s="290" t="s">
        <v>207</v>
      </c>
      <c r="E2432" s="290" t="s">
        <v>109</v>
      </c>
      <c r="F2432" s="383">
        <v>1</v>
      </c>
      <c r="G2432" s="292">
        <v>3933.9453774999997</v>
      </c>
      <c r="H2432" s="255">
        <v>3933.94</v>
      </c>
      <c r="J2432" s="521"/>
      <c r="L2432" s="256"/>
      <c r="M2432" s="256"/>
      <c r="N2432" s="256"/>
      <c r="O2432" s="256"/>
      <c r="S2432" s="536"/>
      <c r="T2432" s="635"/>
    </row>
    <row r="2433" spans="1:68" s="298" customFormat="1" ht="25.5">
      <c r="A2433" s="256" t="s">
        <v>3259</v>
      </c>
      <c r="B2433" s="288">
        <v>88264</v>
      </c>
      <c r="C2433" s="289" t="s">
        <v>146</v>
      </c>
      <c r="D2433" s="290" t="s">
        <v>9714</v>
      </c>
      <c r="E2433" s="290" t="s">
        <v>206</v>
      </c>
      <c r="F2433" s="383">
        <v>1</v>
      </c>
      <c r="G2433" s="292" t="s">
        <v>16504</v>
      </c>
      <c r="H2433" s="255">
        <v>24.1</v>
      </c>
      <c r="J2433" s="634"/>
      <c r="S2433" s="536"/>
      <c r="T2433" s="635"/>
    </row>
    <row r="2434" spans="1:68" s="298" customFormat="1" ht="25.5">
      <c r="A2434" s="256" t="s">
        <v>3259</v>
      </c>
      <c r="B2434" s="374">
        <v>88247</v>
      </c>
      <c r="C2434" s="289" t="s">
        <v>145</v>
      </c>
      <c r="D2434" s="290" t="s">
        <v>9714</v>
      </c>
      <c r="E2434" s="290" t="s">
        <v>206</v>
      </c>
      <c r="F2434" s="383">
        <v>1</v>
      </c>
      <c r="G2434" s="292" t="s">
        <v>12206</v>
      </c>
      <c r="H2434" s="255">
        <v>18.739999999999998</v>
      </c>
      <c r="J2434" s="634"/>
      <c r="S2434" s="536"/>
      <c r="T2434" s="635"/>
    </row>
    <row r="2435" spans="1:68" s="298" customFormat="1">
      <c r="A2435" s="256"/>
      <c r="B2435" s="288" t="s">
        <v>143</v>
      </c>
      <c r="C2435" s="238" t="s">
        <v>16865</v>
      </c>
      <c r="D2435" s="386"/>
      <c r="E2435" s="386"/>
      <c r="F2435" s="386"/>
      <c r="G2435" s="386"/>
      <c r="H2435" s="387"/>
      <c r="J2435" s="521"/>
      <c r="L2435" s="648"/>
      <c r="M2435" s="648"/>
      <c r="S2435" s="536"/>
      <c r="T2435" s="635"/>
    </row>
    <row r="2436" spans="1:68" s="529" customFormat="1" ht="12.75">
      <c r="A2436" s="286"/>
      <c r="B2436" s="293"/>
      <c r="C2436" s="229"/>
      <c r="D2436" s="230"/>
      <c r="E2436" s="230"/>
      <c r="F2436" s="230"/>
      <c r="G2436" s="230"/>
      <c r="H2436" s="230"/>
      <c r="I2436" s="298"/>
      <c r="J2436" s="521"/>
      <c r="K2436" s="298"/>
      <c r="L2436" s="298"/>
      <c r="M2436" s="298"/>
      <c r="N2436" s="298"/>
      <c r="O2436" s="298"/>
      <c r="P2436" s="298"/>
      <c r="Q2436" s="298"/>
      <c r="R2436" s="298"/>
      <c r="S2436" s="536"/>
      <c r="T2436" s="635"/>
      <c r="U2436" s="298"/>
      <c r="V2436" s="298"/>
      <c r="W2436" s="298"/>
      <c r="X2436" s="298"/>
      <c r="Y2436" s="298"/>
      <c r="Z2436" s="298"/>
      <c r="AA2436" s="298"/>
      <c r="AB2436" s="298"/>
      <c r="AC2436" s="298"/>
      <c r="AD2436" s="298"/>
      <c r="AE2436" s="298"/>
      <c r="AF2436" s="298"/>
      <c r="AG2436" s="298"/>
      <c r="AH2436" s="298"/>
      <c r="AI2436" s="298"/>
      <c r="AJ2436" s="298"/>
      <c r="AK2436" s="298"/>
      <c r="AL2436" s="298"/>
      <c r="AM2436" s="298"/>
      <c r="AN2436" s="298"/>
      <c r="AO2436" s="298"/>
      <c r="AP2436" s="298"/>
      <c r="AQ2436" s="298"/>
      <c r="AR2436" s="298"/>
      <c r="AS2436" s="298"/>
      <c r="AT2436" s="298"/>
      <c r="AU2436" s="298"/>
      <c r="AV2436" s="298"/>
      <c r="AW2436" s="298"/>
      <c r="AX2436" s="298"/>
      <c r="AY2436" s="298"/>
      <c r="AZ2436" s="298"/>
      <c r="BA2436" s="298"/>
      <c r="BB2436" s="298"/>
      <c r="BC2436" s="298"/>
      <c r="BD2436" s="298"/>
      <c r="BE2436" s="298"/>
      <c r="BF2436" s="298"/>
      <c r="BG2436" s="298"/>
      <c r="BH2436" s="298"/>
      <c r="BI2436" s="298"/>
      <c r="BJ2436" s="298"/>
      <c r="BK2436" s="298"/>
      <c r="BL2436" s="298"/>
      <c r="BM2436" s="298"/>
      <c r="BN2436" s="298"/>
      <c r="BO2436" s="298"/>
      <c r="BP2436" s="298"/>
    </row>
    <row r="2437" spans="1:68" s="298" customFormat="1" ht="25.5">
      <c r="A2437" s="286"/>
      <c r="B2437" s="372" t="s">
        <v>14993</v>
      </c>
      <c r="C2437" s="581" t="s">
        <v>18332</v>
      </c>
      <c r="D2437" s="232" t="s">
        <v>103</v>
      </c>
      <c r="E2437" s="232" t="s">
        <v>109</v>
      </c>
      <c r="F2437" s="233"/>
      <c r="G2437" s="234"/>
      <c r="H2437" s="235">
        <v>4208.84</v>
      </c>
      <c r="J2437" s="521"/>
      <c r="L2437" s="256"/>
      <c r="M2437" s="256"/>
      <c r="N2437" s="256"/>
      <c r="O2437" s="256"/>
      <c r="S2437" s="536"/>
      <c r="T2437" s="635"/>
    </row>
    <row r="2438" spans="1:68" s="298" customFormat="1" ht="12.75">
      <c r="A2438" s="256" t="s">
        <v>12</v>
      </c>
      <c r="B2438" s="288" t="s">
        <v>15744</v>
      </c>
      <c r="C2438" s="289" t="s">
        <v>15746</v>
      </c>
      <c r="D2438" s="290" t="s">
        <v>207</v>
      </c>
      <c r="E2438" s="290" t="s">
        <v>109</v>
      </c>
      <c r="F2438" s="383">
        <v>1</v>
      </c>
      <c r="G2438" s="292">
        <v>4166</v>
      </c>
      <c r="H2438" s="255">
        <v>4166</v>
      </c>
      <c r="J2438" s="521"/>
      <c r="L2438" s="256"/>
      <c r="M2438" s="256"/>
      <c r="N2438" s="256"/>
      <c r="O2438" s="256"/>
      <c r="S2438" s="536"/>
      <c r="T2438" s="635"/>
    </row>
    <row r="2439" spans="1:68" s="298" customFormat="1" ht="25.5">
      <c r="A2439" s="256" t="s">
        <v>3259</v>
      </c>
      <c r="B2439" s="288">
        <v>88264</v>
      </c>
      <c r="C2439" s="289" t="s">
        <v>146</v>
      </c>
      <c r="D2439" s="290" t="s">
        <v>9714</v>
      </c>
      <c r="E2439" s="290" t="s">
        <v>206</v>
      </c>
      <c r="F2439" s="383">
        <v>1</v>
      </c>
      <c r="G2439" s="292" t="s">
        <v>16504</v>
      </c>
      <c r="H2439" s="255">
        <v>24.1</v>
      </c>
      <c r="J2439" s="634"/>
      <c r="S2439" s="536"/>
      <c r="T2439" s="635"/>
    </row>
    <row r="2440" spans="1:68" s="298" customFormat="1" ht="25.5">
      <c r="A2440" s="256" t="s">
        <v>3259</v>
      </c>
      <c r="B2440" s="374">
        <v>88247</v>
      </c>
      <c r="C2440" s="289" t="s">
        <v>145</v>
      </c>
      <c r="D2440" s="290" t="s">
        <v>9714</v>
      </c>
      <c r="E2440" s="290" t="s">
        <v>206</v>
      </c>
      <c r="F2440" s="383">
        <v>1</v>
      </c>
      <c r="G2440" s="292" t="s">
        <v>12206</v>
      </c>
      <c r="H2440" s="255">
        <v>18.739999999999998</v>
      </c>
      <c r="J2440" s="634"/>
      <c r="S2440" s="536"/>
      <c r="T2440" s="635"/>
    </row>
    <row r="2441" spans="1:68" s="298" customFormat="1">
      <c r="A2441" s="256"/>
      <c r="B2441" s="288" t="s">
        <v>143</v>
      </c>
      <c r="C2441" s="238" t="s">
        <v>16865</v>
      </c>
      <c r="D2441" s="386"/>
      <c r="E2441" s="386"/>
      <c r="F2441" s="386"/>
      <c r="G2441" s="386"/>
      <c r="H2441" s="387"/>
      <c r="J2441" s="521"/>
      <c r="L2441" s="648"/>
      <c r="M2441" s="648"/>
      <c r="S2441" s="536"/>
      <c r="T2441" s="635"/>
    </row>
    <row r="2442" spans="1:68" s="529" customFormat="1" ht="12.75">
      <c r="A2442" s="286"/>
      <c r="B2442" s="293"/>
      <c r="C2442" s="229"/>
      <c r="D2442" s="230"/>
      <c r="E2442" s="230"/>
      <c r="F2442" s="230"/>
      <c r="G2442" s="230"/>
      <c r="H2442" s="230"/>
      <c r="I2442" s="298"/>
      <c r="J2442" s="521"/>
      <c r="K2442" s="298"/>
      <c r="L2442" s="298"/>
      <c r="M2442" s="298"/>
      <c r="N2442" s="298"/>
      <c r="O2442" s="298"/>
      <c r="P2442" s="298"/>
      <c r="Q2442" s="298"/>
      <c r="R2442" s="298"/>
      <c r="S2442" s="536"/>
      <c r="T2442" s="635"/>
      <c r="U2442" s="298"/>
      <c r="V2442" s="298"/>
      <c r="W2442" s="298"/>
      <c r="X2442" s="298"/>
      <c r="Y2442" s="298"/>
      <c r="Z2442" s="298"/>
      <c r="AA2442" s="298"/>
      <c r="AB2442" s="298"/>
      <c r="AC2442" s="298"/>
      <c r="AD2442" s="298"/>
      <c r="AE2442" s="298"/>
      <c r="AF2442" s="298"/>
      <c r="AG2442" s="298"/>
      <c r="AH2442" s="298"/>
      <c r="AI2442" s="298"/>
      <c r="AJ2442" s="298"/>
      <c r="AK2442" s="298"/>
      <c r="AL2442" s="298"/>
      <c r="AM2442" s="298"/>
      <c r="AN2442" s="298"/>
      <c r="AO2442" s="298"/>
      <c r="AP2442" s="298"/>
      <c r="AQ2442" s="298"/>
      <c r="AR2442" s="298"/>
      <c r="AS2442" s="298"/>
      <c r="AT2442" s="298"/>
      <c r="AU2442" s="298"/>
      <c r="AV2442" s="298"/>
      <c r="AW2442" s="298"/>
      <c r="AX2442" s="298"/>
      <c r="AY2442" s="298"/>
      <c r="AZ2442" s="298"/>
      <c r="BA2442" s="298"/>
      <c r="BB2442" s="298"/>
      <c r="BC2442" s="298"/>
      <c r="BD2442" s="298"/>
      <c r="BE2442" s="298"/>
      <c r="BF2442" s="298"/>
      <c r="BG2442" s="298"/>
      <c r="BH2442" s="298"/>
      <c r="BI2442" s="298"/>
      <c r="BJ2442" s="298"/>
      <c r="BK2442" s="298"/>
      <c r="BL2442" s="298"/>
      <c r="BM2442" s="298"/>
      <c r="BN2442" s="298"/>
      <c r="BO2442" s="298"/>
      <c r="BP2442" s="298"/>
    </row>
    <row r="2443" spans="1:68" s="298" customFormat="1" ht="25.5">
      <c r="A2443" s="286"/>
      <c r="B2443" s="372" t="s">
        <v>14994</v>
      </c>
      <c r="C2443" s="581" t="s">
        <v>18330</v>
      </c>
      <c r="D2443" s="232" t="s">
        <v>103</v>
      </c>
      <c r="E2443" s="232" t="s">
        <v>109</v>
      </c>
      <c r="F2443" s="233"/>
      <c r="G2443" s="234"/>
      <c r="H2443" s="235">
        <v>23714.84</v>
      </c>
      <c r="J2443" s="521"/>
      <c r="L2443" s="256"/>
      <c r="M2443" s="256"/>
      <c r="N2443" s="256"/>
      <c r="O2443" s="256"/>
      <c r="S2443" s="536"/>
      <c r="T2443" s="635"/>
    </row>
    <row r="2444" spans="1:68" s="298" customFormat="1" ht="12.75">
      <c r="A2444" s="256" t="s">
        <v>12</v>
      </c>
      <c r="B2444" s="288" t="s">
        <v>15745</v>
      </c>
      <c r="C2444" s="289" t="s">
        <v>18650</v>
      </c>
      <c r="D2444" s="290" t="s">
        <v>207</v>
      </c>
      <c r="E2444" s="290" t="s">
        <v>109</v>
      </c>
      <c r="F2444" s="383">
        <v>1</v>
      </c>
      <c r="G2444" s="292">
        <v>23672</v>
      </c>
      <c r="H2444" s="255">
        <v>23672</v>
      </c>
      <c r="J2444" s="521"/>
      <c r="L2444" s="256"/>
      <c r="M2444" s="256"/>
      <c r="N2444" s="256"/>
      <c r="O2444" s="256"/>
      <c r="S2444" s="536"/>
      <c r="T2444" s="635"/>
    </row>
    <row r="2445" spans="1:68" s="298" customFormat="1" ht="25.5">
      <c r="A2445" s="256" t="s">
        <v>3259</v>
      </c>
      <c r="B2445" s="288">
        <v>88264</v>
      </c>
      <c r="C2445" s="289" t="s">
        <v>146</v>
      </c>
      <c r="D2445" s="290" t="s">
        <v>9714</v>
      </c>
      <c r="E2445" s="290" t="s">
        <v>206</v>
      </c>
      <c r="F2445" s="383">
        <v>1</v>
      </c>
      <c r="G2445" s="292" t="s">
        <v>16504</v>
      </c>
      <c r="H2445" s="255">
        <v>24.1</v>
      </c>
      <c r="J2445" s="634"/>
      <c r="S2445" s="536"/>
      <c r="T2445" s="635"/>
    </row>
    <row r="2446" spans="1:68" s="298" customFormat="1" ht="25.5">
      <c r="A2446" s="256" t="s">
        <v>3259</v>
      </c>
      <c r="B2446" s="374">
        <v>88247</v>
      </c>
      <c r="C2446" s="289" t="s">
        <v>145</v>
      </c>
      <c r="D2446" s="290" t="s">
        <v>9714</v>
      </c>
      <c r="E2446" s="290" t="s">
        <v>206</v>
      </c>
      <c r="F2446" s="383">
        <v>1</v>
      </c>
      <c r="G2446" s="292" t="s">
        <v>12206</v>
      </c>
      <c r="H2446" s="255">
        <v>18.739999999999998</v>
      </c>
      <c r="J2446" s="634"/>
      <c r="S2446" s="536"/>
      <c r="T2446" s="635"/>
    </row>
    <row r="2447" spans="1:68" s="298" customFormat="1">
      <c r="A2447" s="256"/>
      <c r="B2447" s="288" t="s">
        <v>143</v>
      </c>
      <c r="C2447" s="238" t="s">
        <v>16865</v>
      </c>
      <c r="D2447" s="386"/>
      <c r="E2447" s="386"/>
      <c r="F2447" s="386"/>
      <c r="G2447" s="386"/>
      <c r="H2447" s="387"/>
      <c r="J2447" s="521"/>
      <c r="L2447" s="648"/>
      <c r="M2447" s="648"/>
      <c r="S2447" s="536"/>
      <c r="T2447" s="635"/>
    </row>
    <row r="2448" spans="1:68" s="529" customFormat="1" ht="12.75">
      <c r="A2448" s="286"/>
      <c r="B2448" s="293"/>
      <c r="C2448" s="229"/>
      <c r="D2448" s="230"/>
      <c r="E2448" s="230"/>
      <c r="F2448" s="230"/>
      <c r="G2448" s="230"/>
      <c r="H2448" s="230"/>
      <c r="I2448" s="298"/>
      <c r="J2448" s="521"/>
      <c r="K2448" s="298"/>
      <c r="L2448" s="298"/>
      <c r="M2448" s="298"/>
      <c r="N2448" s="298"/>
      <c r="O2448" s="298"/>
      <c r="P2448" s="298"/>
      <c r="Q2448" s="298"/>
      <c r="R2448" s="298"/>
      <c r="S2448" s="536"/>
      <c r="T2448" s="635"/>
      <c r="U2448" s="298"/>
      <c r="V2448" s="298"/>
      <c r="W2448" s="298"/>
      <c r="X2448" s="298"/>
      <c r="Y2448" s="298"/>
      <c r="Z2448" s="298"/>
      <c r="AA2448" s="298"/>
      <c r="AB2448" s="298"/>
      <c r="AC2448" s="298"/>
      <c r="AD2448" s="298"/>
      <c r="AE2448" s="298"/>
      <c r="AF2448" s="298"/>
      <c r="AG2448" s="298"/>
      <c r="AH2448" s="298"/>
      <c r="AI2448" s="298"/>
      <c r="AJ2448" s="298"/>
      <c r="AK2448" s="298"/>
      <c r="AL2448" s="298"/>
      <c r="AM2448" s="298"/>
      <c r="AN2448" s="298"/>
      <c r="AO2448" s="298"/>
      <c r="AP2448" s="298"/>
      <c r="AQ2448" s="298"/>
      <c r="AR2448" s="298"/>
      <c r="AS2448" s="298"/>
      <c r="AT2448" s="298"/>
      <c r="AU2448" s="298"/>
      <c r="AV2448" s="298"/>
      <c r="AW2448" s="298"/>
      <c r="AX2448" s="298"/>
      <c r="AY2448" s="298"/>
      <c r="AZ2448" s="298"/>
      <c r="BA2448" s="298"/>
      <c r="BB2448" s="298"/>
      <c r="BC2448" s="298"/>
      <c r="BD2448" s="298"/>
      <c r="BE2448" s="298"/>
      <c r="BF2448" s="298"/>
      <c r="BG2448" s="298"/>
      <c r="BH2448" s="298"/>
      <c r="BI2448" s="298"/>
      <c r="BJ2448" s="298"/>
      <c r="BK2448" s="298"/>
      <c r="BL2448" s="298"/>
      <c r="BM2448" s="298"/>
      <c r="BN2448" s="298"/>
      <c r="BO2448" s="298"/>
      <c r="BP2448" s="298"/>
    </row>
    <row r="2449" spans="1:68" s="298" customFormat="1" ht="25.5">
      <c r="A2449" s="286"/>
      <c r="B2449" s="372" t="s">
        <v>15000</v>
      </c>
      <c r="C2449" s="581" t="s">
        <v>18331</v>
      </c>
      <c r="D2449" s="232" t="s">
        <v>103</v>
      </c>
      <c r="E2449" s="232" t="s">
        <v>109</v>
      </c>
      <c r="F2449" s="233"/>
      <c r="G2449" s="234"/>
      <c r="H2449" s="235">
        <v>5039.84</v>
      </c>
      <c r="J2449" s="521"/>
      <c r="L2449" s="256"/>
      <c r="M2449" s="256"/>
      <c r="N2449" s="256"/>
      <c r="O2449" s="256"/>
      <c r="S2449" s="536"/>
      <c r="T2449" s="635"/>
    </row>
    <row r="2450" spans="1:68" s="298" customFormat="1" ht="12.75">
      <c r="A2450" s="256" t="s">
        <v>12</v>
      </c>
      <c r="B2450" s="288" t="s">
        <v>15747</v>
      </c>
      <c r="C2450" s="289" t="s">
        <v>18651</v>
      </c>
      <c r="D2450" s="290" t="s">
        <v>207</v>
      </c>
      <c r="E2450" s="290" t="s">
        <v>109</v>
      </c>
      <c r="F2450" s="383">
        <v>1</v>
      </c>
      <c r="G2450" s="292">
        <v>4997</v>
      </c>
      <c r="H2450" s="255">
        <v>4997</v>
      </c>
      <c r="J2450" s="521"/>
      <c r="L2450" s="256"/>
      <c r="M2450" s="256"/>
      <c r="N2450" s="256"/>
      <c r="O2450" s="256"/>
      <c r="S2450" s="536"/>
      <c r="T2450" s="635"/>
    </row>
    <row r="2451" spans="1:68" s="298" customFormat="1" ht="25.5">
      <c r="A2451" s="256" t="s">
        <v>3259</v>
      </c>
      <c r="B2451" s="288">
        <v>88264</v>
      </c>
      <c r="C2451" s="289" t="s">
        <v>146</v>
      </c>
      <c r="D2451" s="290" t="s">
        <v>9714</v>
      </c>
      <c r="E2451" s="290" t="s">
        <v>206</v>
      </c>
      <c r="F2451" s="383">
        <v>1</v>
      </c>
      <c r="G2451" s="292" t="s">
        <v>16504</v>
      </c>
      <c r="H2451" s="255">
        <v>24.1</v>
      </c>
      <c r="J2451" s="634"/>
      <c r="S2451" s="536"/>
      <c r="T2451" s="635"/>
    </row>
    <row r="2452" spans="1:68" s="298" customFormat="1" ht="25.5">
      <c r="A2452" s="256" t="s">
        <v>3259</v>
      </c>
      <c r="B2452" s="374">
        <v>88247</v>
      </c>
      <c r="C2452" s="289" t="s">
        <v>145</v>
      </c>
      <c r="D2452" s="290" t="s">
        <v>9714</v>
      </c>
      <c r="E2452" s="290" t="s">
        <v>206</v>
      </c>
      <c r="F2452" s="383">
        <v>1</v>
      </c>
      <c r="G2452" s="292" t="s">
        <v>12206</v>
      </c>
      <c r="H2452" s="255">
        <v>18.739999999999998</v>
      </c>
      <c r="J2452" s="634"/>
      <c r="S2452" s="536"/>
      <c r="T2452" s="635"/>
    </row>
    <row r="2453" spans="1:68" s="298" customFormat="1">
      <c r="A2453" s="256"/>
      <c r="B2453" s="288" t="s">
        <v>143</v>
      </c>
      <c r="C2453" s="238" t="s">
        <v>16865</v>
      </c>
      <c r="D2453" s="386"/>
      <c r="E2453" s="386"/>
      <c r="F2453" s="386"/>
      <c r="G2453" s="386"/>
      <c r="H2453" s="387"/>
      <c r="J2453" s="521"/>
      <c r="L2453" s="648"/>
      <c r="M2453" s="648"/>
      <c r="S2453" s="536"/>
      <c r="T2453" s="635"/>
    </row>
    <row r="2454" spans="1:68" s="529" customFormat="1" ht="12.75">
      <c r="A2454" s="286"/>
      <c r="B2454" s="293"/>
      <c r="C2454" s="229"/>
      <c r="D2454" s="230"/>
      <c r="E2454" s="230"/>
      <c r="F2454" s="230"/>
      <c r="G2454" s="230"/>
      <c r="H2454" s="230"/>
      <c r="I2454" s="298"/>
      <c r="J2454" s="521"/>
      <c r="K2454" s="298"/>
      <c r="L2454" s="298"/>
      <c r="M2454" s="298"/>
      <c r="N2454" s="298"/>
      <c r="O2454" s="298"/>
      <c r="P2454" s="298"/>
      <c r="Q2454" s="298"/>
      <c r="R2454" s="298"/>
      <c r="S2454" s="536"/>
      <c r="T2454" s="635"/>
      <c r="U2454" s="298"/>
      <c r="V2454" s="298"/>
      <c r="W2454" s="298"/>
      <c r="X2454" s="298"/>
      <c r="Y2454" s="298"/>
      <c r="Z2454" s="298"/>
      <c r="AA2454" s="298"/>
      <c r="AB2454" s="298"/>
      <c r="AC2454" s="298"/>
      <c r="AD2454" s="298"/>
      <c r="AE2454" s="298"/>
      <c r="AF2454" s="298"/>
      <c r="AG2454" s="298"/>
      <c r="AH2454" s="298"/>
      <c r="AI2454" s="298"/>
      <c r="AJ2454" s="298"/>
      <c r="AK2454" s="298"/>
      <c r="AL2454" s="298"/>
      <c r="AM2454" s="298"/>
      <c r="AN2454" s="298"/>
      <c r="AO2454" s="298"/>
      <c r="AP2454" s="298"/>
      <c r="AQ2454" s="298"/>
      <c r="AR2454" s="298"/>
      <c r="AS2454" s="298"/>
      <c r="AT2454" s="298"/>
      <c r="AU2454" s="298"/>
      <c r="AV2454" s="298"/>
      <c r="AW2454" s="298"/>
      <c r="AX2454" s="298"/>
      <c r="AY2454" s="298"/>
      <c r="AZ2454" s="298"/>
      <c r="BA2454" s="298"/>
      <c r="BB2454" s="298"/>
      <c r="BC2454" s="298"/>
      <c r="BD2454" s="298"/>
      <c r="BE2454" s="298"/>
      <c r="BF2454" s="298"/>
      <c r="BG2454" s="298"/>
      <c r="BH2454" s="298"/>
      <c r="BI2454" s="298"/>
      <c r="BJ2454" s="298"/>
      <c r="BK2454" s="298"/>
      <c r="BL2454" s="298"/>
      <c r="BM2454" s="298"/>
      <c r="BN2454" s="298"/>
      <c r="BO2454" s="298"/>
      <c r="BP2454" s="298"/>
    </row>
    <row r="2455" spans="1:68" s="298" customFormat="1" ht="51">
      <c r="A2455" s="286"/>
      <c r="B2455" s="372" t="s">
        <v>15014</v>
      </c>
      <c r="C2455" s="581" t="s">
        <v>16904</v>
      </c>
      <c r="D2455" s="232" t="s">
        <v>103</v>
      </c>
      <c r="E2455" s="232" t="s">
        <v>109</v>
      </c>
      <c r="F2455" s="233"/>
      <c r="G2455" s="234"/>
      <c r="H2455" s="235">
        <v>6421.68</v>
      </c>
      <c r="J2455" s="521"/>
      <c r="L2455" s="256"/>
      <c r="M2455" s="256"/>
      <c r="N2455" s="256"/>
      <c r="O2455" s="256"/>
      <c r="S2455" s="536"/>
      <c r="T2455" s="635"/>
    </row>
    <row r="2456" spans="1:68" s="298" customFormat="1" ht="25.5">
      <c r="A2456" s="256" t="s">
        <v>12</v>
      </c>
      <c r="B2456" s="288" t="s">
        <v>15734</v>
      </c>
      <c r="C2456" s="289" t="s">
        <v>15742</v>
      </c>
      <c r="D2456" s="290" t="s">
        <v>207</v>
      </c>
      <c r="E2456" s="290" t="s">
        <v>109</v>
      </c>
      <c r="F2456" s="383">
        <v>1</v>
      </c>
      <c r="G2456" s="292">
        <v>6378.84</v>
      </c>
      <c r="H2456" s="255">
        <v>6378.84</v>
      </c>
      <c r="J2456" s="521"/>
      <c r="L2456" s="256"/>
      <c r="M2456" s="256"/>
      <c r="N2456" s="256"/>
      <c r="O2456" s="256"/>
      <c r="S2456" s="536"/>
      <c r="T2456" s="635"/>
    </row>
    <row r="2457" spans="1:68" s="298" customFormat="1" ht="25.5">
      <c r="A2457" s="256" t="s">
        <v>3259</v>
      </c>
      <c r="B2457" s="288">
        <v>88264</v>
      </c>
      <c r="C2457" s="289" t="s">
        <v>146</v>
      </c>
      <c r="D2457" s="290" t="s">
        <v>9714</v>
      </c>
      <c r="E2457" s="290" t="s">
        <v>206</v>
      </c>
      <c r="F2457" s="383">
        <v>1</v>
      </c>
      <c r="G2457" s="292" t="s">
        <v>16504</v>
      </c>
      <c r="H2457" s="255">
        <v>24.1</v>
      </c>
      <c r="J2457" s="634"/>
      <c r="S2457" s="536"/>
      <c r="T2457" s="635"/>
    </row>
    <row r="2458" spans="1:68" s="298" customFormat="1" ht="25.5">
      <c r="A2458" s="256" t="s">
        <v>3259</v>
      </c>
      <c r="B2458" s="374">
        <v>88247</v>
      </c>
      <c r="C2458" s="289" t="s">
        <v>145</v>
      </c>
      <c r="D2458" s="290" t="s">
        <v>9714</v>
      </c>
      <c r="E2458" s="290" t="s">
        <v>206</v>
      </c>
      <c r="F2458" s="383">
        <v>1</v>
      </c>
      <c r="G2458" s="292" t="s">
        <v>12206</v>
      </c>
      <c r="H2458" s="255">
        <v>18.739999999999998</v>
      </c>
      <c r="J2458" s="634"/>
      <c r="S2458" s="536"/>
      <c r="T2458" s="635"/>
    </row>
    <row r="2459" spans="1:68" s="298" customFormat="1">
      <c r="A2459" s="256"/>
      <c r="B2459" s="288" t="s">
        <v>143</v>
      </c>
      <c r="C2459" s="238" t="s">
        <v>16865</v>
      </c>
      <c r="D2459" s="386"/>
      <c r="E2459" s="386"/>
      <c r="F2459" s="386"/>
      <c r="G2459" s="386"/>
      <c r="H2459" s="387"/>
      <c r="J2459" s="521"/>
      <c r="L2459" s="648"/>
      <c r="M2459" s="648"/>
      <c r="S2459" s="536"/>
      <c r="T2459" s="635"/>
    </row>
    <row r="2460" spans="1:68" s="529" customFormat="1" ht="12.75">
      <c r="A2460" s="286"/>
      <c r="B2460" s="293"/>
      <c r="C2460" s="229"/>
      <c r="D2460" s="230"/>
      <c r="E2460" s="230"/>
      <c r="F2460" s="230"/>
      <c r="G2460" s="230"/>
      <c r="H2460" s="230"/>
      <c r="I2460" s="298"/>
      <c r="J2460" s="521"/>
      <c r="K2460" s="298"/>
      <c r="L2460" s="298"/>
      <c r="M2460" s="298"/>
      <c r="N2460" s="298"/>
      <c r="O2460" s="298"/>
      <c r="P2460" s="298"/>
      <c r="Q2460" s="298"/>
      <c r="R2460" s="298"/>
      <c r="S2460" s="536"/>
      <c r="T2460" s="635"/>
      <c r="U2460" s="298"/>
      <c r="V2460" s="298"/>
      <c r="W2460" s="298"/>
      <c r="X2460" s="298"/>
      <c r="Y2460" s="298"/>
      <c r="Z2460" s="298"/>
      <c r="AA2460" s="298"/>
      <c r="AB2460" s="298"/>
      <c r="AC2460" s="298"/>
      <c r="AD2460" s="298"/>
      <c r="AE2460" s="298"/>
      <c r="AF2460" s="298"/>
      <c r="AG2460" s="298"/>
      <c r="AH2460" s="298"/>
      <c r="AI2460" s="298"/>
      <c r="AJ2460" s="298"/>
      <c r="AK2460" s="298"/>
      <c r="AL2460" s="298"/>
      <c r="AM2460" s="298"/>
      <c r="AN2460" s="298"/>
      <c r="AO2460" s="298"/>
      <c r="AP2460" s="298"/>
      <c r="AQ2460" s="298"/>
      <c r="AR2460" s="298"/>
      <c r="AS2460" s="298"/>
      <c r="AT2460" s="298"/>
      <c r="AU2460" s="298"/>
      <c r="AV2460" s="298"/>
      <c r="AW2460" s="298"/>
      <c r="AX2460" s="298"/>
      <c r="AY2460" s="298"/>
      <c r="AZ2460" s="298"/>
      <c r="BA2460" s="298"/>
      <c r="BB2460" s="298"/>
      <c r="BC2460" s="298"/>
      <c r="BD2460" s="298"/>
      <c r="BE2460" s="298"/>
      <c r="BF2460" s="298"/>
      <c r="BG2460" s="298"/>
      <c r="BH2460" s="298"/>
      <c r="BI2460" s="298"/>
      <c r="BJ2460" s="298"/>
      <c r="BK2460" s="298"/>
      <c r="BL2460" s="298"/>
      <c r="BM2460" s="298"/>
      <c r="BN2460" s="298"/>
      <c r="BO2460" s="298"/>
      <c r="BP2460" s="298"/>
    </row>
    <row r="2461" spans="1:68" s="298" customFormat="1" ht="25.5">
      <c r="A2461" s="286"/>
      <c r="B2461" s="372" t="s">
        <v>15036</v>
      </c>
      <c r="C2461" s="581" t="s">
        <v>18354</v>
      </c>
      <c r="D2461" s="232" t="s">
        <v>103</v>
      </c>
      <c r="E2461" s="232" t="s">
        <v>109</v>
      </c>
      <c r="F2461" s="233"/>
      <c r="G2461" s="234"/>
      <c r="H2461" s="235">
        <v>1734.0000000000002</v>
      </c>
      <c r="J2461" s="521"/>
      <c r="L2461" s="256"/>
      <c r="M2461" s="256"/>
      <c r="N2461" s="256"/>
      <c r="O2461" s="256"/>
      <c r="S2461" s="536"/>
      <c r="T2461" s="635"/>
    </row>
    <row r="2462" spans="1:68" s="298" customFormat="1" ht="25.5">
      <c r="A2462" s="256" t="s">
        <v>12</v>
      </c>
      <c r="B2462" s="288" t="s">
        <v>15739</v>
      </c>
      <c r="C2462" s="289" t="s">
        <v>18294</v>
      </c>
      <c r="D2462" s="290" t="s">
        <v>207</v>
      </c>
      <c r="E2462" s="290" t="s">
        <v>109</v>
      </c>
      <c r="F2462" s="383">
        <v>1</v>
      </c>
      <c r="G2462" s="292">
        <v>1680.7142857142858</v>
      </c>
      <c r="H2462" s="255">
        <v>1680.71</v>
      </c>
      <c r="J2462" s="521"/>
      <c r="L2462" s="256"/>
      <c r="M2462" s="256"/>
      <c r="N2462" s="256"/>
      <c r="O2462" s="256"/>
      <c r="S2462" s="536"/>
      <c r="T2462" s="635"/>
    </row>
    <row r="2463" spans="1:68" s="298" customFormat="1" ht="25.5">
      <c r="A2463" s="256" t="s">
        <v>3259</v>
      </c>
      <c r="B2463" s="374">
        <v>100308</v>
      </c>
      <c r="C2463" s="289" t="s">
        <v>4542</v>
      </c>
      <c r="D2463" s="290" t="s">
        <v>9714</v>
      </c>
      <c r="E2463" s="290" t="s">
        <v>206</v>
      </c>
      <c r="F2463" s="383">
        <v>1</v>
      </c>
      <c r="G2463" s="292" t="s">
        <v>9767</v>
      </c>
      <c r="H2463" s="255">
        <v>26.88</v>
      </c>
      <c r="J2463" s="634"/>
      <c r="S2463" s="536"/>
      <c r="T2463" s="635"/>
    </row>
    <row r="2464" spans="1:68" s="298" customFormat="1" ht="25.5">
      <c r="A2464" s="256" t="s">
        <v>3259</v>
      </c>
      <c r="B2464" s="374">
        <v>88316</v>
      </c>
      <c r="C2464" s="289" t="s">
        <v>104</v>
      </c>
      <c r="D2464" s="290" t="s">
        <v>9714</v>
      </c>
      <c r="E2464" s="290" t="s">
        <v>206</v>
      </c>
      <c r="F2464" s="383">
        <v>1.5</v>
      </c>
      <c r="G2464" s="292" t="s">
        <v>10172</v>
      </c>
      <c r="H2464" s="255">
        <v>26.41</v>
      </c>
      <c r="J2464" s="634"/>
      <c r="S2464" s="536"/>
      <c r="T2464" s="635"/>
    </row>
    <row r="2465" spans="1:68" s="298" customFormat="1">
      <c r="A2465" s="256"/>
      <c r="B2465" s="288" t="s">
        <v>143</v>
      </c>
      <c r="C2465" s="238" t="s">
        <v>16874</v>
      </c>
      <c r="D2465" s="386"/>
      <c r="E2465" s="386"/>
      <c r="F2465" s="386"/>
      <c r="G2465" s="386"/>
      <c r="H2465" s="387"/>
      <c r="J2465" s="521"/>
      <c r="L2465" s="648"/>
      <c r="M2465" s="648"/>
      <c r="S2465" s="536"/>
      <c r="T2465" s="635"/>
    </row>
    <row r="2466" spans="1:68" s="529" customFormat="1" ht="12.75">
      <c r="A2466" s="286"/>
      <c r="B2466" s="293"/>
      <c r="C2466" s="229"/>
      <c r="D2466" s="230"/>
      <c r="E2466" s="230"/>
      <c r="F2466" s="230"/>
      <c r="G2466" s="230"/>
      <c r="H2466" s="230"/>
      <c r="I2466" s="298"/>
      <c r="J2466" s="521"/>
      <c r="K2466" s="298"/>
      <c r="L2466" s="298"/>
      <c r="M2466" s="298"/>
      <c r="N2466" s="298"/>
      <c r="O2466" s="298"/>
      <c r="P2466" s="298"/>
      <c r="Q2466" s="298"/>
      <c r="R2466" s="298"/>
      <c r="S2466" s="536"/>
      <c r="T2466" s="635"/>
      <c r="U2466" s="298"/>
      <c r="V2466" s="298"/>
      <c r="W2466" s="298"/>
      <c r="X2466" s="298"/>
      <c r="Y2466" s="298"/>
      <c r="Z2466" s="298"/>
      <c r="AA2466" s="298"/>
      <c r="AB2466" s="298"/>
      <c r="AC2466" s="298"/>
      <c r="AD2466" s="298"/>
      <c r="AE2466" s="298"/>
      <c r="AF2466" s="298"/>
      <c r="AG2466" s="298"/>
      <c r="AH2466" s="298"/>
      <c r="AI2466" s="298"/>
      <c r="AJ2466" s="298"/>
      <c r="AK2466" s="298"/>
      <c r="AL2466" s="298"/>
      <c r="AM2466" s="298"/>
      <c r="AN2466" s="298"/>
      <c r="AO2466" s="298"/>
      <c r="AP2466" s="298"/>
      <c r="AQ2466" s="298"/>
      <c r="AR2466" s="298"/>
      <c r="AS2466" s="298"/>
      <c r="AT2466" s="298"/>
      <c r="AU2466" s="298"/>
      <c r="AV2466" s="298"/>
      <c r="AW2466" s="298"/>
      <c r="AX2466" s="298"/>
      <c r="AY2466" s="298"/>
      <c r="AZ2466" s="298"/>
      <c r="BA2466" s="298"/>
      <c r="BB2466" s="298"/>
      <c r="BC2466" s="298"/>
      <c r="BD2466" s="298"/>
      <c r="BE2466" s="298"/>
      <c r="BF2466" s="298"/>
      <c r="BG2466" s="298"/>
      <c r="BH2466" s="298"/>
      <c r="BI2466" s="298"/>
      <c r="BJ2466" s="298"/>
      <c r="BK2466" s="298"/>
      <c r="BL2466" s="298"/>
      <c r="BM2466" s="298"/>
      <c r="BN2466" s="298"/>
      <c r="BO2466" s="298"/>
      <c r="BP2466" s="298"/>
    </row>
    <row r="2467" spans="1:68" s="298" customFormat="1" ht="25.5">
      <c r="A2467" s="286"/>
      <c r="B2467" s="372" t="s">
        <v>15048</v>
      </c>
      <c r="C2467" s="581" t="s">
        <v>18355</v>
      </c>
      <c r="D2467" s="232" t="s">
        <v>103</v>
      </c>
      <c r="E2467" s="232" t="s">
        <v>109</v>
      </c>
      <c r="F2467" s="233"/>
      <c r="G2467" s="234"/>
      <c r="H2467" s="235">
        <v>1789.9</v>
      </c>
      <c r="J2467" s="521"/>
      <c r="L2467" s="256"/>
      <c r="M2467" s="256"/>
      <c r="N2467" s="256"/>
      <c r="O2467" s="256"/>
      <c r="S2467" s="536"/>
      <c r="T2467" s="635"/>
    </row>
    <row r="2468" spans="1:68" s="298" customFormat="1" ht="25.5">
      <c r="A2468" s="256" t="s">
        <v>12</v>
      </c>
      <c r="B2468" s="288" t="s">
        <v>15740</v>
      </c>
      <c r="C2468" s="289" t="s">
        <v>18295</v>
      </c>
      <c r="D2468" s="290" t="s">
        <v>207</v>
      </c>
      <c r="E2468" s="290" t="s">
        <v>109</v>
      </c>
      <c r="F2468" s="383">
        <v>1</v>
      </c>
      <c r="G2468" s="292">
        <v>1736.61</v>
      </c>
      <c r="H2468" s="255">
        <v>1736.61</v>
      </c>
      <c r="J2468" s="521"/>
      <c r="L2468" s="256"/>
      <c r="M2468" s="256"/>
      <c r="N2468" s="256"/>
      <c r="O2468" s="256"/>
      <c r="S2468" s="536"/>
      <c r="T2468" s="635"/>
    </row>
    <row r="2469" spans="1:68" s="298" customFormat="1" ht="25.5">
      <c r="A2469" s="256" t="s">
        <v>3259</v>
      </c>
      <c r="B2469" s="374">
        <v>100308</v>
      </c>
      <c r="C2469" s="289" t="s">
        <v>4542</v>
      </c>
      <c r="D2469" s="290" t="s">
        <v>9714</v>
      </c>
      <c r="E2469" s="290" t="s">
        <v>206</v>
      </c>
      <c r="F2469" s="383">
        <v>1</v>
      </c>
      <c r="G2469" s="292" t="s">
        <v>9767</v>
      </c>
      <c r="H2469" s="255">
        <v>26.88</v>
      </c>
      <c r="J2469" s="634"/>
      <c r="S2469" s="536"/>
      <c r="T2469" s="635"/>
    </row>
    <row r="2470" spans="1:68" s="298" customFormat="1" ht="25.5">
      <c r="A2470" s="256" t="s">
        <v>3259</v>
      </c>
      <c r="B2470" s="374">
        <v>88316</v>
      </c>
      <c r="C2470" s="289" t="s">
        <v>104</v>
      </c>
      <c r="D2470" s="290" t="s">
        <v>9714</v>
      </c>
      <c r="E2470" s="290" t="s">
        <v>206</v>
      </c>
      <c r="F2470" s="383">
        <v>1.5</v>
      </c>
      <c r="G2470" s="292" t="s">
        <v>10172</v>
      </c>
      <c r="H2470" s="255">
        <v>26.41</v>
      </c>
      <c r="J2470" s="634"/>
      <c r="S2470" s="536"/>
      <c r="T2470" s="635"/>
    </row>
    <row r="2471" spans="1:68" s="298" customFormat="1">
      <c r="A2471" s="256"/>
      <c r="B2471" s="288" t="s">
        <v>143</v>
      </c>
      <c r="C2471" s="238" t="s">
        <v>16874</v>
      </c>
      <c r="D2471" s="386"/>
      <c r="E2471" s="386"/>
      <c r="F2471" s="386"/>
      <c r="G2471" s="386"/>
      <c r="H2471" s="387"/>
      <c r="J2471" s="521"/>
      <c r="L2471" s="648"/>
      <c r="M2471" s="648"/>
      <c r="S2471" s="536"/>
      <c r="T2471" s="635"/>
    </row>
    <row r="2472" spans="1:68" s="529" customFormat="1" ht="12.75">
      <c r="A2472" s="286"/>
      <c r="B2472" s="293"/>
      <c r="C2472" s="229"/>
      <c r="D2472" s="230"/>
      <c r="E2472" s="230"/>
      <c r="F2472" s="230"/>
      <c r="G2472" s="230"/>
      <c r="H2472" s="230"/>
      <c r="I2472" s="298"/>
      <c r="J2472" s="521"/>
      <c r="K2472" s="298"/>
      <c r="L2472" s="298"/>
      <c r="M2472" s="298"/>
      <c r="N2472" s="298"/>
      <c r="O2472" s="298"/>
      <c r="P2472" s="298"/>
      <c r="Q2472" s="298"/>
      <c r="R2472" s="298"/>
      <c r="S2472" s="536"/>
      <c r="T2472" s="635"/>
      <c r="U2472" s="298"/>
      <c r="V2472" s="298"/>
      <c r="W2472" s="298"/>
      <c r="X2472" s="298"/>
      <c r="Y2472" s="298"/>
      <c r="Z2472" s="298"/>
      <c r="AA2472" s="298"/>
      <c r="AB2472" s="298"/>
      <c r="AC2472" s="298"/>
      <c r="AD2472" s="298"/>
      <c r="AE2472" s="298"/>
      <c r="AF2472" s="298"/>
      <c r="AG2472" s="298"/>
      <c r="AH2472" s="298"/>
      <c r="AI2472" s="298"/>
      <c r="AJ2472" s="298"/>
      <c r="AK2472" s="298"/>
      <c r="AL2472" s="298"/>
      <c r="AM2472" s="298"/>
      <c r="AN2472" s="298"/>
      <c r="AO2472" s="298"/>
      <c r="AP2472" s="298"/>
      <c r="AQ2472" s="298"/>
      <c r="AR2472" s="298"/>
      <c r="AS2472" s="298"/>
      <c r="AT2472" s="298"/>
      <c r="AU2472" s="298"/>
      <c r="AV2472" s="298"/>
      <c r="AW2472" s="298"/>
      <c r="AX2472" s="298"/>
      <c r="AY2472" s="298"/>
      <c r="AZ2472" s="298"/>
      <c r="BA2472" s="298"/>
      <c r="BB2472" s="298"/>
      <c r="BC2472" s="298"/>
      <c r="BD2472" s="298"/>
      <c r="BE2472" s="298"/>
      <c r="BF2472" s="298"/>
      <c r="BG2472" s="298"/>
      <c r="BH2472" s="298"/>
      <c r="BI2472" s="298"/>
      <c r="BJ2472" s="298"/>
      <c r="BK2472" s="298"/>
      <c r="BL2472" s="298"/>
      <c r="BM2472" s="298"/>
      <c r="BN2472" s="298"/>
      <c r="BO2472" s="298"/>
      <c r="BP2472" s="298"/>
    </row>
    <row r="2473" spans="1:68" s="298" customFormat="1" ht="25.5">
      <c r="A2473" s="286"/>
      <c r="B2473" s="372" t="s">
        <v>16875</v>
      </c>
      <c r="C2473" s="581" t="s">
        <v>18356</v>
      </c>
      <c r="D2473" s="232" t="s">
        <v>103</v>
      </c>
      <c r="E2473" s="232" t="s">
        <v>109</v>
      </c>
      <c r="F2473" s="233"/>
      <c r="G2473" s="234"/>
      <c r="H2473" s="235">
        <v>1762.1800000000003</v>
      </c>
      <c r="J2473" s="521"/>
      <c r="L2473" s="256"/>
      <c r="M2473" s="256"/>
      <c r="N2473" s="256"/>
      <c r="O2473" s="256"/>
      <c r="S2473" s="536"/>
      <c r="T2473" s="635"/>
    </row>
    <row r="2474" spans="1:68" s="298" customFormat="1" ht="25.5">
      <c r="A2474" s="256" t="s">
        <v>12</v>
      </c>
      <c r="B2474" s="288" t="s">
        <v>15741</v>
      </c>
      <c r="C2474" s="289" t="s">
        <v>18296</v>
      </c>
      <c r="D2474" s="290" t="s">
        <v>207</v>
      </c>
      <c r="E2474" s="290" t="s">
        <v>109</v>
      </c>
      <c r="F2474" s="383">
        <v>1</v>
      </c>
      <c r="G2474" s="292">
        <v>1708.89</v>
      </c>
      <c r="H2474" s="255">
        <v>1708.89</v>
      </c>
      <c r="J2474" s="521"/>
      <c r="L2474" s="256"/>
      <c r="M2474" s="256"/>
      <c r="N2474" s="256"/>
      <c r="O2474" s="256"/>
      <c r="S2474" s="536"/>
      <c r="T2474" s="635"/>
    </row>
    <row r="2475" spans="1:68" s="298" customFormat="1" ht="25.5">
      <c r="A2475" s="256" t="s">
        <v>3259</v>
      </c>
      <c r="B2475" s="374">
        <v>100308</v>
      </c>
      <c r="C2475" s="289" t="s">
        <v>4542</v>
      </c>
      <c r="D2475" s="290" t="s">
        <v>9714</v>
      </c>
      <c r="E2475" s="290" t="s">
        <v>206</v>
      </c>
      <c r="F2475" s="383">
        <v>1</v>
      </c>
      <c r="G2475" s="292" t="s">
        <v>9767</v>
      </c>
      <c r="H2475" s="255">
        <v>26.88</v>
      </c>
      <c r="J2475" s="634"/>
      <c r="S2475" s="536"/>
      <c r="T2475" s="635"/>
    </row>
    <row r="2476" spans="1:68" s="298" customFormat="1" ht="25.5">
      <c r="A2476" s="256" t="s">
        <v>3259</v>
      </c>
      <c r="B2476" s="374">
        <v>88316</v>
      </c>
      <c r="C2476" s="289" t="s">
        <v>104</v>
      </c>
      <c r="D2476" s="290" t="s">
        <v>9714</v>
      </c>
      <c r="E2476" s="290" t="s">
        <v>206</v>
      </c>
      <c r="F2476" s="383">
        <v>1.5</v>
      </c>
      <c r="G2476" s="292" t="s">
        <v>10172</v>
      </c>
      <c r="H2476" s="255">
        <v>26.41</v>
      </c>
      <c r="J2476" s="634"/>
      <c r="S2476" s="536"/>
      <c r="T2476" s="635"/>
    </row>
    <row r="2477" spans="1:68" s="298" customFormat="1">
      <c r="A2477" s="256"/>
      <c r="B2477" s="288" t="s">
        <v>143</v>
      </c>
      <c r="C2477" s="238" t="s">
        <v>16874</v>
      </c>
      <c r="D2477" s="386"/>
      <c r="E2477" s="386"/>
      <c r="F2477" s="386"/>
      <c r="G2477" s="386"/>
      <c r="H2477" s="387"/>
      <c r="J2477" s="521"/>
      <c r="L2477" s="648"/>
      <c r="M2477" s="648"/>
      <c r="S2477" s="536"/>
      <c r="T2477" s="635"/>
    </row>
    <row r="2478" spans="1:68" s="529" customFormat="1" ht="12.75">
      <c r="A2478" s="286"/>
      <c r="B2478" s="293"/>
      <c r="C2478" s="229"/>
      <c r="D2478" s="230"/>
      <c r="E2478" s="230"/>
      <c r="F2478" s="230"/>
      <c r="G2478" s="230"/>
      <c r="H2478" s="230"/>
      <c r="I2478" s="298"/>
      <c r="J2478" s="521"/>
      <c r="K2478" s="298"/>
      <c r="L2478" s="298"/>
      <c r="M2478" s="298"/>
      <c r="N2478" s="298"/>
      <c r="O2478" s="298"/>
      <c r="P2478" s="298"/>
      <c r="Q2478" s="298"/>
      <c r="R2478" s="298"/>
      <c r="S2478" s="536"/>
      <c r="T2478" s="635"/>
      <c r="U2478" s="298"/>
      <c r="V2478" s="298"/>
      <c r="W2478" s="298"/>
      <c r="X2478" s="298"/>
      <c r="Y2478" s="298"/>
      <c r="Z2478" s="298"/>
      <c r="AA2478" s="298"/>
      <c r="AB2478" s="298"/>
      <c r="AC2478" s="298"/>
      <c r="AD2478" s="298"/>
      <c r="AE2478" s="298"/>
      <c r="AF2478" s="298"/>
      <c r="AG2478" s="298"/>
      <c r="AH2478" s="298"/>
      <c r="AI2478" s="298"/>
      <c r="AJ2478" s="298"/>
      <c r="AK2478" s="298"/>
      <c r="AL2478" s="298"/>
      <c r="AM2478" s="298"/>
      <c r="AN2478" s="298"/>
      <c r="AO2478" s="298"/>
      <c r="AP2478" s="298"/>
      <c r="AQ2478" s="298"/>
      <c r="AR2478" s="298"/>
      <c r="AS2478" s="298"/>
      <c r="AT2478" s="298"/>
      <c r="AU2478" s="298"/>
      <c r="AV2478" s="298"/>
      <c r="AW2478" s="298"/>
      <c r="AX2478" s="298"/>
      <c r="AY2478" s="298"/>
      <c r="AZ2478" s="298"/>
      <c r="BA2478" s="298"/>
      <c r="BB2478" s="298"/>
      <c r="BC2478" s="298"/>
      <c r="BD2478" s="298"/>
      <c r="BE2478" s="298"/>
      <c r="BF2478" s="298"/>
      <c r="BG2478" s="298"/>
      <c r="BH2478" s="298"/>
      <c r="BI2478" s="298"/>
      <c r="BJ2478" s="298"/>
      <c r="BK2478" s="298"/>
      <c r="BL2478" s="298"/>
      <c r="BM2478" s="298"/>
      <c r="BN2478" s="298"/>
      <c r="BO2478" s="298"/>
      <c r="BP2478" s="298"/>
    </row>
    <row r="2479" spans="1:68" s="525" customFormat="1" ht="38.25">
      <c r="B2479" s="372" t="s">
        <v>16876</v>
      </c>
      <c r="C2479" s="582" t="s">
        <v>18327</v>
      </c>
      <c r="D2479" s="526" t="s">
        <v>103</v>
      </c>
      <c r="E2479" s="526" t="s">
        <v>10</v>
      </c>
      <c r="F2479" s="527"/>
      <c r="G2479" s="528"/>
      <c r="H2479" s="528">
        <v>2355.35</v>
      </c>
      <c r="I2479" s="298"/>
      <c r="J2479" s="521"/>
      <c r="K2479" s="298"/>
      <c r="L2479" s="298"/>
      <c r="M2479" s="298"/>
      <c r="N2479" s="298"/>
      <c r="O2479" s="298"/>
      <c r="P2479" s="298"/>
      <c r="Q2479" s="298"/>
      <c r="R2479" s="298"/>
      <c r="S2479" s="536"/>
      <c r="T2479" s="635"/>
      <c r="U2479" s="298"/>
      <c r="V2479" s="298"/>
      <c r="W2479" s="298"/>
      <c r="X2479" s="298"/>
      <c r="Y2479" s="298"/>
      <c r="Z2479" s="298"/>
      <c r="AA2479" s="298"/>
      <c r="AB2479" s="298"/>
      <c r="AC2479" s="298"/>
      <c r="AD2479" s="298"/>
      <c r="AE2479" s="298"/>
      <c r="AF2479" s="298"/>
      <c r="AG2479" s="298"/>
      <c r="AH2479" s="298"/>
      <c r="AI2479" s="298"/>
      <c r="AJ2479" s="298"/>
      <c r="AK2479" s="298"/>
      <c r="AL2479" s="298"/>
      <c r="AM2479" s="298"/>
      <c r="AN2479" s="298"/>
      <c r="AO2479" s="298"/>
      <c r="AP2479" s="298"/>
      <c r="AQ2479" s="298"/>
      <c r="AR2479" s="298"/>
      <c r="AS2479" s="298"/>
      <c r="AT2479" s="298"/>
      <c r="AU2479" s="298"/>
      <c r="AV2479" s="298"/>
      <c r="AW2479" s="298"/>
      <c r="AX2479" s="298"/>
      <c r="AY2479" s="298"/>
      <c r="AZ2479" s="298"/>
      <c r="BA2479" s="298"/>
      <c r="BB2479" s="298"/>
      <c r="BC2479" s="298"/>
      <c r="BD2479" s="298"/>
      <c r="BE2479" s="298"/>
      <c r="BF2479" s="298"/>
      <c r="BG2479" s="298"/>
      <c r="BH2479" s="298"/>
      <c r="BI2479" s="298"/>
      <c r="BJ2479" s="298"/>
      <c r="BK2479" s="298"/>
      <c r="BL2479" s="298"/>
      <c r="BM2479" s="298"/>
      <c r="BN2479" s="298"/>
      <c r="BO2479" s="298"/>
      <c r="BP2479" s="298"/>
    </row>
    <row r="2480" spans="1:68" s="529" customFormat="1" ht="51">
      <c r="A2480" s="256" t="s">
        <v>3261</v>
      </c>
      <c r="B2480" s="288">
        <v>42424</v>
      </c>
      <c r="C2480" s="289" t="s">
        <v>4789</v>
      </c>
      <c r="D2480" s="290" t="s">
        <v>207</v>
      </c>
      <c r="E2480" s="290" t="s">
        <v>3240</v>
      </c>
      <c r="F2480" s="383">
        <v>1</v>
      </c>
      <c r="G2480" s="292" t="s">
        <v>18894</v>
      </c>
      <c r="H2480" s="255">
        <v>1972.63</v>
      </c>
      <c r="I2480" s="298"/>
      <c r="J2480" s="521"/>
      <c r="K2480" s="298"/>
      <c r="L2480" s="298"/>
      <c r="M2480" s="298"/>
      <c r="N2480" s="298"/>
      <c r="O2480" s="298"/>
      <c r="P2480" s="298"/>
      <c r="Q2480" s="298"/>
      <c r="R2480" s="298"/>
      <c r="S2480" s="536"/>
      <c r="T2480" s="635"/>
      <c r="U2480" s="298"/>
      <c r="V2480" s="298"/>
      <c r="W2480" s="298"/>
      <c r="X2480" s="298"/>
      <c r="Y2480" s="298"/>
      <c r="Z2480" s="298"/>
      <c r="AA2480" s="298"/>
      <c r="AB2480" s="298"/>
      <c r="AC2480" s="298"/>
      <c r="AD2480" s="298"/>
      <c r="AE2480" s="298"/>
      <c r="AF2480" s="298"/>
      <c r="AG2480" s="298"/>
      <c r="AH2480" s="298"/>
      <c r="AI2480" s="298"/>
      <c r="AJ2480" s="298"/>
      <c r="AK2480" s="298"/>
      <c r="AL2480" s="298"/>
      <c r="AM2480" s="298"/>
      <c r="AN2480" s="298"/>
      <c r="AO2480" s="298"/>
      <c r="AP2480" s="298"/>
      <c r="AQ2480" s="298"/>
      <c r="AR2480" s="298"/>
      <c r="AS2480" s="298"/>
      <c r="AT2480" s="298"/>
      <c r="AU2480" s="298"/>
      <c r="AV2480" s="298"/>
      <c r="AW2480" s="298"/>
      <c r="AX2480" s="298"/>
      <c r="AY2480" s="298"/>
      <c r="AZ2480" s="298"/>
      <c r="BA2480" s="298"/>
      <c r="BB2480" s="298"/>
      <c r="BC2480" s="298"/>
      <c r="BD2480" s="298"/>
      <c r="BE2480" s="298"/>
      <c r="BF2480" s="298"/>
      <c r="BG2480" s="298"/>
      <c r="BH2480" s="298"/>
      <c r="BI2480" s="298"/>
      <c r="BJ2480" s="298"/>
      <c r="BK2480" s="298"/>
      <c r="BL2480" s="298"/>
      <c r="BM2480" s="298"/>
      <c r="BN2480" s="298"/>
      <c r="BO2480" s="298"/>
      <c r="BP2480" s="298"/>
    </row>
    <row r="2481" spans="1:68" s="529" customFormat="1" ht="25.5">
      <c r="A2481" s="256" t="s">
        <v>3259</v>
      </c>
      <c r="B2481" s="374">
        <v>88243</v>
      </c>
      <c r="C2481" s="289" t="s">
        <v>3048</v>
      </c>
      <c r="D2481" s="290" t="s">
        <v>9714</v>
      </c>
      <c r="E2481" s="290" t="s">
        <v>206</v>
      </c>
      <c r="F2481" s="383">
        <v>8</v>
      </c>
      <c r="G2481" s="292" t="s">
        <v>11563</v>
      </c>
      <c r="H2481" s="255">
        <v>167.68</v>
      </c>
      <c r="I2481" s="298"/>
      <c r="J2481" s="521"/>
      <c r="K2481" s="298"/>
      <c r="L2481" s="298"/>
      <c r="M2481" s="298"/>
      <c r="N2481" s="298"/>
      <c r="O2481" s="298"/>
      <c r="P2481" s="298"/>
      <c r="Q2481" s="298"/>
      <c r="R2481" s="298"/>
      <c r="S2481" s="536"/>
      <c r="T2481" s="635"/>
      <c r="U2481" s="298"/>
      <c r="V2481" s="298"/>
      <c r="W2481" s="298"/>
      <c r="X2481" s="298"/>
      <c r="Y2481" s="298"/>
      <c r="Z2481" s="298"/>
      <c r="AA2481" s="298"/>
      <c r="AB2481" s="298"/>
      <c r="AC2481" s="298"/>
      <c r="AD2481" s="298"/>
      <c r="AE2481" s="298"/>
      <c r="AF2481" s="298"/>
      <c r="AG2481" s="298"/>
      <c r="AH2481" s="298"/>
      <c r="AI2481" s="298"/>
      <c r="AJ2481" s="298"/>
      <c r="AK2481" s="298"/>
      <c r="AL2481" s="298"/>
      <c r="AM2481" s="298"/>
      <c r="AN2481" s="298"/>
      <c r="AO2481" s="298"/>
      <c r="AP2481" s="298"/>
      <c r="AQ2481" s="298"/>
      <c r="AR2481" s="298"/>
      <c r="AS2481" s="298"/>
      <c r="AT2481" s="298"/>
      <c r="AU2481" s="298"/>
      <c r="AV2481" s="298"/>
      <c r="AW2481" s="298"/>
      <c r="AX2481" s="298"/>
      <c r="AY2481" s="298"/>
      <c r="AZ2481" s="298"/>
      <c r="BA2481" s="298"/>
      <c r="BB2481" s="298"/>
      <c r="BC2481" s="298"/>
      <c r="BD2481" s="298"/>
      <c r="BE2481" s="298"/>
      <c r="BF2481" s="298"/>
      <c r="BG2481" s="298"/>
      <c r="BH2481" s="298"/>
      <c r="BI2481" s="298"/>
      <c r="BJ2481" s="298"/>
      <c r="BK2481" s="298"/>
      <c r="BL2481" s="298"/>
      <c r="BM2481" s="298"/>
      <c r="BN2481" s="298"/>
      <c r="BO2481" s="298"/>
      <c r="BP2481" s="298"/>
    </row>
    <row r="2482" spans="1:68" s="529" customFormat="1" ht="25.5">
      <c r="A2482" s="256" t="s">
        <v>3259</v>
      </c>
      <c r="B2482" s="374">
        <v>100308</v>
      </c>
      <c r="C2482" s="289" t="s">
        <v>4542</v>
      </c>
      <c r="D2482" s="290" t="s">
        <v>9714</v>
      </c>
      <c r="E2482" s="290" t="s">
        <v>206</v>
      </c>
      <c r="F2482" s="383">
        <v>8</v>
      </c>
      <c r="G2482" s="292" t="s">
        <v>9767</v>
      </c>
      <c r="H2482" s="255">
        <v>215.04</v>
      </c>
      <c r="I2482" s="298"/>
      <c r="J2482" s="521"/>
      <c r="K2482" s="298"/>
      <c r="L2482" s="298"/>
      <c r="M2482" s="298"/>
      <c r="N2482" s="298"/>
      <c r="O2482" s="298"/>
      <c r="P2482" s="298"/>
      <c r="Q2482" s="298"/>
      <c r="R2482" s="298"/>
      <c r="S2482" s="536"/>
      <c r="T2482" s="635"/>
      <c r="U2482" s="298"/>
      <c r="V2482" s="298"/>
      <c r="W2482" s="298"/>
      <c r="X2482" s="298"/>
      <c r="Y2482" s="298"/>
      <c r="Z2482" s="298"/>
      <c r="AA2482" s="298"/>
      <c r="AB2482" s="298"/>
      <c r="AC2482" s="298"/>
      <c r="AD2482" s="298"/>
      <c r="AE2482" s="298"/>
      <c r="AF2482" s="298"/>
      <c r="AG2482" s="298"/>
      <c r="AH2482" s="298"/>
      <c r="AI2482" s="298"/>
      <c r="AJ2482" s="298"/>
      <c r="AK2482" s="298"/>
      <c r="AL2482" s="298"/>
      <c r="AM2482" s="298"/>
      <c r="AN2482" s="298"/>
      <c r="AO2482" s="298"/>
      <c r="AP2482" s="298"/>
      <c r="AQ2482" s="298"/>
      <c r="AR2482" s="298"/>
      <c r="AS2482" s="298"/>
      <c r="AT2482" s="298"/>
      <c r="AU2482" s="298"/>
      <c r="AV2482" s="298"/>
      <c r="AW2482" s="298"/>
      <c r="AX2482" s="298"/>
      <c r="AY2482" s="298"/>
      <c r="AZ2482" s="298"/>
      <c r="BA2482" s="298"/>
      <c r="BB2482" s="298"/>
      <c r="BC2482" s="298"/>
      <c r="BD2482" s="298"/>
      <c r="BE2482" s="298"/>
      <c r="BF2482" s="298"/>
      <c r="BG2482" s="298"/>
      <c r="BH2482" s="298"/>
      <c r="BI2482" s="298"/>
      <c r="BJ2482" s="298"/>
      <c r="BK2482" s="298"/>
      <c r="BL2482" s="298"/>
      <c r="BM2482" s="298"/>
      <c r="BN2482" s="298"/>
      <c r="BO2482" s="298"/>
      <c r="BP2482" s="298"/>
    </row>
    <row r="2483" spans="1:68" s="529" customFormat="1" ht="12.75">
      <c r="B2483" s="288" t="s">
        <v>143</v>
      </c>
      <c r="C2483" s="816" t="s">
        <v>16819</v>
      </c>
      <c r="D2483" s="817"/>
      <c r="E2483" s="817"/>
      <c r="F2483" s="817"/>
      <c r="G2483" s="817"/>
      <c r="H2483" s="818"/>
      <c r="I2483" s="298"/>
      <c r="J2483" s="521"/>
      <c r="K2483" s="298"/>
      <c r="L2483" s="298"/>
      <c r="M2483" s="298"/>
      <c r="N2483" s="298"/>
      <c r="O2483" s="298"/>
      <c r="P2483" s="298"/>
      <c r="Q2483" s="298"/>
      <c r="R2483" s="298"/>
      <c r="S2483" s="536"/>
      <c r="T2483" s="635"/>
      <c r="U2483" s="298"/>
      <c r="V2483" s="298"/>
      <c r="W2483" s="298"/>
      <c r="X2483" s="298"/>
      <c r="Y2483" s="298"/>
      <c r="Z2483" s="298"/>
      <c r="AA2483" s="298"/>
      <c r="AB2483" s="298"/>
      <c r="AC2483" s="298"/>
      <c r="AD2483" s="298"/>
      <c r="AE2483" s="298"/>
      <c r="AF2483" s="298"/>
      <c r="AG2483" s="298"/>
      <c r="AH2483" s="298"/>
      <c r="AI2483" s="298"/>
      <c r="AJ2483" s="298"/>
      <c r="AK2483" s="298"/>
      <c r="AL2483" s="298"/>
      <c r="AM2483" s="298"/>
      <c r="AN2483" s="298"/>
      <c r="AO2483" s="298"/>
      <c r="AP2483" s="298"/>
      <c r="AQ2483" s="298"/>
      <c r="AR2483" s="298"/>
      <c r="AS2483" s="298"/>
      <c r="AT2483" s="298"/>
      <c r="AU2483" s="298"/>
      <c r="AV2483" s="298"/>
      <c r="AW2483" s="298"/>
      <c r="AX2483" s="298"/>
      <c r="AY2483" s="298"/>
      <c r="AZ2483" s="298"/>
      <c r="BA2483" s="298"/>
      <c r="BB2483" s="298"/>
      <c r="BC2483" s="298"/>
      <c r="BD2483" s="298"/>
      <c r="BE2483" s="298"/>
      <c r="BF2483" s="298"/>
      <c r="BG2483" s="298"/>
      <c r="BH2483" s="298"/>
      <c r="BI2483" s="298"/>
      <c r="BJ2483" s="298"/>
      <c r="BK2483" s="298"/>
      <c r="BL2483" s="298"/>
      <c r="BM2483" s="298"/>
      <c r="BN2483" s="298"/>
      <c r="BO2483" s="298"/>
      <c r="BP2483" s="298"/>
    </row>
    <row r="2484" spans="1:68" s="529" customFormat="1" ht="12.75">
      <c r="A2484" s="286"/>
      <c r="B2484" s="293"/>
      <c r="C2484" s="229"/>
      <c r="D2484" s="230"/>
      <c r="E2484" s="230"/>
      <c r="F2484" s="230"/>
      <c r="G2484" s="230"/>
      <c r="H2484" s="230"/>
      <c r="I2484" s="298"/>
      <c r="J2484" s="521"/>
      <c r="K2484" s="298"/>
      <c r="L2484" s="298"/>
      <c r="M2484" s="298"/>
      <c r="N2484" s="298"/>
      <c r="O2484" s="298"/>
      <c r="P2484" s="298"/>
      <c r="Q2484" s="298"/>
      <c r="R2484" s="298"/>
      <c r="S2484" s="536"/>
      <c r="T2484" s="635"/>
      <c r="U2484" s="298"/>
      <c r="V2484" s="298"/>
      <c r="W2484" s="298"/>
      <c r="X2484" s="298"/>
      <c r="Y2484" s="298"/>
      <c r="Z2484" s="298"/>
      <c r="AA2484" s="298"/>
      <c r="AB2484" s="298"/>
      <c r="AC2484" s="298"/>
      <c r="AD2484" s="298"/>
      <c r="AE2484" s="298"/>
      <c r="AF2484" s="298"/>
      <c r="AG2484" s="298"/>
      <c r="AH2484" s="298"/>
      <c r="AI2484" s="298"/>
      <c r="AJ2484" s="298"/>
      <c r="AK2484" s="298"/>
      <c r="AL2484" s="298"/>
      <c r="AM2484" s="298"/>
      <c r="AN2484" s="298"/>
      <c r="AO2484" s="298"/>
      <c r="AP2484" s="298"/>
      <c r="AQ2484" s="298"/>
      <c r="AR2484" s="298"/>
      <c r="AS2484" s="298"/>
      <c r="AT2484" s="298"/>
      <c r="AU2484" s="298"/>
      <c r="AV2484" s="298"/>
      <c r="AW2484" s="298"/>
      <c r="AX2484" s="298"/>
      <c r="AY2484" s="298"/>
      <c r="AZ2484" s="298"/>
      <c r="BA2484" s="298"/>
      <c r="BB2484" s="298"/>
      <c r="BC2484" s="298"/>
      <c r="BD2484" s="298"/>
      <c r="BE2484" s="298"/>
      <c r="BF2484" s="298"/>
      <c r="BG2484" s="298"/>
      <c r="BH2484" s="298"/>
      <c r="BI2484" s="298"/>
      <c r="BJ2484" s="298"/>
      <c r="BK2484" s="298"/>
      <c r="BL2484" s="298"/>
      <c r="BM2484" s="298"/>
      <c r="BN2484" s="298"/>
      <c r="BO2484" s="298"/>
      <c r="BP2484" s="298"/>
    </row>
    <row r="2485" spans="1:68" s="298" customFormat="1" ht="25.5">
      <c r="A2485" s="286"/>
      <c r="B2485" s="372" t="s">
        <v>16879</v>
      </c>
      <c r="C2485" s="581" t="s">
        <v>16881</v>
      </c>
      <c r="D2485" s="232" t="s">
        <v>103</v>
      </c>
      <c r="E2485" s="232" t="s">
        <v>109</v>
      </c>
      <c r="F2485" s="233"/>
      <c r="G2485" s="234"/>
      <c r="H2485" s="235">
        <v>137.91</v>
      </c>
      <c r="J2485" s="521"/>
      <c r="L2485" s="256"/>
      <c r="M2485" s="256"/>
      <c r="N2485" s="256"/>
      <c r="O2485" s="256"/>
      <c r="S2485" s="536"/>
      <c r="T2485" s="635"/>
    </row>
    <row r="2486" spans="1:68" s="298" customFormat="1" ht="12.75">
      <c r="A2486" s="256" t="s">
        <v>12</v>
      </c>
      <c r="B2486" s="288" t="s">
        <v>14633</v>
      </c>
      <c r="C2486" s="289" t="s">
        <v>15732</v>
      </c>
      <c r="D2486" s="290" t="s">
        <v>207</v>
      </c>
      <c r="E2486" s="290" t="s">
        <v>109</v>
      </c>
      <c r="F2486" s="383">
        <v>1</v>
      </c>
      <c r="G2486" s="292">
        <v>89.9</v>
      </c>
      <c r="H2486" s="255">
        <v>89.9</v>
      </c>
      <c r="J2486" s="521"/>
      <c r="L2486" s="256"/>
      <c r="M2486" s="256"/>
      <c r="N2486" s="256"/>
      <c r="O2486" s="256"/>
      <c r="S2486" s="536"/>
      <c r="T2486" s="635"/>
    </row>
    <row r="2487" spans="1:68" s="298" customFormat="1" ht="25.5">
      <c r="A2487" s="256" t="s">
        <v>3259</v>
      </c>
      <c r="B2487" s="374">
        <v>100308</v>
      </c>
      <c r="C2487" s="289" t="s">
        <v>4542</v>
      </c>
      <c r="D2487" s="290" t="s">
        <v>9714</v>
      </c>
      <c r="E2487" s="290" t="s">
        <v>206</v>
      </c>
      <c r="F2487" s="383">
        <v>1</v>
      </c>
      <c r="G2487" s="292" t="s">
        <v>9767</v>
      </c>
      <c r="H2487" s="255">
        <v>26.88</v>
      </c>
      <c r="J2487" s="634"/>
      <c r="S2487" s="536"/>
      <c r="T2487" s="635"/>
    </row>
    <row r="2488" spans="1:68" s="298" customFormat="1" ht="25.5">
      <c r="A2488" s="256" t="s">
        <v>3259</v>
      </c>
      <c r="B2488" s="374">
        <v>88316</v>
      </c>
      <c r="C2488" s="289" t="s">
        <v>104</v>
      </c>
      <c r="D2488" s="290" t="s">
        <v>9714</v>
      </c>
      <c r="E2488" s="290" t="s">
        <v>206</v>
      </c>
      <c r="F2488" s="383">
        <v>1.2</v>
      </c>
      <c r="G2488" s="292" t="s">
        <v>10172</v>
      </c>
      <c r="H2488" s="255">
        <v>21.13</v>
      </c>
      <c r="J2488" s="634"/>
      <c r="S2488" s="536"/>
      <c r="T2488" s="635"/>
    </row>
    <row r="2489" spans="1:68" s="298" customFormat="1">
      <c r="A2489" s="256"/>
      <c r="B2489" s="288" t="s">
        <v>143</v>
      </c>
      <c r="C2489" s="238" t="s">
        <v>16880</v>
      </c>
      <c r="D2489" s="386"/>
      <c r="E2489" s="386"/>
      <c r="F2489" s="386"/>
      <c r="G2489" s="386"/>
      <c r="H2489" s="387"/>
      <c r="J2489" s="521"/>
      <c r="L2489" s="648"/>
      <c r="M2489" s="648"/>
      <c r="S2489" s="536"/>
      <c r="T2489" s="635"/>
    </row>
    <row r="2490" spans="1:68" s="529" customFormat="1" ht="12.75">
      <c r="A2490" s="286"/>
      <c r="B2490" s="293"/>
      <c r="C2490" s="229"/>
      <c r="D2490" s="230"/>
      <c r="E2490" s="230"/>
      <c r="F2490" s="230"/>
      <c r="G2490" s="230"/>
      <c r="H2490" s="230"/>
      <c r="I2490" s="298"/>
      <c r="J2490" s="521"/>
      <c r="K2490" s="298"/>
      <c r="L2490" s="298"/>
      <c r="M2490" s="298"/>
      <c r="N2490" s="298"/>
      <c r="O2490" s="298"/>
      <c r="P2490" s="298"/>
      <c r="Q2490" s="298"/>
      <c r="R2490" s="298"/>
      <c r="S2490" s="536"/>
      <c r="T2490" s="635"/>
      <c r="U2490" s="298"/>
      <c r="V2490" s="298"/>
      <c r="W2490" s="298"/>
      <c r="X2490" s="298"/>
      <c r="Y2490" s="298"/>
      <c r="Z2490" s="298"/>
      <c r="AA2490" s="298"/>
      <c r="AB2490" s="298"/>
      <c r="AC2490" s="298"/>
      <c r="AD2490" s="298"/>
      <c r="AE2490" s="298"/>
      <c r="AF2490" s="298"/>
      <c r="AG2490" s="298"/>
      <c r="AH2490" s="298"/>
      <c r="AI2490" s="298"/>
      <c r="AJ2490" s="298"/>
      <c r="AK2490" s="298"/>
      <c r="AL2490" s="298"/>
      <c r="AM2490" s="298"/>
      <c r="AN2490" s="298"/>
      <c r="AO2490" s="298"/>
      <c r="AP2490" s="298"/>
      <c r="AQ2490" s="298"/>
      <c r="AR2490" s="298"/>
      <c r="AS2490" s="298"/>
      <c r="AT2490" s="298"/>
      <c r="AU2490" s="298"/>
      <c r="AV2490" s="298"/>
      <c r="AW2490" s="298"/>
      <c r="AX2490" s="298"/>
      <c r="AY2490" s="298"/>
      <c r="AZ2490" s="298"/>
      <c r="BA2490" s="298"/>
      <c r="BB2490" s="298"/>
      <c r="BC2490" s="298"/>
      <c r="BD2490" s="298"/>
      <c r="BE2490" s="298"/>
      <c r="BF2490" s="298"/>
      <c r="BG2490" s="298"/>
      <c r="BH2490" s="298"/>
      <c r="BI2490" s="298"/>
      <c r="BJ2490" s="298"/>
      <c r="BK2490" s="298"/>
      <c r="BL2490" s="298"/>
      <c r="BM2490" s="298"/>
      <c r="BN2490" s="298"/>
      <c r="BO2490" s="298"/>
      <c r="BP2490" s="298"/>
    </row>
    <row r="2491" spans="1:68" s="298" customFormat="1" ht="25.5">
      <c r="A2491" s="286"/>
      <c r="B2491" s="372" t="s">
        <v>16883</v>
      </c>
      <c r="C2491" s="581" t="s">
        <v>16884</v>
      </c>
      <c r="D2491" s="232" t="s">
        <v>103</v>
      </c>
      <c r="E2491" s="232" t="s">
        <v>109</v>
      </c>
      <c r="F2491" s="233"/>
      <c r="G2491" s="234"/>
      <c r="H2491" s="235">
        <v>506.52000000000004</v>
      </c>
      <c r="J2491" s="521"/>
      <c r="L2491" s="256"/>
      <c r="M2491" s="256"/>
      <c r="N2491" s="256"/>
      <c r="O2491" s="256"/>
      <c r="S2491" s="536"/>
      <c r="T2491" s="635"/>
    </row>
    <row r="2492" spans="1:68" s="298" customFormat="1" ht="12.75">
      <c r="A2492" s="256" t="s">
        <v>12</v>
      </c>
      <c r="B2492" s="288" t="s">
        <v>15748</v>
      </c>
      <c r="C2492" s="289" t="s">
        <v>15733</v>
      </c>
      <c r="D2492" s="290" t="s">
        <v>207</v>
      </c>
      <c r="E2492" s="290" t="s">
        <v>109</v>
      </c>
      <c r="F2492" s="383">
        <v>1</v>
      </c>
      <c r="G2492" s="292">
        <v>453.23</v>
      </c>
      <c r="H2492" s="255">
        <v>453.23</v>
      </c>
      <c r="J2492" s="521"/>
      <c r="L2492" s="256"/>
      <c r="M2492" s="256"/>
      <c r="N2492" s="256"/>
      <c r="O2492" s="256"/>
      <c r="S2492" s="536"/>
      <c r="T2492" s="635"/>
    </row>
    <row r="2493" spans="1:68" s="298" customFormat="1" ht="25.5">
      <c r="A2493" s="256" t="s">
        <v>3259</v>
      </c>
      <c r="B2493" s="374">
        <v>100308</v>
      </c>
      <c r="C2493" s="289" t="s">
        <v>4542</v>
      </c>
      <c r="D2493" s="290" t="s">
        <v>9714</v>
      </c>
      <c r="E2493" s="290" t="s">
        <v>206</v>
      </c>
      <c r="F2493" s="383">
        <v>1</v>
      </c>
      <c r="G2493" s="292" t="s">
        <v>9767</v>
      </c>
      <c r="H2493" s="255">
        <v>26.88</v>
      </c>
      <c r="J2493" s="634"/>
      <c r="S2493" s="536"/>
      <c r="T2493" s="635"/>
    </row>
    <row r="2494" spans="1:68" s="298" customFormat="1" ht="25.5">
      <c r="A2494" s="256" t="s">
        <v>3259</v>
      </c>
      <c r="B2494" s="374">
        <v>88316</v>
      </c>
      <c r="C2494" s="289" t="s">
        <v>104</v>
      </c>
      <c r="D2494" s="290" t="s">
        <v>9714</v>
      </c>
      <c r="E2494" s="290" t="s">
        <v>206</v>
      </c>
      <c r="F2494" s="383">
        <v>1.5</v>
      </c>
      <c r="G2494" s="292" t="s">
        <v>10172</v>
      </c>
      <c r="H2494" s="255">
        <v>26.41</v>
      </c>
      <c r="J2494" s="634"/>
      <c r="S2494" s="536"/>
      <c r="T2494" s="635"/>
    </row>
    <row r="2495" spans="1:68" s="298" customFormat="1">
      <c r="A2495" s="256"/>
      <c r="B2495" s="288" t="s">
        <v>143</v>
      </c>
      <c r="C2495" s="238" t="s">
        <v>16885</v>
      </c>
      <c r="D2495" s="386"/>
      <c r="E2495" s="386"/>
      <c r="F2495" s="386"/>
      <c r="G2495" s="386"/>
      <c r="H2495" s="387"/>
      <c r="J2495" s="521"/>
      <c r="L2495" s="648"/>
      <c r="M2495" s="648"/>
      <c r="S2495" s="536"/>
      <c r="T2495" s="635"/>
    </row>
    <row r="2496" spans="1:68" s="529" customFormat="1" ht="12.75">
      <c r="A2496" s="286"/>
      <c r="B2496" s="293"/>
      <c r="C2496" s="229"/>
      <c r="D2496" s="230"/>
      <c r="E2496" s="230"/>
      <c r="F2496" s="230"/>
      <c r="G2496" s="230"/>
      <c r="H2496" s="230"/>
      <c r="I2496" s="298"/>
      <c r="J2496" s="521"/>
      <c r="K2496" s="298"/>
      <c r="L2496" s="298"/>
      <c r="M2496" s="298"/>
      <c r="N2496" s="298"/>
      <c r="O2496" s="298"/>
      <c r="P2496" s="298"/>
      <c r="Q2496" s="298"/>
      <c r="R2496" s="298"/>
      <c r="S2496" s="536"/>
      <c r="T2496" s="635"/>
      <c r="U2496" s="298"/>
      <c r="V2496" s="298"/>
      <c r="W2496" s="298"/>
      <c r="X2496" s="298"/>
      <c r="Y2496" s="298"/>
      <c r="Z2496" s="298"/>
      <c r="AA2496" s="298"/>
      <c r="AB2496" s="298"/>
      <c r="AC2496" s="298"/>
      <c r="AD2496" s="298"/>
      <c r="AE2496" s="298"/>
      <c r="AF2496" s="298"/>
      <c r="AG2496" s="298"/>
      <c r="AH2496" s="298"/>
      <c r="AI2496" s="298"/>
      <c r="AJ2496" s="298"/>
      <c r="AK2496" s="298"/>
      <c r="AL2496" s="298"/>
      <c r="AM2496" s="298"/>
      <c r="AN2496" s="298"/>
      <c r="AO2496" s="298"/>
      <c r="AP2496" s="298"/>
      <c r="AQ2496" s="298"/>
      <c r="AR2496" s="298"/>
      <c r="AS2496" s="298"/>
      <c r="AT2496" s="298"/>
      <c r="AU2496" s="298"/>
      <c r="AV2496" s="298"/>
      <c r="AW2496" s="298"/>
      <c r="AX2496" s="298"/>
      <c r="AY2496" s="298"/>
      <c r="AZ2496" s="298"/>
      <c r="BA2496" s="298"/>
      <c r="BB2496" s="298"/>
      <c r="BC2496" s="298"/>
      <c r="BD2496" s="298"/>
      <c r="BE2496" s="298"/>
      <c r="BF2496" s="298"/>
      <c r="BG2496" s="298"/>
      <c r="BH2496" s="298"/>
      <c r="BI2496" s="298"/>
      <c r="BJ2496" s="298"/>
      <c r="BK2496" s="298"/>
      <c r="BL2496" s="298"/>
      <c r="BM2496" s="298"/>
      <c r="BN2496" s="298"/>
      <c r="BO2496" s="298"/>
      <c r="BP2496" s="298"/>
    </row>
    <row r="2497" spans="1:68" s="298" customFormat="1" ht="38.25">
      <c r="A2497" s="286"/>
      <c r="B2497" s="372" t="s">
        <v>16886</v>
      </c>
      <c r="C2497" s="581" t="s">
        <v>18357</v>
      </c>
      <c r="D2497" s="232" t="s">
        <v>103</v>
      </c>
      <c r="E2497" s="232" t="s">
        <v>109</v>
      </c>
      <c r="F2497" s="233"/>
      <c r="G2497" s="234"/>
      <c r="H2497" s="235">
        <v>105.60000000000001</v>
      </c>
      <c r="J2497" s="521"/>
      <c r="L2497" s="256"/>
      <c r="M2497" s="256"/>
      <c r="N2497" s="256"/>
      <c r="O2497" s="256"/>
      <c r="S2497" s="536"/>
      <c r="T2497" s="635"/>
    </row>
    <row r="2498" spans="1:68" s="298" customFormat="1" ht="25.5">
      <c r="A2498" s="256" t="s">
        <v>12</v>
      </c>
      <c r="B2498" s="288" t="s">
        <v>14837</v>
      </c>
      <c r="C2498" s="289" t="s">
        <v>18307</v>
      </c>
      <c r="D2498" s="290" t="s">
        <v>207</v>
      </c>
      <c r="E2498" s="290" t="s">
        <v>109</v>
      </c>
      <c r="F2498" s="383">
        <v>1</v>
      </c>
      <c r="G2498" s="292">
        <v>100.23</v>
      </c>
      <c r="H2498" s="255">
        <v>100.23</v>
      </c>
      <c r="J2498" s="521"/>
      <c r="L2498" s="256"/>
      <c r="M2498" s="256"/>
      <c r="N2498" s="256"/>
      <c r="O2498" s="256"/>
      <c r="S2498" s="536"/>
      <c r="T2498" s="635"/>
    </row>
    <row r="2499" spans="1:68" s="298" customFormat="1" ht="25.5">
      <c r="A2499" s="256" t="s">
        <v>3259</v>
      </c>
      <c r="B2499" s="374">
        <v>100308</v>
      </c>
      <c r="C2499" s="289" t="s">
        <v>4542</v>
      </c>
      <c r="D2499" s="290" t="s">
        <v>9714</v>
      </c>
      <c r="E2499" s="290" t="s">
        <v>206</v>
      </c>
      <c r="F2499" s="383">
        <v>0.2</v>
      </c>
      <c r="G2499" s="292" t="s">
        <v>9767</v>
      </c>
      <c r="H2499" s="255">
        <v>5.37</v>
      </c>
      <c r="J2499" s="634"/>
      <c r="S2499" s="536"/>
      <c r="T2499" s="635"/>
    </row>
    <row r="2500" spans="1:68" s="298" customFormat="1">
      <c r="A2500" s="256"/>
      <c r="B2500" s="288" t="s">
        <v>143</v>
      </c>
      <c r="C2500" s="238" t="s">
        <v>16887</v>
      </c>
      <c r="D2500" s="386"/>
      <c r="E2500" s="386"/>
      <c r="F2500" s="386"/>
      <c r="G2500" s="386"/>
      <c r="H2500" s="387"/>
      <c r="J2500" s="521"/>
      <c r="L2500" s="648"/>
      <c r="M2500" s="648"/>
      <c r="S2500" s="536"/>
      <c r="T2500" s="635"/>
    </row>
    <row r="2501" spans="1:68" s="529" customFormat="1" ht="12.75">
      <c r="A2501" s="286"/>
      <c r="B2501" s="293"/>
      <c r="C2501" s="229"/>
      <c r="D2501" s="230"/>
      <c r="E2501" s="230"/>
      <c r="F2501" s="230"/>
      <c r="G2501" s="230"/>
      <c r="H2501" s="230"/>
      <c r="I2501" s="298"/>
      <c r="J2501" s="521"/>
      <c r="K2501" s="298"/>
      <c r="L2501" s="298"/>
      <c r="M2501" s="298"/>
      <c r="N2501" s="298"/>
      <c r="O2501" s="298"/>
      <c r="P2501" s="298"/>
      <c r="Q2501" s="298"/>
      <c r="R2501" s="298"/>
      <c r="S2501" s="536"/>
      <c r="T2501" s="635"/>
      <c r="U2501" s="298"/>
      <c r="V2501" s="298"/>
      <c r="W2501" s="298"/>
      <c r="X2501" s="298"/>
      <c r="Y2501" s="298"/>
      <c r="Z2501" s="298"/>
      <c r="AA2501" s="298"/>
      <c r="AB2501" s="298"/>
      <c r="AC2501" s="298"/>
      <c r="AD2501" s="298"/>
      <c r="AE2501" s="298"/>
      <c r="AF2501" s="298"/>
      <c r="AG2501" s="298"/>
      <c r="AH2501" s="298"/>
      <c r="AI2501" s="298"/>
      <c r="AJ2501" s="298"/>
      <c r="AK2501" s="298"/>
      <c r="AL2501" s="298"/>
      <c r="AM2501" s="298"/>
      <c r="AN2501" s="298"/>
      <c r="AO2501" s="298"/>
      <c r="AP2501" s="298"/>
      <c r="AQ2501" s="298"/>
      <c r="AR2501" s="298"/>
      <c r="AS2501" s="298"/>
      <c r="AT2501" s="298"/>
      <c r="AU2501" s="298"/>
      <c r="AV2501" s="298"/>
      <c r="AW2501" s="298"/>
      <c r="AX2501" s="298"/>
      <c r="AY2501" s="298"/>
      <c r="AZ2501" s="298"/>
      <c r="BA2501" s="298"/>
      <c r="BB2501" s="298"/>
      <c r="BC2501" s="298"/>
      <c r="BD2501" s="298"/>
      <c r="BE2501" s="298"/>
      <c r="BF2501" s="298"/>
      <c r="BG2501" s="298"/>
      <c r="BH2501" s="298"/>
      <c r="BI2501" s="298"/>
      <c r="BJ2501" s="298"/>
      <c r="BK2501" s="298"/>
      <c r="BL2501" s="298"/>
      <c r="BM2501" s="298"/>
      <c r="BN2501" s="298"/>
      <c r="BO2501" s="298"/>
      <c r="BP2501" s="298"/>
    </row>
    <row r="2502" spans="1:68" s="298" customFormat="1" ht="63.75">
      <c r="A2502" s="286"/>
      <c r="B2502" s="372" t="s">
        <v>16888</v>
      </c>
      <c r="C2502" s="581" t="s">
        <v>18368</v>
      </c>
      <c r="D2502" s="232" t="s">
        <v>103</v>
      </c>
      <c r="E2502" s="232" t="s">
        <v>109</v>
      </c>
      <c r="F2502" s="233"/>
      <c r="G2502" s="234"/>
      <c r="H2502" s="235">
        <v>19286.900000000001</v>
      </c>
      <c r="J2502" s="521"/>
      <c r="L2502" s="256"/>
      <c r="M2502" s="256"/>
      <c r="N2502" s="256"/>
      <c r="O2502" s="256"/>
      <c r="S2502" s="536"/>
      <c r="T2502" s="635"/>
    </row>
    <row r="2503" spans="1:68" s="298" customFormat="1" ht="51">
      <c r="A2503" s="256" t="s">
        <v>12</v>
      </c>
      <c r="B2503" s="288" t="s">
        <v>15735</v>
      </c>
      <c r="C2503" s="289" t="s">
        <v>18290</v>
      </c>
      <c r="D2503" s="290" t="s">
        <v>207</v>
      </c>
      <c r="E2503" s="290" t="s">
        <v>109</v>
      </c>
      <c r="F2503" s="383">
        <v>1</v>
      </c>
      <c r="G2503" s="292">
        <v>19233.614339374588</v>
      </c>
      <c r="H2503" s="255">
        <v>19233.61</v>
      </c>
      <c r="J2503" s="521"/>
      <c r="L2503" s="256"/>
      <c r="M2503" s="256"/>
      <c r="N2503" s="256"/>
      <c r="O2503" s="256"/>
      <c r="S2503" s="536"/>
      <c r="T2503" s="635"/>
    </row>
    <row r="2504" spans="1:68" s="298" customFormat="1" ht="25.5">
      <c r="A2504" s="256" t="s">
        <v>3259</v>
      </c>
      <c r="B2504" s="374">
        <v>100308</v>
      </c>
      <c r="C2504" s="289" t="s">
        <v>4542</v>
      </c>
      <c r="D2504" s="290" t="s">
        <v>9714</v>
      </c>
      <c r="E2504" s="290" t="s">
        <v>206</v>
      </c>
      <c r="F2504" s="383">
        <v>1</v>
      </c>
      <c r="G2504" s="292" t="s">
        <v>9767</v>
      </c>
      <c r="H2504" s="255">
        <v>26.88</v>
      </c>
      <c r="J2504" s="634"/>
      <c r="S2504" s="536"/>
      <c r="T2504" s="635"/>
    </row>
    <row r="2505" spans="1:68" s="298" customFormat="1" ht="25.5">
      <c r="A2505" s="256" t="s">
        <v>3259</v>
      </c>
      <c r="B2505" s="374">
        <v>88316</v>
      </c>
      <c r="C2505" s="289" t="s">
        <v>104</v>
      </c>
      <c r="D2505" s="290" t="s">
        <v>9714</v>
      </c>
      <c r="E2505" s="290" t="s">
        <v>206</v>
      </c>
      <c r="F2505" s="383">
        <v>1.5</v>
      </c>
      <c r="G2505" s="292" t="s">
        <v>10172</v>
      </c>
      <c r="H2505" s="255">
        <v>26.41</v>
      </c>
      <c r="J2505" s="634"/>
      <c r="K2505" s="651"/>
      <c r="S2505" s="536"/>
      <c r="T2505" s="635"/>
    </row>
    <row r="2506" spans="1:68" s="298" customFormat="1">
      <c r="A2506" s="256"/>
      <c r="B2506" s="288" t="s">
        <v>143</v>
      </c>
      <c r="C2506" s="238" t="s">
        <v>17822</v>
      </c>
      <c r="D2506" s="386"/>
      <c r="E2506" s="386"/>
      <c r="F2506" s="386"/>
      <c r="G2506" s="386"/>
      <c r="H2506" s="387"/>
      <c r="J2506" s="521"/>
      <c r="L2506" s="648"/>
      <c r="M2506" s="648"/>
      <c r="S2506" s="536"/>
      <c r="T2506" s="635"/>
    </row>
    <row r="2507" spans="1:68" s="529" customFormat="1" ht="12.75">
      <c r="A2507" s="286"/>
      <c r="B2507" s="293"/>
      <c r="C2507" s="229"/>
      <c r="D2507" s="230"/>
      <c r="E2507" s="230"/>
      <c r="F2507" s="230"/>
      <c r="G2507" s="230"/>
      <c r="H2507" s="230"/>
      <c r="I2507" s="298"/>
      <c r="J2507" s="521"/>
      <c r="K2507" s="298"/>
      <c r="L2507" s="298"/>
      <c r="M2507" s="298"/>
      <c r="N2507" s="298"/>
      <c r="O2507" s="298"/>
      <c r="P2507" s="298"/>
      <c r="Q2507" s="298"/>
      <c r="R2507" s="298"/>
      <c r="S2507" s="536"/>
      <c r="T2507" s="635"/>
      <c r="U2507" s="298"/>
      <c r="V2507" s="298"/>
      <c r="W2507" s="298"/>
      <c r="X2507" s="298"/>
      <c r="Y2507" s="298"/>
      <c r="Z2507" s="298"/>
      <c r="AA2507" s="298"/>
      <c r="AB2507" s="298"/>
      <c r="AC2507" s="298"/>
      <c r="AD2507" s="298"/>
      <c r="AE2507" s="298"/>
      <c r="AF2507" s="298"/>
      <c r="AG2507" s="298"/>
      <c r="AH2507" s="298"/>
      <c r="AI2507" s="298"/>
      <c r="AJ2507" s="298"/>
      <c r="AK2507" s="298"/>
      <c r="AL2507" s="298"/>
      <c r="AM2507" s="298"/>
      <c r="AN2507" s="298"/>
      <c r="AO2507" s="298"/>
      <c r="AP2507" s="298"/>
      <c r="AQ2507" s="298"/>
      <c r="AR2507" s="298"/>
      <c r="AS2507" s="298"/>
      <c r="AT2507" s="298"/>
      <c r="AU2507" s="298"/>
      <c r="AV2507" s="298"/>
      <c r="AW2507" s="298"/>
      <c r="AX2507" s="298"/>
      <c r="AY2507" s="298"/>
      <c r="AZ2507" s="298"/>
      <c r="BA2507" s="298"/>
      <c r="BB2507" s="298"/>
      <c r="BC2507" s="298"/>
      <c r="BD2507" s="298"/>
      <c r="BE2507" s="298"/>
      <c r="BF2507" s="298"/>
      <c r="BG2507" s="298"/>
      <c r="BH2507" s="298"/>
      <c r="BI2507" s="298"/>
      <c r="BJ2507" s="298"/>
      <c r="BK2507" s="298"/>
      <c r="BL2507" s="298"/>
      <c r="BM2507" s="298"/>
      <c r="BN2507" s="298"/>
      <c r="BO2507" s="298"/>
      <c r="BP2507" s="298"/>
    </row>
    <row r="2508" spans="1:68" s="298" customFormat="1" ht="63.75">
      <c r="A2508" s="286"/>
      <c r="B2508" s="372" t="s">
        <v>16889</v>
      </c>
      <c r="C2508" s="581" t="s">
        <v>18369</v>
      </c>
      <c r="D2508" s="232" t="s">
        <v>103</v>
      </c>
      <c r="E2508" s="232" t="s">
        <v>109</v>
      </c>
      <c r="F2508" s="233"/>
      <c r="G2508" s="234"/>
      <c r="H2508" s="235">
        <v>25296.86</v>
      </c>
      <c r="J2508" s="521"/>
      <c r="L2508" s="256"/>
      <c r="M2508" s="256"/>
      <c r="N2508" s="256"/>
      <c r="O2508" s="256"/>
      <c r="S2508" s="536"/>
      <c r="T2508" s="635"/>
    </row>
    <row r="2509" spans="1:68" s="298" customFormat="1" ht="51">
      <c r="A2509" s="256" t="s">
        <v>12</v>
      </c>
      <c r="B2509" s="288" t="s">
        <v>15736</v>
      </c>
      <c r="C2509" s="289" t="s">
        <v>18291</v>
      </c>
      <c r="D2509" s="290" t="s">
        <v>207</v>
      </c>
      <c r="E2509" s="290" t="s">
        <v>109</v>
      </c>
      <c r="F2509" s="383">
        <v>1</v>
      </c>
      <c r="G2509" s="292">
        <v>25243.578594873688</v>
      </c>
      <c r="H2509" s="255">
        <v>25243.57</v>
      </c>
      <c r="J2509" s="521"/>
      <c r="L2509" s="256"/>
      <c r="M2509" s="256"/>
      <c r="N2509" s="256"/>
      <c r="O2509" s="256"/>
      <c r="S2509" s="536"/>
      <c r="T2509" s="635"/>
    </row>
    <row r="2510" spans="1:68" s="298" customFormat="1" ht="25.5">
      <c r="A2510" s="256" t="s">
        <v>3259</v>
      </c>
      <c r="B2510" s="374">
        <v>100308</v>
      </c>
      <c r="C2510" s="289" t="s">
        <v>4542</v>
      </c>
      <c r="D2510" s="290" t="s">
        <v>9714</v>
      </c>
      <c r="E2510" s="290" t="s">
        <v>206</v>
      </c>
      <c r="F2510" s="383">
        <v>1</v>
      </c>
      <c r="G2510" s="292" t="s">
        <v>9767</v>
      </c>
      <c r="H2510" s="255">
        <v>26.88</v>
      </c>
      <c r="J2510" s="634"/>
      <c r="S2510" s="536"/>
      <c r="T2510" s="635"/>
    </row>
    <row r="2511" spans="1:68" s="298" customFormat="1" ht="25.5">
      <c r="A2511" s="256" t="s">
        <v>3259</v>
      </c>
      <c r="B2511" s="374">
        <v>88316</v>
      </c>
      <c r="C2511" s="289" t="s">
        <v>104</v>
      </c>
      <c r="D2511" s="290" t="s">
        <v>9714</v>
      </c>
      <c r="E2511" s="290" t="s">
        <v>206</v>
      </c>
      <c r="F2511" s="383">
        <v>1.5</v>
      </c>
      <c r="G2511" s="292" t="s">
        <v>10172</v>
      </c>
      <c r="H2511" s="255">
        <v>26.41</v>
      </c>
      <c r="J2511" s="634"/>
      <c r="S2511" s="536"/>
      <c r="T2511" s="635"/>
    </row>
    <row r="2512" spans="1:68" s="298" customFormat="1">
      <c r="A2512" s="256"/>
      <c r="B2512" s="288" t="s">
        <v>143</v>
      </c>
      <c r="C2512" s="238" t="s">
        <v>17822</v>
      </c>
      <c r="D2512" s="386"/>
      <c r="E2512" s="386"/>
      <c r="F2512" s="386"/>
      <c r="G2512" s="386"/>
      <c r="H2512" s="387"/>
      <c r="J2512" s="521"/>
      <c r="L2512" s="648"/>
      <c r="M2512" s="648"/>
      <c r="S2512" s="536"/>
      <c r="T2512" s="635"/>
    </row>
    <row r="2513" spans="1:68" s="529" customFormat="1" ht="12.75">
      <c r="A2513" s="286"/>
      <c r="B2513" s="293"/>
      <c r="C2513" s="229"/>
      <c r="D2513" s="230"/>
      <c r="E2513" s="230"/>
      <c r="F2513" s="230"/>
      <c r="G2513" s="230"/>
      <c r="H2513" s="230"/>
      <c r="I2513" s="298"/>
      <c r="J2513" s="521"/>
      <c r="K2513" s="298"/>
      <c r="L2513" s="298"/>
      <c r="M2513" s="298"/>
      <c r="N2513" s="298"/>
      <c r="O2513" s="298"/>
      <c r="P2513" s="298"/>
      <c r="Q2513" s="298"/>
      <c r="R2513" s="298"/>
      <c r="S2513" s="536"/>
      <c r="T2513" s="635"/>
      <c r="U2513" s="298"/>
      <c r="V2513" s="298"/>
      <c r="W2513" s="298"/>
      <c r="X2513" s="298"/>
      <c r="Y2513" s="298"/>
      <c r="Z2513" s="298"/>
      <c r="AA2513" s="298"/>
      <c r="AB2513" s="298"/>
      <c r="AC2513" s="298"/>
      <c r="AD2513" s="298"/>
      <c r="AE2513" s="298"/>
      <c r="AF2513" s="298"/>
      <c r="AG2513" s="298"/>
      <c r="AH2513" s="298"/>
      <c r="AI2513" s="298"/>
      <c r="AJ2513" s="298"/>
      <c r="AK2513" s="298"/>
      <c r="AL2513" s="298"/>
      <c r="AM2513" s="298"/>
      <c r="AN2513" s="298"/>
      <c r="AO2513" s="298"/>
      <c r="AP2513" s="298"/>
      <c r="AQ2513" s="298"/>
      <c r="AR2513" s="298"/>
      <c r="AS2513" s="298"/>
      <c r="AT2513" s="298"/>
      <c r="AU2513" s="298"/>
      <c r="AV2513" s="298"/>
      <c r="AW2513" s="298"/>
      <c r="AX2513" s="298"/>
      <c r="AY2513" s="298"/>
      <c r="AZ2513" s="298"/>
      <c r="BA2513" s="298"/>
      <c r="BB2513" s="298"/>
      <c r="BC2513" s="298"/>
      <c r="BD2513" s="298"/>
      <c r="BE2513" s="298"/>
      <c r="BF2513" s="298"/>
      <c r="BG2513" s="298"/>
      <c r="BH2513" s="298"/>
      <c r="BI2513" s="298"/>
      <c r="BJ2513" s="298"/>
      <c r="BK2513" s="298"/>
      <c r="BL2513" s="298"/>
      <c r="BM2513" s="298"/>
      <c r="BN2513" s="298"/>
      <c r="BO2513" s="298"/>
      <c r="BP2513" s="298"/>
    </row>
    <row r="2514" spans="1:68" s="298" customFormat="1" ht="63.75">
      <c r="A2514" s="286"/>
      <c r="B2514" s="372" t="s">
        <v>16890</v>
      </c>
      <c r="C2514" s="581" t="s">
        <v>18370</v>
      </c>
      <c r="D2514" s="232" t="s">
        <v>103</v>
      </c>
      <c r="E2514" s="232" t="s">
        <v>109</v>
      </c>
      <c r="F2514" s="233"/>
      <c r="G2514" s="234"/>
      <c r="H2514" s="235">
        <v>10594.91</v>
      </c>
      <c r="J2514" s="521"/>
      <c r="L2514" s="256"/>
      <c r="M2514" s="256"/>
      <c r="N2514" s="256"/>
      <c r="O2514" s="256"/>
      <c r="S2514" s="536"/>
      <c r="T2514" s="635"/>
    </row>
    <row r="2515" spans="1:68" s="298" customFormat="1" ht="51">
      <c r="A2515" s="256" t="s">
        <v>12</v>
      </c>
      <c r="B2515" s="288" t="s">
        <v>15737</v>
      </c>
      <c r="C2515" s="289" t="s">
        <v>18292</v>
      </c>
      <c r="D2515" s="290" t="s">
        <v>207</v>
      </c>
      <c r="E2515" s="290" t="s">
        <v>109</v>
      </c>
      <c r="F2515" s="383">
        <v>1</v>
      </c>
      <c r="G2515" s="292">
        <v>10541.621621621622</v>
      </c>
      <c r="H2515" s="255">
        <v>10541.62</v>
      </c>
      <c r="J2515" s="521"/>
      <c r="L2515" s="256"/>
      <c r="M2515" s="256"/>
      <c r="N2515" s="256"/>
      <c r="O2515" s="256"/>
      <c r="S2515" s="536"/>
      <c r="T2515" s="635"/>
    </row>
    <row r="2516" spans="1:68" s="298" customFormat="1" ht="25.5">
      <c r="A2516" s="256" t="s">
        <v>3259</v>
      </c>
      <c r="B2516" s="374">
        <v>100308</v>
      </c>
      <c r="C2516" s="289" t="s">
        <v>4542</v>
      </c>
      <c r="D2516" s="290" t="s">
        <v>9714</v>
      </c>
      <c r="E2516" s="290" t="s">
        <v>206</v>
      </c>
      <c r="F2516" s="383">
        <v>1</v>
      </c>
      <c r="G2516" s="292" t="s">
        <v>9767</v>
      </c>
      <c r="H2516" s="255">
        <v>26.88</v>
      </c>
      <c r="J2516" s="634"/>
      <c r="S2516" s="536"/>
      <c r="T2516" s="635"/>
    </row>
    <row r="2517" spans="1:68" s="298" customFormat="1" ht="25.5">
      <c r="A2517" s="256" t="s">
        <v>3259</v>
      </c>
      <c r="B2517" s="374">
        <v>88316</v>
      </c>
      <c r="C2517" s="289" t="s">
        <v>104</v>
      </c>
      <c r="D2517" s="290" t="s">
        <v>9714</v>
      </c>
      <c r="E2517" s="290" t="s">
        <v>206</v>
      </c>
      <c r="F2517" s="383">
        <v>1.5</v>
      </c>
      <c r="G2517" s="292" t="s">
        <v>10172</v>
      </c>
      <c r="H2517" s="255">
        <v>26.41</v>
      </c>
      <c r="J2517" s="634"/>
      <c r="S2517" s="536"/>
      <c r="T2517" s="635"/>
    </row>
    <row r="2518" spans="1:68" s="298" customFormat="1">
      <c r="A2518" s="256"/>
      <c r="B2518" s="288" t="s">
        <v>143</v>
      </c>
      <c r="C2518" s="238" t="s">
        <v>17822</v>
      </c>
      <c r="D2518" s="386"/>
      <c r="E2518" s="386"/>
      <c r="F2518" s="386"/>
      <c r="G2518" s="386"/>
      <c r="H2518" s="387"/>
      <c r="J2518" s="521"/>
      <c r="L2518" s="648"/>
      <c r="M2518" s="648"/>
      <c r="S2518" s="536"/>
      <c r="T2518" s="635"/>
    </row>
    <row r="2519" spans="1:68" s="529" customFormat="1" ht="12.75">
      <c r="A2519" s="286"/>
      <c r="B2519" s="293"/>
      <c r="C2519" s="229"/>
      <c r="D2519" s="230"/>
      <c r="E2519" s="230"/>
      <c r="F2519" s="230"/>
      <c r="G2519" s="230"/>
      <c r="H2519" s="230"/>
      <c r="I2519" s="298"/>
      <c r="J2519" s="521"/>
      <c r="K2519" s="298"/>
      <c r="L2519" s="298"/>
      <c r="M2519" s="298"/>
      <c r="N2519" s="298"/>
      <c r="O2519" s="298"/>
      <c r="P2519" s="298"/>
      <c r="Q2519" s="298"/>
      <c r="R2519" s="298"/>
      <c r="S2519" s="536"/>
      <c r="T2519" s="635"/>
      <c r="U2519" s="298"/>
      <c r="V2519" s="298"/>
      <c r="W2519" s="298"/>
      <c r="X2519" s="298"/>
      <c r="Y2519" s="298"/>
      <c r="Z2519" s="298"/>
      <c r="AA2519" s="298"/>
      <c r="AB2519" s="298"/>
      <c r="AC2519" s="298"/>
      <c r="AD2519" s="298"/>
      <c r="AE2519" s="298"/>
      <c r="AF2519" s="298"/>
      <c r="AG2519" s="298"/>
      <c r="AH2519" s="298"/>
      <c r="AI2519" s="298"/>
      <c r="AJ2519" s="298"/>
      <c r="AK2519" s="298"/>
      <c r="AL2519" s="298"/>
      <c r="AM2519" s="298"/>
      <c r="AN2519" s="298"/>
      <c r="AO2519" s="298"/>
      <c r="AP2519" s="298"/>
      <c r="AQ2519" s="298"/>
      <c r="AR2519" s="298"/>
      <c r="AS2519" s="298"/>
      <c r="AT2519" s="298"/>
      <c r="AU2519" s="298"/>
      <c r="AV2519" s="298"/>
      <c r="AW2519" s="298"/>
      <c r="AX2519" s="298"/>
      <c r="AY2519" s="298"/>
      <c r="AZ2519" s="298"/>
      <c r="BA2519" s="298"/>
      <c r="BB2519" s="298"/>
      <c r="BC2519" s="298"/>
      <c r="BD2519" s="298"/>
      <c r="BE2519" s="298"/>
      <c r="BF2519" s="298"/>
      <c r="BG2519" s="298"/>
      <c r="BH2519" s="298"/>
      <c r="BI2519" s="298"/>
      <c r="BJ2519" s="298"/>
      <c r="BK2519" s="298"/>
      <c r="BL2519" s="298"/>
      <c r="BM2519" s="298"/>
      <c r="BN2519" s="298"/>
      <c r="BO2519" s="298"/>
      <c r="BP2519" s="298"/>
    </row>
    <row r="2520" spans="1:68" s="298" customFormat="1" ht="63.75">
      <c r="A2520" s="286"/>
      <c r="B2520" s="372" t="s">
        <v>16891</v>
      </c>
      <c r="C2520" s="581" t="s">
        <v>18371</v>
      </c>
      <c r="D2520" s="232" t="s">
        <v>103</v>
      </c>
      <c r="E2520" s="232" t="s">
        <v>109</v>
      </c>
      <c r="F2520" s="233"/>
      <c r="G2520" s="234"/>
      <c r="H2520" s="235">
        <v>2204.64</v>
      </c>
      <c r="J2520" s="521"/>
      <c r="L2520" s="536" t="s">
        <v>18372</v>
      </c>
      <c r="M2520" s="256"/>
      <c r="N2520" s="256"/>
      <c r="O2520" s="256"/>
      <c r="S2520" s="536"/>
      <c r="T2520" s="635"/>
    </row>
    <row r="2521" spans="1:68" s="298" customFormat="1" ht="51">
      <c r="A2521" s="256" t="s">
        <v>12</v>
      </c>
      <c r="B2521" s="288" t="s">
        <v>15738</v>
      </c>
      <c r="C2521" s="289" t="s">
        <v>18293</v>
      </c>
      <c r="D2521" s="290" t="s">
        <v>207</v>
      </c>
      <c r="E2521" s="290" t="s">
        <v>109</v>
      </c>
      <c r="F2521" s="383">
        <v>1</v>
      </c>
      <c r="G2521" s="292">
        <v>2151.3513513513512</v>
      </c>
      <c r="H2521" s="255">
        <v>2151.35</v>
      </c>
      <c r="J2521" s="521"/>
      <c r="L2521" s="256"/>
      <c r="M2521" s="256"/>
      <c r="N2521" s="256"/>
      <c r="O2521" s="256"/>
      <c r="S2521" s="536"/>
      <c r="T2521" s="635"/>
    </row>
    <row r="2522" spans="1:68" s="298" customFormat="1" ht="25.5">
      <c r="A2522" s="256" t="s">
        <v>3259</v>
      </c>
      <c r="B2522" s="374">
        <v>100308</v>
      </c>
      <c r="C2522" s="289" t="s">
        <v>4542</v>
      </c>
      <c r="D2522" s="290" t="s">
        <v>9714</v>
      </c>
      <c r="E2522" s="290" t="s">
        <v>206</v>
      </c>
      <c r="F2522" s="383">
        <v>1</v>
      </c>
      <c r="G2522" s="292" t="s">
        <v>9767</v>
      </c>
      <c r="H2522" s="255">
        <v>26.88</v>
      </c>
      <c r="J2522" s="634"/>
      <c r="S2522" s="536"/>
      <c r="T2522" s="635"/>
    </row>
    <row r="2523" spans="1:68" s="298" customFormat="1" ht="25.5">
      <c r="A2523" s="256" t="s">
        <v>3259</v>
      </c>
      <c r="B2523" s="374">
        <v>88316</v>
      </c>
      <c r="C2523" s="289" t="s">
        <v>104</v>
      </c>
      <c r="D2523" s="290" t="s">
        <v>9714</v>
      </c>
      <c r="E2523" s="290" t="s">
        <v>206</v>
      </c>
      <c r="F2523" s="383">
        <v>1.5</v>
      </c>
      <c r="G2523" s="292" t="s">
        <v>10172</v>
      </c>
      <c r="H2523" s="255">
        <v>26.41</v>
      </c>
      <c r="J2523" s="634"/>
      <c r="S2523" s="536"/>
      <c r="T2523" s="635"/>
    </row>
    <row r="2524" spans="1:68" s="298" customFormat="1">
      <c r="A2524" s="256"/>
      <c r="B2524" s="288" t="s">
        <v>143</v>
      </c>
      <c r="C2524" s="238" t="s">
        <v>17822</v>
      </c>
      <c r="D2524" s="386"/>
      <c r="E2524" s="386"/>
      <c r="F2524" s="386"/>
      <c r="G2524" s="386"/>
      <c r="H2524" s="387"/>
      <c r="J2524" s="521"/>
      <c r="L2524" s="648"/>
      <c r="M2524" s="648"/>
      <c r="S2524" s="536"/>
      <c r="T2524" s="635"/>
    </row>
    <row r="2525" spans="1:68" s="529" customFormat="1" ht="12.75">
      <c r="A2525" s="286"/>
      <c r="B2525" s="293"/>
      <c r="C2525" s="229"/>
      <c r="D2525" s="230"/>
      <c r="E2525" s="230"/>
      <c r="F2525" s="230"/>
      <c r="G2525" s="230"/>
      <c r="H2525" s="230"/>
      <c r="I2525" s="298"/>
      <c r="J2525" s="521"/>
      <c r="K2525" s="298"/>
      <c r="L2525" s="298"/>
      <c r="M2525" s="298"/>
      <c r="N2525" s="298"/>
      <c r="O2525" s="298"/>
      <c r="P2525" s="298"/>
      <c r="Q2525" s="298"/>
      <c r="R2525" s="298"/>
      <c r="S2525" s="536"/>
      <c r="T2525" s="635"/>
      <c r="U2525" s="298"/>
      <c r="V2525" s="298"/>
      <c r="W2525" s="298"/>
      <c r="X2525" s="298"/>
      <c r="Y2525" s="298"/>
      <c r="Z2525" s="298"/>
      <c r="AA2525" s="298"/>
      <c r="AB2525" s="298"/>
      <c r="AC2525" s="298"/>
      <c r="AD2525" s="298"/>
      <c r="AE2525" s="298"/>
      <c r="AF2525" s="298"/>
      <c r="AG2525" s="298"/>
      <c r="AH2525" s="298"/>
      <c r="AI2525" s="298"/>
      <c r="AJ2525" s="298"/>
      <c r="AK2525" s="298"/>
      <c r="AL2525" s="298"/>
      <c r="AM2525" s="298"/>
      <c r="AN2525" s="298"/>
      <c r="AO2525" s="298"/>
      <c r="AP2525" s="298"/>
      <c r="AQ2525" s="298"/>
      <c r="AR2525" s="298"/>
      <c r="AS2525" s="298"/>
      <c r="AT2525" s="298"/>
      <c r="AU2525" s="298"/>
      <c r="AV2525" s="298"/>
      <c r="AW2525" s="298"/>
      <c r="AX2525" s="298"/>
      <c r="AY2525" s="298"/>
      <c r="AZ2525" s="298"/>
      <c r="BA2525" s="298"/>
      <c r="BB2525" s="298"/>
      <c r="BC2525" s="298"/>
      <c r="BD2525" s="298"/>
      <c r="BE2525" s="298"/>
      <c r="BF2525" s="298"/>
      <c r="BG2525" s="298"/>
      <c r="BH2525" s="298"/>
      <c r="BI2525" s="298"/>
      <c r="BJ2525" s="298"/>
      <c r="BK2525" s="298"/>
      <c r="BL2525" s="298"/>
      <c r="BM2525" s="298"/>
      <c r="BN2525" s="298"/>
      <c r="BO2525" s="298"/>
      <c r="BP2525" s="298"/>
    </row>
    <row r="2526" spans="1:68" s="298" customFormat="1" ht="25.5">
      <c r="A2526" s="286"/>
      <c r="B2526" s="372" t="s">
        <v>16892</v>
      </c>
      <c r="C2526" s="581" t="s">
        <v>18343</v>
      </c>
      <c r="D2526" s="232" t="s">
        <v>103</v>
      </c>
      <c r="E2526" s="232" t="s">
        <v>193</v>
      </c>
      <c r="F2526" s="233"/>
      <c r="G2526" s="234"/>
      <c r="H2526" s="235">
        <v>32.78</v>
      </c>
      <c r="J2526" s="521"/>
      <c r="L2526" s="256"/>
      <c r="M2526" s="256"/>
      <c r="N2526" s="256"/>
      <c r="O2526" s="256"/>
      <c r="S2526" s="536"/>
      <c r="T2526" s="635"/>
    </row>
    <row r="2527" spans="1:68" s="298" customFormat="1" ht="51">
      <c r="A2527" s="256" t="s">
        <v>3261</v>
      </c>
      <c r="B2527" s="288">
        <v>42481</v>
      </c>
      <c r="C2527" s="289" t="s">
        <v>6404</v>
      </c>
      <c r="D2527" s="290" t="s">
        <v>207</v>
      </c>
      <c r="E2527" s="290" t="s">
        <v>3242</v>
      </c>
      <c r="F2527" s="383">
        <v>1</v>
      </c>
      <c r="G2527" s="292" t="s">
        <v>11263</v>
      </c>
      <c r="H2527" s="255">
        <v>29.26</v>
      </c>
      <c r="J2527" s="521"/>
      <c r="L2527" s="256"/>
      <c r="M2527" s="256"/>
      <c r="N2527" s="256"/>
      <c r="O2527" s="256"/>
      <c r="S2527" s="536"/>
      <c r="T2527" s="635"/>
    </row>
    <row r="2528" spans="1:68" s="298" customFormat="1" ht="25.5">
      <c r="A2528" s="256" t="s">
        <v>3259</v>
      </c>
      <c r="B2528" s="374">
        <v>88316</v>
      </c>
      <c r="C2528" s="289" t="s">
        <v>104</v>
      </c>
      <c r="D2528" s="290" t="s">
        <v>9714</v>
      </c>
      <c r="E2528" s="290" t="s">
        <v>206</v>
      </c>
      <c r="F2528" s="383">
        <v>0.2</v>
      </c>
      <c r="G2528" s="292" t="s">
        <v>10172</v>
      </c>
      <c r="H2528" s="255">
        <v>3.52</v>
      </c>
      <c r="J2528" s="634"/>
      <c r="S2528" s="536"/>
      <c r="T2528" s="635"/>
    </row>
    <row r="2529" spans="1:20" s="298" customFormat="1">
      <c r="A2529" s="256"/>
      <c r="B2529" s="288" t="s">
        <v>143</v>
      </c>
      <c r="C2529" s="238" t="s">
        <v>16893</v>
      </c>
      <c r="D2529" s="386"/>
      <c r="E2529" s="386"/>
      <c r="F2529" s="386"/>
      <c r="G2529" s="386"/>
      <c r="H2529" s="387"/>
      <c r="J2529" s="521"/>
      <c r="L2529" s="648"/>
      <c r="M2529" s="648"/>
      <c r="S2529" s="536"/>
      <c r="T2529" s="635"/>
    </row>
    <row r="2530" spans="1:20" s="298" customFormat="1" ht="12.75">
      <c r="A2530" s="286"/>
      <c r="B2530" s="373"/>
      <c r="C2530" s="379"/>
      <c r="D2530" s="382"/>
      <c r="E2530" s="382"/>
      <c r="F2530" s="382"/>
      <c r="G2530" s="382"/>
      <c r="H2530" s="382"/>
      <c r="J2530" s="634"/>
      <c r="S2530" s="536"/>
      <c r="T2530" s="635"/>
    </row>
    <row r="2531" spans="1:20" s="298" customFormat="1" ht="25.5">
      <c r="A2531" s="286"/>
      <c r="B2531" s="372" t="s">
        <v>16898</v>
      </c>
      <c r="C2531" s="231" t="s">
        <v>16899</v>
      </c>
      <c r="D2531" s="232" t="s">
        <v>103</v>
      </c>
      <c r="E2531" s="232" t="s">
        <v>109</v>
      </c>
      <c r="F2531" s="233"/>
      <c r="G2531" s="234"/>
      <c r="H2531" s="235">
        <v>36.6</v>
      </c>
      <c r="J2531" s="634"/>
      <c r="S2531" s="536"/>
      <c r="T2531" s="635"/>
    </row>
    <row r="2532" spans="1:20" s="298" customFormat="1" ht="25.5">
      <c r="A2532" s="256" t="s">
        <v>3261</v>
      </c>
      <c r="B2532" s="288">
        <v>3148</v>
      </c>
      <c r="C2532" s="289" t="s">
        <v>6465</v>
      </c>
      <c r="D2532" s="290" t="s">
        <v>207</v>
      </c>
      <c r="E2532" s="290" t="s">
        <v>3240</v>
      </c>
      <c r="F2532" s="383">
        <v>1.2999999999999999E-2</v>
      </c>
      <c r="G2532" s="292" t="s">
        <v>10121</v>
      </c>
      <c r="H2532" s="255">
        <v>0.18</v>
      </c>
      <c r="J2532" s="634"/>
      <c r="S2532" s="536"/>
      <c r="T2532" s="635"/>
    </row>
    <row r="2533" spans="1:20" s="298" customFormat="1" ht="12.75">
      <c r="A2533" s="256" t="s">
        <v>12</v>
      </c>
      <c r="B2533" s="374" t="s">
        <v>16894</v>
      </c>
      <c r="C2533" s="289" t="s">
        <v>16895</v>
      </c>
      <c r="D2533" s="290" t="s">
        <v>207</v>
      </c>
      <c r="E2533" s="290" t="s">
        <v>109</v>
      </c>
      <c r="F2533" s="383">
        <v>1</v>
      </c>
      <c r="G2533" s="292">
        <v>15.93</v>
      </c>
      <c r="H2533" s="255">
        <v>15.93</v>
      </c>
      <c r="J2533" s="634"/>
      <c r="S2533" s="536"/>
      <c r="T2533" s="635"/>
    </row>
    <row r="2534" spans="1:20" s="298" customFormat="1" ht="25.5">
      <c r="A2534" s="256" t="s">
        <v>3261</v>
      </c>
      <c r="B2534" s="288">
        <v>7307</v>
      </c>
      <c r="C2534" s="289" t="s">
        <v>6505</v>
      </c>
      <c r="D2534" s="290" t="s">
        <v>207</v>
      </c>
      <c r="E2534" s="290" t="s">
        <v>3245</v>
      </c>
      <c r="F2534" s="383">
        <v>3.0000000000000001E-3</v>
      </c>
      <c r="G2534" s="292" t="s">
        <v>11120</v>
      </c>
      <c r="H2534" s="255">
        <v>0.09</v>
      </c>
      <c r="J2534" s="634"/>
      <c r="S2534" s="536"/>
      <c r="T2534" s="635"/>
    </row>
    <row r="2535" spans="1:20" s="298" customFormat="1" ht="38.25">
      <c r="A2535" s="256" t="s">
        <v>3259</v>
      </c>
      <c r="B2535" s="374">
        <v>88248</v>
      </c>
      <c r="C2535" s="289" t="s">
        <v>106</v>
      </c>
      <c r="D2535" s="290" t="s">
        <v>9714</v>
      </c>
      <c r="E2535" s="290" t="s">
        <v>206</v>
      </c>
      <c r="F2535" s="383">
        <v>0.49</v>
      </c>
      <c r="G2535" s="292" t="s">
        <v>10175</v>
      </c>
      <c r="H2535" s="255">
        <v>8.93</v>
      </c>
      <c r="J2535" s="634"/>
      <c r="S2535" s="536"/>
      <c r="T2535" s="635"/>
    </row>
    <row r="2536" spans="1:20" s="298" customFormat="1" ht="25.5">
      <c r="A2536" s="256" t="s">
        <v>3259</v>
      </c>
      <c r="B2536" s="374">
        <v>88267</v>
      </c>
      <c r="C2536" s="289" t="s">
        <v>107</v>
      </c>
      <c r="D2536" s="290" t="s">
        <v>9714</v>
      </c>
      <c r="E2536" s="290" t="s">
        <v>206</v>
      </c>
      <c r="F2536" s="383">
        <v>0.49</v>
      </c>
      <c r="G2536" s="292" t="s">
        <v>10792</v>
      </c>
      <c r="H2536" s="255">
        <v>11.47</v>
      </c>
      <c r="J2536" s="634"/>
      <c r="S2536" s="536"/>
      <c r="T2536" s="635"/>
    </row>
    <row r="2537" spans="1:20" s="298" customFormat="1" ht="12.75">
      <c r="A2537" s="286"/>
      <c r="B2537" s="375" t="s">
        <v>143</v>
      </c>
      <c r="C2537" s="816" t="s">
        <v>14883</v>
      </c>
      <c r="D2537" s="817"/>
      <c r="E2537" s="817"/>
      <c r="F2537" s="817"/>
      <c r="G2537" s="817"/>
      <c r="H2537" s="818"/>
      <c r="J2537" s="634"/>
      <c r="S2537" s="536"/>
      <c r="T2537" s="635"/>
    </row>
    <row r="2538" spans="1:20" s="298" customFormat="1" ht="12.75">
      <c r="A2538" s="286"/>
      <c r="B2538" s="373"/>
      <c r="C2538" s="379"/>
      <c r="D2538" s="382"/>
      <c r="E2538" s="382"/>
      <c r="F2538" s="382"/>
      <c r="G2538" s="382"/>
      <c r="H2538" s="382"/>
      <c r="J2538" s="634"/>
      <c r="S2538" s="536"/>
      <c r="T2538" s="635"/>
    </row>
    <row r="2539" spans="1:20" s="298" customFormat="1" ht="38.25">
      <c r="A2539" s="286"/>
      <c r="B2539" s="372" t="s">
        <v>16900</v>
      </c>
      <c r="C2539" s="231" t="s">
        <v>15049</v>
      </c>
      <c r="D2539" s="232" t="s">
        <v>103</v>
      </c>
      <c r="E2539" s="232" t="s">
        <v>5</v>
      </c>
      <c r="F2539" s="233"/>
      <c r="G2539" s="234"/>
      <c r="H2539" s="235">
        <v>0.86</v>
      </c>
      <c r="J2539" s="634"/>
      <c r="S2539" s="536"/>
      <c r="T2539" s="635"/>
    </row>
    <row r="2540" spans="1:20" s="298" customFormat="1" ht="25.5">
      <c r="A2540" s="256" t="s">
        <v>12</v>
      </c>
      <c r="B2540" s="374" t="s">
        <v>14623</v>
      </c>
      <c r="C2540" s="289" t="s">
        <v>15035</v>
      </c>
      <c r="D2540" s="290" t="s">
        <v>207</v>
      </c>
      <c r="E2540" s="290" t="s">
        <v>5</v>
      </c>
      <c r="F2540" s="383">
        <v>1</v>
      </c>
      <c r="G2540" s="292">
        <v>0.83</v>
      </c>
      <c r="H2540" s="255">
        <v>0.83</v>
      </c>
      <c r="J2540" s="634"/>
      <c r="S2540" s="536"/>
      <c r="T2540" s="635"/>
    </row>
    <row r="2541" spans="1:20" s="298" customFormat="1" ht="25.5">
      <c r="A2541" s="256" t="s">
        <v>3259</v>
      </c>
      <c r="B2541" s="374">
        <v>88316</v>
      </c>
      <c r="C2541" s="289" t="s">
        <v>104</v>
      </c>
      <c r="D2541" s="290" t="s">
        <v>9714</v>
      </c>
      <c r="E2541" s="290" t="s">
        <v>206</v>
      </c>
      <c r="F2541" s="383">
        <v>2E-3</v>
      </c>
      <c r="G2541" s="292" t="s">
        <v>10172</v>
      </c>
      <c r="H2541" s="255">
        <v>0.03</v>
      </c>
      <c r="J2541" s="634"/>
      <c r="S2541" s="536"/>
      <c r="T2541" s="635"/>
    </row>
    <row r="2542" spans="1:20" s="298" customFormat="1" ht="12.75">
      <c r="A2542" s="286"/>
      <c r="B2542" s="375" t="s">
        <v>143</v>
      </c>
      <c r="C2542" s="816" t="s">
        <v>15051</v>
      </c>
      <c r="D2542" s="817"/>
      <c r="E2542" s="817"/>
      <c r="F2542" s="817"/>
      <c r="G2542" s="817"/>
      <c r="H2542" s="818"/>
      <c r="J2542" s="634"/>
      <c r="S2542" s="536"/>
      <c r="T2542" s="635"/>
    </row>
    <row r="2543" spans="1:20" s="298" customFormat="1" ht="12.75">
      <c r="A2543" s="286"/>
      <c r="B2543" s="373"/>
      <c r="C2543" s="379"/>
      <c r="D2543" s="382"/>
      <c r="E2543" s="382"/>
      <c r="F2543" s="382"/>
      <c r="G2543" s="382"/>
      <c r="H2543" s="382"/>
      <c r="J2543" s="634"/>
      <c r="S2543" s="536"/>
      <c r="T2543" s="635"/>
    </row>
    <row r="2544" spans="1:20" s="298" customFormat="1" ht="38.25">
      <c r="A2544" s="286"/>
      <c r="B2544" s="372" t="s">
        <v>16901</v>
      </c>
      <c r="C2544" s="231" t="s">
        <v>15050</v>
      </c>
      <c r="D2544" s="232" t="s">
        <v>103</v>
      </c>
      <c r="E2544" s="232" t="s">
        <v>5</v>
      </c>
      <c r="F2544" s="233"/>
      <c r="G2544" s="234"/>
      <c r="H2544" s="235">
        <v>8.0399999999999991</v>
      </c>
      <c r="J2544" s="634"/>
      <c r="S2544" s="536"/>
      <c r="T2544" s="635"/>
    </row>
    <row r="2545" spans="1:20" s="298" customFormat="1" ht="25.5">
      <c r="A2545" s="256" t="s">
        <v>12</v>
      </c>
      <c r="B2545" s="374" t="s">
        <v>14624</v>
      </c>
      <c r="C2545" s="289" t="s">
        <v>15047</v>
      </c>
      <c r="D2545" s="290" t="s">
        <v>207</v>
      </c>
      <c r="E2545" s="290" t="s">
        <v>5</v>
      </c>
      <c r="F2545" s="383">
        <v>1.05</v>
      </c>
      <c r="G2545" s="292">
        <v>6.3266666666666671</v>
      </c>
      <c r="H2545" s="255">
        <v>6.64</v>
      </c>
      <c r="J2545" s="634"/>
      <c r="S2545" s="536"/>
      <c r="T2545" s="635"/>
    </row>
    <row r="2546" spans="1:20" s="298" customFormat="1" ht="25.5">
      <c r="A2546" s="256" t="s">
        <v>3259</v>
      </c>
      <c r="B2546" s="374">
        <v>88316</v>
      </c>
      <c r="C2546" s="289" t="s">
        <v>104</v>
      </c>
      <c r="D2546" s="290" t="s">
        <v>9714</v>
      </c>
      <c r="E2546" s="290" t="s">
        <v>206</v>
      </c>
      <c r="F2546" s="383">
        <v>0.08</v>
      </c>
      <c r="G2546" s="292" t="s">
        <v>10172</v>
      </c>
      <c r="H2546" s="255">
        <v>1.4</v>
      </c>
      <c r="J2546" s="634"/>
      <c r="S2546" s="536"/>
      <c r="T2546" s="635"/>
    </row>
    <row r="2547" spans="1:20" s="298" customFormat="1" ht="12.75">
      <c r="A2547" s="286"/>
      <c r="B2547" s="375" t="s">
        <v>143</v>
      </c>
      <c r="C2547" s="816" t="s">
        <v>15052</v>
      </c>
      <c r="D2547" s="817"/>
      <c r="E2547" s="817"/>
      <c r="F2547" s="817"/>
      <c r="G2547" s="817"/>
      <c r="H2547" s="818"/>
      <c r="J2547" s="634"/>
      <c r="S2547" s="536"/>
      <c r="T2547" s="635"/>
    </row>
    <row r="2548" spans="1:20" s="298" customFormat="1" ht="12.75">
      <c r="A2548" s="286"/>
      <c r="B2548" s="373"/>
      <c r="C2548" s="379"/>
      <c r="D2548" s="382"/>
      <c r="E2548" s="382"/>
      <c r="F2548" s="382"/>
      <c r="G2548" s="382"/>
      <c r="H2548" s="382"/>
      <c r="J2548" s="634"/>
      <c r="S2548" s="536"/>
      <c r="T2548" s="635"/>
    </row>
    <row r="2549" spans="1:20" s="298" customFormat="1" ht="25.5">
      <c r="A2549" s="286"/>
      <c r="B2549" s="372" t="s">
        <v>16902</v>
      </c>
      <c r="C2549" s="231" t="s">
        <v>14988</v>
      </c>
      <c r="D2549" s="232" t="s">
        <v>103</v>
      </c>
      <c r="E2549" s="232" t="s">
        <v>109</v>
      </c>
      <c r="F2549" s="233"/>
      <c r="G2549" s="234"/>
      <c r="H2549" s="235">
        <v>90.81</v>
      </c>
      <c r="J2549" s="634"/>
      <c r="S2549" s="536"/>
      <c r="T2549" s="635"/>
    </row>
    <row r="2550" spans="1:20" s="298" customFormat="1" ht="25.5">
      <c r="A2550" s="256" t="s">
        <v>12</v>
      </c>
      <c r="B2550" s="374" t="s">
        <v>14941</v>
      </c>
      <c r="C2550" s="289" t="s">
        <v>14943</v>
      </c>
      <c r="D2550" s="290" t="s">
        <v>207</v>
      </c>
      <c r="E2550" s="290" t="s">
        <v>109</v>
      </c>
      <c r="F2550" s="383">
        <v>1</v>
      </c>
      <c r="G2550" s="292">
        <v>70</v>
      </c>
      <c r="H2550" s="255">
        <v>70</v>
      </c>
      <c r="J2550" s="634"/>
      <c r="S2550" s="536"/>
      <c r="T2550" s="635"/>
    </row>
    <row r="2551" spans="1:20" s="298" customFormat="1" ht="38.25">
      <c r="A2551" s="256" t="s">
        <v>3259</v>
      </c>
      <c r="B2551" s="374">
        <v>88248</v>
      </c>
      <c r="C2551" s="289" t="s">
        <v>106</v>
      </c>
      <c r="D2551" s="290" t="s">
        <v>9714</v>
      </c>
      <c r="E2551" s="290" t="s">
        <v>206</v>
      </c>
      <c r="F2551" s="383">
        <v>0.5</v>
      </c>
      <c r="G2551" s="292" t="s">
        <v>10175</v>
      </c>
      <c r="H2551" s="255">
        <v>9.11</v>
      </c>
      <c r="J2551" s="634"/>
      <c r="S2551" s="536"/>
      <c r="T2551" s="635"/>
    </row>
    <row r="2552" spans="1:20" s="298" customFormat="1" ht="25.5">
      <c r="A2552" s="256" t="s">
        <v>3259</v>
      </c>
      <c r="B2552" s="374">
        <v>88267</v>
      </c>
      <c r="C2552" s="289" t="s">
        <v>107</v>
      </c>
      <c r="D2552" s="290" t="s">
        <v>9714</v>
      </c>
      <c r="E2552" s="290" t="s">
        <v>206</v>
      </c>
      <c r="F2552" s="383">
        <v>0.5</v>
      </c>
      <c r="G2552" s="292" t="s">
        <v>10792</v>
      </c>
      <c r="H2552" s="255">
        <v>11.7</v>
      </c>
      <c r="J2552" s="634"/>
      <c r="S2552" s="536"/>
      <c r="T2552" s="635"/>
    </row>
    <row r="2553" spans="1:20" s="298" customFormat="1" ht="12.75">
      <c r="A2553" s="286"/>
      <c r="B2553" s="375" t="s">
        <v>143</v>
      </c>
      <c r="C2553" s="816" t="s">
        <v>14955</v>
      </c>
      <c r="D2553" s="817"/>
      <c r="E2553" s="817"/>
      <c r="F2553" s="817"/>
      <c r="G2553" s="817"/>
      <c r="H2553" s="818"/>
      <c r="J2553" s="634"/>
      <c r="S2553" s="536"/>
      <c r="T2553" s="635"/>
    </row>
    <row r="2554" spans="1:20" s="298" customFormat="1" ht="12.75">
      <c r="A2554" s="286"/>
      <c r="B2554" s="373"/>
      <c r="C2554" s="379"/>
      <c r="D2554" s="382"/>
      <c r="E2554" s="382"/>
      <c r="F2554" s="382"/>
      <c r="G2554" s="382"/>
      <c r="H2554" s="382"/>
      <c r="J2554" s="634"/>
      <c r="S2554" s="536"/>
      <c r="T2554" s="635"/>
    </row>
    <row r="2555" spans="1:20" s="298" customFormat="1" ht="51">
      <c r="A2555" s="286"/>
      <c r="B2555" s="372" t="s">
        <v>16903</v>
      </c>
      <c r="C2555" s="231" t="s">
        <v>14868</v>
      </c>
      <c r="D2555" s="232" t="s">
        <v>103</v>
      </c>
      <c r="E2555" s="232" t="s">
        <v>109</v>
      </c>
      <c r="F2555" s="233"/>
      <c r="G2555" s="234"/>
      <c r="H2555" s="235">
        <v>15.149999999999999</v>
      </c>
      <c r="J2555" s="634"/>
      <c r="S2555" s="536"/>
      <c r="T2555" s="635"/>
    </row>
    <row r="2556" spans="1:20" s="298" customFormat="1" ht="25.5">
      <c r="A2556" s="256" t="s">
        <v>3261</v>
      </c>
      <c r="B2556" s="288">
        <v>3148</v>
      </c>
      <c r="C2556" s="289" t="s">
        <v>6465</v>
      </c>
      <c r="D2556" s="290" t="s">
        <v>207</v>
      </c>
      <c r="E2556" s="290" t="s">
        <v>3240</v>
      </c>
      <c r="F2556" s="383">
        <v>8.0000000000000002E-3</v>
      </c>
      <c r="G2556" s="292" t="s">
        <v>10121</v>
      </c>
      <c r="H2556" s="255">
        <v>0.11</v>
      </c>
      <c r="J2556" s="634"/>
      <c r="S2556" s="536"/>
      <c r="T2556" s="635"/>
    </row>
    <row r="2557" spans="1:20" s="298" customFormat="1" ht="12.75">
      <c r="A2557" s="256" t="s">
        <v>12</v>
      </c>
      <c r="B2557" s="374" t="s">
        <v>14840</v>
      </c>
      <c r="C2557" s="289" t="s">
        <v>14854</v>
      </c>
      <c r="D2557" s="290" t="s">
        <v>207</v>
      </c>
      <c r="E2557" s="290" t="s">
        <v>109</v>
      </c>
      <c r="F2557" s="383">
        <v>1</v>
      </c>
      <c r="G2557" s="292">
        <v>4.2</v>
      </c>
      <c r="H2557" s="255">
        <v>4.2</v>
      </c>
      <c r="J2557" s="634"/>
      <c r="S2557" s="536"/>
      <c r="T2557" s="635"/>
    </row>
    <row r="2558" spans="1:20" s="298" customFormat="1" ht="25.5">
      <c r="A2558" s="256" t="s">
        <v>3261</v>
      </c>
      <c r="B2558" s="288">
        <v>7307</v>
      </c>
      <c r="C2558" s="289" t="s">
        <v>6505</v>
      </c>
      <c r="D2558" s="290" t="s">
        <v>207</v>
      </c>
      <c r="E2558" s="290" t="s">
        <v>3245</v>
      </c>
      <c r="F2558" s="383">
        <v>2E-3</v>
      </c>
      <c r="G2558" s="292" t="s">
        <v>11120</v>
      </c>
      <c r="H2558" s="255">
        <v>0.06</v>
      </c>
      <c r="J2558" s="634"/>
      <c r="S2558" s="536"/>
      <c r="T2558" s="635"/>
    </row>
    <row r="2559" spans="1:20" s="298" customFormat="1" ht="38.25">
      <c r="A2559" s="256" t="s">
        <v>3259</v>
      </c>
      <c r="B2559" s="374">
        <v>88248</v>
      </c>
      <c r="C2559" s="289" t="s">
        <v>106</v>
      </c>
      <c r="D2559" s="290" t="s">
        <v>9714</v>
      </c>
      <c r="E2559" s="290" t="s">
        <v>206</v>
      </c>
      <c r="F2559" s="383">
        <v>0.25900000000000001</v>
      </c>
      <c r="G2559" s="292" t="s">
        <v>10175</v>
      </c>
      <c r="H2559" s="255">
        <v>4.72</v>
      </c>
      <c r="J2559" s="634"/>
      <c r="S2559" s="536"/>
      <c r="T2559" s="635"/>
    </row>
    <row r="2560" spans="1:20" s="298" customFormat="1" ht="25.5">
      <c r="A2560" s="256" t="s">
        <v>3259</v>
      </c>
      <c r="B2560" s="374">
        <v>88267</v>
      </c>
      <c r="C2560" s="289" t="s">
        <v>107</v>
      </c>
      <c r="D2560" s="290" t="s">
        <v>9714</v>
      </c>
      <c r="E2560" s="290" t="s">
        <v>206</v>
      </c>
      <c r="F2560" s="383">
        <v>0.25900000000000001</v>
      </c>
      <c r="G2560" s="292" t="s">
        <v>10792</v>
      </c>
      <c r="H2560" s="255">
        <v>6.06</v>
      </c>
      <c r="J2560" s="634"/>
      <c r="S2560" s="536"/>
      <c r="T2560" s="635"/>
    </row>
    <row r="2561" spans="1:20" s="298" customFormat="1" ht="12.75">
      <c r="A2561" s="286"/>
      <c r="B2561" s="375" t="s">
        <v>143</v>
      </c>
      <c r="C2561" s="816" t="s">
        <v>14869</v>
      </c>
      <c r="D2561" s="817"/>
      <c r="E2561" s="817"/>
      <c r="F2561" s="817"/>
      <c r="G2561" s="817"/>
      <c r="H2561" s="818"/>
      <c r="J2561" s="634"/>
      <c r="S2561" s="536"/>
      <c r="T2561" s="635"/>
    </row>
    <row r="2562" spans="1:20" s="298" customFormat="1" ht="12.75">
      <c r="A2562" s="286"/>
      <c r="B2562" s="373"/>
      <c r="C2562" s="379"/>
      <c r="D2562" s="382"/>
      <c r="E2562" s="382"/>
      <c r="F2562" s="382"/>
      <c r="G2562" s="382"/>
      <c r="H2562" s="382"/>
      <c r="J2562" s="634"/>
      <c r="S2562" s="536"/>
      <c r="T2562" s="635"/>
    </row>
    <row r="2563" spans="1:20" s="298" customFormat="1" ht="38.25">
      <c r="A2563" s="286"/>
      <c r="B2563" s="372" t="s">
        <v>16905</v>
      </c>
      <c r="C2563" s="231" t="s">
        <v>16906</v>
      </c>
      <c r="D2563" s="232" t="s">
        <v>103</v>
      </c>
      <c r="E2563" s="232" t="s">
        <v>109</v>
      </c>
      <c r="F2563" s="233"/>
      <c r="G2563" s="234"/>
      <c r="H2563" s="235">
        <v>57.24</v>
      </c>
      <c r="J2563" s="634"/>
      <c r="S2563" s="536"/>
      <c r="T2563" s="635"/>
    </row>
    <row r="2564" spans="1:20" s="298" customFormat="1" ht="25.5">
      <c r="A2564" s="256" t="s">
        <v>3259</v>
      </c>
      <c r="B2564" s="288">
        <v>88264</v>
      </c>
      <c r="C2564" s="289" t="s">
        <v>146</v>
      </c>
      <c r="D2564" s="290" t="s">
        <v>9714</v>
      </c>
      <c r="E2564" s="290" t="s">
        <v>206</v>
      </c>
      <c r="F2564" s="383">
        <v>0.7</v>
      </c>
      <c r="G2564" s="292" t="s">
        <v>16504</v>
      </c>
      <c r="H2564" s="255">
        <v>16.87</v>
      </c>
      <c r="J2564" s="634"/>
      <c r="S2564" s="536"/>
      <c r="T2564" s="635"/>
    </row>
    <row r="2565" spans="1:20" s="298" customFormat="1" ht="25.5">
      <c r="A2565" s="256" t="s">
        <v>3259</v>
      </c>
      <c r="B2565" s="374">
        <v>88247</v>
      </c>
      <c r="C2565" s="289" t="s">
        <v>145</v>
      </c>
      <c r="D2565" s="290" t="s">
        <v>9714</v>
      </c>
      <c r="E2565" s="290" t="s">
        <v>206</v>
      </c>
      <c r="F2565" s="383">
        <v>0.7</v>
      </c>
      <c r="G2565" s="292" t="s">
        <v>12206</v>
      </c>
      <c r="H2565" s="255">
        <v>13.11</v>
      </c>
      <c r="J2565" s="634"/>
      <c r="S2565" s="536"/>
      <c r="T2565" s="635"/>
    </row>
    <row r="2566" spans="1:20" s="298" customFormat="1" ht="38.25">
      <c r="A2566" s="256" t="s">
        <v>3261</v>
      </c>
      <c r="B2566" s="288">
        <v>20254</v>
      </c>
      <c r="C2566" s="289" t="s">
        <v>9505</v>
      </c>
      <c r="D2566" s="290" t="s">
        <v>207</v>
      </c>
      <c r="E2566" s="290" t="s">
        <v>3240</v>
      </c>
      <c r="F2566" s="383">
        <v>1</v>
      </c>
      <c r="G2566" s="292" t="s">
        <v>19215</v>
      </c>
      <c r="H2566" s="255">
        <v>27.26</v>
      </c>
      <c r="J2566" s="634"/>
      <c r="S2566" s="536"/>
      <c r="T2566" s="635"/>
    </row>
    <row r="2567" spans="1:20" s="298" customFormat="1" ht="12.75">
      <c r="A2567" s="286"/>
      <c r="B2567" s="375" t="s">
        <v>143</v>
      </c>
      <c r="C2567" s="816" t="s">
        <v>14464</v>
      </c>
      <c r="D2567" s="817"/>
      <c r="E2567" s="817"/>
      <c r="F2567" s="817"/>
      <c r="G2567" s="817"/>
      <c r="H2567" s="818"/>
      <c r="J2567" s="634"/>
      <c r="S2567" s="536"/>
      <c r="T2567" s="635"/>
    </row>
    <row r="2568" spans="1:20" s="298" customFormat="1" ht="12.75">
      <c r="A2568" s="286"/>
      <c r="B2568" s="373"/>
      <c r="C2568" s="379"/>
      <c r="D2568" s="382"/>
      <c r="E2568" s="382"/>
      <c r="F2568" s="382"/>
      <c r="G2568" s="382"/>
      <c r="H2568" s="382"/>
      <c r="J2568" s="634"/>
      <c r="S2568" s="536"/>
      <c r="T2568" s="635"/>
    </row>
    <row r="2569" spans="1:20" s="298" customFormat="1" ht="25.5">
      <c r="A2569" s="286"/>
      <c r="B2569" s="372" t="s">
        <v>16954</v>
      </c>
      <c r="C2569" s="231" t="s">
        <v>14891</v>
      </c>
      <c r="D2569" s="232" t="s">
        <v>103</v>
      </c>
      <c r="E2569" s="232" t="s">
        <v>109</v>
      </c>
      <c r="F2569" s="233"/>
      <c r="G2569" s="234"/>
      <c r="H2569" s="235">
        <v>17.239999999999998</v>
      </c>
      <c r="J2569" s="634"/>
      <c r="S2569" s="536"/>
      <c r="T2569" s="635"/>
    </row>
    <row r="2570" spans="1:20" s="298" customFormat="1" ht="25.5">
      <c r="A2570" s="256" t="s">
        <v>3261</v>
      </c>
      <c r="B2570" s="288">
        <v>3148</v>
      </c>
      <c r="C2570" s="289" t="s">
        <v>6465</v>
      </c>
      <c r="D2570" s="290" t="s">
        <v>207</v>
      </c>
      <c r="E2570" s="290" t="s">
        <v>3240</v>
      </c>
      <c r="F2570" s="383">
        <v>1.0999999999999999E-2</v>
      </c>
      <c r="G2570" s="292" t="s">
        <v>10121</v>
      </c>
      <c r="H2570" s="255">
        <v>0.15</v>
      </c>
      <c r="J2570" s="634"/>
      <c r="S2570" s="536"/>
      <c r="T2570" s="635"/>
    </row>
    <row r="2571" spans="1:20" s="298" customFormat="1" ht="25.5">
      <c r="A2571" s="256" t="s">
        <v>3261</v>
      </c>
      <c r="B2571" s="374">
        <v>1163</v>
      </c>
      <c r="C2571" s="289" t="s">
        <v>5388</v>
      </c>
      <c r="D2571" s="290" t="s">
        <v>207</v>
      </c>
      <c r="E2571" s="290" t="s">
        <v>3240</v>
      </c>
      <c r="F2571" s="383">
        <v>1</v>
      </c>
      <c r="G2571" s="292" t="s">
        <v>11166</v>
      </c>
      <c r="H2571" s="255">
        <v>4.6399999999999997</v>
      </c>
      <c r="J2571" s="634"/>
      <c r="S2571" s="536"/>
      <c r="T2571" s="635"/>
    </row>
    <row r="2572" spans="1:20" s="298" customFormat="1" ht="25.5">
      <c r="A2572" s="256" t="s">
        <v>3261</v>
      </c>
      <c r="B2572" s="288">
        <v>7307</v>
      </c>
      <c r="C2572" s="289" t="s">
        <v>6505</v>
      </c>
      <c r="D2572" s="290" t="s">
        <v>207</v>
      </c>
      <c r="E2572" s="290" t="s">
        <v>3245</v>
      </c>
      <c r="F2572" s="383">
        <v>3.0000000000000001E-3</v>
      </c>
      <c r="G2572" s="292" t="s">
        <v>11120</v>
      </c>
      <c r="H2572" s="255">
        <v>0.09</v>
      </c>
      <c r="J2572" s="634"/>
      <c r="S2572" s="536"/>
      <c r="T2572" s="635"/>
    </row>
    <row r="2573" spans="1:20" s="298" customFormat="1" ht="38.25">
      <c r="A2573" s="256" t="s">
        <v>3259</v>
      </c>
      <c r="B2573" s="374">
        <v>88248</v>
      </c>
      <c r="C2573" s="289" t="s">
        <v>106</v>
      </c>
      <c r="D2573" s="290" t="s">
        <v>9714</v>
      </c>
      <c r="E2573" s="290" t="s">
        <v>206</v>
      </c>
      <c r="F2573" s="383">
        <v>0.29699999999999999</v>
      </c>
      <c r="G2573" s="292" t="s">
        <v>10175</v>
      </c>
      <c r="H2573" s="255">
        <v>5.41</v>
      </c>
      <c r="J2573" s="634"/>
      <c r="S2573" s="536"/>
      <c r="T2573" s="635"/>
    </row>
    <row r="2574" spans="1:20" s="298" customFormat="1" ht="25.5">
      <c r="A2574" s="256" t="s">
        <v>3259</v>
      </c>
      <c r="B2574" s="374">
        <v>88267</v>
      </c>
      <c r="C2574" s="289" t="s">
        <v>107</v>
      </c>
      <c r="D2574" s="290" t="s">
        <v>9714</v>
      </c>
      <c r="E2574" s="290" t="s">
        <v>206</v>
      </c>
      <c r="F2574" s="383">
        <v>0.29699999999999999</v>
      </c>
      <c r="G2574" s="292" t="s">
        <v>10792</v>
      </c>
      <c r="H2574" s="255">
        <v>6.95</v>
      </c>
      <c r="J2574" s="634"/>
      <c r="S2574" s="536"/>
      <c r="T2574" s="635"/>
    </row>
    <row r="2575" spans="1:20" s="298" customFormat="1" ht="12.75">
      <c r="A2575" s="286"/>
      <c r="B2575" s="375" t="s">
        <v>143</v>
      </c>
      <c r="C2575" s="816" t="s">
        <v>14890</v>
      </c>
      <c r="D2575" s="817"/>
      <c r="E2575" s="817"/>
      <c r="F2575" s="817"/>
      <c r="G2575" s="817"/>
      <c r="H2575" s="818"/>
      <c r="J2575" s="634"/>
      <c r="S2575" s="536"/>
      <c r="T2575" s="635"/>
    </row>
    <row r="2576" spans="1:20" s="298" customFormat="1" ht="12.75">
      <c r="A2576" s="286"/>
      <c r="B2576" s="373"/>
      <c r="C2576" s="379"/>
      <c r="D2576" s="382"/>
      <c r="E2576" s="382"/>
      <c r="F2576" s="382"/>
      <c r="G2576" s="382"/>
      <c r="H2576" s="382"/>
      <c r="J2576" s="634"/>
      <c r="S2576" s="536"/>
      <c r="T2576" s="635"/>
    </row>
    <row r="2577" spans="1:20" s="298" customFormat="1" ht="25.5">
      <c r="A2577" s="286"/>
      <c r="B2577" s="372" t="s">
        <v>16955</v>
      </c>
      <c r="C2577" s="231" t="s">
        <v>14940</v>
      </c>
      <c r="D2577" s="232" t="s">
        <v>103</v>
      </c>
      <c r="E2577" s="232" t="s">
        <v>109</v>
      </c>
      <c r="F2577" s="233"/>
      <c r="G2577" s="234"/>
      <c r="H2577" s="235">
        <v>129.54</v>
      </c>
      <c r="J2577" s="634"/>
      <c r="S2577" s="536"/>
      <c r="T2577" s="635"/>
    </row>
    <row r="2578" spans="1:20" s="298" customFormat="1" ht="12.75">
      <c r="A2578" s="256" t="s">
        <v>12</v>
      </c>
      <c r="B2578" s="374" t="s">
        <v>14932</v>
      </c>
      <c r="C2578" s="289" t="s">
        <v>14933</v>
      </c>
      <c r="D2578" s="290" t="s">
        <v>207</v>
      </c>
      <c r="E2578" s="290" t="s">
        <v>109</v>
      </c>
      <c r="F2578" s="383">
        <v>1</v>
      </c>
      <c r="G2578" s="292">
        <v>94.41</v>
      </c>
      <c r="H2578" s="255">
        <v>94.41</v>
      </c>
      <c r="J2578" s="634"/>
      <c r="S2578" s="536"/>
      <c r="T2578" s="635"/>
    </row>
    <row r="2579" spans="1:20" s="298" customFormat="1" ht="25.5">
      <c r="A2579" s="256" t="s">
        <v>3261</v>
      </c>
      <c r="B2579" s="374">
        <v>3146</v>
      </c>
      <c r="C2579" s="289" t="s">
        <v>6463</v>
      </c>
      <c r="D2579" s="290" t="s">
        <v>207</v>
      </c>
      <c r="E2579" s="290" t="s">
        <v>3240</v>
      </c>
      <c r="F2579" s="383">
        <v>1.2E-2</v>
      </c>
      <c r="G2579" s="292" t="s">
        <v>11333</v>
      </c>
      <c r="H2579" s="255">
        <v>0.04</v>
      </c>
      <c r="J2579" s="634"/>
      <c r="S2579" s="536"/>
      <c r="T2579" s="635"/>
    </row>
    <row r="2580" spans="1:20" s="298" customFormat="1" ht="38.25">
      <c r="A2580" s="256" t="s">
        <v>3259</v>
      </c>
      <c r="B2580" s="374">
        <v>88248</v>
      </c>
      <c r="C2580" s="289" t="s">
        <v>106</v>
      </c>
      <c r="D2580" s="290" t="s">
        <v>9714</v>
      </c>
      <c r="E2580" s="290" t="s">
        <v>206</v>
      </c>
      <c r="F2580" s="383">
        <v>0.84299999999999997</v>
      </c>
      <c r="G2580" s="292" t="s">
        <v>10175</v>
      </c>
      <c r="H2580" s="255">
        <v>15.36</v>
      </c>
      <c r="J2580" s="634"/>
      <c r="S2580" s="536"/>
      <c r="T2580" s="635"/>
    </row>
    <row r="2581" spans="1:20" s="298" customFormat="1" ht="25.5">
      <c r="A2581" s="256" t="s">
        <v>3259</v>
      </c>
      <c r="B2581" s="374">
        <v>88267</v>
      </c>
      <c r="C2581" s="289" t="s">
        <v>107</v>
      </c>
      <c r="D2581" s="290" t="s">
        <v>9714</v>
      </c>
      <c r="E2581" s="290" t="s">
        <v>206</v>
      </c>
      <c r="F2581" s="383">
        <v>0.84299999999999997</v>
      </c>
      <c r="G2581" s="292" t="s">
        <v>10792</v>
      </c>
      <c r="H2581" s="255">
        <v>19.73</v>
      </c>
      <c r="J2581" s="634"/>
      <c r="S2581" s="536"/>
      <c r="T2581" s="635"/>
    </row>
    <row r="2582" spans="1:20" s="298" customFormat="1" ht="12.75">
      <c r="A2582" s="286"/>
      <c r="B2582" s="375" t="s">
        <v>143</v>
      </c>
      <c r="C2582" s="816" t="s">
        <v>14939</v>
      </c>
      <c r="D2582" s="817"/>
      <c r="E2582" s="817"/>
      <c r="F2582" s="817"/>
      <c r="G2582" s="817"/>
      <c r="H2582" s="818"/>
      <c r="J2582" s="634"/>
      <c r="S2582" s="536"/>
      <c r="T2582" s="635"/>
    </row>
    <row r="2583" spans="1:20" s="298" customFormat="1" ht="12.75">
      <c r="A2583" s="286"/>
      <c r="B2583" s="373"/>
      <c r="C2583" s="379"/>
      <c r="D2583" s="382"/>
      <c r="E2583" s="382"/>
      <c r="F2583" s="382"/>
      <c r="G2583" s="382"/>
      <c r="H2583" s="382"/>
      <c r="J2583" s="634"/>
      <c r="S2583" s="536"/>
      <c r="T2583" s="635"/>
    </row>
    <row r="2584" spans="1:20" s="298" customFormat="1" ht="51">
      <c r="A2584" s="286"/>
      <c r="B2584" s="372" t="s">
        <v>16956</v>
      </c>
      <c r="C2584" s="231" t="s">
        <v>14987</v>
      </c>
      <c r="D2584" s="232" t="s">
        <v>103</v>
      </c>
      <c r="E2584" s="232" t="s">
        <v>109</v>
      </c>
      <c r="F2584" s="233"/>
      <c r="G2584" s="234"/>
      <c r="H2584" s="235">
        <v>1302.23</v>
      </c>
      <c r="J2584" s="634"/>
      <c r="S2584" s="536"/>
      <c r="T2584" s="635"/>
    </row>
    <row r="2585" spans="1:20" s="298" customFormat="1" ht="38.25">
      <c r="A2585" s="256" t="s">
        <v>12</v>
      </c>
      <c r="B2585" s="374" t="s">
        <v>14942</v>
      </c>
      <c r="C2585" s="289" t="s">
        <v>14986</v>
      </c>
      <c r="D2585" s="290" t="s">
        <v>207</v>
      </c>
      <c r="E2585" s="290" t="s">
        <v>109</v>
      </c>
      <c r="F2585" s="383">
        <v>1</v>
      </c>
      <c r="G2585" s="292">
        <v>1281.42</v>
      </c>
      <c r="H2585" s="255">
        <v>1281.42</v>
      </c>
      <c r="J2585" s="634"/>
      <c r="S2585" s="536"/>
      <c r="T2585" s="635"/>
    </row>
    <row r="2586" spans="1:20" s="298" customFormat="1" ht="38.25">
      <c r="A2586" s="256" t="s">
        <v>3259</v>
      </c>
      <c r="B2586" s="374">
        <v>88248</v>
      </c>
      <c r="C2586" s="289" t="s">
        <v>106</v>
      </c>
      <c r="D2586" s="290" t="s">
        <v>9714</v>
      </c>
      <c r="E2586" s="290" t="s">
        <v>206</v>
      </c>
      <c r="F2586" s="383">
        <v>0.5</v>
      </c>
      <c r="G2586" s="292" t="s">
        <v>10175</v>
      </c>
      <c r="H2586" s="255">
        <v>9.11</v>
      </c>
      <c r="J2586" s="634"/>
      <c r="S2586" s="536"/>
      <c r="T2586" s="635"/>
    </row>
    <row r="2587" spans="1:20" s="298" customFormat="1" ht="25.5">
      <c r="A2587" s="256" t="s">
        <v>3259</v>
      </c>
      <c r="B2587" s="374">
        <v>88267</v>
      </c>
      <c r="C2587" s="289" t="s">
        <v>107</v>
      </c>
      <c r="D2587" s="290" t="s">
        <v>9714</v>
      </c>
      <c r="E2587" s="290" t="s">
        <v>206</v>
      </c>
      <c r="F2587" s="383">
        <v>0.5</v>
      </c>
      <c r="G2587" s="292" t="s">
        <v>10792</v>
      </c>
      <c r="H2587" s="255">
        <v>11.7</v>
      </c>
      <c r="J2587" s="634"/>
      <c r="S2587" s="536"/>
      <c r="T2587" s="635"/>
    </row>
    <row r="2588" spans="1:20" s="298" customFormat="1" ht="12.75">
      <c r="A2588" s="286"/>
      <c r="B2588" s="375" t="s">
        <v>143</v>
      </c>
      <c r="C2588" s="816" t="s">
        <v>14957</v>
      </c>
      <c r="D2588" s="817"/>
      <c r="E2588" s="817"/>
      <c r="F2588" s="817"/>
      <c r="G2588" s="817"/>
      <c r="H2588" s="818"/>
      <c r="J2588" s="634"/>
      <c r="S2588" s="536"/>
      <c r="T2588" s="635"/>
    </row>
    <row r="2589" spans="1:20" s="298" customFormat="1" ht="12.75">
      <c r="A2589" s="286"/>
      <c r="B2589" s="373"/>
      <c r="C2589" s="379"/>
      <c r="D2589" s="382"/>
      <c r="E2589" s="382"/>
      <c r="F2589" s="382"/>
      <c r="G2589" s="382"/>
      <c r="H2589" s="382"/>
      <c r="J2589" s="634"/>
      <c r="S2589" s="536"/>
      <c r="T2589" s="635"/>
    </row>
    <row r="2590" spans="1:20" s="298" customFormat="1" ht="25.5">
      <c r="A2590" s="286"/>
      <c r="B2590" s="372" t="s">
        <v>16957</v>
      </c>
      <c r="C2590" s="231" t="s">
        <v>14989</v>
      </c>
      <c r="D2590" s="232" t="s">
        <v>103</v>
      </c>
      <c r="E2590" s="232" t="s">
        <v>109</v>
      </c>
      <c r="F2590" s="233"/>
      <c r="G2590" s="234"/>
      <c r="H2590" s="235">
        <v>44.959999999999994</v>
      </c>
      <c r="J2590" s="634"/>
      <c r="S2590" s="536"/>
      <c r="T2590" s="635"/>
    </row>
    <row r="2591" spans="1:20" s="298" customFormat="1" ht="12.75">
      <c r="A2591" s="256" t="s">
        <v>12</v>
      </c>
      <c r="B2591" s="374" t="s">
        <v>14628</v>
      </c>
      <c r="C2591" s="289" t="s">
        <v>14629</v>
      </c>
      <c r="D2591" s="290" t="s">
        <v>207</v>
      </c>
      <c r="E2591" s="290" t="s">
        <v>109</v>
      </c>
      <c r="F2591" s="383">
        <v>1</v>
      </c>
      <c r="G2591" s="292">
        <v>37.94</v>
      </c>
      <c r="H2591" s="255">
        <v>37.94</v>
      </c>
      <c r="J2591" s="634"/>
      <c r="S2591" s="536"/>
      <c r="T2591" s="635"/>
    </row>
    <row r="2592" spans="1:20" s="298" customFormat="1" ht="25.5">
      <c r="A2592" s="256" t="s">
        <v>3259</v>
      </c>
      <c r="B2592" s="374">
        <v>88267</v>
      </c>
      <c r="C2592" s="289" t="s">
        <v>107</v>
      </c>
      <c r="D2592" s="290" t="s">
        <v>9714</v>
      </c>
      <c r="E2592" s="290" t="s">
        <v>206</v>
      </c>
      <c r="F2592" s="383">
        <v>0.3</v>
      </c>
      <c r="G2592" s="292" t="s">
        <v>10792</v>
      </c>
      <c r="H2592" s="255">
        <v>7.02</v>
      </c>
      <c r="J2592" s="634"/>
      <c r="S2592" s="536"/>
      <c r="T2592" s="635"/>
    </row>
    <row r="2593" spans="1:20" s="298" customFormat="1" ht="12.75">
      <c r="A2593" s="286"/>
      <c r="B2593" s="375" t="s">
        <v>143</v>
      </c>
      <c r="C2593" s="816" t="s">
        <v>15012</v>
      </c>
      <c r="D2593" s="817"/>
      <c r="E2593" s="817"/>
      <c r="F2593" s="817"/>
      <c r="G2593" s="817"/>
      <c r="H2593" s="818"/>
      <c r="J2593" s="634"/>
      <c r="S2593" s="536"/>
      <c r="T2593" s="635"/>
    </row>
    <row r="2594" spans="1:20" s="298" customFormat="1" ht="12.75">
      <c r="A2594" s="286"/>
      <c r="B2594" s="373"/>
      <c r="C2594" s="379"/>
      <c r="D2594" s="382"/>
      <c r="E2594" s="382"/>
      <c r="F2594" s="382"/>
      <c r="G2594" s="382"/>
      <c r="H2594" s="382"/>
      <c r="J2594" s="634"/>
      <c r="S2594" s="536"/>
      <c r="T2594" s="635"/>
    </row>
    <row r="2595" spans="1:20" s="298" customFormat="1" ht="25.5">
      <c r="A2595" s="286"/>
      <c r="B2595" s="372" t="s">
        <v>16958</v>
      </c>
      <c r="C2595" s="231" t="s">
        <v>14991</v>
      </c>
      <c r="D2595" s="232" t="s">
        <v>103</v>
      </c>
      <c r="E2595" s="232" t="s">
        <v>109</v>
      </c>
      <c r="F2595" s="233"/>
      <c r="G2595" s="234"/>
      <c r="H2595" s="235">
        <v>161.65</v>
      </c>
      <c r="J2595" s="634"/>
      <c r="S2595" s="536"/>
      <c r="T2595" s="635"/>
    </row>
    <row r="2596" spans="1:20" s="298" customFormat="1" ht="12.75">
      <c r="A2596" s="256" t="s">
        <v>12</v>
      </c>
      <c r="B2596" s="374" t="s">
        <v>14630</v>
      </c>
      <c r="C2596" s="289" t="s">
        <v>14631</v>
      </c>
      <c r="D2596" s="290" t="s">
        <v>207</v>
      </c>
      <c r="E2596" s="290" t="s">
        <v>109</v>
      </c>
      <c r="F2596" s="383">
        <v>1</v>
      </c>
      <c r="G2596" s="292">
        <v>158.85</v>
      </c>
      <c r="H2596" s="255">
        <v>158.85</v>
      </c>
      <c r="J2596" s="634"/>
      <c r="S2596" s="536"/>
      <c r="T2596" s="635"/>
    </row>
    <row r="2597" spans="1:20" s="298" customFormat="1" ht="25.5">
      <c r="A2597" s="256" t="s">
        <v>3259</v>
      </c>
      <c r="B2597" s="374">
        <v>88267</v>
      </c>
      <c r="C2597" s="289" t="s">
        <v>107</v>
      </c>
      <c r="D2597" s="290" t="s">
        <v>9714</v>
      </c>
      <c r="E2597" s="290" t="s">
        <v>206</v>
      </c>
      <c r="F2597" s="383">
        <v>0.12</v>
      </c>
      <c r="G2597" s="292" t="s">
        <v>10792</v>
      </c>
      <c r="H2597" s="255">
        <v>2.8</v>
      </c>
      <c r="J2597" s="634"/>
      <c r="S2597" s="536"/>
      <c r="T2597" s="635"/>
    </row>
    <row r="2598" spans="1:20" s="298" customFormat="1" ht="12.75">
      <c r="A2598" s="286"/>
      <c r="B2598" s="375" t="s">
        <v>143</v>
      </c>
      <c r="C2598" s="816" t="s">
        <v>15013</v>
      </c>
      <c r="D2598" s="817"/>
      <c r="E2598" s="817"/>
      <c r="F2598" s="817"/>
      <c r="G2598" s="817"/>
      <c r="H2598" s="818"/>
      <c r="J2598" s="634"/>
      <c r="S2598" s="536"/>
      <c r="T2598" s="635"/>
    </row>
    <row r="2599" spans="1:20" s="298" customFormat="1" ht="12.75">
      <c r="A2599" s="286"/>
      <c r="B2599" s="373"/>
      <c r="C2599" s="379"/>
      <c r="D2599" s="382"/>
      <c r="E2599" s="382"/>
      <c r="F2599" s="382"/>
      <c r="G2599" s="382"/>
      <c r="H2599" s="382"/>
      <c r="J2599" s="634"/>
      <c r="S2599" s="536"/>
      <c r="T2599" s="635"/>
    </row>
    <row r="2600" spans="1:20" s="298" customFormat="1" ht="25.5">
      <c r="A2600" s="286"/>
      <c r="B2600" s="372" t="s">
        <v>18346</v>
      </c>
      <c r="C2600" s="231" t="s">
        <v>18347</v>
      </c>
      <c r="D2600" s="232" t="s">
        <v>103</v>
      </c>
      <c r="E2600" s="232" t="s">
        <v>109</v>
      </c>
      <c r="F2600" s="233"/>
      <c r="G2600" s="234"/>
      <c r="H2600" s="235">
        <v>134.1</v>
      </c>
      <c r="J2600" s="634"/>
      <c r="S2600" s="536"/>
      <c r="T2600" s="635"/>
    </row>
    <row r="2601" spans="1:20" s="298" customFormat="1" ht="25.5">
      <c r="A2601" s="256" t="s">
        <v>3261</v>
      </c>
      <c r="B2601" s="374">
        <v>20034</v>
      </c>
      <c r="C2601" s="289" t="s">
        <v>7897</v>
      </c>
      <c r="D2601" s="290" t="s">
        <v>207</v>
      </c>
      <c r="E2601" s="290" t="s">
        <v>3240</v>
      </c>
      <c r="F2601" s="383">
        <v>1</v>
      </c>
      <c r="G2601" s="292" t="s">
        <v>20556</v>
      </c>
      <c r="H2601" s="255">
        <v>127.47</v>
      </c>
      <c r="J2601" s="634"/>
      <c r="S2601" s="536"/>
      <c r="T2601" s="635"/>
    </row>
    <row r="2602" spans="1:20" s="298" customFormat="1" ht="51">
      <c r="A2602" s="256" t="s">
        <v>3261</v>
      </c>
      <c r="B2602" s="288">
        <v>20078</v>
      </c>
      <c r="C2602" s="289" t="s">
        <v>7558</v>
      </c>
      <c r="D2602" s="290" t="s">
        <v>207</v>
      </c>
      <c r="E2602" s="290" t="s">
        <v>3240</v>
      </c>
      <c r="F2602" s="383">
        <v>7.0000000000000007E-2</v>
      </c>
      <c r="G2602" s="292" t="s">
        <v>9726</v>
      </c>
      <c r="H2602" s="255">
        <v>2.06</v>
      </c>
      <c r="J2602" s="634"/>
      <c r="S2602" s="536"/>
      <c r="T2602" s="635"/>
    </row>
    <row r="2603" spans="1:20" s="298" customFormat="1" ht="38.25">
      <c r="A2603" s="256" t="s">
        <v>3259</v>
      </c>
      <c r="B2603" s="374">
        <v>88248</v>
      </c>
      <c r="C2603" s="289" t="s">
        <v>106</v>
      </c>
      <c r="D2603" s="290" t="s">
        <v>9714</v>
      </c>
      <c r="E2603" s="290" t="s">
        <v>206</v>
      </c>
      <c r="F2603" s="383">
        <v>0.11</v>
      </c>
      <c r="G2603" s="292" t="s">
        <v>10175</v>
      </c>
      <c r="H2603" s="255">
        <v>2</v>
      </c>
      <c r="J2603" s="634"/>
      <c r="S2603" s="536"/>
      <c r="T2603" s="635"/>
    </row>
    <row r="2604" spans="1:20" s="298" customFormat="1" ht="25.5">
      <c r="A2604" s="256" t="s">
        <v>3259</v>
      </c>
      <c r="B2604" s="374">
        <v>88267</v>
      </c>
      <c r="C2604" s="289" t="s">
        <v>107</v>
      </c>
      <c r="D2604" s="290" t="s">
        <v>9714</v>
      </c>
      <c r="E2604" s="290" t="s">
        <v>206</v>
      </c>
      <c r="F2604" s="383">
        <v>0.11</v>
      </c>
      <c r="G2604" s="292" t="s">
        <v>10792</v>
      </c>
      <c r="H2604" s="255">
        <v>2.57</v>
      </c>
      <c r="J2604" s="634"/>
      <c r="S2604" s="536"/>
      <c r="T2604" s="635"/>
    </row>
    <row r="2605" spans="1:20" s="298" customFormat="1" ht="12.75">
      <c r="A2605" s="286"/>
      <c r="B2605" s="375" t="s">
        <v>143</v>
      </c>
      <c r="C2605" s="816" t="s">
        <v>18348</v>
      </c>
      <c r="D2605" s="817"/>
      <c r="E2605" s="817"/>
      <c r="F2605" s="817"/>
      <c r="G2605" s="817"/>
      <c r="H2605" s="818"/>
      <c r="J2605" s="634"/>
      <c r="S2605" s="536"/>
      <c r="T2605" s="635"/>
    </row>
    <row r="2606" spans="1:20" s="298" customFormat="1" ht="12.75">
      <c r="A2606" s="286"/>
      <c r="B2606" s="373"/>
      <c r="C2606" s="379"/>
      <c r="D2606" s="382"/>
      <c r="E2606" s="382"/>
      <c r="F2606" s="382"/>
      <c r="G2606" s="382"/>
      <c r="H2606" s="382"/>
      <c r="J2606" s="634"/>
      <c r="S2606" s="536"/>
      <c r="T2606" s="635"/>
    </row>
    <row r="2607" spans="1:20" s="298" customFormat="1" ht="25.5">
      <c r="A2607" s="286"/>
      <c r="B2607" s="372" t="s">
        <v>16959</v>
      </c>
      <c r="C2607" s="231" t="s">
        <v>14888</v>
      </c>
      <c r="D2607" s="232" t="s">
        <v>103</v>
      </c>
      <c r="E2607" s="232" t="s">
        <v>109</v>
      </c>
      <c r="F2607" s="233"/>
      <c r="G2607" s="234"/>
      <c r="H2607" s="235">
        <v>27.85</v>
      </c>
      <c r="J2607" s="634"/>
      <c r="S2607" s="536"/>
      <c r="T2607" s="635"/>
    </row>
    <row r="2608" spans="1:20" s="298" customFormat="1" ht="25.5">
      <c r="A2608" s="256" t="s">
        <v>3261</v>
      </c>
      <c r="B2608" s="288">
        <v>3148</v>
      </c>
      <c r="C2608" s="289" t="s">
        <v>6465</v>
      </c>
      <c r="D2608" s="290" t="s">
        <v>207</v>
      </c>
      <c r="E2608" s="290" t="s">
        <v>3240</v>
      </c>
      <c r="F2608" s="383">
        <v>1.2999999999999999E-2</v>
      </c>
      <c r="G2608" s="292" t="s">
        <v>10121</v>
      </c>
      <c r="H2608" s="255">
        <v>0.18</v>
      </c>
      <c r="J2608" s="634"/>
      <c r="S2608" s="536"/>
      <c r="T2608" s="635"/>
    </row>
    <row r="2609" spans="1:20" s="298" customFormat="1" ht="12.75">
      <c r="A2609" s="256" t="s">
        <v>12</v>
      </c>
      <c r="B2609" s="374" t="s">
        <v>14885</v>
      </c>
      <c r="C2609" s="289" t="s">
        <v>14887</v>
      </c>
      <c r="D2609" s="290" t="s">
        <v>207</v>
      </c>
      <c r="E2609" s="290" t="s">
        <v>109</v>
      </c>
      <c r="F2609" s="383">
        <v>1</v>
      </c>
      <c r="G2609" s="292">
        <v>7.18</v>
      </c>
      <c r="H2609" s="255">
        <v>7.18</v>
      </c>
      <c r="J2609" s="634"/>
      <c r="S2609" s="536"/>
      <c r="T2609" s="635"/>
    </row>
    <row r="2610" spans="1:20" s="298" customFormat="1" ht="25.5">
      <c r="A2610" s="256" t="s">
        <v>3261</v>
      </c>
      <c r="B2610" s="288">
        <v>7307</v>
      </c>
      <c r="C2610" s="289" t="s">
        <v>6505</v>
      </c>
      <c r="D2610" s="290" t="s">
        <v>207</v>
      </c>
      <c r="E2610" s="290" t="s">
        <v>3245</v>
      </c>
      <c r="F2610" s="383">
        <v>3.0000000000000001E-3</v>
      </c>
      <c r="G2610" s="292" t="s">
        <v>11120</v>
      </c>
      <c r="H2610" s="255">
        <v>0.09</v>
      </c>
      <c r="J2610" s="634"/>
      <c r="S2610" s="536"/>
      <c r="T2610" s="635"/>
    </row>
    <row r="2611" spans="1:20" s="298" customFormat="1" ht="38.25">
      <c r="A2611" s="256" t="s">
        <v>3259</v>
      </c>
      <c r="B2611" s="374">
        <v>88248</v>
      </c>
      <c r="C2611" s="289" t="s">
        <v>106</v>
      </c>
      <c r="D2611" s="290" t="s">
        <v>9714</v>
      </c>
      <c r="E2611" s="290" t="s">
        <v>206</v>
      </c>
      <c r="F2611" s="383">
        <v>0.49</v>
      </c>
      <c r="G2611" s="292" t="s">
        <v>10175</v>
      </c>
      <c r="H2611" s="255">
        <v>8.93</v>
      </c>
      <c r="J2611" s="634"/>
      <c r="S2611" s="536"/>
      <c r="T2611" s="635"/>
    </row>
    <row r="2612" spans="1:20" s="298" customFormat="1" ht="25.5">
      <c r="A2612" s="256" t="s">
        <v>3259</v>
      </c>
      <c r="B2612" s="374">
        <v>88267</v>
      </c>
      <c r="C2612" s="289" t="s">
        <v>107</v>
      </c>
      <c r="D2612" s="290" t="s">
        <v>9714</v>
      </c>
      <c r="E2612" s="290" t="s">
        <v>206</v>
      </c>
      <c r="F2612" s="383">
        <v>0.49</v>
      </c>
      <c r="G2612" s="292" t="s">
        <v>10792</v>
      </c>
      <c r="H2612" s="255">
        <v>11.47</v>
      </c>
      <c r="J2612" s="634"/>
      <c r="S2612" s="536"/>
      <c r="T2612" s="635"/>
    </row>
    <row r="2613" spans="1:20" s="298" customFormat="1" ht="12.75">
      <c r="A2613" s="286"/>
      <c r="B2613" s="375" t="s">
        <v>143</v>
      </c>
      <c r="C2613" s="816" t="s">
        <v>14883</v>
      </c>
      <c r="D2613" s="817"/>
      <c r="E2613" s="817"/>
      <c r="F2613" s="817"/>
      <c r="G2613" s="817"/>
      <c r="H2613" s="818"/>
      <c r="J2613" s="634"/>
      <c r="S2613" s="536"/>
      <c r="T2613" s="635"/>
    </row>
    <row r="2614" spans="1:20" s="298" customFormat="1" ht="12.75">
      <c r="A2614" s="286"/>
      <c r="B2614" s="373"/>
      <c r="C2614" s="379"/>
      <c r="D2614" s="382"/>
      <c r="E2614" s="382"/>
      <c r="F2614" s="382"/>
      <c r="G2614" s="382"/>
      <c r="H2614" s="382"/>
      <c r="J2614" s="634"/>
      <c r="S2614" s="536"/>
      <c r="T2614" s="635"/>
    </row>
    <row r="2615" spans="1:20" s="298" customFormat="1" ht="25.5">
      <c r="A2615" s="286"/>
      <c r="B2615" s="372" t="s">
        <v>16960</v>
      </c>
      <c r="C2615" s="231" t="s">
        <v>16961</v>
      </c>
      <c r="D2615" s="232" t="s">
        <v>103</v>
      </c>
      <c r="E2615" s="232" t="s">
        <v>109</v>
      </c>
      <c r="F2615" s="233"/>
      <c r="G2615" s="234"/>
      <c r="H2615" s="235">
        <v>57.45</v>
      </c>
      <c r="J2615" s="634"/>
      <c r="S2615" s="536"/>
      <c r="T2615" s="635"/>
    </row>
    <row r="2616" spans="1:20" s="298" customFormat="1" ht="25.5">
      <c r="A2616" s="256" t="s">
        <v>3261</v>
      </c>
      <c r="B2616" s="288">
        <v>3148</v>
      </c>
      <c r="C2616" s="289" t="s">
        <v>6465</v>
      </c>
      <c r="D2616" s="290" t="s">
        <v>207</v>
      </c>
      <c r="E2616" s="290" t="s">
        <v>3240</v>
      </c>
      <c r="F2616" s="383">
        <v>0.02</v>
      </c>
      <c r="G2616" s="292" t="s">
        <v>10121</v>
      </c>
      <c r="H2616" s="255">
        <v>0.28000000000000003</v>
      </c>
      <c r="J2616" s="634"/>
      <c r="S2616" s="536"/>
      <c r="T2616" s="635"/>
    </row>
    <row r="2617" spans="1:20" s="298" customFormat="1" ht="25.5">
      <c r="A2617" s="256" t="s">
        <v>3261</v>
      </c>
      <c r="B2617" s="374">
        <v>6303</v>
      </c>
      <c r="C2617" s="289" t="s">
        <v>8196</v>
      </c>
      <c r="D2617" s="290" t="s">
        <v>207</v>
      </c>
      <c r="E2617" s="290" t="s">
        <v>3240</v>
      </c>
      <c r="F2617" s="383">
        <v>1</v>
      </c>
      <c r="G2617" s="292" t="s">
        <v>11137</v>
      </c>
      <c r="H2617" s="255">
        <v>16.84</v>
      </c>
      <c r="J2617" s="634"/>
      <c r="S2617" s="536"/>
      <c r="T2617" s="635"/>
    </row>
    <row r="2618" spans="1:20" s="298" customFormat="1" ht="25.5">
      <c r="A2618" s="256" t="s">
        <v>3261</v>
      </c>
      <c r="B2618" s="288">
        <v>7307</v>
      </c>
      <c r="C2618" s="289" t="s">
        <v>6505</v>
      </c>
      <c r="D2618" s="290" t="s">
        <v>207</v>
      </c>
      <c r="E2618" s="290" t="s">
        <v>3245</v>
      </c>
      <c r="F2618" s="383">
        <v>5.0000000000000001E-3</v>
      </c>
      <c r="G2618" s="292" t="s">
        <v>11120</v>
      </c>
      <c r="H2618" s="255">
        <v>0.15</v>
      </c>
      <c r="J2618" s="634"/>
      <c r="S2618" s="536"/>
      <c r="T2618" s="635"/>
    </row>
    <row r="2619" spans="1:20" s="298" customFormat="1" ht="38.25">
      <c r="A2619" s="256" t="s">
        <v>3259</v>
      </c>
      <c r="B2619" s="374">
        <v>88248</v>
      </c>
      <c r="C2619" s="289" t="s">
        <v>106</v>
      </c>
      <c r="D2619" s="290" t="s">
        <v>9714</v>
      </c>
      <c r="E2619" s="290" t="s">
        <v>206</v>
      </c>
      <c r="F2619" s="383">
        <v>0.96499999999999997</v>
      </c>
      <c r="G2619" s="292" t="s">
        <v>10175</v>
      </c>
      <c r="H2619" s="255">
        <v>17.59</v>
      </c>
      <c r="J2619" s="634"/>
      <c r="S2619" s="536"/>
      <c r="T2619" s="635"/>
    </row>
    <row r="2620" spans="1:20" s="298" customFormat="1" ht="25.5">
      <c r="A2620" s="256" t="s">
        <v>3259</v>
      </c>
      <c r="B2620" s="374">
        <v>88267</v>
      </c>
      <c r="C2620" s="289" t="s">
        <v>107</v>
      </c>
      <c r="D2620" s="290" t="s">
        <v>9714</v>
      </c>
      <c r="E2620" s="290" t="s">
        <v>206</v>
      </c>
      <c r="F2620" s="383">
        <v>0.96499999999999997</v>
      </c>
      <c r="G2620" s="292" t="s">
        <v>10792</v>
      </c>
      <c r="H2620" s="255">
        <v>22.59</v>
      </c>
      <c r="J2620" s="634"/>
      <c r="S2620" s="536"/>
      <c r="T2620" s="635"/>
    </row>
    <row r="2621" spans="1:20" s="298" customFormat="1" ht="12.75">
      <c r="A2621" s="286"/>
      <c r="B2621" s="375" t="s">
        <v>143</v>
      </c>
      <c r="C2621" s="816" t="s">
        <v>16962</v>
      </c>
      <c r="D2621" s="817"/>
      <c r="E2621" s="817"/>
      <c r="F2621" s="817"/>
      <c r="G2621" s="817"/>
      <c r="H2621" s="818"/>
      <c r="J2621" s="634"/>
      <c r="S2621" s="536"/>
      <c r="T2621" s="635"/>
    </row>
    <row r="2622" spans="1:20" s="298" customFormat="1" ht="12.75">
      <c r="A2622" s="286"/>
      <c r="B2622" s="373"/>
      <c r="C2622" s="379"/>
      <c r="D2622" s="382"/>
      <c r="E2622" s="382"/>
      <c r="F2622" s="382"/>
      <c r="G2622" s="382"/>
      <c r="H2622" s="382"/>
      <c r="J2622" s="634"/>
      <c r="S2622" s="536"/>
      <c r="T2622" s="635"/>
    </row>
    <row r="2623" spans="1:20" s="298" customFormat="1" ht="25.5">
      <c r="A2623" s="286"/>
      <c r="B2623" s="372" t="s">
        <v>17819</v>
      </c>
      <c r="C2623" s="231" t="s">
        <v>17821</v>
      </c>
      <c r="D2623" s="232" t="s">
        <v>103</v>
      </c>
      <c r="E2623" s="232" t="s">
        <v>109</v>
      </c>
      <c r="F2623" s="233"/>
      <c r="G2623" s="234"/>
      <c r="H2623" s="235">
        <v>187.37</v>
      </c>
      <c r="J2623" s="634"/>
      <c r="S2623" s="536"/>
      <c r="T2623" s="635"/>
    </row>
    <row r="2624" spans="1:20" s="298" customFormat="1" ht="38.25">
      <c r="A2624" s="256" t="s">
        <v>3259</v>
      </c>
      <c r="B2624" s="374">
        <v>88248</v>
      </c>
      <c r="C2624" s="289" t="s">
        <v>106</v>
      </c>
      <c r="D2624" s="290" t="s">
        <v>9714</v>
      </c>
      <c r="E2624" s="290" t="s">
        <v>206</v>
      </c>
      <c r="F2624" s="383">
        <v>4.5</v>
      </c>
      <c r="G2624" s="292" t="s">
        <v>10175</v>
      </c>
      <c r="H2624" s="255">
        <v>82.03</v>
      </c>
      <c r="J2624" s="634"/>
      <c r="S2624" s="536"/>
      <c r="T2624" s="635"/>
    </row>
    <row r="2625" spans="1:68" s="298" customFormat="1" ht="25.5">
      <c r="A2625" s="256" t="s">
        <v>3259</v>
      </c>
      <c r="B2625" s="374">
        <v>88267</v>
      </c>
      <c r="C2625" s="289" t="s">
        <v>107</v>
      </c>
      <c r="D2625" s="290" t="s">
        <v>9714</v>
      </c>
      <c r="E2625" s="290" t="s">
        <v>206</v>
      </c>
      <c r="F2625" s="383">
        <v>4.5</v>
      </c>
      <c r="G2625" s="292" t="s">
        <v>10792</v>
      </c>
      <c r="H2625" s="255">
        <v>105.34</v>
      </c>
      <c r="J2625" s="634"/>
      <c r="S2625" s="536"/>
      <c r="T2625" s="635"/>
    </row>
    <row r="2626" spans="1:68" s="298" customFormat="1" ht="12.75">
      <c r="A2626" s="286"/>
      <c r="B2626" s="375" t="s">
        <v>143</v>
      </c>
      <c r="C2626" s="816" t="s">
        <v>17820</v>
      </c>
      <c r="D2626" s="817"/>
      <c r="E2626" s="817"/>
      <c r="F2626" s="817"/>
      <c r="G2626" s="817"/>
      <c r="H2626" s="818"/>
      <c r="J2626" s="634"/>
      <c r="S2626" s="536"/>
      <c r="T2626" s="635"/>
    </row>
    <row r="2627" spans="1:68" s="92" customFormat="1" ht="12.75">
      <c r="A2627" s="286"/>
      <c r="B2627" s="373"/>
      <c r="C2627" s="379"/>
      <c r="D2627" s="382"/>
      <c r="E2627" s="382"/>
      <c r="F2627" s="382"/>
      <c r="G2627" s="382"/>
      <c r="H2627" s="382"/>
      <c r="J2627" s="176"/>
    </row>
    <row r="2628" spans="1:68" s="92" customFormat="1" ht="38.25">
      <c r="A2628" s="286"/>
      <c r="B2628" s="372" t="s">
        <v>18204</v>
      </c>
      <c r="C2628" s="231" t="s">
        <v>18202</v>
      </c>
      <c r="D2628" s="232" t="s">
        <v>103</v>
      </c>
      <c r="E2628" s="232" t="s">
        <v>109</v>
      </c>
      <c r="F2628" s="233"/>
      <c r="G2628" s="234"/>
      <c r="H2628" s="235">
        <v>48.649999999999991</v>
      </c>
      <c r="J2628" s="176"/>
      <c r="K2628" s="172"/>
      <c r="L2628" s="172"/>
      <c r="M2628" s="172"/>
      <c r="N2628" s="172"/>
      <c r="O2628" s="172"/>
      <c r="P2628" s="172"/>
      <c r="Q2628" s="172"/>
      <c r="R2628" s="172"/>
      <c r="S2628" s="172"/>
    </row>
    <row r="2629" spans="1:68" s="92" customFormat="1" ht="25.5">
      <c r="A2629" s="256" t="s">
        <v>12</v>
      </c>
      <c r="B2629" s="374" t="s">
        <v>18188</v>
      </c>
      <c r="C2629" s="289" t="s">
        <v>18189</v>
      </c>
      <c r="D2629" s="290" t="s">
        <v>207</v>
      </c>
      <c r="E2629" s="290" t="s">
        <v>109</v>
      </c>
      <c r="F2629" s="383">
        <v>1</v>
      </c>
      <c r="G2629" s="292">
        <v>27.9</v>
      </c>
      <c r="H2629" s="255">
        <v>27.9</v>
      </c>
      <c r="J2629" s="72"/>
    </row>
    <row r="2630" spans="1:68" s="92" customFormat="1" ht="25.5">
      <c r="A2630" s="256" t="s">
        <v>3259</v>
      </c>
      <c r="B2630" s="288">
        <v>88309</v>
      </c>
      <c r="C2630" s="289" t="s">
        <v>105</v>
      </c>
      <c r="D2630" s="290" t="s">
        <v>9714</v>
      </c>
      <c r="E2630" s="290" t="s">
        <v>206</v>
      </c>
      <c r="F2630" s="383">
        <v>0.5</v>
      </c>
      <c r="G2630" s="292" t="s">
        <v>11439</v>
      </c>
      <c r="H2630" s="255">
        <v>11.95</v>
      </c>
      <c r="J2630" s="72"/>
    </row>
    <row r="2631" spans="1:68" s="92" customFormat="1" ht="25.5">
      <c r="A2631" s="256" t="s">
        <v>3259</v>
      </c>
      <c r="B2631" s="288">
        <v>88316</v>
      </c>
      <c r="C2631" s="289" t="s">
        <v>104</v>
      </c>
      <c r="D2631" s="290" t="s">
        <v>9714</v>
      </c>
      <c r="E2631" s="290" t="s">
        <v>206</v>
      </c>
      <c r="F2631" s="383">
        <v>0.5</v>
      </c>
      <c r="G2631" s="292" t="s">
        <v>10172</v>
      </c>
      <c r="H2631" s="255">
        <v>8.8000000000000007</v>
      </c>
      <c r="J2631" s="72"/>
    </row>
    <row r="2632" spans="1:68" s="92" customFormat="1" ht="12.75">
      <c r="A2632" s="286"/>
      <c r="B2632" s="375" t="s">
        <v>143</v>
      </c>
      <c r="C2632" s="827" t="s">
        <v>18203</v>
      </c>
      <c r="D2632" s="828"/>
      <c r="E2632" s="828"/>
      <c r="F2632" s="828"/>
      <c r="G2632" s="828"/>
      <c r="H2632" s="829"/>
      <c r="J2632" s="176"/>
      <c r="K2632" s="88"/>
      <c r="L2632" s="88"/>
      <c r="M2632" s="88"/>
      <c r="N2632" s="88"/>
      <c r="O2632" s="88"/>
    </row>
    <row r="2633" spans="1:68" s="529" customFormat="1" ht="12.75">
      <c r="A2633" s="286"/>
      <c r="B2633" s="293"/>
      <c r="C2633" s="229"/>
      <c r="D2633" s="230"/>
      <c r="E2633" s="230"/>
      <c r="F2633" s="230"/>
      <c r="G2633" s="230"/>
      <c r="H2633" s="230"/>
      <c r="I2633" s="298"/>
      <c r="J2633" s="521"/>
      <c r="K2633" s="298"/>
      <c r="L2633" s="298"/>
      <c r="M2633" s="298"/>
      <c r="N2633" s="298"/>
      <c r="O2633" s="298"/>
      <c r="P2633" s="298"/>
      <c r="Q2633" s="298"/>
      <c r="R2633" s="298"/>
      <c r="S2633" s="536"/>
      <c r="T2633" s="635"/>
      <c r="U2633" s="298"/>
      <c r="V2633" s="298"/>
      <c r="W2633" s="298"/>
      <c r="X2633" s="298"/>
      <c r="Y2633" s="298"/>
      <c r="Z2633" s="298"/>
      <c r="AA2633" s="298"/>
      <c r="AB2633" s="298"/>
      <c r="AC2633" s="298"/>
      <c r="AD2633" s="298"/>
      <c r="AE2633" s="298"/>
      <c r="AF2633" s="298"/>
      <c r="AG2633" s="298"/>
      <c r="AH2633" s="298"/>
      <c r="AI2633" s="298"/>
      <c r="AJ2633" s="298"/>
      <c r="AK2633" s="298"/>
      <c r="AL2633" s="298"/>
      <c r="AM2633" s="298"/>
      <c r="AN2633" s="298"/>
      <c r="AO2633" s="298"/>
      <c r="AP2633" s="298"/>
      <c r="AQ2633" s="298"/>
      <c r="AR2633" s="298"/>
      <c r="AS2633" s="298"/>
      <c r="AT2633" s="298"/>
      <c r="AU2633" s="298"/>
      <c r="AV2633" s="298"/>
      <c r="AW2633" s="298"/>
      <c r="AX2633" s="298"/>
      <c r="AY2633" s="298"/>
      <c r="AZ2633" s="298"/>
      <c r="BA2633" s="298"/>
      <c r="BB2633" s="298"/>
      <c r="BC2633" s="298"/>
      <c r="BD2633" s="298"/>
      <c r="BE2633" s="298"/>
      <c r="BF2633" s="298"/>
      <c r="BG2633" s="298"/>
      <c r="BH2633" s="298"/>
      <c r="BI2633" s="298"/>
      <c r="BJ2633" s="298"/>
      <c r="BK2633" s="298"/>
      <c r="BL2633" s="298"/>
      <c r="BM2633" s="298"/>
      <c r="BN2633" s="298"/>
      <c r="BO2633" s="298"/>
      <c r="BP2633" s="298"/>
    </row>
    <row r="2634" spans="1:68" s="298" customFormat="1" ht="25.5">
      <c r="A2634" s="286"/>
      <c r="B2634" s="372" t="s">
        <v>18358</v>
      </c>
      <c r="C2634" s="581" t="s">
        <v>18363</v>
      </c>
      <c r="D2634" s="232" t="s">
        <v>103</v>
      </c>
      <c r="E2634" s="232" t="s">
        <v>109</v>
      </c>
      <c r="F2634" s="233"/>
      <c r="G2634" s="234"/>
      <c r="H2634" s="235">
        <v>157.01</v>
      </c>
      <c r="J2634" s="521"/>
      <c r="L2634" s="256"/>
      <c r="M2634" s="256"/>
      <c r="N2634" s="256"/>
      <c r="O2634" s="256"/>
      <c r="S2634" s="536"/>
      <c r="T2634" s="635"/>
    </row>
    <row r="2635" spans="1:68" s="298" customFormat="1" ht="12.75">
      <c r="A2635" s="256" t="s">
        <v>12</v>
      </c>
      <c r="B2635" s="288" t="s">
        <v>18308</v>
      </c>
      <c r="C2635" s="289" t="s">
        <v>18311</v>
      </c>
      <c r="D2635" s="290" t="s">
        <v>207</v>
      </c>
      <c r="E2635" s="290" t="s">
        <v>109</v>
      </c>
      <c r="F2635" s="383">
        <v>1</v>
      </c>
      <c r="G2635" s="292">
        <v>109</v>
      </c>
      <c r="H2635" s="255">
        <v>109</v>
      </c>
      <c r="J2635" s="521"/>
      <c r="L2635" s="256"/>
      <c r="M2635" s="256"/>
      <c r="N2635" s="256"/>
      <c r="O2635" s="256"/>
      <c r="S2635" s="536"/>
      <c r="T2635" s="635"/>
    </row>
    <row r="2636" spans="1:68" s="298" customFormat="1" ht="25.5">
      <c r="A2636" s="256" t="s">
        <v>3259</v>
      </c>
      <c r="B2636" s="374">
        <v>100308</v>
      </c>
      <c r="C2636" s="289" t="s">
        <v>4542</v>
      </c>
      <c r="D2636" s="290" t="s">
        <v>9714</v>
      </c>
      <c r="E2636" s="290" t="s">
        <v>206</v>
      </c>
      <c r="F2636" s="383">
        <v>1</v>
      </c>
      <c r="G2636" s="292" t="s">
        <v>9767</v>
      </c>
      <c r="H2636" s="255">
        <v>26.88</v>
      </c>
      <c r="J2636" s="634"/>
      <c r="S2636" s="536"/>
      <c r="T2636" s="635"/>
    </row>
    <row r="2637" spans="1:68" s="298" customFormat="1" ht="25.5">
      <c r="A2637" s="256" t="s">
        <v>3259</v>
      </c>
      <c r="B2637" s="374">
        <v>88316</v>
      </c>
      <c r="C2637" s="289" t="s">
        <v>104</v>
      </c>
      <c r="D2637" s="290" t="s">
        <v>9714</v>
      </c>
      <c r="E2637" s="290" t="s">
        <v>206</v>
      </c>
      <c r="F2637" s="383">
        <v>1.2</v>
      </c>
      <c r="G2637" s="292" t="s">
        <v>10172</v>
      </c>
      <c r="H2637" s="255">
        <v>21.13</v>
      </c>
      <c r="J2637" s="634"/>
      <c r="S2637" s="536"/>
      <c r="T2637" s="635"/>
    </row>
    <row r="2638" spans="1:68" s="298" customFormat="1">
      <c r="A2638" s="256"/>
      <c r="B2638" s="288" t="s">
        <v>143</v>
      </c>
      <c r="C2638" s="238" t="s">
        <v>16880</v>
      </c>
      <c r="D2638" s="386"/>
      <c r="E2638" s="386"/>
      <c r="F2638" s="386"/>
      <c r="G2638" s="386"/>
      <c r="H2638" s="387"/>
      <c r="J2638" s="521"/>
      <c r="L2638" s="648"/>
      <c r="M2638" s="648"/>
      <c r="S2638" s="536"/>
      <c r="T2638" s="635"/>
    </row>
    <row r="2639" spans="1:68" s="529" customFormat="1" ht="12.75">
      <c r="A2639" s="286"/>
      <c r="B2639" s="293"/>
      <c r="C2639" s="229"/>
      <c r="D2639" s="230"/>
      <c r="E2639" s="230"/>
      <c r="F2639" s="230"/>
      <c r="G2639" s="230"/>
      <c r="H2639" s="230"/>
      <c r="I2639" s="298"/>
      <c r="J2639" s="521"/>
      <c r="K2639" s="298"/>
      <c r="L2639" s="298"/>
      <c r="M2639" s="298"/>
      <c r="N2639" s="298"/>
      <c r="O2639" s="298"/>
      <c r="P2639" s="298"/>
      <c r="Q2639" s="298"/>
      <c r="R2639" s="298"/>
      <c r="S2639" s="536"/>
      <c r="T2639" s="635"/>
      <c r="U2639" s="298"/>
      <c r="V2639" s="298"/>
      <c r="W2639" s="298"/>
      <c r="X2639" s="298"/>
      <c r="Y2639" s="298"/>
      <c r="Z2639" s="298"/>
      <c r="AA2639" s="298"/>
      <c r="AB2639" s="298"/>
      <c r="AC2639" s="298"/>
      <c r="AD2639" s="298"/>
      <c r="AE2639" s="298"/>
      <c r="AF2639" s="298"/>
      <c r="AG2639" s="298"/>
      <c r="AH2639" s="298"/>
      <c r="AI2639" s="298"/>
      <c r="AJ2639" s="298"/>
      <c r="AK2639" s="298"/>
      <c r="AL2639" s="298"/>
      <c r="AM2639" s="298"/>
      <c r="AN2639" s="298"/>
      <c r="AO2639" s="298"/>
      <c r="AP2639" s="298"/>
      <c r="AQ2639" s="298"/>
      <c r="AR2639" s="298"/>
      <c r="AS2639" s="298"/>
      <c r="AT2639" s="298"/>
      <c r="AU2639" s="298"/>
      <c r="AV2639" s="298"/>
      <c r="AW2639" s="298"/>
      <c r="AX2639" s="298"/>
      <c r="AY2639" s="298"/>
      <c r="AZ2639" s="298"/>
      <c r="BA2639" s="298"/>
      <c r="BB2639" s="298"/>
      <c r="BC2639" s="298"/>
      <c r="BD2639" s="298"/>
      <c r="BE2639" s="298"/>
      <c r="BF2639" s="298"/>
      <c r="BG2639" s="298"/>
      <c r="BH2639" s="298"/>
      <c r="BI2639" s="298"/>
      <c r="BJ2639" s="298"/>
      <c r="BK2639" s="298"/>
      <c r="BL2639" s="298"/>
      <c r="BM2639" s="298"/>
      <c r="BN2639" s="298"/>
      <c r="BO2639" s="298"/>
      <c r="BP2639" s="298"/>
    </row>
    <row r="2640" spans="1:68" s="298" customFormat="1" ht="25.5">
      <c r="A2640" s="286"/>
      <c r="B2640" s="372" t="s">
        <v>18359</v>
      </c>
      <c r="C2640" s="581" t="s">
        <v>18362</v>
      </c>
      <c r="D2640" s="232" t="s">
        <v>103</v>
      </c>
      <c r="E2640" s="232" t="s">
        <v>109</v>
      </c>
      <c r="F2640" s="233"/>
      <c r="G2640" s="234"/>
      <c r="H2640" s="235">
        <v>294.39999999999998</v>
      </c>
      <c r="J2640" s="521"/>
      <c r="L2640" s="256"/>
      <c r="M2640" s="256"/>
      <c r="N2640" s="256"/>
      <c r="O2640" s="256"/>
      <c r="S2640" s="536"/>
      <c r="T2640" s="635"/>
    </row>
    <row r="2641" spans="1:68" s="298" customFormat="1" ht="12.75">
      <c r="A2641" s="256" t="s">
        <v>12</v>
      </c>
      <c r="B2641" s="288" t="s">
        <v>18309</v>
      </c>
      <c r="C2641" s="289" t="s">
        <v>18312</v>
      </c>
      <c r="D2641" s="290" t="s">
        <v>207</v>
      </c>
      <c r="E2641" s="290" t="s">
        <v>109</v>
      </c>
      <c r="F2641" s="383">
        <v>1</v>
      </c>
      <c r="G2641" s="292">
        <v>246.39</v>
      </c>
      <c r="H2641" s="255">
        <v>246.39</v>
      </c>
      <c r="J2641" s="521"/>
      <c r="L2641" s="256"/>
      <c r="M2641" s="256"/>
      <c r="N2641" s="256"/>
      <c r="O2641" s="256"/>
      <c r="S2641" s="536"/>
      <c r="T2641" s="635"/>
    </row>
    <row r="2642" spans="1:68" s="298" customFormat="1" ht="25.5">
      <c r="A2642" s="256" t="s">
        <v>3259</v>
      </c>
      <c r="B2642" s="374">
        <v>100308</v>
      </c>
      <c r="C2642" s="289" t="s">
        <v>4542</v>
      </c>
      <c r="D2642" s="290" t="s">
        <v>9714</v>
      </c>
      <c r="E2642" s="290" t="s">
        <v>206</v>
      </c>
      <c r="F2642" s="383">
        <v>1</v>
      </c>
      <c r="G2642" s="292" t="s">
        <v>9767</v>
      </c>
      <c r="H2642" s="255">
        <v>26.88</v>
      </c>
      <c r="J2642" s="634"/>
      <c r="S2642" s="536"/>
      <c r="T2642" s="635"/>
    </row>
    <row r="2643" spans="1:68" s="298" customFormat="1" ht="25.5">
      <c r="A2643" s="256" t="s">
        <v>3259</v>
      </c>
      <c r="B2643" s="374">
        <v>88316</v>
      </c>
      <c r="C2643" s="289" t="s">
        <v>104</v>
      </c>
      <c r="D2643" s="290" t="s">
        <v>9714</v>
      </c>
      <c r="E2643" s="290" t="s">
        <v>206</v>
      </c>
      <c r="F2643" s="383">
        <v>1.2</v>
      </c>
      <c r="G2643" s="292" t="s">
        <v>10172</v>
      </c>
      <c r="H2643" s="255">
        <v>21.13</v>
      </c>
      <c r="J2643" s="634"/>
      <c r="S2643" s="536"/>
      <c r="T2643" s="635"/>
    </row>
    <row r="2644" spans="1:68" s="298" customFormat="1">
      <c r="A2644" s="256"/>
      <c r="B2644" s="288" t="s">
        <v>143</v>
      </c>
      <c r="C2644" s="238" t="s">
        <v>16880</v>
      </c>
      <c r="D2644" s="386"/>
      <c r="E2644" s="386"/>
      <c r="F2644" s="386"/>
      <c r="G2644" s="386"/>
      <c r="H2644" s="387"/>
      <c r="J2644" s="521"/>
      <c r="L2644" s="648"/>
      <c r="M2644" s="648"/>
      <c r="S2644" s="536"/>
      <c r="T2644" s="635"/>
    </row>
    <row r="2645" spans="1:68" s="529" customFormat="1" ht="12.75">
      <c r="A2645" s="286"/>
      <c r="B2645" s="293"/>
      <c r="C2645" s="229"/>
      <c r="D2645" s="230"/>
      <c r="E2645" s="230"/>
      <c r="F2645" s="230"/>
      <c r="G2645" s="230"/>
      <c r="H2645" s="230"/>
      <c r="I2645" s="298"/>
      <c r="J2645" s="521"/>
      <c r="K2645" s="298"/>
      <c r="L2645" s="298"/>
      <c r="M2645" s="298"/>
      <c r="N2645" s="298"/>
      <c r="O2645" s="298"/>
      <c r="P2645" s="298"/>
      <c r="Q2645" s="298"/>
      <c r="R2645" s="298"/>
      <c r="S2645" s="536"/>
      <c r="T2645" s="635"/>
      <c r="U2645" s="298"/>
      <c r="V2645" s="298"/>
      <c r="W2645" s="298"/>
      <c r="X2645" s="298"/>
      <c r="Y2645" s="298"/>
      <c r="Z2645" s="298"/>
      <c r="AA2645" s="298"/>
      <c r="AB2645" s="298"/>
      <c r="AC2645" s="298"/>
      <c r="AD2645" s="298"/>
      <c r="AE2645" s="298"/>
      <c r="AF2645" s="298"/>
      <c r="AG2645" s="298"/>
      <c r="AH2645" s="298"/>
      <c r="AI2645" s="298"/>
      <c r="AJ2645" s="298"/>
      <c r="AK2645" s="298"/>
      <c r="AL2645" s="298"/>
      <c r="AM2645" s="298"/>
      <c r="AN2645" s="298"/>
      <c r="AO2645" s="298"/>
      <c r="AP2645" s="298"/>
      <c r="AQ2645" s="298"/>
      <c r="AR2645" s="298"/>
      <c r="AS2645" s="298"/>
      <c r="AT2645" s="298"/>
      <c r="AU2645" s="298"/>
      <c r="AV2645" s="298"/>
      <c r="AW2645" s="298"/>
      <c r="AX2645" s="298"/>
      <c r="AY2645" s="298"/>
      <c r="AZ2645" s="298"/>
      <c r="BA2645" s="298"/>
      <c r="BB2645" s="298"/>
      <c r="BC2645" s="298"/>
      <c r="BD2645" s="298"/>
      <c r="BE2645" s="298"/>
      <c r="BF2645" s="298"/>
      <c r="BG2645" s="298"/>
      <c r="BH2645" s="298"/>
      <c r="BI2645" s="298"/>
      <c r="BJ2645" s="298"/>
      <c r="BK2645" s="298"/>
      <c r="BL2645" s="298"/>
      <c r="BM2645" s="298"/>
      <c r="BN2645" s="298"/>
      <c r="BO2645" s="298"/>
      <c r="BP2645" s="298"/>
    </row>
    <row r="2646" spans="1:68" s="298" customFormat="1" ht="25.5">
      <c r="A2646" s="286"/>
      <c r="B2646" s="372" t="s">
        <v>18360</v>
      </c>
      <c r="C2646" s="581" t="s">
        <v>18361</v>
      </c>
      <c r="D2646" s="232" t="s">
        <v>103</v>
      </c>
      <c r="E2646" s="232" t="s">
        <v>109</v>
      </c>
      <c r="F2646" s="233"/>
      <c r="G2646" s="234"/>
      <c r="H2646" s="235">
        <v>442.23</v>
      </c>
      <c r="J2646" s="521"/>
      <c r="L2646" s="256"/>
      <c r="M2646" s="256"/>
      <c r="N2646" s="256"/>
      <c r="O2646" s="256"/>
      <c r="S2646" s="536"/>
      <c r="T2646" s="635"/>
    </row>
    <row r="2647" spans="1:68" s="298" customFormat="1" ht="12.75">
      <c r="A2647" s="256" t="s">
        <v>12</v>
      </c>
      <c r="B2647" s="288" t="s">
        <v>18310</v>
      </c>
      <c r="C2647" s="289" t="s">
        <v>18313</v>
      </c>
      <c r="D2647" s="290" t="s">
        <v>207</v>
      </c>
      <c r="E2647" s="290" t="s">
        <v>109</v>
      </c>
      <c r="F2647" s="383">
        <v>1</v>
      </c>
      <c r="G2647" s="292">
        <v>394.22399999999999</v>
      </c>
      <c r="H2647" s="255">
        <v>394.22</v>
      </c>
      <c r="J2647" s="521"/>
      <c r="L2647" s="256"/>
      <c r="M2647" s="256"/>
      <c r="N2647" s="256"/>
      <c r="O2647" s="256"/>
      <c r="S2647" s="536"/>
      <c r="T2647" s="635"/>
    </row>
    <row r="2648" spans="1:68" s="298" customFormat="1" ht="25.5">
      <c r="A2648" s="256" t="s">
        <v>3259</v>
      </c>
      <c r="B2648" s="374">
        <v>100308</v>
      </c>
      <c r="C2648" s="289" t="s">
        <v>4542</v>
      </c>
      <c r="D2648" s="290" t="s">
        <v>9714</v>
      </c>
      <c r="E2648" s="290" t="s">
        <v>206</v>
      </c>
      <c r="F2648" s="383">
        <v>1</v>
      </c>
      <c r="G2648" s="292" t="s">
        <v>9767</v>
      </c>
      <c r="H2648" s="255">
        <v>26.88</v>
      </c>
      <c r="J2648" s="634"/>
      <c r="S2648" s="536"/>
      <c r="T2648" s="635"/>
    </row>
    <row r="2649" spans="1:68" s="298" customFormat="1" ht="25.5">
      <c r="A2649" s="256" t="s">
        <v>3259</v>
      </c>
      <c r="B2649" s="374">
        <v>88316</v>
      </c>
      <c r="C2649" s="289" t="s">
        <v>104</v>
      </c>
      <c r="D2649" s="290" t="s">
        <v>9714</v>
      </c>
      <c r="E2649" s="290" t="s">
        <v>206</v>
      </c>
      <c r="F2649" s="383">
        <v>1.2</v>
      </c>
      <c r="G2649" s="292" t="s">
        <v>10172</v>
      </c>
      <c r="H2649" s="255">
        <v>21.13</v>
      </c>
      <c r="J2649" s="634"/>
      <c r="S2649" s="536"/>
      <c r="T2649" s="635"/>
    </row>
    <row r="2650" spans="1:68" s="298" customFormat="1">
      <c r="A2650" s="256"/>
      <c r="B2650" s="288" t="s">
        <v>143</v>
      </c>
      <c r="C2650" s="238" t="s">
        <v>16880</v>
      </c>
      <c r="D2650" s="386"/>
      <c r="E2650" s="386"/>
      <c r="F2650" s="386"/>
      <c r="G2650" s="386"/>
      <c r="H2650" s="387"/>
      <c r="J2650" s="521"/>
      <c r="L2650" s="648"/>
      <c r="M2650" s="648"/>
      <c r="S2650" s="536"/>
      <c r="T2650" s="635"/>
    </row>
    <row r="2651" spans="1:68" s="529" customFormat="1" ht="12.75">
      <c r="A2651" s="286"/>
      <c r="B2651" s="373"/>
      <c r="C2651" s="379"/>
      <c r="D2651" s="379"/>
      <c r="E2651" s="379"/>
      <c r="F2651" s="379"/>
      <c r="G2651" s="379"/>
      <c r="H2651" s="379"/>
      <c r="I2651" s="298"/>
      <c r="J2651" s="634"/>
      <c r="K2651" s="298"/>
      <c r="L2651" s="298"/>
      <c r="M2651" s="298"/>
      <c r="N2651" s="298"/>
      <c r="O2651" s="298"/>
      <c r="P2651" s="298"/>
      <c r="Q2651" s="298"/>
      <c r="R2651" s="298"/>
      <c r="S2651" s="536"/>
      <c r="T2651" s="635"/>
      <c r="U2651" s="298"/>
      <c r="V2651" s="298"/>
      <c r="W2651" s="298"/>
      <c r="X2651" s="298"/>
      <c r="Y2651" s="298"/>
      <c r="Z2651" s="298"/>
      <c r="AA2651" s="298"/>
      <c r="AB2651" s="298"/>
      <c r="AC2651" s="298"/>
      <c r="AD2651" s="298"/>
      <c r="AE2651" s="298"/>
      <c r="AF2651" s="298"/>
      <c r="AG2651" s="298"/>
      <c r="AH2651" s="298"/>
      <c r="AI2651" s="298"/>
      <c r="AJ2651" s="298"/>
      <c r="AK2651" s="298"/>
      <c r="AL2651" s="298"/>
      <c r="AM2651" s="298"/>
      <c r="AN2651" s="298"/>
      <c r="AO2651" s="298"/>
      <c r="AP2651" s="298"/>
      <c r="AQ2651" s="298"/>
      <c r="AR2651" s="298"/>
      <c r="AS2651" s="298"/>
      <c r="AT2651" s="298"/>
      <c r="AU2651" s="298"/>
      <c r="AV2651" s="298"/>
      <c r="AW2651" s="298"/>
      <c r="AX2651" s="298"/>
      <c r="AY2651" s="298"/>
      <c r="AZ2651" s="298"/>
      <c r="BA2651" s="298"/>
      <c r="BB2651" s="298"/>
      <c r="BC2651" s="298"/>
      <c r="BD2651" s="298"/>
      <c r="BE2651" s="298"/>
      <c r="BF2651" s="298"/>
      <c r="BG2651" s="298"/>
      <c r="BH2651" s="298"/>
      <c r="BI2651" s="298"/>
      <c r="BJ2651" s="298"/>
      <c r="BK2651" s="298"/>
      <c r="BL2651" s="298"/>
      <c r="BM2651" s="298"/>
      <c r="BN2651" s="298"/>
      <c r="BO2651" s="298"/>
      <c r="BP2651" s="298"/>
    </row>
    <row r="2652" spans="1:68" s="529" customFormat="1" ht="25.5">
      <c r="A2652" s="286"/>
      <c r="B2652" s="372" t="s">
        <v>15064</v>
      </c>
      <c r="C2652" s="231" t="s">
        <v>15105</v>
      </c>
      <c r="D2652" s="232" t="s">
        <v>103</v>
      </c>
      <c r="E2652" s="232" t="s">
        <v>3240</v>
      </c>
      <c r="F2652" s="233"/>
      <c r="G2652" s="234"/>
      <c r="H2652" s="235">
        <v>129.46</v>
      </c>
      <c r="I2652" s="298"/>
      <c r="J2652" s="634"/>
      <c r="K2652" s="634"/>
      <c r="L2652" s="634"/>
      <c r="M2652" s="634"/>
      <c r="N2652" s="298"/>
      <c r="O2652" s="298"/>
      <c r="P2652" s="298"/>
      <c r="Q2652" s="298"/>
      <c r="R2652" s="298"/>
      <c r="S2652" s="536"/>
      <c r="T2652" s="635"/>
      <c r="U2652" s="298"/>
      <c r="V2652" s="298"/>
      <c r="W2652" s="298"/>
      <c r="X2652" s="298"/>
      <c r="Y2652" s="298"/>
      <c r="Z2652" s="298"/>
      <c r="AA2652" s="298"/>
      <c r="AB2652" s="298"/>
      <c r="AC2652" s="298"/>
      <c r="AD2652" s="298"/>
      <c r="AE2652" s="298"/>
      <c r="AF2652" s="298"/>
      <c r="AG2652" s="298"/>
      <c r="AH2652" s="298"/>
      <c r="AI2652" s="298"/>
      <c r="AJ2652" s="298"/>
      <c r="AK2652" s="298"/>
      <c r="AL2652" s="298"/>
      <c r="AM2652" s="298"/>
      <c r="AN2652" s="298"/>
      <c r="AO2652" s="298"/>
      <c r="AP2652" s="298"/>
      <c r="AQ2652" s="298"/>
      <c r="AR2652" s="298"/>
      <c r="AS2652" s="298"/>
      <c r="AT2652" s="298"/>
      <c r="AU2652" s="298"/>
      <c r="AV2652" s="298"/>
      <c r="AW2652" s="298"/>
      <c r="AX2652" s="298"/>
      <c r="AY2652" s="298"/>
      <c r="AZ2652" s="298"/>
      <c r="BA2652" s="298"/>
      <c r="BB2652" s="298"/>
      <c r="BC2652" s="298"/>
      <c r="BD2652" s="298"/>
      <c r="BE2652" s="298"/>
      <c r="BF2652" s="298"/>
      <c r="BG2652" s="298"/>
      <c r="BH2652" s="298"/>
      <c r="BI2652" s="298"/>
      <c r="BJ2652" s="298"/>
      <c r="BK2652" s="298"/>
      <c r="BL2652" s="298"/>
      <c r="BM2652" s="298"/>
      <c r="BN2652" s="298"/>
      <c r="BO2652" s="298"/>
      <c r="BP2652" s="298"/>
    </row>
    <row r="2653" spans="1:68" s="529" customFormat="1" ht="12.75">
      <c r="A2653" s="286" t="s">
        <v>12</v>
      </c>
      <c r="B2653" s="288" t="s">
        <v>14634</v>
      </c>
      <c r="C2653" s="289" t="s">
        <v>17918</v>
      </c>
      <c r="D2653" s="290" t="s">
        <v>207</v>
      </c>
      <c r="E2653" s="290" t="s">
        <v>109</v>
      </c>
      <c r="F2653" s="383">
        <v>1</v>
      </c>
      <c r="G2653" s="292">
        <v>94.99</v>
      </c>
      <c r="H2653" s="255">
        <v>94.99</v>
      </c>
      <c r="I2653" s="298"/>
      <c r="J2653" s="298"/>
      <c r="K2653" s="298"/>
      <c r="L2653" s="298"/>
      <c r="M2653" s="298"/>
      <c r="N2653" s="298"/>
      <c r="O2653" s="298"/>
      <c r="P2653" s="298"/>
      <c r="Q2653" s="298"/>
      <c r="R2653" s="298"/>
      <c r="S2653" s="536"/>
      <c r="T2653" s="635"/>
      <c r="U2653" s="298"/>
      <c r="V2653" s="298"/>
      <c r="W2653" s="298"/>
      <c r="X2653" s="298"/>
      <c r="Y2653" s="298"/>
      <c r="Z2653" s="298"/>
      <c r="AA2653" s="298"/>
      <c r="AB2653" s="298"/>
      <c r="AC2653" s="298"/>
      <c r="AD2653" s="298"/>
      <c r="AE2653" s="298"/>
      <c r="AF2653" s="298"/>
      <c r="AG2653" s="298"/>
      <c r="AH2653" s="298"/>
      <c r="AI2653" s="298"/>
      <c r="AJ2653" s="298"/>
      <c r="AK2653" s="298"/>
      <c r="AL2653" s="298"/>
      <c r="AM2653" s="298"/>
      <c r="AN2653" s="298"/>
      <c r="AO2653" s="298"/>
      <c r="AP2653" s="298"/>
      <c r="AQ2653" s="298"/>
      <c r="AR2653" s="298"/>
      <c r="AS2653" s="298"/>
      <c r="AT2653" s="298"/>
      <c r="AU2653" s="298"/>
      <c r="AV2653" s="298"/>
      <c r="AW2653" s="298"/>
      <c r="AX2653" s="298"/>
      <c r="AY2653" s="298"/>
      <c r="AZ2653" s="298"/>
      <c r="BA2653" s="298"/>
      <c r="BB2653" s="298"/>
      <c r="BC2653" s="298"/>
      <c r="BD2653" s="298"/>
      <c r="BE2653" s="298"/>
      <c r="BF2653" s="298"/>
      <c r="BG2653" s="298"/>
      <c r="BH2653" s="298"/>
      <c r="BI2653" s="298"/>
      <c r="BJ2653" s="298"/>
      <c r="BK2653" s="298"/>
      <c r="BL2653" s="298"/>
      <c r="BM2653" s="298"/>
      <c r="BN2653" s="298"/>
      <c r="BO2653" s="298"/>
      <c r="BP2653" s="298"/>
    </row>
    <row r="2654" spans="1:68" s="529" customFormat="1" ht="38.25">
      <c r="A2654" s="286" t="s">
        <v>3259</v>
      </c>
      <c r="B2654" s="288">
        <v>88248</v>
      </c>
      <c r="C2654" s="289" t="s">
        <v>106</v>
      </c>
      <c r="D2654" s="290" t="s">
        <v>9714</v>
      </c>
      <c r="E2654" s="290" t="s">
        <v>206</v>
      </c>
      <c r="F2654" s="383">
        <v>0.82799999999999996</v>
      </c>
      <c r="G2654" s="292" t="s">
        <v>10175</v>
      </c>
      <c r="H2654" s="255">
        <v>15.09</v>
      </c>
      <c r="I2654" s="298"/>
      <c r="J2654" s="298"/>
      <c r="K2654" s="298"/>
      <c r="L2654" s="298"/>
      <c r="M2654" s="298"/>
      <c r="N2654" s="298"/>
      <c r="O2654" s="298"/>
      <c r="P2654" s="298"/>
      <c r="Q2654" s="298"/>
      <c r="R2654" s="298"/>
      <c r="S2654" s="536"/>
      <c r="T2654" s="635"/>
      <c r="U2654" s="298"/>
      <c r="V2654" s="298"/>
      <c r="W2654" s="298"/>
      <c r="X2654" s="298"/>
      <c r="Y2654" s="298"/>
      <c r="Z2654" s="298"/>
      <c r="AA2654" s="298"/>
      <c r="AB2654" s="298"/>
      <c r="AC2654" s="298"/>
      <c r="AD2654" s="298"/>
      <c r="AE2654" s="298"/>
      <c r="AF2654" s="298"/>
      <c r="AG2654" s="298"/>
      <c r="AH2654" s="298"/>
      <c r="AI2654" s="298"/>
      <c r="AJ2654" s="298"/>
      <c r="AK2654" s="298"/>
      <c r="AL2654" s="298"/>
      <c r="AM2654" s="298"/>
      <c r="AN2654" s="298"/>
      <c r="AO2654" s="298"/>
      <c r="AP2654" s="298"/>
      <c r="AQ2654" s="298"/>
      <c r="AR2654" s="298"/>
      <c r="AS2654" s="298"/>
      <c r="AT2654" s="298"/>
      <c r="AU2654" s="298"/>
      <c r="AV2654" s="298"/>
      <c r="AW2654" s="298"/>
      <c r="AX2654" s="298"/>
      <c r="AY2654" s="298"/>
      <c r="AZ2654" s="298"/>
      <c r="BA2654" s="298"/>
      <c r="BB2654" s="298"/>
      <c r="BC2654" s="298"/>
      <c r="BD2654" s="298"/>
      <c r="BE2654" s="298"/>
      <c r="BF2654" s="298"/>
      <c r="BG2654" s="298"/>
      <c r="BH2654" s="298"/>
      <c r="BI2654" s="298"/>
      <c r="BJ2654" s="298"/>
      <c r="BK2654" s="298"/>
      <c r="BL2654" s="298"/>
      <c r="BM2654" s="298"/>
      <c r="BN2654" s="298"/>
      <c r="BO2654" s="298"/>
      <c r="BP2654" s="298"/>
    </row>
    <row r="2655" spans="1:68" s="529" customFormat="1" ht="25.5">
      <c r="A2655" s="286" t="s">
        <v>3259</v>
      </c>
      <c r="B2655" s="288">
        <v>88267</v>
      </c>
      <c r="C2655" s="289" t="s">
        <v>107</v>
      </c>
      <c r="D2655" s="290" t="s">
        <v>9714</v>
      </c>
      <c r="E2655" s="290" t="s">
        <v>206</v>
      </c>
      <c r="F2655" s="383">
        <v>0.82799999999999996</v>
      </c>
      <c r="G2655" s="292" t="s">
        <v>10792</v>
      </c>
      <c r="H2655" s="255">
        <v>19.38</v>
      </c>
      <c r="I2655" s="298"/>
      <c r="J2655" s="298"/>
      <c r="K2655" s="298"/>
      <c r="L2655" s="298"/>
      <c r="M2655" s="298"/>
      <c r="N2655" s="298"/>
      <c r="O2655" s="298"/>
      <c r="P2655" s="298"/>
      <c r="Q2655" s="298"/>
      <c r="R2655" s="298"/>
      <c r="S2655" s="536"/>
      <c r="T2655" s="635"/>
      <c r="U2655" s="298"/>
      <c r="V2655" s="298"/>
      <c r="W2655" s="298"/>
      <c r="X2655" s="298"/>
      <c r="Y2655" s="298"/>
      <c r="Z2655" s="298"/>
      <c r="AA2655" s="298"/>
      <c r="AB2655" s="298"/>
      <c r="AC2655" s="298"/>
      <c r="AD2655" s="298"/>
      <c r="AE2655" s="298"/>
      <c r="AF2655" s="298"/>
      <c r="AG2655" s="298"/>
      <c r="AH2655" s="298"/>
      <c r="AI2655" s="298"/>
      <c r="AJ2655" s="298"/>
      <c r="AK2655" s="298"/>
      <c r="AL2655" s="298"/>
      <c r="AM2655" s="298"/>
      <c r="AN2655" s="298"/>
      <c r="AO2655" s="298"/>
      <c r="AP2655" s="298"/>
      <c r="AQ2655" s="298"/>
      <c r="AR2655" s="298"/>
      <c r="AS2655" s="298"/>
      <c r="AT2655" s="298"/>
      <c r="AU2655" s="298"/>
      <c r="AV2655" s="298"/>
      <c r="AW2655" s="298"/>
      <c r="AX2655" s="298"/>
      <c r="AY2655" s="298"/>
      <c r="AZ2655" s="298"/>
      <c r="BA2655" s="298"/>
      <c r="BB2655" s="298"/>
      <c r="BC2655" s="298"/>
      <c r="BD2655" s="298"/>
      <c r="BE2655" s="298"/>
      <c r="BF2655" s="298"/>
      <c r="BG2655" s="298"/>
      <c r="BH2655" s="298"/>
      <c r="BI2655" s="298"/>
      <c r="BJ2655" s="298"/>
      <c r="BK2655" s="298"/>
      <c r="BL2655" s="298"/>
      <c r="BM2655" s="298"/>
      <c r="BN2655" s="298"/>
      <c r="BO2655" s="298"/>
      <c r="BP2655" s="298"/>
    </row>
    <row r="2656" spans="1:68" s="529" customFormat="1" ht="12.75">
      <c r="A2656" s="286"/>
      <c r="B2656" s="375" t="s">
        <v>143</v>
      </c>
      <c r="C2656" s="816" t="s">
        <v>15077</v>
      </c>
      <c r="D2656" s="817"/>
      <c r="E2656" s="817"/>
      <c r="F2656" s="817"/>
      <c r="G2656" s="817"/>
      <c r="H2656" s="818"/>
      <c r="I2656" s="298"/>
      <c r="J2656" s="298"/>
      <c r="K2656" s="298"/>
      <c r="L2656" s="298"/>
      <c r="M2656" s="298"/>
      <c r="N2656" s="298"/>
      <c r="O2656" s="298"/>
      <c r="P2656" s="298"/>
      <c r="Q2656" s="298"/>
      <c r="R2656" s="298"/>
      <c r="S2656" s="536"/>
      <c r="T2656" s="635"/>
      <c r="U2656" s="298"/>
      <c r="V2656" s="298"/>
      <c r="W2656" s="298"/>
      <c r="X2656" s="298"/>
      <c r="Y2656" s="298"/>
      <c r="Z2656" s="298"/>
      <c r="AA2656" s="298"/>
      <c r="AB2656" s="298"/>
      <c r="AC2656" s="298"/>
      <c r="AD2656" s="298"/>
      <c r="AE2656" s="298"/>
      <c r="AF2656" s="298"/>
      <c r="AG2656" s="298"/>
      <c r="AH2656" s="298"/>
      <c r="AI2656" s="298"/>
      <c r="AJ2656" s="298"/>
      <c r="AK2656" s="298"/>
      <c r="AL2656" s="298"/>
      <c r="AM2656" s="298"/>
      <c r="AN2656" s="298"/>
      <c r="AO2656" s="298"/>
      <c r="AP2656" s="298"/>
      <c r="AQ2656" s="298"/>
      <c r="AR2656" s="298"/>
      <c r="AS2656" s="298"/>
      <c r="AT2656" s="298"/>
      <c r="AU2656" s="298"/>
      <c r="AV2656" s="298"/>
      <c r="AW2656" s="298"/>
      <c r="AX2656" s="298"/>
      <c r="AY2656" s="298"/>
      <c r="AZ2656" s="298"/>
      <c r="BA2656" s="298"/>
      <c r="BB2656" s="298"/>
      <c r="BC2656" s="298"/>
      <c r="BD2656" s="298"/>
      <c r="BE2656" s="298"/>
      <c r="BF2656" s="298"/>
      <c r="BG2656" s="298"/>
      <c r="BH2656" s="298"/>
      <c r="BI2656" s="298"/>
      <c r="BJ2656" s="298"/>
      <c r="BK2656" s="298"/>
      <c r="BL2656" s="298"/>
      <c r="BM2656" s="298"/>
      <c r="BN2656" s="298"/>
      <c r="BO2656" s="298"/>
      <c r="BP2656" s="298"/>
    </row>
    <row r="2657" spans="1:68" s="529" customFormat="1" ht="12.75">
      <c r="A2657" s="286"/>
      <c r="B2657" s="373"/>
      <c r="C2657" s="379"/>
      <c r="D2657" s="382"/>
      <c r="E2657" s="382"/>
      <c r="F2657" s="382"/>
      <c r="G2657" s="382"/>
      <c r="H2657" s="382"/>
      <c r="I2657" s="298"/>
      <c r="J2657" s="298"/>
      <c r="K2657" s="298"/>
      <c r="L2657" s="298"/>
      <c r="M2657" s="298"/>
      <c r="N2657" s="298"/>
      <c r="O2657" s="298"/>
      <c r="P2657" s="298"/>
      <c r="Q2657" s="298"/>
      <c r="R2657" s="298"/>
      <c r="S2657" s="536"/>
      <c r="T2657" s="635"/>
      <c r="U2657" s="298"/>
      <c r="V2657" s="298"/>
      <c r="W2657" s="298"/>
      <c r="X2657" s="298"/>
      <c r="Y2657" s="298"/>
      <c r="Z2657" s="298"/>
      <c r="AA2657" s="298"/>
      <c r="AB2657" s="298"/>
      <c r="AC2657" s="298"/>
      <c r="AD2657" s="298"/>
      <c r="AE2657" s="298"/>
      <c r="AF2657" s="298"/>
      <c r="AG2657" s="298"/>
      <c r="AH2657" s="298"/>
      <c r="AI2657" s="298"/>
      <c r="AJ2657" s="298"/>
      <c r="AK2657" s="298"/>
      <c r="AL2657" s="298"/>
      <c r="AM2657" s="298"/>
      <c r="AN2657" s="298"/>
      <c r="AO2657" s="298"/>
      <c r="AP2657" s="298"/>
      <c r="AQ2657" s="298"/>
      <c r="AR2657" s="298"/>
      <c r="AS2657" s="298"/>
      <c r="AT2657" s="298"/>
      <c r="AU2657" s="298"/>
      <c r="AV2657" s="298"/>
      <c r="AW2657" s="298"/>
      <c r="AX2657" s="298"/>
      <c r="AY2657" s="298"/>
      <c r="AZ2657" s="298"/>
      <c r="BA2657" s="298"/>
      <c r="BB2657" s="298"/>
      <c r="BC2657" s="298"/>
      <c r="BD2657" s="298"/>
      <c r="BE2657" s="298"/>
      <c r="BF2657" s="298"/>
      <c r="BG2657" s="298"/>
      <c r="BH2657" s="298"/>
      <c r="BI2657" s="298"/>
      <c r="BJ2657" s="298"/>
      <c r="BK2657" s="298"/>
      <c r="BL2657" s="298"/>
      <c r="BM2657" s="298"/>
      <c r="BN2657" s="298"/>
      <c r="BO2657" s="298"/>
      <c r="BP2657" s="298"/>
    </row>
    <row r="2658" spans="1:68" s="529" customFormat="1" ht="25.5">
      <c r="A2658" s="286"/>
      <c r="B2658" s="372" t="s">
        <v>15076</v>
      </c>
      <c r="C2658" s="231" t="s">
        <v>17909</v>
      </c>
      <c r="D2658" s="232" t="s">
        <v>103</v>
      </c>
      <c r="E2658" s="232" t="s">
        <v>3240</v>
      </c>
      <c r="F2658" s="233"/>
      <c r="G2658" s="234"/>
      <c r="H2658" s="235">
        <v>163.41000000000003</v>
      </c>
      <c r="I2658" s="298"/>
      <c r="J2658" s="298"/>
      <c r="K2658" s="298"/>
      <c r="L2658" s="298"/>
      <c r="M2658" s="298"/>
      <c r="N2658" s="298"/>
      <c r="O2658" s="298"/>
      <c r="P2658" s="298"/>
      <c r="Q2658" s="298"/>
      <c r="R2658" s="298"/>
      <c r="S2658" s="536"/>
      <c r="T2658" s="635"/>
      <c r="U2658" s="298"/>
      <c r="V2658" s="298"/>
      <c r="W2658" s="298"/>
      <c r="X2658" s="298"/>
      <c r="Y2658" s="298"/>
      <c r="Z2658" s="298"/>
      <c r="AA2658" s="298"/>
      <c r="AB2658" s="298"/>
      <c r="AC2658" s="298"/>
      <c r="AD2658" s="298"/>
      <c r="AE2658" s="298"/>
      <c r="AF2658" s="298"/>
      <c r="AG2658" s="298"/>
      <c r="AH2658" s="298"/>
      <c r="AI2658" s="298"/>
      <c r="AJ2658" s="298"/>
      <c r="AK2658" s="298"/>
      <c r="AL2658" s="298"/>
      <c r="AM2658" s="298"/>
      <c r="AN2658" s="298"/>
      <c r="AO2658" s="298"/>
      <c r="AP2658" s="298"/>
      <c r="AQ2658" s="298"/>
      <c r="AR2658" s="298"/>
      <c r="AS2658" s="298"/>
      <c r="AT2658" s="298"/>
      <c r="AU2658" s="298"/>
      <c r="AV2658" s="298"/>
      <c r="AW2658" s="298"/>
      <c r="AX2658" s="298"/>
      <c r="AY2658" s="298"/>
      <c r="AZ2658" s="298"/>
      <c r="BA2658" s="298"/>
      <c r="BB2658" s="298"/>
      <c r="BC2658" s="298"/>
      <c r="BD2658" s="298"/>
      <c r="BE2658" s="298"/>
      <c r="BF2658" s="298"/>
      <c r="BG2658" s="298"/>
      <c r="BH2658" s="298"/>
      <c r="BI2658" s="298"/>
      <c r="BJ2658" s="298"/>
      <c r="BK2658" s="298"/>
      <c r="BL2658" s="298"/>
      <c r="BM2658" s="298"/>
      <c r="BN2658" s="298"/>
      <c r="BO2658" s="298"/>
      <c r="BP2658" s="298"/>
    </row>
    <row r="2659" spans="1:68" s="529" customFormat="1" ht="51">
      <c r="A2659" s="286" t="s">
        <v>3261</v>
      </c>
      <c r="B2659" s="288">
        <v>20974</v>
      </c>
      <c r="C2659" s="289" t="s">
        <v>8855</v>
      </c>
      <c r="D2659" s="290" t="s">
        <v>207</v>
      </c>
      <c r="E2659" s="290" t="s">
        <v>3240</v>
      </c>
      <c r="F2659" s="383">
        <v>1</v>
      </c>
      <c r="G2659" s="292" t="s">
        <v>21154</v>
      </c>
      <c r="H2659" s="255">
        <v>114.73</v>
      </c>
      <c r="I2659" s="298"/>
      <c r="J2659" s="298"/>
      <c r="K2659" s="298"/>
      <c r="L2659" s="298"/>
      <c r="M2659" s="298"/>
      <c r="N2659" s="298"/>
      <c r="O2659" s="298"/>
      <c r="P2659" s="298"/>
      <c r="Q2659" s="298"/>
      <c r="R2659" s="298"/>
      <c r="S2659" s="536"/>
      <c r="T2659" s="635"/>
      <c r="U2659" s="298"/>
      <c r="V2659" s="298"/>
      <c r="W2659" s="298"/>
      <c r="X2659" s="298"/>
      <c r="Y2659" s="298"/>
      <c r="Z2659" s="298"/>
      <c r="AA2659" s="298"/>
      <c r="AB2659" s="298"/>
      <c r="AC2659" s="298"/>
      <c r="AD2659" s="298"/>
      <c r="AE2659" s="298"/>
      <c r="AF2659" s="298"/>
      <c r="AG2659" s="298"/>
      <c r="AH2659" s="298"/>
      <c r="AI2659" s="298"/>
      <c r="AJ2659" s="298"/>
      <c r="AK2659" s="298"/>
      <c r="AL2659" s="298"/>
      <c r="AM2659" s="298"/>
      <c r="AN2659" s="298"/>
      <c r="AO2659" s="298"/>
      <c r="AP2659" s="298"/>
      <c r="AQ2659" s="298"/>
      <c r="AR2659" s="298"/>
      <c r="AS2659" s="298"/>
      <c r="AT2659" s="298"/>
      <c r="AU2659" s="298"/>
      <c r="AV2659" s="298"/>
      <c r="AW2659" s="298"/>
      <c r="AX2659" s="298"/>
      <c r="AY2659" s="298"/>
      <c r="AZ2659" s="298"/>
      <c r="BA2659" s="298"/>
      <c r="BB2659" s="298"/>
      <c r="BC2659" s="298"/>
      <c r="BD2659" s="298"/>
      <c r="BE2659" s="298"/>
      <c r="BF2659" s="298"/>
      <c r="BG2659" s="298"/>
      <c r="BH2659" s="298"/>
      <c r="BI2659" s="298"/>
      <c r="BJ2659" s="298"/>
      <c r="BK2659" s="298"/>
      <c r="BL2659" s="298"/>
      <c r="BM2659" s="298"/>
      <c r="BN2659" s="298"/>
      <c r="BO2659" s="298"/>
      <c r="BP2659" s="298"/>
    </row>
    <row r="2660" spans="1:68" s="529" customFormat="1" ht="38.25">
      <c r="A2660" s="286" t="s">
        <v>3259</v>
      </c>
      <c r="B2660" s="288">
        <v>88248</v>
      </c>
      <c r="C2660" s="289" t="s">
        <v>106</v>
      </c>
      <c r="D2660" s="290" t="s">
        <v>9714</v>
      </c>
      <c r="E2660" s="290" t="s">
        <v>206</v>
      </c>
      <c r="F2660" s="383">
        <v>1.1499999999999999</v>
      </c>
      <c r="G2660" s="292" t="s">
        <v>10175</v>
      </c>
      <c r="H2660" s="255">
        <v>20.96</v>
      </c>
      <c r="I2660" s="298"/>
      <c r="J2660" s="298"/>
      <c r="K2660" s="298"/>
      <c r="L2660" s="298"/>
      <c r="M2660" s="298"/>
      <c r="N2660" s="298"/>
      <c r="O2660" s="298"/>
      <c r="P2660" s="298"/>
      <c r="Q2660" s="298"/>
      <c r="R2660" s="298"/>
      <c r="S2660" s="536"/>
      <c r="T2660" s="635"/>
      <c r="U2660" s="298"/>
      <c r="V2660" s="298"/>
      <c r="W2660" s="298"/>
      <c r="X2660" s="298"/>
      <c r="Y2660" s="298"/>
      <c r="Z2660" s="298"/>
      <c r="AA2660" s="298"/>
      <c r="AB2660" s="298"/>
      <c r="AC2660" s="298"/>
      <c r="AD2660" s="298"/>
      <c r="AE2660" s="298"/>
      <c r="AF2660" s="298"/>
      <c r="AG2660" s="298"/>
      <c r="AH2660" s="298"/>
      <c r="AI2660" s="298"/>
      <c r="AJ2660" s="298"/>
      <c r="AK2660" s="298"/>
      <c r="AL2660" s="298"/>
      <c r="AM2660" s="298"/>
      <c r="AN2660" s="298"/>
      <c r="AO2660" s="298"/>
      <c r="AP2660" s="298"/>
      <c r="AQ2660" s="298"/>
      <c r="AR2660" s="298"/>
      <c r="AS2660" s="298"/>
      <c r="AT2660" s="298"/>
      <c r="AU2660" s="298"/>
      <c r="AV2660" s="298"/>
      <c r="AW2660" s="298"/>
      <c r="AX2660" s="298"/>
      <c r="AY2660" s="298"/>
      <c r="AZ2660" s="298"/>
      <c r="BA2660" s="298"/>
      <c r="BB2660" s="298"/>
      <c r="BC2660" s="298"/>
      <c r="BD2660" s="298"/>
      <c r="BE2660" s="298"/>
      <c r="BF2660" s="298"/>
      <c r="BG2660" s="298"/>
      <c r="BH2660" s="298"/>
      <c r="BI2660" s="298"/>
      <c r="BJ2660" s="298"/>
      <c r="BK2660" s="298"/>
      <c r="BL2660" s="298"/>
      <c r="BM2660" s="298"/>
      <c r="BN2660" s="298"/>
      <c r="BO2660" s="298"/>
      <c r="BP2660" s="298"/>
    </row>
    <row r="2661" spans="1:68" s="529" customFormat="1" ht="25.5">
      <c r="A2661" s="286" t="s">
        <v>3259</v>
      </c>
      <c r="B2661" s="288">
        <v>88267</v>
      </c>
      <c r="C2661" s="289" t="s">
        <v>107</v>
      </c>
      <c r="D2661" s="290" t="s">
        <v>9714</v>
      </c>
      <c r="E2661" s="290" t="s">
        <v>206</v>
      </c>
      <c r="F2661" s="383">
        <v>1.1499999999999999</v>
      </c>
      <c r="G2661" s="292" t="s">
        <v>10792</v>
      </c>
      <c r="H2661" s="255">
        <v>26.92</v>
      </c>
      <c r="I2661" s="298"/>
      <c r="J2661" s="298"/>
      <c r="K2661" s="298"/>
      <c r="L2661" s="298"/>
      <c r="M2661" s="298"/>
      <c r="N2661" s="298"/>
      <c r="O2661" s="298"/>
      <c r="P2661" s="298"/>
      <c r="Q2661" s="298"/>
      <c r="R2661" s="298"/>
      <c r="S2661" s="536"/>
      <c r="T2661" s="635"/>
      <c r="U2661" s="298"/>
      <c r="V2661" s="298"/>
      <c r="W2661" s="298"/>
      <c r="X2661" s="298"/>
      <c r="Y2661" s="298"/>
      <c r="Z2661" s="298"/>
      <c r="AA2661" s="298"/>
      <c r="AB2661" s="298"/>
      <c r="AC2661" s="298"/>
      <c r="AD2661" s="298"/>
      <c r="AE2661" s="298"/>
      <c r="AF2661" s="298"/>
      <c r="AG2661" s="298"/>
      <c r="AH2661" s="298"/>
      <c r="AI2661" s="298"/>
      <c r="AJ2661" s="298"/>
      <c r="AK2661" s="298"/>
      <c r="AL2661" s="298"/>
      <c r="AM2661" s="298"/>
      <c r="AN2661" s="298"/>
      <c r="AO2661" s="298"/>
      <c r="AP2661" s="298"/>
      <c r="AQ2661" s="298"/>
      <c r="AR2661" s="298"/>
      <c r="AS2661" s="298"/>
      <c r="AT2661" s="298"/>
      <c r="AU2661" s="298"/>
      <c r="AV2661" s="298"/>
      <c r="AW2661" s="298"/>
      <c r="AX2661" s="298"/>
      <c r="AY2661" s="298"/>
      <c r="AZ2661" s="298"/>
      <c r="BA2661" s="298"/>
      <c r="BB2661" s="298"/>
      <c r="BC2661" s="298"/>
      <c r="BD2661" s="298"/>
      <c r="BE2661" s="298"/>
      <c r="BF2661" s="298"/>
      <c r="BG2661" s="298"/>
      <c r="BH2661" s="298"/>
      <c r="BI2661" s="298"/>
      <c r="BJ2661" s="298"/>
      <c r="BK2661" s="298"/>
      <c r="BL2661" s="298"/>
      <c r="BM2661" s="298"/>
      <c r="BN2661" s="298"/>
      <c r="BO2661" s="298"/>
      <c r="BP2661" s="298"/>
    </row>
    <row r="2662" spans="1:68" s="529" customFormat="1" ht="25.5">
      <c r="A2662" s="286" t="s">
        <v>3261</v>
      </c>
      <c r="B2662" s="288">
        <v>3148</v>
      </c>
      <c r="C2662" s="289" t="s">
        <v>6465</v>
      </c>
      <c r="D2662" s="290" t="s">
        <v>207</v>
      </c>
      <c r="E2662" s="290" t="s">
        <v>3240</v>
      </c>
      <c r="F2662" s="383">
        <v>5.5999999999999994E-2</v>
      </c>
      <c r="G2662" s="292" t="s">
        <v>10121</v>
      </c>
      <c r="H2662" s="255">
        <v>0.8</v>
      </c>
      <c r="I2662" s="298"/>
      <c r="J2662" s="298"/>
      <c r="K2662" s="298"/>
      <c r="L2662" s="298"/>
      <c r="M2662" s="298"/>
      <c r="N2662" s="298"/>
      <c r="O2662" s="298"/>
      <c r="P2662" s="298"/>
      <c r="Q2662" s="298"/>
      <c r="R2662" s="298"/>
      <c r="S2662" s="536"/>
      <c r="T2662" s="635"/>
      <c r="U2662" s="298"/>
      <c r="V2662" s="298"/>
      <c r="W2662" s="298"/>
      <c r="X2662" s="298"/>
      <c r="Y2662" s="298"/>
      <c r="Z2662" s="298"/>
      <c r="AA2662" s="298"/>
      <c r="AB2662" s="298"/>
      <c r="AC2662" s="298"/>
      <c r="AD2662" s="298"/>
      <c r="AE2662" s="298"/>
      <c r="AF2662" s="298"/>
      <c r="AG2662" s="298"/>
      <c r="AH2662" s="298"/>
      <c r="AI2662" s="298"/>
      <c r="AJ2662" s="298"/>
      <c r="AK2662" s="298"/>
      <c r="AL2662" s="298"/>
      <c r="AM2662" s="298"/>
      <c r="AN2662" s="298"/>
      <c r="AO2662" s="298"/>
      <c r="AP2662" s="298"/>
      <c r="AQ2662" s="298"/>
      <c r="AR2662" s="298"/>
      <c r="AS2662" s="298"/>
      <c r="AT2662" s="298"/>
      <c r="AU2662" s="298"/>
      <c r="AV2662" s="298"/>
      <c r="AW2662" s="298"/>
      <c r="AX2662" s="298"/>
      <c r="AY2662" s="298"/>
      <c r="AZ2662" s="298"/>
      <c r="BA2662" s="298"/>
      <c r="BB2662" s="298"/>
      <c r="BC2662" s="298"/>
      <c r="BD2662" s="298"/>
      <c r="BE2662" s="298"/>
      <c r="BF2662" s="298"/>
      <c r="BG2662" s="298"/>
      <c r="BH2662" s="298"/>
      <c r="BI2662" s="298"/>
      <c r="BJ2662" s="298"/>
      <c r="BK2662" s="298"/>
      <c r="BL2662" s="298"/>
      <c r="BM2662" s="298"/>
      <c r="BN2662" s="298"/>
      <c r="BO2662" s="298"/>
      <c r="BP2662" s="298"/>
    </row>
    <row r="2663" spans="1:68" s="529" customFormat="1" ht="12.75">
      <c r="A2663" s="286"/>
      <c r="B2663" s="375" t="s">
        <v>143</v>
      </c>
      <c r="C2663" s="816" t="s">
        <v>17910</v>
      </c>
      <c r="D2663" s="817"/>
      <c r="E2663" s="817"/>
      <c r="F2663" s="817"/>
      <c r="G2663" s="817"/>
      <c r="H2663" s="818"/>
      <c r="I2663" s="298"/>
      <c r="J2663" s="298"/>
      <c r="K2663" s="298"/>
      <c r="L2663" s="298"/>
      <c r="M2663" s="298"/>
      <c r="N2663" s="298"/>
      <c r="O2663" s="298"/>
      <c r="P2663" s="298"/>
      <c r="Q2663" s="298"/>
      <c r="R2663" s="298"/>
      <c r="S2663" s="536"/>
      <c r="T2663" s="635"/>
      <c r="U2663" s="298"/>
      <c r="V2663" s="298"/>
      <c r="W2663" s="298"/>
      <c r="X2663" s="298"/>
      <c r="Y2663" s="298"/>
      <c r="Z2663" s="298"/>
      <c r="AA2663" s="298"/>
      <c r="AB2663" s="298"/>
      <c r="AC2663" s="298"/>
      <c r="AD2663" s="298"/>
      <c r="AE2663" s="298"/>
      <c r="AF2663" s="298"/>
      <c r="AG2663" s="298"/>
      <c r="AH2663" s="298"/>
      <c r="AI2663" s="298"/>
      <c r="AJ2663" s="298"/>
      <c r="AK2663" s="298"/>
      <c r="AL2663" s="298"/>
      <c r="AM2663" s="298"/>
      <c r="AN2663" s="298"/>
      <c r="AO2663" s="298"/>
      <c r="AP2663" s="298"/>
      <c r="AQ2663" s="298"/>
      <c r="AR2663" s="298"/>
      <c r="AS2663" s="298"/>
      <c r="AT2663" s="298"/>
      <c r="AU2663" s="298"/>
      <c r="AV2663" s="298"/>
      <c r="AW2663" s="298"/>
      <c r="AX2663" s="298"/>
      <c r="AY2663" s="298"/>
      <c r="AZ2663" s="298"/>
      <c r="BA2663" s="298"/>
      <c r="BB2663" s="298"/>
      <c r="BC2663" s="298"/>
      <c r="BD2663" s="298"/>
      <c r="BE2663" s="298"/>
      <c r="BF2663" s="298"/>
      <c r="BG2663" s="298"/>
      <c r="BH2663" s="298"/>
      <c r="BI2663" s="298"/>
      <c r="BJ2663" s="298"/>
      <c r="BK2663" s="298"/>
      <c r="BL2663" s="298"/>
      <c r="BM2663" s="298"/>
      <c r="BN2663" s="298"/>
      <c r="BO2663" s="298"/>
      <c r="BP2663" s="298"/>
    </row>
    <row r="2664" spans="1:68" s="529" customFormat="1" ht="12.75">
      <c r="A2664" s="286"/>
      <c r="B2664" s="373"/>
      <c r="C2664" s="379"/>
      <c r="D2664" s="382"/>
      <c r="E2664" s="382"/>
      <c r="F2664" s="382"/>
      <c r="G2664" s="382"/>
      <c r="H2664" s="382"/>
      <c r="I2664" s="298"/>
      <c r="J2664" s="298"/>
      <c r="K2664" s="298"/>
      <c r="L2664" s="298"/>
      <c r="M2664" s="298"/>
      <c r="N2664" s="298"/>
      <c r="O2664" s="298"/>
      <c r="P2664" s="298"/>
      <c r="Q2664" s="298"/>
      <c r="R2664" s="298"/>
      <c r="S2664" s="536"/>
      <c r="T2664" s="635"/>
      <c r="U2664" s="298"/>
      <c r="V2664" s="298"/>
      <c r="W2664" s="298"/>
      <c r="X2664" s="298"/>
      <c r="Y2664" s="298"/>
      <c r="Z2664" s="298"/>
      <c r="AA2664" s="298"/>
      <c r="AB2664" s="298"/>
      <c r="AC2664" s="298"/>
      <c r="AD2664" s="298"/>
      <c r="AE2664" s="298"/>
      <c r="AF2664" s="298"/>
      <c r="AG2664" s="298"/>
      <c r="AH2664" s="298"/>
      <c r="AI2664" s="298"/>
      <c r="AJ2664" s="298"/>
      <c r="AK2664" s="298"/>
      <c r="AL2664" s="298"/>
      <c r="AM2664" s="298"/>
      <c r="AN2664" s="298"/>
      <c r="AO2664" s="298"/>
      <c r="AP2664" s="298"/>
      <c r="AQ2664" s="298"/>
      <c r="AR2664" s="298"/>
      <c r="AS2664" s="298"/>
      <c r="AT2664" s="298"/>
      <c r="AU2664" s="298"/>
      <c r="AV2664" s="298"/>
      <c r="AW2664" s="298"/>
      <c r="AX2664" s="298"/>
      <c r="AY2664" s="298"/>
      <c r="AZ2664" s="298"/>
      <c r="BA2664" s="298"/>
      <c r="BB2664" s="298"/>
      <c r="BC2664" s="298"/>
      <c r="BD2664" s="298"/>
      <c r="BE2664" s="298"/>
      <c r="BF2664" s="298"/>
      <c r="BG2664" s="298"/>
      <c r="BH2664" s="298"/>
      <c r="BI2664" s="298"/>
      <c r="BJ2664" s="298"/>
      <c r="BK2664" s="298"/>
      <c r="BL2664" s="298"/>
      <c r="BM2664" s="298"/>
      <c r="BN2664" s="298"/>
      <c r="BO2664" s="298"/>
      <c r="BP2664" s="298"/>
    </row>
    <row r="2665" spans="1:68" s="529" customFormat="1" ht="51">
      <c r="A2665" s="286"/>
      <c r="B2665" s="372" t="s">
        <v>15084</v>
      </c>
      <c r="C2665" s="231" t="s">
        <v>15087</v>
      </c>
      <c r="D2665" s="232" t="s">
        <v>103</v>
      </c>
      <c r="E2665" s="232" t="s">
        <v>3240</v>
      </c>
      <c r="F2665" s="233"/>
      <c r="G2665" s="234"/>
      <c r="H2665" s="235">
        <v>76.02</v>
      </c>
      <c r="I2665" s="298"/>
      <c r="J2665" s="298"/>
      <c r="K2665" s="298"/>
      <c r="L2665" s="298"/>
      <c r="M2665" s="298"/>
      <c r="N2665" s="298"/>
      <c r="O2665" s="298"/>
      <c r="P2665" s="298"/>
      <c r="Q2665" s="298"/>
      <c r="R2665" s="298"/>
      <c r="S2665" s="536"/>
      <c r="T2665" s="635"/>
      <c r="U2665" s="298"/>
      <c r="V2665" s="298"/>
      <c r="W2665" s="298"/>
      <c r="X2665" s="298"/>
      <c r="Y2665" s="298"/>
      <c r="Z2665" s="298"/>
      <c r="AA2665" s="298"/>
      <c r="AB2665" s="298"/>
      <c r="AC2665" s="298"/>
      <c r="AD2665" s="298"/>
      <c r="AE2665" s="298"/>
      <c r="AF2665" s="298"/>
      <c r="AG2665" s="298"/>
      <c r="AH2665" s="298"/>
      <c r="AI2665" s="298"/>
      <c r="AJ2665" s="298"/>
      <c r="AK2665" s="298"/>
      <c r="AL2665" s="298"/>
      <c r="AM2665" s="298"/>
      <c r="AN2665" s="298"/>
      <c r="AO2665" s="298"/>
      <c r="AP2665" s="298"/>
      <c r="AQ2665" s="298"/>
      <c r="AR2665" s="298"/>
      <c r="AS2665" s="298"/>
      <c r="AT2665" s="298"/>
      <c r="AU2665" s="298"/>
      <c r="AV2665" s="298"/>
      <c r="AW2665" s="298"/>
      <c r="AX2665" s="298"/>
      <c r="AY2665" s="298"/>
      <c r="AZ2665" s="298"/>
      <c r="BA2665" s="298"/>
      <c r="BB2665" s="298"/>
      <c r="BC2665" s="298"/>
      <c r="BD2665" s="298"/>
      <c r="BE2665" s="298"/>
      <c r="BF2665" s="298"/>
      <c r="BG2665" s="298"/>
      <c r="BH2665" s="298"/>
      <c r="BI2665" s="298"/>
      <c r="BJ2665" s="298"/>
      <c r="BK2665" s="298"/>
      <c r="BL2665" s="298"/>
      <c r="BM2665" s="298"/>
      <c r="BN2665" s="298"/>
      <c r="BO2665" s="298"/>
      <c r="BP2665" s="298"/>
    </row>
    <row r="2666" spans="1:68" s="529" customFormat="1" ht="25.5">
      <c r="A2666" s="286" t="s">
        <v>3261</v>
      </c>
      <c r="B2666" s="288">
        <v>3148</v>
      </c>
      <c r="C2666" s="289" t="s">
        <v>6465</v>
      </c>
      <c r="D2666" s="290" t="s">
        <v>207</v>
      </c>
      <c r="E2666" s="290" t="s">
        <v>3240</v>
      </c>
      <c r="F2666" s="383">
        <v>3.5000000000000003E-2</v>
      </c>
      <c r="G2666" s="292" t="s">
        <v>10121</v>
      </c>
      <c r="H2666" s="255">
        <v>0.5</v>
      </c>
      <c r="I2666" s="298"/>
      <c r="J2666" s="298"/>
      <c r="K2666" s="298"/>
      <c r="L2666" s="298"/>
      <c r="M2666" s="298"/>
      <c r="N2666" s="298"/>
      <c r="O2666" s="298"/>
      <c r="P2666" s="298"/>
      <c r="Q2666" s="298"/>
      <c r="R2666" s="298"/>
      <c r="S2666" s="536"/>
      <c r="T2666" s="635"/>
      <c r="U2666" s="298"/>
      <c r="V2666" s="298"/>
      <c r="W2666" s="298"/>
      <c r="X2666" s="298"/>
      <c r="Y2666" s="298"/>
      <c r="Z2666" s="298"/>
      <c r="AA2666" s="298"/>
      <c r="AB2666" s="298"/>
      <c r="AC2666" s="298"/>
      <c r="AD2666" s="298"/>
      <c r="AE2666" s="298"/>
      <c r="AF2666" s="298"/>
      <c r="AG2666" s="298"/>
      <c r="AH2666" s="298"/>
      <c r="AI2666" s="298"/>
      <c r="AJ2666" s="298"/>
      <c r="AK2666" s="298"/>
      <c r="AL2666" s="298"/>
      <c r="AM2666" s="298"/>
      <c r="AN2666" s="298"/>
      <c r="AO2666" s="298"/>
      <c r="AP2666" s="298"/>
      <c r="AQ2666" s="298"/>
      <c r="AR2666" s="298"/>
      <c r="AS2666" s="298"/>
      <c r="AT2666" s="298"/>
      <c r="AU2666" s="298"/>
      <c r="AV2666" s="298"/>
      <c r="AW2666" s="298"/>
      <c r="AX2666" s="298"/>
      <c r="AY2666" s="298"/>
      <c r="AZ2666" s="298"/>
      <c r="BA2666" s="298"/>
      <c r="BB2666" s="298"/>
      <c r="BC2666" s="298"/>
      <c r="BD2666" s="298"/>
      <c r="BE2666" s="298"/>
      <c r="BF2666" s="298"/>
      <c r="BG2666" s="298"/>
      <c r="BH2666" s="298"/>
      <c r="BI2666" s="298"/>
      <c r="BJ2666" s="298"/>
      <c r="BK2666" s="298"/>
      <c r="BL2666" s="298"/>
      <c r="BM2666" s="298"/>
      <c r="BN2666" s="298"/>
      <c r="BO2666" s="298"/>
      <c r="BP2666" s="298"/>
    </row>
    <row r="2667" spans="1:68" s="529" customFormat="1" ht="12.75">
      <c r="A2667" s="286" t="s">
        <v>12</v>
      </c>
      <c r="B2667" s="288" t="s">
        <v>14636</v>
      </c>
      <c r="C2667" s="289" t="s">
        <v>17931</v>
      </c>
      <c r="D2667" s="290" t="s">
        <v>207</v>
      </c>
      <c r="E2667" s="290" t="s">
        <v>109</v>
      </c>
      <c r="F2667" s="383">
        <v>1</v>
      </c>
      <c r="G2667" s="292">
        <v>40.81</v>
      </c>
      <c r="H2667" s="255">
        <v>40.81</v>
      </c>
      <c r="I2667" s="298"/>
      <c r="J2667" s="298"/>
      <c r="K2667" s="298"/>
      <c r="L2667" s="298"/>
      <c r="M2667" s="298"/>
      <c r="N2667" s="298"/>
      <c r="O2667" s="298"/>
      <c r="P2667" s="298"/>
      <c r="Q2667" s="298"/>
      <c r="R2667" s="298"/>
      <c r="S2667" s="536"/>
      <c r="T2667" s="635"/>
      <c r="U2667" s="298"/>
      <c r="V2667" s="298"/>
      <c r="W2667" s="298"/>
      <c r="X2667" s="298"/>
      <c r="Y2667" s="298"/>
      <c r="Z2667" s="298"/>
      <c r="AA2667" s="298"/>
      <c r="AB2667" s="298"/>
      <c r="AC2667" s="298"/>
      <c r="AD2667" s="298"/>
      <c r="AE2667" s="298"/>
      <c r="AF2667" s="298"/>
      <c r="AG2667" s="298"/>
      <c r="AH2667" s="298"/>
      <c r="AI2667" s="298"/>
      <c r="AJ2667" s="298"/>
      <c r="AK2667" s="298"/>
      <c r="AL2667" s="298"/>
      <c r="AM2667" s="298"/>
      <c r="AN2667" s="298"/>
      <c r="AO2667" s="298"/>
      <c r="AP2667" s="298"/>
      <c r="AQ2667" s="298"/>
      <c r="AR2667" s="298"/>
      <c r="AS2667" s="298"/>
      <c r="AT2667" s="298"/>
      <c r="AU2667" s="298"/>
      <c r="AV2667" s="298"/>
      <c r="AW2667" s="298"/>
      <c r="AX2667" s="298"/>
      <c r="AY2667" s="298"/>
      <c r="AZ2667" s="298"/>
      <c r="BA2667" s="298"/>
      <c r="BB2667" s="298"/>
      <c r="BC2667" s="298"/>
      <c r="BD2667" s="298"/>
      <c r="BE2667" s="298"/>
      <c r="BF2667" s="298"/>
      <c r="BG2667" s="298"/>
      <c r="BH2667" s="298"/>
      <c r="BI2667" s="298"/>
      <c r="BJ2667" s="298"/>
      <c r="BK2667" s="298"/>
      <c r="BL2667" s="298"/>
      <c r="BM2667" s="298"/>
      <c r="BN2667" s="298"/>
      <c r="BO2667" s="298"/>
      <c r="BP2667" s="298"/>
    </row>
    <row r="2668" spans="1:68" s="529" customFormat="1" ht="25.5">
      <c r="A2668" s="286" t="s">
        <v>3261</v>
      </c>
      <c r="B2668" s="288">
        <v>7307</v>
      </c>
      <c r="C2668" s="289" t="s">
        <v>6505</v>
      </c>
      <c r="D2668" s="290" t="s">
        <v>207</v>
      </c>
      <c r="E2668" s="290" t="s">
        <v>3245</v>
      </c>
      <c r="F2668" s="383">
        <v>8.0000000000000002E-3</v>
      </c>
      <c r="G2668" s="292" t="s">
        <v>11120</v>
      </c>
      <c r="H2668" s="255">
        <v>0.24</v>
      </c>
      <c r="I2668" s="298"/>
      <c r="J2668" s="298"/>
      <c r="K2668" s="298"/>
      <c r="L2668" s="298"/>
      <c r="M2668" s="298"/>
      <c r="N2668" s="298"/>
      <c r="O2668" s="298"/>
      <c r="P2668" s="298"/>
      <c r="Q2668" s="298"/>
      <c r="R2668" s="298"/>
      <c r="S2668" s="536"/>
      <c r="T2668" s="635"/>
      <c r="U2668" s="298"/>
      <c r="V2668" s="298"/>
      <c r="W2668" s="298"/>
      <c r="X2668" s="298"/>
      <c r="Y2668" s="298"/>
      <c r="Z2668" s="298"/>
      <c r="AA2668" s="298"/>
      <c r="AB2668" s="298"/>
      <c r="AC2668" s="298"/>
      <c r="AD2668" s="298"/>
      <c r="AE2668" s="298"/>
      <c r="AF2668" s="298"/>
      <c r="AG2668" s="298"/>
      <c r="AH2668" s="298"/>
      <c r="AI2668" s="298"/>
      <c r="AJ2668" s="298"/>
      <c r="AK2668" s="298"/>
      <c r="AL2668" s="298"/>
      <c r="AM2668" s="298"/>
      <c r="AN2668" s="298"/>
      <c r="AO2668" s="298"/>
      <c r="AP2668" s="298"/>
      <c r="AQ2668" s="298"/>
      <c r="AR2668" s="298"/>
      <c r="AS2668" s="298"/>
      <c r="AT2668" s="298"/>
      <c r="AU2668" s="298"/>
      <c r="AV2668" s="298"/>
      <c r="AW2668" s="298"/>
      <c r="AX2668" s="298"/>
      <c r="AY2668" s="298"/>
      <c r="AZ2668" s="298"/>
      <c r="BA2668" s="298"/>
      <c r="BB2668" s="298"/>
      <c r="BC2668" s="298"/>
      <c r="BD2668" s="298"/>
      <c r="BE2668" s="298"/>
      <c r="BF2668" s="298"/>
      <c r="BG2668" s="298"/>
      <c r="BH2668" s="298"/>
      <c r="BI2668" s="298"/>
      <c r="BJ2668" s="298"/>
      <c r="BK2668" s="298"/>
      <c r="BL2668" s="298"/>
      <c r="BM2668" s="298"/>
      <c r="BN2668" s="298"/>
      <c r="BO2668" s="298"/>
      <c r="BP2668" s="298"/>
    </row>
    <row r="2669" spans="1:68" s="529" customFormat="1" ht="38.25">
      <c r="A2669" s="286" t="s">
        <v>3259</v>
      </c>
      <c r="B2669" s="288">
        <v>88248</v>
      </c>
      <c r="C2669" s="289" t="s">
        <v>106</v>
      </c>
      <c r="D2669" s="290" t="s">
        <v>9714</v>
      </c>
      <c r="E2669" s="290" t="s">
        <v>206</v>
      </c>
      <c r="F2669" s="383">
        <v>0.82799999999999996</v>
      </c>
      <c r="G2669" s="292" t="s">
        <v>10175</v>
      </c>
      <c r="H2669" s="255">
        <v>15.09</v>
      </c>
      <c r="I2669" s="298"/>
      <c r="J2669" s="298"/>
      <c r="K2669" s="298"/>
      <c r="L2669" s="298"/>
      <c r="M2669" s="298"/>
      <c r="N2669" s="298"/>
      <c r="O2669" s="298"/>
      <c r="P2669" s="298"/>
      <c r="Q2669" s="298"/>
      <c r="R2669" s="298"/>
      <c r="S2669" s="536"/>
      <c r="T2669" s="635"/>
      <c r="U2669" s="298"/>
      <c r="V2669" s="298"/>
      <c r="W2669" s="298"/>
      <c r="X2669" s="298"/>
      <c r="Y2669" s="298"/>
      <c r="Z2669" s="298"/>
      <c r="AA2669" s="298"/>
      <c r="AB2669" s="298"/>
      <c r="AC2669" s="298"/>
      <c r="AD2669" s="298"/>
      <c r="AE2669" s="298"/>
      <c r="AF2669" s="298"/>
      <c r="AG2669" s="298"/>
      <c r="AH2669" s="298"/>
      <c r="AI2669" s="298"/>
      <c r="AJ2669" s="298"/>
      <c r="AK2669" s="298"/>
      <c r="AL2669" s="298"/>
      <c r="AM2669" s="298"/>
      <c r="AN2669" s="298"/>
      <c r="AO2669" s="298"/>
      <c r="AP2669" s="298"/>
      <c r="AQ2669" s="298"/>
      <c r="AR2669" s="298"/>
      <c r="AS2669" s="298"/>
      <c r="AT2669" s="298"/>
      <c r="AU2669" s="298"/>
      <c r="AV2669" s="298"/>
      <c r="AW2669" s="298"/>
      <c r="AX2669" s="298"/>
      <c r="AY2669" s="298"/>
      <c r="AZ2669" s="298"/>
      <c r="BA2669" s="298"/>
      <c r="BB2669" s="298"/>
      <c r="BC2669" s="298"/>
      <c r="BD2669" s="298"/>
      <c r="BE2669" s="298"/>
      <c r="BF2669" s="298"/>
      <c r="BG2669" s="298"/>
      <c r="BH2669" s="298"/>
      <c r="BI2669" s="298"/>
      <c r="BJ2669" s="298"/>
      <c r="BK2669" s="298"/>
      <c r="BL2669" s="298"/>
      <c r="BM2669" s="298"/>
      <c r="BN2669" s="298"/>
      <c r="BO2669" s="298"/>
      <c r="BP2669" s="298"/>
    </row>
    <row r="2670" spans="1:68" s="529" customFormat="1" ht="25.5">
      <c r="A2670" s="286" t="s">
        <v>3259</v>
      </c>
      <c r="B2670" s="288">
        <v>88267</v>
      </c>
      <c r="C2670" s="289" t="s">
        <v>107</v>
      </c>
      <c r="D2670" s="290" t="s">
        <v>9714</v>
      </c>
      <c r="E2670" s="290" t="s">
        <v>206</v>
      </c>
      <c r="F2670" s="383">
        <v>0.82799999999999996</v>
      </c>
      <c r="G2670" s="292" t="s">
        <v>10792</v>
      </c>
      <c r="H2670" s="255">
        <v>19.38</v>
      </c>
      <c r="I2670" s="298"/>
      <c r="J2670" s="298"/>
      <c r="K2670" s="298"/>
      <c r="L2670" s="298"/>
      <c r="M2670" s="298"/>
      <c r="N2670" s="298"/>
      <c r="O2670" s="298"/>
      <c r="P2670" s="298"/>
      <c r="Q2670" s="298"/>
      <c r="R2670" s="298"/>
      <c r="S2670" s="536"/>
      <c r="T2670" s="635"/>
      <c r="U2670" s="298"/>
      <c r="V2670" s="298"/>
      <c r="W2670" s="298"/>
      <c r="X2670" s="298"/>
      <c r="Y2670" s="298"/>
      <c r="Z2670" s="298"/>
      <c r="AA2670" s="298"/>
      <c r="AB2670" s="298"/>
      <c r="AC2670" s="298"/>
      <c r="AD2670" s="298"/>
      <c r="AE2670" s="298"/>
      <c r="AF2670" s="298"/>
      <c r="AG2670" s="298"/>
      <c r="AH2670" s="298"/>
      <c r="AI2670" s="298"/>
      <c r="AJ2670" s="298"/>
      <c r="AK2670" s="298"/>
      <c r="AL2670" s="298"/>
      <c r="AM2670" s="298"/>
      <c r="AN2670" s="298"/>
      <c r="AO2670" s="298"/>
      <c r="AP2670" s="298"/>
      <c r="AQ2670" s="298"/>
      <c r="AR2670" s="298"/>
      <c r="AS2670" s="298"/>
      <c r="AT2670" s="298"/>
      <c r="AU2670" s="298"/>
      <c r="AV2670" s="298"/>
      <c r="AW2670" s="298"/>
      <c r="AX2670" s="298"/>
      <c r="AY2670" s="298"/>
      <c r="AZ2670" s="298"/>
      <c r="BA2670" s="298"/>
      <c r="BB2670" s="298"/>
      <c r="BC2670" s="298"/>
      <c r="BD2670" s="298"/>
      <c r="BE2670" s="298"/>
      <c r="BF2670" s="298"/>
      <c r="BG2670" s="298"/>
      <c r="BH2670" s="298"/>
      <c r="BI2670" s="298"/>
      <c r="BJ2670" s="298"/>
      <c r="BK2670" s="298"/>
      <c r="BL2670" s="298"/>
      <c r="BM2670" s="298"/>
      <c r="BN2670" s="298"/>
      <c r="BO2670" s="298"/>
      <c r="BP2670" s="298"/>
    </row>
    <row r="2671" spans="1:68" s="529" customFormat="1" ht="12.75">
      <c r="A2671" s="286"/>
      <c r="B2671" s="375" t="s">
        <v>143</v>
      </c>
      <c r="C2671" s="816" t="s">
        <v>15077</v>
      </c>
      <c r="D2671" s="817"/>
      <c r="E2671" s="817"/>
      <c r="F2671" s="817"/>
      <c r="G2671" s="817"/>
      <c r="H2671" s="818"/>
      <c r="I2671" s="298"/>
      <c r="J2671" s="298"/>
      <c r="K2671" s="298"/>
      <c r="L2671" s="298"/>
      <c r="M2671" s="298"/>
      <c r="N2671" s="298"/>
      <c r="O2671" s="298"/>
      <c r="P2671" s="298"/>
      <c r="Q2671" s="298"/>
      <c r="R2671" s="298"/>
      <c r="S2671" s="536"/>
      <c r="T2671" s="635"/>
      <c r="U2671" s="298"/>
      <c r="V2671" s="298"/>
      <c r="W2671" s="298"/>
      <c r="X2671" s="298"/>
      <c r="Y2671" s="298"/>
      <c r="Z2671" s="298"/>
      <c r="AA2671" s="298"/>
      <c r="AB2671" s="298"/>
      <c r="AC2671" s="298"/>
      <c r="AD2671" s="298"/>
      <c r="AE2671" s="298"/>
      <c r="AF2671" s="298"/>
      <c r="AG2671" s="298"/>
      <c r="AH2671" s="298"/>
      <c r="AI2671" s="298"/>
      <c r="AJ2671" s="298"/>
      <c r="AK2671" s="298"/>
      <c r="AL2671" s="298"/>
      <c r="AM2671" s="298"/>
      <c r="AN2671" s="298"/>
      <c r="AO2671" s="298"/>
      <c r="AP2671" s="298"/>
      <c r="AQ2671" s="298"/>
      <c r="AR2671" s="298"/>
      <c r="AS2671" s="298"/>
      <c r="AT2671" s="298"/>
      <c r="AU2671" s="298"/>
      <c r="AV2671" s="298"/>
      <c r="AW2671" s="298"/>
      <c r="AX2671" s="298"/>
      <c r="AY2671" s="298"/>
      <c r="AZ2671" s="298"/>
      <c r="BA2671" s="298"/>
      <c r="BB2671" s="298"/>
      <c r="BC2671" s="298"/>
      <c r="BD2671" s="298"/>
      <c r="BE2671" s="298"/>
      <c r="BF2671" s="298"/>
      <c r="BG2671" s="298"/>
      <c r="BH2671" s="298"/>
      <c r="BI2671" s="298"/>
      <c r="BJ2671" s="298"/>
      <c r="BK2671" s="298"/>
      <c r="BL2671" s="298"/>
      <c r="BM2671" s="298"/>
      <c r="BN2671" s="298"/>
      <c r="BO2671" s="298"/>
      <c r="BP2671" s="298"/>
    </row>
    <row r="2672" spans="1:68" s="529" customFormat="1" ht="12.75">
      <c r="A2672" s="286"/>
      <c r="B2672" s="373"/>
      <c r="C2672" s="379"/>
      <c r="D2672" s="382"/>
      <c r="E2672" s="382"/>
      <c r="F2672" s="382"/>
      <c r="G2672" s="382"/>
      <c r="H2672" s="382"/>
      <c r="I2672" s="298"/>
      <c r="J2672" s="298"/>
      <c r="K2672" s="298"/>
      <c r="L2672" s="298"/>
      <c r="M2672" s="298"/>
      <c r="N2672" s="298"/>
      <c r="O2672" s="298"/>
      <c r="P2672" s="298"/>
      <c r="Q2672" s="298"/>
      <c r="R2672" s="298"/>
      <c r="S2672" s="536"/>
      <c r="T2672" s="635"/>
      <c r="U2672" s="298"/>
      <c r="V2672" s="298"/>
      <c r="W2672" s="298"/>
      <c r="X2672" s="298"/>
      <c r="Y2672" s="298"/>
      <c r="Z2672" s="298"/>
      <c r="AA2672" s="298"/>
      <c r="AB2672" s="298"/>
      <c r="AC2672" s="298"/>
      <c r="AD2672" s="298"/>
      <c r="AE2672" s="298"/>
      <c r="AF2672" s="298"/>
      <c r="AG2672" s="298"/>
      <c r="AH2672" s="298"/>
      <c r="AI2672" s="298"/>
      <c r="AJ2672" s="298"/>
      <c r="AK2672" s="298"/>
      <c r="AL2672" s="298"/>
      <c r="AM2672" s="298"/>
      <c r="AN2672" s="298"/>
      <c r="AO2672" s="298"/>
      <c r="AP2672" s="298"/>
      <c r="AQ2672" s="298"/>
      <c r="AR2672" s="298"/>
      <c r="AS2672" s="298"/>
      <c r="AT2672" s="298"/>
      <c r="AU2672" s="298"/>
      <c r="AV2672" s="298"/>
      <c r="AW2672" s="298"/>
      <c r="AX2672" s="298"/>
      <c r="AY2672" s="298"/>
      <c r="AZ2672" s="298"/>
      <c r="BA2672" s="298"/>
      <c r="BB2672" s="298"/>
      <c r="BC2672" s="298"/>
      <c r="BD2672" s="298"/>
      <c r="BE2672" s="298"/>
      <c r="BF2672" s="298"/>
      <c r="BG2672" s="298"/>
      <c r="BH2672" s="298"/>
      <c r="BI2672" s="298"/>
      <c r="BJ2672" s="298"/>
      <c r="BK2672" s="298"/>
      <c r="BL2672" s="298"/>
      <c r="BM2672" s="298"/>
      <c r="BN2672" s="298"/>
      <c r="BO2672" s="298"/>
      <c r="BP2672" s="298"/>
    </row>
    <row r="2673" spans="1:68" s="529" customFormat="1" ht="38.25">
      <c r="A2673" s="286"/>
      <c r="B2673" s="372" t="s">
        <v>15086</v>
      </c>
      <c r="C2673" s="231" t="s">
        <v>15109</v>
      </c>
      <c r="D2673" s="232" t="s">
        <v>103</v>
      </c>
      <c r="E2673" s="232" t="s">
        <v>109</v>
      </c>
      <c r="F2673" s="233"/>
      <c r="G2673" s="234"/>
      <c r="H2673" s="235">
        <v>177.93999999999997</v>
      </c>
      <c r="I2673" s="298"/>
      <c r="J2673" s="298"/>
      <c r="K2673" s="298"/>
      <c r="L2673" s="298"/>
      <c r="M2673" s="298"/>
      <c r="N2673" s="298"/>
      <c r="O2673" s="298"/>
      <c r="P2673" s="298"/>
      <c r="Q2673" s="298"/>
      <c r="R2673" s="298"/>
      <c r="S2673" s="536"/>
      <c r="T2673" s="635"/>
      <c r="U2673" s="298"/>
      <c r="V2673" s="298"/>
      <c r="W2673" s="298"/>
      <c r="X2673" s="298"/>
      <c r="Y2673" s="298"/>
      <c r="Z2673" s="298"/>
      <c r="AA2673" s="298"/>
      <c r="AB2673" s="298"/>
      <c r="AC2673" s="298"/>
      <c r="AD2673" s="298"/>
      <c r="AE2673" s="298"/>
      <c r="AF2673" s="298"/>
      <c r="AG2673" s="298"/>
      <c r="AH2673" s="298"/>
      <c r="AI2673" s="298"/>
      <c r="AJ2673" s="298"/>
      <c r="AK2673" s="298"/>
      <c r="AL2673" s="298"/>
      <c r="AM2673" s="298"/>
      <c r="AN2673" s="298"/>
      <c r="AO2673" s="298"/>
      <c r="AP2673" s="298"/>
      <c r="AQ2673" s="298"/>
      <c r="AR2673" s="298"/>
      <c r="AS2673" s="298"/>
      <c r="AT2673" s="298"/>
      <c r="AU2673" s="298"/>
      <c r="AV2673" s="298"/>
      <c r="AW2673" s="298"/>
      <c r="AX2673" s="298"/>
      <c r="AY2673" s="298"/>
      <c r="AZ2673" s="298"/>
      <c r="BA2673" s="298"/>
      <c r="BB2673" s="298"/>
      <c r="BC2673" s="298"/>
      <c r="BD2673" s="298"/>
      <c r="BE2673" s="298"/>
      <c r="BF2673" s="298"/>
      <c r="BG2673" s="298"/>
      <c r="BH2673" s="298"/>
      <c r="BI2673" s="298"/>
      <c r="BJ2673" s="298"/>
      <c r="BK2673" s="298"/>
      <c r="BL2673" s="298"/>
      <c r="BM2673" s="298"/>
      <c r="BN2673" s="298"/>
      <c r="BO2673" s="298"/>
      <c r="BP2673" s="298"/>
    </row>
    <row r="2674" spans="1:68" s="529" customFormat="1" ht="25.5">
      <c r="A2674" s="286" t="s">
        <v>3261</v>
      </c>
      <c r="B2674" s="288">
        <v>1821</v>
      </c>
      <c r="C2674" s="289" t="s">
        <v>6030</v>
      </c>
      <c r="D2674" s="290" t="s">
        <v>207</v>
      </c>
      <c r="E2674" s="290" t="s">
        <v>3240</v>
      </c>
      <c r="F2674" s="383">
        <v>1</v>
      </c>
      <c r="G2674" s="292" t="s">
        <v>19583</v>
      </c>
      <c r="H2674" s="255">
        <v>139.27000000000001</v>
      </c>
      <c r="I2674" s="298"/>
      <c r="J2674" s="298"/>
      <c r="K2674" s="298"/>
      <c r="L2674" s="298"/>
      <c r="M2674" s="298"/>
      <c r="N2674" s="298"/>
      <c r="O2674" s="298"/>
      <c r="P2674" s="298"/>
      <c r="Q2674" s="298"/>
      <c r="R2674" s="298"/>
      <c r="S2674" s="536"/>
      <c r="T2674" s="635"/>
      <c r="U2674" s="298"/>
      <c r="V2674" s="298"/>
      <c r="W2674" s="298"/>
      <c r="X2674" s="298"/>
      <c r="Y2674" s="298"/>
      <c r="Z2674" s="298"/>
      <c r="AA2674" s="298"/>
      <c r="AB2674" s="298"/>
      <c r="AC2674" s="298"/>
      <c r="AD2674" s="298"/>
      <c r="AE2674" s="298"/>
      <c r="AF2674" s="298"/>
      <c r="AG2674" s="298"/>
      <c r="AH2674" s="298"/>
      <c r="AI2674" s="298"/>
      <c r="AJ2674" s="298"/>
      <c r="AK2674" s="298"/>
      <c r="AL2674" s="298"/>
      <c r="AM2674" s="298"/>
      <c r="AN2674" s="298"/>
      <c r="AO2674" s="298"/>
      <c r="AP2674" s="298"/>
      <c r="AQ2674" s="298"/>
      <c r="AR2674" s="298"/>
      <c r="AS2674" s="298"/>
      <c r="AT2674" s="298"/>
      <c r="AU2674" s="298"/>
      <c r="AV2674" s="298"/>
      <c r="AW2674" s="298"/>
      <c r="AX2674" s="298"/>
      <c r="AY2674" s="298"/>
      <c r="AZ2674" s="298"/>
      <c r="BA2674" s="298"/>
      <c r="BB2674" s="298"/>
      <c r="BC2674" s="298"/>
      <c r="BD2674" s="298"/>
      <c r="BE2674" s="298"/>
      <c r="BF2674" s="298"/>
      <c r="BG2674" s="298"/>
      <c r="BH2674" s="298"/>
      <c r="BI2674" s="298"/>
      <c r="BJ2674" s="298"/>
      <c r="BK2674" s="298"/>
      <c r="BL2674" s="298"/>
      <c r="BM2674" s="298"/>
      <c r="BN2674" s="298"/>
      <c r="BO2674" s="298"/>
      <c r="BP2674" s="298"/>
    </row>
    <row r="2675" spans="1:68" s="529" customFormat="1" ht="25.5">
      <c r="A2675" s="286" t="s">
        <v>3261</v>
      </c>
      <c r="B2675" s="288">
        <v>3148</v>
      </c>
      <c r="C2675" s="289" t="s">
        <v>6465</v>
      </c>
      <c r="D2675" s="290" t="s">
        <v>207</v>
      </c>
      <c r="E2675" s="290" t="s">
        <v>3240</v>
      </c>
      <c r="F2675" s="383">
        <v>0.1661</v>
      </c>
      <c r="G2675" s="292" t="s">
        <v>10121</v>
      </c>
      <c r="H2675" s="255">
        <v>2.38</v>
      </c>
      <c r="I2675" s="298"/>
      <c r="J2675" s="298"/>
      <c r="K2675" s="298"/>
      <c r="L2675" s="298"/>
      <c r="M2675" s="298"/>
      <c r="N2675" s="298"/>
      <c r="O2675" s="298"/>
      <c r="P2675" s="298"/>
      <c r="Q2675" s="298"/>
      <c r="R2675" s="298"/>
      <c r="S2675" s="536"/>
      <c r="T2675" s="635"/>
      <c r="U2675" s="298"/>
      <c r="V2675" s="298"/>
      <c r="W2675" s="298"/>
      <c r="X2675" s="298"/>
      <c r="Y2675" s="298"/>
      <c r="Z2675" s="298"/>
      <c r="AA2675" s="298"/>
      <c r="AB2675" s="298"/>
      <c r="AC2675" s="298"/>
      <c r="AD2675" s="298"/>
      <c r="AE2675" s="298"/>
      <c r="AF2675" s="298"/>
      <c r="AG2675" s="298"/>
      <c r="AH2675" s="298"/>
      <c r="AI2675" s="298"/>
      <c r="AJ2675" s="298"/>
      <c r="AK2675" s="298"/>
      <c r="AL2675" s="298"/>
      <c r="AM2675" s="298"/>
      <c r="AN2675" s="298"/>
      <c r="AO2675" s="298"/>
      <c r="AP2675" s="298"/>
      <c r="AQ2675" s="298"/>
      <c r="AR2675" s="298"/>
      <c r="AS2675" s="298"/>
      <c r="AT2675" s="298"/>
      <c r="AU2675" s="298"/>
      <c r="AV2675" s="298"/>
      <c r="AW2675" s="298"/>
      <c r="AX2675" s="298"/>
      <c r="AY2675" s="298"/>
      <c r="AZ2675" s="298"/>
      <c r="BA2675" s="298"/>
      <c r="BB2675" s="298"/>
      <c r="BC2675" s="298"/>
      <c r="BD2675" s="298"/>
      <c r="BE2675" s="298"/>
      <c r="BF2675" s="298"/>
      <c r="BG2675" s="298"/>
      <c r="BH2675" s="298"/>
      <c r="BI2675" s="298"/>
      <c r="BJ2675" s="298"/>
      <c r="BK2675" s="298"/>
      <c r="BL2675" s="298"/>
      <c r="BM2675" s="298"/>
      <c r="BN2675" s="298"/>
      <c r="BO2675" s="298"/>
      <c r="BP2675" s="298"/>
    </row>
    <row r="2676" spans="1:68" s="529" customFormat="1" ht="25.5">
      <c r="A2676" s="286" t="s">
        <v>3261</v>
      </c>
      <c r="B2676" s="288">
        <v>7307</v>
      </c>
      <c r="C2676" s="289" t="s">
        <v>6505</v>
      </c>
      <c r="D2676" s="290" t="s">
        <v>207</v>
      </c>
      <c r="E2676" s="290" t="s">
        <v>3245</v>
      </c>
      <c r="F2676" s="383">
        <v>3.9399999999999998E-2</v>
      </c>
      <c r="G2676" s="292" t="s">
        <v>11120</v>
      </c>
      <c r="H2676" s="255">
        <v>1.2</v>
      </c>
      <c r="I2676" s="298"/>
      <c r="J2676" s="298"/>
      <c r="K2676" s="298"/>
      <c r="L2676" s="298"/>
      <c r="M2676" s="298"/>
      <c r="N2676" s="298"/>
      <c r="O2676" s="298"/>
      <c r="P2676" s="298"/>
      <c r="Q2676" s="298"/>
      <c r="R2676" s="298"/>
      <c r="S2676" s="536"/>
      <c r="T2676" s="635"/>
      <c r="U2676" s="298"/>
      <c r="V2676" s="298"/>
      <c r="W2676" s="298"/>
      <c r="X2676" s="298"/>
      <c r="Y2676" s="298"/>
      <c r="Z2676" s="298"/>
      <c r="AA2676" s="298"/>
      <c r="AB2676" s="298"/>
      <c r="AC2676" s="298"/>
      <c r="AD2676" s="298"/>
      <c r="AE2676" s="298"/>
      <c r="AF2676" s="298"/>
      <c r="AG2676" s="298"/>
      <c r="AH2676" s="298"/>
      <c r="AI2676" s="298"/>
      <c r="AJ2676" s="298"/>
      <c r="AK2676" s="298"/>
      <c r="AL2676" s="298"/>
      <c r="AM2676" s="298"/>
      <c r="AN2676" s="298"/>
      <c r="AO2676" s="298"/>
      <c r="AP2676" s="298"/>
      <c r="AQ2676" s="298"/>
      <c r="AR2676" s="298"/>
      <c r="AS2676" s="298"/>
      <c r="AT2676" s="298"/>
      <c r="AU2676" s="298"/>
      <c r="AV2676" s="298"/>
      <c r="AW2676" s="298"/>
      <c r="AX2676" s="298"/>
      <c r="AY2676" s="298"/>
      <c r="AZ2676" s="298"/>
      <c r="BA2676" s="298"/>
      <c r="BB2676" s="298"/>
      <c r="BC2676" s="298"/>
      <c r="BD2676" s="298"/>
      <c r="BE2676" s="298"/>
      <c r="BF2676" s="298"/>
      <c r="BG2676" s="298"/>
      <c r="BH2676" s="298"/>
      <c r="BI2676" s="298"/>
      <c r="BJ2676" s="298"/>
      <c r="BK2676" s="298"/>
      <c r="BL2676" s="298"/>
      <c r="BM2676" s="298"/>
      <c r="BN2676" s="298"/>
      <c r="BO2676" s="298"/>
      <c r="BP2676" s="298"/>
    </row>
    <row r="2677" spans="1:68" s="529" customFormat="1" ht="38.25">
      <c r="A2677" s="286" t="s">
        <v>3259</v>
      </c>
      <c r="B2677" s="288">
        <v>88248</v>
      </c>
      <c r="C2677" s="289" t="s">
        <v>106</v>
      </c>
      <c r="D2677" s="290" t="s">
        <v>9714</v>
      </c>
      <c r="E2677" s="290" t="s">
        <v>206</v>
      </c>
      <c r="F2677" s="383">
        <v>0.84299999999999997</v>
      </c>
      <c r="G2677" s="292" t="s">
        <v>10175</v>
      </c>
      <c r="H2677" s="255">
        <v>15.36</v>
      </c>
      <c r="I2677" s="298"/>
      <c r="J2677" s="298"/>
      <c r="K2677" s="298"/>
      <c r="L2677" s="298"/>
      <c r="M2677" s="298"/>
      <c r="N2677" s="298"/>
      <c r="O2677" s="298"/>
      <c r="P2677" s="298"/>
      <c r="Q2677" s="298"/>
      <c r="R2677" s="298"/>
      <c r="S2677" s="536"/>
      <c r="T2677" s="635"/>
      <c r="U2677" s="298"/>
      <c r="V2677" s="298"/>
      <c r="W2677" s="298"/>
      <c r="X2677" s="298"/>
      <c r="Y2677" s="298"/>
      <c r="Z2677" s="298"/>
      <c r="AA2677" s="298"/>
      <c r="AB2677" s="298"/>
      <c r="AC2677" s="298"/>
      <c r="AD2677" s="298"/>
      <c r="AE2677" s="298"/>
      <c r="AF2677" s="298"/>
      <c r="AG2677" s="298"/>
      <c r="AH2677" s="298"/>
      <c r="AI2677" s="298"/>
      <c r="AJ2677" s="298"/>
      <c r="AK2677" s="298"/>
      <c r="AL2677" s="298"/>
      <c r="AM2677" s="298"/>
      <c r="AN2677" s="298"/>
      <c r="AO2677" s="298"/>
      <c r="AP2677" s="298"/>
      <c r="AQ2677" s="298"/>
      <c r="AR2677" s="298"/>
      <c r="AS2677" s="298"/>
      <c r="AT2677" s="298"/>
      <c r="AU2677" s="298"/>
      <c r="AV2677" s="298"/>
      <c r="AW2677" s="298"/>
      <c r="AX2677" s="298"/>
      <c r="AY2677" s="298"/>
      <c r="AZ2677" s="298"/>
      <c r="BA2677" s="298"/>
      <c r="BB2677" s="298"/>
      <c r="BC2677" s="298"/>
      <c r="BD2677" s="298"/>
      <c r="BE2677" s="298"/>
      <c r="BF2677" s="298"/>
      <c r="BG2677" s="298"/>
      <c r="BH2677" s="298"/>
      <c r="BI2677" s="298"/>
      <c r="BJ2677" s="298"/>
      <c r="BK2677" s="298"/>
      <c r="BL2677" s="298"/>
      <c r="BM2677" s="298"/>
      <c r="BN2677" s="298"/>
      <c r="BO2677" s="298"/>
      <c r="BP2677" s="298"/>
    </row>
    <row r="2678" spans="1:68" s="529" customFormat="1" ht="25.5">
      <c r="A2678" s="286" t="s">
        <v>3259</v>
      </c>
      <c r="B2678" s="288">
        <v>88267</v>
      </c>
      <c r="C2678" s="289" t="s">
        <v>107</v>
      </c>
      <c r="D2678" s="290" t="s">
        <v>9714</v>
      </c>
      <c r="E2678" s="290" t="s">
        <v>206</v>
      </c>
      <c r="F2678" s="383">
        <v>0.84299999999999997</v>
      </c>
      <c r="G2678" s="292" t="s">
        <v>10792</v>
      </c>
      <c r="H2678" s="255">
        <v>19.73</v>
      </c>
      <c r="I2678" s="298"/>
      <c r="J2678" s="298"/>
      <c r="K2678" s="298"/>
      <c r="L2678" s="298"/>
      <c r="M2678" s="298"/>
      <c r="N2678" s="298"/>
      <c r="O2678" s="298"/>
      <c r="P2678" s="298"/>
      <c r="Q2678" s="298"/>
      <c r="R2678" s="298"/>
      <c r="S2678" s="536"/>
      <c r="T2678" s="635"/>
      <c r="U2678" s="298"/>
      <c r="V2678" s="298"/>
      <c r="W2678" s="298"/>
      <c r="X2678" s="298"/>
      <c r="Y2678" s="298"/>
      <c r="Z2678" s="298"/>
      <c r="AA2678" s="298"/>
      <c r="AB2678" s="298"/>
      <c r="AC2678" s="298"/>
      <c r="AD2678" s="298"/>
      <c r="AE2678" s="298"/>
      <c r="AF2678" s="298"/>
      <c r="AG2678" s="298"/>
      <c r="AH2678" s="298"/>
      <c r="AI2678" s="298"/>
      <c r="AJ2678" s="298"/>
      <c r="AK2678" s="298"/>
      <c r="AL2678" s="298"/>
      <c r="AM2678" s="298"/>
      <c r="AN2678" s="298"/>
      <c r="AO2678" s="298"/>
      <c r="AP2678" s="298"/>
      <c r="AQ2678" s="298"/>
      <c r="AR2678" s="298"/>
      <c r="AS2678" s="298"/>
      <c r="AT2678" s="298"/>
      <c r="AU2678" s="298"/>
      <c r="AV2678" s="298"/>
      <c r="AW2678" s="298"/>
      <c r="AX2678" s="298"/>
      <c r="AY2678" s="298"/>
      <c r="AZ2678" s="298"/>
      <c r="BA2678" s="298"/>
      <c r="BB2678" s="298"/>
      <c r="BC2678" s="298"/>
      <c r="BD2678" s="298"/>
      <c r="BE2678" s="298"/>
      <c r="BF2678" s="298"/>
      <c r="BG2678" s="298"/>
      <c r="BH2678" s="298"/>
      <c r="BI2678" s="298"/>
      <c r="BJ2678" s="298"/>
      <c r="BK2678" s="298"/>
      <c r="BL2678" s="298"/>
      <c r="BM2678" s="298"/>
      <c r="BN2678" s="298"/>
      <c r="BO2678" s="298"/>
      <c r="BP2678" s="298"/>
    </row>
    <row r="2679" spans="1:68" s="529" customFormat="1" ht="12.75">
      <c r="A2679" s="286"/>
      <c r="B2679" s="375" t="s">
        <v>143</v>
      </c>
      <c r="C2679" s="816" t="s">
        <v>14939</v>
      </c>
      <c r="D2679" s="817"/>
      <c r="E2679" s="817"/>
      <c r="F2679" s="817"/>
      <c r="G2679" s="817"/>
      <c r="H2679" s="818"/>
      <c r="I2679" s="298"/>
      <c r="J2679" s="298"/>
      <c r="K2679" s="298"/>
      <c r="L2679" s="298"/>
      <c r="M2679" s="298"/>
      <c r="N2679" s="298"/>
      <c r="O2679" s="298"/>
      <c r="P2679" s="298"/>
      <c r="Q2679" s="298"/>
      <c r="R2679" s="298"/>
      <c r="S2679" s="536"/>
      <c r="T2679" s="635"/>
      <c r="U2679" s="298"/>
      <c r="V2679" s="298"/>
      <c r="W2679" s="298"/>
      <c r="X2679" s="298"/>
      <c r="Y2679" s="298"/>
      <c r="Z2679" s="298"/>
      <c r="AA2679" s="298"/>
      <c r="AB2679" s="298"/>
      <c r="AC2679" s="298"/>
      <c r="AD2679" s="298"/>
      <c r="AE2679" s="298"/>
      <c r="AF2679" s="298"/>
      <c r="AG2679" s="298"/>
      <c r="AH2679" s="298"/>
      <c r="AI2679" s="298"/>
      <c r="AJ2679" s="298"/>
      <c r="AK2679" s="298"/>
      <c r="AL2679" s="298"/>
      <c r="AM2679" s="298"/>
      <c r="AN2679" s="298"/>
      <c r="AO2679" s="298"/>
      <c r="AP2679" s="298"/>
      <c r="AQ2679" s="298"/>
      <c r="AR2679" s="298"/>
      <c r="AS2679" s="298"/>
      <c r="AT2679" s="298"/>
      <c r="AU2679" s="298"/>
      <c r="AV2679" s="298"/>
      <c r="AW2679" s="298"/>
      <c r="AX2679" s="298"/>
      <c r="AY2679" s="298"/>
      <c r="AZ2679" s="298"/>
      <c r="BA2679" s="298"/>
      <c r="BB2679" s="298"/>
      <c r="BC2679" s="298"/>
      <c r="BD2679" s="298"/>
      <c r="BE2679" s="298"/>
      <c r="BF2679" s="298"/>
      <c r="BG2679" s="298"/>
      <c r="BH2679" s="298"/>
      <c r="BI2679" s="298"/>
      <c r="BJ2679" s="298"/>
      <c r="BK2679" s="298"/>
      <c r="BL2679" s="298"/>
      <c r="BM2679" s="298"/>
      <c r="BN2679" s="298"/>
      <c r="BO2679" s="298"/>
      <c r="BP2679" s="298"/>
    </row>
    <row r="2680" spans="1:68" s="529" customFormat="1" ht="12.75">
      <c r="A2680" s="286"/>
      <c r="B2680" s="373"/>
      <c r="C2680" s="379"/>
      <c r="D2680" s="379"/>
      <c r="E2680" s="379"/>
      <c r="F2680" s="379"/>
      <c r="G2680" s="379"/>
      <c r="H2680" s="379"/>
      <c r="I2680" s="298"/>
      <c r="J2680" s="298"/>
      <c r="K2680" s="298"/>
      <c r="L2680" s="298"/>
      <c r="M2680" s="298"/>
      <c r="N2680" s="298"/>
      <c r="O2680" s="298"/>
      <c r="P2680" s="298"/>
      <c r="Q2680" s="298"/>
      <c r="R2680" s="298"/>
      <c r="S2680" s="536"/>
      <c r="T2680" s="635"/>
      <c r="U2680" s="298"/>
      <c r="V2680" s="298"/>
      <c r="W2680" s="298"/>
      <c r="X2680" s="298"/>
      <c r="Y2680" s="298"/>
      <c r="Z2680" s="298"/>
      <c r="AA2680" s="298"/>
      <c r="AB2680" s="298"/>
      <c r="AC2680" s="298"/>
      <c r="AD2680" s="298"/>
      <c r="AE2680" s="298"/>
      <c r="AF2680" s="298"/>
      <c r="AG2680" s="298"/>
      <c r="AH2680" s="298"/>
      <c r="AI2680" s="298"/>
      <c r="AJ2680" s="298"/>
      <c r="AK2680" s="298"/>
      <c r="AL2680" s="298"/>
      <c r="AM2680" s="298"/>
      <c r="AN2680" s="298"/>
      <c r="AO2680" s="298"/>
      <c r="AP2680" s="298"/>
      <c r="AQ2680" s="298"/>
      <c r="AR2680" s="298"/>
      <c r="AS2680" s="298"/>
      <c r="AT2680" s="298"/>
      <c r="AU2680" s="298"/>
      <c r="AV2680" s="298"/>
      <c r="AW2680" s="298"/>
      <c r="AX2680" s="298"/>
      <c r="AY2680" s="298"/>
      <c r="AZ2680" s="298"/>
      <c r="BA2680" s="298"/>
      <c r="BB2680" s="298"/>
      <c r="BC2680" s="298"/>
      <c r="BD2680" s="298"/>
      <c r="BE2680" s="298"/>
      <c r="BF2680" s="298"/>
      <c r="BG2680" s="298"/>
      <c r="BH2680" s="298"/>
      <c r="BI2680" s="298"/>
      <c r="BJ2680" s="298"/>
      <c r="BK2680" s="298"/>
      <c r="BL2680" s="298"/>
      <c r="BM2680" s="298"/>
      <c r="BN2680" s="298"/>
      <c r="BO2680" s="298"/>
      <c r="BP2680" s="298"/>
    </row>
    <row r="2681" spans="1:68" s="529" customFormat="1" ht="76.5">
      <c r="A2681" s="286"/>
      <c r="B2681" s="372" t="s">
        <v>15089</v>
      </c>
      <c r="C2681" s="231" t="s">
        <v>15144</v>
      </c>
      <c r="D2681" s="232" t="s">
        <v>103</v>
      </c>
      <c r="E2681" s="232" t="s">
        <v>109</v>
      </c>
      <c r="F2681" s="233"/>
      <c r="G2681" s="234"/>
      <c r="H2681" s="235">
        <v>518.98000000000013</v>
      </c>
      <c r="I2681" s="298"/>
      <c r="J2681" s="634"/>
      <c r="K2681" s="634"/>
      <c r="L2681" s="634"/>
      <c r="M2681" s="634"/>
      <c r="N2681" s="298"/>
      <c r="O2681" s="298"/>
      <c r="P2681" s="298"/>
      <c r="Q2681" s="298"/>
      <c r="R2681" s="298"/>
      <c r="S2681" s="536"/>
      <c r="T2681" s="635"/>
      <c r="U2681" s="298"/>
      <c r="V2681" s="298"/>
      <c r="W2681" s="298"/>
      <c r="X2681" s="298"/>
      <c r="Y2681" s="298"/>
      <c r="Z2681" s="298"/>
      <c r="AA2681" s="298"/>
      <c r="AB2681" s="298"/>
      <c r="AC2681" s="298"/>
      <c r="AD2681" s="298"/>
      <c r="AE2681" s="298"/>
      <c r="AF2681" s="298"/>
      <c r="AG2681" s="298"/>
      <c r="AH2681" s="298"/>
      <c r="AI2681" s="298"/>
      <c r="AJ2681" s="298"/>
      <c r="AK2681" s="298"/>
      <c r="AL2681" s="298"/>
      <c r="AM2681" s="298"/>
      <c r="AN2681" s="298"/>
      <c r="AO2681" s="298"/>
      <c r="AP2681" s="298"/>
      <c r="AQ2681" s="298"/>
      <c r="AR2681" s="298"/>
      <c r="AS2681" s="298"/>
      <c r="AT2681" s="298"/>
      <c r="AU2681" s="298"/>
      <c r="AV2681" s="298"/>
      <c r="AW2681" s="298"/>
      <c r="AX2681" s="298"/>
      <c r="AY2681" s="298"/>
      <c r="AZ2681" s="298"/>
      <c r="BA2681" s="298"/>
      <c r="BB2681" s="298"/>
      <c r="BC2681" s="298"/>
      <c r="BD2681" s="298"/>
      <c r="BE2681" s="298"/>
      <c r="BF2681" s="298"/>
      <c r="BG2681" s="298"/>
      <c r="BH2681" s="298"/>
      <c r="BI2681" s="298"/>
      <c r="BJ2681" s="298"/>
      <c r="BK2681" s="298"/>
      <c r="BL2681" s="298"/>
      <c r="BM2681" s="298"/>
      <c r="BN2681" s="298"/>
      <c r="BO2681" s="298"/>
      <c r="BP2681" s="298"/>
    </row>
    <row r="2682" spans="1:68" s="529" customFormat="1" ht="38.25">
      <c r="A2682" s="286" t="s">
        <v>3259</v>
      </c>
      <c r="B2682" s="288">
        <v>93358</v>
      </c>
      <c r="C2682" s="289" t="s">
        <v>16227</v>
      </c>
      <c r="D2682" s="290" t="s">
        <v>229</v>
      </c>
      <c r="E2682" s="290" t="s">
        <v>209</v>
      </c>
      <c r="F2682" s="383">
        <v>0.57599999999999996</v>
      </c>
      <c r="G2682" s="292" t="s">
        <v>23682</v>
      </c>
      <c r="H2682" s="255">
        <v>40.119999999999997</v>
      </c>
      <c r="I2682" s="298"/>
      <c r="J2682" s="298"/>
      <c r="K2682" s="298"/>
      <c r="L2682" s="298"/>
      <c r="M2682" s="298"/>
      <c r="N2682" s="298"/>
      <c r="O2682" s="298"/>
      <c r="P2682" s="298"/>
      <c r="Q2682" s="298"/>
      <c r="R2682" s="298"/>
      <c r="S2682" s="536"/>
      <c r="T2682" s="635"/>
      <c r="U2682" s="298"/>
      <c r="V2682" s="298"/>
      <c r="W2682" s="298"/>
      <c r="X2682" s="298"/>
      <c r="Y2682" s="298"/>
      <c r="Z2682" s="298"/>
      <c r="AA2682" s="298"/>
      <c r="AB2682" s="298"/>
      <c r="AC2682" s="298"/>
      <c r="AD2682" s="298"/>
      <c r="AE2682" s="298"/>
      <c r="AF2682" s="298"/>
      <c r="AG2682" s="298"/>
      <c r="AH2682" s="298"/>
      <c r="AI2682" s="298"/>
      <c r="AJ2682" s="298"/>
      <c r="AK2682" s="298"/>
      <c r="AL2682" s="298"/>
      <c r="AM2682" s="298"/>
      <c r="AN2682" s="298"/>
      <c r="AO2682" s="298"/>
      <c r="AP2682" s="298"/>
      <c r="AQ2682" s="298"/>
      <c r="AR2682" s="298"/>
      <c r="AS2682" s="298"/>
      <c r="AT2682" s="298"/>
      <c r="AU2682" s="298"/>
      <c r="AV2682" s="298"/>
      <c r="AW2682" s="298"/>
      <c r="AX2682" s="298"/>
      <c r="AY2682" s="298"/>
      <c r="AZ2682" s="298"/>
      <c r="BA2682" s="298"/>
      <c r="BB2682" s="298"/>
      <c r="BC2682" s="298"/>
      <c r="BD2682" s="298"/>
      <c r="BE2682" s="298"/>
      <c r="BF2682" s="298"/>
      <c r="BG2682" s="298"/>
      <c r="BH2682" s="298"/>
      <c r="BI2682" s="298"/>
      <c r="BJ2682" s="298"/>
      <c r="BK2682" s="298"/>
      <c r="BL2682" s="298"/>
      <c r="BM2682" s="298"/>
      <c r="BN2682" s="298"/>
      <c r="BO2682" s="298"/>
      <c r="BP2682" s="298"/>
    </row>
    <row r="2683" spans="1:68" s="529" customFormat="1" ht="38.25">
      <c r="A2683" s="286" t="s">
        <v>3259</v>
      </c>
      <c r="B2683" s="288">
        <v>101616</v>
      </c>
      <c r="C2683" s="289" t="s">
        <v>13664</v>
      </c>
      <c r="D2683" s="290" t="s">
        <v>229</v>
      </c>
      <c r="E2683" s="290" t="s">
        <v>193</v>
      </c>
      <c r="F2683" s="383">
        <v>1.08</v>
      </c>
      <c r="G2683" s="292" t="s">
        <v>11219</v>
      </c>
      <c r="H2683" s="255">
        <v>5.69</v>
      </c>
      <c r="I2683" s="298"/>
      <c r="J2683" s="298"/>
      <c r="K2683" s="298"/>
      <c r="L2683" s="298"/>
      <c r="M2683" s="298"/>
      <c r="N2683" s="298"/>
      <c r="O2683" s="298"/>
      <c r="P2683" s="298"/>
      <c r="Q2683" s="298"/>
      <c r="R2683" s="298"/>
      <c r="S2683" s="536"/>
      <c r="T2683" s="635"/>
      <c r="U2683" s="298"/>
      <c r="V2683" s="298"/>
      <c r="W2683" s="298"/>
      <c r="X2683" s="298"/>
      <c r="Y2683" s="298"/>
      <c r="Z2683" s="298"/>
      <c r="AA2683" s="298"/>
      <c r="AB2683" s="298"/>
      <c r="AC2683" s="298"/>
      <c r="AD2683" s="298"/>
      <c r="AE2683" s="298"/>
      <c r="AF2683" s="298"/>
      <c r="AG2683" s="298"/>
      <c r="AH2683" s="298"/>
      <c r="AI2683" s="298"/>
      <c r="AJ2683" s="298"/>
      <c r="AK2683" s="298"/>
      <c r="AL2683" s="298"/>
      <c r="AM2683" s="298"/>
      <c r="AN2683" s="298"/>
      <c r="AO2683" s="298"/>
      <c r="AP2683" s="298"/>
      <c r="AQ2683" s="298"/>
      <c r="AR2683" s="298"/>
      <c r="AS2683" s="298"/>
      <c r="AT2683" s="298"/>
      <c r="AU2683" s="298"/>
      <c r="AV2683" s="298"/>
      <c r="AW2683" s="298"/>
      <c r="AX2683" s="298"/>
      <c r="AY2683" s="298"/>
      <c r="AZ2683" s="298"/>
      <c r="BA2683" s="298"/>
      <c r="BB2683" s="298"/>
      <c r="BC2683" s="298"/>
      <c r="BD2683" s="298"/>
      <c r="BE2683" s="298"/>
      <c r="BF2683" s="298"/>
      <c r="BG2683" s="298"/>
      <c r="BH2683" s="298"/>
      <c r="BI2683" s="298"/>
      <c r="BJ2683" s="298"/>
      <c r="BK2683" s="298"/>
      <c r="BL2683" s="298"/>
      <c r="BM2683" s="298"/>
      <c r="BN2683" s="298"/>
      <c r="BO2683" s="298"/>
      <c r="BP2683" s="298"/>
    </row>
    <row r="2684" spans="1:68" s="529" customFormat="1" ht="89.25">
      <c r="A2684" s="286" t="s">
        <v>3259</v>
      </c>
      <c r="B2684" s="288">
        <v>87501</v>
      </c>
      <c r="C2684" s="289" t="s">
        <v>2534</v>
      </c>
      <c r="D2684" s="290" t="s">
        <v>229</v>
      </c>
      <c r="E2684" s="290" t="s">
        <v>193</v>
      </c>
      <c r="F2684" s="383">
        <v>1.7</v>
      </c>
      <c r="G2684" s="292" t="s">
        <v>23728</v>
      </c>
      <c r="H2684" s="255">
        <v>266.22000000000003</v>
      </c>
      <c r="I2684" s="298"/>
      <c r="J2684" s="298"/>
      <c r="K2684" s="298"/>
      <c r="L2684" s="298"/>
      <c r="M2684" s="298"/>
      <c r="N2684" s="298"/>
      <c r="O2684" s="298"/>
      <c r="P2684" s="298"/>
      <c r="Q2684" s="298"/>
      <c r="R2684" s="298"/>
      <c r="S2684" s="536"/>
      <c r="T2684" s="635"/>
      <c r="U2684" s="298"/>
      <c r="V2684" s="298"/>
      <c r="W2684" s="298"/>
      <c r="X2684" s="298"/>
      <c r="Y2684" s="298"/>
      <c r="Z2684" s="298"/>
      <c r="AA2684" s="298"/>
      <c r="AB2684" s="298"/>
      <c r="AC2684" s="298"/>
      <c r="AD2684" s="298"/>
      <c r="AE2684" s="298"/>
      <c r="AF2684" s="298"/>
      <c r="AG2684" s="298"/>
      <c r="AH2684" s="298"/>
      <c r="AI2684" s="298"/>
      <c r="AJ2684" s="298"/>
      <c r="AK2684" s="298"/>
      <c r="AL2684" s="298"/>
      <c r="AM2684" s="298"/>
      <c r="AN2684" s="298"/>
      <c r="AO2684" s="298"/>
      <c r="AP2684" s="298"/>
      <c r="AQ2684" s="298"/>
      <c r="AR2684" s="298"/>
      <c r="AS2684" s="298"/>
      <c r="AT2684" s="298"/>
      <c r="AU2684" s="298"/>
      <c r="AV2684" s="298"/>
      <c r="AW2684" s="298"/>
      <c r="AX2684" s="298"/>
      <c r="AY2684" s="298"/>
      <c r="AZ2684" s="298"/>
      <c r="BA2684" s="298"/>
      <c r="BB2684" s="298"/>
      <c r="BC2684" s="298"/>
      <c r="BD2684" s="298"/>
      <c r="BE2684" s="298"/>
      <c r="BF2684" s="298"/>
      <c r="BG2684" s="298"/>
      <c r="BH2684" s="298"/>
      <c r="BI2684" s="298"/>
      <c r="BJ2684" s="298"/>
      <c r="BK2684" s="298"/>
      <c r="BL2684" s="298"/>
      <c r="BM2684" s="298"/>
      <c r="BN2684" s="298"/>
      <c r="BO2684" s="298"/>
      <c r="BP2684" s="298"/>
    </row>
    <row r="2685" spans="1:68" s="529" customFormat="1" ht="51">
      <c r="A2685" s="286" t="s">
        <v>3259</v>
      </c>
      <c r="B2685" s="288">
        <v>94970</v>
      </c>
      <c r="C2685" s="289" t="s">
        <v>22453</v>
      </c>
      <c r="D2685" s="290" t="s">
        <v>229</v>
      </c>
      <c r="E2685" s="290" t="s">
        <v>209</v>
      </c>
      <c r="F2685" s="383">
        <v>0.10800000000000001</v>
      </c>
      <c r="G2685" s="292" t="s">
        <v>22454</v>
      </c>
      <c r="H2685" s="255">
        <v>39.92</v>
      </c>
      <c r="I2685" s="298"/>
      <c r="J2685" s="298"/>
      <c r="K2685" s="298"/>
      <c r="L2685" s="298"/>
      <c r="M2685" s="298"/>
      <c r="N2685" s="298"/>
      <c r="O2685" s="298"/>
      <c r="P2685" s="298"/>
      <c r="Q2685" s="298"/>
      <c r="R2685" s="298"/>
      <c r="S2685" s="536"/>
      <c r="T2685" s="635"/>
      <c r="U2685" s="298"/>
      <c r="V2685" s="298"/>
      <c r="W2685" s="298"/>
      <c r="X2685" s="298"/>
      <c r="Y2685" s="298"/>
      <c r="Z2685" s="298"/>
      <c r="AA2685" s="298"/>
      <c r="AB2685" s="298"/>
      <c r="AC2685" s="298"/>
      <c r="AD2685" s="298"/>
      <c r="AE2685" s="298"/>
      <c r="AF2685" s="298"/>
      <c r="AG2685" s="298"/>
      <c r="AH2685" s="298"/>
      <c r="AI2685" s="298"/>
      <c r="AJ2685" s="298"/>
      <c r="AK2685" s="298"/>
      <c r="AL2685" s="298"/>
      <c r="AM2685" s="298"/>
      <c r="AN2685" s="298"/>
      <c r="AO2685" s="298"/>
      <c r="AP2685" s="298"/>
      <c r="AQ2685" s="298"/>
      <c r="AR2685" s="298"/>
      <c r="AS2685" s="298"/>
      <c r="AT2685" s="298"/>
      <c r="AU2685" s="298"/>
      <c r="AV2685" s="298"/>
      <c r="AW2685" s="298"/>
      <c r="AX2685" s="298"/>
      <c r="AY2685" s="298"/>
      <c r="AZ2685" s="298"/>
      <c r="BA2685" s="298"/>
      <c r="BB2685" s="298"/>
      <c r="BC2685" s="298"/>
      <c r="BD2685" s="298"/>
      <c r="BE2685" s="298"/>
      <c r="BF2685" s="298"/>
      <c r="BG2685" s="298"/>
      <c r="BH2685" s="298"/>
      <c r="BI2685" s="298"/>
      <c r="BJ2685" s="298"/>
      <c r="BK2685" s="298"/>
      <c r="BL2685" s="298"/>
      <c r="BM2685" s="298"/>
      <c r="BN2685" s="298"/>
      <c r="BO2685" s="298"/>
      <c r="BP2685" s="298"/>
    </row>
    <row r="2686" spans="1:68" s="529" customFormat="1" ht="38.25">
      <c r="A2686" s="286" t="s">
        <v>3259</v>
      </c>
      <c r="B2686" s="288">
        <v>92873</v>
      </c>
      <c r="C2686" s="289" t="s">
        <v>144</v>
      </c>
      <c r="D2686" s="290" t="s">
        <v>229</v>
      </c>
      <c r="E2686" s="290" t="s">
        <v>209</v>
      </c>
      <c r="F2686" s="383">
        <v>0.10800000000000001</v>
      </c>
      <c r="G2686" s="292" t="s">
        <v>22437</v>
      </c>
      <c r="H2686" s="255">
        <v>20.170000000000002</v>
      </c>
      <c r="I2686" s="298"/>
      <c r="J2686" s="298"/>
      <c r="K2686" s="298"/>
      <c r="L2686" s="298"/>
      <c r="M2686" s="298"/>
      <c r="N2686" s="298"/>
      <c r="O2686" s="298"/>
      <c r="P2686" s="298"/>
      <c r="Q2686" s="298"/>
      <c r="R2686" s="298"/>
      <c r="S2686" s="536"/>
      <c r="T2686" s="635"/>
      <c r="U2686" s="298"/>
      <c r="V2686" s="298"/>
      <c r="W2686" s="298"/>
      <c r="X2686" s="298"/>
      <c r="Y2686" s="298"/>
      <c r="Z2686" s="298"/>
      <c r="AA2686" s="298"/>
      <c r="AB2686" s="298"/>
      <c r="AC2686" s="298"/>
      <c r="AD2686" s="298"/>
      <c r="AE2686" s="298"/>
      <c r="AF2686" s="298"/>
      <c r="AG2686" s="298"/>
      <c r="AH2686" s="298"/>
      <c r="AI2686" s="298"/>
      <c r="AJ2686" s="298"/>
      <c r="AK2686" s="298"/>
      <c r="AL2686" s="298"/>
      <c r="AM2686" s="298"/>
      <c r="AN2686" s="298"/>
      <c r="AO2686" s="298"/>
      <c r="AP2686" s="298"/>
      <c r="AQ2686" s="298"/>
      <c r="AR2686" s="298"/>
      <c r="AS2686" s="298"/>
      <c r="AT2686" s="298"/>
      <c r="AU2686" s="298"/>
      <c r="AV2686" s="298"/>
      <c r="AW2686" s="298"/>
      <c r="AX2686" s="298"/>
      <c r="AY2686" s="298"/>
      <c r="AZ2686" s="298"/>
      <c r="BA2686" s="298"/>
      <c r="BB2686" s="298"/>
      <c r="BC2686" s="298"/>
      <c r="BD2686" s="298"/>
      <c r="BE2686" s="298"/>
      <c r="BF2686" s="298"/>
      <c r="BG2686" s="298"/>
      <c r="BH2686" s="298"/>
      <c r="BI2686" s="298"/>
      <c r="BJ2686" s="298"/>
      <c r="BK2686" s="298"/>
      <c r="BL2686" s="298"/>
      <c r="BM2686" s="298"/>
      <c r="BN2686" s="298"/>
      <c r="BO2686" s="298"/>
      <c r="BP2686" s="298"/>
    </row>
    <row r="2687" spans="1:68" s="529" customFormat="1" ht="63.75">
      <c r="A2687" s="286" t="s">
        <v>3259</v>
      </c>
      <c r="B2687" s="288">
        <v>87879</v>
      </c>
      <c r="C2687" s="289" t="s">
        <v>2843</v>
      </c>
      <c r="D2687" s="290" t="s">
        <v>229</v>
      </c>
      <c r="E2687" s="290" t="s">
        <v>193</v>
      </c>
      <c r="F2687" s="383">
        <v>1.4</v>
      </c>
      <c r="G2687" s="292" t="s">
        <v>9809</v>
      </c>
      <c r="H2687" s="255">
        <v>4.91</v>
      </c>
      <c r="I2687" s="298"/>
      <c r="J2687" s="298"/>
      <c r="K2687" s="298"/>
      <c r="L2687" s="298"/>
      <c r="M2687" s="298"/>
      <c r="N2687" s="298"/>
      <c r="O2687" s="298"/>
      <c r="P2687" s="298"/>
      <c r="Q2687" s="298"/>
      <c r="R2687" s="298"/>
      <c r="S2687" s="536"/>
      <c r="T2687" s="635"/>
      <c r="U2687" s="298"/>
      <c r="V2687" s="298"/>
      <c r="W2687" s="298"/>
      <c r="X2687" s="298"/>
      <c r="Y2687" s="298"/>
      <c r="Z2687" s="298"/>
      <c r="AA2687" s="298"/>
      <c r="AB2687" s="298"/>
      <c r="AC2687" s="298"/>
      <c r="AD2687" s="298"/>
      <c r="AE2687" s="298"/>
      <c r="AF2687" s="298"/>
      <c r="AG2687" s="298"/>
      <c r="AH2687" s="298"/>
      <c r="AI2687" s="298"/>
      <c r="AJ2687" s="298"/>
      <c r="AK2687" s="298"/>
      <c r="AL2687" s="298"/>
      <c r="AM2687" s="298"/>
      <c r="AN2687" s="298"/>
      <c r="AO2687" s="298"/>
      <c r="AP2687" s="298"/>
      <c r="AQ2687" s="298"/>
      <c r="AR2687" s="298"/>
      <c r="AS2687" s="298"/>
      <c r="AT2687" s="298"/>
      <c r="AU2687" s="298"/>
      <c r="AV2687" s="298"/>
      <c r="AW2687" s="298"/>
      <c r="AX2687" s="298"/>
      <c r="AY2687" s="298"/>
      <c r="AZ2687" s="298"/>
      <c r="BA2687" s="298"/>
      <c r="BB2687" s="298"/>
      <c r="BC2687" s="298"/>
      <c r="BD2687" s="298"/>
      <c r="BE2687" s="298"/>
      <c r="BF2687" s="298"/>
      <c r="BG2687" s="298"/>
      <c r="BH2687" s="298"/>
      <c r="BI2687" s="298"/>
      <c r="BJ2687" s="298"/>
      <c r="BK2687" s="298"/>
      <c r="BL2687" s="298"/>
      <c r="BM2687" s="298"/>
      <c r="BN2687" s="298"/>
      <c r="BO2687" s="298"/>
      <c r="BP2687" s="298"/>
    </row>
    <row r="2688" spans="1:68" s="529" customFormat="1" ht="89.25">
      <c r="A2688" s="286" t="s">
        <v>3259</v>
      </c>
      <c r="B2688" s="288">
        <v>87529</v>
      </c>
      <c r="C2688" s="289" t="s">
        <v>223</v>
      </c>
      <c r="D2688" s="290" t="s">
        <v>229</v>
      </c>
      <c r="E2688" s="290" t="s">
        <v>193</v>
      </c>
      <c r="F2688" s="383">
        <v>1.4</v>
      </c>
      <c r="G2688" s="292" t="s">
        <v>22574</v>
      </c>
      <c r="H2688" s="255">
        <v>43.93</v>
      </c>
      <c r="I2688" s="298"/>
      <c r="J2688" s="298"/>
      <c r="K2688" s="298"/>
      <c r="L2688" s="298"/>
      <c r="M2688" s="298"/>
      <c r="N2688" s="298"/>
      <c r="O2688" s="298"/>
      <c r="P2688" s="298"/>
      <c r="Q2688" s="298"/>
      <c r="R2688" s="298"/>
      <c r="S2688" s="536"/>
      <c r="T2688" s="635"/>
      <c r="U2688" s="298"/>
      <c r="V2688" s="298"/>
      <c r="W2688" s="298"/>
      <c r="X2688" s="298"/>
      <c r="Y2688" s="298"/>
      <c r="Z2688" s="298"/>
      <c r="AA2688" s="298"/>
      <c r="AB2688" s="298"/>
      <c r="AC2688" s="298"/>
      <c r="AD2688" s="298"/>
      <c r="AE2688" s="298"/>
      <c r="AF2688" s="298"/>
      <c r="AG2688" s="298"/>
      <c r="AH2688" s="298"/>
      <c r="AI2688" s="298"/>
      <c r="AJ2688" s="298"/>
      <c r="AK2688" s="298"/>
      <c r="AL2688" s="298"/>
      <c r="AM2688" s="298"/>
      <c r="AN2688" s="298"/>
      <c r="AO2688" s="298"/>
      <c r="AP2688" s="298"/>
      <c r="AQ2688" s="298"/>
      <c r="AR2688" s="298"/>
      <c r="AS2688" s="298"/>
      <c r="AT2688" s="298"/>
      <c r="AU2688" s="298"/>
      <c r="AV2688" s="298"/>
      <c r="AW2688" s="298"/>
      <c r="AX2688" s="298"/>
      <c r="AY2688" s="298"/>
      <c r="AZ2688" s="298"/>
      <c r="BA2688" s="298"/>
      <c r="BB2688" s="298"/>
      <c r="BC2688" s="298"/>
      <c r="BD2688" s="298"/>
      <c r="BE2688" s="298"/>
      <c r="BF2688" s="298"/>
      <c r="BG2688" s="298"/>
      <c r="BH2688" s="298"/>
      <c r="BI2688" s="298"/>
      <c r="BJ2688" s="298"/>
      <c r="BK2688" s="298"/>
      <c r="BL2688" s="298"/>
      <c r="BM2688" s="298"/>
      <c r="BN2688" s="298"/>
      <c r="BO2688" s="298"/>
      <c r="BP2688" s="298"/>
    </row>
    <row r="2689" spans="1:68" s="529" customFormat="1" ht="38.25">
      <c r="A2689" s="286" t="s">
        <v>3259</v>
      </c>
      <c r="B2689" s="288">
        <v>97736</v>
      </c>
      <c r="C2689" s="289" t="s">
        <v>3444</v>
      </c>
      <c r="D2689" s="290" t="s">
        <v>229</v>
      </c>
      <c r="E2689" s="290" t="s">
        <v>209</v>
      </c>
      <c r="F2689" s="383">
        <v>6.6400000000000001E-2</v>
      </c>
      <c r="G2689" s="292" t="s">
        <v>22535</v>
      </c>
      <c r="H2689" s="255">
        <v>91.91</v>
      </c>
      <c r="I2689" s="298"/>
      <c r="J2689" s="298"/>
      <c r="K2689" s="298"/>
      <c r="L2689" s="298"/>
      <c r="M2689" s="298"/>
      <c r="N2689" s="298"/>
      <c r="O2689" s="298"/>
      <c r="P2689" s="298"/>
      <c r="Q2689" s="298"/>
      <c r="R2689" s="298"/>
      <c r="S2689" s="536"/>
      <c r="T2689" s="635"/>
      <c r="U2689" s="298"/>
      <c r="V2689" s="298"/>
      <c r="W2689" s="298"/>
      <c r="X2689" s="298"/>
      <c r="Y2689" s="298"/>
      <c r="Z2689" s="298"/>
      <c r="AA2689" s="298"/>
      <c r="AB2689" s="298"/>
      <c r="AC2689" s="298"/>
      <c r="AD2689" s="298"/>
      <c r="AE2689" s="298"/>
      <c r="AF2689" s="298"/>
      <c r="AG2689" s="298"/>
      <c r="AH2689" s="298"/>
      <c r="AI2689" s="298"/>
      <c r="AJ2689" s="298"/>
      <c r="AK2689" s="298"/>
      <c r="AL2689" s="298"/>
      <c r="AM2689" s="298"/>
      <c r="AN2689" s="298"/>
      <c r="AO2689" s="298"/>
      <c r="AP2689" s="298"/>
      <c r="AQ2689" s="298"/>
      <c r="AR2689" s="298"/>
      <c r="AS2689" s="298"/>
      <c r="AT2689" s="298"/>
      <c r="AU2689" s="298"/>
      <c r="AV2689" s="298"/>
      <c r="AW2689" s="298"/>
      <c r="AX2689" s="298"/>
      <c r="AY2689" s="298"/>
      <c r="AZ2689" s="298"/>
      <c r="BA2689" s="298"/>
      <c r="BB2689" s="298"/>
      <c r="BC2689" s="298"/>
      <c r="BD2689" s="298"/>
      <c r="BE2689" s="298"/>
      <c r="BF2689" s="298"/>
      <c r="BG2689" s="298"/>
      <c r="BH2689" s="298"/>
      <c r="BI2689" s="298"/>
      <c r="BJ2689" s="298"/>
      <c r="BK2689" s="298"/>
      <c r="BL2689" s="298"/>
      <c r="BM2689" s="298"/>
      <c r="BN2689" s="298"/>
      <c r="BO2689" s="298"/>
      <c r="BP2689" s="298"/>
    </row>
    <row r="2690" spans="1:68" s="529" customFormat="1" ht="25.5">
      <c r="A2690" s="286" t="s">
        <v>3259</v>
      </c>
      <c r="B2690" s="288">
        <v>90455</v>
      </c>
      <c r="C2690" s="289" t="s">
        <v>2415</v>
      </c>
      <c r="D2690" s="290" t="s">
        <v>229</v>
      </c>
      <c r="E2690" s="290" t="s">
        <v>109</v>
      </c>
      <c r="F2690" s="383">
        <v>1</v>
      </c>
      <c r="G2690" s="292" t="s">
        <v>10188</v>
      </c>
      <c r="H2690" s="255">
        <v>6.11</v>
      </c>
      <c r="I2690" s="298"/>
      <c r="J2690" s="298"/>
      <c r="K2690" s="298"/>
      <c r="L2690" s="298"/>
      <c r="M2690" s="298"/>
      <c r="N2690" s="298"/>
      <c r="O2690" s="298"/>
      <c r="P2690" s="298"/>
      <c r="Q2690" s="298"/>
      <c r="R2690" s="298"/>
      <c r="S2690" s="536"/>
      <c r="T2690" s="635"/>
      <c r="U2690" s="298"/>
      <c r="V2690" s="298"/>
      <c r="W2690" s="298"/>
      <c r="X2690" s="298"/>
      <c r="Y2690" s="298"/>
      <c r="Z2690" s="298"/>
      <c r="AA2690" s="298"/>
      <c r="AB2690" s="298"/>
      <c r="AC2690" s="298"/>
      <c r="AD2690" s="298"/>
      <c r="AE2690" s="298"/>
      <c r="AF2690" s="298"/>
      <c r="AG2690" s="298"/>
      <c r="AH2690" s="298"/>
      <c r="AI2690" s="298"/>
      <c r="AJ2690" s="298"/>
      <c r="AK2690" s="298"/>
      <c r="AL2690" s="298"/>
      <c r="AM2690" s="298"/>
      <c r="AN2690" s="298"/>
      <c r="AO2690" s="298"/>
      <c r="AP2690" s="298"/>
      <c r="AQ2690" s="298"/>
      <c r="AR2690" s="298"/>
      <c r="AS2690" s="298"/>
      <c r="AT2690" s="298"/>
      <c r="AU2690" s="298"/>
      <c r="AV2690" s="298"/>
      <c r="AW2690" s="298"/>
      <c r="AX2690" s="298"/>
      <c r="AY2690" s="298"/>
      <c r="AZ2690" s="298"/>
      <c r="BA2690" s="298"/>
      <c r="BB2690" s="298"/>
      <c r="BC2690" s="298"/>
      <c r="BD2690" s="298"/>
      <c r="BE2690" s="298"/>
      <c r="BF2690" s="298"/>
      <c r="BG2690" s="298"/>
      <c r="BH2690" s="298"/>
      <c r="BI2690" s="298"/>
      <c r="BJ2690" s="298"/>
      <c r="BK2690" s="298"/>
      <c r="BL2690" s="298"/>
      <c r="BM2690" s="298"/>
      <c r="BN2690" s="298"/>
      <c r="BO2690" s="298"/>
      <c r="BP2690" s="298"/>
    </row>
    <row r="2691" spans="1:68" s="529" customFormat="1" ht="12.75">
      <c r="A2691" s="286"/>
      <c r="B2691" s="375" t="s">
        <v>143</v>
      </c>
      <c r="C2691" s="816" t="s">
        <v>14665</v>
      </c>
      <c r="D2691" s="817"/>
      <c r="E2691" s="817"/>
      <c r="F2691" s="817"/>
      <c r="G2691" s="817"/>
      <c r="H2691" s="818"/>
      <c r="I2691" s="298"/>
      <c r="J2691" s="298"/>
      <c r="K2691" s="298"/>
      <c r="L2691" s="298"/>
      <c r="M2691" s="298"/>
      <c r="N2691" s="298"/>
      <c r="O2691" s="298"/>
      <c r="P2691" s="298"/>
      <c r="Q2691" s="298"/>
      <c r="R2691" s="298"/>
      <c r="S2691" s="536"/>
      <c r="T2691" s="635"/>
      <c r="U2691" s="298"/>
      <c r="V2691" s="298"/>
      <c r="W2691" s="298"/>
      <c r="X2691" s="298"/>
      <c r="Y2691" s="298"/>
      <c r="Z2691" s="298"/>
      <c r="AA2691" s="298"/>
      <c r="AB2691" s="298"/>
      <c r="AC2691" s="298"/>
      <c r="AD2691" s="298"/>
      <c r="AE2691" s="298"/>
      <c r="AF2691" s="298"/>
      <c r="AG2691" s="298"/>
      <c r="AH2691" s="298"/>
      <c r="AI2691" s="298"/>
      <c r="AJ2691" s="298"/>
      <c r="AK2691" s="298"/>
      <c r="AL2691" s="298"/>
      <c r="AM2691" s="298"/>
      <c r="AN2691" s="298"/>
      <c r="AO2691" s="298"/>
      <c r="AP2691" s="298"/>
      <c r="AQ2691" s="298"/>
      <c r="AR2691" s="298"/>
      <c r="AS2691" s="298"/>
      <c r="AT2691" s="298"/>
      <c r="AU2691" s="298"/>
      <c r="AV2691" s="298"/>
      <c r="AW2691" s="298"/>
      <c r="AX2691" s="298"/>
      <c r="AY2691" s="298"/>
      <c r="AZ2691" s="298"/>
      <c r="BA2691" s="298"/>
      <c r="BB2691" s="298"/>
      <c r="BC2691" s="298"/>
      <c r="BD2691" s="298"/>
      <c r="BE2691" s="298"/>
      <c r="BF2691" s="298"/>
      <c r="BG2691" s="298"/>
      <c r="BH2691" s="298"/>
      <c r="BI2691" s="298"/>
      <c r="BJ2691" s="298"/>
      <c r="BK2691" s="298"/>
      <c r="BL2691" s="298"/>
      <c r="BM2691" s="298"/>
      <c r="BN2691" s="298"/>
      <c r="BO2691" s="298"/>
      <c r="BP2691" s="298"/>
    </row>
    <row r="2692" spans="1:68" s="529" customFormat="1" ht="12.75">
      <c r="A2692" s="286"/>
      <c r="B2692" s="584"/>
      <c r="C2692" s="556"/>
      <c r="D2692" s="557"/>
      <c r="E2692" s="557"/>
      <c r="F2692" s="557"/>
      <c r="G2692" s="557"/>
      <c r="H2692" s="557"/>
      <c r="I2692" s="298"/>
      <c r="J2692" s="298"/>
      <c r="K2692" s="298"/>
      <c r="L2692" s="298"/>
      <c r="M2692" s="298"/>
      <c r="N2692" s="298"/>
      <c r="O2692" s="298"/>
      <c r="P2692" s="298"/>
      <c r="Q2692" s="298"/>
      <c r="R2692" s="298"/>
      <c r="S2692" s="536"/>
      <c r="T2692" s="635"/>
      <c r="U2692" s="298"/>
      <c r="V2692" s="298"/>
      <c r="W2692" s="298"/>
      <c r="X2692" s="298"/>
      <c r="Y2692" s="298"/>
      <c r="Z2692" s="298"/>
      <c r="AA2692" s="298"/>
      <c r="AB2692" s="298"/>
      <c r="AC2692" s="298"/>
      <c r="AD2692" s="298"/>
      <c r="AE2692" s="298"/>
      <c r="AF2692" s="298"/>
      <c r="AG2692" s="298"/>
      <c r="AH2692" s="298"/>
      <c r="AI2692" s="298"/>
      <c r="AJ2692" s="298"/>
      <c r="AK2692" s="298"/>
      <c r="AL2692" s="298"/>
      <c r="AM2692" s="298"/>
      <c r="AN2692" s="298"/>
      <c r="AO2692" s="298"/>
      <c r="AP2692" s="298"/>
      <c r="AQ2692" s="298"/>
      <c r="AR2692" s="298"/>
      <c r="AS2692" s="298"/>
      <c r="AT2692" s="298"/>
      <c r="AU2692" s="298"/>
      <c r="AV2692" s="298"/>
      <c r="AW2692" s="298"/>
      <c r="AX2692" s="298"/>
      <c r="AY2692" s="298"/>
      <c r="AZ2692" s="298"/>
      <c r="BA2692" s="298"/>
      <c r="BB2692" s="298"/>
      <c r="BC2692" s="298"/>
      <c r="BD2692" s="298"/>
      <c r="BE2692" s="298"/>
      <c r="BF2692" s="298"/>
      <c r="BG2692" s="298"/>
      <c r="BH2692" s="298"/>
      <c r="BI2692" s="298"/>
      <c r="BJ2692" s="298"/>
      <c r="BK2692" s="298"/>
      <c r="BL2692" s="298"/>
      <c r="BM2692" s="298"/>
      <c r="BN2692" s="298"/>
      <c r="BO2692" s="298"/>
      <c r="BP2692" s="298"/>
    </row>
    <row r="2693" spans="1:68" s="529" customFormat="1" ht="25.5">
      <c r="A2693" s="286"/>
      <c r="B2693" s="372" t="s">
        <v>15090</v>
      </c>
      <c r="C2693" s="231" t="s">
        <v>15150</v>
      </c>
      <c r="D2693" s="232" t="s">
        <v>103</v>
      </c>
      <c r="E2693" s="232" t="s">
        <v>3240</v>
      </c>
      <c r="F2693" s="233"/>
      <c r="G2693" s="234"/>
      <c r="H2693" s="235">
        <v>305.45000000000005</v>
      </c>
      <c r="I2693" s="298"/>
      <c r="J2693" s="298"/>
      <c r="K2693" s="298"/>
      <c r="L2693" s="298"/>
      <c r="M2693" s="298"/>
      <c r="N2693" s="298"/>
      <c r="O2693" s="298"/>
      <c r="P2693" s="298"/>
      <c r="Q2693" s="298"/>
      <c r="R2693" s="298"/>
      <c r="S2693" s="536"/>
      <c r="T2693" s="635"/>
      <c r="U2693" s="298"/>
      <c r="V2693" s="298"/>
      <c r="W2693" s="298"/>
      <c r="X2693" s="298"/>
      <c r="Y2693" s="298"/>
      <c r="Z2693" s="298"/>
      <c r="AA2693" s="298"/>
      <c r="AB2693" s="298"/>
      <c r="AC2693" s="298"/>
      <c r="AD2693" s="298"/>
      <c r="AE2693" s="298"/>
      <c r="AF2693" s="298"/>
      <c r="AG2693" s="298"/>
      <c r="AH2693" s="298"/>
      <c r="AI2693" s="298"/>
      <c r="AJ2693" s="298"/>
      <c r="AK2693" s="298"/>
      <c r="AL2693" s="298"/>
      <c r="AM2693" s="298"/>
      <c r="AN2693" s="298"/>
      <c r="AO2693" s="298"/>
      <c r="AP2693" s="298"/>
      <c r="AQ2693" s="298"/>
      <c r="AR2693" s="298"/>
      <c r="AS2693" s="298"/>
      <c r="AT2693" s="298"/>
      <c r="AU2693" s="298"/>
      <c r="AV2693" s="298"/>
      <c r="AW2693" s="298"/>
      <c r="AX2693" s="298"/>
      <c r="AY2693" s="298"/>
      <c r="AZ2693" s="298"/>
      <c r="BA2693" s="298"/>
      <c r="BB2693" s="298"/>
      <c r="BC2693" s="298"/>
      <c r="BD2693" s="298"/>
      <c r="BE2693" s="298"/>
      <c r="BF2693" s="298"/>
      <c r="BG2693" s="298"/>
      <c r="BH2693" s="298"/>
      <c r="BI2693" s="298"/>
      <c r="BJ2693" s="298"/>
      <c r="BK2693" s="298"/>
      <c r="BL2693" s="298"/>
      <c r="BM2693" s="298"/>
      <c r="BN2693" s="298"/>
      <c r="BO2693" s="298"/>
      <c r="BP2693" s="298"/>
    </row>
    <row r="2694" spans="1:68" s="529" customFormat="1" ht="12.75">
      <c r="A2694" s="286" t="s">
        <v>12</v>
      </c>
      <c r="B2694" s="288" t="s">
        <v>17911</v>
      </c>
      <c r="C2694" s="289" t="s">
        <v>17936</v>
      </c>
      <c r="D2694" s="290" t="s">
        <v>207</v>
      </c>
      <c r="E2694" s="290" t="s">
        <v>109</v>
      </c>
      <c r="F2694" s="383">
        <v>1</v>
      </c>
      <c r="G2694" s="292">
        <v>241.47</v>
      </c>
      <c r="H2694" s="255">
        <v>241.47</v>
      </c>
      <c r="I2694" s="298"/>
      <c r="J2694" s="298"/>
      <c r="K2694" s="298"/>
      <c r="L2694" s="298"/>
      <c r="M2694" s="298"/>
      <c r="N2694" s="298"/>
      <c r="O2694" s="298"/>
      <c r="P2694" s="298"/>
      <c r="Q2694" s="298"/>
      <c r="R2694" s="298"/>
      <c r="S2694" s="536"/>
      <c r="T2694" s="635"/>
      <c r="U2694" s="298"/>
      <c r="V2694" s="298"/>
      <c r="W2694" s="298"/>
      <c r="X2694" s="298"/>
      <c r="Y2694" s="298"/>
      <c r="Z2694" s="298"/>
      <c r="AA2694" s="298"/>
      <c r="AB2694" s="298"/>
      <c r="AC2694" s="298"/>
      <c r="AD2694" s="298"/>
      <c r="AE2694" s="298"/>
      <c r="AF2694" s="298"/>
      <c r="AG2694" s="298"/>
      <c r="AH2694" s="298"/>
      <c r="AI2694" s="298"/>
      <c r="AJ2694" s="298"/>
      <c r="AK2694" s="298"/>
      <c r="AL2694" s="298"/>
      <c r="AM2694" s="298"/>
      <c r="AN2694" s="298"/>
      <c r="AO2694" s="298"/>
      <c r="AP2694" s="298"/>
      <c r="AQ2694" s="298"/>
      <c r="AR2694" s="298"/>
      <c r="AS2694" s="298"/>
      <c r="AT2694" s="298"/>
      <c r="AU2694" s="298"/>
      <c r="AV2694" s="298"/>
      <c r="AW2694" s="298"/>
      <c r="AX2694" s="298"/>
      <c r="AY2694" s="298"/>
      <c r="AZ2694" s="298"/>
      <c r="BA2694" s="298"/>
      <c r="BB2694" s="298"/>
      <c r="BC2694" s="298"/>
      <c r="BD2694" s="298"/>
      <c r="BE2694" s="298"/>
      <c r="BF2694" s="298"/>
      <c r="BG2694" s="298"/>
      <c r="BH2694" s="298"/>
      <c r="BI2694" s="298"/>
      <c r="BJ2694" s="298"/>
      <c r="BK2694" s="298"/>
      <c r="BL2694" s="298"/>
      <c r="BM2694" s="298"/>
      <c r="BN2694" s="298"/>
      <c r="BO2694" s="298"/>
      <c r="BP2694" s="298"/>
    </row>
    <row r="2695" spans="1:68" s="529" customFormat="1" ht="51">
      <c r="A2695" s="286" t="s">
        <v>3259</v>
      </c>
      <c r="B2695" s="288">
        <v>87316</v>
      </c>
      <c r="C2695" s="289" t="s">
        <v>9328</v>
      </c>
      <c r="D2695" s="290" t="s">
        <v>229</v>
      </c>
      <c r="E2695" s="290" t="s">
        <v>209</v>
      </c>
      <c r="F2695" s="383">
        <v>4.4999999999999997E-3</v>
      </c>
      <c r="G2695" s="292" t="s">
        <v>24202</v>
      </c>
      <c r="H2695" s="255">
        <v>1.72</v>
      </c>
      <c r="I2695" s="298"/>
      <c r="J2695" s="298"/>
      <c r="K2695" s="298"/>
      <c r="L2695" s="298"/>
      <c r="M2695" s="298"/>
      <c r="N2695" s="298"/>
      <c r="O2695" s="298"/>
      <c r="P2695" s="298"/>
      <c r="Q2695" s="298"/>
      <c r="R2695" s="298"/>
      <c r="S2695" s="536"/>
      <c r="T2695" s="635"/>
      <c r="U2695" s="298"/>
      <c r="V2695" s="298"/>
      <c r="W2695" s="298"/>
      <c r="X2695" s="298"/>
      <c r="Y2695" s="298"/>
      <c r="Z2695" s="298"/>
      <c r="AA2695" s="298"/>
      <c r="AB2695" s="298"/>
      <c r="AC2695" s="298"/>
      <c r="AD2695" s="298"/>
      <c r="AE2695" s="298"/>
      <c r="AF2695" s="298"/>
      <c r="AG2695" s="298"/>
      <c r="AH2695" s="298"/>
      <c r="AI2695" s="298"/>
      <c r="AJ2695" s="298"/>
      <c r="AK2695" s="298"/>
      <c r="AL2695" s="298"/>
      <c r="AM2695" s="298"/>
      <c r="AN2695" s="298"/>
      <c r="AO2695" s="298"/>
      <c r="AP2695" s="298"/>
      <c r="AQ2695" s="298"/>
      <c r="AR2695" s="298"/>
      <c r="AS2695" s="298"/>
      <c r="AT2695" s="298"/>
      <c r="AU2695" s="298"/>
      <c r="AV2695" s="298"/>
      <c r="AW2695" s="298"/>
      <c r="AX2695" s="298"/>
      <c r="AY2695" s="298"/>
      <c r="AZ2695" s="298"/>
      <c r="BA2695" s="298"/>
      <c r="BB2695" s="298"/>
      <c r="BC2695" s="298"/>
      <c r="BD2695" s="298"/>
      <c r="BE2695" s="298"/>
      <c r="BF2695" s="298"/>
      <c r="BG2695" s="298"/>
      <c r="BH2695" s="298"/>
      <c r="BI2695" s="298"/>
      <c r="BJ2695" s="298"/>
      <c r="BK2695" s="298"/>
      <c r="BL2695" s="298"/>
      <c r="BM2695" s="298"/>
      <c r="BN2695" s="298"/>
      <c r="BO2695" s="298"/>
      <c r="BP2695" s="298"/>
    </row>
    <row r="2696" spans="1:68" s="529" customFormat="1" ht="25.5">
      <c r="A2696" s="286" t="s">
        <v>3259</v>
      </c>
      <c r="B2696" s="288">
        <v>88309</v>
      </c>
      <c r="C2696" s="289" t="s">
        <v>105</v>
      </c>
      <c r="D2696" s="290" t="s">
        <v>9714</v>
      </c>
      <c r="E2696" s="290" t="s">
        <v>206</v>
      </c>
      <c r="F2696" s="383">
        <v>1.5</v>
      </c>
      <c r="G2696" s="292" t="s">
        <v>11439</v>
      </c>
      <c r="H2696" s="255">
        <v>35.85</v>
      </c>
      <c r="I2696" s="298"/>
      <c r="J2696" s="298"/>
      <c r="K2696" s="298"/>
      <c r="L2696" s="298"/>
      <c r="M2696" s="298"/>
      <c r="N2696" s="298"/>
      <c r="O2696" s="298"/>
      <c r="P2696" s="298"/>
      <c r="Q2696" s="298"/>
      <c r="R2696" s="298"/>
      <c r="S2696" s="536"/>
      <c r="T2696" s="635"/>
      <c r="U2696" s="298"/>
      <c r="V2696" s="298"/>
      <c r="W2696" s="298"/>
      <c r="X2696" s="298"/>
      <c r="Y2696" s="298"/>
      <c r="Z2696" s="298"/>
      <c r="AA2696" s="298"/>
      <c r="AB2696" s="298"/>
      <c r="AC2696" s="298"/>
      <c r="AD2696" s="298"/>
      <c r="AE2696" s="298"/>
      <c r="AF2696" s="298"/>
      <c r="AG2696" s="298"/>
      <c r="AH2696" s="298"/>
      <c r="AI2696" s="298"/>
      <c r="AJ2696" s="298"/>
      <c r="AK2696" s="298"/>
      <c r="AL2696" s="298"/>
      <c r="AM2696" s="298"/>
      <c r="AN2696" s="298"/>
      <c r="AO2696" s="298"/>
      <c r="AP2696" s="298"/>
      <c r="AQ2696" s="298"/>
      <c r="AR2696" s="298"/>
      <c r="AS2696" s="298"/>
      <c r="AT2696" s="298"/>
      <c r="AU2696" s="298"/>
      <c r="AV2696" s="298"/>
      <c r="AW2696" s="298"/>
      <c r="AX2696" s="298"/>
      <c r="AY2696" s="298"/>
      <c r="AZ2696" s="298"/>
      <c r="BA2696" s="298"/>
      <c r="BB2696" s="298"/>
      <c r="BC2696" s="298"/>
      <c r="BD2696" s="298"/>
      <c r="BE2696" s="298"/>
      <c r="BF2696" s="298"/>
      <c r="BG2696" s="298"/>
      <c r="BH2696" s="298"/>
      <c r="BI2696" s="298"/>
      <c r="BJ2696" s="298"/>
      <c r="BK2696" s="298"/>
      <c r="BL2696" s="298"/>
      <c r="BM2696" s="298"/>
      <c r="BN2696" s="298"/>
      <c r="BO2696" s="298"/>
      <c r="BP2696" s="298"/>
    </row>
    <row r="2697" spans="1:68" s="529" customFormat="1" ht="25.5">
      <c r="A2697" s="286" t="s">
        <v>3259</v>
      </c>
      <c r="B2697" s="288">
        <v>88316</v>
      </c>
      <c r="C2697" s="289" t="s">
        <v>104</v>
      </c>
      <c r="D2697" s="290" t="s">
        <v>9714</v>
      </c>
      <c r="E2697" s="290" t="s">
        <v>206</v>
      </c>
      <c r="F2697" s="383">
        <v>1.5</v>
      </c>
      <c r="G2697" s="292" t="s">
        <v>10172</v>
      </c>
      <c r="H2697" s="255">
        <v>26.41</v>
      </c>
      <c r="I2697" s="298"/>
      <c r="J2697" s="298"/>
      <c r="K2697" s="298"/>
      <c r="L2697" s="298"/>
      <c r="M2697" s="298"/>
      <c r="N2697" s="298"/>
      <c r="O2697" s="298"/>
      <c r="P2697" s="298"/>
      <c r="Q2697" s="298"/>
      <c r="R2697" s="298"/>
      <c r="S2697" s="536"/>
      <c r="T2697" s="635"/>
      <c r="U2697" s="298"/>
      <c r="V2697" s="298"/>
      <c r="W2697" s="298"/>
      <c r="X2697" s="298"/>
      <c r="Y2697" s="298"/>
      <c r="Z2697" s="298"/>
      <c r="AA2697" s="298"/>
      <c r="AB2697" s="298"/>
      <c r="AC2697" s="298"/>
      <c r="AD2697" s="298"/>
      <c r="AE2697" s="298"/>
      <c r="AF2697" s="298"/>
      <c r="AG2697" s="298"/>
      <c r="AH2697" s="298"/>
      <c r="AI2697" s="298"/>
      <c r="AJ2697" s="298"/>
      <c r="AK2697" s="298"/>
      <c r="AL2697" s="298"/>
      <c r="AM2697" s="298"/>
      <c r="AN2697" s="298"/>
      <c r="AO2697" s="298"/>
      <c r="AP2697" s="298"/>
      <c r="AQ2697" s="298"/>
      <c r="AR2697" s="298"/>
      <c r="AS2697" s="298"/>
      <c r="AT2697" s="298"/>
      <c r="AU2697" s="298"/>
      <c r="AV2697" s="298"/>
      <c r="AW2697" s="298"/>
      <c r="AX2697" s="298"/>
      <c r="AY2697" s="298"/>
      <c r="AZ2697" s="298"/>
      <c r="BA2697" s="298"/>
      <c r="BB2697" s="298"/>
      <c r="BC2697" s="298"/>
      <c r="BD2697" s="298"/>
      <c r="BE2697" s="298"/>
      <c r="BF2697" s="298"/>
      <c r="BG2697" s="298"/>
      <c r="BH2697" s="298"/>
      <c r="BI2697" s="298"/>
      <c r="BJ2697" s="298"/>
      <c r="BK2697" s="298"/>
      <c r="BL2697" s="298"/>
      <c r="BM2697" s="298"/>
      <c r="BN2697" s="298"/>
      <c r="BO2697" s="298"/>
      <c r="BP2697" s="298"/>
    </row>
    <row r="2698" spans="1:68" s="529" customFormat="1" ht="12.75">
      <c r="A2698" s="286"/>
      <c r="B2698" s="375" t="s">
        <v>143</v>
      </c>
      <c r="C2698" s="585" t="s">
        <v>14694</v>
      </c>
      <c r="D2698" s="385"/>
      <c r="E2698" s="385"/>
      <c r="F2698" s="385"/>
      <c r="G2698" s="385"/>
      <c r="H2698" s="641"/>
      <c r="I2698" s="298"/>
      <c r="J2698" s="298"/>
      <c r="K2698" s="298"/>
      <c r="L2698" s="298"/>
      <c r="M2698" s="298"/>
      <c r="N2698" s="298"/>
      <c r="O2698" s="298"/>
      <c r="P2698" s="298"/>
      <c r="Q2698" s="298"/>
      <c r="R2698" s="298"/>
      <c r="S2698" s="536"/>
      <c r="T2698" s="635"/>
      <c r="U2698" s="298"/>
      <c r="V2698" s="298"/>
      <c r="W2698" s="298"/>
      <c r="X2698" s="298"/>
      <c r="Y2698" s="298"/>
      <c r="Z2698" s="298"/>
      <c r="AA2698" s="298"/>
      <c r="AB2698" s="298"/>
      <c r="AC2698" s="298"/>
      <c r="AD2698" s="298"/>
      <c r="AE2698" s="298"/>
      <c r="AF2698" s="298"/>
      <c r="AG2698" s="298"/>
      <c r="AH2698" s="298"/>
      <c r="AI2698" s="298"/>
      <c r="AJ2698" s="298"/>
      <c r="AK2698" s="298"/>
      <c r="AL2698" s="298"/>
      <c r="AM2698" s="298"/>
      <c r="AN2698" s="298"/>
      <c r="AO2698" s="298"/>
      <c r="AP2698" s="298"/>
      <c r="AQ2698" s="298"/>
      <c r="AR2698" s="298"/>
      <c r="AS2698" s="298"/>
      <c r="AT2698" s="298"/>
      <c r="AU2698" s="298"/>
      <c r="AV2698" s="298"/>
      <c r="AW2698" s="298"/>
      <c r="AX2698" s="298"/>
      <c r="AY2698" s="298"/>
      <c r="AZ2698" s="298"/>
      <c r="BA2698" s="298"/>
      <c r="BB2698" s="298"/>
      <c r="BC2698" s="298"/>
      <c r="BD2698" s="298"/>
      <c r="BE2698" s="298"/>
      <c r="BF2698" s="298"/>
      <c r="BG2698" s="298"/>
      <c r="BH2698" s="298"/>
      <c r="BI2698" s="298"/>
      <c r="BJ2698" s="298"/>
      <c r="BK2698" s="298"/>
      <c r="BL2698" s="298"/>
      <c r="BM2698" s="298"/>
      <c r="BN2698" s="298"/>
      <c r="BO2698" s="298"/>
      <c r="BP2698" s="298"/>
    </row>
    <row r="2699" spans="1:68" s="529" customFormat="1" ht="12.75">
      <c r="A2699" s="286"/>
      <c r="B2699" s="373"/>
      <c r="C2699" s="379"/>
      <c r="D2699" s="379"/>
      <c r="E2699" s="379"/>
      <c r="F2699" s="379"/>
      <c r="G2699" s="379"/>
      <c r="H2699" s="379"/>
      <c r="I2699" s="298"/>
      <c r="J2699" s="298"/>
      <c r="K2699" s="536"/>
      <c r="L2699" s="536"/>
      <c r="M2699" s="298"/>
      <c r="N2699" s="298"/>
      <c r="O2699" s="298"/>
      <c r="P2699" s="298"/>
      <c r="Q2699" s="298"/>
      <c r="R2699" s="298"/>
      <c r="S2699" s="536"/>
      <c r="T2699" s="635"/>
      <c r="U2699" s="298"/>
      <c r="V2699" s="298"/>
      <c r="W2699" s="298"/>
      <c r="X2699" s="298"/>
      <c r="Y2699" s="298"/>
      <c r="Z2699" s="298"/>
      <c r="AA2699" s="298"/>
      <c r="AB2699" s="298"/>
      <c r="AC2699" s="298"/>
      <c r="AD2699" s="298"/>
      <c r="AE2699" s="298"/>
      <c r="AF2699" s="298"/>
      <c r="AG2699" s="298"/>
      <c r="AH2699" s="298"/>
      <c r="AI2699" s="298"/>
      <c r="AJ2699" s="298"/>
      <c r="AK2699" s="298"/>
      <c r="AL2699" s="298"/>
      <c r="AM2699" s="298"/>
      <c r="AN2699" s="298"/>
      <c r="AO2699" s="298"/>
      <c r="AP2699" s="298"/>
      <c r="AQ2699" s="298"/>
      <c r="AR2699" s="298"/>
      <c r="AS2699" s="298"/>
      <c r="AT2699" s="298"/>
      <c r="AU2699" s="298"/>
      <c r="AV2699" s="298"/>
      <c r="AW2699" s="298"/>
      <c r="AX2699" s="298"/>
      <c r="AY2699" s="298"/>
      <c r="AZ2699" s="298"/>
      <c r="BA2699" s="298"/>
      <c r="BB2699" s="298"/>
      <c r="BC2699" s="298"/>
      <c r="BD2699" s="298"/>
      <c r="BE2699" s="298"/>
      <c r="BF2699" s="298"/>
      <c r="BG2699" s="298"/>
      <c r="BH2699" s="298"/>
      <c r="BI2699" s="298"/>
      <c r="BJ2699" s="298"/>
      <c r="BK2699" s="298"/>
      <c r="BL2699" s="298"/>
      <c r="BM2699" s="298"/>
      <c r="BN2699" s="298"/>
      <c r="BO2699" s="298"/>
      <c r="BP2699" s="298"/>
    </row>
    <row r="2700" spans="1:68" s="529" customFormat="1" ht="12.75">
      <c r="A2700" s="286"/>
      <c r="B2700" s="372" t="s">
        <v>15093</v>
      </c>
      <c r="C2700" s="231" t="s">
        <v>14699</v>
      </c>
      <c r="D2700" s="232" t="s">
        <v>103</v>
      </c>
      <c r="E2700" s="232" t="s">
        <v>3241</v>
      </c>
      <c r="F2700" s="233"/>
      <c r="G2700" s="234"/>
      <c r="H2700" s="235">
        <v>165.58999999999997</v>
      </c>
      <c r="I2700" s="298"/>
      <c r="J2700" s="634"/>
      <c r="K2700" s="634"/>
      <c r="L2700" s="634"/>
      <c r="M2700" s="634"/>
      <c r="N2700" s="298"/>
      <c r="O2700" s="298"/>
      <c r="P2700" s="298"/>
      <c r="Q2700" s="298"/>
      <c r="R2700" s="298"/>
      <c r="S2700" s="536"/>
      <c r="T2700" s="635"/>
      <c r="U2700" s="298"/>
      <c r="V2700" s="298"/>
      <c r="W2700" s="298"/>
      <c r="X2700" s="298"/>
      <c r="Y2700" s="298"/>
      <c r="Z2700" s="298"/>
      <c r="AA2700" s="298"/>
      <c r="AB2700" s="298"/>
      <c r="AC2700" s="298"/>
      <c r="AD2700" s="298"/>
      <c r="AE2700" s="298"/>
      <c r="AF2700" s="298"/>
      <c r="AG2700" s="298"/>
      <c r="AH2700" s="298"/>
      <c r="AI2700" s="298"/>
      <c r="AJ2700" s="298"/>
      <c r="AK2700" s="298"/>
      <c r="AL2700" s="298"/>
      <c r="AM2700" s="298"/>
      <c r="AN2700" s="298"/>
      <c r="AO2700" s="298"/>
      <c r="AP2700" s="298"/>
      <c r="AQ2700" s="298"/>
      <c r="AR2700" s="298"/>
      <c r="AS2700" s="298"/>
      <c r="AT2700" s="298"/>
      <c r="AU2700" s="298"/>
      <c r="AV2700" s="298"/>
      <c r="AW2700" s="298"/>
      <c r="AX2700" s="298"/>
      <c r="AY2700" s="298"/>
      <c r="AZ2700" s="298"/>
      <c r="BA2700" s="298"/>
      <c r="BB2700" s="298"/>
      <c r="BC2700" s="298"/>
      <c r="BD2700" s="298"/>
      <c r="BE2700" s="298"/>
      <c r="BF2700" s="298"/>
      <c r="BG2700" s="298"/>
      <c r="BH2700" s="298"/>
      <c r="BI2700" s="298"/>
      <c r="BJ2700" s="298"/>
      <c r="BK2700" s="298"/>
      <c r="BL2700" s="298"/>
      <c r="BM2700" s="298"/>
      <c r="BN2700" s="298"/>
      <c r="BO2700" s="298"/>
      <c r="BP2700" s="298"/>
    </row>
    <row r="2701" spans="1:68" s="529" customFormat="1" ht="25.5">
      <c r="A2701" s="286" t="s">
        <v>3259</v>
      </c>
      <c r="B2701" s="288">
        <v>88316</v>
      </c>
      <c r="C2701" s="289" t="s">
        <v>104</v>
      </c>
      <c r="D2701" s="290" t="s">
        <v>9714</v>
      </c>
      <c r="E2701" s="290" t="s">
        <v>206</v>
      </c>
      <c r="F2701" s="383">
        <v>1.3</v>
      </c>
      <c r="G2701" s="292" t="s">
        <v>10172</v>
      </c>
      <c r="H2701" s="255">
        <v>22.89</v>
      </c>
      <c r="I2701" s="298"/>
      <c r="J2701" s="298"/>
      <c r="K2701" s="298"/>
      <c r="L2701" s="298"/>
      <c r="M2701" s="298"/>
      <c r="N2701" s="298"/>
      <c r="O2701" s="298"/>
      <c r="P2701" s="298"/>
      <c r="Q2701" s="298"/>
      <c r="R2701" s="298"/>
      <c r="S2701" s="536"/>
      <c r="T2701" s="635"/>
      <c r="U2701" s="298"/>
      <c r="V2701" s="298"/>
      <c r="W2701" s="298"/>
      <c r="X2701" s="298"/>
      <c r="Y2701" s="298"/>
      <c r="Z2701" s="298"/>
      <c r="AA2701" s="298"/>
      <c r="AB2701" s="298"/>
      <c r="AC2701" s="298"/>
      <c r="AD2701" s="298"/>
      <c r="AE2701" s="298"/>
      <c r="AF2701" s="298"/>
      <c r="AG2701" s="298"/>
      <c r="AH2701" s="298"/>
      <c r="AI2701" s="298"/>
      <c r="AJ2701" s="298"/>
      <c r="AK2701" s="298"/>
      <c r="AL2701" s="298"/>
      <c r="AM2701" s="298"/>
      <c r="AN2701" s="298"/>
      <c r="AO2701" s="298"/>
      <c r="AP2701" s="298"/>
      <c r="AQ2701" s="298"/>
      <c r="AR2701" s="298"/>
      <c r="AS2701" s="298"/>
      <c r="AT2701" s="298"/>
      <c r="AU2701" s="298"/>
      <c r="AV2701" s="298"/>
      <c r="AW2701" s="298"/>
      <c r="AX2701" s="298"/>
      <c r="AY2701" s="298"/>
      <c r="AZ2701" s="298"/>
      <c r="BA2701" s="298"/>
      <c r="BB2701" s="298"/>
      <c r="BC2701" s="298"/>
      <c r="BD2701" s="298"/>
      <c r="BE2701" s="298"/>
      <c r="BF2701" s="298"/>
      <c r="BG2701" s="298"/>
      <c r="BH2701" s="298"/>
      <c r="BI2701" s="298"/>
      <c r="BJ2701" s="298"/>
      <c r="BK2701" s="298"/>
      <c r="BL2701" s="298"/>
      <c r="BM2701" s="298"/>
      <c r="BN2701" s="298"/>
      <c r="BO2701" s="298"/>
      <c r="BP2701" s="298"/>
    </row>
    <row r="2702" spans="1:68" s="529" customFormat="1" ht="38.25">
      <c r="A2702" s="286" t="s">
        <v>3261</v>
      </c>
      <c r="B2702" s="288">
        <v>367</v>
      </c>
      <c r="C2702" s="289" t="s">
        <v>4814</v>
      </c>
      <c r="D2702" s="290" t="s">
        <v>207</v>
      </c>
      <c r="E2702" s="290" t="s">
        <v>3241</v>
      </c>
      <c r="F2702" s="383">
        <v>1.1499999999999999</v>
      </c>
      <c r="G2702" s="292" t="s">
        <v>18930</v>
      </c>
      <c r="H2702" s="255">
        <v>142.69999999999999</v>
      </c>
      <c r="I2702" s="298"/>
      <c r="J2702" s="298"/>
      <c r="K2702" s="298"/>
      <c r="L2702" s="298"/>
      <c r="M2702" s="298"/>
      <c r="N2702" s="298"/>
      <c r="O2702" s="298"/>
      <c r="P2702" s="298"/>
      <c r="Q2702" s="298"/>
      <c r="R2702" s="298"/>
      <c r="S2702" s="536"/>
      <c r="T2702" s="635"/>
      <c r="U2702" s="298"/>
      <c r="V2702" s="298"/>
      <c r="W2702" s="298"/>
      <c r="X2702" s="298"/>
      <c r="Y2702" s="298"/>
      <c r="Z2702" s="298"/>
      <c r="AA2702" s="298"/>
      <c r="AB2702" s="298"/>
      <c r="AC2702" s="298"/>
      <c r="AD2702" s="298"/>
      <c r="AE2702" s="298"/>
      <c r="AF2702" s="298"/>
      <c r="AG2702" s="298"/>
      <c r="AH2702" s="298"/>
      <c r="AI2702" s="298"/>
      <c r="AJ2702" s="298"/>
      <c r="AK2702" s="298"/>
      <c r="AL2702" s="298"/>
      <c r="AM2702" s="298"/>
      <c r="AN2702" s="298"/>
      <c r="AO2702" s="298"/>
      <c r="AP2702" s="298"/>
      <c r="AQ2702" s="298"/>
      <c r="AR2702" s="298"/>
      <c r="AS2702" s="298"/>
      <c r="AT2702" s="298"/>
      <c r="AU2702" s="298"/>
      <c r="AV2702" s="298"/>
      <c r="AW2702" s="298"/>
      <c r="AX2702" s="298"/>
      <c r="AY2702" s="298"/>
      <c r="AZ2702" s="298"/>
      <c r="BA2702" s="298"/>
      <c r="BB2702" s="298"/>
      <c r="BC2702" s="298"/>
      <c r="BD2702" s="298"/>
      <c r="BE2702" s="298"/>
      <c r="BF2702" s="298"/>
      <c r="BG2702" s="298"/>
      <c r="BH2702" s="298"/>
      <c r="BI2702" s="298"/>
      <c r="BJ2702" s="298"/>
      <c r="BK2702" s="298"/>
      <c r="BL2702" s="298"/>
      <c r="BM2702" s="298"/>
      <c r="BN2702" s="298"/>
      <c r="BO2702" s="298"/>
      <c r="BP2702" s="298"/>
    </row>
    <row r="2703" spans="1:68" s="529" customFormat="1" ht="12.75">
      <c r="A2703" s="286"/>
      <c r="B2703" s="375" t="s">
        <v>143</v>
      </c>
      <c r="C2703" s="585" t="s">
        <v>14698</v>
      </c>
      <c r="D2703" s="385"/>
      <c r="E2703" s="385"/>
      <c r="F2703" s="385"/>
      <c r="G2703" s="385"/>
      <c r="H2703" s="641"/>
      <c r="I2703" s="298"/>
      <c r="J2703" s="298"/>
      <c r="K2703" s="298"/>
      <c r="L2703" s="298"/>
      <c r="M2703" s="298"/>
      <c r="N2703" s="298"/>
      <c r="O2703" s="298"/>
      <c r="P2703" s="298"/>
      <c r="Q2703" s="298"/>
      <c r="R2703" s="298"/>
      <c r="S2703" s="536"/>
      <c r="T2703" s="635"/>
      <c r="U2703" s="298"/>
      <c r="V2703" s="298"/>
      <c r="W2703" s="298"/>
      <c r="X2703" s="298"/>
      <c r="Y2703" s="298"/>
      <c r="Z2703" s="298"/>
      <c r="AA2703" s="298"/>
      <c r="AB2703" s="298"/>
      <c r="AC2703" s="298"/>
      <c r="AD2703" s="298"/>
      <c r="AE2703" s="298"/>
      <c r="AF2703" s="298"/>
      <c r="AG2703" s="298"/>
      <c r="AH2703" s="298"/>
      <c r="AI2703" s="298"/>
      <c r="AJ2703" s="298"/>
      <c r="AK2703" s="298"/>
      <c r="AL2703" s="298"/>
      <c r="AM2703" s="298"/>
      <c r="AN2703" s="298"/>
      <c r="AO2703" s="298"/>
      <c r="AP2703" s="298"/>
      <c r="AQ2703" s="298"/>
      <c r="AR2703" s="298"/>
      <c r="AS2703" s="298"/>
      <c r="AT2703" s="298"/>
      <c r="AU2703" s="298"/>
      <c r="AV2703" s="298"/>
      <c r="AW2703" s="298"/>
      <c r="AX2703" s="298"/>
      <c r="AY2703" s="298"/>
      <c r="AZ2703" s="298"/>
      <c r="BA2703" s="298"/>
      <c r="BB2703" s="298"/>
      <c r="BC2703" s="298"/>
      <c r="BD2703" s="298"/>
      <c r="BE2703" s="298"/>
      <c r="BF2703" s="298"/>
      <c r="BG2703" s="298"/>
      <c r="BH2703" s="298"/>
      <c r="BI2703" s="298"/>
      <c r="BJ2703" s="298"/>
      <c r="BK2703" s="298"/>
      <c r="BL2703" s="298"/>
      <c r="BM2703" s="298"/>
      <c r="BN2703" s="298"/>
      <c r="BO2703" s="298"/>
      <c r="BP2703" s="298"/>
    </row>
    <row r="2704" spans="1:68" s="529" customFormat="1" ht="12.75">
      <c r="A2704" s="286"/>
      <c r="B2704" s="373"/>
      <c r="C2704" s="379"/>
      <c r="D2704" s="379"/>
      <c r="E2704" s="379"/>
      <c r="F2704" s="379"/>
      <c r="G2704" s="379"/>
      <c r="H2704" s="379"/>
      <c r="I2704" s="298"/>
      <c r="J2704" s="298"/>
      <c r="K2704" s="536"/>
      <c r="L2704" s="536"/>
      <c r="M2704" s="298"/>
      <c r="N2704" s="298"/>
      <c r="O2704" s="298"/>
      <c r="P2704" s="298"/>
      <c r="Q2704" s="298"/>
      <c r="R2704" s="298"/>
      <c r="S2704" s="536"/>
      <c r="T2704" s="635"/>
      <c r="U2704" s="298"/>
      <c r="V2704" s="298"/>
      <c r="W2704" s="298"/>
      <c r="X2704" s="298"/>
      <c r="Y2704" s="298"/>
      <c r="Z2704" s="298"/>
      <c r="AA2704" s="298"/>
      <c r="AB2704" s="298"/>
      <c r="AC2704" s="298"/>
      <c r="AD2704" s="298"/>
      <c r="AE2704" s="298"/>
      <c r="AF2704" s="298"/>
      <c r="AG2704" s="298"/>
      <c r="AH2704" s="298"/>
      <c r="AI2704" s="298"/>
      <c r="AJ2704" s="298"/>
      <c r="AK2704" s="298"/>
      <c r="AL2704" s="298"/>
      <c r="AM2704" s="298"/>
      <c r="AN2704" s="298"/>
      <c r="AO2704" s="298"/>
      <c r="AP2704" s="298"/>
      <c r="AQ2704" s="298"/>
      <c r="AR2704" s="298"/>
      <c r="AS2704" s="298"/>
      <c r="AT2704" s="298"/>
      <c r="AU2704" s="298"/>
      <c r="AV2704" s="298"/>
      <c r="AW2704" s="298"/>
      <c r="AX2704" s="298"/>
      <c r="AY2704" s="298"/>
      <c r="AZ2704" s="298"/>
      <c r="BA2704" s="298"/>
      <c r="BB2704" s="298"/>
      <c r="BC2704" s="298"/>
      <c r="BD2704" s="298"/>
      <c r="BE2704" s="298"/>
      <c r="BF2704" s="298"/>
      <c r="BG2704" s="298"/>
      <c r="BH2704" s="298"/>
      <c r="BI2704" s="298"/>
      <c r="BJ2704" s="298"/>
      <c r="BK2704" s="298"/>
      <c r="BL2704" s="298"/>
      <c r="BM2704" s="298"/>
      <c r="BN2704" s="298"/>
      <c r="BO2704" s="298"/>
      <c r="BP2704" s="298"/>
    </row>
    <row r="2705" spans="1:68" s="529" customFormat="1" ht="63.75">
      <c r="A2705" s="286"/>
      <c r="B2705" s="372" t="s">
        <v>15108</v>
      </c>
      <c r="C2705" s="231" t="s">
        <v>15066</v>
      </c>
      <c r="D2705" s="232" t="s">
        <v>103</v>
      </c>
      <c r="E2705" s="232" t="s">
        <v>3243</v>
      </c>
      <c r="F2705" s="233"/>
      <c r="G2705" s="234"/>
      <c r="H2705" s="235">
        <v>50.68</v>
      </c>
      <c r="I2705" s="298"/>
      <c r="J2705" s="634"/>
      <c r="K2705" s="634"/>
      <c r="L2705" s="634"/>
      <c r="M2705" s="634"/>
      <c r="N2705" s="298"/>
      <c r="O2705" s="298"/>
      <c r="P2705" s="298"/>
      <c r="Q2705" s="298"/>
      <c r="R2705" s="298"/>
      <c r="S2705" s="536"/>
      <c r="T2705" s="635"/>
      <c r="U2705" s="298"/>
      <c r="V2705" s="298"/>
      <c r="W2705" s="298"/>
      <c r="X2705" s="298"/>
      <c r="Y2705" s="298"/>
      <c r="Z2705" s="298"/>
      <c r="AA2705" s="298"/>
      <c r="AB2705" s="298"/>
      <c r="AC2705" s="298"/>
      <c r="AD2705" s="298"/>
      <c r="AE2705" s="298"/>
      <c r="AF2705" s="298"/>
      <c r="AG2705" s="298"/>
      <c r="AH2705" s="298"/>
      <c r="AI2705" s="298"/>
      <c r="AJ2705" s="298"/>
      <c r="AK2705" s="298"/>
      <c r="AL2705" s="298"/>
      <c r="AM2705" s="298"/>
      <c r="AN2705" s="298"/>
      <c r="AO2705" s="298"/>
      <c r="AP2705" s="298"/>
      <c r="AQ2705" s="298"/>
      <c r="AR2705" s="298"/>
      <c r="AS2705" s="298"/>
      <c r="AT2705" s="298"/>
      <c r="AU2705" s="298"/>
      <c r="AV2705" s="298"/>
      <c r="AW2705" s="298"/>
      <c r="AX2705" s="298"/>
      <c r="AY2705" s="298"/>
      <c r="AZ2705" s="298"/>
      <c r="BA2705" s="298"/>
      <c r="BB2705" s="298"/>
      <c r="BC2705" s="298"/>
      <c r="BD2705" s="298"/>
      <c r="BE2705" s="298"/>
      <c r="BF2705" s="298"/>
      <c r="BG2705" s="298"/>
      <c r="BH2705" s="298"/>
      <c r="BI2705" s="298"/>
      <c r="BJ2705" s="298"/>
      <c r="BK2705" s="298"/>
      <c r="BL2705" s="298"/>
      <c r="BM2705" s="298"/>
      <c r="BN2705" s="298"/>
      <c r="BO2705" s="298"/>
      <c r="BP2705" s="298"/>
    </row>
    <row r="2706" spans="1:68" s="529" customFormat="1" ht="38.25">
      <c r="A2706" s="286" t="s">
        <v>3261</v>
      </c>
      <c r="B2706" s="288">
        <v>40626</v>
      </c>
      <c r="C2706" s="289" t="s">
        <v>8600</v>
      </c>
      <c r="D2706" s="290" t="s">
        <v>207</v>
      </c>
      <c r="E2706" s="290" t="s">
        <v>3243</v>
      </c>
      <c r="F2706" s="383">
        <v>1.0389999999999999</v>
      </c>
      <c r="G2706" s="292" t="s">
        <v>20957</v>
      </c>
      <c r="H2706" s="255">
        <v>43.94</v>
      </c>
      <c r="I2706" s="298"/>
      <c r="J2706" s="298"/>
      <c r="K2706" s="298">
        <v>32</v>
      </c>
      <c r="L2706" s="298">
        <v>40</v>
      </c>
      <c r="M2706" s="298"/>
      <c r="N2706" s="298"/>
      <c r="O2706" s="298"/>
      <c r="P2706" s="298"/>
      <c r="Q2706" s="298"/>
      <c r="R2706" s="298"/>
      <c r="S2706" s="536"/>
      <c r="T2706" s="635"/>
      <c r="U2706" s="298"/>
      <c r="V2706" s="298"/>
      <c r="W2706" s="298"/>
      <c r="X2706" s="298"/>
      <c r="Y2706" s="298"/>
      <c r="Z2706" s="298"/>
      <c r="AA2706" s="298"/>
      <c r="AB2706" s="298"/>
      <c r="AC2706" s="298"/>
      <c r="AD2706" s="298"/>
      <c r="AE2706" s="298"/>
      <c r="AF2706" s="298"/>
      <c r="AG2706" s="298"/>
      <c r="AH2706" s="298"/>
      <c r="AI2706" s="298"/>
      <c r="AJ2706" s="298"/>
      <c r="AK2706" s="298"/>
      <c r="AL2706" s="298"/>
      <c r="AM2706" s="298"/>
      <c r="AN2706" s="298"/>
      <c r="AO2706" s="298"/>
      <c r="AP2706" s="298"/>
      <c r="AQ2706" s="298"/>
      <c r="AR2706" s="298"/>
      <c r="AS2706" s="298"/>
      <c r="AT2706" s="298"/>
      <c r="AU2706" s="298"/>
      <c r="AV2706" s="298"/>
      <c r="AW2706" s="298"/>
      <c r="AX2706" s="298"/>
      <c r="AY2706" s="298"/>
      <c r="AZ2706" s="298"/>
      <c r="BA2706" s="298"/>
      <c r="BB2706" s="298"/>
      <c r="BC2706" s="298"/>
      <c r="BD2706" s="298"/>
      <c r="BE2706" s="298"/>
      <c r="BF2706" s="298"/>
      <c r="BG2706" s="298"/>
      <c r="BH2706" s="298"/>
      <c r="BI2706" s="298"/>
      <c r="BJ2706" s="298"/>
      <c r="BK2706" s="298"/>
      <c r="BL2706" s="298"/>
      <c r="BM2706" s="298"/>
      <c r="BN2706" s="298"/>
      <c r="BO2706" s="298"/>
      <c r="BP2706" s="298"/>
    </row>
    <row r="2707" spans="1:68" s="529" customFormat="1" ht="38.25">
      <c r="A2707" s="286" t="s">
        <v>3259</v>
      </c>
      <c r="B2707" s="288">
        <v>88248</v>
      </c>
      <c r="C2707" s="289" t="s">
        <v>106</v>
      </c>
      <c r="D2707" s="290" t="s">
        <v>9714</v>
      </c>
      <c r="E2707" s="290" t="s">
        <v>206</v>
      </c>
      <c r="F2707" s="383">
        <v>0.16199999999999998</v>
      </c>
      <c r="G2707" s="292" t="s">
        <v>10175</v>
      </c>
      <c r="H2707" s="255">
        <v>2.95</v>
      </c>
      <c r="I2707" s="298"/>
      <c r="J2707" s="298"/>
      <c r="K2707" s="283">
        <v>1.0389999999999999</v>
      </c>
      <c r="L2707" s="284">
        <v>1.0389999999999999</v>
      </c>
      <c r="M2707" s="298"/>
      <c r="N2707" s="298"/>
      <c r="O2707" s="298"/>
      <c r="P2707" s="298"/>
      <c r="Q2707" s="298"/>
      <c r="R2707" s="298"/>
      <c r="S2707" s="536"/>
      <c r="T2707" s="635"/>
      <c r="U2707" s="298"/>
      <c r="V2707" s="298"/>
      <c r="W2707" s="298"/>
      <c r="X2707" s="298"/>
      <c r="Y2707" s="298"/>
      <c r="Z2707" s="298"/>
      <c r="AA2707" s="298"/>
      <c r="AB2707" s="298"/>
      <c r="AC2707" s="298"/>
      <c r="AD2707" s="298"/>
      <c r="AE2707" s="298"/>
      <c r="AF2707" s="298"/>
      <c r="AG2707" s="298"/>
      <c r="AH2707" s="298"/>
      <c r="AI2707" s="298"/>
      <c r="AJ2707" s="298"/>
      <c r="AK2707" s="298"/>
      <c r="AL2707" s="298"/>
      <c r="AM2707" s="298"/>
      <c r="AN2707" s="298"/>
      <c r="AO2707" s="298"/>
      <c r="AP2707" s="298"/>
      <c r="AQ2707" s="298"/>
      <c r="AR2707" s="298"/>
      <c r="AS2707" s="298"/>
      <c r="AT2707" s="298"/>
      <c r="AU2707" s="298"/>
      <c r="AV2707" s="298"/>
      <c r="AW2707" s="298"/>
      <c r="AX2707" s="298"/>
      <c r="AY2707" s="298"/>
      <c r="AZ2707" s="298"/>
      <c r="BA2707" s="298"/>
      <c r="BB2707" s="298"/>
      <c r="BC2707" s="298"/>
      <c r="BD2707" s="298"/>
      <c r="BE2707" s="298"/>
      <c r="BF2707" s="298"/>
      <c r="BG2707" s="298"/>
      <c r="BH2707" s="298"/>
      <c r="BI2707" s="298"/>
      <c r="BJ2707" s="298"/>
      <c r="BK2707" s="298"/>
      <c r="BL2707" s="298"/>
      <c r="BM2707" s="298"/>
      <c r="BN2707" s="298"/>
      <c r="BO2707" s="298"/>
      <c r="BP2707" s="298"/>
    </row>
    <row r="2708" spans="1:68" s="529" customFormat="1" ht="25.5">
      <c r="A2708" s="286" t="s">
        <v>3259</v>
      </c>
      <c r="B2708" s="288">
        <v>88267</v>
      </c>
      <c r="C2708" s="289" t="s">
        <v>107</v>
      </c>
      <c r="D2708" s="290" t="s">
        <v>9714</v>
      </c>
      <c r="E2708" s="290" t="s">
        <v>206</v>
      </c>
      <c r="F2708" s="383">
        <v>0.16199999999999998</v>
      </c>
      <c r="G2708" s="292" t="s">
        <v>10792</v>
      </c>
      <c r="H2708" s="255">
        <v>3.79</v>
      </c>
      <c r="I2708" s="298"/>
      <c r="J2708" s="298"/>
      <c r="K2708" s="283">
        <v>0.17799999999999999</v>
      </c>
      <c r="L2708" s="284">
        <v>0.19400000000000001</v>
      </c>
      <c r="M2708" s="298"/>
      <c r="N2708" s="298"/>
      <c r="O2708" s="298"/>
      <c r="P2708" s="298"/>
      <c r="Q2708" s="298"/>
      <c r="R2708" s="298"/>
      <c r="S2708" s="536"/>
      <c r="T2708" s="635"/>
      <c r="U2708" s="298"/>
      <c r="V2708" s="298"/>
      <c r="W2708" s="298"/>
      <c r="X2708" s="298"/>
      <c r="Y2708" s="298"/>
      <c r="Z2708" s="298"/>
      <c r="AA2708" s="298"/>
      <c r="AB2708" s="298"/>
      <c r="AC2708" s="298"/>
      <c r="AD2708" s="298"/>
      <c r="AE2708" s="298"/>
      <c r="AF2708" s="298"/>
      <c r="AG2708" s="298"/>
      <c r="AH2708" s="298"/>
      <c r="AI2708" s="298"/>
      <c r="AJ2708" s="298"/>
      <c r="AK2708" s="298"/>
      <c r="AL2708" s="298"/>
      <c r="AM2708" s="298"/>
      <c r="AN2708" s="298"/>
      <c r="AO2708" s="298"/>
      <c r="AP2708" s="298"/>
      <c r="AQ2708" s="298"/>
      <c r="AR2708" s="298"/>
      <c r="AS2708" s="298"/>
      <c r="AT2708" s="298"/>
      <c r="AU2708" s="298"/>
      <c r="AV2708" s="298"/>
      <c r="AW2708" s="298"/>
      <c r="AX2708" s="298"/>
      <c r="AY2708" s="298"/>
      <c r="AZ2708" s="298"/>
      <c r="BA2708" s="298"/>
      <c r="BB2708" s="298"/>
      <c r="BC2708" s="298"/>
      <c r="BD2708" s="298"/>
      <c r="BE2708" s="298"/>
      <c r="BF2708" s="298"/>
      <c r="BG2708" s="298"/>
      <c r="BH2708" s="298"/>
      <c r="BI2708" s="298"/>
      <c r="BJ2708" s="298"/>
      <c r="BK2708" s="298"/>
      <c r="BL2708" s="298"/>
      <c r="BM2708" s="298"/>
      <c r="BN2708" s="298"/>
      <c r="BO2708" s="298"/>
      <c r="BP2708" s="298"/>
    </row>
    <row r="2709" spans="1:68" s="529" customFormat="1" ht="12.75">
      <c r="A2709" s="286"/>
      <c r="B2709" s="375" t="s">
        <v>143</v>
      </c>
      <c r="C2709" s="816" t="s">
        <v>15065</v>
      </c>
      <c r="D2709" s="817"/>
      <c r="E2709" s="817"/>
      <c r="F2709" s="817"/>
      <c r="G2709" s="817"/>
      <c r="H2709" s="818"/>
      <c r="I2709" s="298"/>
      <c r="J2709" s="298"/>
      <c r="K2709" s="257">
        <v>0.17799999999999999</v>
      </c>
      <c r="L2709" s="259">
        <v>0.19400000000000001</v>
      </c>
      <c r="M2709" s="298"/>
      <c r="N2709" s="298"/>
      <c r="O2709" s="298"/>
      <c r="P2709" s="298"/>
      <c r="Q2709" s="298"/>
      <c r="R2709" s="298"/>
      <c r="S2709" s="536"/>
      <c r="T2709" s="635"/>
      <c r="U2709" s="298"/>
      <c r="V2709" s="298"/>
      <c r="W2709" s="298"/>
      <c r="X2709" s="298"/>
      <c r="Y2709" s="298"/>
      <c r="Z2709" s="298"/>
      <c r="AA2709" s="298"/>
      <c r="AB2709" s="298"/>
      <c r="AC2709" s="298"/>
      <c r="AD2709" s="298"/>
      <c r="AE2709" s="298"/>
      <c r="AF2709" s="298"/>
      <c r="AG2709" s="298"/>
      <c r="AH2709" s="298"/>
      <c r="AI2709" s="298"/>
      <c r="AJ2709" s="298"/>
      <c r="AK2709" s="298"/>
      <c r="AL2709" s="298"/>
      <c r="AM2709" s="298"/>
      <c r="AN2709" s="298"/>
      <c r="AO2709" s="298"/>
      <c r="AP2709" s="298"/>
      <c r="AQ2709" s="298"/>
      <c r="AR2709" s="298"/>
      <c r="AS2709" s="298"/>
      <c r="AT2709" s="298"/>
      <c r="AU2709" s="298"/>
      <c r="AV2709" s="298"/>
      <c r="AW2709" s="298"/>
      <c r="AX2709" s="298"/>
      <c r="AY2709" s="298"/>
      <c r="AZ2709" s="298"/>
      <c r="BA2709" s="298"/>
      <c r="BB2709" s="298"/>
      <c r="BC2709" s="298"/>
      <c r="BD2709" s="298"/>
      <c r="BE2709" s="298"/>
      <c r="BF2709" s="298"/>
      <c r="BG2709" s="298"/>
      <c r="BH2709" s="298"/>
      <c r="BI2709" s="298"/>
      <c r="BJ2709" s="298"/>
      <c r="BK2709" s="298"/>
      <c r="BL2709" s="298"/>
      <c r="BM2709" s="298"/>
      <c r="BN2709" s="298"/>
      <c r="BO2709" s="298"/>
      <c r="BP2709" s="298"/>
    </row>
    <row r="2710" spans="1:68" s="529" customFormat="1" ht="12.75">
      <c r="A2710" s="286"/>
      <c r="B2710" s="373"/>
      <c r="C2710" s="379"/>
      <c r="D2710" s="379"/>
      <c r="E2710" s="379"/>
      <c r="F2710" s="379"/>
      <c r="G2710" s="379"/>
      <c r="H2710" s="379"/>
      <c r="I2710" s="298"/>
      <c r="J2710" s="298"/>
      <c r="K2710" s="298"/>
      <c r="L2710" s="298"/>
      <c r="M2710" s="298"/>
      <c r="N2710" s="298"/>
      <c r="O2710" s="298"/>
      <c r="P2710" s="298"/>
      <c r="Q2710" s="298"/>
      <c r="R2710" s="298"/>
      <c r="S2710" s="536"/>
      <c r="T2710" s="635"/>
      <c r="U2710" s="298"/>
      <c r="V2710" s="298"/>
      <c r="W2710" s="298"/>
      <c r="X2710" s="298"/>
      <c r="Y2710" s="298"/>
      <c r="Z2710" s="298"/>
      <c r="AA2710" s="298"/>
      <c r="AB2710" s="298"/>
      <c r="AC2710" s="298"/>
      <c r="AD2710" s="298"/>
      <c r="AE2710" s="298"/>
      <c r="AF2710" s="298"/>
      <c r="AG2710" s="298"/>
      <c r="AH2710" s="298"/>
      <c r="AI2710" s="298"/>
      <c r="AJ2710" s="298"/>
      <c r="AK2710" s="298"/>
      <c r="AL2710" s="298"/>
      <c r="AM2710" s="298"/>
      <c r="AN2710" s="298"/>
      <c r="AO2710" s="298"/>
      <c r="AP2710" s="298"/>
      <c r="AQ2710" s="298"/>
      <c r="AR2710" s="298"/>
      <c r="AS2710" s="298"/>
      <c r="AT2710" s="298"/>
      <c r="AU2710" s="298"/>
      <c r="AV2710" s="298"/>
      <c r="AW2710" s="298"/>
      <c r="AX2710" s="298"/>
      <c r="AY2710" s="298"/>
      <c r="AZ2710" s="298"/>
      <c r="BA2710" s="298"/>
      <c r="BB2710" s="298"/>
      <c r="BC2710" s="298"/>
      <c r="BD2710" s="298"/>
      <c r="BE2710" s="298"/>
      <c r="BF2710" s="298"/>
      <c r="BG2710" s="298"/>
      <c r="BH2710" s="298"/>
      <c r="BI2710" s="298"/>
      <c r="BJ2710" s="298"/>
      <c r="BK2710" s="298"/>
      <c r="BL2710" s="298"/>
      <c r="BM2710" s="298"/>
      <c r="BN2710" s="298"/>
      <c r="BO2710" s="298"/>
      <c r="BP2710" s="298"/>
    </row>
    <row r="2711" spans="1:68" s="529" customFormat="1" ht="25.5">
      <c r="A2711" s="286"/>
      <c r="B2711" s="372" t="s">
        <v>15110</v>
      </c>
      <c r="C2711" s="231" t="s">
        <v>15095</v>
      </c>
      <c r="D2711" s="232" t="s">
        <v>103</v>
      </c>
      <c r="E2711" s="232" t="s">
        <v>109</v>
      </c>
      <c r="F2711" s="233"/>
      <c r="G2711" s="234"/>
      <c r="H2711" s="235">
        <v>114.18</v>
      </c>
      <c r="I2711" s="298"/>
      <c r="J2711" s="634"/>
      <c r="K2711" s="634"/>
      <c r="L2711" s="634"/>
      <c r="M2711" s="634"/>
      <c r="N2711" s="298"/>
      <c r="O2711" s="298"/>
      <c r="P2711" s="298"/>
      <c r="Q2711" s="298"/>
      <c r="R2711" s="298"/>
      <c r="S2711" s="536"/>
      <c r="T2711" s="635"/>
      <c r="U2711" s="298"/>
      <c r="V2711" s="298"/>
      <c r="W2711" s="298"/>
      <c r="X2711" s="298"/>
      <c r="Y2711" s="298"/>
      <c r="Z2711" s="298"/>
      <c r="AA2711" s="298"/>
      <c r="AB2711" s="298"/>
      <c r="AC2711" s="298"/>
      <c r="AD2711" s="298"/>
      <c r="AE2711" s="298"/>
      <c r="AF2711" s="298"/>
      <c r="AG2711" s="298"/>
      <c r="AH2711" s="298"/>
      <c r="AI2711" s="298"/>
      <c r="AJ2711" s="298"/>
      <c r="AK2711" s="298"/>
      <c r="AL2711" s="298"/>
      <c r="AM2711" s="298"/>
      <c r="AN2711" s="298"/>
      <c r="AO2711" s="298"/>
      <c r="AP2711" s="298"/>
      <c r="AQ2711" s="298"/>
      <c r="AR2711" s="298"/>
      <c r="AS2711" s="298"/>
      <c r="AT2711" s="298"/>
      <c r="AU2711" s="298"/>
      <c r="AV2711" s="298"/>
      <c r="AW2711" s="298"/>
      <c r="AX2711" s="298"/>
      <c r="AY2711" s="298"/>
      <c r="AZ2711" s="298"/>
      <c r="BA2711" s="298"/>
      <c r="BB2711" s="298"/>
      <c r="BC2711" s="298"/>
      <c r="BD2711" s="298"/>
      <c r="BE2711" s="298"/>
      <c r="BF2711" s="298"/>
      <c r="BG2711" s="298"/>
      <c r="BH2711" s="298"/>
      <c r="BI2711" s="298"/>
      <c r="BJ2711" s="298"/>
      <c r="BK2711" s="298"/>
      <c r="BL2711" s="298"/>
      <c r="BM2711" s="298"/>
      <c r="BN2711" s="298"/>
      <c r="BO2711" s="298"/>
      <c r="BP2711" s="298"/>
    </row>
    <row r="2712" spans="1:68" s="529" customFormat="1" ht="12.75">
      <c r="A2712" s="286" t="s">
        <v>12</v>
      </c>
      <c r="B2712" s="288" t="s">
        <v>14637</v>
      </c>
      <c r="C2712" s="289" t="s">
        <v>17937</v>
      </c>
      <c r="D2712" s="290" t="s">
        <v>207</v>
      </c>
      <c r="E2712" s="290" t="s">
        <v>109</v>
      </c>
      <c r="F2712" s="383">
        <v>1</v>
      </c>
      <c r="G2712" s="292">
        <v>72.540000000000006</v>
      </c>
      <c r="H2712" s="255">
        <v>72.540000000000006</v>
      </c>
      <c r="I2712" s="298"/>
      <c r="J2712" s="298"/>
      <c r="K2712" s="298"/>
      <c r="L2712" s="298"/>
      <c r="M2712" s="298"/>
      <c r="N2712" s="298"/>
      <c r="O2712" s="298"/>
      <c r="P2712" s="298"/>
      <c r="Q2712" s="298"/>
      <c r="R2712" s="298"/>
      <c r="S2712" s="536"/>
      <c r="T2712" s="635"/>
      <c r="U2712" s="298"/>
      <c r="V2712" s="298"/>
      <c r="W2712" s="298"/>
      <c r="X2712" s="298"/>
      <c r="Y2712" s="298"/>
      <c r="Z2712" s="298"/>
      <c r="AA2712" s="298"/>
      <c r="AB2712" s="298"/>
      <c r="AC2712" s="298"/>
      <c r="AD2712" s="298"/>
      <c r="AE2712" s="298"/>
      <c r="AF2712" s="298"/>
      <c r="AG2712" s="298"/>
      <c r="AH2712" s="298"/>
      <c r="AI2712" s="298"/>
      <c r="AJ2712" s="298"/>
      <c r="AK2712" s="298"/>
      <c r="AL2712" s="298"/>
      <c r="AM2712" s="298"/>
      <c r="AN2712" s="298"/>
      <c r="AO2712" s="298"/>
      <c r="AP2712" s="298"/>
      <c r="AQ2712" s="298"/>
      <c r="AR2712" s="298"/>
      <c r="AS2712" s="298"/>
      <c r="AT2712" s="298"/>
      <c r="AU2712" s="298"/>
      <c r="AV2712" s="298"/>
      <c r="AW2712" s="298"/>
      <c r="AX2712" s="298"/>
      <c r="AY2712" s="298"/>
      <c r="AZ2712" s="298"/>
      <c r="BA2712" s="298"/>
      <c r="BB2712" s="298"/>
      <c r="BC2712" s="298"/>
      <c r="BD2712" s="298"/>
      <c r="BE2712" s="298"/>
      <c r="BF2712" s="298"/>
      <c r="BG2712" s="298"/>
      <c r="BH2712" s="298"/>
      <c r="BI2712" s="298"/>
      <c r="BJ2712" s="298"/>
      <c r="BK2712" s="298"/>
      <c r="BL2712" s="298"/>
      <c r="BM2712" s="298"/>
      <c r="BN2712" s="298"/>
      <c r="BO2712" s="298"/>
      <c r="BP2712" s="298"/>
    </row>
    <row r="2713" spans="1:68" s="529" customFormat="1" ht="38.25">
      <c r="A2713" s="286" t="s">
        <v>3259</v>
      </c>
      <c r="B2713" s="288">
        <v>88248</v>
      </c>
      <c r="C2713" s="289" t="s">
        <v>106</v>
      </c>
      <c r="D2713" s="290" t="s">
        <v>9714</v>
      </c>
      <c r="E2713" s="290" t="s">
        <v>206</v>
      </c>
      <c r="F2713" s="383">
        <v>1</v>
      </c>
      <c r="G2713" s="292" t="s">
        <v>10175</v>
      </c>
      <c r="H2713" s="255">
        <v>18.23</v>
      </c>
      <c r="I2713" s="298"/>
      <c r="J2713" s="298"/>
      <c r="K2713" s="298"/>
      <c r="L2713" s="298"/>
      <c r="M2713" s="298"/>
      <c r="N2713" s="298"/>
      <c r="O2713" s="298"/>
      <c r="P2713" s="298"/>
      <c r="Q2713" s="298"/>
      <c r="R2713" s="298"/>
      <c r="S2713" s="536"/>
      <c r="T2713" s="635"/>
      <c r="U2713" s="298"/>
      <c r="V2713" s="298"/>
      <c r="W2713" s="298"/>
      <c r="X2713" s="298"/>
      <c r="Y2713" s="298"/>
      <c r="Z2713" s="298"/>
      <c r="AA2713" s="298"/>
      <c r="AB2713" s="298"/>
      <c r="AC2713" s="298"/>
      <c r="AD2713" s="298"/>
      <c r="AE2713" s="298"/>
      <c r="AF2713" s="298"/>
      <c r="AG2713" s="298"/>
      <c r="AH2713" s="298"/>
      <c r="AI2713" s="298"/>
      <c r="AJ2713" s="298"/>
      <c r="AK2713" s="298"/>
      <c r="AL2713" s="298"/>
      <c r="AM2713" s="298"/>
      <c r="AN2713" s="298"/>
      <c r="AO2713" s="298"/>
      <c r="AP2713" s="298"/>
      <c r="AQ2713" s="298"/>
      <c r="AR2713" s="298"/>
      <c r="AS2713" s="298"/>
      <c r="AT2713" s="298"/>
      <c r="AU2713" s="298"/>
      <c r="AV2713" s="298"/>
      <c r="AW2713" s="298"/>
      <c r="AX2713" s="298"/>
      <c r="AY2713" s="298"/>
      <c r="AZ2713" s="298"/>
      <c r="BA2713" s="298"/>
      <c r="BB2713" s="298"/>
      <c r="BC2713" s="298"/>
      <c r="BD2713" s="298"/>
      <c r="BE2713" s="298"/>
      <c r="BF2713" s="298"/>
      <c r="BG2713" s="298"/>
      <c r="BH2713" s="298"/>
      <c r="BI2713" s="298"/>
      <c r="BJ2713" s="298"/>
      <c r="BK2713" s="298"/>
      <c r="BL2713" s="298"/>
      <c r="BM2713" s="298"/>
      <c r="BN2713" s="298"/>
      <c r="BO2713" s="298"/>
      <c r="BP2713" s="298"/>
    </row>
    <row r="2714" spans="1:68" s="529" customFormat="1" ht="25.5">
      <c r="A2714" s="286" t="s">
        <v>3259</v>
      </c>
      <c r="B2714" s="288">
        <v>88267</v>
      </c>
      <c r="C2714" s="289" t="s">
        <v>107</v>
      </c>
      <c r="D2714" s="290" t="s">
        <v>9714</v>
      </c>
      <c r="E2714" s="290" t="s">
        <v>206</v>
      </c>
      <c r="F2714" s="383">
        <v>1</v>
      </c>
      <c r="G2714" s="292" t="s">
        <v>10792</v>
      </c>
      <c r="H2714" s="255">
        <v>23.41</v>
      </c>
      <c r="I2714" s="298"/>
      <c r="J2714" s="298"/>
      <c r="K2714" s="298"/>
      <c r="L2714" s="298"/>
      <c r="M2714" s="298"/>
      <c r="N2714" s="298"/>
      <c r="O2714" s="298"/>
      <c r="P2714" s="298"/>
      <c r="Q2714" s="298"/>
      <c r="R2714" s="298"/>
      <c r="S2714" s="536"/>
      <c r="T2714" s="635"/>
      <c r="U2714" s="298"/>
      <c r="V2714" s="298"/>
      <c r="W2714" s="298"/>
      <c r="X2714" s="298"/>
      <c r="Y2714" s="298"/>
      <c r="Z2714" s="298"/>
      <c r="AA2714" s="298"/>
      <c r="AB2714" s="298"/>
      <c r="AC2714" s="298"/>
      <c r="AD2714" s="298"/>
      <c r="AE2714" s="298"/>
      <c r="AF2714" s="298"/>
      <c r="AG2714" s="298"/>
      <c r="AH2714" s="298"/>
      <c r="AI2714" s="298"/>
      <c r="AJ2714" s="298"/>
      <c r="AK2714" s="298"/>
      <c r="AL2714" s="298"/>
      <c r="AM2714" s="298"/>
      <c r="AN2714" s="298"/>
      <c r="AO2714" s="298"/>
      <c r="AP2714" s="298"/>
      <c r="AQ2714" s="298"/>
      <c r="AR2714" s="298"/>
      <c r="AS2714" s="298"/>
      <c r="AT2714" s="298"/>
      <c r="AU2714" s="298"/>
      <c r="AV2714" s="298"/>
      <c r="AW2714" s="298"/>
      <c r="AX2714" s="298"/>
      <c r="AY2714" s="298"/>
      <c r="AZ2714" s="298"/>
      <c r="BA2714" s="298"/>
      <c r="BB2714" s="298"/>
      <c r="BC2714" s="298"/>
      <c r="BD2714" s="298"/>
      <c r="BE2714" s="298"/>
      <c r="BF2714" s="298"/>
      <c r="BG2714" s="298"/>
      <c r="BH2714" s="298"/>
      <c r="BI2714" s="298"/>
      <c r="BJ2714" s="298"/>
      <c r="BK2714" s="298"/>
      <c r="BL2714" s="298"/>
      <c r="BM2714" s="298"/>
      <c r="BN2714" s="298"/>
      <c r="BO2714" s="298"/>
      <c r="BP2714" s="298"/>
    </row>
    <row r="2715" spans="1:68" s="529" customFormat="1" ht="12.75">
      <c r="A2715" s="286"/>
      <c r="B2715" s="375" t="s">
        <v>143</v>
      </c>
      <c r="C2715" s="816" t="s">
        <v>15096</v>
      </c>
      <c r="D2715" s="817"/>
      <c r="E2715" s="817"/>
      <c r="F2715" s="817"/>
      <c r="G2715" s="817"/>
      <c r="H2715" s="818"/>
      <c r="I2715" s="298"/>
      <c r="J2715" s="298"/>
      <c r="K2715" s="298"/>
      <c r="L2715" s="298"/>
      <c r="M2715" s="298"/>
      <c r="N2715" s="298"/>
      <c r="O2715" s="298"/>
      <c r="P2715" s="298"/>
      <c r="Q2715" s="298"/>
      <c r="R2715" s="298"/>
      <c r="S2715" s="536"/>
      <c r="T2715" s="635"/>
      <c r="U2715" s="298"/>
      <c r="V2715" s="298"/>
      <c r="W2715" s="298"/>
      <c r="X2715" s="298"/>
      <c r="Y2715" s="298"/>
      <c r="Z2715" s="298"/>
      <c r="AA2715" s="298"/>
      <c r="AB2715" s="298"/>
      <c r="AC2715" s="298"/>
      <c r="AD2715" s="298"/>
      <c r="AE2715" s="298"/>
      <c r="AF2715" s="298"/>
      <c r="AG2715" s="298"/>
      <c r="AH2715" s="298"/>
      <c r="AI2715" s="298"/>
      <c r="AJ2715" s="298"/>
      <c r="AK2715" s="298"/>
      <c r="AL2715" s="298"/>
      <c r="AM2715" s="298"/>
      <c r="AN2715" s="298"/>
      <c r="AO2715" s="298"/>
      <c r="AP2715" s="298"/>
      <c r="AQ2715" s="298"/>
      <c r="AR2715" s="298"/>
      <c r="AS2715" s="298"/>
      <c r="AT2715" s="298"/>
      <c r="AU2715" s="298"/>
      <c r="AV2715" s="298"/>
      <c r="AW2715" s="298"/>
      <c r="AX2715" s="298"/>
      <c r="AY2715" s="298"/>
      <c r="AZ2715" s="298"/>
      <c r="BA2715" s="298"/>
      <c r="BB2715" s="298"/>
      <c r="BC2715" s="298"/>
      <c r="BD2715" s="298"/>
      <c r="BE2715" s="298"/>
      <c r="BF2715" s="298"/>
      <c r="BG2715" s="298"/>
      <c r="BH2715" s="298"/>
      <c r="BI2715" s="298"/>
      <c r="BJ2715" s="298"/>
      <c r="BK2715" s="298"/>
      <c r="BL2715" s="298"/>
      <c r="BM2715" s="298"/>
      <c r="BN2715" s="298"/>
      <c r="BO2715" s="298"/>
      <c r="BP2715" s="298"/>
    </row>
    <row r="2716" spans="1:68" s="529" customFormat="1" ht="12.75">
      <c r="A2716" s="286"/>
      <c r="B2716" s="373"/>
      <c r="C2716" s="379"/>
      <c r="D2716" s="379"/>
      <c r="E2716" s="379"/>
      <c r="F2716" s="379"/>
      <c r="G2716" s="379"/>
      <c r="H2716" s="379"/>
      <c r="I2716" s="298"/>
      <c r="J2716" s="298"/>
      <c r="K2716" s="298"/>
      <c r="L2716" s="298"/>
      <c r="M2716" s="298"/>
      <c r="N2716" s="298"/>
      <c r="O2716" s="298"/>
      <c r="P2716" s="298"/>
      <c r="Q2716" s="298"/>
      <c r="R2716" s="298"/>
      <c r="S2716" s="536"/>
      <c r="T2716" s="635"/>
      <c r="U2716" s="298"/>
      <c r="V2716" s="298"/>
      <c r="W2716" s="298"/>
      <c r="X2716" s="298"/>
      <c r="Y2716" s="298"/>
      <c r="Z2716" s="298"/>
      <c r="AA2716" s="298"/>
      <c r="AB2716" s="298"/>
      <c r="AC2716" s="298"/>
      <c r="AD2716" s="298"/>
      <c r="AE2716" s="298"/>
      <c r="AF2716" s="298"/>
      <c r="AG2716" s="298"/>
      <c r="AH2716" s="298"/>
      <c r="AI2716" s="298"/>
      <c r="AJ2716" s="298"/>
      <c r="AK2716" s="298"/>
      <c r="AL2716" s="298"/>
      <c r="AM2716" s="298"/>
      <c r="AN2716" s="298"/>
      <c r="AO2716" s="298"/>
      <c r="AP2716" s="298"/>
      <c r="AQ2716" s="298"/>
      <c r="AR2716" s="298"/>
      <c r="AS2716" s="298"/>
      <c r="AT2716" s="298"/>
      <c r="AU2716" s="298"/>
      <c r="AV2716" s="298"/>
      <c r="AW2716" s="298"/>
      <c r="AX2716" s="298"/>
      <c r="AY2716" s="298"/>
      <c r="AZ2716" s="298"/>
      <c r="BA2716" s="298"/>
      <c r="BB2716" s="298"/>
      <c r="BC2716" s="298"/>
      <c r="BD2716" s="298"/>
      <c r="BE2716" s="298"/>
      <c r="BF2716" s="298"/>
      <c r="BG2716" s="298"/>
      <c r="BH2716" s="298"/>
      <c r="BI2716" s="298"/>
      <c r="BJ2716" s="298"/>
      <c r="BK2716" s="298"/>
      <c r="BL2716" s="298"/>
      <c r="BM2716" s="298"/>
      <c r="BN2716" s="298"/>
      <c r="BO2716" s="298"/>
      <c r="BP2716" s="298"/>
    </row>
    <row r="2717" spans="1:68" s="529" customFormat="1" ht="51">
      <c r="A2717" s="286"/>
      <c r="B2717" s="372" t="s">
        <v>15111</v>
      </c>
      <c r="C2717" s="231" t="s">
        <v>17912</v>
      </c>
      <c r="D2717" s="232" t="s">
        <v>103</v>
      </c>
      <c r="E2717" s="232" t="s">
        <v>109</v>
      </c>
      <c r="F2717" s="233"/>
      <c r="G2717" s="234"/>
      <c r="H2717" s="235">
        <v>3317.7</v>
      </c>
      <c r="I2717" s="298"/>
      <c r="J2717" s="634"/>
      <c r="K2717" s="634"/>
      <c r="L2717" s="634"/>
      <c r="M2717" s="634"/>
      <c r="N2717" s="298"/>
      <c r="O2717" s="298"/>
      <c r="P2717" s="298"/>
      <c r="Q2717" s="298"/>
      <c r="R2717" s="298"/>
      <c r="S2717" s="536"/>
      <c r="T2717" s="635"/>
      <c r="U2717" s="298"/>
      <c r="V2717" s="298"/>
      <c r="W2717" s="298"/>
      <c r="X2717" s="298"/>
      <c r="Y2717" s="298"/>
      <c r="Z2717" s="298"/>
      <c r="AA2717" s="298"/>
      <c r="AB2717" s="298"/>
      <c r="AC2717" s="298"/>
      <c r="AD2717" s="298"/>
      <c r="AE2717" s="298"/>
      <c r="AF2717" s="298"/>
      <c r="AG2717" s="298"/>
      <c r="AH2717" s="298"/>
      <c r="AI2717" s="298"/>
      <c r="AJ2717" s="298"/>
      <c r="AK2717" s="298"/>
      <c r="AL2717" s="298"/>
      <c r="AM2717" s="298"/>
      <c r="AN2717" s="298"/>
      <c r="AO2717" s="298"/>
      <c r="AP2717" s="298"/>
      <c r="AQ2717" s="298"/>
      <c r="AR2717" s="298"/>
      <c r="AS2717" s="298"/>
      <c r="AT2717" s="298"/>
      <c r="AU2717" s="298"/>
      <c r="AV2717" s="298"/>
      <c r="AW2717" s="298"/>
      <c r="AX2717" s="298"/>
      <c r="AY2717" s="298"/>
      <c r="AZ2717" s="298"/>
      <c r="BA2717" s="298"/>
      <c r="BB2717" s="298"/>
      <c r="BC2717" s="298"/>
      <c r="BD2717" s="298"/>
      <c r="BE2717" s="298"/>
      <c r="BF2717" s="298"/>
      <c r="BG2717" s="298"/>
      <c r="BH2717" s="298"/>
      <c r="BI2717" s="298"/>
      <c r="BJ2717" s="298"/>
      <c r="BK2717" s="298"/>
      <c r="BL2717" s="298"/>
      <c r="BM2717" s="298"/>
      <c r="BN2717" s="298"/>
      <c r="BO2717" s="298"/>
      <c r="BP2717" s="298"/>
    </row>
    <row r="2718" spans="1:68" s="529" customFormat="1" ht="38.25">
      <c r="A2718" s="286" t="s">
        <v>12</v>
      </c>
      <c r="B2718" s="288" t="s">
        <v>17913</v>
      </c>
      <c r="C2718" s="289" t="s">
        <v>17942</v>
      </c>
      <c r="D2718" s="290" t="s">
        <v>207</v>
      </c>
      <c r="E2718" s="290" t="s">
        <v>109</v>
      </c>
      <c r="F2718" s="383">
        <v>1</v>
      </c>
      <c r="G2718" s="292">
        <v>3158</v>
      </c>
      <c r="H2718" s="255">
        <v>3158</v>
      </c>
      <c r="I2718" s="298"/>
      <c r="J2718" s="298"/>
      <c r="K2718" s="298"/>
      <c r="L2718" s="298"/>
      <c r="M2718" s="298"/>
      <c r="N2718" s="298"/>
      <c r="O2718" s="298"/>
      <c r="P2718" s="298"/>
      <c r="Q2718" s="298"/>
      <c r="R2718" s="298"/>
      <c r="S2718" s="536"/>
      <c r="T2718" s="635"/>
      <c r="U2718" s="298"/>
      <c r="V2718" s="298"/>
      <c r="W2718" s="298"/>
      <c r="X2718" s="298"/>
      <c r="Y2718" s="298"/>
      <c r="Z2718" s="298"/>
      <c r="AA2718" s="298"/>
      <c r="AB2718" s="298"/>
      <c r="AC2718" s="298"/>
      <c r="AD2718" s="298"/>
      <c r="AE2718" s="298"/>
      <c r="AF2718" s="298"/>
      <c r="AG2718" s="298"/>
      <c r="AH2718" s="298"/>
      <c r="AI2718" s="298"/>
      <c r="AJ2718" s="298"/>
      <c r="AK2718" s="298"/>
      <c r="AL2718" s="298"/>
      <c r="AM2718" s="298"/>
      <c r="AN2718" s="298"/>
      <c r="AO2718" s="298"/>
      <c r="AP2718" s="298"/>
      <c r="AQ2718" s="298"/>
      <c r="AR2718" s="298"/>
      <c r="AS2718" s="298"/>
      <c r="AT2718" s="298"/>
      <c r="AU2718" s="298"/>
      <c r="AV2718" s="298"/>
      <c r="AW2718" s="298"/>
      <c r="AX2718" s="298"/>
      <c r="AY2718" s="298"/>
      <c r="AZ2718" s="298"/>
      <c r="BA2718" s="298"/>
      <c r="BB2718" s="298"/>
      <c r="BC2718" s="298"/>
      <c r="BD2718" s="298"/>
      <c r="BE2718" s="298"/>
      <c r="BF2718" s="298"/>
      <c r="BG2718" s="298"/>
      <c r="BH2718" s="298"/>
      <c r="BI2718" s="298"/>
      <c r="BJ2718" s="298"/>
      <c r="BK2718" s="298"/>
      <c r="BL2718" s="298"/>
      <c r="BM2718" s="298"/>
      <c r="BN2718" s="298"/>
      <c r="BO2718" s="298"/>
      <c r="BP2718" s="298"/>
    </row>
    <row r="2719" spans="1:68" s="529" customFormat="1" ht="51">
      <c r="A2719" s="286" t="s">
        <v>3261</v>
      </c>
      <c r="B2719" s="288">
        <v>11267</v>
      </c>
      <c r="C2719" s="289" t="s">
        <v>11646</v>
      </c>
      <c r="D2719" s="290" t="s">
        <v>207</v>
      </c>
      <c r="E2719" s="290" t="s">
        <v>3240</v>
      </c>
      <c r="F2719" s="383">
        <v>4</v>
      </c>
      <c r="G2719" s="292" t="s">
        <v>11094</v>
      </c>
      <c r="H2719" s="255">
        <v>3.6</v>
      </c>
      <c r="I2719" s="298"/>
      <c r="J2719" s="298"/>
      <c r="K2719" s="298"/>
      <c r="L2719" s="298"/>
      <c r="M2719" s="298"/>
      <c r="N2719" s="298"/>
      <c r="O2719" s="298"/>
      <c r="P2719" s="298"/>
      <c r="Q2719" s="298"/>
      <c r="R2719" s="298"/>
      <c r="S2719" s="536"/>
      <c r="T2719" s="635"/>
      <c r="U2719" s="298"/>
      <c r="V2719" s="298"/>
      <c r="W2719" s="298"/>
      <c r="X2719" s="298"/>
      <c r="Y2719" s="298"/>
      <c r="Z2719" s="298"/>
      <c r="AA2719" s="298"/>
      <c r="AB2719" s="298"/>
      <c r="AC2719" s="298"/>
      <c r="AD2719" s="298"/>
      <c r="AE2719" s="298"/>
      <c r="AF2719" s="298"/>
      <c r="AG2719" s="298"/>
      <c r="AH2719" s="298"/>
      <c r="AI2719" s="298"/>
      <c r="AJ2719" s="298"/>
      <c r="AK2719" s="298"/>
      <c r="AL2719" s="298"/>
      <c r="AM2719" s="298"/>
      <c r="AN2719" s="298"/>
      <c r="AO2719" s="298"/>
      <c r="AP2719" s="298"/>
      <c r="AQ2719" s="298"/>
      <c r="AR2719" s="298"/>
      <c r="AS2719" s="298"/>
      <c r="AT2719" s="298"/>
      <c r="AU2719" s="298"/>
      <c r="AV2719" s="298"/>
      <c r="AW2719" s="298"/>
      <c r="AX2719" s="298"/>
      <c r="AY2719" s="298"/>
      <c r="AZ2719" s="298"/>
      <c r="BA2719" s="298"/>
      <c r="BB2719" s="298"/>
      <c r="BC2719" s="298"/>
      <c r="BD2719" s="298"/>
      <c r="BE2719" s="298"/>
      <c r="BF2719" s="298"/>
      <c r="BG2719" s="298"/>
      <c r="BH2719" s="298"/>
      <c r="BI2719" s="298"/>
      <c r="BJ2719" s="298"/>
      <c r="BK2719" s="298"/>
      <c r="BL2719" s="298"/>
      <c r="BM2719" s="298"/>
      <c r="BN2719" s="298"/>
      <c r="BO2719" s="298"/>
      <c r="BP2719" s="298"/>
    </row>
    <row r="2720" spans="1:68" s="529" customFormat="1" ht="25.5">
      <c r="A2720" s="286" t="s">
        <v>3261</v>
      </c>
      <c r="B2720" s="288">
        <v>39996</v>
      </c>
      <c r="C2720" s="289" t="s">
        <v>8932</v>
      </c>
      <c r="D2720" s="290" t="s">
        <v>207</v>
      </c>
      <c r="E2720" s="290" t="s">
        <v>3243</v>
      </c>
      <c r="F2720" s="383">
        <v>0.2</v>
      </c>
      <c r="G2720" s="292" t="s">
        <v>10073</v>
      </c>
      <c r="H2720" s="255">
        <v>0.75</v>
      </c>
      <c r="I2720" s="298"/>
      <c r="J2720" s="298"/>
      <c r="K2720" s="298"/>
      <c r="L2720" s="298"/>
      <c r="M2720" s="298"/>
      <c r="N2720" s="298"/>
      <c r="O2720" s="298"/>
      <c r="P2720" s="298"/>
      <c r="Q2720" s="298"/>
      <c r="R2720" s="298"/>
      <c r="S2720" s="536"/>
      <c r="T2720" s="635"/>
      <c r="U2720" s="298"/>
      <c r="V2720" s="298"/>
      <c r="W2720" s="298"/>
      <c r="X2720" s="298"/>
      <c r="Y2720" s="298"/>
      <c r="Z2720" s="298"/>
      <c r="AA2720" s="298"/>
      <c r="AB2720" s="298"/>
      <c r="AC2720" s="298"/>
      <c r="AD2720" s="298"/>
      <c r="AE2720" s="298"/>
      <c r="AF2720" s="298"/>
      <c r="AG2720" s="298"/>
      <c r="AH2720" s="298"/>
      <c r="AI2720" s="298"/>
      <c r="AJ2720" s="298"/>
      <c r="AK2720" s="298"/>
      <c r="AL2720" s="298"/>
      <c r="AM2720" s="298"/>
      <c r="AN2720" s="298"/>
      <c r="AO2720" s="298"/>
      <c r="AP2720" s="298"/>
      <c r="AQ2720" s="298"/>
      <c r="AR2720" s="298"/>
      <c r="AS2720" s="298"/>
      <c r="AT2720" s="298"/>
      <c r="AU2720" s="298"/>
      <c r="AV2720" s="298"/>
      <c r="AW2720" s="298"/>
      <c r="AX2720" s="298"/>
      <c r="AY2720" s="298"/>
      <c r="AZ2720" s="298"/>
      <c r="BA2720" s="298"/>
      <c r="BB2720" s="298"/>
      <c r="BC2720" s="298"/>
      <c r="BD2720" s="298"/>
      <c r="BE2720" s="298"/>
      <c r="BF2720" s="298"/>
      <c r="BG2720" s="298"/>
      <c r="BH2720" s="298"/>
      <c r="BI2720" s="298"/>
      <c r="BJ2720" s="298"/>
      <c r="BK2720" s="298"/>
      <c r="BL2720" s="298"/>
      <c r="BM2720" s="298"/>
      <c r="BN2720" s="298"/>
      <c r="BO2720" s="298"/>
      <c r="BP2720" s="298"/>
    </row>
    <row r="2721" spans="1:68" s="529" customFormat="1" ht="12.75">
      <c r="A2721" s="286" t="s">
        <v>3261</v>
      </c>
      <c r="B2721" s="288">
        <v>39997</v>
      </c>
      <c r="C2721" s="289" t="s">
        <v>7751</v>
      </c>
      <c r="D2721" s="290" t="s">
        <v>207</v>
      </c>
      <c r="E2721" s="290" t="s">
        <v>3240</v>
      </c>
      <c r="F2721" s="383">
        <v>4</v>
      </c>
      <c r="G2721" s="292" t="s">
        <v>9866</v>
      </c>
      <c r="H2721" s="255">
        <v>0.64</v>
      </c>
      <c r="I2721" s="298"/>
      <c r="J2721" s="298"/>
      <c r="K2721" s="298"/>
      <c r="L2721" s="298"/>
      <c r="M2721" s="298"/>
      <c r="N2721" s="298"/>
      <c r="O2721" s="298"/>
      <c r="P2721" s="298"/>
      <c r="Q2721" s="298"/>
      <c r="R2721" s="298"/>
      <c r="S2721" s="536"/>
      <c r="T2721" s="635"/>
      <c r="U2721" s="298"/>
      <c r="V2721" s="298"/>
      <c r="W2721" s="298"/>
      <c r="X2721" s="298"/>
      <c r="Y2721" s="298"/>
      <c r="Z2721" s="298"/>
      <c r="AA2721" s="298"/>
      <c r="AB2721" s="298"/>
      <c r="AC2721" s="298"/>
      <c r="AD2721" s="298"/>
      <c r="AE2721" s="298"/>
      <c r="AF2721" s="298"/>
      <c r="AG2721" s="298"/>
      <c r="AH2721" s="298"/>
      <c r="AI2721" s="298"/>
      <c r="AJ2721" s="298"/>
      <c r="AK2721" s="298"/>
      <c r="AL2721" s="298"/>
      <c r="AM2721" s="298"/>
      <c r="AN2721" s="298"/>
      <c r="AO2721" s="298"/>
      <c r="AP2721" s="298"/>
      <c r="AQ2721" s="298"/>
      <c r="AR2721" s="298"/>
      <c r="AS2721" s="298"/>
      <c r="AT2721" s="298"/>
      <c r="AU2721" s="298"/>
      <c r="AV2721" s="298"/>
      <c r="AW2721" s="298"/>
      <c r="AX2721" s="298"/>
      <c r="AY2721" s="298"/>
      <c r="AZ2721" s="298"/>
      <c r="BA2721" s="298"/>
      <c r="BB2721" s="298"/>
      <c r="BC2721" s="298"/>
      <c r="BD2721" s="298"/>
      <c r="BE2721" s="298"/>
      <c r="BF2721" s="298"/>
      <c r="BG2721" s="298"/>
      <c r="BH2721" s="298"/>
      <c r="BI2721" s="298"/>
      <c r="BJ2721" s="298"/>
      <c r="BK2721" s="298"/>
      <c r="BL2721" s="298"/>
      <c r="BM2721" s="298"/>
      <c r="BN2721" s="298"/>
      <c r="BO2721" s="298"/>
      <c r="BP2721" s="298"/>
    </row>
    <row r="2722" spans="1:68" s="529" customFormat="1" ht="25.5">
      <c r="A2722" s="286" t="s">
        <v>3259</v>
      </c>
      <c r="B2722" s="288">
        <v>88247</v>
      </c>
      <c r="C2722" s="289" t="s">
        <v>145</v>
      </c>
      <c r="D2722" s="290" t="s">
        <v>9714</v>
      </c>
      <c r="E2722" s="290" t="s">
        <v>206</v>
      </c>
      <c r="F2722" s="383">
        <v>0.63300000000000001</v>
      </c>
      <c r="G2722" s="292" t="s">
        <v>12206</v>
      </c>
      <c r="H2722" s="255">
        <v>11.86</v>
      </c>
      <c r="I2722" s="298"/>
      <c r="J2722" s="298"/>
      <c r="K2722" s="298"/>
      <c r="L2722" s="298"/>
      <c r="M2722" s="298"/>
      <c r="N2722" s="298"/>
      <c r="O2722" s="298"/>
      <c r="P2722" s="298"/>
      <c r="Q2722" s="298"/>
      <c r="R2722" s="298"/>
      <c r="S2722" s="536"/>
      <c r="T2722" s="635"/>
      <c r="U2722" s="298"/>
      <c r="V2722" s="298"/>
      <c r="W2722" s="298"/>
      <c r="X2722" s="298"/>
      <c r="Y2722" s="298"/>
      <c r="Z2722" s="298"/>
      <c r="AA2722" s="298"/>
      <c r="AB2722" s="298"/>
      <c r="AC2722" s="298"/>
      <c r="AD2722" s="298"/>
      <c r="AE2722" s="298"/>
      <c r="AF2722" s="298"/>
      <c r="AG2722" s="298"/>
      <c r="AH2722" s="298"/>
      <c r="AI2722" s="298"/>
      <c r="AJ2722" s="298"/>
      <c r="AK2722" s="298"/>
      <c r="AL2722" s="298"/>
      <c r="AM2722" s="298"/>
      <c r="AN2722" s="298"/>
      <c r="AO2722" s="298"/>
      <c r="AP2722" s="298"/>
      <c r="AQ2722" s="298"/>
      <c r="AR2722" s="298"/>
      <c r="AS2722" s="298"/>
      <c r="AT2722" s="298"/>
      <c r="AU2722" s="298"/>
      <c r="AV2722" s="298"/>
      <c r="AW2722" s="298"/>
      <c r="AX2722" s="298"/>
      <c r="AY2722" s="298"/>
      <c r="AZ2722" s="298"/>
      <c r="BA2722" s="298"/>
      <c r="BB2722" s="298"/>
      <c r="BC2722" s="298"/>
      <c r="BD2722" s="298"/>
      <c r="BE2722" s="298"/>
      <c r="BF2722" s="298"/>
      <c r="BG2722" s="298"/>
      <c r="BH2722" s="298"/>
      <c r="BI2722" s="298"/>
      <c r="BJ2722" s="298"/>
      <c r="BK2722" s="298"/>
      <c r="BL2722" s="298"/>
      <c r="BM2722" s="298"/>
      <c r="BN2722" s="298"/>
      <c r="BO2722" s="298"/>
      <c r="BP2722" s="298"/>
    </row>
    <row r="2723" spans="1:68" s="529" customFormat="1" ht="38.25">
      <c r="A2723" s="286" t="s">
        <v>3259</v>
      </c>
      <c r="B2723" s="288">
        <v>88248</v>
      </c>
      <c r="C2723" s="289" t="s">
        <v>106</v>
      </c>
      <c r="D2723" s="290" t="s">
        <v>9714</v>
      </c>
      <c r="E2723" s="290" t="s">
        <v>206</v>
      </c>
      <c r="F2723" s="383">
        <v>3.0647000000000002</v>
      </c>
      <c r="G2723" s="292" t="s">
        <v>10175</v>
      </c>
      <c r="H2723" s="255">
        <v>55.86</v>
      </c>
      <c r="I2723" s="298"/>
      <c r="J2723" s="298"/>
      <c r="K2723" s="298"/>
      <c r="L2723" s="298"/>
      <c r="M2723" s="298"/>
      <c r="N2723" s="298"/>
      <c r="O2723" s="298"/>
      <c r="P2723" s="298"/>
      <c r="Q2723" s="298"/>
      <c r="R2723" s="298"/>
      <c r="S2723" s="536"/>
      <c r="T2723" s="635"/>
      <c r="U2723" s="298"/>
      <c r="V2723" s="298"/>
      <c r="W2723" s="298"/>
      <c r="X2723" s="298"/>
      <c r="Y2723" s="298"/>
      <c r="Z2723" s="298"/>
      <c r="AA2723" s="298"/>
      <c r="AB2723" s="298"/>
      <c r="AC2723" s="298"/>
      <c r="AD2723" s="298"/>
      <c r="AE2723" s="298"/>
      <c r="AF2723" s="298"/>
      <c r="AG2723" s="298"/>
      <c r="AH2723" s="298"/>
      <c r="AI2723" s="298"/>
      <c r="AJ2723" s="298"/>
      <c r="AK2723" s="298"/>
      <c r="AL2723" s="298"/>
      <c r="AM2723" s="298"/>
      <c r="AN2723" s="298"/>
      <c r="AO2723" s="298"/>
      <c r="AP2723" s="298"/>
      <c r="AQ2723" s="298"/>
      <c r="AR2723" s="298"/>
      <c r="AS2723" s="298"/>
      <c r="AT2723" s="298"/>
      <c r="AU2723" s="298"/>
      <c r="AV2723" s="298"/>
      <c r="AW2723" s="298"/>
      <c r="AX2723" s="298"/>
      <c r="AY2723" s="298"/>
      <c r="AZ2723" s="298"/>
      <c r="BA2723" s="298"/>
      <c r="BB2723" s="298"/>
      <c r="BC2723" s="298"/>
      <c r="BD2723" s="298"/>
      <c r="BE2723" s="298"/>
      <c r="BF2723" s="298"/>
      <c r="BG2723" s="298"/>
      <c r="BH2723" s="298"/>
      <c r="BI2723" s="298"/>
      <c r="BJ2723" s="298"/>
      <c r="BK2723" s="298"/>
      <c r="BL2723" s="298"/>
      <c r="BM2723" s="298"/>
      <c r="BN2723" s="298"/>
      <c r="BO2723" s="298"/>
      <c r="BP2723" s="298"/>
    </row>
    <row r="2724" spans="1:68" s="529" customFormat="1" ht="25.5">
      <c r="A2724" s="286" t="s">
        <v>3259</v>
      </c>
      <c r="B2724" s="288">
        <v>88264</v>
      </c>
      <c r="C2724" s="289" t="s">
        <v>146</v>
      </c>
      <c r="D2724" s="290" t="s">
        <v>9714</v>
      </c>
      <c r="E2724" s="290" t="s">
        <v>206</v>
      </c>
      <c r="F2724" s="383">
        <v>0.63300000000000001</v>
      </c>
      <c r="G2724" s="292" t="s">
        <v>16504</v>
      </c>
      <c r="H2724" s="255">
        <v>15.25</v>
      </c>
      <c r="I2724" s="298"/>
      <c r="J2724" s="298"/>
      <c r="K2724" s="298"/>
      <c r="L2724" s="298"/>
      <c r="M2724" s="298"/>
      <c r="N2724" s="298"/>
      <c r="O2724" s="298"/>
      <c r="P2724" s="298"/>
      <c r="Q2724" s="298"/>
      <c r="R2724" s="298"/>
      <c r="S2724" s="536"/>
      <c r="T2724" s="635"/>
      <c r="U2724" s="298"/>
      <c r="V2724" s="298"/>
      <c r="W2724" s="298"/>
      <c r="X2724" s="298"/>
      <c r="Y2724" s="298"/>
      <c r="Z2724" s="298"/>
      <c r="AA2724" s="298"/>
      <c r="AB2724" s="298"/>
      <c r="AC2724" s="298"/>
      <c r="AD2724" s="298"/>
      <c r="AE2724" s="298"/>
      <c r="AF2724" s="298"/>
      <c r="AG2724" s="298"/>
      <c r="AH2724" s="298"/>
      <c r="AI2724" s="298"/>
      <c r="AJ2724" s="298"/>
      <c r="AK2724" s="298"/>
      <c r="AL2724" s="298"/>
      <c r="AM2724" s="298"/>
      <c r="AN2724" s="298"/>
      <c r="AO2724" s="298"/>
      <c r="AP2724" s="298"/>
      <c r="AQ2724" s="298"/>
      <c r="AR2724" s="298"/>
      <c r="AS2724" s="298"/>
      <c r="AT2724" s="298"/>
      <c r="AU2724" s="298"/>
      <c r="AV2724" s="298"/>
      <c r="AW2724" s="298"/>
      <c r="AX2724" s="298"/>
      <c r="AY2724" s="298"/>
      <c r="AZ2724" s="298"/>
      <c r="BA2724" s="298"/>
      <c r="BB2724" s="298"/>
      <c r="BC2724" s="298"/>
      <c r="BD2724" s="298"/>
      <c r="BE2724" s="298"/>
      <c r="BF2724" s="298"/>
      <c r="BG2724" s="298"/>
      <c r="BH2724" s="298"/>
      <c r="BI2724" s="298"/>
      <c r="BJ2724" s="298"/>
      <c r="BK2724" s="298"/>
      <c r="BL2724" s="298"/>
      <c r="BM2724" s="298"/>
      <c r="BN2724" s="298"/>
      <c r="BO2724" s="298"/>
      <c r="BP2724" s="298"/>
    </row>
    <row r="2725" spans="1:68" s="529" customFormat="1" ht="25.5">
      <c r="A2725" s="286" t="s">
        <v>3259</v>
      </c>
      <c r="B2725" s="288">
        <v>88267</v>
      </c>
      <c r="C2725" s="289" t="s">
        <v>107</v>
      </c>
      <c r="D2725" s="290" t="s">
        <v>9714</v>
      </c>
      <c r="E2725" s="290" t="s">
        <v>206</v>
      </c>
      <c r="F2725" s="383">
        <v>3.0647000000000002</v>
      </c>
      <c r="G2725" s="292" t="s">
        <v>10792</v>
      </c>
      <c r="H2725" s="255">
        <v>71.739999999999995</v>
      </c>
      <c r="I2725" s="298"/>
      <c r="J2725" s="298"/>
      <c r="K2725" s="298"/>
      <c r="L2725" s="298"/>
      <c r="M2725" s="298"/>
      <c r="N2725" s="298"/>
      <c r="O2725" s="298"/>
      <c r="P2725" s="298"/>
      <c r="Q2725" s="298"/>
      <c r="R2725" s="298"/>
      <c r="S2725" s="536"/>
      <c r="T2725" s="635"/>
      <c r="U2725" s="298"/>
      <c r="V2725" s="298"/>
      <c r="W2725" s="298"/>
      <c r="X2725" s="298"/>
      <c r="Y2725" s="298"/>
      <c r="Z2725" s="298"/>
      <c r="AA2725" s="298"/>
      <c r="AB2725" s="298"/>
      <c r="AC2725" s="298"/>
      <c r="AD2725" s="298"/>
      <c r="AE2725" s="298"/>
      <c r="AF2725" s="298"/>
      <c r="AG2725" s="298"/>
      <c r="AH2725" s="298"/>
      <c r="AI2725" s="298"/>
      <c r="AJ2725" s="298"/>
      <c r="AK2725" s="298"/>
      <c r="AL2725" s="298"/>
      <c r="AM2725" s="298"/>
      <c r="AN2725" s="298"/>
      <c r="AO2725" s="298"/>
      <c r="AP2725" s="298"/>
      <c r="AQ2725" s="298"/>
      <c r="AR2725" s="298"/>
      <c r="AS2725" s="298"/>
      <c r="AT2725" s="298"/>
      <c r="AU2725" s="298"/>
      <c r="AV2725" s="298"/>
      <c r="AW2725" s="298"/>
      <c r="AX2725" s="298"/>
      <c r="AY2725" s="298"/>
      <c r="AZ2725" s="298"/>
      <c r="BA2725" s="298"/>
      <c r="BB2725" s="298"/>
      <c r="BC2725" s="298"/>
      <c r="BD2725" s="298"/>
      <c r="BE2725" s="298"/>
      <c r="BF2725" s="298"/>
      <c r="BG2725" s="298"/>
      <c r="BH2725" s="298"/>
      <c r="BI2725" s="298"/>
      <c r="BJ2725" s="298"/>
      <c r="BK2725" s="298"/>
      <c r="BL2725" s="298"/>
      <c r="BM2725" s="298"/>
      <c r="BN2725" s="298"/>
      <c r="BO2725" s="298"/>
      <c r="BP2725" s="298"/>
    </row>
    <row r="2726" spans="1:68" s="529" customFormat="1" ht="12.75">
      <c r="A2726" s="286"/>
      <c r="B2726" s="375" t="s">
        <v>143</v>
      </c>
      <c r="C2726" s="816" t="s">
        <v>15141</v>
      </c>
      <c r="D2726" s="817"/>
      <c r="E2726" s="817"/>
      <c r="F2726" s="817"/>
      <c r="G2726" s="817"/>
      <c r="H2726" s="818"/>
      <c r="I2726" s="298"/>
      <c r="J2726" s="298"/>
      <c r="K2726" s="298"/>
      <c r="L2726" s="298"/>
      <c r="M2726" s="298"/>
      <c r="N2726" s="298"/>
      <c r="O2726" s="298"/>
      <c r="P2726" s="298"/>
      <c r="Q2726" s="298"/>
      <c r="R2726" s="298"/>
      <c r="S2726" s="536"/>
      <c r="T2726" s="635"/>
      <c r="U2726" s="298"/>
      <c r="V2726" s="298"/>
      <c r="W2726" s="298"/>
      <c r="X2726" s="298"/>
      <c r="Y2726" s="298"/>
      <c r="Z2726" s="298"/>
      <c r="AA2726" s="298"/>
      <c r="AB2726" s="298"/>
      <c r="AC2726" s="298"/>
      <c r="AD2726" s="298"/>
      <c r="AE2726" s="298"/>
      <c r="AF2726" s="298"/>
      <c r="AG2726" s="298"/>
      <c r="AH2726" s="298"/>
      <c r="AI2726" s="298"/>
      <c r="AJ2726" s="298"/>
      <c r="AK2726" s="298"/>
      <c r="AL2726" s="298"/>
      <c r="AM2726" s="298"/>
      <c r="AN2726" s="298"/>
      <c r="AO2726" s="298"/>
      <c r="AP2726" s="298"/>
      <c r="AQ2726" s="298"/>
      <c r="AR2726" s="298"/>
      <c r="AS2726" s="298"/>
      <c r="AT2726" s="298"/>
      <c r="AU2726" s="298"/>
      <c r="AV2726" s="298"/>
      <c r="AW2726" s="298"/>
      <c r="AX2726" s="298"/>
      <c r="AY2726" s="298"/>
      <c r="AZ2726" s="298"/>
      <c r="BA2726" s="298"/>
      <c r="BB2726" s="298"/>
      <c r="BC2726" s="298"/>
      <c r="BD2726" s="298"/>
      <c r="BE2726" s="298"/>
      <c r="BF2726" s="298"/>
      <c r="BG2726" s="298"/>
      <c r="BH2726" s="298"/>
      <c r="BI2726" s="298"/>
      <c r="BJ2726" s="298"/>
      <c r="BK2726" s="298"/>
      <c r="BL2726" s="298"/>
      <c r="BM2726" s="298"/>
      <c r="BN2726" s="298"/>
      <c r="BO2726" s="298"/>
      <c r="BP2726" s="298"/>
    </row>
    <row r="2727" spans="1:68" s="529" customFormat="1" ht="12.75">
      <c r="A2727" s="286"/>
      <c r="B2727" s="373"/>
      <c r="C2727" s="379"/>
      <c r="D2727" s="379"/>
      <c r="E2727" s="379"/>
      <c r="F2727" s="379"/>
      <c r="G2727" s="379"/>
      <c r="H2727" s="379"/>
      <c r="I2727" s="298"/>
      <c r="J2727" s="298"/>
      <c r="K2727" s="298"/>
      <c r="L2727" s="298"/>
      <c r="M2727" s="298"/>
      <c r="N2727" s="298"/>
      <c r="O2727" s="298"/>
      <c r="P2727" s="298"/>
      <c r="Q2727" s="298"/>
      <c r="R2727" s="298"/>
      <c r="S2727" s="536"/>
      <c r="T2727" s="635"/>
      <c r="U2727" s="298"/>
      <c r="V2727" s="298"/>
      <c r="W2727" s="298"/>
      <c r="X2727" s="298"/>
      <c r="Y2727" s="298"/>
      <c r="Z2727" s="298"/>
      <c r="AA2727" s="298"/>
      <c r="AB2727" s="298"/>
      <c r="AC2727" s="298"/>
      <c r="AD2727" s="298"/>
      <c r="AE2727" s="298"/>
      <c r="AF2727" s="298"/>
      <c r="AG2727" s="298"/>
      <c r="AH2727" s="298"/>
      <c r="AI2727" s="298"/>
      <c r="AJ2727" s="298"/>
      <c r="AK2727" s="298"/>
      <c r="AL2727" s="298"/>
      <c r="AM2727" s="298"/>
      <c r="AN2727" s="298"/>
      <c r="AO2727" s="298"/>
      <c r="AP2727" s="298"/>
      <c r="AQ2727" s="298"/>
      <c r="AR2727" s="298"/>
      <c r="AS2727" s="298"/>
      <c r="AT2727" s="298"/>
      <c r="AU2727" s="298"/>
      <c r="AV2727" s="298"/>
      <c r="AW2727" s="298"/>
      <c r="AX2727" s="298"/>
      <c r="AY2727" s="298"/>
      <c r="AZ2727" s="298"/>
      <c r="BA2727" s="298"/>
      <c r="BB2727" s="298"/>
      <c r="BC2727" s="298"/>
      <c r="BD2727" s="298"/>
      <c r="BE2727" s="298"/>
      <c r="BF2727" s="298"/>
      <c r="BG2727" s="298"/>
      <c r="BH2727" s="298"/>
      <c r="BI2727" s="298"/>
      <c r="BJ2727" s="298"/>
      <c r="BK2727" s="298"/>
      <c r="BL2727" s="298"/>
      <c r="BM2727" s="298"/>
      <c r="BN2727" s="298"/>
      <c r="BO2727" s="298"/>
      <c r="BP2727" s="298"/>
    </row>
    <row r="2728" spans="1:68" s="529" customFormat="1" ht="51">
      <c r="A2728" s="286"/>
      <c r="B2728" s="372" t="s">
        <v>15114</v>
      </c>
      <c r="C2728" s="231" t="s">
        <v>17914</v>
      </c>
      <c r="D2728" s="232" t="s">
        <v>103</v>
      </c>
      <c r="E2728" s="232" t="s">
        <v>109</v>
      </c>
      <c r="F2728" s="233"/>
      <c r="G2728" s="234"/>
      <c r="H2728" s="235">
        <v>164.22</v>
      </c>
      <c r="I2728" s="298"/>
      <c r="J2728" s="634"/>
      <c r="K2728" s="634"/>
      <c r="L2728" s="634"/>
      <c r="M2728" s="634"/>
      <c r="N2728" s="298"/>
      <c r="O2728" s="298"/>
      <c r="P2728" s="298"/>
      <c r="Q2728" s="298"/>
      <c r="R2728" s="298"/>
      <c r="S2728" s="536"/>
      <c r="T2728" s="635"/>
      <c r="U2728" s="298"/>
      <c r="V2728" s="298"/>
      <c r="W2728" s="298"/>
      <c r="X2728" s="298"/>
      <c r="Y2728" s="298"/>
      <c r="Z2728" s="298"/>
      <c r="AA2728" s="298"/>
      <c r="AB2728" s="298"/>
      <c r="AC2728" s="298"/>
      <c r="AD2728" s="298"/>
      <c r="AE2728" s="298"/>
      <c r="AF2728" s="298"/>
      <c r="AG2728" s="298"/>
      <c r="AH2728" s="298"/>
      <c r="AI2728" s="298"/>
      <c r="AJ2728" s="298"/>
      <c r="AK2728" s="298"/>
      <c r="AL2728" s="298"/>
      <c r="AM2728" s="298"/>
      <c r="AN2728" s="298"/>
      <c r="AO2728" s="298"/>
      <c r="AP2728" s="298"/>
      <c r="AQ2728" s="298"/>
      <c r="AR2728" s="298"/>
      <c r="AS2728" s="298"/>
      <c r="AT2728" s="298"/>
      <c r="AU2728" s="298"/>
      <c r="AV2728" s="298"/>
      <c r="AW2728" s="298"/>
      <c r="AX2728" s="298"/>
      <c r="AY2728" s="298"/>
      <c r="AZ2728" s="298"/>
      <c r="BA2728" s="298"/>
      <c r="BB2728" s="298"/>
      <c r="BC2728" s="298"/>
      <c r="BD2728" s="298"/>
      <c r="BE2728" s="298"/>
      <c r="BF2728" s="298"/>
      <c r="BG2728" s="298"/>
      <c r="BH2728" s="298"/>
      <c r="BI2728" s="298"/>
      <c r="BJ2728" s="298"/>
      <c r="BK2728" s="298"/>
      <c r="BL2728" s="298"/>
      <c r="BM2728" s="298"/>
      <c r="BN2728" s="298"/>
      <c r="BO2728" s="298"/>
      <c r="BP2728" s="298"/>
    </row>
    <row r="2729" spans="1:68" s="529" customFormat="1" ht="25.5">
      <c r="A2729" s="286" t="s">
        <v>12</v>
      </c>
      <c r="B2729" s="288" t="s">
        <v>14638</v>
      </c>
      <c r="C2729" s="289" t="s">
        <v>17954</v>
      </c>
      <c r="D2729" s="290" t="s">
        <v>207</v>
      </c>
      <c r="E2729" s="290" t="s">
        <v>109</v>
      </c>
      <c r="F2729" s="383">
        <v>1</v>
      </c>
      <c r="G2729" s="292">
        <v>144.84</v>
      </c>
      <c r="H2729" s="255">
        <v>144.84</v>
      </c>
      <c r="I2729" s="298"/>
      <c r="J2729" s="634"/>
      <c r="K2729" s="634"/>
      <c r="L2729" s="634"/>
      <c r="M2729" s="634"/>
      <c r="N2729" s="298"/>
      <c r="O2729" s="298"/>
      <c r="P2729" s="298"/>
      <c r="Q2729" s="298"/>
      <c r="R2729" s="298"/>
      <c r="S2729" s="536"/>
      <c r="T2729" s="635"/>
      <c r="U2729" s="298"/>
      <c r="V2729" s="298"/>
      <c r="W2729" s="298"/>
      <c r="X2729" s="298"/>
      <c r="Y2729" s="298"/>
      <c r="Z2729" s="298"/>
      <c r="AA2729" s="298"/>
      <c r="AB2729" s="298"/>
      <c r="AC2729" s="298"/>
      <c r="AD2729" s="298"/>
      <c r="AE2729" s="298"/>
      <c r="AF2729" s="298"/>
      <c r="AG2729" s="298"/>
      <c r="AH2729" s="298"/>
      <c r="AI2729" s="298"/>
      <c r="AJ2729" s="298"/>
      <c r="AK2729" s="298"/>
      <c r="AL2729" s="298"/>
      <c r="AM2729" s="298"/>
      <c r="AN2729" s="298"/>
      <c r="AO2729" s="298"/>
      <c r="AP2729" s="298"/>
      <c r="AQ2729" s="298"/>
      <c r="AR2729" s="298"/>
      <c r="AS2729" s="298"/>
      <c r="AT2729" s="298"/>
      <c r="AU2729" s="298"/>
      <c r="AV2729" s="298"/>
      <c r="AW2729" s="298"/>
      <c r="AX2729" s="298"/>
      <c r="AY2729" s="298"/>
      <c r="AZ2729" s="298"/>
      <c r="BA2729" s="298"/>
      <c r="BB2729" s="298"/>
      <c r="BC2729" s="298"/>
      <c r="BD2729" s="298"/>
      <c r="BE2729" s="298"/>
      <c r="BF2729" s="298"/>
      <c r="BG2729" s="298"/>
      <c r="BH2729" s="298"/>
      <c r="BI2729" s="298"/>
      <c r="BJ2729" s="298"/>
      <c r="BK2729" s="298"/>
      <c r="BL2729" s="298"/>
      <c r="BM2729" s="298"/>
      <c r="BN2729" s="298"/>
      <c r="BO2729" s="298"/>
      <c r="BP2729" s="298"/>
    </row>
    <row r="2730" spans="1:68" s="529" customFormat="1" ht="51">
      <c r="A2730" s="286" t="s">
        <v>3261</v>
      </c>
      <c r="B2730" s="288">
        <v>4350</v>
      </c>
      <c r="C2730" s="289" t="s">
        <v>5018</v>
      </c>
      <c r="D2730" s="290" t="s">
        <v>207</v>
      </c>
      <c r="E2730" s="290" t="s">
        <v>3240</v>
      </c>
      <c r="F2730" s="383">
        <v>1</v>
      </c>
      <c r="G2730" s="292" t="s">
        <v>9984</v>
      </c>
      <c r="H2730" s="255">
        <v>0.35</v>
      </c>
      <c r="I2730" s="298"/>
      <c r="J2730" s="298"/>
      <c r="K2730" s="298"/>
      <c r="L2730" s="298"/>
      <c r="M2730" s="298"/>
      <c r="N2730" s="298"/>
      <c r="O2730" s="298"/>
      <c r="P2730" s="298"/>
      <c r="Q2730" s="298"/>
      <c r="R2730" s="298"/>
      <c r="S2730" s="536"/>
      <c r="T2730" s="635"/>
      <c r="U2730" s="298"/>
      <c r="V2730" s="298"/>
      <c r="W2730" s="298"/>
      <c r="X2730" s="298"/>
      <c r="Y2730" s="298"/>
      <c r="Z2730" s="298"/>
      <c r="AA2730" s="298"/>
      <c r="AB2730" s="298"/>
      <c r="AC2730" s="298"/>
      <c r="AD2730" s="298"/>
      <c r="AE2730" s="298"/>
      <c r="AF2730" s="298"/>
      <c r="AG2730" s="298"/>
      <c r="AH2730" s="298"/>
      <c r="AI2730" s="298"/>
      <c r="AJ2730" s="298"/>
      <c r="AK2730" s="298"/>
      <c r="AL2730" s="298"/>
      <c r="AM2730" s="298"/>
      <c r="AN2730" s="298"/>
      <c r="AO2730" s="298"/>
      <c r="AP2730" s="298"/>
      <c r="AQ2730" s="298"/>
      <c r="AR2730" s="298"/>
      <c r="AS2730" s="298"/>
      <c r="AT2730" s="298"/>
      <c r="AU2730" s="298"/>
      <c r="AV2730" s="298"/>
      <c r="AW2730" s="298"/>
      <c r="AX2730" s="298"/>
      <c r="AY2730" s="298"/>
      <c r="AZ2730" s="298"/>
      <c r="BA2730" s="298"/>
      <c r="BB2730" s="298"/>
      <c r="BC2730" s="298"/>
      <c r="BD2730" s="298"/>
      <c r="BE2730" s="298"/>
      <c r="BF2730" s="298"/>
      <c r="BG2730" s="298"/>
      <c r="BH2730" s="298"/>
      <c r="BI2730" s="298"/>
      <c r="BJ2730" s="298"/>
      <c r="BK2730" s="298"/>
      <c r="BL2730" s="298"/>
      <c r="BM2730" s="298"/>
      <c r="BN2730" s="298"/>
      <c r="BO2730" s="298"/>
      <c r="BP2730" s="298"/>
    </row>
    <row r="2731" spans="1:68" s="529" customFormat="1" ht="38.25">
      <c r="A2731" s="286" t="s">
        <v>3259</v>
      </c>
      <c r="B2731" s="288">
        <v>88248</v>
      </c>
      <c r="C2731" s="289" t="s">
        <v>106</v>
      </c>
      <c r="D2731" s="290" t="s">
        <v>9714</v>
      </c>
      <c r="E2731" s="290" t="s">
        <v>206</v>
      </c>
      <c r="F2731" s="383">
        <v>0.45739999999999997</v>
      </c>
      <c r="G2731" s="292" t="s">
        <v>10175</v>
      </c>
      <c r="H2731" s="255">
        <v>8.33</v>
      </c>
      <c r="I2731" s="298"/>
      <c r="J2731" s="298"/>
      <c r="K2731" s="298"/>
      <c r="L2731" s="298"/>
      <c r="M2731" s="298"/>
      <c r="N2731" s="298"/>
      <c r="O2731" s="298"/>
      <c r="P2731" s="298"/>
      <c r="Q2731" s="298"/>
      <c r="R2731" s="298"/>
      <c r="S2731" s="536"/>
      <c r="T2731" s="635"/>
      <c r="U2731" s="298"/>
      <c r="V2731" s="298"/>
      <c r="W2731" s="298"/>
      <c r="X2731" s="298"/>
      <c r="Y2731" s="298"/>
      <c r="Z2731" s="298"/>
      <c r="AA2731" s="298"/>
      <c r="AB2731" s="298"/>
      <c r="AC2731" s="298"/>
      <c r="AD2731" s="298"/>
      <c r="AE2731" s="298"/>
      <c r="AF2731" s="298"/>
      <c r="AG2731" s="298"/>
      <c r="AH2731" s="298"/>
      <c r="AI2731" s="298"/>
      <c r="AJ2731" s="298"/>
      <c r="AK2731" s="298"/>
      <c r="AL2731" s="298"/>
      <c r="AM2731" s="298"/>
      <c r="AN2731" s="298"/>
      <c r="AO2731" s="298"/>
      <c r="AP2731" s="298"/>
      <c r="AQ2731" s="298"/>
      <c r="AR2731" s="298"/>
      <c r="AS2731" s="298"/>
      <c r="AT2731" s="298"/>
      <c r="AU2731" s="298"/>
      <c r="AV2731" s="298"/>
      <c r="AW2731" s="298"/>
      <c r="AX2731" s="298"/>
      <c r="AY2731" s="298"/>
      <c r="AZ2731" s="298"/>
      <c r="BA2731" s="298"/>
      <c r="BB2731" s="298"/>
      <c r="BC2731" s="298"/>
      <c r="BD2731" s="298"/>
      <c r="BE2731" s="298"/>
      <c r="BF2731" s="298"/>
      <c r="BG2731" s="298"/>
      <c r="BH2731" s="298"/>
      <c r="BI2731" s="298"/>
      <c r="BJ2731" s="298"/>
      <c r="BK2731" s="298"/>
      <c r="BL2731" s="298"/>
      <c r="BM2731" s="298"/>
      <c r="BN2731" s="298"/>
      <c r="BO2731" s="298"/>
      <c r="BP2731" s="298"/>
    </row>
    <row r="2732" spans="1:68" s="529" customFormat="1" ht="25.5">
      <c r="A2732" s="286" t="s">
        <v>3259</v>
      </c>
      <c r="B2732" s="288">
        <v>88267</v>
      </c>
      <c r="C2732" s="289" t="s">
        <v>107</v>
      </c>
      <c r="D2732" s="290" t="s">
        <v>9714</v>
      </c>
      <c r="E2732" s="290" t="s">
        <v>206</v>
      </c>
      <c r="F2732" s="383">
        <v>0.45739999999999997</v>
      </c>
      <c r="G2732" s="292" t="s">
        <v>10792</v>
      </c>
      <c r="H2732" s="255">
        <v>10.7</v>
      </c>
      <c r="I2732" s="298"/>
      <c r="J2732" s="298"/>
      <c r="K2732" s="298"/>
      <c r="L2732" s="298"/>
      <c r="M2732" s="298"/>
      <c r="N2732" s="298"/>
      <c r="O2732" s="298"/>
      <c r="P2732" s="298"/>
      <c r="Q2732" s="298"/>
      <c r="R2732" s="298"/>
      <c r="S2732" s="536"/>
      <c r="T2732" s="635"/>
      <c r="U2732" s="298"/>
      <c r="V2732" s="298"/>
      <c r="W2732" s="298"/>
      <c r="X2732" s="298"/>
      <c r="Y2732" s="298"/>
      <c r="Z2732" s="298"/>
      <c r="AA2732" s="298"/>
      <c r="AB2732" s="298"/>
      <c r="AC2732" s="298"/>
      <c r="AD2732" s="298"/>
      <c r="AE2732" s="298"/>
      <c r="AF2732" s="298"/>
      <c r="AG2732" s="298"/>
      <c r="AH2732" s="298"/>
      <c r="AI2732" s="298"/>
      <c r="AJ2732" s="298"/>
      <c r="AK2732" s="298"/>
      <c r="AL2732" s="298"/>
      <c r="AM2732" s="298"/>
      <c r="AN2732" s="298"/>
      <c r="AO2732" s="298"/>
      <c r="AP2732" s="298"/>
      <c r="AQ2732" s="298"/>
      <c r="AR2732" s="298"/>
      <c r="AS2732" s="298"/>
      <c r="AT2732" s="298"/>
      <c r="AU2732" s="298"/>
      <c r="AV2732" s="298"/>
      <c r="AW2732" s="298"/>
      <c r="AX2732" s="298"/>
      <c r="AY2732" s="298"/>
      <c r="AZ2732" s="298"/>
      <c r="BA2732" s="298"/>
      <c r="BB2732" s="298"/>
      <c r="BC2732" s="298"/>
      <c r="BD2732" s="298"/>
      <c r="BE2732" s="298"/>
      <c r="BF2732" s="298"/>
      <c r="BG2732" s="298"/>
      <c r="BH2732" s="298"/>
      <c r="BI2732" s="298"/>
      <c r="BJ2732" s="298"/>
      <c r="BK2732" s="298"/>
      <c r="BL2732" s="298"/>
      <c r="BM2732" s="298"/>
      <c r="BN2732" s="298"/>
      <c r="BO2732" s="298"/>
      <c r="BP2732" s="298"/>
    </row>
    <row r="2733" spans="1:68" s="529" customFormat="1" ht="12.75">
      <c r="A2733" s="286"/>
      <c r="B2733" s="375" t="s">
        <v>143</v>
      </c>
      <c r="C2733" s="816" t="s">
        <v>17915</v>
      </c>
      <c r="D2733" s="817"/>
      <c r="E2733" s="817"/>
      <c r="F2733" s="817"/>
      <c r="G2733" s="817"/>
      <c r="H2733" s="818"/>
      <c r="I2733" s="298"/>
      <c r="J2733" s="298"/>
      <c r="K2733" s="298"/>
      <c r="L2733" s="298"/>
      <c r="M2733" s="298"/>
      <c r="N2733" s="298"/>
      <c r="O2733" s="298"/>
      <c r="P2733" s="298"/>
      <c r="Q2733" s="298"/>
      <c r="R2733" s="298"/>
      <c r="S2733" s="536"/>
      <c r="T2733" s="635"/>
      <c r="U2733" s="298"/>
      <c r="V2733" s="298"/>
      <c r="W2733" s="298"/>
      <c r="X2733" s="298"/>
      <c r="Y2733" s="298"/>
      <c r="Z2733" s="298"/>
      <c r="AA2733" s="298"/>
      <c r="AB2733" s="298"/>
      <c r="AC2733" s="298"/>
      <c r="AD2733" s="298"/>
      <c r="AE2733" s="298"/>
      <c r="AF2733" s="298"/>
      <c r="AG2733" s="298"/>
      <c r="AH2733" s="298"/>
      <c r="AI2733" s="298"/>
      <c r="AJ2733" s="298"/>
      <c r="AK2733" s="298"/>
      <c r="AL2733" s="298"/>
      <c r="AM2733" s="298"/>
      <c r="AN2733" s="298"/>
      <c r="AO2733" s="298"/>
      <c r="AP2733" s="298"/>
      <c r="AQ2733" s="298"/>
      <c r="AR2733" s="298"/>
      <c r="AS2733" s="298"/>
      <c r="AT2733" s="298"/>
      <c r="AU2733" s="298"/>
      <c r="AV2733" s="298"/>
      <c r="AW2733" s="298"/>
      <c r="AX2733" s="298"/>
      <c r="AY2733" s="298"/>
      <c r="AZ2733" s="298"/>
      <c r="BA2733" s="298"/>
      <c r="BB2733" s="298"/>
      <c r="BC2733" s="298"/>
      <c r="BD2733" s="298"/>
      <c r="BE2733" s="298"/>
      <c r="BF2733" s="298"/>
      <c r="BG2733" s="298"/>
      <c r="BH2733" s="298"/>
      <c r="BI2733" s="298"/>
      <c r="BJ2733" s="298"/>
      <c r="BK2733" s="298"/>
      <c r="BL2733" s="298"/>
      <c r="BM2733" s="298"/>
      <c r="BN2733" s="298"/>
      <c r="BO2733" s="298"/>
      <c r="BP2733" s="298"/>
    </row>
    <row r="2734" spans="1:68" s="529" customFormat="1" ht="12.75">
      <c r="A2734" s="286"/>
      <c r="B2734" s="373"/>
      <c r="C2734" s="379"/>
      <c r="D2734" s="379"/>
      <c r="E2734" s="379"/>
      <c r="F2734" s="379"/>
      <c r="G2734" s="379"/>
      <c r="H2734" s="379"/>
      <c r="I2734" s="298"/>
      <c r="J2734" s="634"/>
      <c r="K2734" s="634"/>
      <c r="L2734" s="634"/>
      <c r="M2734" s="634"/>
      <c r="N2734" s="298"/>
      <c r="O2734" s="298"/>
      <c r="P2734" s="298"/>
      <c r="Q2734" s="298"/>
      <c r="R2734" s="298"/>
      <c r="S2734" s="536"/>
      <c r="T2734" s="635"/>
      <c r="U2734" s="298"/>
      <c r="V2734" s="298"/>
      <c r="W2734" s="298"/>
      <c r="X2734" s="298"/>
      <c r="Y2734" s="298"/>
      <c r="Z2734" s="298"/>
      <c r="AA2734" s="298"/>
      <c r="AB2734" s="298"/>
      <c r="AC2734" s="298"/>
      <c r="AD2734" s="298"/>
      <c r="AE2734" s="298"/>
      <c r="AF2734" s="298"/>
      <c r="AG2734" s="298"/>
      <c r="AH2734" s="298"/>
      <c r="AI2734" s="298"/>
      <c r="AJ2734" s="298"/>
      <c r="AK2734" s="298"/>
      <c r="AL2734" s="298"/>
      <c r="AM2734" s="298"/>
      <c r="AN2734" s="298"/>
      <c r="AO2734" s="298"/>
      <c r="AP2734" s="298"/>
      <c r="AQ2734" s="298"/>
      <c r="AR2734" s="298"/>
      <c r="AS2734" s="298"/>
      <c r="AT2734" s="298"/>
      <c r="AU2734" s="298"/>
      <c r="AV2734" s="298"/>
      <c r="AW2734" s="298"/>
      <c r="AX2734" s="298"/>
      <c r="AY2734" s="298"/>
      <c r="AZ2734" s="298"/>
      <c r="BA2734" s="298"/>
      <c r="BB2734" s="298"/>
      <c r="BC2734" s="298"/>
      <c r="BD2734" s="298"/>
      <c r="BE2734" s="298"/>
      <c r="BF2734" s="298"/>
      <c r="BG2734" s="298"/>
      <c r="BH2734" s="298"/>
      <c r="BI2734" s="298"/>
      <c r="BJ2734" s="298"/>
      <c r="BK2734" s="298"/>
      <c r="BL2734" s="298"/>
      <c r="BM2734" s="298"/>
      <c r="BN2734" s="298"/>
      <c r="BO2734" s="298"/>
      <c r="BP2734" s="298"/>
    </row>
    <row r="2735" spans="1:68" s="529" customFormat="1" ht="76.5">
      <c r="A2735" s="286"/>
      <c r="B2735" s="372" t="s">
        <v>15116</v>
      </c>
      <c r="C2735" s="231" t="s">
        <v>15120</v>
      </c>
      <c r="D2735" s="232" t="s">
        <v>103</v>
      </c>
      <c r="E2735" s="232" t="s">
        <v>109</v>
      </c>
      <c r="F2735" s="233"/>
      <c r="G2735" s="234"/>
      <c r="H2735" s="235">
        <v>34.21</v>
      </c>
      <c r="I2735" s="298"/>
      <c r="J2735" s="634"/>
      <c r="K2735" s="634"/>
      <c r="L2735" s="634"/>
      <c r="M2735" s="634"/>
      <c r="N2735" s="298"/>
      <c r="O2735" s="298"/>
      <c r="P2735" s="298"/>
      <c r="Q2735" s="298"/>
      <c r="R2735" s="298"/>
      <c r="S2735" s="536"/>
      <c r="T2735" s="635"/>
      <c r="U2735" s="298"/>
      <c r="V2735" s="298"/>
      <c r="W2735" s="298"/>
      <c r="X2735" s="298"/>
      <c r="Y2735" s="298"/>
      <c r="Z2735" s="298"/>
      <c r="AA2735" s="298"/>
      <c r="AB2735" s="298"/>
      <c r="AC2735" s="298"/>
      <c r="AD2735" s="298"/>
      <c r="AE2735" s="298"/>
      <c r="AF2735" s="298"/>
      <c r="AG2735" s="298"/>
      <c r="AH2735" s="298"/>
      <c r="AI2735" s="298"/>
      <c r="AJ2735" s="298"/>
      <c r="AK2735" s="298"/>
      <c r="AL2735" s="298"/>
      <c r="AM2735" s="298"/>
      <c r="AN2735" s="298"/>
      <c r="AO2735" s="298"/>
      <c r="AP2735" s="298"/>
      <c r="AQ2735" s="298"/>
      <c r="AR2735" s="298"/>
      <c r="AS2735" s="298"/>
      <c r="AT2735" s="298"/>
      <c r="AU2735" s="298"/>
      <c r="AV2735" s="298"/>
      <c r="AW2735" s="298"/>
      <c r="AX2735" s="298"/>
      <c r="AY2735" s="298"/>
      <c r="AZ2735" s="298"/>
      <c r="BA2735" s="298"/>
      <c r="BB2735" s="298"/>
      <c r="BC2735" s="298"/>
      <c r="BD2735" s="298"/>
      <c r="BE2735" s="298"/>
      <c r="BF2735" s="298"/>
      <c r="BG2735" s="298"/>
      <c r="BH2735" s="298"/>
      <c r="BI2735" s="298"/>
      <c r="BJ2735" s="298"/>
      <c r="BK2735" s="298"/>
      <c r="BL2735" s="298"/>
      <c r="BM2735" s="298"/>
      <c r="BN2735" s="298"/>
      <c r="BO2735" s="298"/>
      <c r="BP2735" s="298"/>
    </row>
    <row r="2736" spans="1:68" s="529" customFormat="1" ht="63.75">
      <c r="A2736" s="286" t="s">
        <v>3261</v>
      </c>
      <c r="B2736" s="288">
        <v>37556</v>
      </c>
      <c r="C2736" s="289" t="s">
        <v>20400</v>
      </c>
      <c r="D2736" s="290" t="s">
        <v>207</v>
      </c>
      <c r="E2736" s="290" t="s">
        <v>3240</v>
      </c>
      <c r="F2736" s="383">
        <v>1</v>
      </c>
      <c r="G2736" s="292" t="s">
        <v>11266</v>
      </c>
      <c r="H2736" s="255">
        <v>25.91</v>
      </c>
      <c r="I2736" s="298"/>
      <c r="J2736" s="634"/>
      <c r="K2736" s="634"/>
      <c r="L2736" s="634"/>
      <c r="M2736" s="634"/>
      <c r="N2736" s="298"/>
      <c r="O2736" s="298"/>
      <c r="P2736" s="298"/>
      <c r="Q2736" s="298"/>
      <c r="R2736" s="298"/>
      <c r="S2736" s="536"/>
      <c r="T2736" s="635"/>
      <c r="U2736" s="298"/>
      <c r="V2736" s="298"/>
      <c r="W2736" s="298"/>
      <c r="X2736" s="298"/>
      <c r="Y2736" s="298"/>
      <c r="Z2736" s="298"/>
      <c r="AA2736" s="298"/>
      <c r="AB2736" s="298"/>
      <c r="AC2736" s="298"/>
      <c r="AD2736" s="298"/>
      <c r="AE2736" s="298"/>
      <c r="AF2736" s="298"/>
      <c r="AG2736" s="298"/>
      <c r="AH2736" s="298"/>
      <c r="AI2736" s="298"/>
      <c r="AJ2736" s="298"/>
      <c r="AK2736" s="298"/>
      <c r="AL2736" s="298"/>
      <c r="AM2736" s="298"/>
      <c r="AN2736" s="298"/>
      <c r="AO2736" s="298"/>
      <c r="AP2736" s="298"/>
      <c r="AQ2736" s="298"/>
      <c r="AR2736" s="298"/>
      <c r="AS2736" s="298"/>
      <c r="AT2736" s="298"/>
      <c r="AU2736" s="298"/>
      <c r="AV2736" s="298"/>
      <c r="AW2736" s="298"/>
      <c r="AX2736" s="298"/>
      <c r="AY2736" s="298"/>
      <c r="AZ2736" s="298"/>
      <c r="BA2736" s="298"/>
      <c r="BB2736" s="298"/>
      <c r="BC2736" s="298"/>
      <c r="BD2736" s="298"/>
      <c r="BE2736" s="298"/>
      <c r="BF2736" s="298"/>
      <c r="BG2736" s="298"/>
      <c r="BH2736" s="298"/>
      <c r="BI2736" s="298"/>
      <c r="BJ2736" s="298"/>
      <c r="BK2736" s="298"/>
      <c r="BL2736" s="298"/>
      <c r="BM2736" s="298"/>
      <c r="BN2736" s="298"/>
      <c r="BO2736" s="298"/>
      <c r="BP2736" s="298"/>
    </row>
    <row r="2737" spans="1:68" s="529" customFormat="1" ht="25.5">
      <c r="A2737" s="286" t="s">
        <v>3259</v>
      </c>
      <c r="B2737" s="288">
        <v>88309</v>
      </c>
      <c r="C2737" s="289" t="s">
        <v>105</v>
      </c>
      <c r="D2737" s="290" t="s">
        <v>9714</v>
      </c>
      <c r="E2737" s="290" t="s">
        <v>206</v>
      </c>
      <c r="F2737" s="383">
        <v>0.2</v>
      </c>
      <c r="G2737" s="292" t="s">
        <v>11439</v>
      </c>
      <c r="H2737" s="255">
        <v>4.78</v>
      </c>
      <c r="I2737" s="298"/>
      <c r="J2737" s="634"/>
      <c r="K2737" s="634"/>
      <c r="L2737" s="634"/>
      <c r="M2737" s="634"/>
      <c r="N2737" s="298"/>
      <c r="O2737" s="298"/>
      <c r="P2737" s="298"/>
      <c r="Q2737" s="298"/>
      <c r="R2737" s="298"/>
      <c r="S2737" s="536"/>
      <c r="T2737" s="635"/>
      <c r="U2737" s="298"/>
      <c r="V2737" s="298"/>
      <c r="W2737" s="298"/>
      <c r="X2737" s="298"/>
      <c r="Y2737" s="298"/>
      <c r="Z2737" s="298"/>
      <c r="AA2737" s="298"/>
      <c r="AB2737" s="298"/>
      <c r="AC2737" s="298"/>
      <c r="AD2737" s="298"/>
      <c r="AE2737" s="298"/>
      <c r="AF2737" s="298"/>
      <c r="AG2737" s="298"/>
      <c r="AH2737" s="298"/>
      <c r="AI2737" s="298"/>
      <c r="AJ2737" s="298"/>
      <c r="AK2737" s="298"/>
      <c r="AL2737" s="298"/>
      <c r="AM2737" s="298"/>
      <c r="AN2737" s="298"/>
      <c r="AO2737" s="298"/>
      <c r="AP2737" s="298"/>
      <c r="AQ2737" s="298"/>
      <c r="AR2737" s="298"/>
      <c r="AS2737" s="298"/>
      <c r="AT2737" s="298"/>
      <c r="AU2737" s="298"/>
      <c r="AV2737" s="298"/>
      <c r="AW2737" s="298"/>
      <c r="AX2737" s="298"/>
      <c r="AY2737" s="298"/>
      <c r="AZ2737" s="298"/>
      <c r="BA2737" s="298"/>
      <c r="BB2737" s="298"/>
      <c r="BC2737" s="298"/>
      <c r="BD2737" s="298"/>
      <c r="BE2737" s="298"/>
      <c r="BF2737" s="298"/>
      <c r="BG2737" s="298"/>
      <c r="BH2737" s="298"/>
      <c r="BI2737" s="298"/>
      <c r="BJ2737" s="298"/>
      <c r="BK2737" s="298"/>
      <c r="BL2737" s="298"/>
      <c r="BM2737" s="298"/>
      <c r="BN2737" s="298"/>
      <c r="BO2737" s="298"/>
      <c r="BP2737" s="298"/>
    </row>
    <row r="2738" spans="1:68" s="529" customFormat="1" ht="25.5">
      <c r="A2738" s="286" t="s">
        <v>3259</v>
      </c>
      <c r="B2738" s="288">
        <v>88316</v>
      </c>
      <c r="C2738" s="289" t="s">
        <v>104</v>
      </c>
      <c r="D2738" s="290" t="s">
        <v>9714</v>
      </c>
      <c r="E2738" s="290" t="s">
        <v>206</v>
      </c>
      <c r="F2738" s="383">
        <v>0.2</v>
      </c>
      <c r="G2738" s="292" t="s">
        <v>10172</v>
      </c>
      <c r="H2738" s="255">
        <v>3.52</v>
      </c>
      <c r="I2738" s="298"/>
      <c r="J2738" s="634"/>
      <c r="K2738" s="634"/>
      <c r="L2738" s="634"/>
      <c r="M2738" s="634"/>
      <c r="N2738" s="298"/>
      <c r="O2738" s="298"/>
      <c r="P2738" s="298"/>
      <c r="Q2738" s="298"/>
      <c r="R2738" s="298"/>
      <c r="S2738" s="536"/>
      <c r="T2738" s="635"/>
      <c r="U2738" s="298"/>
      <c r="V2738" s="298"/>
      <c r="W2738" s="298"/>
      <c r="X2738" s="298"/>
      <c r="Y2738" s="298"/>
      <c r="Z2738" s="298"/>
      <c r="AA2738" s="298"/>
      <c r="AB2738" s="298"/>
      <c r="AC2738" s="298"/>
      <c r="AD2738" s="298"/>
      <c r="AE2738" s="298"/>
      <c r="AF2738" s="298"/>
      <c r="AG2738" s="298"/>
      <c r="AH2738" s="298"/>
      <c r="AI2738" s="298"/>
      <c r="AJ2738" s="298"/>
      <c r="AK2738" s="298"/>
      <c r="AL2738" s="298"/>
      <c r="AM2738" s="298"/>
      <c r="AN2738" s="298"/>
      <c r="AO2738" s="298"/>
      <c r="AP2738" s="298"/>
      <c r="AQ2738" s="298"/>
      <c r="AR2738" s="298"/>
      <c r="AS2738" s="298"/>
      <c r="AT2738" s="298"/>
      <c r="AU2738" s="298"/>
      <c r="AV2738" s="298"/>
      <c r="AW2738" s="298"/>
      <c r="AX2738" s="298"/>
      <c r="AY2738" s="298"/>
      <c r="AZ2738" s="298"/>
      <c r="BA2738" s="298"/>
      <c r="BB2738" s="298"/>
      <c r="BC2738" s="298"/>
      <c r="BD2738" s="298"/>
      <c r="BE2738" s="298"/>
      <c r="BF2738" s="298"/>
      <c r="BG2738" s="298"/>
      <c r="BH2738" s="298"/>
      <c r="BI2738" s="298"/>
      <c r="BJ2738" s="298"/>
      <c r="BK2738" s="298"/>
      <c r="BL2738" s="298"/>
      <c r="BM2738" s="298"/>
      <c r="BN2738" s="298"/>
      <c r="BO2738" s="298"/>
      <c r="BP2738" s="298"/>
    </row>
    <row r="2739" spans="1:68" s="529" customFormat="1" ht="12.75">
      <c r="A2739" s="286"/>
      <c r="B2739" s="375" t="s">
        <v>143</v>
      </c>
      <c r="C2739" s="816" t="s">
        <v>15112</v>
      </c>
      <c r="D2739" s="817"/>
      <c r="E2739" s="817"/>
      <c r="F2739" s="817"/>
      <c r="G2739" s="817"/>
      <c r="H2739" s="818"/>
      <c r="I2739" s="298"/>
      <c r="J2739" s="634"/>
      <c r="K2739" s="634"/>
      <c r="L2739" s="634"/>
      <c r="M2739" s="634"/>
      <c r="N2739" s="298"/>
      <c r="O2739" s="298"/>
      <c r="P2739" s="298"/>
      <c r="Q2739" s="298"/>
      <c r="R2739" s="298"/>
      <c r="S2739" s="536"/>
      <c r="T2739" s="635"/>
      <c r="U2739" s="298"/>
      <c r="V2739" s="298"/>
      <c r="W2739" s="298"/>
      <c r="X2739" s="298"/>
      <c r="Y2739" s="298"/>
      <c r="Z2739" s="298"/>
      <c r="AA2739" s="298"/>
      <c r="AB2739" s="298"/>
      <c r="AC2739" s="298"/>
      <c r="AD2739" s="298"/>
      <c r="AE2739" s="298"/>
      <c r="AF2739" s="298"/>
      <c r="AG2739" s="298"/>
      <c r="AH2739" s="298"/>
      <c r="AI2739" s="298"/>
      <c r="AJ2739" s="298"/>
      <c r="AK2739" s="298"/>
      <c r="AL2739" s="298"/>
      <c r="AM2739" s="298"/>
      <c r="AN2739" s="298"/>
      <c r="AO2739" s="298"/>
      <c r="AP2739" s="298"/>
      <c r="AQ2739" s="298"/>
      <c r="AR2739" s="298"/>
      <c r="AS2739" s="298"/>
      <c r="AT2739" s="298"/>
      <c r="AU2739" s="298"/>
      <c r="AV2739" s="298"/>
      <c r="AW2739" s="298"/>
      <c r="AX2739" s="298"/>
      <c r="AY2739" s="298"/>
      <c r="AZ2739" s="298"/>
      <c r="BA2739" s="298"/>
      <c r="BB2739" s="298"/>
      <c r="BC2739" s="298"/>
      <c r="BD2739" s="298"/>
      <c r="BE2739" s="298"/>
      <c r="BF2739" s="298"/>
      <c r="BG2739" s="298"/>
      <c r="BH2739" s="298"/>
      <c r="BI2739" s="298"/>
      <c r="BJ2739" s="298"/>
      <c r="BK2739" s="298"/>
      <c r="BL2739" s="298"/>
      <c r="BM2739" s="298"/>
      <c r="BN2739" s="298"/>
      <c r="BO2739" s="298"/>
      <c r="BP2739" s="298"/>
    </row>
    <row r="2740" spans="1:68" s="529" customFormat="1" ht="12.75">
      <c r="A2740" s="286"/>
      <c r="B2740" s="373"/>
      <c r="C2740" s="379"/>
      <c r="D2740" s="379"/>
      <c r="E2740" s="379"/>
      <c r="F2740" s="379"/>
      <c r="G2740" s="379"/>
      <c r="H2740" s="379"/>
      <c r="I2740" s="298"/>
      <c r="J2740" s="634"/>
      <c r="K2740" s="634"/>
      <c r="L2740" s="634"/>
      <c r="M2740" s="634"/>
      <c r="N2740" s="298"/>
      <c r="O2740" s="298"/>
      <c r="P2740" s="298"/>
      <c r="Q2740" s="298"/>
      <c r="R2740" s="298"/>
      <c r="S2740" s="536"/>
      <c r="T2740" s="635"/>
      <c r="U2740" s="298"/>
      <c r="V2740" s="298"/>
      <c r="W2740" s="298"/>
      <c r="X2740" s="298"/>
      <c r="Y2740" s="298"/>
      <c r="Z2740" s="298"/>
      <c r="AA2740" s="298"/>
      <c r="AB2740" s="298"/>
      <c r="AC2740" s="298"/>
      <c r="AD2740" s="298"/>
      <c r="AE2740" s="298"/>
      <c r="AF2740" s="298"/>
      <c r="AG2740" s="298"/>
      <c r="AH2740" s="298"/>
      <c r="AI2740" s="298"/>
      <c r="AJ2740" s="298"/>
      <c r="AK2740" s="298"/>
      <c r="AL2740" s="298"/>
      <c r="AM2740" s="298"/>
      <c r="AN2740" s="298"/>
      <c r="AO2740" s="298"/>
      <c r="AP2740" s="298"/>
      <c r="AQ2740" s="298"/>
      <c r="AR2740" s="298"/>
      <c r="AS2740" s="298"/>
      <c r="AT2740" s="298"/>
      <c r="AU2740" s="298"/>
      <c r="AV2740" s="298"/>
      <c r="AW2740" s="298"/>
      <c r="AX2740" s="298"/>
      <c r="AY2740" s="298"/>
      <c r="AZ2740" s="298"/>
      <c r="BA2740" s="298"/>
      <c r="BB2740" s="298"/>
      <c r="BC2740" s="298"/>
      <c r="BD2740" s="298"/>
      <c r="BE2740" s="298"/>
      <c r="BF2740" s="298"/>
      <c r="BG2740" s="298"/>
      <c r="BH2740" s="298"/>
      <c r="BI2740" s="298"/>
      <c r="BJ2740" s="298"/>
      <c r="BK2740" s="298"/>
      <c r="BL2740" s="298"/>
      <c r="BM2740" s="298"/>
      <c r="BN2740" s="298"/>
      <c r="BO2740" s="298"/>
      <c r="BP2740" s="298"/>
    </row>
    <row r="2741" spans="1:68" s="529" customFormat="1" ht="25.5">
      <c r="A2741" s="286"/>
      <c r="B2741" s="372" t="s">
        <v>15121</v>
      </c>
      <c r="C2741" s="231" t="s">
        <v>24509</v>
      </c>
      <c r="D2741" s="232" t="s">
        <v>103</v>
      </c>
      <c r="E2741" s="232" t="s">
        <v>109</v>
      </c>
      <c r="F2741" s="233"/>
      <c r="G2741" s="234"/>
      <c r="H2741" s="235">
        <v>124.11000000000001</v>
      </c>
      <c r="I2741" s="298"/>
      <c r="J2741" s="634"/>
      <c r="K2741" s="634"/>
      <c r="L2741" s="634"/>
      <c r="M2741" s="634"/>
      <c r="N2741" s="298"/>
      <c r="O2741" s="298"/>
      <c r="P2741" s="298"/>
      <c r="Q2741" s="298"/>
      <c r="R2741" s="298"/>
      <c r="S2741" s="536"/>
      <c r="T2741" s="635"/>
      <c r="U2741" s="298"/>
      <c r="V2741" s="298"/>
      <c r="W2741" s="298"/>
      <c r="X2741" s="298"/>
      <c r="Y2741" s="298"/>
      <c r="Z2741" s="298"/>
      <c r="AA2741" s="298"/>
      <c r="AB2741" s="298"/>
      <c r="AC2741" s="298"/>
      <c r="AD2741" s="298"/>
      <c r="AE2741" s="298"/>
      <c r="AF2741" s="298"/>
      <c r="AG2741" s="298"/>
      <c r="AH2741" s="298"/>
      <c r="AI2741" s="298"/>
      <c r="AJ2741" s="298"/>
      <c r="AK2741" s="298"/>
      <c r="AL2741" s="298"/>
      <c r="AM2741" s="298"/>
      <c r="AN2741" s="298"/>
      <c r="AO2741" s="298"/>
      <c r="AP2741" s="298"/>
      <c r="AQ2741" s="298"/>
      <c r="AR2741" s="298"/>
      <c r="AS2741" s="298"/>
      <c r="AT2741" s="298"/>
      <c r="AU2741" s="298"/>
      <c r="AV2741" s="298"/>
      <c r="AW2741" s="298"/>
      <c r="AX2741" s="298"/>
      <c r="AY2741" s="298"/>
      <c r="AZ2741" s="298"/>
      <c r="BA2741" s="298"/>
      <c r="BB2741" s="298"/>
      <c r="BC2741" s="298"/>
      <c r="BD2741" s="298"/>
      <c r="BE2741" s="298"/>
      <c r="BF2741" s="298"/>
      <c r="BG2741" s="298"/>
      <c r="BH2741" s="298"/>
      <c r="BI2741" s="298"/>
      <c r="BJ2741" s="298"/>
      <c r="BK2741" s="298"/>
      <c r="BL2741" s="298"/>
      <c r="BM2741" s="298"/>
      <c r="BN2741" s="298"/>
      <c r="BO2741" s="298"/>
      <c r="BP2741" s="298"/>
    </row>
    <row r="2742" spans="1:68" s="529" customFormat="1" ht="51">
      <c r="A2742" s="286" t="s">
        <v>3259</v>
      </c>
      <c r="B2742" s="288">
        <v>94970</v>
      </c>
      <c r="C2742" s="289" t="s">
        <v>22453</v>
      </c>
      <c r="D2742" s="290" t="s">
        <v>229</v>
      </c>
      <c r="E2742" s="290" t="s">
        <v>209</v>
      </c>
      <c r="F2742" s="383">
        <v>8.1000000000000016E-2</v>
      </c>
      <c r="G2742" s="292" t="s">
        <v>22454</v>
      </c>
      <c r="H2742" s="255">
        <v>29.94</v>
      </c>
      <c r="I2742" s="298"/>
      <c r="J2742" s="298"/>
      <c r="K2742" s="298"/>
      <c r="L2742" s="298"/>
      <c r="M2742" s="298"/>
      <c r="N2742" s="298"/>
      <c r="O2742" s="298"/>
      <c r="P2742" s="298"/>
      <c r="Q2742" s="298"/>
      <c r="R2742" s="298"/>
      <c r="S2742" s="536"/>
      <c r="T2742" s="635"/>
      <c r="U2742" s="298"/>
      <c r="V2742" s="298"/>
      <c r="W2742" s="298"/>
      <c r="X2742" s="298"/>
      <c r="Y2742" s="298"/>
      <c r="Z2742" s="298"/>
      <c r="AA2742" s="298"/>
      <c r="AB2742" s="298"/>
      <c r="AC2742" s="298"/>
      <c r="AD2742" s="298"/>
      <c r="AE2742" s="298"/>
      <c r="AF2742" s="298"/>
      <c r="AG2742" s="298"/>
      <c r="AH2742" s="298"/>
      <c r="AI2742" s="298"/>
      <c r="AJ2742" s="298"/>
      <c r="AK2742" s="298"/>
      <c r="AL2742" s="298"/>
      <c r="AM2742" s="298"/>
      <c r="AN2742" s="298"/>
      <c r="AO2742" s="298"/>
      <c r="AP2742" s="298"/>
      <c r="AQ2742" s="298"/>
      <c r="AR2742" s="298"/>
      <c r="AS2742" s="298"/>
      <c r="AT2742" s="298"/>
      <c r="AU2742" s="298"/>
      <c r="AV2742" s="298"/>
      <c r="AW2742" s="298"/>
      <c r="AX2742" s="298"/>
      <c r="AY2742" s="298"/>
      <c r="AZ2742" s="298"/>
      <c r="BA2742" s="298"/>
      <c r="BB2742" s="298"/>
      <c r="BC2742" s="298"/>
      <c r="BD2742" s="298"/>
      <c r="BE2742" s="298"/>
      <c r="BF2742" s="298"/>
      <c r="BG2742" s="298"/>
      <c r="BH2742" s="298"/>
      <c r="BI2742" s="298"/>
      <c r="BJ2742" s="298"/>
      <c r="BK2742" s="298"/>
      <c r="BL2742" s="298"/>
      <c r="BM2742" s="298"/>
      <c r="BN2742" s="298"/>
      <c r="BO2742" s="298"/>
      <c r="BP2742" s="298"/>
    </row>
    <row r="2743" spans="1:68" s="529" customFormat="1" ht="38.25">
      <c r="A2743" s="286" t="s">
        <v>3259</v>
      </c>
      <c r="B2743" s="288">
        <v>92873</v>
      </c>
      <c r="C2743" s="289" t="s">
        <v>144</v>
      </c>
      <c r="D2743" s="290" t="s">
        <v>229</v>
      </c>
      <c r="E2743" s="290" t="s">
        <v>209</v>
      </c>
      <c r="F2743" s="383">
        <v>8.1000000000000016E-2</v>
      </c>
      <c r="G2743" s="292" t="s">
        <v>22437</v>
      </c>
      <c r="H2743" s="255">
        <v>15.13</v>
      </c>
      <c r="I2743" s="298"/>
      <c r="J2743" s="298"/>
      <c r="K2743" s="298"/>
      <c r="L2743" s="298"/>
      <c r="M2743" s="298"/>
      <c r="N2743" s="298"/>
      <c r="O2743" s="298"/>
      <c r="P2743" s="298"/>
      <c r="Q2743" s="298"/>
      <c r="R2743" s="298"/>
      <c r="S2743" s="536"/>
      <c r="T2743" s="635"/>
      <c r="U2743" s="298"/>
      <c r="V2743" s="298"/>
      <c r="W2743" s="298"/>
      <c r="X2743" s="298"/>
      <c r="Y2743" s="298"/>
      <c r="Z2743" s="298"/>
      <c r="AA2743" s="298"/>
      <c r="AB2743" s="298"/>
      <c r="AC2743" s="298"/>
      <c r="AD2743" s="298"/>
      <c r="AE2743" s="298"/>
      <c r="AF2743" s="298"/>
      <c r="AG2743" s="298"/>
      <c r="AH2743" s="298"/>
      <c r="AI2743" s="298"/>
      <c r="AJ2743" s="298"/>
      <c r="AK2743" s="298"/>
      <c r="AL2743" s="298"/>
      <c r="AM2743" s="298"/>
      <c r="AN2743" s="298"/>
      <c r="AO2743" s="298"/>
      <c r="AP2743" s="298"/>
      <c r="AQ2743" s="298"/>
      <c r="AR2743" s="298"/>
      <c r="AS2743" s="298"/>
      <c r="AT2743" s="298"/>
      <c r="AU2743" s="298"/>
      <c r="AV2743" s="298"/>
      <c r="AW2743" s="298"/>
      <c r="AX2743" s="298"/>
      <c r="AY2743" s="298"/>
      <c r="AZ2743" s="298"/>
      <c r="BA2743" s="298"/>
      <c r="BB2743" s="298"/>
      <c r="BC2743" s="298"/>
      <c r="BD2743" s="298"/>
      <c r="BE2743" s="298"/>
      <c r="BF2743" s="298"/>
      <c r="BG2743" s="298"/>
      <c r="BH2743" s="298"/>
      <c r="BI2743" s="298"/>
      <c r="BJ2743" s="298"/>
      <c r="BK2743" s="298"/>
      <c r="BL2743" s="298"/>
      <c r="BM2743" s="298"/>
      <c r="BN2743" s="298"/>
      <c r="BO2743" s="298"/>
      <c r="BP2743" s="298"/>
    </row>
    <row r="2744" spans="1:68" s="529" customFormat="1" ht="38.25">
      <c r="A2744" s="286" t="s">
        <v>3259</v>
      </c>
      <c r="B2744" s="288">
        <v>97086</v>
      </c>
      <c r="C2744" s="289" t="s">
        <v>3423</v>
      </c>
      <c r="D2744" s="290" t="s">
        <v>229</v>
      </c>
      <c r="E2744" s="290" t="s">
        <v>193</v>
      </c>
      <c r="F2744" s="383">
        <v>0.36000000000000004</v>
      </c>
      <c r="G2744" s="292" t="s">
        <v>22225</v>
      </c>
      <c r="H2744" s="255">
        <v>39.58</v>
      </c>
      <c r="I2744" s="298"/>
      <c r="J2744" s="298"/>
      <c r="K2744" s="298"/>
      <c r="L2744" s="298"/>
      <c r="M2744" s="298"/>
      <c r="N2744" s="298"/>
      <c r="O2744" s="298"/>
      <c r="P2744" s="298"/>
      <c r="Q2744" s="298"/>
      <c r="R2744" s="298"/>
      <c r="S2744" s="536"/>
      <c r="T2744" s="635"/>
      <c r="U2744" s="298"/>
      <c r="V2744" s="298"/>
      <c r="W2744" s="298"/>
      <c r="X2744" s="298"/>
      <c r="Y2744" s="298"/>
      <c r="Z2744" s="298"/>
      <c r="AA2744" s="298"/>
      <c r="AB2744" s="298"/>
      <c r="AC2744" s="298"/>
      <c r="AD2744" s="298"/>
      <c r="AE2744" s="298"/>
      <c r="AF2744" s="298"/>
      <c r="AG2744" s="298"/>
      <c r="AH2744" s="298"/>
      <c r="AI2744" s="298"/>
      <c r="AJ2744" s="298"/>
      <c r="AK2744" s="298"/>
      <c r="AL2744" s="298"/>
      <c r="AM2744" s="298"/>
      <c r="AN2744" s="298"/>
      <c r="AO2744" s="298"/>
      <c r="AP2744" s="298"/>
      <c r="AQ2744" s="298"/>
      <c r="AR2744" s="298"/>
      <c r="AS2744" s="298"/>
      <c r="AT2744" s="298"/>
      <c r="AU2744" s="298"/>
      <c r="AV2744" s="298"/>
      <c r="AW2744" s="298"/>
      <c r="AX2744" s="298"/>
      <c r="AY2744" s="298"/>
      <c r="AZ2744" s="298"/>
      <c r="BA2744" s="298"/>
      <c r="BB2744" s="298"/>
      <c r="BC2744" s="298"/>
      <c r="BD2744" s="298"/>
      <c r="BE2744" s="298"/>
      <c r="BF2744" s="298"/>
      <c r="BG2744" s="298"/>
      <c r="BH2744" s="298"/>
      <c r="BI2744" s="298"/>
      <c r="BJ2744" s="298"/>
      <c r="BK2744" s="298"/>
      <c r="BL2744" s="298"/>
      <c r="BM2744" s="298"/>
      <c r="BN2744" s="298"/>
      <c r="BO2744" s="298"/>
      <c r="BP2744" s="298"/>
    </row>
    <row r="2745" spans="1:68" s="529" customFormat="1" ht="51">
      <c r="A2745" s="286" t="s">
        <v>3259</v>
      </c>
      <c r="B2745" s="288">
        <v>92916</v>
      </c>
      <c r="C2745" s="289" t="s">
        <v>3429</v>
      </c>
      <c r="D2745" s="290" t="s">
        <v>229</v>
      </c>
      <c r="E2745" s="290" t="s">
        <v>108</v>
      </c>
      <c r="F2745" s="383">
        <v>2.4300000000000006</v>
      </c>
      <c r="G2745" s="292" t="s">
        <v>22390</v>
      </c>
      <c r="H2745" s="255">
        <v>39.46</v>
      </c>
      <c r="I2745" s="298"/>
      <c r="J2745" s="298"/>
      <c r="K2745" s="298"/>
      <c r="L2745" s="298"/>
      <c r="M2745" s="298"/>
      <c r="N2745" s="298"/>
      <c r="O2745" s="298"/>
      <c r="P2745" s="298"/>
      <c r="Q2745" s="298"/>
      <c r="R2745" s="298"/>
      <c r="S2745" s="536"/>
      <c r="T2745" s="635"/>
      <c r="U2745" s="298"/>
      <c r="V2745" s="298"/>
      <c r="W2745" s="298"/>
      <c r="X2745" s="298"/>
      <c r="Y2745" s="298"/>
      <c r="Z2745" s="298"/>
      <c r="AA2745" s="298"/>
      <c r="AB2745" s="298"/>
      <c r="AC2745" s="298"/>
      <c r="AD2745" s="298"/>
      <c r="AE2745" s="298"/>
      <c r="AF2745" s="298"/>
      <c r="AG2745" s="298"/>
      <c r="AH2745" s="298"/>
      <c r="AI2745" s="298"/>
      <c r="AJ2745" s="298"/>
      <c r="AK2745" s="298"/>
      <c r="AL2745" s="298"/>
      <c r="AM2745" s="298"/>
      <c r="AN2745" s="298"/>
      <c r="AO2745" s="298"/>
      <c r="AP2745" s="298"/>
      <c r="AQ2745" s="298"/>
      <c r="AR2745" s="298"/>
      <c r="AS2745" s="298"/>
      <c r="AT2745" s="298"/>
      <c r="AU2745" s="298"/>
      <c r="AV2745" s="298"/>
      <c r="AW2745" s="298"/>
      <c r="AX2745" s="298"/>
      <c r="AY2745" s="298"/>
      <c r="AZ2745" s="298"/>
      <c r="BA2745" s="298"/>
      <c r="BB2745" s="298"/>
      <c r="BC2745" s="298"/>
      <c r="BD2745" s="298"/>
      <c r="BE2745" s="298"/>
      <c r="BF2745" s="298"/>
      <c r="BG2745" s="298"/>
      <c r="BH2745" s="298"/>
      <c r="BI2745" s="298"/>
      <c r="BJ2745" s="298"/>
      <c r="BK2745" s="298"/>
      <c r="BL2745" s="298"/>
      <c r="BM2745" s="298"/>
      <c r="BN2745" s="298"/>
      <c r="BO2745" s="298"/>
      <c r="BP2745" s="298"/>
    </row>
    <row r="2746" spans="1:68" s="529" customFormat="1" ht="12.75">
      <c r="A2746" s="286"/>
      <c r="B2746" s="375" t="s">
        <v>143</v>
      </c>
      <c r="C2746" s="816" t="s">
        <v>14665</v>
      </c>
      <c r="D2746" s="817"/>
      <c r="E2746" s="817"/>
      <c r="F2746" s="817"/>
      <c r="G2746" s="817"/>
      <c r="H2746" s="818"/>
      <c r="I2746" s="298"/>
      <c r="J2746" s="298"/>
      <c r="K2746" s="298"/>
      <c r="L2746" s="298"/>
      <c r="M2746" s="298"/>
      <c r="N2746" s="298"/>
      <c r="O2746" s="298"/>
      <c r="P2746" s="298"/>
      <c r="Q2746" s="298"/>
      <c r="R2746" s="298"/>
      <c r="S2746" s="536"/>
      <c r="T2746" s="635"/>
      <c r="U2746" s="298"/>
      <c r="V2746" s="298"/>
      <c r="W2746" s="298"/>
      <c r="X2746" s="298"/>
      <c r="Y2746" s="298"/>
      <c r="Z2746" s="298"/>
      <c r="AA2746" s="298"/>
      <c r="AB2746" s="298"/>
      <c r="AC2746" s="298"/>
      <c r="AD2746" s="298"/>
      <c r="AE2746" s="298"/>
      <c r="AF2746" s="298"/>
      <c r="AG2746" s="298"/>
      <c r="AH2746" s="298"/>
      <c r="AI2746" s="298"/>
      <c r="AJ2746" s="298"/>
      <c r="AK2746" s="298"/>
      <c r="AL2746" s="298"/>
      <c r="AM2746" s="298"/>
      <c r="AN2746" s="298"/>
      <c r="AO2746" s="298"/>
      <c r="AP2746" s="298"/>
      <c r="AQ2746" s="298"/>
      <c r="AR2746" s="298"/>
      <c r="AS2746" s="298"/>
      <c r="AT2746" s="298"/>
      <c r="AU2746" s="298"/>
      <c r="AV2746" s="298"/>
      <c r="AW2746" s="298"/>
      <c r="AX2746" s="298"/>
      <c r="AY2746" s="298"/>
      <c r="AZ2746" s="298"/>
      <c r="BA2746" s="298"/>
      <c r="BB2746" s="298"/>
      <c r="BC2746" s="298"/>
      <c r="BD2746" s="298"/>
      <c r="BE2746" s="298"/>
      <c r="BF2746" s="298"/>
      <c r="BG2746" s="298"/>
      <c r="BH2746" s="298"/>
      <c r="BI2746" s="298"/>
      <c r="BJ2746" s="298"/>
      <c r="BK2746" s="298"/>
      <c r="BL2746" s="298"/>
      <c r="BM2746" s="298"/>
      <c r="BN2746" s="298"/>
      <c r="BO2746" s="298"/>
      <c r="BP2746" s="298"/>
    </row>
    <row r="2747" spans="1:68" s="529" customFormat="1" ht="12.75">
      <c r="A2747" s="286"/>
      <c r="B2747" s="373"/>
      <c r="C2747" s="379"/>
      <c r="D2747" s="379"/>
      <c r="E2747" s="379"/>
      <c r="F2747" s="379"/>
      <c r="G2747" s="379"/>
      <c r="H2747" s="379"/>
      <c r="I2747" s="298"/>
      <c r="J2747" s="298"/>
      <c r="K2747" s="298"/>
      <c r="L2747" s="298"/>
      <c r="M2747" s="298"/>
      <c r="N2747" s="298"/>
      <c r="O2747" s="298"/>
      <c r="P2747" s="298"/>
      <c r="Q2747" s="298"/>
      <c r="R2747" s="298"/>
      <c r="S2747" s="536"/>
      <c r="T2747" s="635"/>
      <c r="U2747" s="298"/>
      <c r="V2747" s="298"/>
      <c r="W2747" s="298"/>
      <c r="X2747" s="298"/>
      <c r="Y2747" s="298"/>
      <c r="Z2747" s="298"/>
      <c r="AA2747" s="298"/>
      <c r="AB2747" s="298"/>
      <c r="AC2747" s="298"/>
      <c r="AD2747" s="298"/>
      <c r="AE2747" s="298"/>
      <c r="AF2747" s="298"/>
      <c r="AG2747" s="298"/>
      <c r="AH2747" s="298"/>
      <c r="AI2747" s="298"/>
      <c r="AJ2747" s="298"/>
      <c r="AK2747" s="298"/>
      <c r="AL2747" s="298"/>
      <c r="AM2747" s="298"/>
      <c r="AN2747" s="298"/>
      <c r="AO2747" s="298"/>
      <c r="AP2747" s="298"/>
      <c r="AQ2747" s="298"/>
      <c r="AR2747" s="298"/>
      <c r="AS2747" s="298"/>
      <c r="AT2747" s="298"/>
      <c r="AU2747" s="298"/>
      <c r="AV2747" s="298"/>
      <c r="AW2747" s="298"/>
      <c r="AX2747" s="298"/>
      <c r="AY2747" s="298"/>
      <c r="AZ2747" s="298"/>
      <c r="BA2747" s="298"/>
      <c r="BB2747" s="298"/>
      <c r="BC2747" s="298"/>
      <c r="BD2747" s="298"/>
      <c r="BE2747" s="298"/>
      <c r="BF2747" s="298"/>
      <c r="BG2747" s="298"/>
      <c r="BH2747" s="298"/>
      <c r="BI2747" s="298"/>
      <c r="BJ2747" s="298"/>
      <c r="BK2747" s="298"/>
      <c r="BL2747" s="298"/>
      <c r="BM2747" s="298"/>
      <c r="BN2747" s="298"/>
      <c r="BO2747" s="298"/>
      <c r="BP2747" s="298"/>
    </row>
    <row r="2748" spans="1:68" s="529" customFormat="1" ht="38.25">
      <c r="A2748" s="286"/>
      <c r="B2748" s="372" t="s">
        <v>15122</v>
      </c>
      <c r="C2748" s="231" t="s">
        <v>17916</v>
      </c>
      <c r="D2748" s="232" t="s">
        <v>103</v>
      </c>
      <c r="E2748" s="232" t="s">
        <v>109</v>
      </c>
      <c r="F2748" s="233"/>
      <c r="G2748" s="234"/>
      <c r="H2748" s="235">
        <v>17.3</v>
      </c>
      <c r="I2748" s="298"/>
      <c r="J2748" s="634"/>
      <c r="K2748" s="634"/>
      <c r="L2748" s="634"/>
      <c r="M2748" s="634"/>
      <c r="N2748" s="298"/>
      <c r="O2748" s="298"/>
      <c r="P2748" s="298"/>
      <c r="Q2748" s="298"/>
      <c r="R2748" s="298"/>
      <c r="S2748" s="536"/>
      <c r="T2748" s="635"/>
      <c r="U2748" s="298"/>
      <c r="V2748" s="298"/>
      <c r="W2748" s="298"/>
      <c r="X2748" s="298"/>
      <c r="Y2748" s="298"/>
      <c r="Z2748" s="298"/>
      <c r="AA2748" s="298"/>
      <c r="AB2748" s="298"/>
      <c r="AC2748" s="298"/>
      <c r="AD2748" s="298"/>
      <c r="AE2748" s="298"/>
      <c r="AF2748" s="298"/>
      <c r="AG2748" s="298"/>
      <c r="AH2748" s="298"/>
      <c r="AI2748" s="298"/>
      <c r="AJ2748" s="298"/>
      <c r="AK2748" s="298"/>
      <c r="AL2748" s="298"/>
      <c r="AM2748" s="298"/>
      <c r="AN2748" s="298"/>
      <c r="AO2748" s="298"/>
      <c r="AP2748" s="298"/>
      <c r="AQ2748" s="298"/>
      <c r="AR2748" s="298"/>
      <c r="AS2748" s="298"/>
      <c r="AT2748" s="298"/>
      <c r="AU2748" s="298"/>
      <c r="AV2748" s="298"/>
      <c r="AW2748" s="298"/>
      <c r="AX2748" s="298"/>
      <c r="AY2748" s="298"/>
      <c r="AZ2748" s="298"/>
      <c r="BA2748" s="298"/>
      <c r="BB2748" s="298"/>
      <c r="BC2748" s="298"/>
      <c r="BD2748" s="298"/>
      <c r="BE2748" s="298"/>
      <c r="BF2748" s="298"/>
      <c r="BG2748" s="298"/>
      <c r="BH2748" s="298"/>
      <c r="BI2748" s="298"/>
      <c r="BJ2748" s="298"/>
      <c r="BK2748" s="298"/>
      <c r="BL2748" s="298"/>
      <c r="BM2748" s="298"/>
      <c r="BN2748" s="298"/>
      <c r="BO2748" s="298"/>
      <c r="BP2748" s="298"/>
    </row>
    <row r="2749" spans="1:68" s="529" customFormat="1" ht="25.5">
      <c r="A2749" s="286" t="s">
        <v>12</v>
      </c>
      <c r="B2749" s="288" t="s">
        <v>15085</v>
      </c>
      <c r="C2749" s="289" t="s">
        <v>17962</v>
      </c>
      <c r="D2749" s="290" t="s">
        <v>207</v>
      </c>
      <c r="E2749" s="290" t="s">
        <v>109</v>
      </c>
      <c r="F2749" s="383">
        <v>1</v>
      </c>
      <c r="G2749" s="292">
        <v>9</v>
      </c>
      <c r="H2749" s="255">
        <v>9</v>
      </c>
      <c r="I2749" s="298"/>
      <c r="J2749" s="634"/>
      <c r="K2749" s="634"/>
      <c r="L2749" s="634"/>
      <c r="M2749" s="634"/>
      <c r="N2749" s="298"/>
      <c r="O2749" s="298"/>
      <c r="P2749" s="298"/>
      <c r="Q2749" s="298"/>
      <c r="R2749" s="298"/>
      <c r="S2749" s="536"/>
      <c r="T2749" s="635"/>
      <c r="U2749" s="298"/>
      <c r="V2749" s="298"/>
      <c r="W2749" s="298"/>
      <c r="X2749" s="298"/>
      <c r="Y2749" s="298"/>
      <c r="Z2749" s="298"/>
      <c r="AA2749" s="298"/>
      <c r="AB2749" s="298"/>
      <c r="AC2749" s="298"/>
      <c r="AD2749" s="298"/>
      <c r="AE2749" s="298"/>
      <c r="AF2749" s="298"/>
      <c r="AG2749" s="298"/>
      <c r="AH2749" s="298"/>
      <c r="AI2749" s="298"/>
      <c r="AJ2749" s="298"/>
      <c r="AK2749" s="298"/>
      <c r="AL2749" s="298"/>
      <c r="AM2749" s="298"/>
      <c r="AN2749" s="298"/>
      <c r="AO2749" s="298"/>
      <c r="AP2749" s="298"/>
      <c r="AQ2749" s="298"/>
      <c r="AR2749" s="298"/>
      <c r="AS2749" s="298"/>
      <c r="AT2749" s="298"/>
      <c r="AU2749" s="298"/>
      <c r="AV2749" s="298"/>
      <c r="AW2749" s="298"/>
      <c r="AX2749" s="298"/>
      <c r="AY2749" s="298"/>
      <c r="AZ2749" s="298"/>
      <c r="BA2749" s="298"/>
      <c r="BB2749" s="298"/>
      <c r="BC2749" s="298"/>
      <c r="BD2749" s="298"/>
      <c r="BE2749" s="298"/>
      <c r="BF2749" s="298"/>
      <c r="BG2749" s="298"/>
      <c r="BH2749" s="298"/>
      <c r="BI2749" s="298"/>
      <c r="BJ2749" s="298"/>
      <c r="BK2749" s="298"/>
      <c r="BL2749" s="298"/>
      <c r="BM2749" s="298"/>
      <c r="BN2749" s="298"/>
      <c r="BO2749" s="298"/>
      <c r="BP2749" s="298"/>
    </row>
    <row r="2750" spans="1:68" s="529" customFormat="1" ht="25.5">
      <c r="A2750" s="286" t="s">
        <v>3259</v>
      </c>
      <c r="B2750" s="288">
        <v>88309</v>
      </c>
      <c r="C2750" s="289" t="s">
        <v>105</v>
      </c>
      <c r="D2750" s="290" t="s">
        <v>9714</v>
      </c>
      <c r="E2750" s="290" t="s">
        <v>206</v>
      </c>
      <c r="F2750" s="383">
        <v>0.2</v>
      </c>
      <c r="G2750" s="292" t="s">
        <v>11439</v>
      </c>
      <c r="H2750" s="255">
        <v>4.78</v>
      </c>
      <c r="I2750" s="298"/>
      <c r="J2750" s="634"/>
      <c r="K2750" s="634"/>
      <c r="L2750" s="634"/>
      <c r="M2750" s="634"/>
      <c r="N2750" s="298"/>
      <c r="O2750" s="298"/>
      <c r="P2750" s="298"/>
      <c r="Q2750" s="298"/>
      <c r="R2750" s="298"/>
      <c r="S2750" s="536"/>
      <c r="T2750" s="635"/>
      <c r="U2750" s="298"/>
      <c r="V2750" s="298"/>
      <c r="W2750" s="298"/>
      <c r="X2750" s="298"/>
      <c r="Y2750" s="298"/>
      <c r="Z2750" s="298"/>
      <c r="AA2750" s="298"/>
      <c r="AB2750" s="298"/>
      <c r="AC2750" s="298"/>
      <c r="AD2750" s="298"/>
      <c r="AE2750" s="298"/>
      <c r="AF2750" s="298"/>
      <c r="AG2750" s="298"/>
      <c r="AH2750" s="298"/>
      <c r="AI2750" s="298"/>
      <c r="AJ2750" s="298"/>
      <c r="AK2750" s="298"/>
      <c r="AL2750" s="298"/>
      <c r="AM2750" s="298"/>
      <c r="AN2750" s="298"/>
      <c r="AO2750" s="298"/>
      <c r="AP2750" s="298"/>
      <c r="AQ2750" s="298"/>
      <c r="AR2750" s="298"/>
      <c r="AS2750" s="298"/>
      <c r="AT2750" s="298"/>
      <c r="AU2750" s="298"/>
      <c r="AV2750" s="298"/>
      <c r="AW2750" s="298"/>
      <c r="AX2750" s="298"/>
      <c r="AY2750" s="298"/>
      <c r="AZ2750" s="298"/>
      <c r="BA2750" s="298"/>
      <c r="BB2750" s="298"/>
      <c r="BC2750" s="298"/>
      <c r="BD2750" s="298"/>
      <c r="BE2750" s="298"/>
      <c r="BF2750" s="298"/>
      <c r="BG2750" s="298"/>
      <c r="BH2750" s="298"/>
      <c r="BI2750" s="298"/>
      <c r="BJ2750" s="298"/>
      <c r="BK2750" s="298"/>
      <c r="BL2750" s="298"/>
      <c r="BM2750" s="298"/>
      <c r="BN2750" s="298"/>
      <c r="BO2750" s="298"/>
      <c r="BP2750" s="298"/>
    </row>
    <row r="2751" spans="1:68" s="529" customFormat="1" ht="25.5">
      <c r="A2751" s="286" t="s">
        <v>3259</v>
      </c>
      <c r="B2751" s="288">
        <v>88316</v>
      </c>
      <c r="C2751" s="289" t="s">
        <v>104</v>
      </c>
      <c r="D2751" s="290" t="s">
        <v>9714</v>
      </c>
      <c r="E2751" s="290" t="s">
        <v>206</v>
      </c>
      <c r="F2751" s="383">
        <v>0.2</v>
      </c>
      <c r="G2751" s="292" t="s">
        <v>10172</v>
      </c>
      <c r="H2751" s="255">
        <v>3.52</v>
      </c>
      <c r="I2751" s="298"/>
      <c r="J2751" s="634"/>
      <c r="K2751" s="634"/>
      <c r="L2751" s="634"/>
      <c r="M2751" s="634"/>
      <c r="N2751" s="298"/>
      <c r="O2751" s="298"/>
      <c r="P2751" s="298"/>
      <c r="Q2751" s="298"/>
      <c r="R2751" s="298"/>
      <c r="S2751" s="536"/>
      <c r="T2751" s="635"/>
      <c r="U2751" s="298"/>
      <c r="V2751" s="298"/>
      <c r="W2751" s="298"/>
      <c r="X2751" s="298"/>
      <c r="Y2751" s="298"/>
      <c r="Z2751" s="298"/>
      <c r="AA2751" s="298"/>
      <c r="AB2751" s="298"/>
      <c r="AC2751" s="298"/>
      <c r="AD2751" s="298"/>
      <c r="AE2751" s="298"/>
      <c r="AF2751" s="298"/>
      <c r="AG2751" s="298"/>
      <c r="AH2751" s="298"/>
      <c r="AI2751" s="298"/>
      <c r="AJ2751" s="298"/>
      <c r="AK2751" s="298"/>
      <c r="AL2751" s="298"/>
      <c r="AM2751" s="298"/>
      <c r="AN2751" s="298"/>
      <c r="AO2751" s="298"/>
      <c r="AP2751" s="298"/>
      <c r="AQ2751" s="298"/>
      <c r="AR2751" s="298"/>
      <c r="AS2751" s="298"/>
      <c r="AT2751" s="298"/>
      <c r="AU2751" s="298"/>
      <c r="AV2751" s="298"/>
      <c r="AW2751" s="298"/>
      <c r="AX2751" s="298"/>
      <c r="AY2751" s="298"/>
      <c r="AZ2751" s="298"/>
      <c r="BA2751" s="298"/>
      <c r="BB2751" s="298"/>
      <c r="BC2751" s="298"/>
      <c r="BD2751" s="298"/>
      <c r="BE2751" s="298"/>
      <c r="BF2751" s="298"/>
      <c r="BG2751" s="298"/>
      <c r="BH2751" s="298"/>
      <c r="BI2751" s="298"/>
      <c r="BJ2751" s="298"/>
      <c r="BK2751" s="298"/>
      <c r="BL2751" s="298"/>
      <c r="BM2751" s="298"/>
      <c r="BN2751" s="298"/>
      <c r="BO2751" s="298"/>
      <c r="BP2751" s="298"/>
    </row>
    <row r="2752" spans="1:68" s="529" customFormat="1" ht="12.75">
      <c r="A2752" s="286"/>
      <c r="B2752" s="375" t="s">
        <v>143</v>
      </c>
      <c r="C2752" s="816" t="s">
        <v>15112</v>
      </c>
      <c r="D2752" s="817"/>
      <c r="E2752" s="817"/>
      <c r="F2752" s="817"/>
      <c r="G2752" s="817"/>
      <c r="H2752" s="818"/>
      <c r="I2752" s="298"/>
      <c r="J2752" s="634"/>
      <c r="K2752" s="634"/>
      <c r="L2752" s="634"/>
      <c r="M2752" s="634"/>
      <c r="N2752" s="298"/>
      <c r="O2752" s="298"/>
      <c r="P2752" s="298"/>
      <c r="Q2752" s="298"/>
      <c r="R2752" s="298"/>
      <c r="S2752" s="536"/>
      <c r="T2752" s="635"/>
      <c r="U2752" s="298"/>
      <c r="V2752" s="298"/>
      <c r="W2752" s="298"/>
      <c r="X2752" s="298"/>
      <c r="Y2752" s="298"/>
      <c r="Z2752" s="298"/>
      <c r="AA2752" s="298"/>
      <c r="AB2752" s="298"/>
      <c r="AC2752" s="298"/>
      <c r="AD2752" s="298"/>
      <c r="AE2752" s="298"/>
      <c r="AF2752" s="298"/>
      <c r="AG2752" s="298"/>
      <c r="AH2752" s="298"/>
      <c r="AI2752" s="298"/>
      <c r="AJ2752" s="298"/>
      <c r="AK2752" s="298"/>
      <c r="AL2752" s="298"/>
      <c r="AM2752" s="298"/>
      <c r="AN2752" s="298"/>
      <c r="AO2752" s="298"/>
      <c r="AP2752" s="298"/>
      <c r="AQ2752" s="298"/>
      <c r="AR2752" s="298"/>
      <c r="AS2752" s="298"/>
      <c r="AT2752" s="298"/>
      <c r="AU2752" s="298"/>
      <c r="AV2752" s="298"/>
      <c r="AW2752" s="298"/>
      <c r="AX2752" s="298"/>
      <c r="AY2752" s="298"/>
      <c r="AZ2752" s="298"/>
      <c r="BA2752" s="298"/>
      <c r="BB2752" s="298"/>
      <c r="BC2752" s="298"/>
      <c r="BD2752" s="298"/>
      <c r="BE2752" s="298"/>
      <c r="BF2752" s="298"/>
      <c r="BG2752" s="298"/>
      <c r="BH2752" s="298"/>
      <c r="BI2752" s="298"/>
      <c r="BJ2752" s="298"/>
      <c r="BK2752" s="298"/>
      <c r="BL2752" s="298"/>
      <c r="BM2752" s="298"/>
      <c r="BN2752" s="298"/>
      <c r="BO2752" s="298"/>
      <c r="BP2752" s="298"/>
    </row>
    <row r="2753" spans="1:68" s="529" customFormat="1" ht="12.75">
      <c r="A2753" s="286"/>
      <c r="B2753" s="373"/>
      <c r="C2753" s="379"/>
      <c r="D2753" s="379"/>
      <c r="E2753" s="379"/>
      <c r="F2753" s="379"/>
      <c r="G2753" s="379"/>
      <c r="H2753" s="379"/>
      <c r="I2753" s="298"/>
      <c r="J2753" s="634"/>
      <c r="K2753" s="634"/>
      <c r="L2753" s="634"/>
      <c r="M2753" s="634"/>
      <c r="N2753" s="298"/>
      <c r="O2753" s="298"/>
      <c r="P2753" s="298"/>
      <c r="Q2753" s="298"/>
      <c r="R2753" s="298"/>
      <c r="S2753" s="536"/>
      <c r="T2753" s="635"/>
      <c r="U2753" s="298"/>
      <c r="V2753" s="298"/>
      <c r="W2753" s="298"/>
      <c r="X2753" s="298"/>
      <c r="Y2753" s="298"/>
      <c r="Z2753" s="298"/>
      <c r="AA2753" s="298"/>
      <c r="AB2753" s="298"/>
      <c r="AC2753" s="298"/>
      <c r="AD2753" s="298"/>
      <c r="AE2753" s="298"/>
      <c r="AF2753" s="298"/>
      <c r="AG2753" s="298"/>
      <c r="AH2753" s="298"/>
      <c r="AI2753" s="298"/>
      <c r="AJ2753" s="298"/>
      <c r="AK2753" s="298"/>
      <c r="AL2753" s="298"/>
      <c r="AM2753" s="298"/>
      <c r="AN2753" s="298"/>
      <c r="AO2753" s="298"/>
      <c r="AP2753" s="298"/>
      <c r="AQ2753" s="298"/>
      <c r="AR2753" s="298"/>
      <c r="AS2753" s="298"/>
      <c r="AT2753" s="298"/>
      <c r="AU2753" s="298"/>
      <c r="AV2753" s="298"/>
      <c r="AW2753" s="298"/>
      <c r="AX2753" s="298"/>
      <c r="AY2753" s="298"/>
      <c r="AZ2753" s="298"/>
      <c r="BA2753" s="298"/>
      <c r="BB2753" s="298"/>
      <c r="BC2753" s="298"/>
      <c r="BD2753" s="298"/>
      <c r="BE2753" s="298"/>
      <c r="BF2753" s="298"/>
      <c r="BG2753" s="298"/>
      <c r="BH2753" s="298"/>
      <c r="BI2753" s="298"/>
      <c r="BJ2753" s="298"/>
      <c r="BK2753" s="298"/>
      <c r="BL2753" s="298"/>
      <c r="BM2753" s="298"/>
      <c r="BN2753" s="298"/>
      <c r="BO2753" s="298"/>
      <c r="BP2753" s="298"/>
    </row>
    <row r="2754" spans="1:68" s="529" customFormat="1" ht="38.25">
      <c r="A2754" s="286"/>
      <c r="B2754" s="372" t="s">
        <v>15123</v>
      </c>
      <c r="C2754" s="231" t="s">
        <v>15129</v>
      </c>
      <c r="D2754" s="232" t="s">
        <v>103</v>
      </c>
      <c r="E2754" s="232" t="s">
        <v>3240</v>
      </c>
      <c r="F2754" s="233"/>
      <c r="G2754" s="234"/>
      <c r="H2754" s="235">
        <v>1334.53</v>
      </c>
      <c r="I2754" s="298"/>
      <c r="J2754" s="634"/>
      <c r="K2754" s="634"/>
      <c r="L2754" s="634"/>
      <c r="M2754" s="634"/>
      <c r="N2754" s="298"/>
      <c r="O2754" s="298"/>
      <c r="P2754" s="298"/>
      <c r="Q2754" s="298"/>
      <c r="R2754" s="298"/>
      <c r="S2754" s="536"/>
      <c r="T2754" s="635"/>
      <c r="U2754" s="298"/>
      <c r="V2754" s="298"/>
      <c r="W2754" s="298"/>
      <c r="X2754" s="298"/>
      <c r="Y2754" s="298"/>
      <c r="Z2754" s="298"/>
      <c r="AA2754" s="298"/>
      <c r="AB2754" s="298"/>
      <c r="AC2754" s="298"/>
      <c r="AD2754" s="298"/>
      <c r="AE2754" s="298"/>
      <c r="AF2754" s="298"/>
      <c r="AG2754" s="298"/>
      <c r="AH2754" s="298"/>
      <c r="AI2754" s="298"/>
      <c r="AJ2754" s="298"/>
      <c r="AK2754" s="298"/>
      <c r="AL2754" s="298"/>
      <c r="AM2754" s="298"/>
      <c r="AN2754" s="298"/>
      <c r="AO2754" s="298"/>
      <c r="AP2754" s="298"/>
      <c r="AQ2754" s="298"/>
      <c r="AR2754" s="298"/>
      <c r="AS2754" s="298"/>
      <c r="AT2754" s="298"/>
      <c r="AU2754" s="298"/>
      <c r="AV2754" s="298"/>
      <c r="AW2754" s="298"/>
      <c r="AX2754" s="298"/>
      <c r="AY2754" s="298"/>
      <c r="AZ2754" s="298"/>
      <c r="BA2754" s="298"/>
      <c r="BB2754" s="298"/>
      <c r="BC2754" s="298"/>
      <c r="BD2754" s="298"/>
      <c r="BE2754" s="298"/>
      <c r="BF2754" s="298"/>
      <c r="BG2754" s="298"/>
      <c r="BH2754" s="298"/>
      <c r="BI2754" s="298"/>
      <c r="BJ2754" s="298"/>
      <c r="BK2754" s="298"/>
      <c r="BL2754" s="298"/>
      <c r="BM2754" s="298"/>
      <c r="BN2754" s="298"/>
      <c r="BO2754" s="298"/>
      <c r="BP2754" s="298"/>
    </row>
    <row r="2755" spans="1:68" s="529" customFormat="1" ht="38.25">
      <c r="A2755" s="286" t="s">
        <v>12</v>
      </c>
      <c r="B2755" s="288" t="s">
        <v>15088</v>
      </c>
      <c r="C2755" s="289" t="s">
        <v>17973</v>
      </c>
      <c r="D2755" s="290" t="s">
        <v>207</v>
      </c>
      <c r="E2755" s="290" t="s">
        <v>109</v>
      </c>
      <c r="F2755" s="383">
        <v>1</v>
      </c>
      <c r="G2755" s="292">
        <v>1310.43</v>
      </c>
      <c r="H2755" s="255">
        <v>1310.43</v>
      </c>
      <c r="I2755" s="298"/>
      <c r="J2755" s="298"/>
      <c r="K2755" s="298"/>
      <c r="L2755" s="298"/>
      <c r="M2755" s="298"/>
      <c r="N2755" s="298"/>
      <c r="O2755" s="298"/>
      <c r="P2755" s="298"/>
      <c r="Q2755" s="298"/>
      <c r="R2755" s="298"/>
      <c r="S2755" s="536"/>
      <c r="T2755" s="635"/>
      <c r="U2755" s="298"/>
      <c r="V2755" s="298"/>
      <c r="W2755" s="298"/>
      <c r="X2755" s="298"/>
      <c r="Y2755" s="298"/>
      <c r="Z2755" s="298"/>
      <c r="AA2755" s="298"/>
      <c r="AB2755" s="298"/>
      <c r="AC2755" s="298"/>
      <c r="AD2755" s="298"/>
      <c r="AE2755" s="298"/>
      <c r="AF2755" s="298"/>
      <c r="AG2755" s="298"/>
      <c r="AH2755" s="298"/>
      <c r="AI2755" s="298"/>
      <c r="AJ2755" s="298"/>
      <c r="AK2755" s="298"/>
      <c r="AL2755" s="298"/>
      <c r="AM2755" s="298"/>
      <c r="AN2755" s="298"/>
      <c r="AO2755" s="298"/>
      <c r="AP2755" s="298"/>
      <c r="AQ2755" s="298"/>
      <c r="AR2755" s="298"/>
      <c r="AS2755" s="298"/>
      <c r="AT2755" s="298"/>
      <c r="AU2755" s="298"/>
      <c r="AV2755" s="298"/>
      <c r="AW2755" s="298"/>
      <c r="AX2755" s="298"/>
      <c r="AY2755" s="298"/>
      <c r="AZ2755" s="298"/>
      <c r="BA2755" s="298"/>
      <c r="BB2755" s="298"/>
      <c r="BC2755" s="298"/>
      <c r="BD2755" s="298"/>
      <c r="BE2755" s="298"/>
      <c r="BF2755" s="298"/>
      <c r="BG2755" s="298"/>
      <c r="BH2755" s="298"/>
      <c r="BI2755" s="298"/>
      <c r="BJ2755" s="298"/>
      <c r="BK2755" s="298"/>
      <c r="BL2755" s="298"/>
      <c r="BM2755" s="298"/>
      <c r="BN2755" s="298"/>
      <c r="BO2755" s="298"/>
      <c r="BP2755" s="298"/>
    </row>
    <row r="2756" spans="1:68" s="529" customFormat="1" ht="25.5">
      <c r="A2756" s="286" t="s">
        <v>3259</v>
      </c>
      <c r="B2756" s="288">
        <v>88264</v>
      </c>
      <c r="C2756" s="289" t="s">
        <v>146</v>
      </c>
      <c r="D2756" s="290" t="s">
        <v>9714</v>
      </c>
      <c r="E2756" s="290" t="s">
        <v>206</v>
      </c>
      <c r="F2756" s="383">
        <v>1</v>
      </c>
      <c r="G2756" s="292" t="s">
        <v>16504</v>
      </c>
      <c r="H2756" s="255">
        <v>24.1</v>
      </c>
      <c r="I2756" s="298"/>
      <c r="J2756" s="298"/>
      <c r="K2756" s="298"/>
      <c r="L2756" s="298"/>
      <c r="M2756" s="298"/>
      <c r="N2756" s="298"/>
      <c r="O2756" s="298"/>
      <c r="P2756" s="298"/>
      <c r="Q2756" s="298"/>
      <c r="R2756" s="298"/>
      <c r="S2756" s="536"/>
      <c r="T2756" s="635"/>
      <c r="U2756" s="298"/>
      <c r="V2756" s="298"/>
      <c r="W2756" s="298"/>
      <c r="X2756" s="298"/>
      <c r="Y2756" s="298"/>
      <c r="Z2756" s="298"/>
      <c r="AA2756" s="298"/>
      <c r="AB2756" s="298"/>
      <c r="AC2756" s="298"/>
      <c r="AD2756" s="298"/>
      <c r="AE2756" s="298"/>
      <c r="AF2756" s="298"/>
      <c r="AG2756" s="298"/>
      <c r="AH2756" s="298"/>
      <c r="AI2756" s="298"/>
      <c r="AJ2756" s="298"/>
      <c r="AK2756" s="298"/>
      <c r="AL2756" s="298"/>
      <c r="AM2756" s="298"/>
      <c r="AN2756" s="298"/>
      <c r="AO2756" s="298"/>
      <c r="AP2756" s="298"/>
      <c r="AQ2756" s="298"/>
      <c r="AR2756" s="298"/>
      <c r="AS2756" s="298"/>
      <c r="AT2756" s="298"/>
      <c r="AU2756" s="298"/>
      <c r="AV2756" s="298"/>
      <c r="AW2756" s="298"/>
      <c r="AX2756" s="298"/>
      <c r="AY2756" s="298"/>
      <c r="AZ2756" s="298"/>
      <c r="BA2756" s="298"/>
      <c r="BB2756" s="298"/>
      <c r="BC2756" s="298"/>
      <c r="BD2756" s="298"/>
      <c r="BE2756" s="298"/>
      <c r="BF2756" s="298"/>
      <c r="BG2756" s="298"/>
      <c r="BH2756" s="298"/>
      <c r="BI2756" s="298"/>
      <c r="BJ2756" s="298"/>
      <c r="BK2756" s="298"/>
      <c r="BL2756" s="298"/>
      <c r="BM2756" s="298"/>
      <c r="BN2756" s="298"/>
      <c r="BO2756" s="298"/>
      <c r="BP2756" s="298"/>
    </row>
    <row r="2757" spans="1:68" s="529" customFormat="1" ht="12.75">
      <c r="A2757" s="286"/>
      <c r="B2757" s="375" t="s">
        <v>143</v>
      </c>
      <c r="C2757" s="816" t="s">
        <v>15128</v>
      </c>
      <c r="D2757" s="817"/>
      <c r="E2757" s="817"/>
      <c r="F2757" s="817"/>
      <c r="G2757" s="817"/>
      <c r="H2757" s="818"/>
      <c r="I2757" s="298"/>
      <c r="J2757" s="298"/>
      <c r="K2757" s="298"/>
      <c r="L2757" s="298"/>
      <c r="M2757" s="298"/>
      <c r="N2757" s="298"/>
      <c r="O2757" s="298"/>
      <c r="P2757" s="298"/>
      <c r="Q2757" s="298"/>
      <c r="R2757" s="298"/>
      <c r="S2757" s="536"/>
      <c r="T2757" s="635"/>
      <c r="U2757" s="298"/>
      <c r="V2757" s="298"/>
      <c r="W2757" s="298"/>
      <c r="X2757" s="298"/>
      <c r="Y2757" s="298"/>
      <c r="Z2757" s="298"/>
      <c r="AA2757" s="298"/>
      <c r="AB2757" s="298"/>
      <c r="AC2757" s="298"/>
      <c r="AD2757" s="298"/>
      <c r="AE2757" s="298"/>
      <c r="AF2757" s="298"/>
      <c r="AG2757" s="298"/>
      <c r="AH2757" s="298"/>
      <c r="AI2757" s="298"/>
      <c r="AJ2757" s="298"/>
      <c r="AK2757" s="298"/>
      <c r="AL2757" s="298"/>
      <c r="AM2757" s="298"/>
      <c r="AN2757" s="298"/>
      <c r="AO2757" s="298"/>
      <c r="AP2757" s="298"/>
      <c r="AQ2757" s="298"/>
      <c r="AR2757" s="298"/>
      <c r="AS2757" s="298"/>
      <c r="AT2757" s="298"/>
      <c r="AU2757" s="298"/>
      <c r="AV2757" s="298"/>
      <c r="AW2757" s="298"/>
      <c r="AX2757" s="298"/>
      <c r="AY2757" s="298"/>
      <c r="AZ2757" s="298"/>
      <c r="BA2757" s="298"/>
      <c r="BB2757" s="298"/>
      <c r="BC2757" s="298"/>
      <c r="BD2757" s="298"/>
      <c r="BE2757" s="298"/>
      <c r="BF2757" s="298"/>
      <c r="BG2757" s="298"/>
      <c r="BH2757" s="298"/>
      <c r="BI2757" s="298"/>
      <c r="BJ2757" s="298"/>
      <c r="BK2757" s="298"/>
      <c r="BL2757" s="298"/>
      <c r="BM2757" s="298"/>
      <c r="BN2757" s="298"/>
      <c r="BO2757" s="298"/>
      <c r="BP2757" s="298"/>
    </row>
    <row r="2758" spans="1:68" s="529" customFormat="1" ht="12.75">
      <c r="A2758" s="286"/>
      <c r="B2758" s="373"/>
      <c r="C2758" s="379"/>
      <c r="D2758" s="382"/>
      <c r="E2758" s="382"/>
      <c r="F2758" s="382"/>
      <c r="G2758" s="382"/>
      <c r="H2758" s="382"/>
      <c r="I2758" s="298"/>
      <c r="J2758" s="298"/>
      <c r="K2758" s="298"/>
      <c r="L2758" s="298"/>
      <c r="M2758" s="298"/>
      <c r="N2758" s="298"/>
      <c r="O2758" s="298"/>
      <c r="P2758" s="298"/>
      <c r="Q2758" s="298"/>
      <c r="R2758" s="298"/>
      <c r="S2758" s="536"/>
      <c r="T2758" s="635"/>
      <c r="U2758" s="298"/>
      <c r="V2758" s="298"/>
      <c r="W2758" s="298"/>
      <c r="X2758" s="298"/>
      <c r="Y2758" s="298"/>
      <c r="Z2758" s="298"/>
      <c r="AA2758" s="298"/>
      <c r="AB2758" s="298"/>
      <c r="AC2758" s="298"/>
      <c r="AD2758" s="298"/>
      <c r="AE2758" s="298"/>
      <c r="AF2758" s="298"/>
      <c r="AG2758" s="298"/>
      <c r="AH2758" s="298"/>
      <c r="AI2758" s="298"/>
      <c r="AJ2758" s="298"/>
      <c r="AK2758" s="298"/>
      <c r="AL2758" s="298"/>
      <c r="AM2758" s="298"/>
      <c r="AN2758" s="298"/>
      <c r="AO2758" s="298"/>
      <c r="AP2758" s="298"/>
      <c r="AQ2758" s="298"/>
      <c r="AR2758" s="298"/>
      <c r="AS2758" s="298"/>
      <c r="AT2758" s="298"/>
      <c r="AU2758" s="298"/>
      <c r="AV2758" s="298"/>
      <c r="AW2758" s="298"/>
      <c r="AX2758" s="298"/>
      <c r="AY2758" s="298"/>
      <c r="AZ2758" s="298"/>
      <c r="BA2758" s="298"/>
      <c r="BB2758" s="298"/>
      <c r="BC2758" s="298"/>
      <c r="BD2758" s="298"/>
      <c r="BE2758" s="298"/>
      <c r="BF2758" s="298"/>
      <c r="BG2758" s="298"/>
      <c r="BH2758" s="298"/>
      <c r="BI2758" s="298"/>
      <c r="BJ2758" s="298"/>
      <c r="BK2758" s="298"/>
      <c r="BL2758" s="298"/>
      <c r="BM2758" s="298"/>
      <c r="BN2758" s="298"/>
      <c r="BO2758" s="298"/>
      <c r="BP2758" s="298"/>
    </row>
    <row r="2759" spans="1:68" s="529" customFormat="1" ht="38.25">
      <c r="A2759" s="286"/>
      <c r="B2759" s="372" t="s">
        <v>15124</v>
      </c>
      <c r="C2759" s="231" t="s">
        <v>15131</v>
      </c>
      <c r="D2759" s="232" t="s">
        <v>103</v>
      </c>
      <c r="E2759" s="232" t="s">
        <v>3240</v>
      </c>
      <c r="F2759" s="233"/>
      <c r="G2759" s="234"/>
      <c r="H2759" s="235">
        <v>108.3</v>
      </c>
      <c r="I2759" s="298"/>
      <c r="J2759" s="298"/>
      <c r="K2759" s="298"/>
      <c r="L2759" s="298"/>
      <c r="M2759" s="298"/>
      <c r="N2759" s="298"/>
      <c r="O2759" s="298"/>
      <c r="P2759" s="298"/>
      <c r="Q2759" s="298"/>
      <c r="R2759" s="298"/>
      <c r="S2759" s="536"/>
      <c r="T2759" s="635"/>
      <c r="U2759" s="298"/>
      <c r="V2759" s="298"/>
      <c r="W2759" s="298"/>
      <c r="X2759" s="298"/>
      <c r="Y2759" s="298"/>
      <c r="Z2759" s="298"/>
      <c r="AA2759" s="298"/>
      <c r="AB2759" s="298"/>
      <c r="AC2759" s="298"/>
      <c r="AD2759" s="298"/>
      <c r="AE2759" s="298"/>
      <c r="AF2759" s="298"/>
      <c r="AG2759" s="298"/>
      <c r="AH2759" s="298"/>
      <c r="AI2759" s="298"/>
      <c r="AJ2759" s="298"/>
      <c r="AK2759" s="298"/>
      <c r="AL2759" s="298"/>
      <c r="AM2759" s="298"/>
      <c r="AN2759" s="298"/>
      <c r="AO2759" s="298"/>
      <c r="AP2759" s="298"/>
      <c r="AQ2759" s="298"/>
      <c r="AR2759" s="298"/>
      <c r="AS2759" s="298"/>
      <c r="AT2759" s="298"/>
      <c r="AU2759" s="298"/>
      <c r="AV2759" s="298"/>
      <c r="AW2759" s="298"/>
      <c r="AX2759" s="298"/>
      <c r="AY2759" s="298"/>
      <c r="AZ2759" s="298"/>
      <c r="BA2759" s="298"/>
      <c r="BB2759" s="298"/>
      <c r="BC2759" s="298"/>
      <c r="BD2759" s="298"/>
      <c r="BE2759" s="298"/>
      <c r="BF2759" s="298"/>
      <c r="BG2759" s="298"/>
      <c r="BH2759" s="298"/>
      <c r="BI2759" s="298"/>
      <c r="BJ2759" s="298"/>
      <c r="BK2759" s="298"/>
      <c r="BL2759" s="298"/>
      <c r="BM2759" s="298"/>
      <c r="BN2759" s="298"/>
      <c r="BO2759" s="298"/>
      <c r="BP2759" s="298"/>
    </row>
    <row r="2760" spans="1:68" s="529" customFormat="1" ht="25.5">
      <c r="A2760" s="286" t="s">
        <v>12</v>
      </c>
      <c r="B2760" s="288" t="s">
        <v>15102</v>
      </c>
      <c r="C2760" s="289" t="s">
        <v>17976</v>
      </c>
      <c r="D2760" s="290" t="s">
        <v>207</v>
      </c>
      <c r="E2760" s="290" t="s">
        <v>109</v>
      </c>
      <c r="F2760" s="383">
        <v>1</v>
      </c>
      <c r="G2760" s="292">
        <v>86.88</v>
      </c>
      <c r="H2760" s="255">
        <v>86.88</v>
      </c>
      <c r="I2760" s="298"/>
      <c r="J2760" s="298"/>
      <c r="K2760" s="298"/>
      <c r="L2760" s="298"/>
      <c r="M2760" s="298"/>
      <c r="N2760" s="298"/>
      <c r="O2760" s="298"/>
      <c r="P2760" s="298"/>
      <c r="Q2760" s="298"/>
      <c r="R2760" s="298"/>
      <c r="S2760" s="536"/>
      <c r="T2760" s="635"/>
      <c r="U2760" s="298"/>
      <c r="V2760" s="298"/>
      <c r="W2760" s="298"/>
      <c r="X2760" s="298"/>
      <c r="Y2760" s="298"/>
      <c r="Z2760" s="298"/>
      <c r="AA2760" s="298"/>
      <c r="AB2760" s="298"/>
      <c r="AC2760" s="298"/>
      <c r="AD2760" s="298"/>
      <c r="AE2760" s="298"/>
      <c r="AF2760" s="298"/>
      <c r="AG2760" s="298"/>
      <c r="AH2760" s="298"/>
      <c r="AI2760" s="298"/>
      <c r="AJ2760" s="298"/>
      <c r="AK2760" s="298"/>
      <c r="AL2760" s="298"/>
      <c r="AM2760" s="298"/>
      <c r="AN2760" s="298"/>
      <c r="AO2760" s="298"/>
      <c r="AP2760" s="298"/>
      <c r="AQ2760" s="298"/>
      <c r="AR2760" s="298"/>
      <c r="AS2760" s="298"/>
      <c r="AT2760" s="298"/>
      <c r="AU2760" s="298"/>
      <c r="AV2760" s="298"/>
      <c r="AW2760" s="298"/>
      <c r="AX2760" s="298"/>
      <c r="AY2760" s="298"/>
      <c r="AZ2760" s="298"/>
      <c r="BA2760" s="298"/>
      <c r="BB2760" s="298"/>
      <c r="BC2760" s="298"/>
      <c r="BD2760" s="298"/>
      <c r="BE2760" s="298"/>
      <c r="BF2760" s="298"/>
      <c r="BG2760" s="298"/>
      <c r="BH2760" s="298"/>
      <c r="BI2760" s="298"/>
      <c r="BJ2760" s="298"/>
      <c r="BK2760" s="298"/>
      <c r="BL2760" s="298"/>
      <c r="BM2760" s="298"/>
      <c r="BN2760" s="298"/>
      <c r="BO2760" s="298"/>
      <c r="BP2760" s="298"/>
    </row>
    <row r="2761" spans="1:68" s="529" customFormat="1" ht="25.5">
      <c r="A2761" s="286" t="s">
        <v>3259</v>
      </c>
      <c r="B2761" s="288">
        <v>88247</v>
      </c>
      <c r="C2761" s="289" t="s">
        <v>145</v>
      </c>
      <c r="D2761" s="290" t="s">
        <v>9714</v>
      </c>
      <c r="E2761" s="290" t="s">
        <v>206</v>
      </c>
      <c r="F2761" s="383">
        <v>0.5</v>
      </c>
      <c r="G2761" s="292" t="s">
        <v>12206</v>
      </c>
      <c r="H2761" s="255">
        <v>9.3699999999999992</v>
      </c>
      <c r="I2761" s="298"/>
      <c r="J2761" s="298"/>
      <c r="K2761" s="298"/>
      <c r="L2761" s="298"/>
      <c r="M2761" s="298"/>
      <c r="N2761" s="298"/>
      <c r="O2761" s="298"/>
      <c r="P2761" s="298"/>
      <c r="Q2761" s="298"/>
      <c r="R2761" s="298"/>
      <c r="S2761" s="536"/>
      <c r="T2761" s="635"/>
      <c r="U2761" s="298"/>
      <c r="V2761" s="298"/>
      <c r="W2761" s="298"/>
      <c r="X2761" s="298"/>
      <c r="Y2761" s="298"/>
      <c r="Z2761" s="298"/>
      <c r="AA2761" s="298"/>
      <c r="AB2761" s="298"/>
      <c r="AC2761" s="298"/>
      <c r="AD2761" s="298"/>
      <c r="AE2761" s="298"/>
      <c r="AF2761" s="298"/>
      <c r="AG2761" s="298"/>
      <c r="AH2761" s="298"/>
      <c r="AI2761" s="298"/>
      <c r="AJ2761" s="298"/>
      <c r="AK2761" s="298"/>
      <c r="AL2761" s="298"/>
      <c r="AM2761" s="298"/>
      <c r="AN2761" s="298"/>
      <c r="AO2761" s="298"/>
      <c r="AP2761" s="298"/>
      <c r="AQ2761" s="298"/>
      <c r="AR2761" s="298"/>
      <c r="AS2761" s="298"/>
      <c r="AT2761" s="298"/>
      <c r="AU2761" s="298"/>
      <c r="AV2761" s="298"/>
      <c r="AW2761" s="298"/>
      <c r="AX2761" s="298"/>
      <c r="AY2761" s="298"/>
      <c r="AZ2761" s="298"/>
      <c r="BA2761" s="298"/>
      <c r="BB2761" s="298"/>
      <c r="BC2761" s="298"/>
      <c r="BD2761" s="298"/>
      <c r="BE2761" s="298"/>
      <c r="BF2761" s="298"/>
      <c r="BG2761" s="298"/>
      <c r="BH2761" s="298"/>
      <c r="BI2761" s="298"/>
      <c r="BJ2761" s="298"/>
      <c r="BK2761" s="298"/>
      <c r="BL2761" s="298"/>
      <c r="BM2761" s="298"/>
      <c r="BN2761" s="298"/>
      <c r="BO2761" s="298"/>
      <c r="BP2761" s="298"/>
    </row>
    <row r="2762" spans="1:68" s="529" customFormat="1" ht="25.5">
      <c r="A2762" s="286" t="s">
        <v>3259</v>
      </c>
      <c r="B2762" s="288">
        <v>88264</v>
      </c>
      <c r="C2762" s="289" t="s">
        <v>146</v>
      </c>
      <c r="D2762" s="290" t="s">
        <v>9714</v>
      </c>
      <c r="E2762" s="290" t="s">
        <v>206</v>
      </c>
      <c r="F2762" s="383">
        <v>0.5</v>
      </c>
      <c r="G2762" s="292" t="s">
        <v>16504</v>
      </c>
      <c r="H2762" s="255">
        <v>12.05</v>
      </c>
      <c r="I2762" s="298"/>
      <c r="J2762" s="298"/>
      <c r="K2762" s="298"/>
      <c r="L2762" s="298"/>
      <c r="M2762" s="298"/>
      <c r="N2762" s="298"/>
      <c r="O2762" s="298"/>
      <c r="P2762" s="298"/>
      <c r="Q2762" s="298"/>
      <c r="R2762" s="298"/>
      <c r="S2762" s="536"/>
      <c r="T2762" s="635"/>
      <c r="U2762" s="298"/>
      <c r="V2762" s="298"/>
      <c r="W2762" s="298"/>
      <c r="X2762" s="298"/>
      <c r="Y2762" s="298"/>
      <c r="Z2762" s="298"/>
      <c r="AA2762" s="298"/>
      <c r="AB2762" s="298"/>
      <c r="AC2762" s="298"/>
      <c r="AD2762" s="298"/>
      <c r="AE2762" s="298"/>
      <c r="AF2762" s="298"/>
      <c r="AG2762" s="298"/>
      <c r="AH2762" s="298"/>
      <c r="AI2762" s="298"/>
      <c r="AJ2762" s="298"/>
      <c r="AK2762" s="298"/>
      <c r="AL2762" s="298"/>
      <c r="AM2762" s="298"/>
      <c r="AN2762" s="298"/>
      <c r="AO2762" s="298"/>
      <c r="AP2762" s="298"/>
      <c r="AQ2762" s="298"/>
      <c r="AR2762" s="298"/>
      <c r="AS2762" s="298"/>
      <c r="AT2762" s="298"/>
      <c r="AU2762" s="298"/>
      <c r="AV2762" s="298"/>
      <c r="AW2762" s="298"/>
      <c r="AX2762" s="298"/>
      <c r="AY2762" s="298"/>
      <c r="AZ2762" s="298"/>
      <c r="BA2762" s="298"/>
      <c r="BB2762" s="298"/>
      <c r="BC2762" s="298"/>
      <c r="BD2762" s="298"/>
      <c r="BE2762" s="298"/>
      <c r="BF2762" s="298"/>
      <c r="BG2762" s="298"/>
      <c r="BH2762" s="298"/>
      <c r="BI2762" s="298"/>
      <c r="BJ2762" s="298"/>
      <c r="BK2762" s="298"/>
      <c r="BL2762" s="298"/>
      <c r="BM2762" s="298"/>
      <c r="BN2762" s="298"/>
      <c r="BO2762" s="298"/>
      <c r="BP2762" s="298"/>
    </row>
    <row r="2763" spans="1:68" s="529" customFormat="1" ht="12.75">
      <c r="A2763" s="286"/>
      <c r="B2763" s="375" t="s">
        <v>143</v>
      </c>
      <c r="C2763" s="816" t="s">
        <v>15132</v>
      </c>
      <c r="D2763" s="817"/>
      <c r="E2763" s="817"/>
      <c r="F2763" s="817"/>
      <c r="G2763" s="817"/>
      <c r="H2763" s="818"/>
      <c r="I2763" s="298"/>
      <c r="J2763" s="298"/>
      <c r="K2763" s="298"/>
      <c r="L2763" s="298"/>
      <c r="M2763" s="298"/>
      <c r="N2763" s="298"/>
      <c r="O2763" s="298"/>
      <c r="P2763" s="298"/>
      <c r="Q2763" s="298"/>
      <c r="R2763" s="298"/>
      <c r="S2763" s="536"/>
      <c r="T2763" s="635"/>
      <c r="U2763" s="298"/>
      <c r="V2763" s="298"/>
      <c r="W2763" s="298"/>
      <c r="X2763" s="298"/>
      <c r="Y2763" s="298"/>
      <c r="Z2763" s="298"/>
      <c r="AA2763" s="298"/>
      <c r="AB2763" s="298"/>
      <c r="AC2763" s="298"/>
      <c r="AD2763" s="298"/>
      <c r="AE2763" s="298"/>
      <c r="AF2763" s="298"/>
      <c r="AG2763" s="298"/>
      <c r="AH2763" s="298"/>
      <c r="AI2763" s="298"/>
      <c r="AJ2763" s="298"/>
      <c r="AK2763" s="298"/>
      <c r="AL2763" s="298"/>
      <c r="AM2763" s="298"/>
      <c r="AN2763" s="298"/>
      <c r="AO2763" s="298"/>
      <c r="AP2763" s="298"/>
      <c r="AQ2763" s="298"/>
      <c r="AR2763" s="298"/>
      <c r="AS2763" s="298"/>
      <c r="AT2763" s="298"/>
      <c r="AU2763" s="298"/>
      <c r="AV2763" s="298"/>
      <c r="AW2763" s="298"/>
      <c r="AX2763" s="298"/>
      <c r="AY2763" s="298"/>
      <c r="AZ2763" s="298"/>
      <c r="BA2763" s="298"/>
      <c r="BB2763" s="298"/>
      <c r="BC2763" s="298"/>
      <c r="BD2763" s="298"/>
      <c r="BE2763" s="298"/>
      <c r="BF2763" s="298"/>
      <c r="BG2763" s="298"/>
      <c r="BH2763" s="298"/>
      <c r="BI2763" s="298"/>
      <c r="BJ2763" s="298"/>
      <c r="BK2763" s="298"/>
      <c r="BL2763" s="298"/>
      <c r="BM2763" s="298"/>
      <c r="BN2763" s="298"/>
      <c r="BO2763" s="298"/>
      <c r="BP2763" s="298"/>
    </row>
    <row r="2764" spans="1:68" s="529" customFormat="1" ht="12.75">
      <c r="A2764" s="286"/>
      <c r="B2764" s="373"/>
      <c r="C2764" s="379"/>
      <c r="D2764" s="382"/>
      <c r="E2764" s="382"/>
      <c r="F2764" s="382"/>
      <c r="G2764" s="382"/>
      <c r="H2764" s="382"/>
      <c r="I2764" s="298"/>
      <c r="J2764" s="298"/>
      <c r="K2764" s="298"/>
      <c r="L2764" s="298"/>
      <c r="M2764" s="298"/>
      <c r="N2764" s="298"/>
      <c r="O2764" s="298"/>
      <c r="P2764" s="298"/>
      <c r="Q2764" s="298"/>
      <c r="R2764" s="298"/>
      <c r="S2764" s="536"/>
      <c r="T2764" s="635"/>
      <c r="U2764" s="298"/>
      <c r="V2764" s="298"/>
      <c r="W2764" s="298"/>
      <c r="X2764" s="298"/>
      <c r="Y2764" s="298"/>
      <c r="Z2764" s="298"/>
      <c r="AA2764" s="298"/>
      <c r="AB2764" s="298"/>
      <c r="AC2764" s="298"/>
      <c r="AD2764" s="298"/>
      <c r="AE2764" s="298"/>
      <c r="AF2764" s="298"/>
      <c r="AG2764" s="298"/>
      <c r="AH2764" s="298"/>
      <c r="AI2764" s="298"/>
      <c r="AJ2764" s="298"/>
      <c r="AK2764" s="298"/>
      <c r="AL2764" s="298"/>
      <c r="AM2764" s="298"/>
      <c r="AN2764" s="298"/>
      <c r="AO2764" s="298"/>
      <c r="AP2764" s="298"/>
      <c r="AQ2764" s="298"/>
      <c r="AR2764" s="298"/>
      <c r="AS2764" s="298"/>
      <c r="AT2764" s="298"/>
      <c r="AU2764" s="298"/>
      <c r="AV2764" s="298"/>
      <c r="AW2764" s="298"/>
      <c r="AX2764" s="298"/>
      <c r="AY2764" s="298"/>
      <c r="AZ2764" s="298"/>
      <c r="BA2764" s="298"/>
      <c r="BB2764" s="298"/>
      <c r="BC2764" s="298"/>
      <c r="BD2764" s="298"/>
      <c r="BE2764" s="298"/>
      <c r="BF2764" s="298"/>
      <c r="BG2764" s="298"/>
      <c r="BH2764" s="298"/>
      <c r="BI2764" s="298"/>
      <c r="BJ2764" s="298"/>
      <c r="BK2764" s="298"/>
      <c r="BL2764" s="298"/>
      <c r="BM2764" s="298"/>
      <c r="BN2764" s="298"/>
      <c r="BO2764" s="298"/>
      <c r="BP2764" s="298"/>
    </row>
    <row r="2765" spans="1:68" s="529" customFormat="1" ht="38.25">
      <c r="A2765" s="286"/>
      <c r="B2765" s="372" t="s">
        <v>15127</v>
      </c>
      <c r="C2765" s="231" t="s">
        <v>15134</v>
      </c>
      <c r="D2765" s="232" t="s">
        <v>103</v>
      </c>
      <c r="E2765" s="232" t="s">
        <v>3240</v>
      </c>
      <c r="F2765" s="233"/>
      <c r="G2765" s="234"/>
      <c r="H2765" s="235">
        <v>124.37</v>
      </c>
      <c r="I2765" s="298"/>
      <c r="J2765" s="298"/>
      <c r="K2765" s="298"/>
      <c r="L2765" s="298"/>
      <c r="M2765" s="298"/>
      <c r="N2765" s="298"/>
      <c r="O2765" s="298"/>
      <c r="P2765" s="298"/>
      <c r="Q2765" s="298"/>
      <c r="R2765" s="298"/>
      <c r="S2765" s="536"/>
      <c r="T2765" s="635"/>
      <c r="U2765" s="298"/>
      <c r="V2765" s="298"/>
      <c r="W2765" s="298"/>
      <c r="X2765" s="298"/>
      <c r="Y2765" s="298"/>
      <c r="Z2765" s="298"/>
      <c r="AA2765" s="298"/>
      <c r="AB2765" s="298"/>
      <c r="AC2765" s="298"/>
      <c r="AD2765" s="298"/>
      <c r="AE2765" s="298"/>
      <c r="AF2765" s="298"/>
      <c r="AG2765" s="298"/>
      <c r="AH2765" s="298"/>
      <c r="AI2765" s="298"/>
      <c r="AJ2765" s="298"/>
      <c r="AK2765" s="298"/>
      <c r="AL2765" s="298"/>
      <c r="AM2765" s="298"/>
      <c r="AN2765" s="298"/>
      <c r="AO2765" s="298"/>
      <c r="AP2765" s="298"/>
      <c r="AQ2765" s="298"/>
      <c r="AR2765" s="298"/>
      <c r="AS2765" s="298"/>
      <c r="AT2765" s="298"/>
      <c r="AU2765" s="298"/>
      <c r="AV2765" s="298"/>
      <c r="AW2765" s="298"/>
      <c r="AX2765" s="298"/>
      <c r="AY2765" s="298"/>
      <c r="AZ2765" s="298"/>
      <c r="BA2765" s="298"/>
      <c r="BB2765" s="298"/>
      <c r="BC2765" s="298"/>
      <c r="BD2765" s="298"/>
      <c r="BE2765" s="298"/>
      <c r="BF2765" s="298"/>
      <c r="BG2765" s="298"/>
      <c r="BH2765" s="298"/>
      <c r="BI2765" s="298"/>
      <c r="BJ2765" s="298"/>
      <c r="BK2765" s="298"/>
      <c r="BL2765" s="298"/>
      <c r="BM2765" s="298"/>
      <c r="BN2765" s="298"/>
      <c r="BO2765" s="298"/>
      <c r="BP2765" s="298"/>
    </row>
    <row r="2766" spans="1:68" s="529" customFormat="1" ht="25.5">
      <c r="A2766" s="286" t="s">
        <v>12</v>
      </c>
      <c r="B2766" s="288" t="s">
        <v>15136</v>
      </c>
      <c r="C2766" s="289" t="s">
        <v>17980</v>
      </c>
      <c r="D2766" s="290" t="s">
        <v>207</v>
      </c>
      <c r="E2766" s="290" t="s">
        <v>109</v>
      </c>
      <c r="F2766" s="383">
        <v>1</v>
      </c>
      <c r="G2766" s="292">
        <v>111.52</v>
      </c>
      <c r="H2766" s="255">
        <v>111.52</v>
      </c>
      <c r="I2766" s="298"/>
      <c r="J2766" s="298"/>
      <c r="K2766" s="298"/>
      <c r="L2766" s="298"/>
      <c r="M2766" s="298"/>
      <c r="N2766" s="298"/>
      <c r="O2766" s="298"/>
      <c r="P2766" s="298"/>
      <c r="Q2766" s="298"/>
      <c r="R2766" s="298"/>
      <c r="S2766" s="536"/>
      <c r="T2766" s="635"/>
      <c r="U2766" s="298"/>
      <c r="V2766" s="298"/>
      <c r="W2766" s="298"/>
      <c r="X2766" s="298"/>
      <c r="Y2766" s="298"/>
      <c r="Z2766" s="298"/>
      <c r="AA2766" s="298"/>
      <c r="AB2766" s="298"/>
      <c r="AC2766" s="298"/>
      <c r="AD2766" s="298"/>
      <c r="AE2766" s="298"/>
      <c r="AF2766" s="298"/>
      <c r="AG2766" s="298"/>
      <c r="AH2766" s="298"/>
      <c r="AI2766" s="298"/>
      <c r="AJ2766" s="298"/>
      <c r="AK2766" s="298"/>
      <c r="AL2766" s="298"/>
      <c r="AM2766" s="298"/>
      <c r="AN2766" s="298"/>
      <c r="AO2766" s="298"/>
      <c r="AP2766" s="298"/>
      <c r="AQ2766" s="298"/>
      <c r="AR2766" s="298"/>
      <c r="AS2766" s="298"/>
      <c r="AT2766" s="298"/>
      <c r="AU2766" s="298"/>
      <c r="AV2766" s="298"/>
      <c r="AW2766" s="298"/>
      <c r="AX2766" s="298"/>
      <c r="AY2766" s="298"/>
      <c r="AZ2766" s="298"/>
      <c r="BA2766" s="298"/>
      <c r="BB2766" s="298"/>
      <c r="BC2766" s="298"/>
      <c r="BD2766" s="298"/>
      <c r="BE2766" s="298"/>
      <c r="BF2766" s="298"/>
      <c r="BG2766" s="298"/>
      <c r="BH2766" s="298"/>
      <c r="BI2766" s="298"/>
      <c r="BJ2766" s="298"/>
      <c r="BK2766" s="298"/>
      <c r="BL2766" s="298"/>
      <c r="BM2766" s="298"/>
      <c r="BN2766" s="298"/>
      <c r="BO2766" s="298"/>
      <c r="BP2766" s="298"/>
    </row>
    <row r="2767" spans="1:68" s="529" customFormat="1" ht="25.5">
      <c r="A2767" s="286" t="s">
        <v>3259</v>
      </c>
      <c r="B2767" s="288">
        <v>88247</v>
      </c>
      <c r="C2767" s="289" t="s">
        <v>145</v>
      </c>
      <c r="D2767" s="290" t="s">
        <v>9714</v>
      </c>
      <c r="E2767" s="290" t="s">
        <v>206</v>
      </c>
      <c r="F2767" s="383">
        <v>0.3</v>
      </c>
      <c r="G2767" s="292" t="s">
        <v>12206</v>
      </c>
      <c r="H2767" s="255">
        <v>5.62</v>
      </c>
      <c r="I2767" s="298"/>
      <c r="J2767" s="298"/>
      <c r="K2767" s="298"/>
      <c r="L2767" s="298"/>
      <c r="M2767" s="298"/>
      <c r="N2767" s="298"/>
      <c r="O2767" s="298"/>
      <c r="P2767" s="298"/>
      <c r="Q2767" s="298"/>
      <c r="R2767" s="298"/>
      <c r="S2767" s="536"/>
      <c r="T2767" s="635"/>
      <c r="U2767" s="298"/>
      <c r="V2767" s="298"/>
      <c r="W2767" s="298"/>
      <c r="X2767" s="298"/>
      <c r="Y2767" s="298"/>
      <c r="Z2767" s="298"/>
      <c r="AA2767" s="298"/>
      <c r="AB2767" s="298"/>
      <c r="AC2767" s="298"/>
      <c r="AD2767" s="298"/>
      <c r="AE2767" s="298"/>
      <c r="AF2767" s="298"/>
      <c r="AG2767" s="298"/>
      <c r="AH2767" s="298"/>
      <c r="AI2767" s="298"/>
      <c r="AJ2767" s="298"/>
      <c r="AK2767" s="298"/>
      <c r="AL2767" s="298"/>
      <c r="AM2767" s="298"/>
      <c r="AN2767" s="298"/>
      <c r="AO2767" s="298"/>
      <c r="AP2767" s="298"/>
      <c r="AQ2767" s="298"/>
      <c r="AR2767" s="298"/>
      <c r="AS2767" s="298"/>
      <c r="AT2767" s="298"/>
      <c r="AU2767" s="298"/>
      <c r="AV2767" s="298"/>
      <c r="AW2767" s="298"/>
      <c r="AX2767" s="298"/>
      <c r="AY2767" s="298"/>
      <c r="AZ2767" s="298"/>
      <c r="BA2767" s="298"/>
      <c r="BB2767" s="298"/>
      <c r="BC2767" s="298"/>
      <c r="BD2767" s="298"/>
      <c r="BE2767" s="298"/>
      <c r="BF2767" s="298"/>
      <c r="BG2767" s="298"/>
      <c r="BH2767" s="298"/>
      <c r="BI2767" s="298"/>
      <c r="BJ2767" s="298"/>
      <c r="BK2767" s="298"/>
      <c r="BL2767" s="298"/>
      <c r="BM2767" s="298"/>
      <c r="BN2767" s="298"/>
      <c r="BO2767" s="298"/>
      <c r="BP2767" s="298"/>
    </row>
    <row r="2768" spans="1:68" s="529" customFormat="1" ht="25.5">
      <c r="A2768" s="286" t="s">
        <v>3259</v>
      </c>
      <c r="B2768" s="288">
        <v>88264</v>
      </c>
      <c r="C2768" s="289" t="s">
        <v>146</v>
      </c>
      <c r="D2768" s="290" t="s">
        <v>9714</v>
      </c>
      <c r="E2768" s="290" t="s">
        <v>206</v>
      </c>
      <c r="F2768" s="383">
        <v>0.3</v>
      </c>
      <c r="G2768" s="292" t="s">
        <v>16504</v>
      </c>
      <c r="H2768" s="255">
        <v>7.23</v>
      </c>
      <c r="I2768" s="298"/>
      <c r="J2768" s="298"/>
      <c r="K2768" s="298"/>
      <c r="L2768" s="298"/>
      <c r="M2768" s="298"/>
      <c r="N2768" s="298"/>
      <c r="O2768" s="298"/>
      <c r="P2768" s="298"/>
      <c r="Q2768" s="298"/>
      <c r="R2768" s="298"/>
      <c r="S2768" s="536"/>
      <c r="T2768" s="635"/>
      <c r="U2768" s="298"/>
      <c r="V2768" s="298"/>
      <c r="W2768" s="298"/>
      <c r="X2768" s="298"/>
      <c r="Y2768" s="298"/>
      <c r="Z2768" s="298"/>
      <c r="AA2768" s="298"/>
      <c r="AB2768" s="298"/>
      <c r="AC2768" s="298"/>
      <c r="AD2768" s="298"/>
      <c r="AE2768" s="298"/>
      <c r="AF2768" s="298"/>
      <c r="AG2768" s="298"/>
      <c r="AH2768" s="298"/>
      <c r="AI2768" s="298"/>
      <c r="AJ2768" s="298"/>
      <c r="AK2768" s="298"/>
      <c r="AL2768" s="298"/>
      <c r="AM2768" s="298"/>
      <c r="AN2768" s="298"/>
      <c r="AO2768" s="298"/>
      <c r="AP2768" s="298"/>
      <c r="AQ2768" s="298"/>
      <c r="AR2768" s="298"/>
      <c r="AS2768" s="298"/>
      <c r="AT2768" s="298"/>
      <c r="AU2768" s="298"/>
      <c r="AV2768" s="298"/>
      <c r="AW2768" s="298"/>
      <c r="AX2768" s="298"/>
      <c r="AY2768" s="298"/>
      <c r="AZ2768" s="298"/>
      <c r="BA2768" s="298"/>
      <c r="BB2768" s="298"/>
      <c r="BC2768" s="298"/>
      <c r="BD2768" s="298"/>
      <c r="BE2768" s="298"/>
      <c r="BF2768" s="298"/>
      <c r="BG2768" s="298"/>
      <c r="BH2768" s="298"/>
      <c r="BI2768" s="298"/>
      <c r="BJ2768" s="298"/>
      <c r="BK2768" s="298"/>
      <c r="BL2768" s="298"/>
      <c r="BM2768" s="298"/>
      <c r="BN2768" s="298"/>
      <c r="BO2768" s="298"/>
      <c r="BP2768" s="298"/>
    </row>
    <row r="2769" spans="1:68" s="529" customFormat="1" ht="12.75">
      <c r="A2769" s="286"/>
      <c r="B2769" s="375" t="s">
        <v>143</v>
      </c>
      <c r="C2769" s="816" t="s">
        <v>15135</v>
      </c>
      <c r="D2769" s="817"/>
      <c r="E2769" s="817"/>
      <c r="F2769" s="817"/>
      <c r="G2769" s="817"/>
      <c r="H2769" s="818"/>
      <c r="I2769" s="298"/>
      <c r="J2769" s="298"/>
      <c r="K2769" s="298"/>
      <c r="L2769" s="298"/>
      <c r="M2769" s="298"/>
      <c r="N2769" s="298"/>
      <c r="O2769" s="298"/>
      <c r="P2769" s="298"/>
      <c r="Q2769" s="298"/>
      <c r="R2769" s="298"/>
      <c r="S2769" s="536"/>
      <c r="T2769" s="635"/>
      <c r="U2769" s="298"/>
      <c r="V2769" s="298"/>
      <c r="W2769" s="298"/>
      <c r="X2769" s="298"/>
      <c r="Y2769" s="298"/>
      <c r="Z2769" s="298"/>
      <c r="AA2769" s="298"/>
      <c r="AB2769" s="298"/>
      <c r="AC2769" s="298"/>
      <c r="AD2769" s="298"/>
      <c r="AE2769" s="298"/>
      <c r="AF2769" s="298"/>
      <c r="AG2769" s="298"/>
      <c r="AH2769" s="298"/>
      <c r="AI2769" s="298"/>
      <c r="AJ2769" s="298"/>
      <c r="AK2769" s="298"/>
      <c r="AL2769" s="298"/>
      <c r="AM2769" s="298"/>
      <c r="AN2769" s="298"/>
      <c r="AO2769" s="298"/>
      <c r="AP2769" s="298"/>
      <c r="AQ2769" s="298"/>
      <c r="AR2769" s="298"/>
      <c r="AS2769" s="298"/>
      <c r="AT2769" s="298"/>
      <c r="AU2769" s="298"/>
      <c r="AV2769" s="298"/>
      <c r="AW2769" s="298"/>
      <c r="AX2769" s="298"/>
      <c r="AY2769" s="298"/>
      <c r="AZ2769" s="298"/>
      <c r="BA2769" s="298"/>
      <c r="BB2769" s="298"/>
      <c r="BC2769" s="298"/>
      <c r="BD2769" s="298"/>
      <c r="BE2769" s="298"/>
      <c r="BF2769" s="298"/>
      <c r="BG2769" s="298"/>
      <c r="BH2769" s="298"/>
      <c r="BI2769" s="298"/>
      <c r="BJ2769" s="298"/>
      <c r="BK2769" s="298"/>
      <c r="BL2769" s="298"/>
      <c r="BM2769" s="298"/>
      <c r="BN2769" s="298"/>
      <c r="BO2769" s="298"/>
      <c r="BP2769" s="298"/>
    </row>
    <row r="2770" spans="1:68" s="529" customFormat="1" ht="12.75">
      <c r="A2770" s="286"/>
      <c r="B2770" s="373"/>
      <c r="C2770" s="379"/>
      <c r="D2770" s="382"/>
      <c r="E2770" s="382"/>
      <c r="F2770" s="382"/>
      <c r="G2770" s="382"/>
      <c r="H2770" s="382"/>
      <c r="I2770" s="298"/>
      <c r="J2770" s="298"/>
      <c r="K2770" s="298"/>
      <c r="L2770" s="298"/>
      <c r="M2770" s="298"/>
      <c r="N2770" s="298"/>
      <c r="O2770" s="298"/>
      <c r="P2770" s="298"/>
      <c r="Q2770" s="298"/>
      <c r="R2770" s="298"/>
      <c r="S2770" s="536"/>
      <c r="T2770" s="635"/>
      <c r="U2770" s="298"/>
      <c r="V2770" s="298"/>
      <c r="W2770" s="298"/>
      <c r="X2770" s="298"/>
      <c r="Y2770" s="298"/>
      <c r="Z2770" s="298"/>
      <c r="AA2770" s="298"/>
      <c r="AB2770" s="298"/>
      <c r="AC2770" s="298"/>
      <c r="AD2770" s="298"/>
      <c r="AE2770" s="298"/>
      <c r="AF2770" s="298"/>
      <c r="AG2770" s="298"/>
      <c r="AH2770" s="298"/>
      <c r="AI2770" s="298"/>
      <c r="AJ2770" s="298"/>
      <c r="AK2770" s="298"/>
      <c r="AL2770" s="298"/>
      <c r="AM2770" s="298"/>
      <c r="AN2770" s="298"/>
      <c r="AO2770" s="298"/>
      <c r="AP2770" s="298"/>
      <c r="AQ2770" s="298"/>
      <c r="AR2770" s="298"/>
      <c r="AS2770" s="298"/>
      <c r="AT2770" s="298"/>
      <c r="AU2770" s="298"/>
      <c r="AV2770" s="298"/>
      <c r="AW2770" s="298"/>
      <c r="AX2770" s="298"/>
      <c r="AY2770" s="298"/>
      <c r="AZ2770" s="298"/>
      <c r="BA2770" s="298"/>
      <c r="BB2770" s="298"/>
      <c r="BC2770" s="298"/>
      <c r="BD2770" s="298"/>
      <c r="BE2770" s="298"/>
      <c r="BF2770" s="298"/>
      <c r="BG2770" s="298"/>
      <c r="BH2770" s="298"/>
      <c r="BI2770" s="298"/>
      <c r="BJ2770" s="298"/>
      <c r="BK2770" s="298"/>
      <c r="BL2770" s="298"/>
      <c r="BM2770" s="298"/>
      <c r="BN2770" s="298"/>
      <c r="BO2770" s="298"/>
      <c r="BP2770" s="298"/>
    </row>
    <row r="2771" spans="1:68" s="529" customFormat="1" ht="25.5">
      <c r="A2771" s="286"/>
      <c r="B2771" s="372" t="s">
        <v>15130</v>
      </c>
      <c r="C2771" s="231" t="s">
        <v>15138</v>
      </c>
      <c r="D2771" s="232" t="s">
        <v>103</v>
      </c>
      <c r="E2771" s="232" t="s">
        <v>5</v>
      </c>
      <c r="F2771" s="233"/>
      <c r="G2771" s="234"/>
      <c r="H2771" s="235">
        <v>8.7900000000000009</v>
      </c>
      <c r="I2771" s="298"/>
      <c r="J2771" s="298"/>
      <c r="K2771" s="298"/>
      <c r="L2771" s="298"/>
      <c r="M2771" s="298"/>
      <c r="N2771" s="298"/>
      <c r="O2771" s="298"/>
      <c r="P2771" s="298"/>
      <c r="Q2771" s="298"/>
      <c r="R2771" s="298"/>
      <c r="S2771" s="536"/>
      <c r="T2771" s="635"/>
      <c r="U2771" s="298"/>
      <c r="V2771" s="298"/>
      <c r="W2771" s="298"/>
      <c r="X2771" s="298"/>
      <c r="Y2771" s="298"/>
      <c r="Z2771" s="298"/>
      <c r="AA2771" s="298"/>
      <c r="AB2771" s="298"/>
      <c r="AC2771" s="298"/>
      <c r="AD2771" s="298"/>
      <c r="AE2771" s="298"/>
      <c r="AF2771" s="298"/>
      <c r="AG2771" s="298"/>
      <c r="AH2771" s="298"/>
      <c r="AI2771" s="298"/>
      <c r="AJ2771" s="298"/>
      <c r="AK2771" s="298"/>
      <c r="AL2771" s="298"/>
      <c r="AM2771" s="298"/>
      <c r="AN2771" s="298"/>
      <c r="AO2771" s="298"/>
      <c r="AP2771" s="298"/>
      <c r="AQ2771" s="298"/>
      <c r="AR2771" s="298"/>
      <c r="AS2771" s="298"/>
      <c r="AT2771" s="298"/>
      <c r="AU2771" s="298"/>
      <c r="AV2771" s="298"/>
      <c r="AW2771" s="298"/>
      <c r="AX2771" s="298"/>
      <c r="AY2771" s="298"/>
      <c r="AZ2771" s="298"/>
      <c r="BA2771" s="298"/>
      <c r="BB2771" s="298"/>
      <c r="BC2771" s="298"/>
      <c r="BD2771" s="298"/>
      <c r="BE2771" s="298"/>
      <c r="BF2771" s="298"/>
      <c r="BG2771" s="298"/>
      <c r="BH2771" s="298"/>
      <c r="BI2771" s="298"/>
      <c r="BJ2771" s="298"/>
      <c r="BK2771" s="298"/>
      <c r="BL2771" s="298"/>
      <c r="BM2771" s="298"/>
      <c r="BN2771" s="298"/>
      <c r="BO2771" s="298"/>
      <c r="BP2771" s="298"/>
    </row>
    <row r="2772" spans="1:68" s="529" customFormat="1" ht="12.75">
      <c r="A2772" s="286" t="s">
        <v>12</v>
      </c>
      <c r="B2772" s="288" t="s">
        <v>15145</v>
      </c>
      <c r="C2772" s="289" t="s">
        <v>17984</v>
      </c>
      <c r="D2772" s="290" t="s">
        <v>207</v>
      </c>
      <c r="E2772" s="290" t="s">
        <v>5</v>
      </c>
      <c r="F2772" s="383">
        <v>1.02</v>
      </c>
      <c r="G2772" s="292">
        <v>3.59</v>
      </c>
      <c r="H2772" s="255">
        <v>3.66</v>
      </c>
      <c r="I2772" s="298"/>
      <c r="J2772" s="298"/>
      <c r="K2772" s="298"/>
      <c r="L2772" s="298"/>
      <c r="M2772" s="298"/>
      <c r="N2772" s="298"/>
      <c r="O2772" s="298"/>
      <c r="P2772" s="298"/>
      <c r="Q2772" s="298"/>
      <c r="R2772" s="298"/>
      <c r="S2772" s="536"/>
      <c r="T2772" s="635"/>
      <c r="U2772" s="298"/>
      <c r="V2772" s="298"/>
      <c r="W2772" s="298"/>
      <c r="X2772" s="298"/>
      <c r="Y2772" s="298"/>
      <c r="Z2772" s="298"/>
      <c r="AA2772" s="298"/>
      <c r="AB2772" s="298"/>
      <c r="AC2772" s="298"/>
      <c r="AD2772" s="298"/>
      <c r="AE2772" s="298"/>
      <c r="AF2772" s="298"/>
      <c r="AG2772" s="298"/>
      <c r="AH2772" s="298"/>
      <c r="AI2772" s="298"/>
      <c r="AJ2772" s="298"/>
      <c r="AK2772" s="298"/>
      <c r="AL2772" s="298"/>
      <c r="AM2772" s="298"/>
      <c r="AN2772" s="298"/>
      <c r="AO2772" s="298"/>
      <c r="AP2772" s="298"/>
      <c r="AQ2772" s="298"/>
      <c r="AR2772" s="298"/>
      <c r="AS2772" s="298"/>
      <c r="AT2772" s="298"/>
      <c r="AU2772" s="298"/>
      <c r="AV2772" s="298"/>
      <c r="AW2772" s="298"/>
      <c r="AX2772" s="298"/>
      <c r="AY2772" s="298"/>
      <c r="AZ2772" s="298"/>
      <c r="BA2772" s="298"/>
      <c r="BB2772" s="298"/>
      <c r="BC2772" s="298"/>
      <c r="BD2772" s="298"/>
      <c r="BE2772" s="298"/>
      <c r="BF2772" s="298"/>
      <c r="BG2772" s="298"/>
      <c r="BH2772" s="298"/>
      <c r="BI2772" s="298"/>
      <c r="BJ2772" s="298"/>
      <c r="BK2772" s="298"/>
      <c r="BL2772" s="298"/>
      <c r="BM2772" s="298"/>
      <c r="BN2772" s="298"/>
      <c r="BO2772" s="298"/>
      <c r="BP2772" s="298"/>
    </row>
    <row r="2773" spans="1:68" s="529" customFormat="1" ht="25.5">
      <c r="A2773" s="286" t="s">
        <v>3259</v>
      </c>
      <c r="B2773" s="288">
        <v>88247</v>
      </c>
      <c r="C2773" s="289" t="s">
        <v>145</v>
      </c>
      <c r="D2773" s="290" t="s">
        <v>9714</v>
      </c>
      <c r="E2773" s="290" t="s">
        <v>206</v>
      </c>
      <c r="F2773" s="383">
        <v>0.12</v>
      </c>
      <c r="G2773" s="292" t="s">
        <v>12206</v>
      </c>
      <c r="H2773" s="255">
        <v>2.2400000000000002</v>
      </c>
      <c r="I2773" s="298"/>
      <c r="J2773" s="298"/>
      <c r="K2773" s="298"/>
      <c r="L2773" s="298"/>
      <c r="M2773" s="298"/>
      <c r="N2773" s="298"/>
      <c r="O2773" s="298"/>
      <c r="P2773" s="298"/>
      <c r="Q2773" s="298"/>
      <c r="R2773" s="298"/>
      <c r="S2773" s="536"/>
      <c r="T2773" s="635"/>
      <c r="U2773" s="298"/>
      <c r="V2773" s="298"/>
      <c r="W2773" s="298"/>
      <c r="X2773" s="298"/>
      <c r="Y2773" s="298"/>
      <c r="Z2773" s="298"/>
      <c r="AA2773" s="298"/>
      <c r="AB2773" s="298"/>
      <c r="AC2773" s="298"/>
      <c r="AD2773" s="298"/>
      <c r="AE2773" s="298"/>
      <c r="AF2773" s="298"/>
      <c r="AG2773" s="298"/>
      <c r="AH2773" s="298"/>
      <c r="AI2773" s="298"/>
      <c r="AJ2773" s="298"/>
      <c r="AK2773" s="298"/>
      <c r="AL2773" s="298"/>
      <c r="AM2773" s="298"/>
      <c r="AN2773" s="298"/>
      <c r="AO2773" s="298"/>
      <c r="AP2773" s="298"/>
      <c r="AQ2773" s="298"/>
      <c r="AR2773" s="298"/>
      <c r="AS2773" s="298"/>
      <c r="AT2773" s="298"/>
      <c r="AU2773" s="298"/>
      <c r="AV2773" s="298"/>
      <c r="AW2773" s="298"/>
      <c r="AX2773" s="298"/>
      <c r="AY2773" s="298"/>
      <c r="AZ2773" s="298"/>
      <c r="BA2773" s="298"/>
      <c r="BB2773" s="298"/>
      <c r="BC2773" s="298"/>
      <c r="BD2773" s="298"/>
      <c r="BE2773" s="298"/>
      <c r="BF2773" s="298"/>
      <c r="BG2773" s="298"/>
      <c r="BH2773" s="298"/>
      <c r="BI2773" s="298"/>
      <c r="BJ2773" s="298"/>
      <c r="BK2773" s="298"/>
      <c r="BL2773" s="298"/>
      <c r="BM2773" s="298"/>
      <c r="BN2773" s="298"/>
      <c r="BO2773" s="298"/>
      <c r="BP2773" s="298"/>
    </row>
    <row r="2774" spans="1:68" s="529" customFormat="1" ht="25.5">
      <c r="A2774" s="286" t="s">
        <v>3259</v>
      </c>
      <c r="B2774" s="288">
        <v>88264</v>
      </c>
      <c r="C2774" s="289" t="s">
        <v>146</v>
      </c>
      <c r="D2774" s="290" t="s">
        <v>9714</v>
      </c>
      <c r="E2774" s="290" t="s">
        <v>206</v>
      </c>
      <c r="F2774" s="383">
        <v>0.12</v>
      </c>
      <c r="G2774" s="292" t="s">
        <v>16504</v>
      </c>
      <c r="H2774" s="255">
        <v>2.89</v>
      </c>
      <c r="I2774" s="298"/>
      <c r="J2774" s="298"/>
      <c r="K2774" s="298"/>
      <c r="L2774" s="298"/>
      <c r="M2774" s="298"/>
      <c r="N2774" s="298"/>
      <c r="O2774" s="298"/>
      <c r="P2774" s="298"/>
      <c r="Q2774" s="298"/>
      <c r="R2774" s="298"/>
      <c r="S2774" s="536"/>
      <c r="T2774" s="635"/>
      <c r="U2774" s="298"/>
      <c r="V2774" s="298"/>
      <c r="W2774" s="298"/>
      <c r="X2774" s="298"/>
      <c r="Y2774" s="298"/>
      <c r="Z2774" s="298"/>
      <c r="AA2774" s="298"/>
      <c r="AB2774" s="298"/>
      <c r="AC2774" s="298"/>
      <c r="AD2774" s="298"/>
      <c r="AE2774" s="298"/>
      <c r="AF2774" s="298"/>
      <c r="AG2774" s="298"/>
      <c r="AH2774" s="298"/>
      <c r="AI2774" s="298"/>
      <c r="AJ2774" s="298"/>
      <c r="AK2774" s="298"/>
      <c r="AL2774" s="298"/>
      <c r="AM2774" s="298"/>
      <c r="AN2774" s="298"/>
      <c r="AO2774" s="298"/>
      <c r="AP2774" s="298"/>
      <c r="AQ2774" s="298"/>
      <c r="AR2774" s="298"/>
      <c r="AS2774" s="298"/>
      <c r="AT2774" s="298"/>
      <c r="AU2774" s="298"/>
      <c r="AV2774" s="298"/>
      <c r="AW2774" s="298"/>
      <c r="AX2774" s="298"/>
      <c r="AY2774" s="298"/>
      <c r="AZ2774" s="298"/>
      <c r="BA2774" s="298"/>
      <c r="BB2774" s="298"/>
      <c r="BC2774" s="298"/>
      <c r="BD2774" s="298"/>
      <c r="BE2774" s="298"/>
      <c r="BF2774" s="298"/>
      <c r="BG2774" s="298"/>
      <c r="BH2774" s="298"/>
      <c r="BI2774" s="298"/>
      <c r="BJ2774" s="298"/>
      <c r="BK2774" s="298"/>
      <c r="BL2774" s="298"/>
      <c r="BM2774" s="298"/>
      <c r="BN2774" s="298"/>
      <c r="BO2774" s="298"/>
      <c r="BP2774" s="298"/>
    </row>
    <row r="2775" spans="1:68" s="529" customFormat="1" ht="12.75">
      <c r="A2775" s="286"/>
      <c r="B2775" s="375" t="s">
        <v>143</v>
      </c>
      <c r="C2775" s="816" t="s">
        <v>15139</v>
      </c>
      <c r="D2775" s="817"/>
      <c r="E2775" s="817"/>
      <c r="F2775" s="817"/>
      <c r="G2775" s="817"/>
      <c r="H2775" s="818"/>
      <c r="I2775" s="298"/>
      <c r="J2775" s="298"/>
      <c r="K2775" s="298"/>
      <c r="L2775" s="298"/>
      <c r="M2775" s="298"/>
      <c r="N2775" s="298"/>
      <c r="O2775" s="298"/>
      <c r="P2775" s="298"/>
      <c r="Q2775" s="298"/>
      <c r="R2775" s="298"/>
      <c r="S2775" s="536"/>
      <c r="T2775" s="635"/>
      <c r="U2775" s="298"/>
      <c r="V2775" s="298"/>
      <c r="W2775" s="298"/>
      <c r="X2775" s="298"/>
      <c r="Y2775" s="298"/>
      <c r="Z2775" s="298"/>
      <c r="AA2775" s="298"/>
      <c r="AB2775" s="298"/>
      <c r="AC2775" s="298"/>
      <c r="AD2775" s="298"/>
      <c r="AE2775" s="298"/>
      <c r="AF2775" s="298"/>
      <c r="AG2775" s="298"/>
      <c r="AH2775" s="298"/>
      <c r="AI2775" s="298"/>
      <c r="AJ2775" s="298"/>
      <c r="AK2775" s="298"/>
      <c r="AL2775" s="298"/>
      <c r="AM2775" s="298"/>
      <c r="AN2775" s="298"/>
      <c r="AO2775" s="298"/>
      <c r="AP2775" s="298"/>
      <c r="AQ2775" s="298"/>
      <c r="AR2775" s="298"/>
      <c r="AS2775" s="298"/>
      <c r="AT2775" s="298"/>
      <c r="AU2775" s="298"/>
      <c r="AV2775" s="298"/>
      <c r="AW2775" s="298"/>
      <c r="AX2775" s="298"/>
      <c r="AY2775" s="298"/>
      <c r="AZ2775" s="298"/>
      <c r="BA2775" s="298"/>
      <c r="BB2775" s="298"/>
      <c r="BC2775" s="298"/>
      <c r="BD2775" s="298"/>
      <c r="BE2775" s="298"/>
      <c r="BF2775" s="298"/>
      <c r="BG2775" s="298"/>
      <c r="BH2775" s="298"/>
      <c r="BI2775" s="298"/>
      <c r="BJ2775" s="298"/>
      <c r="BK2775" s="298"/>
      <c r="BL2775" s="298"/>
      <c r="BM2775" s="298"/>
      <c r="BN2775" s="298"/>
      <c r="BO2775" s="298"/>
      <c r="BP2775" s="298"/>
    </row>
    <row r="2776" spans="1:68" s="529" customFormat="1" ht="12.75">
      <c r="A2776" s="286"/>
      <c r="B2776" s="373"/>
      <c r="C2776" s="379"/>
      <c r="D2776" s="382"/>
      <c r="E2776" s="382"/>
      <c r="F2776" s="382"/>
      <c r="G2776" s="382"/>
      <c r="H2776" s="382"/>
      <c r="I2776" s="298"/>
      <c r="J2776" s="298"/>
      <c r="K2776" s="298"/>
      <c r="L2776" s="298"/>
      <c r="M2776" s="298"/>
      <c r="N2776" s="298"/>
      <c r="O2776" s="298"/>
      <c r="P2776" s="298"/>
      <c r="Q2776" s="298"/>
      <c r="R2776" s="298"/>
      <c r="S2776" s="536"/>
      <c r="T2776" s="635"/>
      <c r="U2776" s="298"/>
      <c r="V2776" s="298"/>
      <c r="W2776" s="298"/>
      <c r="X2776" s="298"/>
      <c r="Y2776" s="298"/>
      <c r="Z2776" s="298"/>
      <c r="AA2776" s="298"/>
      <c r="AB2776" s="298"/>
      <c r="AC2776" s="298"/>
      <c r="AD2776" s="298"/>
      <c r="AE2776" s="298"/>
      <c r="AF2776" s="298"/>
      <c r="AG2776" s="298"/>
      <c r="AH2776" s="298"/>
      <c r="AI2776" s="298"/>
      <c r="AJ2776" s="298"/>
      <c r="AK2776" s="298"/>
      <c r="AL2776" s="298"/>
      <c r="AM2776" s="298"/>
      <c r="AN2776" s="298"/>
      <c r="AO2776" s="298"/>
      <c r="AP2776" s="298"/>
      <c r="AQ2776" s="298"/>
      <c r="AR2776" s="298"/>
      <c r="AS2776" s="298"/>
      <c r="AT2776" s="298"/>
      <c r="AU2776" s="298"/>
      <c r="AV2776" s="298"/>
      <c r="AW2776" s="298"/>
      <c r="AX2776" s="298"/>
      <c r="AY2776" s="298"/>
      <c r="AZ2776" s="298"/>
      <c r="BA2776" s="298"/>
      <c r="BB2776" s="298"/>
      <c r="BC2776" s="298"/>
      <c r="BD2776" s="298"/>
      <c r="BE2776" s="298"/>
      <c r="BF2776" s="298"/>
      <c r="BG2776" s="298"/>
      <c r="BH2776" s="298"/>
      <c r="BI2776" s="298"/>
      <c r="BJ2776" s="298"/>
      <c r="BK2776" s="298"/>
      <c r="BL2776" s="298"/>
      <c r="BM2776" s="298"/>
      <c r="BN2776" s="298"/>
      <c r="BO2776" s="298"/>
      <c r="BP2776" s="298"/>
    </row>
    <row r="2777" spans="1:68" s="529" customFormat="1" ht="89.25">
      <c r="A2777" s="286"/>
      <c r="B2777" s="372" t="s">
        <v>15133</v>
      </c>
      <c r="C2777" s="231" t="s">
        <v>15094</v>
      </c>
      <c r="D2777" s="232" t="s">
        <v>103</v>
      </c>
      <c r="E2777" s="232" t="s">
        <v>109</v>
      </c>
      <c r="F2777" s="233"/>
      <c r="G2777" s="234"/>
      <c r="H2777" s="235">
        <v>1823.27</v>
      </c>
      <c r="I2777" s="298"/>
      <c r="J2777" s="298"/>
      <c r="K2777" s="298"/>
      <c r="L2777" s="298"/>
      <c r="M2777" s="298"/>
      <c r="N2777" s="298"/>
      <c r="O2777" s="298"/>
      <c r="P2777" s="298"/>
      <c r="Q2777" s="298"/>
      <c r="R2777" s="298"/>
      <c r="S2777" s="536"/>
      <c r="T2777" s="635"/>
      <c r="U2777" s="298"/>
      <c r="V2777" s="298"/>
      <c r="W2777" s="298"/>
      <c r="X2777" s="298"/>
      <c r="Y2777" s="298"/>
      <c r="Z2777" s="298"/>
      <c r="AA2777" s="298"/>
      <c r="AB2777" s="298"/>
      <c r="AC2777" s="298"/>
      <c r="AD2777" s="298"/>
      <c r="AE2777" s="298"/>
      <c r="AF2777" s="298"/>
      <c r="AG2777" s="298"/>
      <c r="AH2777" s="298"/>
      <c r="AI2777" s="298"/>
      <c r="AJ2777" s="298"/>
      <c r="AK2777" s="298"/>
      <c r="AL2777" s="298"/>
      <c r="AM2777" s="298"/>
      <c r="AN2777" s="298"/>
      <c r="AO2777" s="298"/>
      <c r="AP2777" s="298"/>
      <c r="AQ2777" s="298"/>
      <c r="AR2777" s="298"/>
      <c r="AS2777" s="298"/>
      <c r="AT2777" s="298"/>
      <c r="AU2777" s="298"/>
      <c r="AV2777" s="298"/>
      <c r="AW2777" s="298"/>
      <c r="AX2777" s="298"/>
      <c r="AY2777" s="298"/>
      <c r="AZ2777" s="298"/>
      <c r="BA2777" s="298"/>
      <c r="BB2777" s="298"/>
      <c r="BC2777" s="298"/>
      <c r="BD2777" s="298"/>
      <c r="BE2777" s="298"/>
      <c r="BF2777" s="298"/>
      <c r="BG2777" s="298"/>
      <c r="BH2777" s="298"/>
      <c r="BI2777" s="298"/>
      <c r="BJ2777" s="298"/>
      <c r="BK2777" s="298"/>
      <c r="BL2777" s="298"/>
      <c r="BM2777" s="298"/>
      <c r="BN2777" s="298"/>
      <c r="BO2777" s="298"/>
      <c r="BP2777" s="298"/>
    </row>
    <row r="2778" spans="1:68" s="529" customFormat="1" ht="51">
      <c r="A2778" s="286" t="s">
        <v>3261</v>
      </c>
      <c r="B2778" s="288">
        <v>4350</v>
      </c>
      <c r="C2778" s="289" t="s">
        <v>5018</v>
      </c>
      <c r="D2778" s="290" t="s">
        <v>207</v>
      </c>
      <c r="E2778" s="290" t="s">
        <v>3240</v>
      </c>
      <c r="F2778" s="383">
        <v>4</v>
      </c>
      <c r="G2778" s="292" t="s">
        <v>9984</v>
      </c>
      <c r="H2778" s="255">
        <v>1.4</v>
      </c>
      <c r="I2778" s="298"/>
      <c r="J2778" s="634"/>
      <c r="K2778" s="634"/>
      <c r="L2778" s="634"/>
      <c r="M2778" s="634"/>
      <c r="N2778" s="298"/>
      <c r="O2778" s="298"/>
      <c r="P2778" s="298"/>
      <c r="Q2778" s="298"/>
      <c r="R2778" s="298"/>
      <c r="S2778" s="536"/>
      <c r="T2778" s="635"/>
      <c r="U2778" s="298"/>
      <c r="V2778" s="298"/>
      <c r="W2778" s="298"/>
      <c r="X2778" s="298"/>
      <c r="Y2778" s="298"/>
      <c r="Z2778" s="298"/>
      <c r="AA2778" s="298"/>
      <c r="AB2778" s="298"/>
      <c r="AC2778" s="298"/>
      <c r="AD2778" s="298"/>
      <c r="AE2778" s="298"/>
      <c r="AF2778" s="298"/>
      <c r="AG2778" s="298"/>
      <c r="AH2778" s="298"/>
      <c r="AI2778" s="298"/>
      <c r="AJ2778" s="298"/>
      <c r="AK2778" s="298"/>
      <c r="AL2778" s="298"/>
      <c r="AM2778" s="298"/>
      <c r="AN2778" s="298"/>
      <c r="AO2778" s="298"/>
      <c r="AP2778" s="298"/>
      <c r="AQ2778" s="298"/>
      <c r="AR2778" s="298"/>
      <c r="AS2778" s="298"/>
      <c r="AT2778" s="298"/>
      <c r="AU2778" s="298"/>
      <c r="AV2778" s="298"/>
      <c r="AW2778" s="298"/>
      <c r="AX2778" s="298"/>
      <c r="AY2778" s="298"/>
      <c r="AZ2778" s="298"/>
      <c r="BA2778" s="298"/>
      <c r="BB2778" s="298"/>
      <c r="BC2778" s="298"/>
      <c r="BD2778" s="298"/>
      <c r="BE2778" s="298"/>
      <c r="BF2778" s="298"/>
      <c r="BG2778" s="298"/>
      <c r="BH2778" s="298"/>
      <c r="BI2778" s="298"/>
      <c r="BJ2778" s="298"/>
      <c r="BK2778" s="298"/>
      <c r="BL2778" s="298"/>
      <c r="BM2778" s="298"/>
      <c r="BN2778" s="298"/>
      <c r="BO2778" s="298"/>
      <c r="BP2778" s="298"/>
    </row>
    <row r="2779" spans="1:68" s="529" customFormat="1" ht="51">
      <c r="A2779" s="286" t="s">
        <v>3261</v>
      </c>
      <c r="B2779" s="288">
        <v>10899</v>
      </c>
      <c r="C2779" s="289" t="s">
        <v>4668</v>
      </c>
      <c r="D2779" s="290" t="s">
        <v>207</v>
      </c>
      <c r="E2779" s="290" t="s">
        <v>3240</v>
      </c>
      <c r="F2779" s="383">
        <v>1</v>
      </c>
      <c r="G2779" s="292" t="s">
        <v>18799</v>
      </c>
      <c r="H2779" s="255">
        <v>57.36</v>
      </c>
      <c r="I2779" s="298"/>
      <c r="J2779" s="634"/>
      <c r="K2779" s="634"/>
      <c r="L2779" s="634"/>
      <c r="M2779" s="634"/>
      <c r="N2779" s="298"/>
      <c r="O2779" s="298"/>
      <c r="P2779" s="298"/>
      <c r="Q2779" s="298"/>
      <c r="R2779" s="298"/>
      <c r="S2779" s="536"/>
      <c r="T2779" s="635"/>
      <c r="U2779" s="298"/>
      <c r="V2779" s="298"/>
      <c r="W2779" s="298"/>
      <c r="X2779" s="298"/>
      <c r="Y2779" s="298"/>
      <c r="Z2779" s="298"/>
      <c r="AA2779" s="298"/>
      <c r="AB2779" s="298"/>
      <c r="AC2779" s="298"/>
      <c r="AD2779" s="298"/>
      <c r="AE2779" s="298"/>
      <c r="AF2779" s="298"/>
      <c r="AG2779" s="298"/>
      <c r="AH2779" s="298"/>
      <c r="AI2779" s="298"/>
      <c r="AJ2779" s="298"/>
      <c r="AK2779" s="298"/>
      <c r="AL2779" s="298"/>
      <c r="AM2779" s="298"/>
      <c r="AN2779" s="298"/>
      <c r="AO2779" s="298"/>
      <c r="AP2779" s="298"/>
      <c r="AQ2779" s="298"/>
      <c r="AR2779" s="298"/>
      <c r="AS2779" s="298"/>
      <c r="AT2779" s="298"/>
      <c r="AU2779" s="298"/>
      <c r="AV2779" s="298"/>
      <c r="AW2779" s="298"/>
      <c r="AX2779" s="298"/>
      <c r="AY2779" s="298"/>
      <c r="AZ2779" s="298"/>
      <c r="BA2779" s="298"/>
      <c r="BB2779" s="298"/>
      <c r="BC2779" s="298"/>
      <c r="BD2779" s="298"/>
      <c r="BE2779" s="298"/>
      <c r="BF2779" s="298"/>
      <c r="BG2779" s="298"/>
      <c r="BH2779" s="298"/>
      <c r="BI2779" s="298"/>
      <c r="BJ2779" s="298"/>
      <c r="BK2779" s="298"/>
      <c r="BL2779" s="298"/>
      <c r="BM2779" s="298"/>
      <c r="BN2779" s="298"/>
      <c r="BO2779" s="298"/>
      <c r="BP2779" s="298"/>
    </row>
    <row r="2780" spans="1:68" s="529" customFormat="1" ht="63.75">
      <c r="A2780" s="286" t="s">
        <v>3261</v>
      </c>
      <c r="B2780" s="288">
        <v>10904</v>
      </c>
      <c r="C2780" s="289" t="s">
        <v>7945</v>
      </c>
      <c r="D2780" s="290" t="s">
        <v>207</v>
      </c>
      <c r="E2780" s="290" t="s">
        <v>3240</v>
      </c>
      <c r="F2780" s="383">
        <v>1</v>
      </c>
      <c r="G2780" s="292" t="s">
        <v>12211</v>
      </c>
      <c r="H2780" s="255">
        <v>130.94999999999999</v>
      </c>
      <c r="I2780" s="298"/>
      <c r="J2780" s="634"/>
      <c r="K2780" s="634"/>
      <c r="L2780" s="634"/>
      <c r="M2780" s="634"/>
      <c r="N2780" s="298"/>
      <c r="O2780" s="298"/>
      <c r="P2780" s="298"/>
      <c r="Q2780" s="298"/>
      <c r="R2780" s="298"/>
      <c r="S2780" s="536"/>
      <c r="T2780" s="635"/>
      <c r="U2780" s="298"/>
      <c r="V2780" s="298"/>
      <c r="W2780" s="298"/>
      <c r="X2780" s="298"/>
      <c r="Y2780" s="298"/>
      <c r="Z2780" s="298"/>
      <c r="AA2780" s="298"/>
      <c r="AB2780" s="298"/>
      <c r="AC2780" s="298"/>
      <c r="AD2780" s="298"/>
      <c r="AE2780" s="298"/>
      <c r="AF2780" s="298"/>
      <c r="AG2780" s="298"/>
      <c r="AH2780" s="298"/>
      <c r="AI2780" s="298"/>
      <c r="AJ2780" s="298"/>
      <c r="AK2780" s="298"/>
      <c r="AL2780" s="298"/>
      <c r="AM2780" s="298"/>
      <c r="AN2780" s="298"/>
      <c r="AO2780" s="298"/>
      <c r="AP2780" s="298"/>
      <c r="AQ2780" s="298"/>
      <c r="AR2780" s="298"/>
      <c r="AS2780" s="298"/>
      <c r="AT2780" s="298"/>
      <c r="AU2780" s="298"/>
      <c r="AV2780" s="298"/>
      <c r="AW2780" s="298"/>
      <c r="AX2780" s="298"/>
      <c r="AY2780" s="298"/>
      <c r="AZ2780" s="298"/>
      <c r="BA2780" s="298"/>
      <c r="BB2780" s="298"/>
      <c r="BC2780" s="298"/>
      <c r="BD2780" s="298"/>
      <c r="BE2780" s="298"/>
      <c r="BF2780" s="298"/>
      <c r="BG2780" s="298"/>
      <c r="BH2780" s="298"/>
      <c r="BI2780" s="298"/>
      <c r="BJ2780" s="298"/>
      <c r="BK2780" s="298"/>
      <c r="BL2780" s="298"/>
      <c r="BM2780" s="298"/>
      <c r="BN2780" s="298"/>
      <c r="BO2780" s="298"/>
      <c r="BP2780" s="298"/>
    </row>
    <row r="2781" spans="1:68" s="529" customFormat="1" ht="89.25">
      <c r="A2781" s="286" t="s">
        <v>3261</v>
      </c>
      <c r="B2781" s="288">
        <v>20963</v>
      </c>
      <c r="C2781" s="289" t="s">
        <v>5306</v>
      </c>
      <c r="D2781" s="290" t="s">
        <v>207</v>
      </c>
      <c r="E2781" s="290" t="s">
        <v>3240</v>
      </c>
      <c r="F2781" s="383">
        <v>1</v>
      </c>
      <c r="G2781" s="292" t="s">
        <v>19205</v>
      </c>
      <c r="H2781" s="255">
        <v>271.8</v>
      </c>
      <c r="I2781" s="298"/>
      <c r="J2781" s="634"/>
      <c r="K2781" s="634"/>
      <c r="L2781" s="634"/>
      <c r="M2781" s="634"/>
      <c r="N2781" s="298"/>
      <c r="O2781" s="298"/>
      <c r="P2781" s="298"/>
      <c r="Q2781" s="298"/>
      <c r="R2781" s="298"/>
      <c r="S2781" s="536"/>
      <c r="T2781" s="635"/>
      <c r="U2781" s="298"/>
      <c r="V2781" s="298"/>
      <c r="W2781" s="298"/>
      <c r="X2781" s="298"/>
      <c r="Y2781" s="298"/>
      <c r="Z2781" s="298"/>
      <c r="AA2781" s="298"/>
      <c r="AB2781" s="298"/>
      <c r="AC2781" s="298"/>
      <c r="AD2781" s="298"/>
      <c r="AE2781" s="298"/>
      <c r="AF2781" s="298"/>
      <c r="AG2781" s="298"/>
      <c r="AH2781" s="298"/>
      <c r="AI2781" s="298"/>
      <c r="AJ2781" s="298"/>
      <c r="AK2781" s="298"/>
      <c r="AL2781" s="298"/>
      <c r="AM2781" s="298"/>
      <c r="AN2781" s="298"/>
      <c r="AO2781" s="298"/>
      <c r="AP2781" s="298"/>
      <c r="AQ2781" s="298"/>
      <c r="AR2781" s="298"/>
      <c r="AS2781" s="298"/>
      <c r="AT2781" s="298"/>
      <c r="AU2781" s="298"/>
      <c r="AV2781" s="298"/>
      <c r="AW2781" s="298"/>
      <c r="AX2781" s="298"/>
      <c r="AY2781" s="298"/>
      <c r="AZ2781" s="298"/>
      <c r="BA2781" s="298"/>
      <c r="BB2781" s="298"/>
      <c r="BC2781" s="298"/>
      <c r="BD2781" s="298"/>
      <c r="BE2781" s="298"/>
      <c r="BF2781" s="298"/>
      <c r="BG2781" s="298"/>
      <c r="BH2781" s="298"/>
      <c r="BI2781" s="298"/>
      <c r="BJ2781" s="298"/>
      <c r="BK2781" s="298"/>
      <c r="BL2781" s="298"/>
      <c r="BM2781" s="298"/>
      <c r="BN2781" s="298"/>
      <c r="BO2781" s="298"/>
      <c r="BP2781" s="298"/>
    </row>
    <row r="2782" spans="1:68" s="529" customFormat="1" ht="51">
      <c r="A2782" s="286" t="s">
        <v>3261</v>
      </c>
      <c r="B2782" s="288">
        <v>37527</v>
      </c>
      <c r="C2782" s="289" t="s">
        <v>7240</v>
      </c>
      <c r="D2782" s="290" t="s">
        <v>207</v>
      </c>
      <c r="E2782" s="290" t="s">
        <v>3240</v>
      </c>
      <c r="F2782" s="383">
        <v>2</v>
      </c>
      <c r="G2782" s="292" t="s">
        <v>20161</v>
      </c>
      <c r="H2782" s="255">
        <v>740.08</v>
      </c>
      <c r="I2782" s="298"/>
      <c r="J2782" s="634"/>
      <c r="K2782" s="634"/>
      <c r="L2782" s="634"/>
      <c r="M2782" s="634"/>
      <c r="N2782" s="298"/>
      <c r="O2782" s="298"/>
      <c r="P2782" s="298"/>
      <c r="Q2782" s="298"/>
      <c r="R2782" s="298"/>
      <c r="S2782" s="536"/>
      <c r="T2782" s="635"/>
      <c r="U2782" s="298"/>
      <c r="V2782" s="298"/>
      <c r="W2782" s="298"/>
      <c r="X2782" s="298"/>
      <c r="Y2782" s="298"/>
      <c r="Z2782" s="298"/>
      <c r="AA2782" s="298"/>
      <c r="AB2782" s="298"/>
      <c r="AC2782" s="298"/>
      <c r="AD2782" s="298"/>
      <c r="AE2782" s="298"/>
      <c r="AF2782" s="298"/>
      <c r="AG2782" s="298"/>
      <c r="AH2782" s="298"/>
      <c r="AI2782" s="298"/>
      <c r="AJ2782" s="298"/>
      <c r="AK2782" s="298"/>
      <c r="AL2782" s="298"/>
      <c r="AM2782" s="298"/>
      <c r="AN2782" s="298"/>
      <c r="AO2782" s="298"/>
      <c r="AP2782" s="298"/>
      <c r="AQ2782" s="298"/>
      <c r="AR2782" s="298"/>
      <c r="AS2782" s="298"/>
      <c r="AT2782" s="298"/>
      <c r="AU2782" s="298"/>
      <c r="AV2782" s="298"/>
      <c r="AW2782" s="298"/>
      <c r="AX2782" s="298"/>
      <c r="AY2782" s="298"/>
      <c r="AZ2782" s="298"/>
      <c r="BA2782" s="298"/>
      <c r="BB2782" s="298"/>
      <c r="BC2782" s="298"/>
      <c r="BD2782" s="298"/>
      <c r="BE2782" s="298"/>
      <c r="BF2782" s="298"/>
      <c r="BG2782" s="298"/>
      <c r="BH2782" s="298"/>
      <c r="BI2782" s="298"/>
      <c r="BJ2782" s="298"/>
      <c r="BK2782" s="298"/>
      <c r="BL2782" s="298"/>
      <c r="BM2782" s="298"/>
      <c r="BN2782" s="298"/>
      <c r="BO2782" s="298"/>
      <c r="BP2782" s="298"/>
    </row>
    <row r="2783" spans="1:68" s="529" customFormat="1" ht="51">
      <c r="A2783" s="286" t="s">
        <v>3261</v>
      </c>
      <c r="B2783" s="288">
        <v>21030</v>
      </c>
      <c r="C2783" s="289" t="s">
        <v>7237</v>
      </c>
      <c r="D2783" s="290" t="s">
        <v>207</v>
      </c>
      <c r="E2783" s="290" t="s">
        <v>3240</v>
      </c>
      <c r="F2783" s="383">
        <v>1</v>
      </c>
      <c r="G2783" s="292" t="s">
        <v>20158</v>
      </c>
      <c r="H2783" s="255">
        <v>308.16000000000003</v>
      </c>
      <c r="I2783" s="298"/>
      <c r="J2783" s="634"/>
      <c r="K2783" s="634"/>
      <c r="L2783" s="634"/>
      <c r="M2783" s="634"/>
      <c r="N2783" s="298"/>
      <c r="O2783" s="298"/>
      <c r="P2783" s="298"/>
      <c r="Q2783" s="298"/>
      <c r="R2783" s="298"/>
      <c r="S2783" s="536"/>
      <c r="T2783" s="635"/>
      <c r="U2783" s="298"/>
      <c r="V2783" s="298"/>
      <c r="W2783" s="298"/>
      <c r="X2783" s="298"/>
      <c r="Y2783" s="298"/>
      <c r="Z2783" s="298"/>
      <c r="AA2783" s="298"/>
      <c r="AB2783" s="298"/>
      <c r="AC2783" s="298"/>
      <c r="AD2783" s="298"/>
      <c r="AE2783" s="298"/>
      <c r="AF2783" s="298"/>
      <c r="AG2783" s="298"/>
      <c r="AH2783" s="298"/>
      <c r="AI2783" s="298"/>
      <c r="AJ2783" s="298"/>
      <c r="AK2783" s="298"/>
      <c r="AL2783" s="298"/>
      <c r="AM2783" s="298"/>
      <c r="AN2783" s="298"/>
      <c r="AO2783" s="298"/>
      <c r="AP2783" s="298"/>
      <c r="AQ2783" s="298"/>
      <c r="AR2783" s="298"/>
      <c r="AS2783" s="298"/>
      <c r="AT2783" s="298"/>
      <c r="AU2783" s="298"/>
      <c r="AV2783" s="298"/>
      <c r="AW2783" s="298"/>
      <c r="AX2783" s="298"/>
      <c r="AY2783" s="298"/>
      <c r="AZ2783" s="298"/>
      <c r="BA2783" s="298"/>
      <c r="BB2783" s="298"/>
      <c r="BC2783" s="298"/>
      <c r="BD2783" s="298"/>
      <c r="BE2783" s="298"/>
      <c r="BF2783" s="298"/>
      <c r="BG2783" s="298"/>
      <c r="BH2783" s="298"/>
      <c r="BI2783" s="298"/>
      <c r="BJ2783" s="298"/>
      <c r="BK2783" s="298"/>
      <c r="BL2783" s="298"/>
      <c r="BM2783" s="298"/>
      <c r="BN2783" s="298"/>
      <c r="BO2783" s="298"/>
      <c r="BP2783" s="298"/>
    </row>
    <row r="2784" spans="1:68" s="529" customFormat="1" ht="38.25">
      <c r="A2784" s="286" t="s">
        <v>3261</v>
      </c>
      <c r="B2784" s="288">
        <v>37555</v>
      </c>
      <c r="C2784" s="289" t="s">
        <v>6337</v>
      </c>
      <c r="D2784" s="290" t="s">
        <v>207</v>
      </c>
      <c r="E2784" s="290" t="s">
        <v>3240</v>
      </c>
      <c r="F2784" s="383">
        <v>1</v>
      </c>
      <c r="G2784" s="292" t="s">
        <v>19725</v>
      </c>
      <c r="H2784" s="255">
        <v>187.07</v>
      </c>
      <c r="I2784" s="298"/>
      <c r="J2784" s="634"/>
      <c r="K2784" s="634"/>
      <c r="L2784" s="634"/>
      <c r="M2784" s="634"/>
      <c r="N2784" s="298"/>
      <c r="O2784" s="298"/>
      <c r="P2784" s="298"/>
      <c r="Q2784" s="298"/>
      <c r="R2784" s="298"/>
      <c r="S2784" s="536"/>
      <c r="T2784" s="635"/>
      <c r="U2784" s="298"/>
      <c r="V2784" s="298"/>
      <c r="W2784" s="298"/>
      <c r="X2784" s="298"/>
      <c r="Y2784" s="298"/>
      <c r="Z2784" s="298"/>
      <c r="AA2784" s="298"/>
      <c r="AB2784" s="298"/>
      <c r="AC2784" s="298"/>
      <c r="AD2784" s="298"/>
      <c r="AE2784" s="298"/>
      <c r="AF2784" s="298"/>
      <c r="AG2784" s="298"/>
      <c r="AH2784" s="298"/>
      <c r="AI2784" s="298"/>
      <c r="AJ2784" s="298"/>
      <c r="AK2784" s="298"/>
      <c r="AL2784" s="298"/>
      <c r="AM2784" s="298"/>
      <c r="AN2784" s="298"/>
      <c r="AO2784" s="298"/>
      <c r="AP2784" s="298"/>
      <c r="AQ2784" s="298"/>
      <c r="AR2784" s="298"/>
      <c r="AS2784" s="298"/>
      <c r="AT2784" s="298"/>
      <c r="AU2784" s="298"/>
      <c r="AV2784" s="298"/>
      <c r="AW2784" s="298"/>
      <c r="AX2784" s="298"/>
      <c r="AY2784" s="298"/>
      <c r="AZ2784" s="298"/>
      <c r="BA2784" s="298"/>
      <c r="BB2784" s="298"/>
      <c r="BC2784" s="298"/>
      <c r="BD2784" s="298"/>
      <c r="BE2784" s="298"/>
      <c r="BF2784" s="298"/>
      <c r="BG2784" s="298"/>
      <c r="BH2784" s="298"/>
      <c r="BI2784" s="298"/>
      <c r="BJ2784" s="298"/>
      <c r="BK2784" s="298"/>
      <c r="BL2784" s="298"/>
      <c r="BM2784" s="298"/>
      <c r="BN2784" s="298"/>
      <c r="BO2784" s="298"/>
      <c r="BP2784" s="298"/>
    </row>
    <row r="2785" spans="1:68" s="529" customFormat="1" ht="38.25">
      <c r="A2785" s="286" t="s">
        <v>3259</v>
      </c>
      <c r="B2785" s="288">
        <v>88248</v>
      </c>
      <c r="C2785" s="289" t="s">
        <v>106</v>
      </c>
      <c r="D2785" s="290" t="s">
        <v>9714</v>
      </c>
      <c r="E2785" s="290" t="s">
        <v>206</v>
      </c>
      <c r="F2785" s="383">
        <v>3.0369999999999999</v>
      </c>
      <c r="G2785" s="292" t="s">
        <v>10175</v>
      </c>
      <c r="H2785" s="255">
        <v>55.36</v>
      </c>
      <c r="I2785" s="298"/>
      <c r="J2785" s="634"/>
      <c r="K2785" s="634"/>
      <c r="L2785" s="634"/>
      <c r="M2785" s="634"/>
      <c r="N2785" s="298"/>
      <c r="O2785" s="298"/>
      <c r="P2785" s="298"/>
      <c r="Q2785" s="298"/>
      <c r="R2785" s="298"/>
      <c r="S2785" s="536"/>
      <c r="T2785" s="635"/>
      <c r="U2785" s="298"/>
      <c r="V2785" s="298"/>
      <c r="W2785" s="298"/>
      <c r="X2785" s="298"/>
      <c r="Y2785" s="298"/>
      <c r="Z2785" s="298"/>
      <c r="AA2785" s="298"/>
      <c r="AB2785" s="298"/>
      <c r="AC2785" s="298"/>
      <c r="AD2785" s="298"/>
      <c r="AE2785" s="298"/>
      <c r="AF2785" s="298"/>
      <c r="AG2785" s="298"/>
      <c r="AH2785" s="298"/>
      <c r="AI2785" s="298"/>
      <c r="AJ2785" s="298"/>
      <c r="AK2785" s="298"/>
      <c r="AL2785" s="298"/>
      <c r="AM2785" s="298"/>
      <c r="AN2785" s="298"/>
      <c r="AO2785" s="298"/>
      <c r="AP2785" s="298"/>
      <c r="AQ2785" s="298"/>
      <c r="AR2785" s="298"/>
      <c r="AS2785" s="298"/>
      <c r="AT2785" s="298"/>
      <c r="AU2785" s="298"/>
      <c r="AV2785" s="298"/>
      <c r="AW2785" s="298"/>
      <c r="AX2785" s="298"/>
      <c r="AY2785" s="298"/>
      <c r="AZ2785" s="298"/>
      <c r="BA2785" s="298"/>
      <c r="BB2785" s="298"/>
      <c r="BC2785" s="298"/>
      <c r="BD2785" s="298"/>
      <c r="BE2785" s="298"/>
      <c r="BF2785" s="298"/>
      <c r="BG2785" s="298"/>
      <c r="BH2785" s="298"/>
      <c r="BI2785" s="298"/>
      <c r="BJ2785" s="298"/>
      <c r="BK2785" s="298"/>
      <c r="BL2785" s="298"/>
      <c r="BM2785" s="298"/>
      <c r="BN2785" s="298"/>
      <c r="BO2785" s="298"/>
      <c r="BP2785" s="298"/>
    </row>
    <row r="2786" spans="1:68" s="529" customFormat="1" ht="25.5">
      <c r="A2786" s="286" t="s">
        <v>3259</v>
      </c>
      <c r="B2786" s="288">
        <v>88267</v>
      </c>
      <c r="C2786" s="289" t="s">
        <v>107</v>
      </c>
      <c r="D2786" s="290" t="s">
        <v>9714</v>
      </c>
      <c r="E2786" s="290" t="s">
        <v>206</v>
      </c>
      <c r="F2786" s="383">
        <v>3.0369999999999999</v>
      </c>
      <c r="G2786" s="292" t="s">
        <v>10792</v>
      </c>
      <c r="H2786" s="255">
        <v>71.09</v>
      </c>
      <c r="I2786" s="298"/>
      <c r="J2786" s="634"/>
      <c r="K2786" s="634"/>
      <c r="L2786" s="634"/>
      <c r="M2786" s="634"/>
      <c r="N2786" s="298"/>
      <c r="O2786" s="298"/>
      <c r="P2786" s="298"/>
      <c r="Q2786" s="298"/>
      <c r="R2786" s="298"/>
      <c r="S2786" s="536"/>
      <c r="T2786" s="635"/>
      <c r="U2786" s="298"/>
      <c r="V2786" s="298"/>
      <c r="W2786" s="298"/>
      <c r="X2786" s="298"/>
      <c r="Y2786" s="298"/>
      <c r="Z2786" s="298"/>
      <c r="AA2786" s="298"/>
      <c r="AB2786" s="298"/>
      <c r="AC2786" s="298"/>
      <c r="AD2786" s="298"/>
      <c r="AE2786" s="298"/>
      <c r="AF2786" s="298"/>
      <c r="AG2786" s="298"/>
      <c r="AH2786" s="298"/>
      <c r="AI2786" s="298"/>
      <c r="AJ2786" s="298"/>
      <c r="AK2786" s="298"/>
      <c r="AL2786" s="298"/>
      <c r="AM2786" s="298"/>
      <c r="AN2786" s="298"/>
      <c r="AO2786" s="298"/>
      <c r="AP2786" s="298"/>
      <c r="AQ2786" s="298"/>
      <c r="AR2786" s="298"/>
      <c r="AS2786" s="298"/>
      <c r="AT2786" s="298"/>
      <c r="AU2786" s="298"/>
      <c r="AV2786" s="298"/>
      <c r="AW2786" s="298"/>
      <c r="AX2786" s="298"/>
      <c r="AY2786" s="298"/>
      <c r="AZ2786" s="298"/>
      <c r="BA2786" s="298"/>
      <c r="BB2786" s="298"/>
      <c r="BC2786" s="298"/>
      <c r="BD2786" s="298"/>
      <c r="BE2786" s="298"/>
      <c r="BF2786" s="298"/>
      <c r="BG2786" s="298"/>
      <c r="BH2786" s="298"/>
      <c r="BI2786" s="298"/>
      <c r="BJ2786" s="298"/>
      <c r="BK2786" s="298"/>
      <c r="BL2786" s="298"/>
      <c r="BM2786" s="298"/>
      <c r="BN2786" s="298"/>
      <c r="BO2786" s="298"/>
      <c r="BP2786" s="298"/>
    </row>
    <row r="2787" spans="1:68" s="529" customFormat="1" ht="12.75">
      <c r="A2787" s="286"/>
      <c r="B2787" s="375" t="s">
        <v>143</v>
      </c>
      <c r="C2787" s="816" t="s">
        <v>15091</v>
      </c>
      <c r="D2787" s="817"/>
      <c r="E2787" s="817"/>
      <c r="F2787" s="817"/>
      <c r="G2787" s="817"/>
      <c r="H2787" s="818"/>
      <c r="I2787" s="298"/>
      <c r="J2787" s="634"/>
      <c r="K2787" s="634"/>
      <c r="L2787" s="634"/>
      <c r="M2787" s="634"/>
      <c r="N2787" s="298"/>
      <c r="O2787" s="298"/>
      <c r="P2787" s="298"/>
      <c r="Q2787" s="298"/>
      <c r="R2787" s="298"/>
      <c r="S2787" s="536"/>
      <c r="T2787" s="635"/>
      <c r="U2787" s="298"/>
      <c r="V2787" s="298"/>
      <c r="W2787" s="298"/>
      <c r="X2787" s="298"/>
      <c r="Y2787" s="298"/>
      <c r="Z2787" s="298"/>
      <c r="AA2787" s="298"/>
      <c r="AB2787" s="298"/>
      <c r="AC2787" s="298"/>
      <c r="AD2787" s="298"/>
      <c r="AE2787" s="298"/>
      <c r="AF2787" s="298"/>
      <c r="AG2787" s="298"/>
      <c r="AH2787" s="298"/>
      <c r="AI2787" s="298"/>
      <c r="AJ2787" s="298"/>
      <c r="AK2787" s="298"/>
      <c r="AL2787" s="298"/>
      <c r="AM2787" s="298"/>
      <c r="AN2787" s="298"/>
      <c r="AO2787" s="298"/>
      <c r="AP2787" s="298"/>
      <c r="AQ2787" s="298"/>
      <c r="AR2787" s="298"/>
      <c r="AS2787" s="298"/>
      <c r="AT2787" s="298"/>
      <c r="AU2787" s="298"/>
      <c r="AV2787" s="298"/>
      <c r="AW2787" s="298"/>
      <c r="AX2787" s="298"/>
      <c r="AY2787" s="298"/>
      <c r="AZ2787" s="298"/>
      <c r="BA2787" s="298"/>
      <c r="BB2787" s="298"/>
      <c r="BC2787" s="298"/>
      <c r="BD2787" s="298"/>
      <c r="BE2787" s="298"/>
      <c r="BF2787" s="298"/>
      <c r="BG2787" s="298"/>
      <c r="BH2787" s="298"/>
      <c r="BI2787" s="298"/>
      <c r="BJ2787" s="298"/>
      <c r="BK2787" s="298"/>
      <c r="BL2787" s="298"/>
      <c r="BM2787" s="298"/>
      <c r="BN2787" s="298"/>
      <c r="BO2787" s="298"/>
      <c r="BP2787" s="298"/>
    </row>
    <row r="2788" spans="1:68" s="529" customFormat="1" ht="12.75">
      <c r="A2788" s="286"/>
      <c r="B2788" s="373"/>
      <c r="C2788" s="379"/>
      <c r="D2788" s="379"/>
      <c r="E2788" s="379"/>
      <c r="F2788" s="379"/>
      <c r="G2788" s="379"/>
      <c r="H2788" s="379"/>
      <c r="I2788" s="298"/>
      <c r="J2788" s="634"/>
      <c r="K2788" s="634"/>
      <c r="L2788" s="634"/>
      <c r="M2788" s="634"/>
      <c r="N2788" s="298"/>
      <c r="O2788" s="298"/>
      <c r="P2788" s="298"/>
      <c r="Q2788" s="298"/>
      <c r="R2788" s="298"/>
      <c r="S2788" s="536"/>
      <c r="T2788" s="635"/>
      <c r="U2788" s="298"/>
      <c r="V2788" s="298"/>
      <c r="W2788" s="298"/>
      <c r="X2788" s="298"/>
      <c r="Y2788" s="298"/>
      <c r="Z2788" s="298"/>
      <c r="AA2788" s="298"/>
      <c r="AB2788" s="298"/>
      <c r="AC2788" s="298"/>
      <c r="AD2788" s="298"/>
      <c r="AE2788" s="298"/>
      <c r="AF2788" s="298"/>
      <c r="AG2788" s="298"/>
      <c r="AH2788" s="298"/>
      <c r="AI2788" s="298"/>
      <c r="AJ2788" s="298"/>
      <c r="AK2788" s="298"/>
      <c r="AL2788" s="298"/>
      <c r="AM2788" s="298"/>
      <c r="AN2788" s="298"/>
      <c r="AO2788" s="298"/>
      <c r="AP2788" s="298"/>
      <c r="AQ2788" s="298"/>
      <c r="AR2788" s="298"/>
      <c r="AS2788" s="298"/>
      <c r="AT2788" s="298"/>
      <c r="AU2788" s="298"/>
      <c r="AV2788" s="298"/>
      <c r="AW2788" s="298"/>
      <c r="AX2788" s="298"/>
      <c r="AY2788" s="298"/>
      <c r="AZ2788" s="298"/>
      <c r="BA2788" s="298"/>
      <c r="BB2788" s="298"/>
      <c r="BC2788" s="298"/>
      <c r="BD2788" s="298"/>
      <c r="BE2788" s="298"/>
      <c r="BF2788" s="298"/>
      <c r="BG2788" s="298"/>
      <c r="BH2788" s="298"/>
      <c r="BI2788" s="298"/>
      <c r="BJ2788" s="298"/>
      <c r="BK2788" s="298"/>
      <c r="BL2788" s="298"/>
      <c r="BM2788" s="298"/>
      <c r="BN2788" s="298"/>
      <c r="BO2788" s="298"/>
      <c r="BP2788" s="298"/>
    </row>
    <row r="2789" spans="1:68" s="529" customFormat="1" ht="76.5">
      <c r="A2789" s="286"/>
      <c r="B2789" s="372" t="s">
        <v>15137</v>
      </c>
      <c r="C2789" s="231" t="s">
        <v>15113</v>
      </c>
      <c r="D2789" s="232" t="s">
        <v>103</v>
      </c>
      <c r="E2789" s="232" t="s">
        <v>109</v>
      </c>
      <c r="F2789" s="233"/>
      <c r="G2789" s="234"/>
      <c r="H2789" s="235">
        <v>34.21</v>
      </c>
      <c r="I2789" s="298"/>
      <c r="J2789" s="634"/>
      <c r="K2789" s="634"/>
      <c r="L2789" s="634"/>
      <c r="M2789" s="634"/>
      <c r="N2789" s="298"/>
      <c r="O2789" s="298"/>
      <c r="P2789" s="298"/>
      <c r="Q2789" s="298"/>
      <c r="R2789" s="298"/>
      <c r="S2789" s="536"/>
      <c r="T2789" s="635"/>
      <c r="U2789" s="298"/>
      <c r="V2789" s="298"/>
      <c r="W2789" s="298"/>
      <c r="X2789" s="298"/>
      <c r="Y2789" s="298"/>
      <c r="Z2789" s="298"/>
      <c r="AA2789" s="298"/>
      <c r="AB2789" s="298"/>
      <c r="AC2789" s="298"/>
      <c r="AD2789" s="298"/>
      <c r="AE2789" s="298"/>
      <c r="AF2789" s="298"/>
      <c r="AG2789" s="298"/>
      <c r="AH2789" s="298"/>
      <c r="AI2789" s="298"/>
      <c r="AJ2789" s="298"/>
      <c r="AK2789" s="298"/>
      <c r="AL2789" s="298"/>
      <c r="AM2789" s="298"/>
      <c r="AN2789" s="298"/>
      <c r="AO2789" s="298"/>
      <c r="AP2789" s="298"/>
      <c r="AQ2789" s="298"/>
      <c r="AR2789" s="298"/>
      <c r="AS2789" s="298"/>
      <c r="AT2789" s="298"/>
      <c r="AU2789" s="298"/>
      <c r="AV2789" s="298"/>
      <c r="AW2789" s="298"/>
      <c r="AX2789" s="298"/>
      <c r="AY2789" s="298"/>
      <c r="AZ2789" s="298"/>
      <c r="BA2789" s="298"/>
      <c r="BB2789" s="298"/>
      <c r="BC2789" s="298"/>
      <c r="BD2789" s="298"/>
      <c r="BE2789" s="298"/>
      <c r="BF2789" s="298"/>
      <c r="BG2789" s="298"/>
      <c r="BH2789" s="298"/>
      <c r="BI2789" s="298"/>
      <c r="BJ2789" s="298"/>
      <c r="BK2789" s="298"/>
      <c r="BL2789" s="298"/>
      <c r="BM2789" s="298"/>
      <c r="BN2789" s="298"/>
      <c r="BO2789" s="298"/>
      <c r="BP2789" s="298"/>
    </row>
    <row r="2790" spans="1:68" s="529" customFormat="1" ht="63.75">
      <c r="A2790" s="286" t="s">
        <v>3261</v>
      </c>
      <c r="B2790" s="288">
        <v>37556</v>
      </c>
      <c r="C2790" s="289" t="s">
        <v>20400</v>
      </c>
      <c r="D2790" s="290" t="s">
        <v>207</v>
      </c>
      <c r="E2790" s="290" t="s">
        <v>3240</v>
      </c>
      <c r="F2790" s="383">
        <v>1</v>
      </c>
      <c r="G2790" s="292" t="s">
        <v>11266</v>
      </c>
      <c r="H2790" s="255">
        <v>25.91</v>
      </c>
      <c r="I2790" s="298"/>
      <c r="J2790" s="634"/>
      <c r="K2790" s="634"/>
      <c r="L2790" s="634"/>
      <c r="M2790" s="634"/>
      <c r="N2790" s="298"/>
      <c r="O2790" s="298"/>
      <c r="P2790" s="298"/>
      <c r="Q2790" s="298"/>
      <c r="R2790" s="298"/>
      <c r="S2790" s="536"/>
      <c r="T2790" s="635"/>
      <c r="U2790" s="298"/>
      <c r="V2790" s="298"/>
      <c r="W2790" s="298"/>
      <c r="X2790" s="298"/>
      <c r="Y2790" s="298"/>
      <c r="Z2790" s="298"/>
      <c r="AA2790" s="298"/>
      <c r="AB2790" s="298"/>
      <c r="AC2790" s="298"/>
      <c r="AD2790" s="298"/>
      <c r="AE2790" s="298"/>
      <c r="AF2790" s="298"/>
      <c r="AG2790" s="298"/>
      <c r="AH2790" s="298"/>
      <c r="AI2790" s="298"/>
      <c r="AJ2790" s="298"/>
      <c r="AK2790" s="298"/>
      <c r="AL2790" s="298"/>
      <c r="AM2790" s="298"/>
      <c r="AN2790" s="298"/>
      <c r="AO2790" s="298"/>
      <c r="AP2790" s="298"/>
      <c r="AQ2790" s="298"/>
      <c r="AR2790" s="298"/>
      <c r="AS2790" s="298"/>
      <c r="AT2790" s="298"/>
      <c r="AU2790" s="298"/>
      <c r="AV2790" s="298"/>
      <c r="AW2790" s="298"/>
      <c r="AX2790" s="298"/>
      <c r="AY2790" s="298"/>
      <c r="AZ2790" s="298"/>
      <c r="BA2790" s="298"/>
      <c r="BB2790" s="298"/>
      <c r="BC2790" s="298"/>
      <c r="BD2790" s="298"/>
      <c r="BE2790" s="298"/>
      <c r="BF2790" s="298"/>
      <c r="BG2790" s="298"/>
      <c r="BH2790" s="298"/>
      <c r="BI2790" s="298"/>
      <c r="BJ2790" s="298"/>
      <c r="BK2790" s="298"/>
      <c r="BL2790" s="298"/>
      <c r="BM2790" s="298"/>
      <c r="BN2790" s="298"/>
      <c r="BO2790" s="298"/>
      <c r="BP2790" s="298"/>
    </row>
    <row r="2791" spans="1:68" s="529" customFormat="1" ht="25.5">
      <c r="A2791" s="286" t="s">
        <v>3259</v>
      </c>
      <c r="B2791" s="288">
        <v>88309</v>
      </c>
      <c r="C2791" s="289" t="s">
        <v>105</v>
      </c>
      <c r="D2791" s="290" t="s">
        <v>9714</v>
      </c>
      <c r="E2791" s="290" t="s">
        <v>206</v>
      </c>
      <c r="F2791" s="383">
        <v>0.2</v>
      </c>
      <c r="G2791" s="292" t="s">
        <v>11439</v>
      </c>
      <c r="H2791" s="255">
        <v>4.78</v>
      </c>
      <c r="I2791" s="298"/>
      <c r="J2791" s="634"/>
      <c r="K2791" s="634"/>
      <c r="L2791" s="634"/>
      <c r="M2791" s="634"/>
      <c r="N2791" s="298"/>
      <c r="O2791" s="298"/>
      <c r="P2791" s="298"/>
      <c r="Q2791" s="298"/>
      <c r="R2791" s="298"/>
      <c r="S2791" s="536"/>
      <c r="T2791" s="635"/>
      <c r="U2791" s="298"/>
      <c r="V2791" s="298"/>
      <c r="W2791" s="298"/>
      <c r="X2791" s="298"/>
      <c r="Y2791" s="298"/>
      <c r="Z2791" s="298"/>
      <c r="AA2791" s="298"/>
      <c r="AB2791" s="298"/>
      <c r="AC2791" s="298"/>
      <c r="AD2791" s="298"/>
      <c r="AE2791" s="298"/>
      <c r="AF2791" s="298"/>
      <c r="AG2791" s="298"/>
      <c r="AH2791" s="298"/>
      <c r="AI2791" s="298"/>
      <c r="AJ2791" s="298"/>
      <c r="AK2791" s="298"/>
      <c r="AL2791" s="298"/>
      <c r="AM2791" s="298"/>
      <c r="AN2791" s="298"/>
      <c r="AO2791" s="298"/>
      <c r="AP2791" s="298"/>
      <c r="AQ2791" s="298"/>
      <c r="AR2791" s="298"/>
      <c r="AS2791" s="298"/>
      <c r="AT2791" s="298"/>
      <c r="AU2791" s="298"/>
      <c r="AV2791" s="298"/>
      <c r="AW2791" s="298"/>
      <c r="AX2791" s="298"/>
      <c r="AY2791" s="298"/>
      <c r="AZ2791" s="298"/>
      <c r="BA2791" s="298"/>
      <c r="BB2791" s="298"/>
      <c r="BC2791" s="298"/>
      <c r="BD2791" s="298"/>
      <c r="BE2791" s="298"/>
      <c r="BF2791" s="298"/>
      <c r="BG2791" s="298"/>
      <c r="BH2791" s="298"/>
      <c r="BI2791" s="298"/>
      <c r="BJ2791" s="298"/>
      <c r="BK2791" s="298"/>
      <c r="BL2791" s="298"/>
      <c r="BM2791" s="298"/>
      <c r="BN2791" s="298"/>
      <c r="BO2791" s="298"/>
      <c r="BP2791" s="298"/>
    </row>
    <row r="2792" spans="1:68" s="529" customFormat="1" ht="25.5">
      <c r="A2792" s="286" t="s">
        <v>3259</v>
      </c>
      <c r="B2792" s="288">
        <v>88316</v>
      </c>
      <c r="C2792" s="289" t="s">
        <v>104</v>
      </c>
      <c r="D2792" s="290" t="s">
        <v>9714</v>
      </c>
      <c r="E2792" s="290" t="s">
        <v>206</v>
      </c>
      <c r="F2792" s="383">
        <v>0.2</v>
      </c>
      <c r="G2792" s="292" t="s">
        <v>10172</v>
      </c>
      <c r="H2792" s="255">
        <v>3.52</v>
      </c>
      <c r="I2792" s="298"/>
      <c r="J2792" s="634"/>
      <c r="K2792" s="634"/>
      <c r="L2792" s="634"/>
      <c r="M2792" s="634"/>
      <c r="N2792" s="298"/>
      <c r="O2792" s="298"/>
      <c r="P2792" s="298"/>
      <c r="Q2792" s="298"/>
      <c r="R2792" s="298"/>
      <c r="S2792" s="536"/>
      <c r="T2792" s="635"/>
      <c r="U2792" s="298"/>
      <c r="V2792" s="298"/>
      <c r="W2792" s="298"/>
      <c r="X2792" s="298"/>
      <c r="Y2792" s="298"/>
      <c r="Z2792" s="298"/>
      <c r="AA2792" s="298"/>
      <c r="AB2792" s="298"/>
      <c r="AC2792" s="298"/>
      <c r="AD2792" s="298"/>
      <c r="AE2792" s="298"/>
      <c r="AF2792" s="298"/>
      <c r="AG2792" s="298"/>
      <c r="AH2792" s="298"/>
      <c r="AI2792" s="298"/>
      <c r="AJ2792" s="298"/>
      <c r="AK2792" s="298"/>
      <c r="AL2792" s="298"/>
      <c r="AM2792" s="298"/>
      <c r="AN2792" s="298"/>
      <c r="AO2792" s="298"/>
      <c r="AP2792" s="298"/>
      <c r="AQ2792" s="298"/>
      <c r="AR2792" s="298"/>
      <c r="AS2792" s="298"/>
      <c r="AT2792" s="298"/>
      <c r="AU2792" s="298"/>
      <c r="AV2792" s="298"/>
      <c r="AW2792" s="298"/>
      <c r="AX2792" s="298"/>
      <c r="AY2792" s="298"/>
      <c r="AZ2792" s="298"/>
      <c r="BA2792" s="298"/>
      <c r="BB2792" s="298"/>
      <c r="BC2792" s="298"/>
      <c r="BD2792" s="298"/>
      <c r="BE2792" s="298"/>
      <c r="BF2792" s="298"/>
      <c r="BG2792" s="298"/>
      <c r="BH2792" s="298"/>
      <c r="BI2792" s="298"/>
      <c r="BJ2792" s="298"/>
      <c r="BK2792" s="298"/>
      <c r="BL2792" s="298"/>
      <c r="BM2792" s="298"/>
      <c r="BN2792" s="298"/>
      <c r="BO2792" s="298"/>
      <c r="BP2792" s="298"/>
    </row>
    <row r="2793" spans="1:68" s="529" customFormat="1" ht="12.75">
      <c r="A2793" s="286"/>
      <c r="B2793" s="375" t="s">
        <v>143</v>
      </c>
      <c r="C2793" s="816" t="s">
        <v>15112</v>
      </c>
      <c r="D2793" s="817"/>
      <c r="E2793" s="817"/>
      <c r="F2793" s="817"/>
      <c r="G2793" s="817"/>
      <c r="H2793" s="818"/>
      <c r="I2793" s="298"/>
      <c r="J2793" s="634"/>
      <c r="K2793" s="634"/>
      <c r="L2793" s="634"/>
      <c r="M2793" s="634"/>
      <c r="N2793" s="298"/>
      <c r="O2793" s="298"/>
      <c r="P2793" s="298"/>
      <c r="Q2793" s="298"/>
      <c r="R2793" s="298"/>
      <c r="S2793" s="536"/>
      <c r="T2793" s="635"/>
      <c r="U2793" s="298"/>
      <c r="V2793" s="298"/>
      <c r="W2793" s="298"/>
      <c r="X2793" s="298"/>
      <c r="Y2793" s="298"/>
      <c r="Z2793" s="298"/>
      <c r="AA2793" s="298"/>
      <c r="AB2793" s="298"/>
      <c r="AC2793" s="298"/>
      <c r="AD2793" s="298"/>
      <c r="AE2793" s="298"/>
      <c r="AF2793" s="298"/>
      <c r="AG2793" s="298"/>
      <c r="AH2793" s="298"/>
      <c r="AI2793" s="298"/>
      <c r="AJ2793" s="298"/>
      <c r="AK2793" s="298"/>
      <c r="AL2793" s="298"/>
      <c r="AM2793" s="298"/>
      <c r="AN2793" s="298"/>
      <c r="AO2793" s="298"/>
      <c r="AP2793" s="298"/>
      <c r="AQ2793" s="298"/>
      <c r="AR2793" s="298"/>
      <c r="AS2793" s="298"/>
      <c r="AT2793" s="298"/>
      <c r="AU2793" s="298"/>
      <c r="AV2793" s="298"/>
      <c r="AW2793" s="298"/>
      <c r="AX2793" s="298"/>
      <c r="AY2793" s="298"/>
      <c r="AZ2793" s="298"/>
      <c r="BA2793" s="298"/>
      <c r="BB2793" s="298"/>
      <c r="BC2793" s="298"/>
      <c r="BD2793" s="298"/>
      <c r="BE2793" s="298"/>
      <c r="BF2793" s="298"/>
      <c r="BG2793" s="298"/>
      <c r="BH2793" s="298"/>
      <c r="BI2793" s="298"/>
      <c r="BJ2793" s="298"/>
      <c r="BK2793" s="298"/>
      <c r="BL2793" s="298"/>
      <c r="BM2793" s="298"/>
      <c r="BN2793" s="298"/>
      <c r="BO2793" s="298"/>
      <c r="BP2793" s="298"/>
    </row>
    <row r="2794" spans="1:68" s="529" customFormat="1" ht="12.75">
      <c r="A2794" s="286"/>
      <c r="B2794" s="373"/>
      <c r="C2794" s="379"/>
      <c r="D2794" s="379"/>
      <c r="E2794" s="379"/>
      <c r="F2794" s="379"/>
      <c r="G2794" s="379"/>
      <c r="H2794" s="379"/>
      <c r="I2794" s="298"/>
      <c r="J2794" s="634"/>
      <c r="K2794" s="634"/>
      <c r="L2794" s="634"/>
      <c r="M2794" s="634"/>
      <c r="N2794" s="298"/>
      <c r="O2794" s="298"/>
      <c r="P2794" s="298"/>
      <c r="Q2794" s="298"/>
      <c r="R2794" s="298"/>
      <c r="S2794" s="536"/>
      <c r="T2794" s="635"/>
      <c r="U2794" s="298"/>
      <c r="V2794" s="298"/>
      <c r="W2794" s="298"/>
      <c r="X2794" s="298"/>
      <c r="Y2794" s="298"/>
      <c r="Z2794" s="298"/>
      <c r="AA2794" s="298"/>
      <c r="AB2794" s="298"/>
      <c r="AC2794" s="298"/>
      <c r="AD2794" s="298"/>
      <c r="AE2794" s="298"/>
      <c r="AF2794" s="298"/>
      <c r="AG2794" s="298"/>
      <c r="AH2794" s="298"/>
      <c r="AI2794" s="298"/>
      <c r="AJ2794" s="298"/>
      <c r="AK2794" s="298"/>
      <c r="AL2794" s="298"/>
      <c r="AM2794" s="298"/>
      <c r="AN2794" s="298"/>
      <c r="AO2794" s="298"/>
      <c r="AP2794" s="298"/>
      <c r="AQ2794" s="298"/>
      <c r="AR2794" s="298"/>
      <c r="AS2794" s="298"/>
      <c r="AT2794" s="298"/>
      <c r="AU2794" s="298"/>
      <c r="AV2794" s="298"/>
      <c r="AW2794" s="298"/>
      <c r="AX2794" s="298"/>
      <c r="AY2794" s="298"/>
      <c r="AZ2794" s="298"/>
      <c r="BA2794" s="298"/>
      <c r="BB2794" s="298"/>
      <c r="BC2794" s="298"/>
      <c r="BD2794" s="298"/>
      <c r="BE2794" s="298"/>
      <c r="BF2794" s="298"/>
      <c r="BG2794" s="298"/>
      <c r="BH2794" s="298"/>
      <c r="BI2794" s="298"/>
      <c r="BJ2794" s="298"/>
      <c r="BK2794" s="298"/>
      <c r="BL2794" s="298"/>
      <c r="BM2794" s="298"/>
      <c r="BN2794" s="298"/>
      <c r="BO2794" s="298"/>
      <c r="BP2794" s="298"/>
    </row>
    <row r="2795" spans="1:68" s="529" customFormat="1" ht="76.5">
      <c r="A2795" s="286"/>
      <c r="B2795" s="372" t="s">
        <v>15140</v>
      </c>
      <c r="C2795" s="231" t="s">
        <v>15115</v>
      </c>
      <c r="D2795" s="232" t="s">
        <v>103</v>
      </c>
      <c r="E2795" s="232" t="s">
        <v>109</v>
      </c>
      <c r="F2795" s="233"/>
      <c r="G2795" s="234"/>
      <c r="H2795" s="235">
        <v>34.21</v>
      </c>
      <c r="I2795" s="298"/>
      <c r="J2795" s="634"/>
      <c r="K2795" s="634"/>
      <c r="L2795" s="634"/>
      <c r="M2795" s="634"/>
      <c r="N2795" s="298"/>
      <c r="O2795" s="298"/>
      <c r="P2795" s="298"/>
      <c r="Q2795" s="298"/>
      <c r="R2795" s="298"/>
      <c r="S2795" s="536"/>
      <c r="T2795" s="635"/>
      <c r="U2795" s="298"/>
      <c r="V2795" s="298"/>
      <c r="W2795" s="298"/>
      <c r="X2795" s="298"/>
      <c r="Y2795" s="298"/>
      <c r="Z2795" s="298"/>
      <c r="AA2795" s="298"/>
      <c r="AB2795" s="298"/>
      <c r="AC2795" s="298"/>
      <c r="AD2795" s="298"/>
      <c r="AE2795" s="298"/>
      <c r="AF2795" s="298"/>
      <c r="AG2795" s="298"/>
      <c r="AH2795" s="298"/>
      <c r="AI2795" s="298"/>
      <c r="AJ2795" s="298"/>
      <c r="AK2795" s="298"/>
      <c r="AL2795" s="298"/>
      <c r="AM2795" s="298"/>
      <c r="AN2795" s="298"/>
      <c r="AO2795" s="298"/>
      <c r="AP2795" s="298"/>
      <c r="AQ2795" s="298"/>
      <c r="AR2795" s="298"/>
      <c r="AS2795" s="298"/>
      <c r="AT2795" s="298"/>
      <c r="AU2795" s="298"/>
      <c r="AV2795" s="298"/>
      <c r="AW2795" s="298"/>
      <c r="AX2795" s="298"/>
      <c r="AY2795" s="298"/>
      <c r="AZ2795" s="298"/>
      <c r="BA2795" s="298"/>
      <c r="BB2795" s="298"/>
      <c r="BC2795" s="298"/>
      <c r="BD2795" s="298"/>
      <c r="BE2795" s="298"/>
      <c r="BF2795" s="298"/>
      <c r="BG2795" s="298"/>
      <c r="BH2795" s="298"/>
      <c r="BI2795" s="298"/>
      <c r="BJ2795" s="298"/>
      <c r="BK2795" s="298"/>
      <c r="BL2795" s="298"/>
      <c r="BM2795" s="298"/>
      <c r="BN2795" s="298"/>
      <c r="BO2795" s="298"/>
      <c r="BP2795" s="298"/>
    </row>
    <row r="2796" spans="1:68" s="529" customFormat="1" ht="63.75">
      <c r="A2796" s="286" t="s">
        <v>3261</v>
      </c>
      <c r="B2796" s="288">
        <v>37556</v>
      </c>
      <c r="C2796" s="289" t="s">
        <v>20400</v>
      </c>
      <c r="D2796" s="290" t="s">
        <v>207</v>
      </c>
      <c r="E2796" s="290" t="s">
        <v>3240</v>
      </c>
      <c r="F2796" s="383">
        <v>1</v>
      </c>
      <c r="G2796" s="292" t="s">
        <v>11266</v>
      </c>
      <c r="H2796" s="255">
        <v>25.91</v>
      </c>
      <c r="I2796" s="298"/>
      <c r="J2796" s="634"/>
      <c r="K2796" s="634"/>
      <c r="L2796" s="634"/>
      <c r="M2796" s="634"/>
      <c r="N2796" s="298"/>
      <c r="O2796" s="298"/>
      <c r="P2796" s="298"/>
      <c r="Q2796" s="298"/>
      <c r="R2796" s="298"/>
      <c r="S2796" s="536"/>
      <c r="T2796" s="635"/>
      <c r="U2796" s="298"/>
      <c r="V2796" s="298"/>
      <c r="W2796" s="298"/>
      <c r="X2796" s="298"/>
      <c r="Y2796" s="298"/>
      <c r="Z2796" s="298"/>
      <c r="AA2796" s="298"/>
      <c r="AB2796" s="298"/>
      <c r="AC2796" s="298"/>
      <c r="AD2796" s="298"/>
      <c r="AE2796" s="298"/>
      <c r="AF2796" s="298"/>
      <c r="AG2796" s="298"/>
      <c r="AH2796" s="298"/>
      <c r="AI2796" s="298"/>
      <c r="AJ2796" s="298"/>
      <c r="AK2796" s="298"/>
      <c r="AL2796" s="298"/>
      <c r="AM2796" s="298"/>
      <c r="AN2796" s="298"/>
      <c r="AO2796" s="298"/>
      <c r="AP2796" s="298"/>
      <c r="AQ2796" s="298"/>
      <c r="AR2796" s="298"/>
      <c r="AS2796" s="298"/>
      <c r="AT2796" s="298"/>
      <c r="AU2796" s="298"/>
      <c r="AV2796" s="298"/>
      <c r="AW2796" s="298"/>
      <c r="AX2796" s="298"/>
      <c r="AY2796" s="298"/>
      <c r="AZ2796" s="298"/>
      <c r="BA2796" s="298"/>
      <c r="BB2796" s="298"/>
      <c r="BC2796" s="298"/>
      <c r="BD2796" s="298"/>
      <c r="BE2796" s="298"/>
      <c r="BF2796" s="298"/>
      <c r="BG2796" s="298"/>
      <c r="BH2796" s="298"/>
      <c r="BI2796" s="298"/>
      <c r="BJ2796" s="298"/>
      <c r="BK2796" s="298"/>
      <c r="BL2796" s="298"/>
      <c r="BM2796" s="298"/>
      <c r="BN2796" s="298"/>
      <c r="BO2796" s="298"/>
      <c r="BP2796" s="298"/>
    </row>
    <row r="2797" spans="1:68" s="529" customFormat="1" ht="25.5">
      <c r="A2797" s="286" t="s">
        <v>3259</v>
      </c>
      <c r="B2797" s="288">
        <v>88309</v>
      </c>
      <c r="C2797" s="289" t="s">
        <v>105</v>
      </c>
      <c r="D2797" s="290" t="s">
        <v>9714</v>
      </c>
      <c r="E2797" s="290" t="s">
        <v>206</v>
      </c>
      <c r="F2797" s="383">
        <v>0.2</v>
      </c>
      <c r="G2797" s="292" t="s">
        <v>11439</v>
      </c>
      <c r="H2797" s="255">
        <v>4.78</v>
      </c>
      <c r="I2797" s="298"/>
      <c r="J2797" s="634"/>
      <c r="K2797" s="634"/>
      <c r="L2797" s="634"/>
      <c r="M2797" s="634"/>
      <c r="N2797" s="298"/>
      <c r="O2797" s="298"/>
      <c r="P2797" s="298"/>
      <c r="Q2797" s="298"/>
      <c r="R2797" s="298"/>
      <c r="S2797" s="536"/>
      <c r="T2797" s="635"/>
      <c r="U2797" s="298"/>
      <c r="V2797" s="298"/>
      <c r="W2797" s="298"/>
      <c r="X2797" s="298"/>
      <c r="Y2797" s="298"/>
      <c r="Z2797" s="298"/>
      <c r="AA2797" s="298"/>
      <c r="AB2797" s="298"/>
      <c r="AC2797" s="298"/>
      <c r="AD2797" s="298"/>
      <c r="AE2797" s="298"/>
      <c r="AF2797" s="298"/>
      <c r="AG2797" s="298"/>
      <c r="AH2797" s="298"/>
      <c r="AI2797" s="298"/>
      <c r="AJ2797" s="298"/>
      <c r="AK2797" s="298"/>
      <c r="AL2797" s="298"/>
      <c r="AM2797" s="298"/>
      <c r="AN2797" s="298"/>
      <c r="AO2797" s="298"/>
      <c r="AP2797" s="298"/>
      <c r="AQ2797" s="298"/>
      <c r="AR2797" s="298"/>
      <c r="AS2797" s="298"/>
      <c r="AT2797" s="298"/>
      <c r="AU2797" s="298"/>
      <c r="AV2797" s="298"/>
      <c r="AW2797" s="298"/>
      <c r="AX2797" s="298"/>
      <c r="AY2797" s="298"/>
      <c r="AZ2797" s="298"/>
      <c r="BA2797" s="298"/>
      <c r="BB2797" s="298"/>
      <c r="BC2797" s="298"/>
      <c r="BD2797" s="298"/>
      <c r="BE2797" s="298"/>
      <c r="BF2797" s="298"/>
      <c r="BG2797" s="298"/>
      <c r="BH2797" s="298"/>
      <c r="BI2797" s="298"/>
      <c r="BJ2797" s="298"/>
      <c r="BK2797" s="298"/>
      <c r="BL2797" s="298"/>
      <c r="BM2797" s="298"/>
      <c r="BN2797" s="298"/>
      <c r="BO2797" s="298"/>
      <c r="BP2797" s="298"/>
    </row>
    <row r="2798" spans="1:68" s="529" customFormat="1" ht="25.5">
      <c r="A2798" s="286" t="s">
        <v>3259</v>
      </c>
      <c r="B2798" s="288">
        <v>88316</v>
      </c>
      <c r="C2798" s="289" t="s">
        <v>104</v>
      </c>
      <c r="D2798" s="290" t="s">
        <v>9714</v>
      </c>
      <c r="E2798" s="290" t="s">
        <v>206</v>
      </c>
      <c r="F2798" s="383">
        <v>0.2</v>
      </c>
      <c r="G2798" s="292" t="s">
        <v>10172</v>
      </c>
      <c r="H2798" s="255">
        <v>3.52</v>
      </c>
      <c r="I2798" s="298"/>
      <c r="J2798" s="634"/>
      <c r="K2798" s="634"/>
      <c r="L2798" s="634"/>
      <c r="M2798" s="634"/>
      <c r="N2798" s="298"/>
      <c r="O2798" s="298"/>
      <c r="P2798" s="298"/>
      <c r="Q2798" s="298"/>
      <c r="R2798" s="298"/>
      <c r="S2798" s="536"/>
      <c r="T2798" s="635"/>
      <c r="U2798" s="298"/>
      <c r="V2798" s="298"/>
      <c r="W2798" s="298"/>
      <c r="X2798" s="298"/>
      <c r="Y2798" s="298"/>
      <c r="Z2798" s="298"/>
      <c r="AA2798" s="298"/>
      <c r="AB2798" s="298"/>
      <c r="AC2798" s="298"/>
      <c r="AD2798" s="298"/>
      <c r="AE2798" s="298"/>
      <c r="AF2798" s="298"/>
      <c r="AG2798" s="298"/>
      <c r="AH2798" s="298"/>
      <c r="AI2798" s="298"/>
      <c r="AJ2798" s="298"/>
      <c r="AK2798" s="298"/>
      <c r="AL2798" s="298"/>
      <c r="AM2798" s="298"/>
      <c r="AN2798" s="298"/>
      <c r="AO2798" s="298"/>
      <c r="AP2798" s="298"/>
      <c r="AQ2798" s="298"/>
      <c r="AR2798" s="298"/>
      <c r="AS2798" s="298"/>
      <c r="AT2798" s="298"/>
      <c r="AU2798" s="298"/>
      <c r="AV2798" s="298"/>
      <c r="AW2798" s="298"/>
      <c r="AX2798" s="298"/>
      <c r="AY2798" s="298"/>
      <c r="AZ2798" s="298"/>
      <c r="BA2798" s="298"/>
      <c r="BB2798" s="298"/>
      <c r="BC2798" s="298"/>
      <c r="BD2798" s="298"/>
      <c r="BE2798" s="298"/>
      <c r="BF2798" s="298"/>
      <c r="BG2798" s="298"/>
      <c r="BH2798" s="298"/>
      <c r="BI2798" s="298"/>
      <c r="BJ2798" s="298"/>
      <c r="BK2798" s="298"/>
      <c r="BL2798" s="298"/>
      <c r="BM2798" s="298"/>
      <c r="BN2798" s="298"/>
      <c r="BO2798" s="298"/>
      <c r="BP2798" s="298"/>
    </row>
    <row r="2799" spans="1:68" s="529" customFormat="1" ht="12.75">
      <c r="A2799" s="286"/>
      <c r="B2799" s="375" t="s">
        <v>143</v>
      </c>
      <c r="C2799" s="816" t="s">
        <v>15112</v>
      </c>
      <c r="D2799" s="817"/>
      <c r="E2799" s="817"/>
      <c r="F2799" s="817"/>
      <c r="G2799" s="817"/>
      <c r="H2799" s="818"/>
      <c r="I2799" s="298"/>
      <c r="J2799" s="634"/>
      <c r="K2799" s="634"/>
      <c r="L2799" s="634"/>
      <c r="M2799" s="634"/>
      <c r="N2799" s="298"/>
      <c r="O2799" s="298"/>
      <c r="P2799" s="298"/>
      <c r="Q2799" s="298"/>
      <c r="R2799" s="298"/>
      <c r="S2799" s="536"/>
      <c r="T2799" s="635"/>
      <c r="U2799" s="298"/>
      <c r="V2799" s="298"/>
      <c r="W2799" s="298"/>
      <c r="X2799" s="298"/>
      <c r="Y2799" s="298"/>
      <c r="Z2799" s="298"/>
      <c r="AA2799" s="298"/>
      <c r="AB2799" s="298"/>
      <c r="AC2799" s="298"/>
      <c r="AD2799" s="298"/>
      <c r="AE2799" s="298"/>
      <c r="AF2799" s="298"/>
      <c r="AG2799" s="298"/>
      <c r="AH2799" s="298"/>
      <c r="AI2799" s="298"/>
      <c r="AJ2799" s="298"/>
      <c r="AK2799" s="298"/>
      <c r="AL2799" s="298"/>
      <c r="AM2799" s="298"/>
      <c r="AN2799" s="298"/>
      <c r="AO2799" s="298"/>
      <c r="AP2799" s="298"/>
      <c r="AQ2799" s="298"/>
      <c r="AR2799" s="298"/>
      <c r="AS2799" s="298"/>
      <c r="AT2799" s="298"/>
      <c r="AU2799" s="298"/>
      <c r="AV2799" s="298"/>
      <c r="AW2799" s="298"/>
      <c r="AX2799" s="298"/>
      <c r="AY2799" s="298"/>
      <c r="AZ2799" s="298"/>
      <c r="BA2799" s="298"/>
      <c r="BB2799" s="298"/>
      <c r="BC2799" s="298"/>
      <c r="BD2799" s="298"/>
      <c r="BE2799" s="298"/>
      <c r="BF2799" s="298"/>
      <c r="BG2799" s="298"/>
      <c r="BH2799" s="298"/>
      <c r="BI2799" s="298"/>
      <c r="BJ2799" s="298"/>
      <c r="BK2799" s="298"/>
      <c r="BL2799" s="298"/>
      <c r="BM2799" s="298"/>
      <c r="BN2799" s="298"/>
      <c r="BO2799" s="298"/>
      <c r="BP2799" s="298"/>
    </row>
    <row r="2800" spans="1:68" s="529" customFormat="1" ht="12.75">
      <c r="A2800" s="286"/>
      <c r="B2800" s="373"/>
      <c r="C2800" s="379"/>
      <c r="D2800" s="379"/>
      <c r="E2800" s="379"/>
      <c r="F2800" s="379"/>
      <c r="G2800" s="379"/>
      <c r="H2800" s="379"/>
      <c r="I2800" s="298"/>
      <c r="J2800" s="634"/>
      <c r="K2800" s="634"/>
      <c r="L2800" s="634"/>
      <c r="M2800" s="634"/>
      <c r="N2800" s="298"/>
      <c r="O2800" s="298"/>
      <c r="P2800" s="298"/>
      <c r="Q2800" s="298"/>
      <c r="R2800" s="298"/>
      <c r="S2800" s="536"/>
      <c r="T2800" s="635"/>
      <c r="U2800" s="298"/>
      <c r="V2800" s="298"/>
      <c r="W2800" s="298"/>
      <c r="X2800" s="298"/>
      <c r="Y2800" s="298"/>
      <c r="Z2800" s="298"/>
      <c r="AA2800" s="298"/>
      <c r="AB2800" s="298"/>
      <c r="AC2800" s="298"/>
      <c r="AD2800" s="298"/>
      <c r="AE2800" s="298"/>
      <c r="AF2800" s="298"/>
      <c r="AG2800" s="298"/>
      <c r="AH2800" s="298"/>
      <c r="AI2800" s="298"/>
      <c r="AJ2800" s="298"/>
      <c r="AK2800" s="298"/>
      <c r="AL2800" s="298"/>
      <c r="AM2800" s="298"/>
      <c r="AN2800" s="298"/>
      <c r="AO2800" s="298"/>
      <c r="AP2800" s="298"/>
      <c r="AQ2800" s="298"/>
      <c r="AR2800" s="298"/>
      <c r="AS2800" s="298"/>
      <c r="AT2800" s="298"/>
      <c r="AU2800" s="298"/>
      <c r="AV2800" s="298"/>
      <c r="AW2800" s="298"/>
      <c r="AX2800" s="298"/>
      <c r="AY2800" s="298"/>
      <c r="AZ2800" s="298"/>
      <c r="BA2800" s="298"/>
      <c r="BB2800" s="298"/>
      <c r="BC2800" s="298"/>
      <c r="BD2800" s="298"/>
      <c r="BE2800" s="298"/>
      <c r="BF2800" s="298"/>
      <c r="BG2800" s="298"/>
      <c r="BH2800" s="298"/>
      <c r="BI2800" s="298"/>
      <c r="BJ2800" s="298"/>
      <c r="BK2800" s="298"/>
      <c r="BL2800" s="298"/>
      <c r="BM2800" s="298"/>
      <c r="BN2800" s="298"/>
      <c r="BO2800" s="298"/>
      <c r="BP2800" s="298"/>
    </row>
    <row r="2801" spans="1:68" s="529" customFormat="1" ht="76.5">
      <c r="A2801" s="286"/>
      <c r="B2801" s="372" t="s">
        <v>15142</v>
      </c>
      <c r="C2801" s="231" t="s">
        <v>17917</v>
      </c>
      <c r="D2801" s="232" t="s">
        <v>103</v>
      </c>
      <c r="E2801" s="232" t="s">
        <v>109</v>
      </c>
      <c r="F2801" s="233"/>
      <c r="G2801" s="234"/>
      <c r="H2801" s="235">
        <v>34.21</v>
      </c>
      <c r="I2801" s="298"/>
      <c r="J2801" s="634"/>
      <c r="K2801" s="634"/>
      <c r="L2801" s="634"/>
      <c r="M2801" s="634"/>
      <c r="N2801" s="298"/>
      <c r="O2801" s="298"/>
      <c r="P2801" s="298"/>
      <c r="Q2801" s="298"/>
      <c r="R2801" s="298"/>
      <c r="S2801" s="536"/>
      <c r="T2801" s="635"/>
      <c r="U2801" s="298"/>
      <c r="V2801" s="298"/>
      <c r="W2801" s="298"/>
      <c r="X2801" s="298"/>
      <c r="Y2801" s="298"/>
      <c r="Z2801" s="298"/>
      <c r="AA2801" s="298"/>
      <c r="AB2801" s="298"/>
      <c r="AC2801" s="298"/>
      <c r="AD2801" s="298"/>
      <c r="AE2801" s="298"/>
      <c r="AF2801" s="298"/>
      <c r="AG2801" s="298"/>
      <c r="AH2801" s="298"/>
      <c r="AI2801" s="298"/>
      <c r="AJ2801" s="298"/>
      <c r="AK2801" s="298"/>
      <c r="AL2801" s="298"/>
      <c r="AM2801" s="298"/>
      <c r="AN2801" s="298"/>
      <c r="AO2801" s="298"/>
      <c r="AP2801" s="298"/>
      <c r="AQ2801" s="298"/>
      <c r="AR2801" s="298"/>
      <c r="AS2801" s="298"/>
      <c r="AT2801" s="298"/>
      <c r="AU2801" s="298"/>
      <c r="AV2801" s="298"/>
      <c r="AW2801" s="298"/>
      <c r="AX2801" s="298"/>
      <c r="AY2801" s="298"/>
      <c r="AZ2801" s="298"/>
      <c r="BA2801" s="298"/>
      <c r="BB2801" s="298"/>
      <c r="BC2801" s="298"/>
      <c r="BD2801" s="298"/>
      <c r="BE2801" s="298"/>
      <c r="BF2801" s="298"/>
      <c r="BG2801" s="298"/>
      <c r="BH2801" s="298"/>
      <c r="BI2801" s="298"/>
      <c r="BJ2801" s="298"/>
      <c r="BK2801" s="298"/>
      <c r="BL2801" s="298"/>
      <c r="BM2801" s="298"/>
      <c r="BN2801" s="298"/>
      <c r="BO2801" s="298"/>
      <c r="BP2801" s="298"/>
    </row>
    <row r="2802" spans="1:68" s="529" customFormat="1" ht="63.75">
      <c r="A2802" s="286" t="s">
        <v>3261</v>
      </c>
      <c r="B2802" s="288">
        <v>37556</v>
      </c>
      <c r="C2802" s="289" t="s">
        <v>20400</v>
      </c>
      <c r="D2802" s="290" t="s">
        <v>207</v>
      </c>
      <c r="E2802" s="290" t="s">
        <v>3240</v>
      </c>
      <c r="F2802" s="383">
        <v>1</v>
      </c>
      <c r="G2802" s="292" t="s">
        <v>11266</v>
      </c>
      <c r="H2802" s="255">
        <v>25.91</v>
      </c>
      <c r="I2802" s="298"/>
      <c r="J2802" s="634"/>
      <c r="K2802" s="634"/>
      <c r="L2802" s="634"/>
      <c r="M2802" s="634"/>
      <c r="N2802" s="298"/>
      <c r="O2802" s="298"/>
      <c r="P2802" s="298"/>
      <c r="Q2802" s="298"/>
      <c r="R2802" s="298"/>
      <c r="S2802" s="536"/>
      <c r="T2802" s="635"/>
      <c r="U2802" s="298"/>
      <c r="V2802" s="298"/>
      <c r="W2802" s="298"/>
      <c r="X2802" s="298"/>
      <c r="Y2802" s="298"/>
      <c r="Z2802" s="298"/>
      <c r="AA2802" s="298"/>
      <c r="AB2802" s="298"/>
      <c r="AC2802" s="298"/>
      <c r="AD2802" s="298"/>
      <c r="AE2802" s="298"/>
      <c r="AF2802" s="298"/>
      <c r="AG2802" s="298"/>
      <c r="AH2802" s="298"/>
      <c r="AI2802" s="298"/>
      <c r="AJ2802" s="298"/>
      <c r="AK2802" s="298"/>
      <c r="AL2802" s="298"/>
      <c r="AM2802" s="298"/>
      <c r="AN2802" s="298"/>
      <c r="AO2802" s="298"/>
      <c r="AP2802" s="298"/>
      <c r="AQ2802" s="298"/>
      <c r="AR2802" s="298"/>
      <c r="AS2802" s="298"/>
      <c r="AT2802" s="298"/>
      <c r="AU2802" s="298"/>
      <c r="AV2802" s="298"/>
      <c r="AW2802" s="298"/>
      <c r="AX2802" s="298"/>
      <c r="AY2802" s="298"/>
      <c r="AZ2802" s="298"/>
      <c r="BA2802" s="298"/>
      <c r="BB2802" s="298"/>
      <c r="BC2802" s="298"/>
      <c r="BD2802" s="298"/>
      <c r="BE2802" s="298"/>
      <c r="BF2802" s="298"/>
      <c r="BG2802" s="298"/>
      <c r="BH2802" s="298"/>
      <c r="BI2802" s="298"/>
      <c r="BJ2802" s="298"/>
      <c r="BK2802" s="298"/>
      <c r="BL2802" s="298"/>
      <c r="BM2802" s="298"/>
      <c r="BN2802" s="298"/>
      <c r="BO2802" s="298"/>
      <c r="BP2802" s="298"/>
    </row>
    <row r="2803" spans="1:68" s="529" customFormat="1" ht="25.5">
      <c r="A2803" s="286" t="s">
        <v>3259</v>
      </c>
      <c r="B2803" s="288">
        <v>88309</v>
      </c>
      <c r="C2803" s="289" t="s">
        <v>105</v>
      </c>
      <c r="D2803" s="290" t="s">
        <v>9714</v>
      </c>
      <c r="E2803" s="290" t="s">
        <v>206</v>
      </c>
      <c r="F2803" s="383">
        <v>0.2</v>
      </c>
      <c r="G2803" s="292" t="s">
        <v>11439</v>
      </c>
      <c r="H2803" s="255">
        <v>4.78</v>
      </c>
      <c r="I2803" s="298"/>
      <c r="J2803" s="634"/>
      <c r="K2803" s="634"/>
      <c r="L2803" s="634"/>
      <c r="M2803" s="634"/>
      <c r="N2803" s="298"/>
      <c r="O2803" s="298"/>
      <c r="P2803" s="298"/>
      <c r="Q2803" s="298"/>
      <c r="R2803" s="298"/>
      <c r="S2803" s="536"/>
      <c r="T2803" s="635"/>
      <c r="U2803" s="298"/>
      <c r="V2803" s="298"/>
      <c r="W2803" s="298"/>
      <c r="X2803" s="298"/>
      <c r="Y2803" s="298"/>
      <c r="Z2803" s="298"/>
      <c r="AA2803" s="298"/>
      <c r="AB2803" s="298"/>
      <c r="AC2803" s="298"/>
      <c r="AD2803" s="298"/>
      <c r="AE2803" s="298"/>
      <c r="AF2803" s="298"/>
      <c r="AG2803" s="298"/>
      <c r="AH2803" s="298"/>
      <c r="AI2803" s="298"/>
      <c r="AJ2803" s="298"/>
      <c r="AK2803" s="298"/>
      <c r="AL2803" s="298"/>
      <c r="AM2803" s="298"/>
      <c r="AN2803" s="298"/>
      <c r="AO2803" s="298"/>
      <c r="AP2803" s="298"/>
      <c r="AQ2803" s="298"/>
      <c r="AR2803" s="298"/>
      <c r="AS2803" s="298"/>
      <c r="AT2803" s="298"/>
      <c r="AU2803" s="298"/>
      <c r="AV2803" s="298"/>
      <c r="AW2803" s="298"/>
      <c r="AX2803" s="298"/>
      <c r="AY2803" s="298"/>
      <c r="AZ2803" s="298"/>
      <c r="BA2803" s="298"/>
      <c r="BB2803" s="298"/>
      <c r="BC2803" s="298"/>
      <c r="BD2803" s="298"/>
      <c r="BE2803" s="298"/>
      <c r="BF2803" s="298"/>
      <c r="BG2803" s="298"/>
      <c r="BH2803" s="298"/>
      <c r="BI2803" s="298"/>
      <c r="BJ2803" s="298"/>
      <c r="BK2803" s="298"/>
      <c r="BL2803" s="298"/>
      <c r="BM2803" s="298"/>
      <c r="BN2803" s="298"/>
      <c r="BO2803" s="298"/>
      <c r="BP2803" s="298"/>
    </row>
    <row r="2804" spans="1:68" s="529" customFormat="1" ht="25.5">
      <c r="A2804" s="286" t="s">
        <v>3259</v>
      </c>
      <c r="B2804" s="288">
        <v>88316</v>
      </c>
      <c r="C2804" s="289" t="s">
        <v>104</v>
      </c>
      <c r="D2804" s="290" t="s">
        <v>9714</v>
      </c>
      <c r="E2804" s="290" t="s">
        <v>206</v>
      </c>
      <c r="F2804" s="383">
        <v>0.2</v>
      </c>
      <c r="G2804" s="292" t="s">
        <v>10172</v>
      </c>
      <c r="H2804" s="255">
        <v>3.52</v>
      </c>
      <c r="I2804" s="298"/>
      <c r="J2804" s="634"/>
      <c r="K2804" s="634"/>
      <c r="L2804" s="634"/>
      <c r="M2804" s="634"/>
      <c r="N2804" s="298"/>
      <c r="O2804" s="298"/>
      <c r="P2804" s="298"/>
      <c r="Q2804" s="298"/>
      <c r="R2804" s="298"/>
      <c r="S2804" s="536"/>
      <c r="T2804" s="635"/>
      <c r="U2804" s="298"/>
      <c r="V2804" s="298"/>
      <c r="W2804" s="298"/>
      <c r="X2804" s="298"/>
      <c r="Y2804" s="298"/>
      <c r="Z2804" s="298"/>
      <c r="AA2804" s="298"/>
      <c r="AB2804" s="298"/>
      <c r="AC2804" s="298"/>
      <c r="AD2804" s="298"/>
      <c r="AE2804" s="298"/>
      <c r="AF2804" s="298"/>
      <c r="AG2804" s="298"/>
      <c r="AH2804" s="298"/>
      <c r="AI2804" s="298"/>
      <c r="AJ2804" s="298"/>
      <c r="AK2804" s="298"/>
      <c r="AL2804" s="298"/>
      <c r="AM2804" s="298"/>
      <c r="AN2804" s="298"/>
      <c r="AO2804" s="298"/>
      <c r="AP2804" s="298"/>
      <c r="AQ2804" s="298"/>
      <c r="AR2804" s="298"/>
      <c r="AS2804" s="298"/>
      <c r="AT2804" s="298"/>
      <c r="AU2804" s="298"/>
      <c r="AV2804" s="298"/>
      <c r="AW2804" s="298"/>
      <c r="AX2804" s="298"/>
      <c r="AY2804" s="298"/>
      <c r="AZ2804" s="298"/>
      <c r="BA2804" s="298"/>
      <c r="BB2804" s="298"/>
      <c r="BC2804" s="298"/>
      <c r="BD2804" s="298"/>
      <c r="BE2804" s="298"/>
      <c r="BF2804" s="298"/>
      <c r="BG2804" s="298"/>
      <c r="BH2804" s="298"/>
      <c r="BI2804" s="298"/>
      <c r="BJ2804" s="298"/>
      <c r="BK2804" s="298"/>
      <c r="BL2804" s="298"/>
      <c r="BM2804" s="298"/>
      <c r="BN2804" s="298"/>
      <c r="BO2804" s="298"/>
      <c r="BP2804" s="298"/>
    </row>
    <row r="2805" spans="1:68" s="529" customFormat="1" ht="12.75">
      <c r="A2805" s="286"/>
      <c r="B2805" s="375" t="s">
        <v>143</v>
      </c>
      <c r="C2805" s="816" t="s">
        <v>15112</v>
      </c>
      <c r="D2805" s="817"/>
      <c r="E2805" s="817"/>
      <c r="F2805" s="817"/>
      <c r="G2805" s="817"/>
      <c r="H2805" s="818"/>
      <c r="I2805" s="298"/>
      <c r="J2805" s="634"/>
      <c r="K2805" s="634"/>
      <c r="L2805" s="634"/>
      <c r="M2805" s="634"/>
      <c r="N2805" s="298"/>
      <c r="O2805" s="298"/>
      <c r="P2805" s="298"/>
      <c r="Q2805" s="298"/>
      <c r="R2805" s="298"/>
      <c r="S2805" s="536"/>
      <c r="T2805" s="635"/>
      <c r="U2805" s="298"/>
      <c r="V2805" s="298"/>
      <c r="W2805" s="298"/>
      <c r="X2805" s="298"/>
      <c r="Y2805" s="298"/>
      <c r="Z2805" s="298"/>
      <c r="AA2805" s="298"/>
      <c r="AB2805" s="298"/>
      <c r="AC2805" s="298"/>
      <c r="AD2805" s="298"/>
      <c r="AE2805" s="298"/>
      <c r="AF2805" s="298"/>
      <c r="AG2805" s="298"/>
      <c r="AH2805" s="298"/>
      <c r="AI2805" s="298"/>
      <c r="AJ2805" s="298"/>
      <c r="AK2805" s="298"/>
      <c r="AL2805" s="298"/>
      <c r="AM2805" s="298"/>
      <c r="AN2805" s="298"/>
      <c r="AO2805" s="298"/>
      <c r="AP2805" s="298"/>
      <c r="AQ2805" s="298"/>
      <c r="AR2805" s="298"/>
      <c r="AS2805" s="298"/>
      <c r="AT2805" s="298"/>
      <c r="AU2805" s="298"/>
      <c r="AV2805" s="298"/>
      <c r="AW2805" s="298"/>
      <c r="AX2805" s="298"/>
      <c r="AY2805" s="298"/>
      <c r="AZ2805" s="298"/>
      <c r="BA2805" s="298"/>
      <c r="BB2805" s="298"/>
      <c r="BC2805" s="298"/>
      <c r="BD2805" s="298"/>
      <c r="BE2805" s="298"/>
      <c r="BF2805" s="298"/>
      <c r="BG2805" s="298"/>
      <c r="BH2805" s="298"/>
      <c r="BI2805" s="298"/>
      <c r="BJ2805" s="298"/>
      <c r="BK2805" s="298"/>
      <c r="BL2805" s="298"/>
      <c r="BM2805" s="298"/>
      <c r="BN2805" s="298"/>
      <c r="BO2805" s="298"/>
      <c r="BP2805" s="298"/>
    </row>
    <row r="2806" spans="1:68" s="529" customFormat="1" ht="12.75">
      <c r="A2806" s="286"/>
      <c r="B2806" s="373"/>
      <c r="C2806" s="379"/>
      <c r="D2806" s="379"/>
      <c r="E2806" s="379"/>
      <c r="F2806" s="379"/>
      <c r="G2806" s="379"/>
      <c r="H2806" s="379"/>
      <c r="I2806" s="298"/>
      <c r="J2806" s="634"/>
      <c r="K2806" s="634"/>
      <c r="L2806" s="634"/>
      <c r="M2806" s="634"/>
      <c r="N2806" s="298"/>
      <c r="O2806" s="298"/>
      <c r="P2806" s="298"/>
      <c r="Q2806" s="298"/>
      <c r="R2806" s="298"/>
      <c r="S2806" s="536"/>
      <c r="T2806" s="635"/>
      <c r="U2806" s="298"/>
      <c r="V2806" s="298"/>
      <c r="W2806" s="298"/>
      <c r="X2806" s="298"/>
      <c r="Y2806" s="298"/>
      <c r="Z2806" s="298"/>
      <c r="AA2806" s="298"/>
      <c r="AB2806" s="298"/>
      <c r="AC2806" s="298"/>
      <c r="AD2806" s="298"/>
      <c r="AE2806" s="298"/>
      <c r="AF2806" s="298"/>
      <c r="AG2806" s="298"/>
      <c r="AH2806" s="298"/>
      <c r="AI2806" s="298"/>
      <c r="AJ2806" s="298"/>
      <c r="AK2806" s="298"/>
      <c r="AL2806" s="298"/>
      <c r="AM2806" s="298"/>
      <c r="AN2806" s="298"/>
      <c r="AO2806" s="298"/>
      <c r="AP2806" s="298"/>
      <c r="AQ2806" s="298"/>
      <c r="AR2806" s="298"/>
      <c r="AS2806" s="298"/>
      <c r="AT2806" s="298"/>
      <c r="AU2806" s="298"/>
      <c r="AV2806" s="298"/>
      <c r="AW2806" s="298"/>
      <c r="AX2806" s="298"/>
      <c r="AY2806" s="298"/>
      <c r="AZ2806" s="298"/>
      <c r="BA2806" s="298"/>
      <c r="BB2806" s="298"/>
      <c r="BC2806" s="298"/>
      <c r="BD2806" s="298"/>
      <c r="BE2806" s="298"/>
      <c r="BF2806" s="298"/>
      <c r="BG2806" s="298"/>
      <c r="BH2806" s="298"/>
      <c r="BI2806" s="298"/>
      <c r="BJ2806" s="298"/>
      <c r="BK2806" s="298"/>
      <c r="BL2806" s="298"/>
      <c r="BM2806" s="298"/>
      <c r="BN2806" s="298"/>
      <c r="BO2806" s="298"/>
      <c r="BP2806" s="298"/>
    </row>
    <row r="2807" spans="1:68" s="529" customFormat="1" ht="76.5">
      <c r="A2807" s="286"/>
      <c r="B2807" s="372" t="s">
        <v>15143</v>
      </c>
      <c r="C2807" s="231" t="s">
        <v>15117</v>
      </c>
      <c r="D2807" s="232" t="s">
        <v>103</v>
      </c>
      <c r="E2807" s="232" t="s">
        <v>109</v>
      </c>
      <c r="F2807" s="233"/>
      <c r="G2807" s="234"/>
      <c r="H2807" s="235">
        <v>34.21</v>
      </c>
      <c r="I2807" s="298"/>
      <c r="J2807" s="634"/>
      <c r="K2807" s="634"/>
      <c r="L2807" s="634"/>
      <c r="M2807" s="634"/>
      <c r="N2807" s="298"/>
      <c r="O2807" s="298"/>
      <c r="P2807" s="298"/>
      <c r="Q2807" s="298"/>
      <c r="R2807" s="298"/>
      <c r="S2807" s="536"/>
      <c r="T2807" s="635"/>
      <c r="U2807" s="298"/>
      <c r="V2807" s="298"/>
      <c r="W2807" s="298"/>
      <c r="X2807" s="298"/>
      <c r="Y2807" s="298"/>
      <c r="Z2807" s="298"/>
      <c r="AA2807" s="298"/>
      <c r="AB2807" s="298"/>
      <c r="AC2807" s="298"/>
      <c r="AD2807" s="298"/>
      <c r="AE2807" s="298"/>
      <c r="AF2807" s="298"/>
      <c r="AG2807" s="298"/>
      <c r="AH2807" s="298"/>
      <c r="AI2807" s="298"/>
      <c r="AJ2807" s="298"/>
      <c r="AK2807" s="298"/>
      <c r="AL2807" s="298"/>
      <c r="AM2807" s="298"/>
      <c r="AN2807" s="298"/>
      <c r="AO2807" s="298"/>
      <c r="AP2807" s="298"/>
      <c r="AQ2807" s="298"/>
      <c r="AR2807" s="298"/>
      <c r="AS2807" s="298"/>
      <c r="AT2807" s="298"/>
      <c r="AU2807" s="298"/>
      <c r="AV2807" s="298"/>
      <c r="AW2807" s="298"/>
      <c r="AX2807" s="298"/>
      <c r="AY2807" s="298"/>
      <c r="AZ2807" s="298"/>
      <c r="BA2807" s="298"/>
      <c r="BB2807" s="298"/>
      <c r="BC2807" s="298"/>
      <c r="BD2807" s="298"/>
      <c r="BE2807" s="298"/>
      <c r="BF2807" s="298"/>
      <c r="BG2807" s="298"/>
      <c r="BH2807" s="298"/>
      <c r="BI2807" s="298"/>
      <c r="BJ2807" s="298"/>
      <c r="BK2807" s="298"/>
      <c r="BL2807" s="298"/>
      <c r="BM2807" s="298"/>
      <c r="BN2807" s="298"/>
      <c r="BO2807" s="298"/>
      <c r="BP2807" s="298"/>
    </row>
    <row r="2808" spans="1:68" s="529" customFormat="1" ht="63.75">
      <c r="A2808" s="286" t="s">
        <v>3261</v>
      </c>
      <c r="B2808" s="288">
        <v>37556</v>
      </c>
      <c r="C2808" s="289" t="s">
        <v>20400</v>
      </c>
      <c r="D2808" s="290" t="s">
        <v>207</v>
      </c>
      <c r="E2808" s="290" t="s">
        <v>3240</v>
      </c>
      <c r="F2808" s="383">
        <v>1</v>
      </c>
      <c r="G2808" s="292" t="s">
        <v>11266</v>
      </c>
      <c r="H2808" s="255">
        <v>25.91</v>
      </c>
      <c r="I2808" s="298"/>
      <c r="J2808" s="634"/>
      <c r="K2808" s="634"/>
      <c r="L2808" s="634"/>
      <c r="M2808" s="634"/>
      <c r="N2808" s="298"/>
      <c r="O2808" s="298"/>
      <c r="P2808" s="298"/>
      <c r="Q2808" s="298"/>
      <c r="R2808" s="298"/>
      <c r="S2808" s="536"/>
      <c r="T2808" s="635"/>
      <c r="U2808" s="298"/>
      <c r="V2808" s="298"/>
      <c r="W2808" s="298"/>
      <c r="X2808" s="298"/>
      <c r="Y2808" s="298"/>
      <c r="Z2808" s="298"/>
      <c r="AA2808" s="298"/>
      <c r="AB2808" s="298"/>
      <c r="AC2808" s="298"/>
      <c r="AD2808" s="298"/>
      <c r="AE2808" s="298"/>
      <c r="AF2808" s="298"/>
      <c r="AG2808" s="298"/>
      <c r="AH2808" s="298"/>
      <c r="AI2808" s="298"/>
      <c r="AJ2808" s="298"/>
      <c r="AK2808" s="298"/>
      <c r="AL2808" s="298"/>
      <c r="AM2808" s="298"/>
      <c r="AN2808" s="298"/>
      <c r="AO2808" s="298"/>
      <c r="AP2808" s="298"/>
      <c r="AQ2808" s="298"/>
      <c r="AR2808" s="298"/>
      <c r="AS2808" s="298"/>
      <c r="AT2808" s="298"/>
      <c r="AU2808" s="298"/>
      <c r="AV2808" s="298"/>
      <c r="AW2808" s="298"/>
      <c r="AX2808" s="298"/>
      <c r="AY2808" s="298"/>
      <c r="AZ2808" s="298"/>
      <c r="BA2808" s="298"/>
      <c r="BB2808" s="298"/>
      <c r="BC2808" s="298"/>
      <c r="BD2808" s="298"/>
      <c r="BE2808" s="298"/>
      <c r="BF2808" s="298"/>
      <c r="BG2808" s="298"/>
      <c r="BH2808" s="298"/>
      <c r="BI2808" s="298"/>
      <c r="BJ2808" s="298"/>
      <c r="BK2808" s="298"/>
      <c r="BL2808" s="298"/>
      <c r="BM2808" s="298"/>
      <c r="BN2808" s="298"/>
      <c r="BO2808" s="298"/>
      <c r="BP2808" s="298"/>
    </row>
    <row r="2809" spans="1:68" s="529" customFormat="1" ht="25.5">
      <c r="A2809" s="286" t="s">
        <v>3259</v>
      </c>
      <c r="B2809" s="288">
        <v>88309</v>
      </c>
      <c r="C2809" s="289" t="s">
        <v>105</v>
      </c>
      <c r="D2809" s="290" t="s">
        <v>9714</v>
      </c>
      <c r="E2809" s="290" t="s">
        <v>206</v>
      </c>
      <c r="F2809" s="383">
        <v>0.2</v>
      </c>
      <c r="G2809" s="292" t="s">
        <v>11439</v>
      </c>
      <c r="H2809" s="255">
        <v>4.78</v>
      </c>
      <c r="I2809" s="298"/>
      <c r="J2809" s="634"/>
      <c r="K2809" s="634"/>
      <c r="L2809" s="634"/>
      <c r="M2809" s="634"/>
      <c r="N2809" s="298"/>
      <c r="O2809" s="298"/>
      <c r="P2809" s="298"/>
      <c r="Q2809" s="298"/>
      <c r="R2809" s="298"/>
      <c r="S2809" s="536"/>
      <c r="T2809" s="635"/>
      <c r="U2809" s="298"/>
      <c r="V2809" s="298"/>
      <c r="W2809" s="298"/>
      <c r="X2809" s="298"/>
      <c r="Y2809" s="298"/>
      <c r="Z2809" s="298"/>
      <c r="AA2809" s="298"/>
      <c r="AB2809" s="298"/>
      <c r="AC2809" s="298"/>
      <c r="AD2809" s="298"/>
      <c r="AE2809" s="298"/>
      <c r="AF2809" s="298"/>
      <c r="AG2809" s="298"/>
      <c r="AH2809" s="298"/>
      <c r="AI2809" s="298"/>
      <c r="AJ2809" s="298"/>
      <c r="AK2809" s="298"/>
      <c r="AL2809" s="298"/>
      <c r="AM2809" s="298"/>
      <c r="AN2809" s="298"/>
      <c r="AO2809" s="298"/>
      <c r="AP2809" s="298"/>
      <c r="AQ2809" s="298"/>
      <c r="AR2809" s="298"/>
      <c r="AS2809" s="298"/>
      <c r="AT2809" s="298"/>
      <c r="AU2809" s="298"/>
      <c r="AV2809" s="298"/>
      <c r="AW2809" s="298"/>
      <c r="AX2809" s="298"/>
      <c r="AY2809" s="298"/>
      <c r="AZ2809" s="298"/>
      <c r="BA2809" s="298"/>
      <c r="BB2809" s="298"/>
      <c r="BC2809" s="298"/>
      <c r="BD2809" s="298"/>
      <c r="BE2809" s="298"/>
      <c r="BF2809" s="298"/>
      <c r="BG2809" s="298"/>
      <c r="BH2809" s="298"/>
      <c r="BI2809" s="298"/>
      <c r="BJ2809" s="298"/>
      <c r="BK2809" s="298"/>
      <c r="BL2809" s="298"/>
      <c r="BM2809" s="298"/>
      <c r="BN2809" s="298"/>
      <c r="BO2809" s="298"/>
      <c r="BP2809" s="298"/>
    </row>
    <row r="2810" spans="1:68" s="529" customFormat="1" ht="25.5">
      <c r="A2810" s="286" t="s">
        <v>3259</v>
      </c>
      <c r="B2810" s="288">
        <v>88316</v>
      </c>
      <c r="C2810" s="289" t="s">
        <v>104</v>
      </c>
      <c r="D2810" s="290" t="s">
        <v>9714</v>
      </c>
      <c r="E2810" s="290" t="s">
        <v>206</v>
      </c>
      <c r="F2810" s="383">
        <v>0.2</v>
      </c>
      <c r="G2810" s="292" t="s">
        <v>10172</v>
      </c>
      <c r="H2810" s="255">
        <v>3.52</v>
      </c>
      <c r="I2810" s="298"/>
      <c r="J2810" s="634"/>
      <c r="K2810" s="634"/>
      <c r="L2810" s="634"/>
      <c r="M2810" s="634"/>
      <c r="N2810" s="298"/>
      <c r="O2810" s="298"/>
      <c r="P2810" s="298"/>
      <c r="Q2810" s="298"/>
      <c r="R2810" s="298"/>
      <c r="S2810" s="536"/>
      <c r="T2810" s="635"/>
      <c r="U2810" s="298"/>
      <c r="V2810" s="298"/>
      <c r="W2810" s="298"/>
      <c r="X2810" s="298"/>
      <c r="Y2810" s="298"/>
      <c r="Z2810" s="298"/>
      <c r="AA2810" s="298"/>
      <c r="AB2810" s="298"/>
      <c r="AC2810" s="298"/>
      <c r="AD2810" s="298"/>
      <c r="AE2810" s="298"/>
      <c r="AF2810" s="298"/>
      <c r="AG2810" s="298"/>
      <c r="AH2810" s="298"/>
      <c r="AI2810" s="298"/>
      <c r="AJ2810" s="298"/>
      <c r="AK2810" s="298"/>
      <c r="AL2810" s="298"/>
      <c r="AM2810" s="298"/>
      <c r="AN2810" s="298"/>
      <c r="AO2810" s="298"/>
      <c r="AP2810" s="298"/>
      <c r="AQ2810" s="298"/>
      <c r="AR2810" s="298"/>
      <c r="AS2810" s="298"/>
      <c r="AT2810" s="298"/>
      <c r="AU2810" s="298"/>
      <c r="AV2810" s="298"/>
      <c r="AW2810" s="298"/>
      <c r="AX2810" s="298"/>
      <c r="AY2810" s="298"/>
      <c r="AZ2810" s="298"/>
      <c r="BA2810" s="298"/>
      <c r="BB2810" s="298"/>
      <c r="BC2810" s="298"/>
      <c r="BD2810" s="298"/>
      <c r="BE2810" s="298"/>
      <c r="BF2810" s="298"/>
      <c r="BG2810" s="298"/>
      <c r="BH2810" s="298"/>
      <c r="BI2810" s="298"/>
      <c r="BJ2810" s="298"/>
      <c r="BK2810" s="298"/>
      <c r="BL2810" s="298"/>
      <c r="BM2810" s="298"/>
      <c r="BN2810" s="298"/>
      <c r="BO2810" s="298"/>
      <c r="BP2810" s="298"/>
    </row>
    <row r="2811" spans="1:68" s="529" customFormat="1" ht="12.75">
      <c r="A2811" s="286"/>
      <c r="B2811" s="375" t="s">
        <v>143</v>
      </c>
      <c r="C2811" s="816" t="s">
        <v>15112</v>
      </c>
      <c r="D2811" s="817"/>
      <c r="E2811" s="817"/>
      <c r="F2811" s="817"/>
      <c r="G2811" s="817"/>
      <c r="H2811" s="818"/>
      <c r="I2811" s="298"/>
      <c r="J2811" s="634"/>
      <c r="K2811" s="634"/>
      <c r="L2811" s="634"/>
      <c r="M2811" s="634"/>
      <c r="N2811" s="298"/>
      <c r="O2811" s="298"/>
      <c r="P2811" s="298"/>
      <c r="Q2811" s="298"/>
      <c r="R2811" s="298"/>
      <c r="S2811" s="536"/>
      <c r="T2811" s="635"/>
      <c r="U2811" s="298"/>
      <c r="V2811" s="298"/>
      <c r="W2811" s="298"/>
      <c r="X2811" s="298"/>
      <c r="Y2811" s="298"/>
      <c r="Z2811" s="298"/>
      <c r="AA2811" s="298"/>
      <c r="AB2811" s="298"/>
      <c r="AC2811" s="298"/>
      <c r="AD2811" s="298"/>
      <c r="AE2811" s="298"/>
      <c r="AF2811" s="298"/>
      <c r="AG2811" s="298"/>
      <c r="AH2811" s="298"/>
      <c r="AI2811" s="298"/>
      <c r="AJ2811" s="298"/>
      <c r="AK2811" s="298"/>
      <c r="AL2811" s="298"/>
      <c r="AM2811" s="298"/>
      <c r="AN2811" s="298"/>
      <c r="AO2811" s="298"/>
      <c r="AP2811" s="298"/>
      <c r="AQ2811" s="298"/>
      <c r="AR2811" s="298"/>
      <c r="AS2811" s="298"/>
      <c r="AT2811" s="298"/>
      <c r="AU2811" s="298"/>
      <c r="AV2811" s="298"/>
      <c r="AW2811" s="298"/>
      <c r="AX2811" s="298"/>
      <c r="AY2811" s="298"/>
      <c r="AZ2811" s="298"/>
      <c r="BA2811" s="298"/>
      <c r="BB2811" s="298"/>
      <c r="BC2811" s="298"/>
      <c r="BD2811" s="298"/>
      <c r="BE2811" s="298"/>
      <c r="BF2811" s="298"/>
      <c r="BG2811" s="298"/>
      <c r="BH2811" s="298"/>
      <c r="BI2811" s="298"/>
      <c r="BJ2811" s="298"/>
      <c r="BK2811" s="298"/>
      <c r="BL2811" s="298"/>
      <c r="BM2811" s="298"/>
      <c r="BN2811" s="298"/>
      <c r="BO2811" s="298"/>
      <c r="BP2811" s="298"/>
    </row>
    <row r="2812" spans="1:68" s="529" customFormat="1" ht="12.75">
      <c r="A2812" s="286"/>
      <c r="B2812" s="373"/>
      <c r="C2812" s="379"/>
      <c r="D2812" s="379"/>
      <c r="E2812" s="379"/>
      <c r="F2812" s="379"/>
      <c r="G2812" s="379"/>
      <c r="H2812" s="379"/>
      <c r="I2812" s="298"/>
      <c r="J2812" s="634"/>
      <c r="K2812" s="634"/>
      <c r="L2812" s="634"/>
      <c r="M2812" s="634"/>
      <c r="N2812" s="298"/>
      <c r="O2812" s="298"/>
      <c r="P2812" s="298"/>
      <c r="Q2812" s="298"/>
      <c r="R2812" s="298"/>
      <c r="S2812" s="536"/>
      <c r="T2812" s="635"/>
      <c r="U2812" s="298"/>
      <c r="V2812" s="298"/>
      <c r="W2812" s="298"/>
      <c r="X2812" s="298"/>
      <c r="Y2812" s="298"/>
      <c r="Z2812" s="298"/>
      <c r="AA2812" s="298"/>
      <c r="AB2812" s="298"/>
      <c r="AC2812" s="298"/>
      <c r="AD2812" s="298"/>
      <c r="AE2812" s="298"/>
      <c r="AF2812" s="298"/>
      <c r="AG2812" s="298"/>
      <c r="AH2812" s="298"/>
      <c r="AI2812" s="298"/>
      <c r="AJ2812" s="298"/>
      <c r="AK2812" s="298"/>
      <c r="AL2812" s="298"/>
      <c r="AM2812" s="298"/>
      <c r="AN2812" s="298"/>
      <c r="AO2812" s="298"/>
      <c r="AP2812" s="298"/>
      <c r="AQ2812" s="298"/>
      <c r="AR2812" s="298"/>
      <c r="AS2812" s="298"/>
      <c r="AT2812" s="298"/>
      <c r="AU2812" s="298"/>
      <c r="AV2812" s="298"/>
      <c r="AW2812" s="298"/>
      <c r="AX2812" s="298"/>
      <c r="AY2812" s="298"/>
      <c r="AZ2812" s="298"/>
      <c r="BA2812" s="298"/>
      <c r="BB2812" s="298"/>
      <c r="BC2812" s="298"/>
      <c r="BD2812" s="298"/>
      <c r="BE2812" s="298"/>
      <c r="BF2812" s="298"/>
      <c r="BG2812" s="298"/>
      <c r="BH2812" s="298"/>
      <c r="BI2812" s="298"/>
      <c r="BJ2812" s="298"/>
      <c r="BK2812" s="298"/>
      <c r="BL2812" s="298"/>
      <c r="BM2812" s="298"/>
      <c r="BN2812" s="298"/>
      <c r="BO2812" s="298"/>
      <c r="BP2812" s="298"/>
    </row>
    <row r="2813" spans="1:68" s="529" customFormat="1" ht="76.5">
      <c r="A2813" s="286"/>
      <c r="B2813" s="372" t="s">
        <v>15146</v>
      </c>
      <c r="C2813" s="231" t="s">
        <v>15118</v>
      </c>
      <c r="D2813" s="232" t="s">
        <v>103</v>
      </c>
      <c r="E2813" s="232" t="s">
        <v>109</v>
      </c>
      <c r="F2813" s="233"/>
      <c r="G2813" s="234"/>
      <c r="H2813" s="235">
        <v>34.21</v>
      </c>
      <c r="I2813" s="298"/>
      <c r="J2813" s="634"/>
      <c r="K2813" s="634"/>
      <c r="L2813" s="634"/>
      <c r="M2813" s="634"/>
      <c r="N2813" s="298"/>
      <c r="O2813" s="298"/>
      <c r="P2813" s="298"/>
      <c r="Q2813" s="298"/>
      <c r="R2813" s="298"/>
      <c r="S2813" s="536"/>
      <c r="T2813" s="635"/>
      <c r="U2813" s="298"/>
      <c r="V2813" s="298"/>
      <c r="W2813" s="298"/>
      <c r="X2813" s="298"/>
      <c r="Y2813" s="298"/>
      <c r="Z2813" s="298"/>
      <c r="AA2813" s="298"/>
      <c r="AB2813" s="298"/>
      <c r="AC2813" s="298"/>
      <c r="AD2813" s="298"/>
      <c r="AE2813" s="298"/>
      <c r="AF2813" s="298"/>
      <c r="AG2813" s="298"/>
      <c r="AH2813" s="298"/>
      <c r="AI2813" s="298"/>
      <c r="AJ2813" s="298"/>
      <c r="AK2813" s="298"/>
      <c r="AL2813" s="298"/>
      <c r="AM2813" s="298"/>
      <c r="AN2813" s="298"/>
      <c r="AO2813" s="298"/>
      <c r="AP2813" s="298"/>
      <c r="AQ2813" s="298"/>
      <c r="AR2813" s="298"/>
      <c r="AS2813" s="298"/>
      <c r="AT2813" s="298"/>
      <c r="AU2813" s="298"/>
      <c r="AV2813" s="298"/>
      <c r="AW2813" s="298"/>
      <c r="AX2813" s="298"/>
      <c r="AY2813" s="298"/>
      <c r="AZ2813" s="298"/>
      <c r="BA2813" s="298"/>
      <c r="BB2813" s="298"/>
      <c r="BC2813" s="298"/>
      <c r="BD2813" s="298"/>
      <c r="BE2813" s="298"/>
      <c r="BF2813" s="298"/>
      <c r="BG2813" s="298"/>
      <c r="BH2813" s="298"/>
      <c r="BI2813" s="298"/>
      <c r="BJ2813" s="298"/>
      <c r="BK2813" s="298"/>
      <c r="BL2813" s="298"/>
      <c r="BM2813" s="298"/>
      <c r="BN2813" s="298"/>
      <c r="BO2813" s="298"/>
      <c r="BP2813" s="298"/>
    </row>
    <row r="2814" spans="1:68" s="529" customFormat="1" ht="63.75">
      <c r="A2814" s="286" t="s">
        <v>3261</v>
      </c>
      <c r="B2814" s="288">
        <v>37556</v>
      </c>
      <c r="C2814" s="289" t="s">
        <v>20400</v>
      </c>
      <c r="D2814" s="290" t="s">
        <v>207</v>
      </c>
      <c r="E2814" s="290" t="s">
        <v>3240</v>
      </c>
      <c r="F2814" s="383">
        <v>1</v>
      </c>
      <c r="G2814" s="292" t="s">
        <v>11266</v>
      </c>
      <c r="H2814" s="255">
        <v>25.91</v>
      </c>
      <c r="I2814" s="298"/>
      <c r="J2814" s="634"/>
      <c r="K2814" s="634"/>
      <c r="L2814" s="634"/>
      <c r="M2814" s="634"/>
      <c r="N2814" s="298"/>
      <c r="O2814" s="298"/>
      <c r="P2814" s="298"/>
      <c r="Q2814" s="298"/>
      <c r="R2814" s="298"/>
      <c r="S2814" s="536"/>
      <c r="T2814" s="635"/>
      <c r="U2814" s="298"/>
      <c r="V2814" s="298"/>
      <c r="W2814" s="298"/>
      <c r="X2814" s="298"/>
      <c r="Y2814" s="298"/>
      <c r="Z2814" s="298"/>
      <c r="AA2814" s="298"/>
      <c r="AB2814" s="298"/>
      <c r="AC2814" s="298"/>
      <c r="AD2814" s="298"/>
      <c r="AE2814" s="298"/>
      <c r="AF2814" s="298"/>
      <c r="AG2814" s="298"/>
      <c r="AH2814" s="298"/>
      <c r="AI2814" s="298"/>
      <c r="AJ2814" s="298"/>
      <c r="AK2814" s="298"/>
      <c r="AL2814" s="298"/>
      <c r="AM2814" s="298"/>
      <c r="AN2814" s="298"/>
      <c r="AO2814" s="298"/>
      <c r="AP2814" s="298"/>
      <c r="AQ2814" s="298"/>
      <c r="AR2814" s="298"/>
      <c r="AS2814" s="298"/>
      <c r="AT2814" s="298"/>
      <c r="AU2814" s="298"/>
      <c r="AV2814" s="298"/>
      <c r="AW2814" s="298"/>
      <c r="AX2814" s="298"/>
      <c r="AY2814" s="298"/>
      <c r="AZ2814" s="298"/>
      <c r="BA2814" s="298"/>
      <c r="BB2814" s="298"/>
      <c r="BC2814" s="298"/>
      <c r="BD2814" s="298"/>
      <c r="BE2814" s="298"/>
      <c r="BF2814" s="298"/>
      <c r="BG2814" s="298"/>
      <c r="BH2814" s="298"/>
      <c r="BI2814" s="298"/>
      <c r="BJ2814" s="298"/>
      <c r="BK2814" s="298"/>
      <c r="BL2814" s="298"/>
      <c r="BM2814" s="298"/>
      <c r="BN2814" s="298"/>
      <c r="BO2814" s="298"/>
      <c r="BP2814" s="298"/>
    </row>
    <row r="2815" spans="1:68" s="529" customFormat="1" ht="25.5">
      <c r="A2815" s="286" t="s">
        <v>3259</v>
      </c>
      <c r="B2815" s="288">
        <v>88309</v>
      </c>
      <c r="C2815" s="289" t="s">
        <v>105</v>
      </c>
      <c r="D2815" s="290" t="s">
        <v>9714</v>
      </c>
      <c r="E2815" s="290" t="s">
        <v>206</v>
      </c>
      <c r="F2815" s="383">
        <v>0.2</v>
      </c>
      <c r="G2815" s="292" t="s">
        <v>11439</v>
      </c>
      <c r="H2815" s="255">
        <v>4.78</v>
      </c>
      <c r="I2815" s="298"/>
      <c r="J2815" s="634"/>
      <c r="K2815" s="634"/>
      <c r="L2815" s="634"/>
      <c r="M2815" s="634"/>
      <c r="N2815" s="298"/>
      <c r="O2815" s="298"/>
      <c r="P2815" s="298"/>
      <c r="Q2815" s="298"/>
      <c r="R2815" s="298"/>
      <c r="S2815" s="536"/>
      <c r="T2815" s="635"/>
      <c r="U2815" s="298"/>
      <c r="V2815" s="298"/>
      <c r="W2815" s="298"/>
      <c r="X2815" s="298"/>
      <c r="Y2815" s="298"/>
      <c r="Z2815" s="298"/>
      <c r="AA2815" s="298"/>
      <c r="AB2815" s="298"/>
      <c r="AC2815" s="298"/>
      <c r="AD2815" s="298"/>
      <c r="AE2815" s="298"/>
      <c r="AF2815" s="298"/>
      <c r="AG2815" s="298"/>
      <c r="AH2815" s="298"/>
      <c r="AI2815" s="298"/>
      <c r="AJ2815" s="298"/>
      <c r="AK2815" s="298"/>
      <c r="AL2815" s="298"/>
      <c r="AM2815" s="298"/>
      <c r="AN2815" s="298"/>
      <c r="AO2815" s="298"/>
      <c r="AP2815" s="298"/>
      <c r="AQ2815" s="298"/>
      <c r="AR2815" s="298"/>
      <c r="AS2815" s="298"/>
      <c r="AT2815" s="298"/>
      <c r="AU2815" s="298"/>
      <c r="AV2815" s="298"/>
      <c r="AW2815" s="298"/>
      <c r="AX2815" s="298"/>
      <c r="AY2815" s="298"/>
      <c r="AZ2815" s="298"/>
      <c r="BA2815" s="298"/>
      <c r="BB2815" s="298"/>
      <c r="BC2815" s="298"/>
      <c r="BD2815" s="298"/>
      <c r="BE2815" s="298"/>
      <c r="BF2815" s="298"/>
      <c r="BG2815" s="298"/>
      <c r="BH2815" s="298"/>
      <c r="BI2815" s="298"/>
      <c r="BJ2815" s="298"/>
      <c r="BK2815" s="298"/>
      <c r="BL2815" s="298"/>
      <c r="BM2815" s="298"/>
      <c r="BN2815" s="298"/>
      <c r="BO2815" s="298"/>
      <c r="BP2815" s="298"/>
    </row>
    <row r="2816" spans="1:68" s="529" customFormat="1" ht="25.5">
      <c r="A2816" s="286" t="s">
        <v>3259</v>
      </c>
      <c r="B2816" s="288">
        <v>88316</v>
      </c>
      <c r="C2816" s="289" t="s">
        <v>104</v>
      </c>
      <c r="D2816" s="290" t="s">
        <v>9714</v>
      </c>
      <c r="E2816" s="290" t="s">
        <v>206</v>
      </c>
      <c r="F2816" s="383">
        <v>0.2</v>
      </c>
      <c r="G2816" s="292" t="s">
        <v>10172</v>
      </c>
      <c r="H2816" s="255">
        <v>3.52</v>
      </c>
      <c r="I2816" s="298"/>
      <c r="J2816" s="634"/>
      <c r="K2816" s="634"/>
      <c r="L2816" s="634"/>
      <c r="M2816" s="634"/>
      <c r="N2816" s="298"/>
      <c r="O2816" s="298"/>
      <c r="P2816" s="298"/>
      <c r="Q2816" s="298"/>
      <c r="R2816" s="298"/>
      <c r="S2816" s="536"/>
      <c r="T2816" s="635"/>
      <c r="U2816" s="298"/>
      <c r="V2816" s="298"/>
      <c r="W2816" s="298"/>
      <c r="X2816" s="298"/>
      <c r="Y2816" s="298"/>
      <c r="Z2816" s="298"/>
      <c r="AA2816" s="298"/>
      <c r="AB2816" s="298"/>
      <c r="AC2816" s="298"/>
      <c r="AD2816" s="298"/>
      <c r="AE2816" s="298"/>
      <c r="AF2816" s="298"/>
      <c r="AG2816" s="298"/>
      <c r="AH2816" s="298"/>
      <c r="AI2816" s="298"/>
      <c r="AJ2816" s="298"/>
      <c r="AK2816" s="298"/>
      <c r="AL2816" s="298"/>
      <c r="AM2816" s="298"/>
      <c r="AN2816" s="298"/>
      <c r="AO2816" s="298"/>
      <c r="AP2816" s="298"/>
      <c r="AQ2816" s="298"/>
      <c r="AR2816" s="298"/>
      <c r="AS2816" s="298"/>
      <c r="AT2816" s="298"/>
      <c r="AU2816" s="298"/>
      <c r="AV2816" s="298"/>
      <c r="AW2816" s="298"/>
      <c r="AX2816" s="298"/>
      <c r="AY2816" s="298"/>
      <c r="AZ2816" s="298"/>
      <c r="BA2816" s="298"/>
      <c r="BB2816" s="298"/>
      <c r="BC2816" s="298"/>
      <c r="BD2816" s="298"/>
      <c r="BE2816" s="298"/>
      <c r="BF2816" s="298"/>
      <c r="BG2816" s="298"/>
      <c r="BH2816" s="298"/>
      <c r="BI2816" s="298"/>
      <c r="BJ2816" s="298"/>
      <c r="BK2816" s="298"/>
      <c r="BL2816" s="298"/>
      <c r="BM2816" s="298"/>
      <c r="BN2816" s="298"/>
      <c r="BO2816" s="298"/>
      <c r="BP2816" s="298"/>
    </row>
    <row r="2817" spans="1:68" s="529" customFormat="1" ht="12.75">
      <c r="A2817" s="286"/>
      <c r="B2817" s="375" t="s">
        <v>143</v>
      </c>
      <c r="C2817" s="816" t="s">
        <v>15112</v>
      </c>
      <c r="D2817" s="817"/>
      <c r="E2817" s="817"/>
      <c r="F2817" s="817"/>
      <c r="G2817" s="817"/>
      <c r="H2817" s="818"/>
      <c r="I2817" s="298"/>
      <c r="J2817" s="634"/>
      <c r="K2817" s="634"/>
      <c r="L2817" s="634"/>
      <c r="M2817" s="634"/>
      <c r="N2817" s="298"/>
      <c r="O2817" s="298"/>
      <c r="P2817" s="298"/>
      <c r="Q2817" s="298"/>
      <c r="R2817" s="298"/>
      <c r="S2817" s="536"/>
      <c r="T2817" s="635"/>
      <c r="U2817" s="298"/>
      <c r="V2817" s="298"/>
      <c r="W2817" s="298"/>
      <c r="X2817" s="298"/>
      <c r="Y2817" s="298"/>
      <c r="Z2817" s="298"/>
      <c r="AA2817" s="298"/>
      <c r="AB2817" s="298"/>
      <c r="AC2817" s="298"/>
      <c r="AD2817" s="298"/>
      <c r="AE2817" s="298"/>
      <c r="AF2817" s="298"/>
      <c r="AG2817" s="298"/>
      <c r="AH2817" s="298"/>
      <c r="AI2817" s="298"/>
      <c r="AJ2817" s="298"/>
      <c r="AK2817" s="298"/>
      <c r="AL2817" s="298"/>
      <c r="AM2817" s="298"/>
      <c r="AN2817" s="298"/>
      <c r="AO2817" s="298"/>
      <c r="AP2817" s="298"/>
      <c r="AQ2817" s="298"/>
      <c r="AR2817" s="298"/>
      <c r="AS2817" s="298"/>
      <c r="AT2817" s="298"/>
      <c r="AU2817" s="298"/>
      <c r="AV2817" s="298"/>
      <c r="AW2817" s="298"/>
      <c r="AX2817" s="298"/>
      <c r="AY2817" s="298"/>
      <c r="AZ2817" s="298"/>
      <c r="BA2817" s="298"/>
      <c r="BB2817" s="298"/>
      <c r="BC2817" s="298"/>
      <c r="BD2817" s="298"/>
      <c r="BE2817" s="298"/>
      <c r="BF2817" s="298"/>
      <c r="BG2817" s="298"/>
      <c r="BH2817" s="298"/>
      <c r="BI2817" s="298"/>
      <c r="BJ2817" s="298"/>
      <c r="BK2817" s="298"/>
      <c r="BL2817" s="298"/>
      <c r="BM2817" s="298"/>
      <c r="BN2817" s="298"/>
      <c r="BO2817" s="298"/>
      <c r="BP2817" s="298"/>
    </row>
    <row r="2818" spans="1:68" s="529" customFormat="1" ht="12.75">
      <c r="A2818" s="286"/>
      <c r="B2818" s="373"/>
      <c r="C2818" s="379"/>
      <c r="D2818" s="379"/>
      <c r="E2818" s="379"/>
      <c r="F2818" s="379"/>
      <c r="G2818" s="379"/>
      <c r="H2818" s="379"/>
      <c r="I2818" s="298"/>
      <c r="J2818" s="634"/>
      <c r="K2818" s="634"/>
      <c r="L2818" s="634"/>
      <c r="M2818" s="634"/>
      <c r="N2818" s="298"/>
      <c r="O2818" s="298"/>
      <c r="P2818" s="298"/>
      <c r="Q2818" s="298"/>
      <c r="R2818" s="298"/>
      <c r="S2818" s="536"/>
      <c r="T2818" s="635"/>
      <c r="U2818" s="298"/>
      <c r="V2818" s="298"/>
      <c r="W2818" s="298"/>
      <c r="X2818" s="298"/>
      <c r="Y2818" s="298"/>
      <c r="Z2818" s="298"/>
      <c r="AA2818" s="298"/>
      <c r="AB2818" s="298"/>
      <c r="AC2818" s="298"/>
      <c r="AD2818" s="298"/>
      <c r="AE2818" s="298"/>
      <c r="AF2818" s="298"/>
      <c r="AG2818" s="298"/>
      <c r="AH2818" s="298"/>
      <c r="AI2818" s="298"/>
      <c r="AJ2818" s="298"/>
      <c r="AK2818" s="298"/>
      <c r="AL2818" s="298"/>
      <c r="AM2818" s="298"/>
      <c r="AN2818" s="298"/>
      <c r="AO2818" s="298"/>
      <c r="AP2818" s="298"/>
      <c r="AQ2818" s="298"/>
      <c r="AR2818" s="298"/>
      <c r="AS2818" s="298"/>
      <c r="AT2818" s="298"/>
      <c r="AU2818" s="298"/>
      <c r="AV2818" s="298"/>
      <c r="AW2818" s="298"/>
      <c r="AX2818" s="298"/>
      <c r="AY2818" s="298"/>
      <c r="AZ2818" s="298"/>
      <c r="BA2818" s="298"/>
      <c r="BB2818" s="298"/>
      <c r="BC2818" s="298"/>
      <c r="BD2818" s="298"/>
      <c r="BE2818" s="298"/>
      <c r="BF2818" s="298"/>
      <c r="BG2818" s="298"/>
      <c r="BH2818" s="298"/>
      <c r="BI2818" s="298"/>
      <c r="BJ2818" s="298"/>
      <c r="BK2818" s="298"/>
      <c r="BL2818" s="298"/>
      <c r="BM2818" s="298"/>
      <c r="BN2818" s="298"/>
      <c r="BO2818" s="298"/>
      <c r="BP2818" s="298"/>
    </row>
    <row r="2819" spans="1:68" s="529" customFormat="1" ht="76.5">
      <c r="A2819" s="286"/>
      <c r="B2819" s="372" t="s">
        <v>15147</v>
      </c>
      <c r="C2819" s="231" t="s">
        <v>15119</v>
      </c>
      <c r="D2819" s="232" t="s">
        <v>103</v>
      </c>
      <c r="E2819" s="232" t="s">
        <v>109</v>
      </c>
      <c r="F2819" s="233"/>
      <c r="G2819" s="234"/>
      <c r="H2819" s="235">
        <v>34.21</v>
      </c>
      <c r="I2819" s="298"/>
      <c r="J2819" s="634"/>
      <c r="K2819" s="634"/>
      <c r="L2819" s="634"/>
      <c r="M2819" s="634"/>
      <c r="N2819" s="298"/>
      <c r="O2819" s="298"/>
      <c r="P2819" s="298"/>
      <c r="Q2819" s="298"/>
      <c r="R2819" s="298"/>
      <c r="S2819" s="536"/>
      <c r="T2819" s="635"/>
      <c r="U2819" s="298"/>
      <c r="V2819" s="298"/>
      <c r="W2819" s="298"/>
      <c r="X2819" s="298"/>
      <c r="Y2819" s="298"/>
      <c r="Z2819" s="298"/>
      <c r="AA2819" s="298"/>
      <c r="AB2819" s="298"/>
      <c r="AC2819" s="298"/>
      <c r="AD2819" s="298"/>
      <c r="AE2819" s="298"/>
      <c r="AF2819" s="298"/>
      <c r="AG2819" s="298"/>
      <c r="AH2819" s="298"/>
      <c r="AI2819" s="298"/>
      <c r="AJ2819" s="298"/>
      <c r="AK2819" s="298"/>
      <c r="AL2819" s="298"/>
      <c r="AM2819" s="298"/>
      <c r="AN2819" s="298"/>
      <c r="AO2819" s="298"/>
      <c r="AP2819" s="298"/>
      <c r="AQ2819" s="298"/>
      <c r="AR2819" s="298"/>
      <c r="AS2819" s="298"/>
      <c r="AT2819" s="298"/>
      <c r="AU2819" s="298"/>
      <c r="AV2819" s="298"/>
      <c r="AW2819" s="298"/>
      <c r="AX2819" s="298"/>
      <c r="AY2819" s="298"/>
      <c r="AZ2819" s="298"/>
      <c r="BA2819" s="298"/>
      <c r="BB2819" s="298"/>
      <c r="BC2819" s="298"/>
      <c r="BD2819" s="298"/>
      <c r="BE2819" s="298"/>
      <c r="BF2819" s="298"/>
      <c r="BG2819" s="298"/>
      <c r="BH2819" s="298"/>
      <c r="BI2819" s="298"/>
      <c r="BJ2819" s="298"/>
      <c r="BK2819" s="298"/>
      <c r="BL2819" s="298"/>
      <c r="BM2819" s="298"/>
      <c r="BN2819" s="298"/>
      <c r="BO2819" s="298"/>
      <c r="BP2819" s="298"/>
    </row>
    <row r="2820" spans="1:68" s="529" customFormat="1" ht="63.75">
      <c r="A2820" s="286" t="s">
        <v>3261</v>
      </c>
      <c r="B2820" s="288">
        <v>37556</v>
      </c>
      <c r="C2820" s="289" t="s">
        <v>20400</v>
      </c>
      <c r="D2820" s="290" t="s">
        <v>207</v>
      </c>
      <c r="E2820" s="290" t="s">
        <v>3240</v>
      </c>
      <c r="F2820" s="383">
        <v>1</v>
      </c>
      <c r="G2820" s="292" t="s">
        <v>11266</v>
      </c>
      <c r="H2820" s="255">
        <v>25.91</v>
      </c>
      <c r="I2820" s="298"/>
      <c r="J2820" s="634"/>
      <c r="K2820" s="634"/>
      <c r="L2820" s="634"/>
      <c r="M2820" s="634"/>
      <c r="N2820" s="298"/>
      <c r="O2820" s="298"/>
      <c r="P2820" s="298"/>
      <c r="Q2820" s="298"/>
      <c r="R2820" s="298"/>
      <c r="S2820" s="536"/>
      <c r="T2820" s="635"/>
      <c r="U2820" s="298"/>
      <c r="V2820" s="298"/>
      <c r="W2820" s="298"/>
      <c r="X2820" s="298"/>
      <c r="Y2820" s="298"/>
      <c r="Z2820" s="298"/>
      <c r="AA2820" s="298"/>
      <c r="AB2820" s="298"/>
      <c r="AC2820" s="298"/>
      <c r="AD2820" s="298"/>
      <c r="AE2820" s="298"/>
      <c r="AF2820" s="298"/>
      <c r="AG2820" s="298"/>
      <c r="AH2820" s="298"/>
      <c r="AI2820" s="298"/>
      <c r="AJ2820" s="298"/>
      <c r="AK2820" s="298"/>
      <c r="AL2820" s="298"/>
      <c r="AM2820" s="298"/>
      <c r="AN2820" s="298"/>
      <c r="AO2820" s="298"/>
      <c r="AP2820" s="298"/>
      <c r="AQ2820" s="298"/>
      <c r="AR2820" s="298"/>
      <c r="AS2820" s="298"/>
      <c r="AT2820" s="298"/>
      <c r="AU2820" s="298"/>
      <c r="AV2820" s="298"/>
      <c r="AW2820" s="298"/>
      <c r="AX2820" s="298"/>
      <c r="AY2820" s="298"/>
      <c r="AZ2820" s="298"/>
      <c r="BA2820" s="298"/>
      <c r="BB2820" s="298"/>
      <c r="BC2820" s="298"/>
      <c r="BD2820" s="298"/>
      <c r="BE2820" s="298"/>
      <c r="BF2820" s="298"/>
      <c r="BG2820" s="298"/>
      <c r="BH2820" s="298"/>
      <c r="BI2820" s="298"/>
      <c r="BJ2820" s="298"/>
      <c r="BK2820" s="298"/>
      <c r="BL2820" s="298"/>
      <c r="BM2820" s="298"/>
      <c r="BN2820" s="298"/>
      <c r="BO2820" s="298"/>
      <c r="BP2820" s="298"/>
    </row>
    <row r="2821" spans="1:68" s="529" customFormat="1" ht="25.5">
      <c r="A2821" s="286" t="s">
        <v>3259</v>
      </c>
      <c r="B2821" s="288">
        <v>88309</v>
      </c>
      <c r="C2821" s="289" t="s">
        <v>105</v>
      </c>
      <c r="D2821" s="290" t="s">
        <v>9714</v>
      </c>
      <c r="E2821" s="290" t="s">
        <v>206</v>
      </c>
      <c r="F2821" s="383">
        <v>0.2</v>
      </c>
      <c r="G2821" s="292" t="s">
        <v>11439</v>
      </c>
      <c r="H2821" s="255">
        <v>4.78</v>
      </c>
      <c r="I2821" s="298"/>
      <c r="J2821" s="634"/>
      <c r="K2821" s="634"/>
      <c r="L2821" s="634"/>
      <c r="M2821" s="634"/>
      <c r="N2821" s="298"/>
      <c r="O2821" s="298"/>
      <c r="P2821" s="298"/>
      <c r="Q2821" s="298"/>
      <c r="R2821" s="298"/>
      <c r="S2821" s="536"/>
      <c r="T2821" s="635"/>
      <c r="U2821" s="298"/>
      <c r="V2821" s="298"/>
      <c r="W2821" s="298"/>
      <c r="X2821" s="298"/>
      <c r="Y2821" s="298"/>
      <c r="Z2821" s="298"/>
      <c r="AA2821" s="298"/>
      <c r="AB2821" s="298"/>
      <c r="AC2821" s="298"/>
      <c r="AD2821" s="298"/>
      <c r="AE2821" s="298"/>
      <c r="AF2821" s="298"/>
      <c r="AG2821" s="298"/>
      <c r="AH2821" s="298"/>
      <c r="AI2821" s="298"/>
      <c r="AJ2821" s="298"/>
      <c r="AK2821" s="298"/>
      <c r="AL2821" s="298"/>
      <c r="AM2821" s="298"/>
      <c r="AN2821" s="298"/>
      <c r="AO2821" s="298"/>
      <c r="AP2821" s="298"/>
      <c r="AQ2821" s="298"/>
      <c r="AR2821" s="298"/>
      <c r="AS2821" s="298"/>
      <c r="AT2821" s="298"/>
      <c r="AU2821" s="298"/>
      <c r="AV2821" s="298"/>
      <c r="AW2821" s="298"/>
      <c r="AX2821" s="298"/>
      <c r="AY2821" s="298"/>
      <c r="AZ2821" s="298"/>
      <c r="BA2821" s="298"/>
      <c r="BB2821" s="298"/>
      <c r="BC2821" s="298"/>
      <c r="BD2821" s="298"/>
      <c r="BE2821" s="298"/>
      <c r="BF2821" s="298"/>
      <c r="BG2821" s="298"/>
      <c r="BH2821" s="298"/>
      <c r="BI2821" s="298"/>
      <c r="BJ2821" s="298"/>
      <c r="BK2821" s="298"/>
      <c r="BL2821" s="298"/>
      <c r="BM2821" s="298"/>
      <c r="BN2821" s="298"/>
      <c r="BO2821" s="298"/>
      <c r="BP2821" s="298"/>
    </row>
    <row r="2822" spans="1:68" s="529" customFormat="1" ht="25.5">
      <c r="A2822" s="286" t="s">
        <v>3259</v>
      </c>
      <c r="B2822" s="288">
        <v>88316</v>
      </c>
      <c r="C2822" s="289" t="s">
        <v>104</v>
      </c>
      <c r="D2822" s="290" t="s">
        <v>9714</v>
      </c>
      <c r="E2822" s="290" t="s">
        <v>206</v>
      </c>
      <c r="F2822" s="383">
        <v>0.2</v>
      </c>
      <c r="G2822" s="292" t="s">
        <v>10172</v>
      </c>
      <c r="H2822" s="255">
        <v>3.52</v>
      </c>
      <c r="I2822" s="298"/>
      <c r="J2822" s="634"/>
      <c r="K2822" s="634"/>
      <c r="L2822" s="634"/>
      <c r="M2822" s="634"/>
      <c r="N2822" s="298"/>
      <c r="O2822" s="298"/>
      <c r="P2822" s="298"/>
      <c r="Q2822" s="298"/>
      <c r="R2822" s="298"/>
      <c r="S2822" s="536"/>
      <c r="T2822" s="635"/>
      <c r="U2822" s="298"/>
      <c r="V2822" s="298"/>
      <c r="W2822" s="298"/>
      <c r="X2822" s="298"/>
      <c r="Y2822" s="298"/>
      <c r="Z2822" s="298"/>
      <c r="AA2822" s="298"/>
      <c r="AB2822" s="298"/>
      <c r="AC2822" s="298"/>
      <c r="AD2822" s="298"/>
      <c r="AE2822" s="298"/>
      <c r="AF2822" s="298"/>
      <c r="AG2822" s="298"/>
      <c r="AH2822" s="298"/>
      <c r="AI2822" s="298"/>
      <c r="AJ2822" s="298"/>
      <c r="AK2822" s="298"/>
      <c r="AL2822" s="298"/>
      <c r="AM2822" s="298"/>
      <c r="AN2822" s="298"/>
      <c r="AO2822" s="298"/>
      <c r="AP2822" s="298"/>
      <c r="AQ2822" s="298"/>
      <c r="AR2822" s="298"/>
      <c r="AS2822" s="298"/>
      <c r="AT2822" s="298"/>
      <c r="AU2822" s="298"/>
      <c r="AV2822" s="298"/>
      <c r="AW2822" s="298"/>
      <c r="AX2822" s="298"/>
      <c r="AY2822" s="298"/>
      <c r="AZ2822" s="298"/>
      <c r="BA2822" s="298"/>
      <c r="BB2822" s="298"/>
      <c r="BC2822" s="298"/>
      <c r="BD2822" s="298"/>
      <c r="BE2822" s="298"/>
      <c r="BF2822" s="298"/>
      <c r="BG2822" s="298"/>
      <c r="BH2822" s="298"/>
      <c r="BI2822" s="298"/>
      <c r="BJ2822" s="298"/>
      <c r="BK2822" s="298"/>
      <c r="BL2822" s="298"/>
      <c r="BM2822" s="298"/>
      <c r="BN2822" s="298"/>
      <c r="BO2822" s="298"/>
      <c r="BP2822" s="298"/>
    </row>
    <row r="2823" spans="1:68" s="529" customFormat="1" ht="12.75">
      <c r="A2823" s="286"/>
      <c r="B2823" s="375" t="s">
        <v>143</v>
      </c>
      <c r="C2823" s="816" t="s">
        <v>15112</v>
      </c>
      <c r="D2823" s="817"/>
      <c r="E2823" s="817"/>
      <c r="F2823" s="817"/>
      <c r="G2823" s="817"/>
      <c r="H2823" s="818"/>
      <c r="I2823" s="298"/>
      <c r="J2823" s="634"/>
      <c r="K2823" s="634"/>
      <c r="L2823" s="634"/>
      <c r="M2823" s="634"/>
      <c r="N2823" s="298"/>
      <c r="O2823" s="298"/>
      <c r="P2823" s="298"/>
      <c r="Q2823" s="298"/>
      <c r="R2823" s="298"/>
      <c r="S2823" s="536"/>
      <c r="T2823" s="635"/>
      <c r="U2823" s="298"/>
      <c r="V2823" s="298"/>
      <c r="W2823" s="298"/>
      <c r="X2823" s="298"/>
      <c r="Y2823" s="298"/>
      <c r="Z2823" s="298"/>
      <c r="AA2823" s="298"/>
      <c r="AB2823" s="298"/>
      <c r="AC2823" s="298"/>
      <c r="AD2823" s="298"/>
      <c r="AE2823" s="298"/>
      <c r="AF2823" s="298"/>
      <c r="AG2823" s="298"/>
      <c r="AH2823" s="298"/>
      <c r="AI2823" s="298"/>
      <c r="AJ2823" s="298"/>
      <c r="AK2823" s="298"/>
      <c r="AL2823" s="298"/>
      <c r="AM2823" s="298"/>
      <c r="AN2823" s="298"/>
      <c r="AO2823" s="298"/>
      <c r="AP2823" s="298"/>
      <c r="AQ2823" s="298"/>
      <c r="AR2823" s="298"/>
      <c r="AS2823" s="298"/>
      <c r="AT2823" s="298"/>
      <c r="AU2823" s="298"/>
      <c r="AV2823" s="298"/>
      <c r="AW2823" s="298"/>
      <c r="AX2823" s="298"/>
      <c r="AY2823" s="298"/>
      <c r="AZ2823" s="298"/>
      <c r="BA2823" s="298"/>
      <c r="BB2823" s="298"/>
      <c r="BC2823" s="298"/>
      <c r="BD2823" s="298"/>
      <c r="BE2823" s="298"/>
      <c r="BF2823" s="298"/>
      <c r="BG2823" s="298"/>
      <c r="BH2823" s="298"/>
      <c r="BI2823" s="298"/>
      <c r="BJ2823" s="298"/>
      <c r="BK2823" s="298"/>
      <c r="BL2823" s="298"/>
      <c r="BM2823" s="298"/>
      <c r="BN2823" s="298"/>
      <c r="BO2823" s="298"/>
      <c r="BP2823" s="298"/>
    </row>
    <row r="2824" spans="1:68" s="529" customFormat="1" ht="12.75">
      <c r="A2824" s="286"/>
      <c r="B2824" s="373"/>
      <c r="C2824" s="379"/>
      <c r="D2824" s="379"/>
      <c r="E2824" s="379"/>
      <c r="F2824" s="379"/>
      <c r="G2824" s="379"/>
      <c r="H2824" s="379"/>
      <c r="I2824" s="298"/>
      <c r="J2824" s="634"/>
      <c r="K2824" s="634"/>
      <c r="L2824" s="634"/>
      <c r="M2824" s="634"/>
      <c r="N2824" s="298"/>
      <c r="O2824" s="298"/>
      <c r="P2824" s="298"/>
      <c r="Q2824" s="298"/>
      <c r="R2824" s="298"/>
      <c r="S2824" s="536"/>
      <c r="T2824" s="635"/>
      <c r="U2824" s="298"/>
      <c r="V2824" s="298"/>
      <c r="W2824" s="298"/>
      <c r="X2824" s="298"/>
      <c r="Y2824" s="298"/>
      <c r="Z2824" s="298"/>
      <c r="AA2824" s="298"/>
      <c r="AB2824" s="298"/>
      <c r="AC2824" s="298"/>
      <c r="AD2824" s="298"/>
      <c r="AE2824" s="298"/>
      <c r="AF2824" s="298"/>
      <c r="AG2824" s="298"/>
      <c r="AH2824" s="298"/>
      <c r="AI2824" s="298"/>
      <c r="AJ2824" s="298"/>
      <c r="AK2824" s="298"/>
      <c r="AL2824" s="298"/>
      <c r="AM2824" s="298"/>
      <c r="AN2824" s="298"/>
      <c r="AO2824" s="298"/>
      <c r="AP2824" s="298"/>
      <c r="AQ2824" s="298"/>
      <c r="AR2824" s="298"/>
      <c r="AS2824" s="298"/>
      <c r="AT2824" s="298"/>
      <c r="AU2824" s="298"/>
      <c r="AV2824" s="298"/>
      <c r="AW2824" s="298"/>
      <c r="AX2824" s="298"/>
      <c r="AY2824" s="298"/>
      <c r="AZ2824" s="298"/>
      <c r="BA2824" s="298"/>
      <c r="BB2824" s="298"/>
      <c r="BC2824" s="298"/>
      <c r="BD2824" s="298"/>
      <c r="BE2824" s="298"/>
      <c r="BF2824" s="298"/>
      <c r="BG2824" s="298"/>
      <c r="BH2824" s="298"/>
      <c r="BI2824" s="298"/>
      <c r="BJ2824" s="298"/>
      <c r="BK2824" s="298"/>
      <c r="BL2824" s="298"/>
      <c r="BM2824" s="298"/>
      <c r="BN2824" s="298"/>
      <c r="BO2824" s="298"/>
      <c r="BP2824" s="298"/>
    </row>
    <row r="2825" spans="1:68" s="529" customFormat="1" ht="76.5">
      <c r="A2825" s="286"/>
      <c r="B2825" s="372" t="s">
        <v>15148</v>
      </c>
      <c r="C2825" s="231" t="s">
        <v>15125</v>
      </c>
      <c r="D2825" s="232" t="s">
        <v>103</v>
      </c>
      <c r="E2825" s="232" t="s">
        <v>109</v>
      </c>
      <c r="F2825" s="233"/>
      <c r="G2825" s="234"/>
      <c r="H2825" s="235">
        <v>34.21</v>
      </c>
      <c r="I2825" s="298"/>
      <c r="J2825" s="634"/>
      <c r="K2825" s="634"/>
      <c r="L2825" s="634"/>
      <c r="M2825" s="634"/>
      <c r="N2825" s="298"/>
      <c r="O2825" s="298"/>
      <c r="P2825" s="298"/>
      <c r="Q2825" s="298"/>
      <c r="R2825" s="298"/>
      <c r="S2825" s="536"/>
      <c r="T2825" s="635"/>
      <c r="U2825" s="298"/>
      <c r="V2825" s="298"/>
      <c r="W2825" s="298"/>
      <c r="X2825" s="298"/>
      <c r="Y2825" s="298"/>
      <c r="Z2825" s="298"/>
      <c r="AA2825" s="298"/>
      <c r="AB2825" s="298"/>
      <c r="AC2825" s="298"/>
      <c r="AD2825" s="298"/>
      <c r="AE2825" s="298"/>
      <c r="AF2825" s="298"/>
      <c r="AG2825" s="298"/>
      <c r="AH2825" s="298"/>
      <c r="AI2825" s="298"/>
      <c r="AJ2825" s="298"/>
      <c r="AK2825" s="298"/>
      <c r="AL2825" s="298"/>
      <c r="AM2825" s="298"/>
      <c r="AN2825" s="298"/>
      <c r="AO2825" s="298"/>
      <c r="AP2825" s="298"/>
      <c r="AQ2825" s="298"/>
      <c r="AR2825" s="298"/>
      <c r="AS2825" s="298"/>
      <c r="AT2825" s="298"/>
      <c r="AU2825" s="298"/>
      <c r="AV2825" s="298"/>
      <c r="AW2825" s="298"/>
      <c r="AX2825" s="298"/>
      <c r="AY2825" s="298"/>
      <c r="AZ2825" s="298"/>
      <c r="BA2825" s="298"/>
      <c r="BB2825" s="298"/>
      <c r="BC2825" s="298"/>
      <c r="BD2825" s="298"/>
      <c r="BE2825" s="298"/>
      <c r="BF2825" s="298"/>
      <c r="BG2825" s="298"/>
      <c r="BH2825" s="298"/>
      <c r="BI2825" s="298"/>
      <c r="BJ2825" s="298"/>
      <c r="BK2825" s="298"/>
      <c r="BL2825" s="298"/>
      <c r="BM2825" s="298"/>
      <c r="BN2825" s="298"/>
      <c r="BO2825" s="298"/>
      <c r="BP2825" s="298"/>
    </row>
    <row r="2826" spans="1:68" s="529" customFormat="1" ht="63.75">
      <c r="A2826" s="286" t="s">
        <v>3261</v>
      </c>
      <c r="B2826" s="288">
        <v>37556</v>
      </c>
      <c r="C2826" s="289" t="s">
        <v>20400</v>
      </c>
      <c r="D2826" s="290" t="s">
        <v>207</v>
      </c>
      <c r="E2826" s="290" t="s">
        <v>3240</v>
      </c>
      <c r="F2826" s="383">
        <v>1</v>
      </c>
      <c r="G2826" s="292" t="s">
        <v>11266</v>
      </c>
      <c r="H2826" s="255">
        <v>25.91</v>
      </c>
      <c r="I2826" s="298"/>
      <c r="J2826" s="634"/>
      <c r="K2826" s="634"/>
      <c r="L2826" s="634"/>
      <c r="M2826" s="634"/>
      <c r="N2826" s="298"/>
      <c r="O2826" s="298"/>
      <c r="P2826" s="298"/>
      <c r="Q2826" s="298"/>
      <c r="R2826" s="298"/>
      <c r="S2826" s="536"/>
      <c r="T2826" s="635"/>
      <c r="U2826" s="298"/>
      <c r="V2826" s="298"/>
      <c r="W2826" s="298"/>
      <c r="X2826" s="298"/>
      <c r="Y2826" s="298"/>
      <c r="Z2826" s="298"/>
      <c r="AA2826" s="298"/>
      <c r="AB2826" s="298"/>
      <c r="AC2826" s="298"/>
      <c r="AD2826" s="298"/>
      <c r="AE2826" s="298"/>
      <c r="AF2826" s="298"/>
      <c r="AG2826" s="298"/>
      <c r="AH2826" s="298"/>
      <c r="AI2826" s="298"/>
      <c r="AJ2826" s="298"/>
      <c r="AK2826" s="298"/>
      <c r="AL2826" s="298"/>
      <c r="AM2826" s="298"/>
      <c r="AN2826" s="298"/>
      <c r="AO2826" s="298"/>
      <c r="AP2826" s="298"/>
      <c r="AQ2826" s="298"/>
      <c r="AR2826" s="298"/>
      <c r="AS2826" s="298"/>
      <c r="AT2826" s="298"/>
      <c r="AU2826" s="298"/>
      <c r="AV2826" s="298"/>
      <c r="AW2826" s="298"/>
      <c r="AX2826" s="298"/>
      <c r="AY2826" s="298"/>
      <c r="AZ2826" s="298"/>
      <c r="BA2826" s="298"/>
      <c r="BB2826" s="298"/>
      <c r="BC2826" s="298"/>
      <c r="BD2826" s="298"/>
      <c r="BE2826" s="298"/>
      <c r="BF2826" s="298"/>
      <c r="BG2826" s="298"/>
      <c r="BH2826" s="298"/>
      <c r="BI2826" s="298"/>
      <c r="BJ2826" s="298"/>
      <c r="BK2826" s="298"/>
      <c r="BL2826" s="298"/>
      <c r="BM2826" s="298"/>
      <c r="BN2826" s="298"/>
      <c r="BO2826" s="298"/>
      <c r="BP2826" s="298"/>
    </row>
    <row r="2827" spans="1:68" s="529" customFormat="1" ht="25.5">
      <c r="A2827" s="286" t="s">
        <v>3259</v>
      </c>
      <c r="B2827" s="288">
        <v>88309</v>
      </c>
      <c r="C2827" s="289" t="s">
        <v>105</v>
      </c>
      <c r="D2827" s="290" t="s">
        <v>9714</v>
      </c>
      <c r="E2827" s="290" t="s">
        <v>206</v>
      </c>
      <c r="F2827" s="383">
        <v>0.2</v>
      </c>
      <c r="G2827" s="292" t="s">
        <v>11439</v>
      </c>
      <c r="H2827" s="255">
        <v>4.78</v>
      </c>
      <c r="I2827" s="298"/>
      <c r="J2827" s="634"/>
      <c r="K2827" s="634"/>
      <c r="L2827" s="634"/>
      <c r="M2827" s="634"/>
      <c r="N2827" s="298"/>
      <c r="O2827" s="298"/>
      <c r="P2827" s="298"/>
      <c r="Q2827" s="298"/>
      <c r="R2827" s="298"/>
      <c r="S2827" s="536"/>
      <c r="T2827" s="635"/>
      <c r="U2827" s="298"/>
      <c r="V2827" s="298"/>
      <c r="W2827" s="298"/>
      <c r="X2827" s="298"/>
      <c r="Y2827" s="298"/>
      <c r="Z2827" s="298"/>
      <c r="AA2827" s="298"/>
      <c r="AB2827" s="298"/>
      <c r="AC2827" s="298"/>
      <c r="AD2827" s="298"/>
      <c r="AE2827" s="298"/>
      <c r="AF2827" s="298"/>
      <c r="AG2827" s="298"/>
      <c r="AH2827" s="298"/>
      <c r="AI2827" s="298"/>
      <c r="AJ2827" s="298"/>
      <c r="AK2827" s="298"/>
      <c r="AL2827" s="298"/>
      <c r="AM2827" s="298"/>
      <c r="AN2827" s="298"/>
      <c r="AO2827" s="298"/>
      <c r="AP2827" s="298"/>
      <c r="AQ2827" s="298"/>
      <c r="AR2827" s="298"/>
      <c r="AS2827" s="298"/>
      <c r="AT2827" s="298"/>
      <c r="AU2827" s="298"/>
      <c r="AV2827" s="298"/>
      <c r="AW2827" s="298"/>
      <c r="AX2827" s="298"/>
      <c r="AY2827" s="298"/>
      <c r="AZ2827" s="298"/>
      <c r="BA2827" s="298"/>
      <c r="BB2827" s="298"/>
      <c r="BC2827" s="298"/>
      <c r="BD2827" s="298"/>
      <c r="BE2827" s="298"/>
      <c r="BF2827" s="298"/>
      <c r="BG2827" s="298"/>
      <c r="BH2827" s="298"/>
      <c r="BI2827" s="298"/>
      <c r="BJ2827" s="298"/>
      <c r="BK2827" s="298"/>
      <c r="BL2827" s="298"/>
      <c r="BM2827" s="298"/>
      <c r="BN2827" s="298"/>
      <c r="BO2827" s="298"/>
      <c r="BP2827" s="298"/>
    </row>
    <row r="2828" spans="1:68" s="529" customFormat="1" ht="25.5">
      <c r="A2828" s="286" t="s">
        <v>3259</v>
      </c>
      <c r="B2828" s="288">
        <v>88316</v>
      </c>
      <c r="C2828" s="289" t="s">
        <v>104</v>
      </c>
      <c r="D2828" s="290" t="s">
        <v>9714</v>
      </c>
      <c r="E2828" s="290" t="s">
        <v>206</v>
      </c>
      <c r="F2828" s="383">
        <v>0.2</v>
      </c>
      <c r="G2828" s="292" t="s">
        <v>10172</v>
      </c>
      <c r="H2828" s="255">
        <v>3.52</v>
      </c>
      <c r="I2828" s="298"/>
      <c r="J2828" s="634"/>
      <c r="K2828" s="634"/>
      <c r="L2828" s="634"/>
      <c r="M2828" s="634"/>
      <c r="N2828" s="298"/>
      <c r="O2828" s="298"/>
      <c r="P2828" s="298"/>
      <c r="Q2828" s="298"/>
      <c r="R2828" s="298"/>
      <c r="S2828" s="536"/>
      <c r="T2828" s="635"/>
      <c r="U2828" s="298"/>
      <c r="V2828" s="298"/>
      <c r="W2828" s="298"/>
      <c r="X2828" s="298"/>
      <c r="Y2828" s="298"/>
      <c r="Z2828" s="298"/>
      <c r="AA2828" s="298"/>
      <c r="AB2828" s="298"/>
      <c r="AC2828" s="298"/>
      <c r="AD2828" s="298"/>
      <c r="AE2828" s="298"/>
      <c r="AF2828" s="298"/>
      <c r="AG2828" s="298"/>
      <c r="AH2828" s="298"/>
      <c r="AI2828" s="298"/>
      <c r="AJ2828" s="298"/>
      <c r="AK2828" s="298"/>
      <c r="AL2828" s="298"/>
      <c r="AM2828" s="298"/>
      <c r="AN2828" s="298"/>
      <c r="AO2828" s="298"/>
      <c r="AP2828" s="298"/>
      <c r="AQ2828" s="298"/>
      <c r="AR2828" s="298"/>
      <c r="AS2828" s="298"/>
      <c r="AT2828" s="298"/>
      <c r="AU2828" s="298"/>
      <c r="AV2828" s="298"/>
      <c r="AW2828" s="298"/>
      <c r="AX2828" s="298"/>
      <c r="AY2828" s="298"/>
      <c r="AZ2828" s="298"/>
      <c r="BA2828" s="298"/>
      <c r="BB2828" s="298"/>
      <c r="BC2828" s="298"/>
      <c r="BD2828" s="298"/>
      <c r="BE2828" s="298"/>
      <c r="BF2828" s="298"/>
      <c r="BG2828" s="298"/>
      <c r="BH2828" s="298"/>
      <c r="BI2828" s="298"/>
      <c r="BJ2828" s="298"/>
      <c r="BK2828" s="298"/>
      <c r="BL2828" s="298"/>
      <c r="BM2828" s="298"/>
      <c r="BN2828" s="298"/>
      <c r="BO2828" s="298"/>
      <c r="BP2828" s="298"/>
    </row>
    <row r="2829" spans="1:68" s="529" customFormat="1" ht="12.75">
      <c r="A2829" s="286"/>
      <c r="B2829" s="375" t="s">
        <v>143</v>
      </c>
      <c r="C2829" s="816" t="s">
        <v>15112</v>
      </c>
      <c r="D2829" s="817"/>
      <c r="E2829" s="817"/>
      <c r="F2829" s="817"/>
      <c r="G2829" s="817"/>
      <c r="H2829" s="818"/>
      <c r="I2829" s="298"/>
      <c r="J2829" s="634"/>
      <c r="K2829" s="634"/>
      <c r="L2829" s="634"/>
      <c r="M2829" s="634"/>
      <c r="N2829" s="298"/>
      <c r="O2829" s="298"/>
      <c r="P2829" s="298"/>
      <c r="Q2829" s="298"/>
      <c r="R2829" s="298"/>
      <c r="S2829" s="536"/>
      <c r="T2829" s="635"/>
      <c r="U2829" s="298"/>
      <c r="V2829" s="298"/>
      <c r="W2829" s="298"/>
      <c r="X2829" s="298"/>
      <c r="Y2829" s="298"/>
      <c r="Z2829" s="298"/>
      <c r="AA2829" s="298"/>
      <c r="AB2829" s="298"/>
      <c r="AC2829" s="298"/>
      <c r="AD2829" s="298"/>
      <c r="AE2829" s="298"/>
      <c r="AF2829" s="298"/>
      <c r="AG2829" s="298"/>
      <c r="AH2829" s="298"/>
      <c r="AI2829" s="298"/>
      <c r="AJ2829" s="298"/>
      <c r="AK2829" s="298"/>
      <c r="AL2829" s="298"/>
      <c r="AM2829" s="298"/>
      <c r="AN2829" s="298"/>
      <c r="AO2829" s="298"/>
      <c r="AP2829" s="298"/>
      <c r="AQ2829" s="298"/>
      <c r="AR2829" s="298"/>
      <c r="AS2829" s="298"/>
      <c r="AT2829" s="298"/>
      <c r="AU2829" s="298"/>
      <c r="AV2829" s="298"/>
      <c r="AW2829" s="298"/>
      <c r="AX2829" s="298"/>
      <c r="AY2829" s="298"/>
      <c r="AZ2829" s="298"/>
      <c r="BA2829" s="298"/>
      <c r="BB2829" s="298"/>
      <c r="BC2829" s="298"/>
      <c r="BD2829" s="298"/>
      <c r="BE2829" s="298"/>
      <c r="BF2829" s="298"/>
      <c r="BG2829" s="298"/>
      <c r="BH2829" s="298"/>
      <c r="BI2829" s="298"/>
      <c r="BJ2829" s="298"/>
      <c r="BK2829" s="298"/>
      <c r="BL2829" s="298"/>
      <c r="BM2829" s="298"/>
      <c r="BN2829" s="298"/>
      <c r="BO2829" s="298"/>
      <c r="BP2829" s="298"/>
    </row>
    <row r="2830" spans="1:68" s="529" customFormat="1" ht="12.75">
      <c r="A2830" s="286"/>
      <c r="B2830" s="373"/>
      <c r="C2830" s="379"/>
      <c r="D2830" s="379"/>
      <c r="E2830" s="379"/>
      <c r="F2830" s="379"/>
      <c r="G2830" s="379"/>
      <c r="H2830" s="379"/>
      <c r="I2830" s="298"/>
      <c r="J2830" s="634"/>
      <c r="K2830" s="634"/>
      <c r="L2830" s="634"/>
      <c r="M2830" s="634"/>
      <c r="N2830" s="298"/>
      <c r="O2830" s="298"/>
      <c r="P2830" s="298"/>
      <c r="Q2830" s="298"/>
      <c r="R2830" s="298"/>
      <c r="S2830" s="536"/>
      <c r="T2830" s="635"/>
      <c r="U2830" s="298"/>
      <c r="V2830" s="298"/>
      <c r="W2830" s="298"/>
      <c r="X2830" s="298"/>
      <c r="Y2830" s="298"/>
      <c r="Z2830" s="298"/>
      <c r="AA2830" s="298"/>
      <c r="AB2830" s="298"/>
      <c r="AC2830" s="298"/>
      <c r="AD2830" s="298"/>
      <c r="AE2830" s="298"/>
      <c r="AF2830" s="298"/>
      <c r="AG2830" s="298"/>
      <c r="AH2830" s="298"/>
      <c r="AI2830" s="298"/>
      <c r="AJ2830" s="298"/>
      <c r="AK2830" s="298"/>
      <c r="AL2830" s="298"/>
      <c r="AM2830" s="298"/>
      <c r="AN2830" s="298"/>
      <c r="AO2830" s="298"/>
      <c r="AP2830" s="298"/>
      <c r="AQ2830" s="298"/>
      <c r="AR2830" s="298"/>
      <c r="AS2830" s="298"/>
      <c r="AT2830" s="298"/>
      <c r="AU2830" s="298"/>
      <c r="AV2830" s="298"/>
      <c r="AW2830" s="298"/>
      <c r="AX2830" s="298"/>
      <c r="AY2830" s="298"/>
      <c r="AZ2830" s="298"/>
      <c r="BA2830" s="298"/>
      <c r="BB2830" s="298"/>
      <c r="BC2830" s="298"/>
      <c r="BD2830" s="298"/>
      <c r="BE2830" s="298"/>
      <c r="BF2830" s="298"/>
      <c r="BG2830" s="298"/>
      <c r="BH2830" s="298"/>
      <c r="BI2830" s="298"/>
      <c r="BJ2830" s="298"/>
      <c r="BK2830" s="298"/>
      <c r="BL2830" s="298"/>
      <c r="BM2830" s="298"/>
      <c r="BN2830" s="298"/>
      <c r="BO2830" s="298"/>
      <c r="BP2830" s="298"/>
    </row>
    <row r="2831" spans="1:68" s="529" customFormat="1" ht="63.75">
      <c r="A2831" s="286"/>
      <c r="B2831" s="372" t="s">
        <v>24506</v>
      </c>
      <c r="C2831" s="231" t="s">
        <v>24508</v>
      </c>
      <c r="D2831" s="232" t="s">
        <v>103</v>
      </c>
      <c r="E2831" s="232" t="s">
        <v>109</v>
      </c>
      <c r="F2831" s="233"/>
      <c r="G2831" s="234"/>
      <c r="H2831" s="235">
        <v>125.66</v>
      </c>
      <c r="I2831" s="298"/>
      <c r="J2831" s="634"/>
      <c r="K2831" s="634"/>
      <c r="L2831" s="634"/>
      <c r="M2831" s="634"/>
      <c r="N2831" s="298"/>
      <c r="O2831" s="298"/>
      <c r="P2831" s="298"/>
      <c r="Q2831" s="298"/>
      <c r="R2831" s="298"/>
      <c r="S2831" s="536"/>
      <c r="T2831" s="635"/>
      <c r="U2831" s="298"/>
      <c r="V2831" s="298"/>
      <c r="W2831" s="298"/>
      <c r="X2831" s="298"/>
      <c r="Y2831" s="298"/>
      <c r="Z2831" s="298"/>
      <c r="AA2831" s="298"/>
      <c r="AB2831" s="298"/>
      <c r="AC2831" s="298"/>
      <c r="AD2831" s="298"/>
      <c r="AE2831" s="298"/>
      <c r="AF2831" s="298"/>
      <c r="AG2831" s="298"/>
      <c r="AH2831" s="298"/>
      <c r="AI2831" s="298"/>
      <c r="AJ2831" s="298"/>
      <c r="AK2831" s="298"/>
      <c r="AL2831" s="298"/>
      <c r="AM2831" s="298"/>
      <c r="AN2831" s="298"/>
      <c r="AO2831" s="298"/>
      <c r="AP2831" s="298"/>
      <c r="AQ2831" s="298"/>
      <c r="AR2831" s="298"/>
      <c r="AS2831" s="298"/>
      <c r="AT2831" s="298"/>
      <c r="AU2831" s="298"/>
      <c r="AV2831" s="298"/>
      <c r="AW2831" s="298"/>
      <c r="AX2831" s="298"/>
      <c r="AY2831" s="298"/>
      <c r="AZ2831" s="298"/>
      <c r="BA2831" s="298"/>
      <c r="BB2831" s="298"/>
      <c r="BC2831" s="298"/>
      <c r="BD2831" s="298"/>
      <c r="BE2831" s="298"/>
      <c r="BF2831" s="298"/>
      <c r="BG2831" s="298"/>
      <c r="BH2831" s="298"/>
      <c r="BI2831" s="298"/>
      <c r="BJ2831" s="298"/>
      <c r="BK2831" s="298"/>
      <c r="BL2831" s="298"/>
      <c r="BM2831" s="298"/>
      <c r="BN2831" s="298"/>
      <c r="BO2831" s="298"/>
      <c r="BP2831" s="298"/>
    </row>
    <row r="2832" spans="1:68" s="529" customFormat="1" ht="25.5">
      <c r="A2832" s="286" t="s">
        <v>3261</v>
      </c>
      <c r="B2832" s="288">
        <v>3148</v>
      </c>
      <c r="C2832" s="289" t="s">
        <v>6465</v>
      </c>
      <c r="D2832" s="290" t="s">
        <v>207</v>
      </c>
      <c r="E2832" s="290" t="s">
        <v>3240</v>
      </c>
      <c r="F2832" s="383">
        <v>3.5000000000000003E-2</v>
      </c>
      <c r="G2832" s="292" t="s">
        <v>10121</v>
      </c>
      <c r="H2832" s="255">
        <v>0.5</v>
      </c>
      <c r="I2832" s="298"/>
      <c r="J2832" s="634"/>
      <c r="K2832" s="634"/>
      <c r="L2832" s="634"/>
      <c r="M2832" s="634"/>
      <c r="N2832" s="298"/>
      <c r="O2832" s="298"/>
      <c r="P2832" s="298"/>
      <c r="Q2832" s="298"/>
      <c r="R2832" s="298"/>
      <c r="S2832" s="536"/>
      <c r="T2832" s="635"/>
      <c r="U2832" s="298"/>
      <c r="V2832" s="298"/>
      <c r="W2832" s="298"/>
      <c r="X2832" s="298"/>
      <c r="Y2832" s="298"/>
      <c r="Z2832" s="298"/>
      <c r="AA2832" s="298"/>
      <c r="AB2832" s="298"/>
      <c r="AC2832" s="298"/>
      <c r="AD2832" s="298"/>
      <c r="AE2832" s="298"/>
      <c r="AF2832" s="298"/>
      <c r="AG2832" s="298"/>
      <c r="AH2832" s="298"/>
      <c r="AI2832" s="298"/>
      <c r="AJ2832" s="298"/>
      <c r="AK2832" s="298"/>
      <c r="AL2832" s="298"/>
      <c r="AM2832" s="298"/>
      <c r="AN2832" s="298"/>
      <c r="AO2832" s="298"/>
      <c r="AP2832" s="298"/>
      <c r="AQ2832" s="298"/>
      <c r="AR2832" s="298"/>
      <c r="AS2832" s="298"/>
      <c r="AT2832" s="298"/>
      <c r="AU2832" s="298"/>
      <c r="AV2832" s="298"/>
      <c r="AW2832" s="298"/>
      <c r="AX2832" s="298"/>
      <c r="AY2832" s="298"/>
      <c r="AZ2832" s="298"/>
      <c r="BA2832" s="298"/>
      <c r="BB2832" s="298"/>
      <c r="BC2832" s="298"/>
      <c r="BD2832" s="298"/>
      <c r="BE2832" s="298"/>
      <c r="BF2832" s="298"/>
      <c r="BG2832" s="298"/>
      <c r="BH2832" s="298"/>
      <c r="BI2832" s="298"/>
      <c r="BJ2832" s="298"/>
      <c r="BK2832" s="298"/>
      <c r="BL2832" s="298"/>
      <c r="BM2832" s="298"/>
      <c r="BN2832" s="298"/>
      <c r="BO2832" s="298"/>
      <c r="BP2832" s="298"/>
    </row>
    <row r="2833" spans="1:68" s="529" customFormat="1" ht="38.25">
      <c r="A2833" s="286" t="s">
        <v>3261</v>
      </c>
      <c r="B2833" s="288">
        <v>4202</v>
      </c>
      <c r="C2833" s="289" t="s">
        <v>7425</v>
      </c>
      <c r="D2833" s="290" t="s">
        <v>207</v>
      </c>
      <c r="E2833" s="290" t="s">
        <v>3240</v>
      </c>
      <c r="F2833" s="383">
        <v>1</v>
      </c>
      <c r="G2833" s="292" t="s">
        <v>20272</v>
      </c>
      <c r="H2833" s="255">
        <v>90.45</v>
      </c>
      <c r="I2833" s="298"/>
      <c r="J2833" s="634"/>
      <c r="K2833" s="634"/>
      <c r="L2833" s="634"/>
      <c r="M2833" s="634"/>
      <c r="N2833" s="298"/>
      <c r="O2833" s="298"/>
      <c r="P2833" s="298"/>
      <c r="Q2833" s="298"/>
      <c r="R2833" s="298"/>
      <c r="S2833" s="536"/>
      <c r="T2833" s="635"/>
      <c r="U2833" s="298"/>
      <c r="V2833" s="298"/>
      <c r="W2833" s="298"/>
      <c r="X2833" s="298"/>
      <c r="Y2833" s="298"/>
      <c r="Z2833" s="298"/>
      <c r="AA2833" s="298"/>
      <c r="AB2833" s="298"/>
      <c r="AC2833" s="298"/>
      <c r="AD2833" s="298"/>
      <c r="AE2833" s="298"/>
      <c r="AF2833" s="298"/>
      <c r="AG2833" s="298"/>
      <c r="AH2833" s="298"/>
      <c r="AI2833" s="298"/>
      <c r="AJ2833" s="298"/>
      <c r="AK2833" s="298"/>
      <c r="AL2833" s="298"/>
      <c r="AM2833" s="298"/>
      <c r="AN2833" s="298"/>
      <c r="AO2833" s="298"/>
      <c r="AP2833" s="298"/>
      <c r="AQ2833" s="298"/>
      <c r="AR2833" s="298"/>
      <c r="AS2833" s="298"/>
      <c r="AT2833" s="298"/>
      <c r="AU2833" s="298"/>
      <c r="AV2833" s="298"/>
      <c r="AW2833" s="298"/>
      <c r="AX2833" s="298"/>
      <c r="AY2833" s="298"/>
      <c r="AZ2833" s="298"/>
      <c r="BA2833" s="298"/>
      <c r="BB2833" s="298"/>
      <c r="BC2833" s="298"/>
      <c r="BD2833" s="298"/>
      <c r="BE2833" s="298"/>
      <c r="BF2833" s="298"/>
      <c r="BG2833" s="298"/>
      <c r="BH2833" s="298"/>
      <c r="BI2833" s="298"/>
      <c r="BJ2833" s="298"/>
      <c r="BK2833" s="298"/>
      <c r="BL2833" s="298"/>
      <c r="BM2833" s="298"/>
      <c r="BN2833" s="298"/>
      <c r="BO2833" s="298"/>
      <c r="BP2833" s="298"/>
    </row>
    <row r="2834" spans="1:68" s="529" customFormat="1" ht="25.5">
      <c r="A2834" s="286" t="s">
        <v>3261</v>
      </c>
      <c r="B2834" s="288">
        <v>7307</v>
      </c>
      <c r="C2834" s="289" t="s">
        <v>6505</v>
      </c>
      <c r="D2834" s="290" t="s">
        <v>207</v>
      </c>
      <c r="E2834" s="290" t="s">
        <v>3245</v>
      </c>
      <c r="F2834" s="383">
        <v>8.0000000000000002E-3</v>
      </c>
      <c r="G2834" s="292" t="s">
        <v>11120</v>
      </c>
      <c r="H2834" s="255">
        <v>0.24</v>
      </c>
      <c r="I2834" s="298"/>
      <c r="J2834" s="634"/>
      <c r="K2834" s="634"/>
      <c r="L2834" s="634"/>
      <c r="M2834" s="634"/>
      <c r="N2834" s="298"/>
      <c r="O2834" s="298"/>
      <c r="P2834" s="298"/>
      <c r="Q2834" s="298"/>
      <c r="R2834" s="298"/>
      <c r="S2834" s="536"/>
      <c r="T2834" s="635"/>
      <c r="U2834" s="298"/>
      <c r="V2834" s="298"/>
      <c r="W2834" s="298"/>
      <c r="X2834" s="298"/>
      <c r="Y2834" s="298"/>
      <c r="Z2834" s="298"/>
      <c r="AA2834" s="298"/>
      <c r="AB2834" s="298"/>
      <c r="AC2834" s="298"/>
      <c r="AD2834" s="298"/>
      <c r="AE2834" s="298"/>
      <c r="AF2834" s="298"/>
      <c r="AG2834" s="298"/>
      <c r="AH2834" s="298"/>
      <c r="AI2834" s="298"/>
      <c r="AJ2834" s="298"/>
      <c r="AK2834" s="298"/>
      <c r="AL2834" s="298"/>
      <c r="AM2834" s="298"/>
      <c r="AN2834" s="298"/>
      <c r="AO2834" s="298"/>
      <c r="AP2834" s="298"/>
      <c r="AQ2834" s="298"/>
      <c r="AR2834" s="298"/>
      <c r="AS2834" s="298"/>
      <c r="AT2834" s="298"/>
      <c r="AU2834" s="298"/>
      <c r="AV2834" s="298"/>
      <c r="AW2834" s="298"/>
      <c r="AX2834" s="298"/>
      <c r="AY2834" s="298"/>
      <c r="AZ2834" s="298"/>
      <c r="BA2834" s="298"/>
      <c r="BB2834" s="298"/>
      <c r="BC2834" s="298"/>
      <c r="BD2834" s="298"/>
      <c r="BE2834" s="298"/>
      <c r="BF2834" s="298"/>
      <c r="BG2834" s="298"/>
      <c r="BH2834" s="298"/>
      <c r="BI2834" s="298"/>
      <c r="BJ2834" s="298"/>
      <c r="BK2834" s="298"/>
      <c r="BL2834" s="298"/>
      <c r="BM2834" s="298"/>
      <c r="BN2834" s="298"/>
      <c r="BO2834" s="298"/>
      <c r="BP2834" s="298"/>
    </row>
    <row r="2835" spans="1:68" s="529" customFormat="1" ht="38.25">
      <c r="A2835" s="286" t="s">
        <v>3259</v>
      </c>
      <c r="B2835" s="288">
        <v>88248</v>
      </c>
      <c r="C2835" s="289" t="s">
        <v>106</v>
      </c>
      <c r="D2835" s="290" t="s">
        <v>9714</v>
      </c>
      <c r="E2835" s="290" t="s">
        <v>206</v>
      </c>
      <c r="F2835" s="383">
        <v>0.82799999999999996</v>
      </c>
      <c r="G2835" s="292" t="s">
        <v>10175</v>
      </c>
      <c r="H2835" s="255">
        <v>15.09</v>
      </c>
      <c r="I2835" s="298"/>
      <c r="J2835" s="634"/>
      <c r="K2835" s="634"/>
      <c r="L2835" s="634"/>
      <c r="M2835" s="634"/>
      <c r="N2835" s="298"/>
      <c r="O2835" s="298"/>
      <c r="P2835" s="298"/>
      <c r="Q2835" s="298"/>
      <c r="R2835" s="298"/>
      <c r="S2835" s="536"/>
      <c r="T2835" s="635"/>
      <c r="U2835" s="298"/>
      <c r="V2835" s="298"/>
      <c r="W2835" s="298"/>
      <c r="X2835" s="298"/>
      <c r="Y2835" s="298"/>
      <c r="Z2835" s="298"/>
      <c r="AA2835" s="298"/>
      <c r="AB2835" s="298"/>
      <c r="AC2835" s="298"/>
      <c r="AD2835" s="298"/>
      <c r="AE2835" s="298"/>
      <c r="AF2835" s="298"/>
      <c r="AG2835" s="298"/>
      <c r="AH2835" s="298"/>
      <c r="AI2835" s="298"/>
      <c r="AJ2835" s="298"/>
      <c r="AK2835" s="298"/>
      <c r="AL2835" s="298"/>
      <c r="AM2835" s="298"/>
      <c r="AN2835" s="298"/>
      <c r="AO2835" s="298"/>
      <c r="AP2835" s="298"/>
      <c r="AQ2835" s="298"/>
      <c r="AR2835" s="298"/>
      <c r="AS2835" s="298"/>
      <c r="AT2835" s="298"/>
      <c r="AU2835" s="298"/>
      <c r="AV2835" s="298"/>
      <c r="AW2835" s="298"/>
      <c r="AX2835" s="298"/>
      <c r="AY2835" s="298"/>
      <c r="AZ2835" s="298"/>
      <c r="BA2835" s="298"/>
      <c r="BB2835" s="298"/>
      <c r="BC2835" s="298"/>
      <c r="BD2835" s="298"/>
      <c r="BE2835" s="298"/>
      <c r="BF2835" s="298"/>
      <c r="BG2835" s="298"/>
      <c r="BH2835" s="298"/>
      <c r="BI2835" s="298"/>
      <c r="BJ2835" s="298"/>
      <c r="BK2835" s="298"/>
      <c r="BL2835" s="298"/>
      <c r="BM2835" s="298"/>
      <c r="BN2835" s="298"/>
      <c r="BO2835" s="298"/>
      <c r="BP2835" s="298"/>
    </row>
    <row r="2836" spans="1:68" s="529" customFormat="1" ht="25.5">
      <c r="A2836" s="286" t="s">
        <v>3259</v>
      </c>
      <c r="B2836" s="288">
        <v>88267</v>
      </c>
      <c r="C2836" s="289" t="s">
        <v>107</v>
      </c>
      <c r="D2836" s="290" t="s">
        <v>9714</v>
      </c>
      <c r="E2836" s="290" t="s">
        <v>206</v>
      </c>
      <c r="F2836" s="383">
        <v>0.82799999999999996</v>
      </c>
      <c r="G2836" s="292" t="s">
        <v>10792</v>
      </c>
      <c r="H2836" s="255">
        <v>19.38</v>
      </c>
      <c r="I2836" s="298"/>
      <c r="J2836" s="634"/>
      <c r="K2836" s="634"/>
      <c r="L2836" s="634"/>
      <c r="M2836" s="634"/>
      <c r="N2836" s="298"/>
      <c r="O2836" s="298"/>
      <c r="P2836" s="298"/>
      <c r="Q2836" s="298"/>
      <c r="R2836" s="298"/>
      <c r="S2836" s="536"/>
      <c r="T2836" s="635"/>
      <c r="U2836" s="298"/>
      <c r="V2836" s="298"/>
      <c r="W2836" s="298"/>
      <c r="X2836" s="298"/>
      <c r="Y2836" s="298"/>
      <c r="Z2836" s="298"/>
      <c r="AA2836" s="298"/>
      <c r="AB2836" s="298"/>
      <c r="AC2836" s="298"/>
      <c r="AD2836" s="298"/>
      <c r="AE2836" s="298"/>
      <c r="AF2836" s="298"/>
      <c r="AG2836" s="298"/>
      <c r="AH2836" s="298"/>
      <c r="AI2836" s="298"/>
      <c r="AJ2836" s="298"/>
      <c r="AK2836" s="298"/>
      <c r="AL2836" s="298"/>
      <c r="AM2836" s="298"/>
      <c r="AN2836" s="298"/>
      <c r="AO2836" s="298"/>
      <c r="AP2836" s="298"/>
      <c r="AQ2836" s="298"/>
      <c r="AR2836" s="298"/>
      <c r="AS2836" s="298"/>
      <c r="AT2836" s="298"/>
      <c r="AU2836" s="298"/>
      <c r="AV2836" s="298"/>
      <c r="AW2836" s="298"/>
      <c r="AX2836" s="298"/>
      <c r="AY2836" s="298"/>
      <c r="AZ2836" s="298"/>
      <c r="BA2836" s="298"/>
      <c r="BB2836" s="298"/>
      <c r="BC2836" s="298"/>
      <c r="BD2836" s="298"/>
      <c r="BE2836" s="298"/>
      <c r="BF2836" s="298"/>
      <c r="BG2836" s="298"/>
      <c r="BH2836" s="298"/>
      <c r="BI2836" s="298"/>
      <c r="BJ2836" s="298"/>
      <c r="BK2836" s="298"/>
      <c r="BL2836" s="298"/>
      <c r="BM2836" s="298"/>
      <c r="BN2836" s="298"/>
      <c r="BO2836" s="298"/>
      <c r="BP2836" s="298"/>
    </row>
    <row r="2837" spans="1:68" s="529" customFormat="1" ht="12.75">
      <c r="A2837" s="286"/>
      <c r="B2837" s="375" t="s">
        <v>143</v>
      </c>
      <c r="C2837" s="816" t="s">
        <v>24507</v>
      </c>
      <c r="D2837" s="817"/>
      <c r="E2837" s="817"/>
      <c r="F2837" s="817"/>
      <c r="G2837" s="817"/>
      <c r="H2837" s="818"/>
      <c r="I2837" s="298"/>
      <c r="J2837" s="634"/>
      <c r="K2837" s="634"/>
      <c r="L2837" s="634"/>
      <c r="M2837" s="634"/>
      <c r="N2837" s="298"/>
      <c r="O2837" s="298"/>
      <c r="P2837" s="298"/>
      <c r="Q2837" s="298"/>
      <c r="R2837" s="298"/>
      <c r="S2837" s="536"/>
      <c r="T2837" s="635"/>
      <c r="U2837" s="298"/>
      <c r="V2837" s="298"/>
      <c r="W2837" s="298"/>
      <c r="X2837" s="298"/>
      <c r="Y2837" s="298"/>
      <c r="Z2837" s="298"/>
      <c r="AA2837" s="298"/>
      <c r="AB2837" s="298"/>
      <c r="AC2837" s="298"/>
      <c r="AD2837" s="298"/>
      <c r="AE2837" s="298"/>
      <c r="AF2837" s="298"/>
      <c r="AG2837" s="298"/>
      <c r="AH2837" s="298"/>
      <c r="AI2837" s="298"/>
      <c r="AJ2837" s="298"/>
      <c r="AK2837" s="298"/>
      <c r="AL2837" s="298"/>
      <c r="AM2837" s="298"/>
      <c r="AN2837" s="298"/>
      <c r="AO2837" s="298"/>
      <c r="AP2837" s="298"/>
      <c r="AQ2837" s="298"/>
      <c r="AR2837" s="298"/>
      <c r="AS2837" s="298"/>
      <c r="AT2837" s="298"/>
      <c r="AU2837" s="298"/>
      <c r="AV2837" s="298"/>
      <c r="AW2837" s="298"/>
      <c r="AX2837" s="298"/>
      <c r="AY2837" s="298"/>
      <c r="AZ2837" s="298"/>
      <c r="BA2837" s="298"/>
      <c r="BB2837" s="298"/>
      <c r="BC2837" s="298"/>
      <c r="BD2837" s="298"/>
      <c r="BE2837" s="298"/>
      <c r="BF2837" s="298"/>
      <c r="BG2837" s="298"/>
      <c r="BH2837" s="298"/>
      <c r="BI2837" s="298"/>
      <c r="BJ2837" s="298"/>
      <c r="BK2837" s="298"/>
      <c r="BL2837" s="298"/>
      <c r="BM2837" s="298"/>
      <c r="BN2837" s="298"/>
      <c r="BO2837" s="298"/>
      <c r="BP2837" s="298"/>
    </row>
    <row r="2838" spans="1:68" s="529" customFormat="1" ht="12.75">
      <c r="A2838" s="286"/>
      <c r="B2838" s="373"/>
      <c r="C2838" s="379"/>
      <c r="D2838" s="379"/>
      <c r="E2838" s="379"/>
      <c r="F2838" s="379"/>
      <c r="G2838" s="379"/>
      <c r="H2838" s="379"/>
      <c r="I2838" s="298"/>
      <c r="J2838" s="298"/>
      <c r="K2838" s="298"/>
      <c r="L2838" s="298"/>
      <c r="M2838" s="298"/>
      <c r="N2838" s="298"/>
      <c r="O2838" s="298"/>
      <c r="P2838" s="298"/>
      <c r="Q2838" s="298"/>
      <c r="R2838" s="298"/>
      <c r="S2838" s="536"/>
      <c r="T2838" s="635"/>
      <c r="U2838" s="298"/>
      <c r="V2838" s="298"/>
      <c r="W2838" s="298"/>
      <c r="X2838" s="298"/>
      <c r="Y2838" s="298"/>
      <c r="Z2838" s="298"/>
      <c r="AA2838" s="298"/>
      <c r="AB2838" s="298"/>
      <c r="AC2838" s="298"/>
      <c r="AD2838" s="298"/>
      <c r="AE2838" s="298"/>
      <c r="AF2838" s="298"/>
      <c r="AG2838" s="298"/>
      <c r="AH2838" s="298"/>
      <c r="AI2838" s="298"/>
      <c r="AJ2838" s="298"/>
      <c r="AK2838" s="298"/>
      <c r="AL2838" s="298"/>
      <c r="AM2838" s="298"/>
      <c r="AN2838" s="298"/>
      <c r="AO2838" s="298"/>
      <c r="AP2838" s="298"/>
      <c r="AQ2838" s="298"/>
      <c r="AR2838" s="298"/>
      <c r="AS2838" s="298"/>
      <c r="AT2838" s="298"/>
      <c r="AU2838" s="298"/>
      <c r="AV2838" s="298"/>
      <c r="AW2838" s="298"/>
      <c r="AX2838" s="298"/>
      <c r="AY2838" s="298"/>
      <c r="AZ2838" s="298"/>
      <c r="BA2838" s="298"/>
      <c r="BB2838" s="298"/>
      <c r="BC2838" s="298"/>
      <c r="BD2838" s="298"/>
      <c r="BE2838" s="298"/>
      <c r="BF2838" s="298"/>
      <c r="BG2838" s="298"/>
      <c r="BH2838" s="298"/>
      <c r="BI2838" s="298"/>
      <c r="BJ2838" s="298"/>
      <c r="BK2838" s="298"/>
      <c r="BL2838" s="298"/>
      <c r="BM2838" s="298"/>
      <c r="BN2838" s="298"/>
      <c r="BO2838" s="298"/>
      <c r="BP2838" s="298"/>
    </row>
    <row r="2839" spans="1:68" s="529" customFormat="1" ht="38.25">
      <c r="A2839" s="286"/>
      <c r="B2839" s="372" t="s">
        <v>24866</v>
      </c>
      <c r="C2839" s="231" t="s">
        <v>24867</v>
      </c>
      <c r="D2839" s="232" t="s">
        <v>103</v>
      </c>
      <c r="E2839" s="232" t="s">
        <v>109</v>
      </c>
      <c r="F2839" s="233"/>
      <c r="G2839" s="234"/>
      <c r="H2839" s="235">
        <v>529.38000000000011</v>
      </c>
      <c r="I2839" s="298"/>
      <c r="J2839" s="634"/>
      <c r="K2839" s="634"/>
      <c r="L2839" s="634"/>
      <c r="M2839" s="634"/>
      <c r="N2839" s="298"/>
      <c r="O2839" s="298"/>
      <c r="P2839" s="298"/>
      <c r="Q2839" s="298"/>
      <c r="R2839" s="298"/>
      <c r="S2839" s="536"/>
      <c r="T2839" s="635"/>
      <c r="U2839" s="298"/>
      <c r="V2839" s="298"/>
      <c r="W2839" s="298"/>
      <c r="X2839" s="298"/>
      <c r="Y2839" s="298"/>
      <c r="Z2839" s="298"/>
      <c r="AA2839" s="298"/>
      <c r="AB2839" s="298"/>
      <c r="AC2839" s="298"/>
      <c r="AD2839" s="298"/>
      <c r="AE2839" s="298"/>
      <c r="AF2839" s="298"/>
      <c r="AG2839" s="298"/>
      <c r="AH2839" s="298"/>
      <c r="AI2839" s="298"/>
      <c r="AJ2839" s="298"/>
      <c r="AK2839" s="298"/>
      <c r="AL2839" s="298"/>
      <c r="AM2839" s="298"/>
      <c r="AN2839" s="298"/>
      <c r="AO2839" s="298"/>
      <c r="AP2839" s="298"/>
      <c r="AQ2839" s="298"/>
      <c r="AR2839" s="298"/>
      <c r="AS2839" s="298"/>
      <c r="AT2839" s="298"/>
      <c r="AU2839" s="298"/>
      <c r="AV2839" s="298"/>
      <c r="AW2839" s="298"/>
      <c r="AX2839" s="298"/>
      <c r="AY2839" s="298"/>
      <c r="AZ2839" s="298"/>
      <c r="BA2839" s="298"/>
      <c r="BB2839" s="298"/>
      <c r="BC2839" s="298"/>
      <c r="BD2839" s="298"/>
      <c r="BE2839" s="298"/>
      <c r="BF2839" s="298"/>
      <c r="BG2839" s="298"/>
      <c r="BH2839" s="298"/>
      <c r="BI2839" s="298"/>
      <c r="BJ2839" s="298"/>
      <c r="BK2839" s="298"/>
      <c r="BL2839" s="298"/>
      <c r="BM2839" s="298"/>
      <c r="BN2839" s="298"/>
      <c r="BO2839" s="298"/>
      <c r="BP2839" s="298"/>
    </row>
    <row r="2840" spans="1:68" s="529" customFormat="1" ht="38.25">
      <c r="A2840" s="286" t="s">
        <v>3261</v>
      </c>
      <c r="B2840" s="288">
        <v>10889</v>
      </c>
      <c r="C2840" s="289" t="s">
        <v>6385</v>
      </c>
      <c r="D2840" s="290" t="s">
        <v>207</v>
      </c>
      <c r="E2840" s="290" t="s">
        <v>3240</v>
      </c>
      <c r="F2840" s="383">
        <v>1</v>
      </c>
      <c r="G2840" s="292" t="s">
        <v>19749</v>
      </c>
      <c r="H2840" s="255">
        <v>510</v>
      </c>
      <c r="I2840" s="298"/>
      <c r="J2840" s="634"/>
      <c r="K2840" s="634"/>
      <c r="L2840" s="634"/>
      <c r="M2840" s="634"/>
      <c r="N2840" s="298"/>
      <c r="O2840" s="298"/>
      <c r="P2840" s="298"/>
      <c r="Q2840" s="298"/>
      <c r="R2840" s="298"/>
      <c r="S2840" s="536"/>
      <c r="T2840" s="635"/>
      <c r="U2840" s="298"/>
      <c r="V2840" s="298"/>
      <c r="W2840" s="298"/>
      <c r="X2840" s="298"/>
      <c r="Y2840" s="298"/>
      <c r="Z2840" s="298"/>
      <c r="AA2840" s="298"/>
      <c r="AB2840" s="298"/>
      <c r="AC2840" s="298"/>
      <c r="AD2840" s="298"/>
      <c r="AE2840" s="298"/>
      <c r="AF2840" s="298"/>
      <c r="AG2840" s="298"/>
      <c r="AH2840" s="298"/>
      <c r="AI2840" s="298"/>
      <c r="AJ2840" s="298"/>
      <c r="AK2840" s="298"/>
      <c r="AL2840" s="298"/>
      <c r="AM2840" s="298"/>
      <c r="AN2840" s="298"/>
      <c r="AO2840" s="298"/>
      <c r="AP2840" s="298"/>
      <c r="AQ2840" s="298"/>
      <c r="AR2840" s="298"/>
      <c r="AS2840" s="298"/>
      <c r="AT2840" s="298"/>
      <c r="AU2840" s="298"/>
      <c r="AV2840" s="298"/>
      <c r="AW2840" s="298"/>
      <c r="AX2840" s="298"/>
      <c r="AY2840" s="298"/>
      <c r="AZ2840" s="298"/>
      <c r="BA2840" s="298"/>
      <c r="BB2840" s="298"/>
      <c r="BC2840" s="298"/>
      <c r="BD2840" s="298"/>
      <c r="BE2840" s="298"/>
      <c r="BF2840" s="298"/>
      <c r="BG2840" s="298"/>
      <c r="BH2840" s="298"/>
      <c r="BI2840" s="298"/>
      <c r="BJ2840" s="298"/>
      <c r="BK2840" s="298"/>
      <c r="BL2840" s="298"/>
      <c r="BM2840" s="298"/>
      <c r="BN2840" s="298"/>
      <c r="BO2840" s="298"/>
      <c r="BP2840" s="298"/>
    </row>
    <row r="2841" spans="1:68" s="529" customFormat="1" ht="51">
      <c r="A2841" s="286" t="s">
        <v>3261</v>
      </c>
      <c r="B2841" s="288">
        <v>4350</v>
      </c>
      <c r="C2841" s="289" t="s">
        <v>5018</v>
      </c>
      <c r="D2841" s="290" t="s">
        <v>207</v>
      </c>
      <c r="E2841" s="290" t="s">
        <v>3240</v>
      </c>
      <c r="F2841" s="383">
        <v>1</v>
      </c>
      <c r="G2841" s="292" t="s">
        <v>9984</v>
      </c>
      <c r="H2841" s="255">
        <v>0.35</v>
      </c>
      <c r="I2841" s="298"/>
      <c r="J2841" s="298"/>
      <c r="K2841" s="298"/>
      <c r="L2841" s="298"/>
      <c r="M2841" s="298"/>
      <c r="N2841" s="298"/>
      <c r="O2841" s="298"/>
      <c r="P2841" s="298"/>
      <c r="Q2841" s="298"/>
      <c r="R2841" s="298"/>
      <c r="S2841" s="536"/>
      <c r="T2841" s="635"/>
      <c r="U2841" s="298"/>
      <c r="V2841" s="298"/>
      <c r="W2841" s="298"/>
      <c r="X2841" s="298"/>
      <c r="Y2841" s="298"/>
      <c r="Z2841" s="298"/>
      <c r="AA2841" s="298"/>
      <c r="AB2841" s="298"/>
      <c r="AC2841" s="298"/>
      <c r="AD2841" s="298"/>
      <c r="AE2841" s="298"/>
      <c r="AF2841" s="298"/>
      <c r="AG2841" s="298"/>
      <c r="AH2841" s="298"/>
      <c r="AI2841" s="298"/>
      <c r="AJ2841" s="298"/>
      <c r="AK2841" s="298"/>
      <c r="AL2841" s="298"/>
      <c r="AM2841" s="298"/>
      <c r="AN2841" s="298"/>
      <c r="AO2841" s="298"/>
      <c r="AP2841" s="298"/>
      <c r="AQ2841" s="298"/>
      <c r="AR2841" s="298"/>
      <c r="AS2841" s="298"/>
      <c r="AT2841" s="298"/>
      <c r="AU2841" s="298"/>
      <c r="AV2841" s="298"/>
      <c r="AW2841" s="298"/>
      <c r="AX2841" s="298"/>
      <c r="AY2841" s="298"/>
      <c r="AZ2841" s="298"/>
      <c r="BA2841" s="298"/>
      <c r="BB2841" s="298"/>
      <c r="BC2841" s="298"/>
      <c r="BD2841" s="298"/>
      <c r="BE2841" s="298"/>
      <c r="BF2841" s="298"/>
      <c r="BG2841" s="298"/>
      <c r="BH2841" s="298"/>
      <c r="BI2841" s="298"/>
      <c r="BJ2841" s="298"/>
      <c r="BK2841" s="298"/>
      <c r="BL2841" s="298"/>
      <c r="BM2841" s="298"/>
      <c r="BN2841" s="298"/>
      <c r="BO2841" s="298"/>
      <c r="BP2841" s="298"/>
    </row>
    <row r="2842" spans="1:68" s="529" customFormat="1" ht="38.25">
      <c r="A2842" s="286" t="s">
        <v>3259</v>
      </c>
      <c r="B2842" s="288">
        <v>88248</v>
      </c>
      <c r="C2842" s="289" t="s">
        <v>106</v>
      </c>
      <c r="D2842" s="290" t="s">
        <v>9714</v>
      </c>
      <c r="E2842" s="290" t="s">
        <v>206</v>
      </c>
      <c r="F2842" s="383">
        <v>0.45739999999999997</v>
      </c>
      <c r="G2842" s="292" t="s">
        <v>10175</v>
      </c>
      <c r="H2842" s="255">
        <v>8.33</v>
      </c>
      <c r="I2842" s="298"/>
      <c r="J2842" s="298"/>
      <c r="K2842" s="298"/>
      <c r="L2842" s="298"/>
      <c r="M2842" s="298"/>
      <c r="N2842" s="298"/>
      <c r="O2842" s="298"/>
      <c r="P2842" s="298"/>
      <c r="Q2842" s="298"/>
      <c r="R2842" s="298"/>
      <c r="S2842" s="536"/>
      <c r="T2842" s="635"/>
      <c r="U2842" s="298"/>
      <c r="V2842" s="298"/>
      <c r="W2842" s="298"/>
      <c r="X2842" s="298"/>
      <c r="Y2842" s="298"/>
      <c r="Z2842" s="298"/>
      <c r="AA2842" s="298"/>
      <c r="AB2842" s="298"/>
      <c r="AC2842" s="298"/>
      <c r="AD2842" s="298"/>
      <c r="AE2842" s="298"/>
      <c r="AF2842" s="298"/>
      <c r="AG2842" s="298"/>
      <c r="AH2842" s="298"/>
      <c r="AI2842" s="298"/>
      <c r="AJ2842" s="298"/>
      <c r="AK2842" s="298"/>
      <c r="AL2842" s="298"/>
      <c r="AM2842" s="298"/>
      <c r="AN2842" s="298"/>
      <c r="AO2842" s="298"/>
      <c r="AP2842" s="298"/>
      <c r="AQ2842" s="298"/>
      <c r="AR2842" s="298"/>
      <c r="AS2842" s="298"/>
      <c r="AT2842" s="298"/>
      <c r="AU2842" s="298"/>
      <c r="AV2842" s="298"/>
      <c r="AW2842" s="298"/>
      <c r="AX2842" s="298"/>
      <c r="AY2842" s="298"/>
      <c r="AZ2842" s="298"/>
      <c r="BA2842" s="298"/>
      <c r="BB2842" s="298"/>
      <c r="BC2842" s="298"/>
      <c r="BD2842" s="298"/>
      <c r="BE2842" s="298"/>
      <c r="BF2842" s="298"/>
      <c r="BG2842" s="298"/>
      <c r="BH2842" s="298"/>
      <c r="BI2842" s="298"/>
      <c r="BJ2842" s="298"/>
      <c r="BK2842" s="298"/>
      <c r="BL2842" s="298"/>
      <c r="BM2842" s="298"/>
      <c r="BN2842" s="298"/>
      <c r="BO2842" s="298"/>
      <c r="BP2842" s="298"/>
    </row>
    <row r="2843" spans="1:68" s="529" customFormat="1" ht="25.5">
      <c r="A2843" s="286" t="s">
        <v>3259</v>
      </c>
      <c r="B2843" s="288">
        <v>88267</v>
      </c>
      <c r="C2843" s="289" t="s">
        <v>107</v>
      </c>
      <c r="D2843" s="290" t="s">
        <v>9714</v>
      </c>
      <c r="E2843" s="290" t="s">
        <v>206</v>
      </c>
      <c r="F2843" s="383">
        <v>0.45739999999999997</v>
      </c>
      <c r="G2843" s="292" t="s">
        <v>10792</v>
      </c>
      <c r="H2843" s="255">
        <v>10.7</v>
      </c>
      <c r="I2843" s="298"/>
      <c r="J2843" s="298"/>
      <c r="K2843" s="298"/>
      <c r="L2843" s="298"/>
      <c r="M2843" s="298"/>
      <c r="N2843" s="298"/>
      <c r="O2843" s="298"/>
      <c r="P2843" s="298"/>
      <c r="Q2843" s="298"/>
      <c r="R2843" s="298"/>
      <c r="S2843" s="536"/>
      <c r="T2843" s="635"/>
      <c r="U2843" s="298"/>
      <c r="V2843" s="298"/>
      <c r="W2843" s="298"/>
      <c r="X2843" s="298"/>
      <c r="Y2843" s="298"/>
      <c r="Z2843" s="298"/>
      <c r="AA2843" s="298"/>
      <c r="AB2843" s="298"/>
      <c r="AC2843" s="298"/>
      <c r="AD2843" s="298"/>
      <c r="AE2843" s="298"/>
      <c r="AF2843" s="298"/>
      <c r="AG2843" s="298"/>
      <c r="AH2843" s="298"/>
      <c r="AI2843" s="298"/>
      <c r="AJ2843" s="298"/>
      <c r="AK2843" s="298"/>
      <c r="AL2843" s="298"/>
      <c r="AM2843" s="298"/>
      <c r="AN2843" s="298"/>
      <c r="AO2843" s="298"/>
      <c r="AP2843" s="298"/>
      <c r="AQ2843" s="298"/>
      <c r="AR2843" s="298"/>
      <c r="AS2843" s="298"/>
      <c r="AT2843" s="298"/>
      <c r="AU2843" s="298"/>
      <c r="AV2843" s="298"/>
      <c r="AW2843" s="298"/>
      <c r="AX2843" s="298"/>
      <c r="AY2843" s="298"/>
      <c r="AZ2843" s="298"/>
      <c r="BA2843" s="298"/>
      <c r="BB2843" s="298"/>
      <c r="BC2843" s="298"/>
      <c r="BD2843" s="298"/>
      <c r="BE2843" s="298"/>
      <c r="BF2843" s="298"/>
      <c r="BG2843" s="298"/>
      <c r="BH2843" s="298"/>
      <c r="BI2843" s="298"/>
      <c r="BJ2843" s="298"/>
      <c r="BK2843" s="298"/>
      <c r="BL2843" s="298"/>
      <c r="BM2843" s="298"/>
      <c r="BN2843" s="298"/>
      <c r="BO2843" s="298"/>
      <c r="BP2843" s="298"/>
    </row>
    <row r="2844" spans="1:68" s="529" customFormat="1" ht="12.75">
      <c r="A2844" s="286"/>
      <c r="B2844" s="375" t="s">
        <v>143</v>
      </c>
      <c r="C2844" s="816" t="s">
        <v>17915</v>
      </c>
      <c r="D2844" s="817"/>
      <c r="E2844" s="817"/>
      <c r="F2844" s="817"/>
      <c r="G2844" s="817"/>
      <c r="H2844" s="818"/>
      <c r="I2844" s="298"/>
      <c r="J2844" s="298"/>
      <c r="K2844" s="298"/>
      <c r="L2844" s="298"/>
      <c r="M2844" s="298"/>
      <c r="N2844" s="298"/>
      <c r="O2844" s="298"/>
      <c r="P2844" s="298"/>
      <c r="Q2844" s="298"/>
      <c r="R2844" s="298"/>
      <c r="S2844" s="536"/>
      <c r="T2844" s="635"/>
      <c r="U2844" s="298"/>
      <c r="V2844" s="298"/>
      <c r="W2844" s="298"/>
      <c r="X2844" s="298"/>
      <c r="Y2844" s="298"/>
      <c r="Z2844" s="298"/>
      <c r="AA2844" s="298"/>
      <c r="AB2844" s="298"/>
      <c r="AC2844" s="298"/>
      <c r="AD2844" s="298"/>
      <c r="AE2844" s="298"/>
      <c r="AF2844" s="298"/>
      <c r="AG2844" s="298"/>
      <c r="AH2844" s="298"/>
      <c r="AI2844" s="298"/>
      <c r="AJ2844" s="298"/>
      <c r="AK2844" s="298"/>
      <c r="AL2844" s="298"/>
      <c r="AM2844" s="298"/>
      <c r="AN2844" s="298"/>
      <c r="AO2844" s="298"/>
      <c r="AP2844" s="298"/>
      <c r="AQ2844" s="298"/>
      <c r="AR2844" s="298"/>
      <c r="AS2844" s="298"/>
      <c r="AT2844" s="298"/>
      <c r="AU2844" s="298"/>
      <c r="AV2844" s="298"/>
      <c r="AW2844" s="298"/>
      <c r="AX2844" s="298"/>
      <c r="AY2844" s="298"/>
      <c r="AZ2844" s="298"/>
      <c r="BA2844" s="298"/>
      <c r="BB2844" s="298"/>
      <c r="BC2844" s="298"/>
      <c r="BD2844" s="298"/>
      <c r="BE2844" s="298"/>
      <c r="BF2844" s="298"/>
      <c r="BG2844" s="298"/>
      <c r="BH2844" s="298"/>
      <c r="BI2844" s="298"/>
      <c r="BJ2844" s="298"/>
      <c r="BK2844" s="298"/>
      <c r="BL2844" s="298"/>
      <c r="BM2844" s="298"/>
      <c r="BN2844" s="298"/>
      <c r="BO2844" s="298"/>
      <c r="BP2844" s="298"/>
    </row>
    <row r="2845" spans="1:68" s="298" customFormat="1" ht="12.75">
      <c r="A2845" s="286"/>
      <c r="B2845" s="373"/>
      <c r="C2845" s="379"/>
      <c r="D2845" s="382"/>
      <c r="E2845" s="382"/>
      <c r="F2845" s="382"/>
      <c r="G2845" s="382"/>
      <c r="H2845" s="382"/>
      <c r="J2845" s="634"/>
      <c r="S2845" s="536"/>
      <c r="T2845" s="635"/>
    </row>
    <row r="2846" spans="1:68" s="529" customFormat="1" ht="25.5">
      <c r="A2846" s="286"/>
      <c r="B2846" s="372" t="s">
        <v>9000</v>
      </c>
      <c r="C2846" s="231" t="s">
        <v>9001</v>
      </c>
      <c r="D2846" s="232" t="s">
        <v>103</v>
      </c>
      <c r="E2846" s="232" t="s">
        <v>10</v>
      </c>
      <c r="F2846" s="233"/>
      <c r="G2846" s="234"/>
      <c r="H2846" s="235">
        <v>192.53</v>
      </c>
      <c r="I2846" s="298"/>
      <c r="J2846" s="521"/>
      <c r="K2846" s="298"/>
      <c r="L2846" s="298"/>
      <c r="M2846" s="298"/>
      <c r="N2846" s="298"/>
      <c r="O2846" s="298"/>
      <c r="P2846" s="298"/>
      <c r="Q2846" s="298"/>
      <c r="R2846" s="298"/>
      <c r="S2846" s="536"/>
      <c r="T2846" s="635"/>
      <c r="U2846" s="298"/>
      <c r="V2846" s="298"/>
      <c r="W2846" s="298"/>
      <c r="X2846" s="298"/>
      <c r="Y2846" s="298"/>
      <c r="Z2846" s="298"/>
      <c r="AA2846" s="298"/>
      <c r="AB2846" s="298"/>
      <c r="AC2846" s="298"/>
      <c r="AD2846" s="298"/>
      <c r="AE2846" s="298"/>
      <c r="AF2846" s="298"/>
      <c r="AG2846" s="298"/>
      <c r="AH2846" s="298"/>
      <c r="AI2846" s="298"/>
      <c r="AJ2846" s="298"/>
      <c r="AK2846" s="298"/>
      <c r="AL2846" s="298"/>
      <c r="AM2846" s="298"/>
      <c r="AN2846" s="298"/>
      <c r="AO2846" s="298"/>
      <c r="AP2846" s="298"/>
      <c r="AQ2846" s="298"/>
      <c r="AR2846" s="298"/>
      <c r="AS2846" s="298"/>
      <c r="AT2846" s="298"/>
      <c r="AU2846" s="298"/>
      <c r="AV2846" s="298"/>
      <c r="AW2846" s="298"/>
      <c r="AX2846" s="298"/>
      <c r="AY2846" s="298"/>
      <c r="AZ2846" s="298"/>
      <c r="BA2846" s="298"/>
      <c r="BB2846" s="298"/>
      <c r="BC2846" s="298"/>
      <c r="BD2846" s="298"/>
      <c r="BE2846" s="298"/>
      <c r="BF2846" s="298"/>
      <c r="BG2846" s="298"/>
      <c r="BH2846" s="298"/>
      <c r="BI2846" s="298"/>
      <c r="BJ2846" s="298"/>
      <c r="BK2846" s="298"/>
      <c r="BL2846" s="298"/>
      <c r="BM2846" s="298"/>
      <c r="BN2846" s="298"/>
      <c r="BO2846" s="298"/>
      <c r="BP2846" s="298"/>
    </row>
    <row r="2847" spans="1:68" s="298" customFormat="1" ht="25.5">
      <c r="A2847" s="256" t="s">
        <v>3259</v>
      </c>
      <c r="B2847" s="374">
        <v>88249</v>
      </c>
      <c r="C2847" s="289" t="s">
        <v>3051</v>
      </c>
      <c r="D2847" s="290" t="s">
        <v>9714</v>
      </c>
      <c r="E2847" s="290" t="s">
        <v>206</v>
      </c>
      <c r="F2847" s="383">
        <v>3.6</v>
      </c>
      <c r="G2847" s="292" t="s">
        <v>10374</v>
      </c>
      <c r="H2847" s="255">
        <v>107.74</v>
      </c>
      <c r="J2847" s="521"/>
      <c r="S2847" s="536"/>
      <c r="T2847" s="635"/>
    </row>
    <row r="2848" spans="1:68" s="298" customFormat="1" ht="25.5">
      <c r="A2848" s="256" t="s">
        <v>3259</v>
      </c>
      <c r="B2848" s="374">
        <v>88321</v>
      </c>
      <c r="C2848" s="289" t="s">
        <v>3099</v>
      </c>
      <c r="D2848" s="290" t="s">
        <v>9714</v>
      </c>
      <c r="E2848" s="290" t="s">
        <v>206</v>
      </c>
      <c r="F2848" s="383">
        <v>1.8</v>
      </c>
      <c r="G2848" s="292" t="s">
        <v>12353</v>
      </c>
      <c r="H2848" s="255">
        <v>84.79</v>
      </c>
      <c r="J2848" s="521"/>
      <c r="S2848" s="536"/>
      <c r="T2848" s="635"/>
    </row>
    <row r="2849" spans="1:68" s="529" customFormat="1" ht="12.75">
      <c r="A2849" s="286"/>
      <c r="B2849" s="375" t="s">
        <v>143</v>
      </c>
      <c r="C2849" s="816" t="s">
        <v>9002</v>
      </c>
      <c r="D2849" s="817"/>
      <c r="E2849" s="817"/>
      <c r="F2849" s="817"/>
      <c r="G2849" s="817"/>
      <c r="H2849" s="818"/>
      <c r="I2849" s="298"/>
      <c r="J2849" s="521"/>
      <c r="K2849" s="298"/>
      <c r="L2849" s="298"/>
      <c r="M2849" s="298"/>
      <c r="N2849" s="298"/>
      <c r="O2849" s="298"/>
      <c r="P2849" s="298"/>
      <c r="Q2849" s="298"/>
      <c r="R2849" s="298"/>
      <c r="S2849" s="536"/>
      <c r="T2849" s="635"/>
      <c r="U2849" s="298"/>
      <c r="V2849" s="298"/>
      <c r="W2849" s="298"/>
      <c r="X2849" s="298"/>
      <c r="Y2849" s="298"/>
      <c r="Z2849" s="298"/>
      <c r="AA2849" s="298"/>
      <c r="AB2849" s="298"/>
      <c r="AC2849" s="298"/>
      <c r="AD2849" s="298"/>
      <c r="AE2849" s="298"/>
      <c r="AF2849" s="298"/>
      <c r="AG2849" s="298"/>
      <c r="AH2849" s="298"/>
      <c r="AI2849" s="298"/>
      <c r="AJ2849" s="298"/>
      <c r="AK2849" s="298"/>
      <c r="AL2849" s="298"/>
      <c r="AM2849" s="298"/>
      <c r="AN2849" s="298"/>
      <c r="AO2849" s="298"/>
      <c r="AP2849" s="298"/>
      <c r="AQ2849" s="298"/>
      <c r="AR2849" s="298"/>
      <c r="AS2849" s="298"/>
      <c r="AT2849" s="298"/>
      <c r="AU2849" s="298"/>
      <c r="AV2849" s="298"/>
      <c r="AW2849" s="298"/>
      <c r="AX2849" s="298"/>
      <c r="AY2849" s="298"/>
      <c r="AZ2849" s="298"/>
      <c r="BA2849" s="298"/>
      <c r="BB2849" s="298"/>
      <c r="BC2849" s="298"/>
      <c r="BD2849" s="298"/>
      <c r="BE2849" s="298"/>
      <c r="BF2849" s="298"/>
      <c r="BG2849" s="298"/>
      <c r="BH2849" s="298"/>
      <c r="BI2849" s="298"/>
      <c r="BJ2849" s="298"/>
      <c r="BK2849" s="298"/>
      <c r="BL2849" s="298"/>
      <c r="BM2849" s="298"/>
      <c r="BN2849" s="298"/>
      <c r="BO2849" s="298"/>
      <c r="BP2849" s="298"/>
    </row>
    <row r="2850" spans="1:68" s="298" customFormat="1" ht="12.75">
      <c r="A2850" s="286"/>
      <c r="B2850" s="373"/>
      <c r="C2850" s="379"/>
      <c r="D2850" s="382"/>
      <c r="E2850" s="382"/>
      <c r="F2850" s="382"/>
      <c r="G2850" s="382"/>
      <c r="H2850" s="382"/>
      <c r="J2850" s="634"/>
      <c r="S2850" s="536"/>
      <c r="T2850" s="635"/>
    </row>
    <row r="2851" spans="1:68" s="529" customFormat="1" ht="12.75">
      <c r="A2851" s="286"/>
      <c r="B2851" s="372" t="s">
        <v>9003</v>
      </c>
      <c r="C2851" s="231" t="s">
        <v>9008</v>
      </c>
      <c r="D2851" s="232" t="s">
        <v>103</v>
      </c>
      <c r="E2851" s="232" t="s">
        <v>193</v>
      </c>
      <c r="F2851" s="233"/>
      <c r="G2851" s="234"/>
      <c r="H2851" s="235">
        <v>2.7</v>
      </c>
      <c r="I2851" s="298"/>
      <c r="J2851" s="634"/>
      <c r="K2851" s="298"/>
      <c r="L2851" s="298"/>
      <c r="M2851" s="298"/>
      <c r="N2851" s="298"/>
      <c r="O2851" s="298"/>
      <c r="P2851" s="298"/>
      <c r="Q2851" s="298"/>
      <c r="R2851" s="298"/>
      <c r="S2851" s="536"/>
      <c r="T2851" s="635"/>
      <c r="U2851" s="298"/>
      <c r="V2851" s="298"/>
      <c r="W2851" s="298"/>
      <c r="X2851" s="298"/>
      <c r="Y2851" s="298"/>
      <c r="Z2851" s="298"/>
      <c r="AA2851" s="298"/>
      <c r="AB2851" s="298"/>
      <c r="AC2851" s="298"/>
      <c r="AD2851" s="298"/>
      <c r="AE2851" s="298"/>
      <c r="AF2851" s="298"/>
      <c r="AG2851" s="298"/>
      <c r="AH2851" s="298"/>
      <c r="AI2851" s="298"/>
      <c r="AJ2851" s="298"/>
      <c r="AK2851" s="298"/>
      <c r="AL2851" s="298"/>
      <c r="AM2851" s="298"/>
      <c r="AN2851" s="298"/>
      <c r="AO2851" s="298"/>
      <c r="AP2851" s="298"/>
      <c r="AQ2851" s="298"/>
      <c r="AR2851" s="298"/>
      <c r="AS2851" s="298"/>
      <c r="AT2851" s="298"/>
      <c r="AU2851" s="298"/>
      <c r="AV2851" s="298"/>
      <c r="AW2851" s="298"/>
      <c r="AX2851" s="298"/>
      <c r="AY2851" s="298"/>
      <c r="AZ2851" s="298"/>
      <c r="BA2851" s="298"/>
      <c r="BB2851" s="298"/>
      <c r="BC2851" s="298"/>
      <c r="BD2851" s="298"/>
      <c r="BE2851" s="298"/>
      <c r="BF2851" s="298"/>
      <c r="BG2851" s="298"/>
      <c r="BH2851" s="298"/>
      <c r="BI2851" s="298"/>
      <c r="BJ2851" s="298"/>
      <c r="BK2851" s="298"/>
      <c r="BL2851" s="298"/>
      <c r="BM2851" s="298"/>
      <c r="BN2851" s="298"/>
      <c r="BO2851" s="298"/>
      <c r="BP2851" s="298"/>
    </row>
    <row r="2852" spans="1:68" s="298" customFormat="1" ht="25.5">
      <c r="A2852" s="256" t="s">
        <v>3261</v>
      </c>
      <c r="B2852" s="374">
        <v>3</v>
      </c>
      <c r="C2852" s="289" t="s">
        <v>4608</v>
      </c>
      <c r="D2852" s="290" t="s">
        <v>207</v>
      </c>
      <c r="E2852" s="290" t="s">
        <v>3245</v>
      </c>
      <c r="F2852" s="383" t="s">
        <v>9009</v>
      </c>
      <c r="G2852" s="292" t="s">
        <v>11319</v>
      </c>
      <c r="H2852" s="255">
        <v>0.24</v>
      </c>
      <c r="J2852" s="521"/>
      <c r="S2852" s="536"/>
      <c r="T2852" s="635"/>
    </row>
    <row r="2853" spans="1:68" s="298" customFormat="1" ht="25.5">
      <c r="A2853" s="256" t="s">
        <v>3259</v>
      </c>
      <c r="B2853" s="374">
        <v>88316</v>
      </c>
      <c r="C2853" s="289" t="s">
        <v>104</v>
      </c>
      <c r="D2853" s="290" t="s">
        <v>9714</v>
      </c>
      <c r="E2853" s="290" t="s">
        <v>206</v>
      </c>
      <c r="F2853" s="383" t="s">
        <v>9010</v>
      </c>
      <c r="G2853" s="292" t="s">
        <v>10172</v>
      </c>
      <c r="H2853" s="255">
        <v>2.46</v>
      </c>
      <c r="J2853" s="634"/>
      <c r="S2853" s="536"/>
      <c r="T2853" s="635"/>
    </row>
    <row r="2854" spans="1:68" s="298" customFormat="1" ht="12.75">
      <c r="A2854" s="286"/>
      <c r="B2854" s="375" t="s">
        <v>143</v>
      </c>
      <c r="C2854" s="816" t="s">
        <v>9006</v>
      </c>
      <c r="D2854" s="817"/>
      <c r="E2854" s="817"/>
      <c r="F2854" s="817"/>
      <c r="G2854" s="817"/>
      <c r="H2854" s="818"/>
      <c r="J2854" s="634"/>
      <c r="S2854" s="536"/>
      <c r="T2854" s="635"/>
    </row>
    <row r="2855" spans="1:68" s="298" customFormat="1" ht="12.75">
      <c r="A2855" s="286"/>
      <c r="B2855" s="373"/>
      <c r="C2855" s="379"/>
      <c r="D2855" s="382"/>
      <c r="E2855" s="382"/>
      <c r="F2855" s="382"/>
      <c r="G2855" s="382"/>
      <c r="H2855" s="382"/>
      <c r="J2855" s="634"/>
      <c r="S2855" s="536"/>
      <c r="T2855" s="635"/>
    </row>
    <row r="2856" spans="1:68" s="529" customFormat="1" ht="12.75">
      <c r="A2856" s="286"/>
      <c r="B2856" s="372" t="s">
        <v>9004</v>
      </c>
      <c r="C2856" s="231" t="s">
        <v>157</v>
      </c>
      <c r="D2856" s="232" t="s">
        <v>103</v>
      </c>
      <c r="E2856" s="232" t="s">
        <v>85</v>
      </c>
      <c r="F2856" s="233"/>
      <c r="G2856" s="234"/>
      <c r="H2856" s="235">
        <v>387.42</v>
      </c>
      <c r="I2856" s="298"/>
      <c r="J2856" s="634"/>
      <c r="K2856" s="298"/>
      <c r="L2856" s="298"/>
      <c r="M2856" s="298"/>
      <c r="N2856" s="298"/>
      <c r="O2856" s="298"/>
      <c r="P2856" s="298"/>
      <c r="Q2856" s="298"/>
      <c r="R2856" s="298"/>
      <c r="S2856" s="536"/>
      <c r="T2856" s="635"/>
      <c r="U2856" s="298"/>
      <c r="V2856" s="298"/>
      <c r="W2856" s="298"/>
      <c r="X2856" s="298"/>
      <c r="Y2856" s="298"/>
      <c r="Z2856" s="298"/>
      <c r="AA2856" s="298"/>
      <c r="AB2856" s="298"/>
      <c r="AC2856" s="298"/>
      <c r="AD2856" s="298"/>
      <c r="AE2856" s="298"/>
      <c r="AF2856" s="298"/>
      <c r="AG2856" s="298"/>
      <c r="AH2856" s="298"/>
      <c r="AI2856" s="298"/>
      <c r="AJ2856" s="298"/>
      <c r="AK2856" s="298"/>
      <c r="AL2856" s="298"/>
      <c r="AM2856" s="298"/>
      <c r="AN2856" s="298"/>
      <c r="AO2856" s="298"/>
      <c r="AP2856" s="298"/>
      <c r="AQ2856" s="298"/>
      <c r="AR2856" s="298"/>
      <c r="AS2856" s="298"/>
      <c r="AT2856" s="298"/>
      <c r="AU2856" s="298"/>
      <c r="AV2856" s="298"/>
      <c r="AW2856" s="298"/>
      <c r="AX2856" s="298"/>
      <c r="AY2856" s="298"/>
      <c r="AZ2856" s="298"/>
      <c r="BA2856" s="298"/>
      <c r="BB2856" s="298"/>
      <c r="BC2856" s="298"/>
      <c r="BD2856" s="298"/>
      <c r="BE2856" s="298"/>
      <c r="BF2856" s="298"/>
      <c r="BG2856" s="298"/>
      <c r="BH2856" s="298"/>
      <c r="BI2856" s="298"/>
      <c r="BJ2856" s="298"/>
      <c r="BK2856" s="298"/>
      <c r="BL2856" s="298"/>
      <c r="BM2856" s="298"/>
      <c r="BN2856" s="298"/>
      <c r="BO2856" s="298"/>
      <c r="BP2856" s="298"/>
    </row>
    <row r="2857" spans="1:68" s="298" customFormat="1" ht="25.5">
      <c r="A2857" s="256" t="s">
        <v>3259</v>
      </c>
      <c r="B2857" s="288">
        <v>88316</v>
      </c>
      <c r="C2857" s="289" t="s">
        <v>104</v>
      </c>
      <c r="D2857" s="290" t="s">
        <v>9714</v>
      </c>
      <c r="E2857" s="290" t="s">
        <v>206</v>
      </c>
      <c r="F2857" s="383">
        <v>22</v>
      </c>
      <c r="G2857" s="292" t="s">
        <v>10172</v>
      </c>
      <c r="H2857" s="255">
        <v>387.42</v>
      </c>
      <c r="J2857" s="634"/>
      <c r="S2857" s="536"/>
      <c r="T2857" s="635"/>
    </row>
    <row r="2858" spans="1:68" s="298" customFormat="1" ht="12.75">
      <c r="A2858" s="286"/>
      <c r="B2858" s="375" t="s">
        <v>143</v>
      </c>
      <c r="C2858" s="816" t="s">
        <v>11577</v>
      </c>
      <c r="D2858" s="817"/>
      <c r="E2858" s="817"/>
      <c r="F2858" s="817"/>
      <c r="G2858" s="817"/>
      <c r="H2858" s="818"/>
      <c r="J2858" s="634"/>
      <c r="S2858" s="536"/>
      <c r="T2858" s="635"/>
    </row>
    <row r="2859" spans="1:68" s="298" customFormat="1" ht="12.75">
      <c r="A2859" s="286"/>
      <c r="B2859" s="822"/>
      <c r="C2859" s="817"/>
      <c r="D2859" s="817"/>
      <c r="E2859" s="817"/>
      <c r="F2859" s="817"/>
      <c r="G2859" s="817"/>
      <c r="H2859" s="818"/>
      <c r="J2859" s="634"/>
      <c r="S2859" s="536"/>
      <c r="T2859" s="635"/>
    </row>
    <row r="2860" spans="1:68" s="298" customFormat="1" ht="25.5">
      <c r="A2860" s="286"/>
      <c r="B2860" s="372" t="s">
        <v>9005</v>
      </c>
      <c r="C2860" s="231" t="s">
        <v>3284</v>
      </c>
      <c r="D2860" s="232" t="s">
        <v>103</v>
      </c>
      <c r="E2860" s="232" t="s">
        <v>193</v>
      </c>
      <c r="F2860" s="233"/>
      <c r="G2860" s="234"/>
      <c r="H2860" s="235">
        <v>0.82</v>
      </c>
      <c r="J2860" s="634"/>
      <c r="S2860" s="536"/>
      <c r="T2860" s="635"/>
    </row>
    <row r="2861" spans="1:68" s="298" customFormat="1" ht="25.5">
      <c r="A2861" s="256" t="s">
        <v>3259</v>
      </c>
      <c r="B2861" s="288">
        <v>90773</v>
      </c>
      <c r="C2861" s="289" t="s">
        <v>295</v>
      </c>
      <c r="D2861" s="290" t="s">
        <v>9714</v>
      </c>
      <c r="E2861" s="290" t="s">
        <v>206</v>
      </c>
      <c r="F2861" s="383">
        <v>5.8000000000000003E-2</v>
      </c>
      <c r="G2861" s="292" t="s">
        <v>11376</v>
      </c>
      <c r="H2861" s="255">
        <v>0.82</v>
      </c>
      <c r="J2861" s="634"/>
      <c r="S2861" s="536"/>
      <c r="T2861" s="635"/>
    </row>
    <row r="2862" spans="1:68" s="298" customFormat="1" ht="12.75">
      <c r="A2862" s="286"/>
      <c r="B2862" s="375" t="s">
        <v>143</v>
      </c>
      <c r="C2862" s="816" t="s">
        <v>9007</v>
      </c>
      <c r="D2862" s="817"/>
      <c r="E2862" s="817"/>
      <c r="F2862" s="817"/>
      <c r="G2862" s="817"/>
      <c r="H2862" s="818"/>
      <c r="J2862" s="634"/>
      <c r="S2862" s="536"/>
      <c r="T2862" s="635"/>
    </row>
    <row r="2863" spans="1:68" s="529" customFormat="1" ht="12.75">
      <c r="A2863" s="286"/>
      <c r="B2863" s="822"/>
      <c r="C2863" s="817"/>
      <c r="D2863" s="817"/>
      <c r="E2863" s="817"/>
      <c r="F2863" s="817"/>
      <c r="G2863" s="817"/>
      <c r="H2863" s="818"/>
      <c r="I2863" s="298"/>
      <c r="J2863" s="521"/>
      <c r="K2863" s="298"/>
      <c r="L2863" s="298"/>
      <c r="M2863" s="298"/>
      <c r="N2863" s="298"/>
      <c r="O2863" s="298"/>
      <c r="P2863" s="298"/>
      <c r="Q2863" s="298"/>
      <c r="R2863" s="298"/>
      <c r="S2863" s="536"/>
      <c r="T2863" s="635"/>
      <c r="U2863" s="298"/>
      <c r="V2863" s="298"/>
      <c r="W2863" s="298"/>
      <c r="X2863" s="298"/>
      <c r="Y2863" s="298"/>
      <c r="Z2863" s="298"/>
      <c r="AA2863" s="298"/>
      <c r="AB2863" s="298"/>
      <c r="AC2863" s="298"/>
      <c r="AD2863" s="298"/>
      <c r="AE2863" s="298"/>
      <c r="AF2863" s="298"/>
      <c r="AG2863" s="298"/>
      <c r="AH2863" s="298"/>
      <c r="AI2863" s="298"/>
      <c r="AJ2863" s="298"/>
      <c r="AK2863" s="298"/>
      <c r="AL2863" s="298"/>
      <c r="AM2863" s="298"/>
      <c r="AN2863" s="298"/>
      <c r="AO2863" s="298"/>
      <c r="AP2863" s="298"/>
      <c r="AQ2863" s="298"/>
      <c r="AR2863" s="298"/>
      <c r="AS2863" s="298"/>
      <c r="AT2863" s="298"/>
      <c r="AU2863" s="298"/>
      <c r="AV2863" s="298"/>
      <c r="AW2863" s="298"/>
      <c r="AX2863" s="298"/>
      <c r="AY2863" s="298"/>
      <c r="AZ2863" s="298"/>
      <c r="BA2863" s="298"/>
      <c r="BB2863" s="298"/>
      <c r="BC2863" s="298"/>
      <c r="BD2863" s="298"/>
      <c r="BE2863" s="298"/>
      <c r="BF2863" s="298"/>
      <c r="BG2863" s="298"/>
      <c r="BH2863" s="298"/>
      <c r="BI2863" s="298"/>
      <c r="BJ2863" s="298"/>
      <c r="BK2863" s="298"/>
      <c r="BL2863" s="298"/>
      <c r="BM2863" s="298"/>
      <c r="BN2863" s="298"/>
      <c r="BO2863" s="298"/>
      <c r="BP2863" s="298"/>
    </row>
    <row r="2864" spans="1:68" s="529" customFormat="1" ht="25.5">
      <c r="A2864" s="286"/>
      <c r="B2864" s="372" t="s">
        <v>9675</v>
      </c>
      <c r="C2864" s="231" t="s">
        <v>9677</v>
      </c>
      <c r="D2864" s="232" t="s">
        <v>103</v>
      </c>
      <c r="E2864" s="232" t="s">
        <v>10</v>
      </c>
      <c r="F2864" s="233"/>
      <c r="G2864" s="234"/>
      <c r="H2864" s="235">
        <v>77.039999999999992</v>
      </c>
      <c r="I2864" s="298"/>
      <c r="J2864" s="521"/>
      <c r="K2864" s="298"/>
      <c r="L2864" s="298"/>
      <c r="M2864" s="298"/>
      <c r="N2864" s="298"/>
      <c r="O2864" s="298"/>
      <c r="P2864" s="298"/>
      <c r="Q2864" s="298"/>
      <c r="R2864" s="298"/>
      <c r="S2864" s="536"/>
      <c r="T2864" s="635"/>
      <c r="U2864" s="298"/>
      <c r="V2864" s="298"/>
      <c r="W2864" s="298"/>
      <c r="X2864" s="298"/>
      <c r="Y2864" s="298"/>
      <c r="Z2864" s="298"/>
      <c r="AA2864" s="298"/>
      <c r="AB2864" s="298"/>
      <c r="AC2864" s="298"/>
      <c r="AD2864" s="298"/>
      <c r="AE2864" s="298"/>
      <c r="AF2864" s="298"/>
      <c r="AG2864" s="298"/>
      <c r="AH2864" s="298"/>
      <c r="AI2864" s="298"/>
      <c r="AJ2864" s="298"/>
      <c r="AK2864" s="298"/>
      <c r="AL2864" s="298"/>
      <c r="AM2864" s="298"/>
      <c r="AN2864" s="298"/>
      <c r="AO2864" s="298"/>
      <c r="AP2864" s="298"/>
      <c r="AQ2864" s="298"/>
      <c r="AR2864" s="298"/>
      <c r="AS2864" s="298"/>
      <c r="AT2864" s="298"/>
      <c r="AU2864" s="298"/>
      <c r="AV2864" s="298"/>
      <c r="AW2864" s="298"/>
      <c r="AX2864" s="298"/>
      <c r="AY2864" s="298"/>
      <c r="AZ2864" s="298"/>
      <c r="BA2864" s="298"/>
      <c r="BB2864" s="298"/>
      <c r="BC2864" s="298"/>
      <c r="BD2864" s="298"/>
      <c r="BE2864" s="298"/>
      <c r="BF2864" s="298"/>
      <c r="BG2864" s="298"/>
      <c r="BH2864" s="298"/>
      <c r="BI2864" s="298"/>
      <c r="BJ2864" s="298"/>
      <c r="BK2864" s="298"/>
      <c r="BL2864" s="298"/>
      <c r="BM2864" s="298"/>
      <c r="BN2864" s="298"/>
      <c r="BO2864" s="298"/>
      <c r="BP2864" s="298"/>
    </row>
    <row r="2865" spans="1:68" s="298" customFormat="1" ht="25.5">
      <c r="A2865" s="256" t="s">
        <v>3259</v>
      </c>
      <c r="B2865" s="374">
        <v>88249</v>
      </c>
      <c r="C2865" s="289" t="s">
        <v>3051</v>
      </c>
      <c r="D2865" s="290" t="s">
        <v>9714</v>
      </c>
      <c r="E2865" s="290" t="s">
        <v>206</v>
      </c>
      <c r="F2865" s="383">
        <v>1</v>
      </c>
      <c r="G2865" s="292" t="s">
        <v>10374</v>
      </c>
      <c r="H2865" s="255">
        <v>29.93</v>
      </c>
      <c r="J2865" s="521"/>
      <c r="S2865" s="536"/>
      <c r="T2865" s="635"/>
    </row>
    <row r="2866" spans="1:68" s="298" customFormat="1" ht="25.5">
      <c r="A2866" s="256" t="s">
        <v>3259</v>
      </c>
      <c r="B2866" s="374">
        <v>88321</v>
      </c>
      <c r="C2866" s="289" t="s">
        <v>3099</v>
      </c>
      <c r="D2866" s="290" t="s">
        <v>9714</v>
      </c>
      <c r="E2866" s="290" t="s">
        <v>206</v>
      </c>
      <c r="F2866" s="383">
        <v>1</v>
      </c>
      <c r="G2866" s="292" t="s">
        <v>12353</v>
      </c>
      <c r="H2866" s="255">
        <v>47.11</v>
      </c>
      <c r="J2866" s="521"/>
      <c r="S2866" s="536"/>
      <c r="T2866" s="635"/>
    </row>
    <row r="2867" spans="1:68" s="529" customFormat="1" ht="12.75">
      <c r="A2867" s="286"/>
      <c r="B2867" s="375" t="s">
        <v>143</v>
      </c>
      <c r="C2867" s="816" t="s">
        <v>9676</v>
      </c>
      <c r="D2867" s="817"/>
      <c r="E2867" s="817"/>
      <c r="F2867" s="817"/>
      <c r="G2867" s="817"/>
      <c r="H2867" s="818"/>
      <c r="I2867" s="298"/>
      <c r="J2867" s="521"/>
      <c r="K2867" s="298"/>
      <c r="L2867" s="298"/>
      <c r="M2867" s="298"/>
      <c r="N2867" s="298"/>
      <c r="O2867" s="298"/>
      <c r="P2867" s="298"/>
      <c r="Q2867" s="298"/>
      <c r="R2867" s="298"/>
      <c r="S2867" s="536"/>
      <c r="T2867" s="635"/>
      <c r="U2867" s="298"/>
      <c r="V2867" s="298"/>
      <c r="W2867" s="298"/>
      <c r="X2867" s="298"/>
      <c r="Y2867" s="298"/>
      <c r="Z2867" s="298"/>
      <c r="AA2867" s="298"/>
      <c r="AB2867" s="298"/>
      <c r="AC2867" s="298"/>
      <c r="AD2867" s="298"/>
      <c r="AE2867" s="298"/>
      <c r="AF2867" s="298"/>
      <c r="AG2867" s="298"/>
      <c r="AH2867" s="298"/>
      <c r="AI2867" s="298"/>
      <c r="AJ2867" s="298"/>
      <c r="AK2867" s="298"/>
      <c r="AL2867" s="298"/>
      <c r="AM2867" s="298"/>
      <c r="AN2867" s="298"/>
      <c r="AO2867" s="298"/>
      <c r="AP2867" s="298"/>
      <c r="AQ2867" s="298"/>
      <c r="AR2867" s="298"/>
      <c r="AS2867" s="298"/>
      <c r="AT2867" s="298"/>
      <c r="AU2867" s="298"/>
      <c r="AV2867" s="298"/>
      <c r="AW2867" s="298"/>
      <c r="AX2867" s="298"/>
      <c r="AY2867" s="298"/>
      <c r="AZ2867" s="298"/>
      <c r="BA2867" s="298"/>
      <c r="BB2867" s="298"/>
      <c r="BC2867" s="298"/>
      <c r="BD2867" s="298"/>
      <c r="BE2867" s="298"/>
      <c r="BF2867" s="298"/>
      <c r="BG2867" s="298"/>
      <c r="BH2867" s="298"/>
      <c r="BI2867" s="298"/>
      <c r="BJ2867" s="298"/>
      <c r="BK2867" s="298"/>
      <c r="BL2867" s="298"/>
      <c r="BM2867" s="298"/>
      <c r="BN2867" s="298"/>
      <c r="BO2867" s="298"/>
      <c r="BP2867" s="298"/>
    </row>
    <row r="2868" spans="1:68" s="298" customFormat="1" ht="12.75">
      <c r="A2868" s="286"/>
      <c r="B2868" s="822"/>
      <c r="C2868" s="817"/>
      <c r="D2868" s="817"/>
      <c r="E2868" s="817"/>
      <c r="F2868" s="817"/>
      <c r="G2868" s="817"/>
      <c r="H2868" s="818"/>
      <c r="J2868" s="634"/>
      <c r="S2868" s="536"/>
      <c r="T2868" s="635"/>
    </row>
    <row r="2869" spans="1:68" s="298" customFormat="1" ht="76.5">
      <c r="A2869" s="286"/>
      <c r="B2869" s="372" t="s">
        <v>9011</v>
      </c>
      <c r="C2869" s="231" t="s">
        <v>24881</v>
      </c>
      <c r="D2869" s="232" t="s">
        <v>103</v>
      </c>
      <c r="E2869" s="232" t="s">
        <v>10</v>
      </c>
      <c r="F2869" s="233"/>
      <c r="G2869" s="234"/>
      <c r="H2869" s="235">
        <v>238677.84000000003</v>
      </c>
      <c r="J2869" s="634"/>
      <c r="S2869" s="536"/>
      <c r="T2869" s="635"/>
    </row>
    <row r="2870" spans="1:68" s="298" customFormat="1" ht="25.5">
      <c r="A2870" s="256" t="s">
        <v>3259</v>
      </c>
      <c r="B2870" s="288">
        <v>93563</v>
      </c>
      <c r="C2870" s="289" t="s">
        <v>164</v>
      </c>
      <c r="D2870" s="290" t="s">
        <v>9714</v>
      </c>
      <c r="E2870" s="290" t="s">
        <v>380</v>
      </c>
      <c r="F2870" s="383">
        <v>8</v>
      </c>
      <c r="G2870" s="292" t="s">
        <v>14287</v>
      </c>
      <c r="H2870" s="255">
        <v>39176.720000000001</v>
      </c>
      <c r="J2870" s="634"/>
      <c r="S2870" s="536"/>
      <c r="T2870" s="635"/>
    </row>
    <row r="2871" spans="1:68" s="298" customFormat="1" ht="25.5">
      <c r="A2871" s="256" t="s">
        <v>3259</v>
      </c>
      <c r="B2871" s="288">
        <v>93565</v>
      </c>
      <c r="C2871" s="289" t="s">
        <v>3114</v>
      </c>
      <c r="D2871" s="290" t="s">
        <v>9714</v>
      </c>
      <c r="E2871" s="290" t="s">
        <v>380</v>
      </c>
      <c r="F2871" s="383">
        <v>4</v>
      </c>
      <c r="G2871" s="292" t="s">
        <v>14289</v>
      </c>
      <c r="H2871" s="255">
        <v>66127.28</v>
      </c>
      <c r="J2871" s="634"/>
      <c r="S2871" s="536"/>
      <c r="T2871" s="635"/>
    </row>
    <row r="2872" spans="1:68" s="298" customFormat="1" ht="25.5">
      <c r="A2872" s="256" t="s">
        <v>3259</v>
      </c>
      <c r="B2872" s="288">
        <v>94295</v>
      </c>
      <c r="C2872" s="289" t="s">
        <v>165</v>
      </c>
      <c r="D2872" s="290" t="s">
        <v>9714</v>
      </c>
      <c r="E2872" s="290" t="s">
        <v>380</v>
      </c>
      <c r="F2872" s="383">
        <v>8</v>
      </c>
      <c r="G2872" s="292" t="s">
        <v>24395</v>
      </c>
      <c r="H2872" s="255">
        <v>40803.199999999997</v>
      </c>
      <c r="J2872" s="634"/>
      <c r="S2872" s="536"/>
      <c r="T2872" s="635"/>
    </row>
    <row r="2873" spans="1:68" s="298" customFormat="1" ht="25.5">
      <c r="A2873" s="256" t="s">
        <v>3259</v>
      </c>
      <c r="B2873" s="288">
        <v>93572</v>
      </c>
      <c r="C2873" s="289" t="s">
        <v>291</v>
      </c>
      <c r="D2873" s="290" t="s">
        <v>9714</v>
      </c>
      <c r="E2873" s="290" t="s">
        <v>380</v>
      </c>
      <c r="F2873" s="383">
        <v>8</v>
      </c>
      <c r="G2873" s="292" t="s">
        <v>24394</v>
      </c>
      <c r="H2873" s="255">
        <v>27722</v>
      </c>
      <c r="J2873" s="634"/>
      <c r="S2873" s="536"/>
      <c r="T2873" s="635"/>
    </row>
    <row r="2874" spans="1:68" s="298" customFormat="1" ht="25.5">
      <c r="A2874" s="256" t="s">
        <v>14338</v>
      </c>
      <c r="B2874" s="288" t="s">
        <v>11586</v>
      </c>
      <c r="C2874" s="289" t="s">
        <v>15151</v>
      </c>
      <c r="D2874" s="290" t="s">
        <v>229</v>
      </c>
      <c r="E2874" s="290" t="s">
        <v>3772</v>
      </c>
      <c r="F2874" s="383">
        <v>8</v>
      </c>
      <c r="G2874" s="292">
        <v>8106.08</v>
      </c>
      <c r="H2874" s="255">
        <v>64848.639999999999</v>
      </c>
      <c r="J2874" s="634"/>
      <c r="S2874" s="536"/>
      <c r="T2874" s="635"/>
    </row>
    <row r="2875" spans="1:68" s="298" customFormat="1">
      <c r="A2875" s="286"/>
      <c r="B2875" s="375" t="s">
        <v>143</v>
      </c>
      <c r="C2875" s="816"/>
      <c r="D2875" s="817"/>
      <c r="E2875" s="817"/>
      <c r="F2875" s="817"/>
      <c r="G2875" s="817"/>
      <c r="H2875" s="818"/>
      <c r="J2875" s="634"/>
      <c r="R2875" s="637"/>
      <c r="S2875" s="633"/>
    </row>
    <row r="2876" spans="1:68" ht="9.75" customHeight="1">
      <c r="J2876" s="72"/>
      <c r="K2876" s="92"/>
      <c r="L2876" s="92"/>
      <c r="M2876" s="92"/>
      <c r="P2876" s="92"/>
      <c r="Q2876" s="92"/>
      <c r="R2876" s="70"/>
    </row>
    <row r="2877" spans="1:68" s="183" customFormat="1" ht="58.15" customHeight="1">
      <c r="A2877" s="128"/>
      <c r="B2877" s="808" t="str">
        <f>'018.02-21-IMPLANTAÇÃO'!B440:J440</f>
        <v>ENG. GABRIEL DA CUNHA ARAUJO
CREA 23300/D-DF
ART: 0720210046394
MAT.: 973.175-X</v>
      </c>
      <c r="C2877" s="808"/>
      <c r="D2877" s="808"/>
      <c r="E2877" s="808"/>
      <c r="F2877" s="808"/>
      <c r="G2877" s="808"/>
      <c r="H2877" s="808"/>
      <c r="J2877" s="176"/>
      <c r="N2877" s="70"/>
      <c r="O2877" s="70"/>
      <c r="S2877" s="633"/>
      <c r="T2877" s="637"/>
    </row>
    <row r="2878" spans="1:68" s="183" customFormat="1" ht="58.15" customHeight="1">
      <c r="A2878" s="128"/>
      <c r="B2878" s="808" t="str">
        <f>'018.02-21-IMPLANTAÇÃO'!B441:J441</f>
        <v>ENG. GILMAR DA MOTA FERNANDES
CREA 23785/D-DF
ART: 0720210047629
MAT.: 973.113-X</v>
      </c>
      <c r="C2878" s="808"/>
      <c r="D2878" s="808"/>
      <c r="E2878" s="808"/>
      <c r="F2878" s="808"/>
      <c r="G2878" s="808"/>
      <c r="H2878" s="808"/>
      <c r="J2878" s="176"/>
      <c r="N2878" s="70"/>
      <c r="O2878" s="70"/>
      <c r="S2878" s="633"/>
      <c r="T2878" s="637"/>
    </row>
    <row r="2879" spans="1:68" s="183" customFormat="1" ht="58.15" customHeight="1">
      <c r="A2879" s="128"/>
      <c r="B2879" s="808" t="str">
        <f>'018.02-21-IMPLANTAÇÃO'!B442:J442</f>
        <v>ENG. TIAGO DE SOUZA OLIVEIRA
CREA 24935/D-DF
ART: 0720210047000
MAT.: 973.315-9</v>
      </c>
      <c r="C2879" s="808"/>
      <c r="D2879" s="808"/>
      <c r="E2879" s="808"/>
      <c r="F2879" s="808"/>
      <c r="G2879" s="808"/>
      <c r="H2879" s="808"/>
      <c r="J2879" s="176"/>
      <c r="N2879" s="70"/>
      <c r="O2879" s="70"/>
      <c r="S2879" s="633"/>
      <c r="T2879" s="637"/>
    </row>
    <row r="2880" spans="1:68">
      <c r="J2880" s="70"/>
    </row>
  </sheetData>
  <autoFilter ref="B9:H2879"/>
  <mergeCells count="326">
    <mergeCell ref="C175:H175"/>
    <mergeCell ref="C182:H182"/>
    <mergeCell ref="C192:H192"/>
    <mergeCell ref="C377:H377"/>
    <mergeCell ref="C298:H298"/>
    <mergeCell ref="C308:H308"/>
    <mergeCell ref="C2567:H2567"/>
    <mergeCell ref="C93:H93"/>
    <mergeCell ref="C141:H141"/>
    <mergeCell ref="C103:H103"/>
    <mergeCell ref="C110:H110"/>
    <mergeCell ref="C115:H115"/>
    <mergeCell ref="C120:H120"/>
    <mergeCell ref="C125:H125"/>
    <mergeCell ref="C130:H130"/>
    <mergeCell ref="C135:H135"/>
    <mergeCell ref="C2107:H2107"/>
    <mergeCell ref="C2143:H2143"/>
    <mergeCell ref="C2123:H2123"/>
    <mergeCell ref="C2252:H2252"/>
    <mergeCell ref="C2173:H2173"/>
    <mergeCell ref="C318:H318"/>
    <mergeCell ref="C322:H322"/>
    <mergeCell ref="C1732:H1732"/>
    <mergeCell ref="C2844:H2844"/>
    <mergeCell ref="C342:H342"/>
    <mergeCell ref="C350:H350"/>
    <mergeCell ref="C354:H354"/>
    <mergeCell ref="C362:H362"/>
    <mergeCell ref="C394:H394"/>
    <mergeCell ref="C404:H404"/>
    <mergeCell ref="C2212:H2212"/>
    <mergeCell ref="C2391:H2391"/>
    <mergeCell ref="C2332:H2332"/>
    <mergeCell ref="C2429:H2429"/>
    <mergeCell ref="C2118:H2118"/>
    <mergeCell ref="C2206:H2206"/>
    <mergeCell ref="C2199:H2199"/>
    <mergeCell ref="C2319:H2319"/>
    <mergeCell ref="C2378:H2378"/>
    <mergeCell ref="C2233:H2233"/>
    <mergeCell ref="C2239:H2239"/>
    <mergeCell ref="C1676:H1676"/>
    <mergeCell ref="C1686:H1686"/>
    <mergeCell ref="C1634:H1634"/>
    <mergeCell ref="C1239:H1239"/>
    <mergeCell ref="C1813:H1813"/>
    <mergeCell ref="C1820:H1820"/>
    <mergeCell ref="C1648:H1648"/>
    <mergeCell ref="C1756:H1756"/>
    <mergeCell ref="C1708:H1708"/>
    <mergeCell ref="C1720:H1720"/>
    <mergeCell ref="C1726:H1726"/>
    <mergeCell ref="C328:H328"/>
    <mergeCell ref="C1795:H1795"/>
    <mergeCell ref="C1801:H1801"/>
    <mergeCell ref="C1212:H1212"/>
    <mergeCell ref="C947:H947"/>
    <mergeCell ref="C959:H959"/>
    <mergeCell ref="C955:H955"/>
    <mergeCell ref="C963:H963"/>
    <mergeCell ref="C967:H967"/>
    <mergeCell ref="C971:H971"/>
    <mergeCell ref="C1019:H1019"/>
    <mergeCell ref="C1014:H1014"/>
    <mergeCell ref="C1250:H1250"/>
    <mergeCell ref="C1254:H1254"/>
    <mergeCell ref="C1261:H1261"/>
    <mergeCell ref="C1176:H1176"/>
    <mergeCell ref="C1185:H1185"/>
    <mergeCell ref="C1194:H1194"/>
    <mergeCell ref="C1203:H1203"/>
    <mergeCell ref="C2626:H2626"/>
    <mergeCell ref="C2598:H2598"/>
    <mergeCell ref="C1288:H1288"/>
    <mergeCell ref="C1531:H1531"/>
    <mergeCell ref="C1524:H1524"/>
    <mergeCell ref="C1954:H1954"/>
    <mergeCell ref="C1916:H1916"/>
    <mergeCell ref="C1926:H1926"/>
    <mergeCell ref="C1932:H1932"/>
    <mergeCell ref="C1844:H1844"/>
    <mergeCell ref="C1906:H1906"/>
    <mergeCell ref="C1938:H1938"/>
    <mergeCell ref="C1946:H1946"/>
    <mergeCell ref="C2561:H2561"/>
    <mergeCell ref="C2483:H2483"/>
    <mergeCell ref="C2325:H2325"/>
    <mergeCell ref="C2186:H2186"/>
    <mergeCell ref="C2193:H2193"/>
    <mergeCell ref="C2101:H2101"/>
    <mergeCell ref="C2179:H2179"/>
    <mergeCell ref="B2207:H2207"/>
    <mergeCell ref="B1368:H1368"/>
    <mergeCell ref="C1331:H1331"/>
    <mergeCell ref="C2268:H2268"/>
    <mergeCell ref="C830:H830"/>
    <mergeCell ref="C334:H334"/>
    <mergeCell ref="C370:H370"/>
    <mergeCell ref="C876:H876"/>
    <mergeCell ref="C890:H890"/>
    <mergeCell ref="C1538:H1538"/>
    <mergeCell ref="B818:H818"/>
    <mergeCell ref="C1149:H1149"/>
    <mergeCell ref="C1158:H1158"/>
    <mergeCell ref="C824:H824"/>
    <mergeCell ref="C1474:H1474"/>
    <mergeCell ref="C1481:H1481"/>
    <mergeCell ref="B1482:H1482"/>
    <mergeCell ref="C1488:H1488"/>
    <mergeCell ref="C1382:H1382"/>
    <mergeCell ref="B1383:H1383"/>
    <mergeCell ref="B1332:H1332"/>
    <mergeCell ref="B1395:H1395"/>
    <mergeCell ref="C1403:H1403"/>
    <mergeCell ref="C1367:H1367"/>
    <mergeCell ref="B1350:H1350"/>
    <mergeCell ref="C1502:H1502"/>
    <mergeCell ref="B1389:H1389"/>
    <mergeCell ref="C991:H991"/>
    <mergeCell ref="B1:H1"/>
    <mergeCell ref="B2:H2"/>
    <mergeCell ref="B3:H3"/>
    <mergeCell ref="B4:H4"/>
    <mergeCell ref="B5:H5"/>
    <mergeCell ref="C7:E7"/>
    <mergeCell ref="C2582:H2582"/>
    <mergeCell ref="C2588:H2588"/>
    <mergeCell ref="C1004:H1004"/>
    <mergeCell ref="C1009:H1009"/>
    <mergeCell ref="C987:H987"/>
    <mergeCell ref="C1221:H1221"/>
    <mergeCell ref="C2575:H2575"/>
    <mergeCell ref="C2542:H2542"/>
    <mergeCell ref="C2161:H2161"/>
    <mergeCell ref="C17:H17"/>
    <mergeCell ref="C51:H51"/>
    <mergeCell ref="C73:H73"/>
    <mergeCell ref="C79:H79"/>
    <mergeCell ref="C89:H89"/>
    <mergeCell ref="C98:H98"/>
    <mergeCell ref="C25:H25"/>
    <mergeCell ref="C1306:H1306"/>
    <mergeCell ref="C384:H384"/>
    <mergeCell ref="C1297:H1297"/>
    <mergeCell ref="C1563:H1563"/>
    <mergeCell ref="B2878:H2878"/>
    <mergeCell ref="B2879:H2879"/>
    <mergeCell ref="C2733:H2733"/>
    <mergeCell ref="C2746:H2746"/>
    <mergeCell ref="B2877:H2877"/>
    <mergeCell ref="C2854:H2854"/>
    <mergeCell ref="B2859:H2859"/>
    <mergeCell ref="C2862:H2862"/>
    <mergeCell ref="C2875:H2875"/>
    <mergeCell ref="C2849:H2849"/>
    <mergeCell ref="B2868:H2868"/>
    <mergeCell ref="C2867:H2867"/>
    <mergeCell ref="C2817:H2817"/>
    <mergeCell ref="C2823:H2823"/>
    <mergeCell ref="C2829:H2829"/>
    <mergeCell ref="C2739:H2739"/>
    <mergeCell ref="C2752:H2752"/>
    <mergeCell ref="B2863:H2863"/>
    <mergeCell ref="C2858:H2858"/>
    <mergeCell ref="C2757:H2757"/>
    <mergeCell ref="C2811:H2811"/>
    <mergeCell ref="C2632:H2632"/>
    <mergeCell ref="B1359:H1359"/>
    <mergeCell ref="C1838:H1838"/>
    <mergeCell ref="C999:H999"/>
    <mergeCell ref="B2296:H2296"/>
    <mergeCell ref="C2303:H2303"/>
    <mergeCell ref="C1894:H1894"/>
    <mergeCell ref="C1852:H1852"/>
    <mergeCell ref="C1858:H1858"/>
    <mergeCell ref="C2113:H2113"/>
    <mergeCell ref="B2054:H2054"/>
    <mergeCell ref="C2064:H2064"/>
    <mergeCell ref="C2075:H2075"/>
    <mergeCell ref="B1587:H1587"/>
    <mergeCell ref="C1744:H1744"/>
    <mergeCell ref="C1768:H1768"/>
    <mergeCell ref="C1750:H1750"/>
    <mergeCell ref="C1279:H1279"/>
    <mergeCell ref="C1167:H1167"/>
    <mergeCell ref="C1246:H1246"/>
    <mergeCell ref="C1666:H1666"/>
    <mergeCell ref="C1513:H1513"/>
    <mergeCell ref="C1518:H1518"/>
    <mergeCell ref="C1349:H1349"/>
    <mergeCell ref="C1230:H1230"/>
    <mergeCell ref="C2621:H2621"/>
    <mergeCell ref="C2613:H2613"/>
    <mergeCell ref="C2547:H2547"/>
    <mergeCell ref="C2537:H2537"/>
    <mergeCell ref="C1692:H1692"/>
    <mergeCell ref="C1698:H1698"/>
    <mergeCell ref="C1807:H1807"/>
    <mergeCell ref="C1714:H1714"/>
    <mergeCell ref="C1900:H1900"/>
    <mergeCell ref="C1738:H1738"/>
    <mergeCell ref="C1888:H1888"/>
    <mergeCell ref="C1864:H1864"/>
    <mergeCell ref="B1865:H1865"/>
    <mergeCell ref="C1788:H1788"/>
    <mergeCell ref="C2553:H2553"/>
    <mergeCell ref="C2385:H2385"/>
    <mergeCell ref="C2351:H2351"/>
    <mergeCell ref="C2593:H2593"/>
    <mergeCell ref="C2362:H2362"/>
    <mergeCell ref="C2218:H2218"/>
    <mergeCell ref="C2223:H2223"/>
    <mergeCell ref="C1826:H1826"/>
    <mergeCell ref="C1832:H1832"/>
    <mergeCell ref="C1571:H1571"/>
    <mergeCell ref="C1576:H1576"/>
    <mergeCell ref="C1581:H1581"/>
    <mergeCell ref="C1586:H1586"/>
    <mergeCell ref="N143:O143"/>
    <mergeCell ref="C151:H151"/>
    <mergeCell ref="J143:K143"/>
    <mergeCell ref="L143:M143"/>
    <mergeCell ref="C157:H157"/>
    <mergeCell ref="C1048:H1048"/>
    <mergeCell ref="C908:H908"/>
    <mergeCell ref="C913:H913"/>
    <mergeCell ref="C922:H922"/>
    <mergeCell ref="C1032:H1032"/>
    <mergeCell ref="C1024:H1024"/>
    <mergeCell ref="C1039:H1039"/>
    <mergeCell ref="C975:H975"/>
    <mergeCell ref="C979:H979"/>
    <mergeCell ref="C983:H983"/>
    <mergeCell ref="C928:H928"/>
    <mergeCell ref="C506:H506"/>
    <mergeCell ref="C474:H474"/>
    <mergeCell ref="C432:H432"/>
    <mergeCell ref="C166:H166"/>
    <mergeCell ref="C2095:H2095"/>
    <mergeCell ref="C1656:H1656"/>
    <mergeCell ref="C951:H951"/>
    <mergeCell ref="C869:H869"/>
    <mergeCell ref="C903:H903"/>
    <mergeCell ref="C836:H836"/>
    <mergeCell ref="B1307:H1307"/>
    <mergeCell ref="C1313:H1313"/>
    <mergeCell ref="C1626:H1626"/>
    <mergeCell ref="C1640:H1640"/>
    <mergeCell ref="C1374:H1374"/>
    <mergeCell ref="B1375:H1375"/>
    <mergeCell ref="C1445:H1445"/>
    <mergeCell ref="B1446:H1446"/>
    <mergeCell ref="C1453:H1453"/>
    <mergeCell ref="C1556:H1556"/>
    <mergeCell ref="C883:H883"/>
    <mergeCell ref="C897:H897"/>
    <mergeCell ref="C940:H940"/>
    <mergeCell ref="C1270:H1270"/>
    <mergeCell ref="C1340:H1340"/>
    <mergeCell ref="C1549:H1549"/>
    <mergeCell ref="C1358:H1358"/>
    <mergeCell ref="C1495:H1495"/>
    <mergeCell ref="C2793:H2793"/>
    <mergeCell ref="C2799:H2799"/>
    <mergeCell ref="C2805:H2805"/>
    <mergeCell ref="C2656:H2656"/>
    <mergeCell ref="C2663:H2663"/>
    <mergeCell ref="C2671:H2671"/>
    <mergeCell ref="C2691:H2691"/>
    <mergeCell ref="C2709:H2709"/>
    <mergeCell ref="C2715:H2715"/>
    <mergeCell ref="C2726:H2726"/>
    <mergeCell ref="C2763:H2763"/>
    <mergeCell ref="C2679:H2679"/>
    <mergeCell ref="C2769:H2769"/>
    <mergeCell ref="C2775:H2775"/>
    <mergeCell ref="C2787:H2787"/>
    <mergeCell ref="C2605:H2605"/>
    <mergeCell ref="C2167:H2167"/>
    <mergeCell ref="C1762:H1762"/>
    <mergeCell ref="C2129:H2129"/>
    <mergeCell ref="C2396:H2396"/>
    <mergeCell ref="C478:H478"/>
    <mergeCell ref="C482:H482"/>
    <mergeCell ref="C486:H486"/>
    <mergeCell ref="C1064:H1064"/>
    <mergeCell ref="C1124:H1124"/>
    <mergeCell ref="C2403:H2403"/>
    <mergeCell ref="C2410:H2410"/>
    <mergeCell ref="C2417:H2417"/>
    <mergeCell ref="C2423:H2423"/>
    <mergeCell ref="C1774:H1774"/>
    <mergeCell ref="C1780:H1780"/>
    <mergeCell ref="C1960:H1960"/>
    <mergeCell ref="C1966:H1966"/>
    <mergeCell ref="C1971:H1971"/>
    <mergeCell ref="C1978:H1978"/>
    <mergeCell ref="C1882:H1882"/>
    <mergeCell ref="C1870:H1870"/>
    <mergeCell ref="C1876:H1876"/>
    <mergeCell ref="B2076:H2076"/>
    <mergeCell ref="C439:H439"/>
    <mergeCell ref="C13:H13"/>
    <mergeCell ref="C2837:H2837"/>
    <mergeCell ref="C842:H842"/>
    <mergeCell ref="C855:H855"/>
    <mergeCell ref="C861:H861"/>
    <mergeCell ref="C933:H933"/>
    <mergeCell ref="C1394:H1394"/>
    <mergeCell ref="B1341:H1341"/>
    <mergeCell ref="C1388:H1388"/>
    <mergeCell ref="C202:H202"/>
    <mergeCell ref="C212:H212"/>
    <mergeCell ref="C222:H222"/>
    <mergeCell ref="C232:H232"/>
    <mergeCell ref="C242:H242"/>
    <mergeCell ref="C252:H252"/>
    <mergeCell ref="C262:H262"/>
    <mergeCell ref="C272:H272"/>
    <mergeCell ref="C282:H282"/>
    <mergeCell ref="C288:H288"/>
    <mergeCell ref="C410:H410"/>
    <mergeCell ref="C416:H416"/>
    <mergeCell ref="C422:H422"/>
    <mergeCell ref="C428:H428"/>
  </mergeCells>
  <printOptions horizontalCentered="1"/>
  <pageMargins left="0.70866141732283472" right="0.74803149606299213" top="0.33" bottom="0.32" header="0.11811023622047245" footer="0.11811023622047245"/>
  <pageSetup paperSize="9" scale="65" fitToHeight="78" orientation="portrait" r:id="rId1"/>
  <headerFooter>
    <oddHeader>&amp;C&amp;F</oddHeader>
    <oddFooter>Página &amp;P de &amp;N</oddFooter>
  </headerFooter>
  <drawing r:id="rId2"/>
  <legacyDrawing r:id="rId3"/>
</worksheet>
</file>

<file path=xl/worksheets/sheet10.xml><?xml version="1.0" encoding="utf-8"?>
<worksheet xmlns="http://schemas.openxmlformats.org/spreadsheetml/2006/main" xmlns:r="http://schemas.openxmlformats.org/officeDocument/2006/relationships">
  <sheetPr>
    <tabColor rgb="FF00B0F0"/>
  </sheetPr>
  <dimension ref="A1:X291"/>
  <sheetViews>
    <sheetView showGridLines="0" view="pageBreakPreview" zoomScaleNormal="100" zoomScaleSheetLayoutView="100" workbookViewId="0">
      <selection activeCell="K13" sqref="K13"/>
    </sheetView>
  </sheetViews>
  <sheetFormatPr defaultColWidth="9.140625" defaultRowHeight="15"/>
  <cols>
    <col min="1" max="1" width="10.140625" style="377" customWidth="1"/>
    <col min="2" max="2" width="12.5703125" style="377" customWidth="1"/>
    <col min="3" max="3" width="44.42578125" style="380" customWidth="1"/>
    <col min="4" max="4" width="8.140625" style="377" customWidth="1"/>
    <col min="5" max="5" width="7.5703125" style="377" customWidth="1"/>
    <col min="6" max="6" width="14.42578125" style="377" customWidth="1"/>
    <col min="7" max="7" width="10.7109375" style="377" customWidth="1"/>
    <col min="8" max="8" width="17" style="377" customWidth="1"/>
    <col min="9" max="9" width="9.140625" style="77" customWidth="1"/>
    <col min="10" max="10" width="21.140625" style="177" customWidth="1"/>
    <col min="11" max="11" width="17.5703125" style="77" customWidth="1"/>
    <col min="12" max="14" width="14.7109375" style="77" customWidth="1"/>
    <col min="15" max="15" width="13.42578125" style="77" customWidth="1"/>
    <col min="16" max="17" width="14.7109375" style="77" customWidth="1"/>
    <col min="18" max="16384" width="9.140625" style="77"/>
  </cols>
  <sheetData>
    <row r="1" spans="1:24" s="86" customFormat="1" ht="5.25" customHeight="1">
      <c r="A1" s="127"/>
      <c r="B1" s="814"/>
      <c r="C1" s="814"/>
      <c r="D1" s="814"/>
      <c r="E1" s="814"/>
      <c r="F1" s="814"/>
      <c r="G1" s="814"/>
      <c r="H1" s="814"/>
      <c r="I1" s="87"/>
    </row>
    <row r="2" spans="1:24" s="74" customFormat="1" ht="18.75">
      <c r="A2" s="371"/>
      <c r="B2" s="831" t="s">
        <v>3765</v>
      </c>
      <c r="C2" s="831"/>
      <c r="D2" s="831"/>
      <c r="E2" s="831"/>
      <c r="F2" s="831"/>
      <c r="G2" s="831"/>
      <c r="H2" s="831"/>
      <c r="I2" s="132"/>
      <c r="J2" s="132"/>
      <c r="K2" s="132"/>
      <c r="L2" s="72"/>
      <c r="M2" s="72"/>
      <c r="N2" s="72"/>
      <c r="O2" s="72"/>
      <c r="P2" s="72"/>
      <c r="Q2" s="72"/>
      <c r="R2" s="72"/>
      <c r="S2" s="72"/>
      <c r="T2" s="72"/>
      <c r="U2" s="72"/>
      <c r="V2" s="72"/>
      <c r="W2" s="72"/>
      <c r="X2" s="72"/>
    </row>
    <row r="3" spans="1:24" s="74" customFormat="1" ht="18.75">
      <c r="A3" s="371"/>
      <c r="B3" s="831" t="s">
        <v>3766</v>
      </c>
      <c r="C3" s="831"/>
      <c r="D3" s="831"/>
      <c r="E3" s="831"/>
      <c r="F3" s="831"/>
      <c r="G3" s="831"/>
      <c r="H3" s="831"/>
      <c r="I3" s="132"/>
      <c r="J3" s="132"/>
      <c r="K3" s="132"/>
      <c r="L3" s="72"/>
      <c r="M3" s="72"/>
      <c r="N3" s="72"/>
      <c r="O3" s="72"/>
      <c r="P3" s="72"/>
      <c r="Q3" s="72"/>
      <c r="R3" s="72"/>
      <c r="S3" s="72"/>
      <c r="T3" s="72"/>
      <c r="U3" s="72"/>
      <c r="V3" s="72"/>
      <c r="W3" s="72"/>
      <c r="X3" s="72"/>
    </row>
    <row r="4" spans="1:24" s="74" customFormat="1" ht="18.75">
      <c r="A4" s="371"/>
      <c r="B4" s="831" t="s">
        <v>3768</v>
      </c>
      <c r="C4" s="831"/>
      <c r="D4" s="831"/>
      <c r="E4" s="831"/>
      <c r="F4" s="831"/>
      <c r="G4" s="831"/>
      <c r="H4" s="831"/>
      <c r="I4" s="132"/>
      <c r="J4" s="132"/>
      <c r="K4" s="132"/>
      <c r="L4" s="75"/>
      <c r="M4" s="75"/>
      <c r="N4" s="75"/>
      <c r="O4" s="73"/>
      <c r="P4" s="72"/>
      <c r="Q4" s="72"/>
      <c r="R4" s="72"/>
      <c r="S4" s="72"/>
      <c r="T4" s="72"/>
      <c r="U4" s="72"/>
      <c r="V4" s="72"/>
      <c r="W4" s="72"/>
      <c r="X4" s="72"/>
    </row>
    <row r="5" spans="1:24" s="74" customFormat="1" ht="18.75">
      <c r="A5" s="371"/>
      <c r="B5" s="831" t="s">
        <v>14337</v>
      </c>
      <c r="C5" s="831"/>
      <c r="D5" s="831"/>
      <c r="E5" s="831"/>
      <c r="F5" s="831"/>
      <c r="G5" s="831"/>
      <c r="H5" s="831"/>
      <c r="I5" s="132"/>
      <c r="J5" s="132"/>
      <c r="K5" s="132"/>
      <c r="L5" s="72"/>
      <c r="M5" s="72"/>
      <c r="N5" s="72"/>
      <c r="O5" s="73"/>
      <c r="P5" s="72"/>
      <c r="Q5" s="72"/>
      <c r="R5" s="72"/>
      <c r="S5" s="72"/>
      <c r="T5" s="72"/>
      <c r="U5" s="72"/>
      <c r="V5" s="72"/>
      <c r="W5" s="72"/>
      <c r="X5" s="72"/>
    </row>
    <row r="6" spans="1:24" s="67" customFormat="1" ht="38.25">
      <c r="A6" s="130"/>
      <c r="B6" s="311" t="s">
        <v>101</v>
      </c>
      <c r="C6" s="294" t="str">
        <f>'018-21-CCU''s'!C6</f>
        <v>018/2021-SEORÇA-SDS</v>
      </c>
      <c r="D6" s="305"/>
      <c r="E6" s="305"/>
      <c r="F6" s="130"/>
      <c r="G6" s="327" t="s">
        <v>61</v>
      </c>
      <c r="H6" s="328">
        <f>'018-21-CAPA'!E20</f>
        <v>44389</v>
      </c>
      <c r="I6" s="69"/>
      <c r="L6" s="66"/>
      <c r="M6" s="66"/>
      <c r="N6" s="66"/>
      <c r="O6" s="66"/>
      <c r="P6" s="66"/>
      <c r="Q6" s="66"/>
      <c r="R6" s="66"/>
      <c r="S6" s="66"/>
      <c r="T6" s="66"/>
      <c r="U6" s="66"/>
    </row>
    <row r="7" spans="1:24" s="67" customFormat="1" ht="25.5">
      <c r="A7" s="130"/>
      <c r="B7" s="311" t="s">
        <v>13</v>
      </c>
      <c r="C7" s="832" t="str">
        <f>'018-21-CCU''s'!C7:E7</f>
        <v>ORÇ. REFORMA DO RESTAURANTE COMUNITÁRIO DE ARNIQUEIRAS</v>
      </c>
      <c r="D7" s="813"/>
      <c r="E7" s="813"/>
      <c r="F7" s="130"/>
      <c r="G7" s="311" t="s">
        <v>16</v>
      </c>
      <c r="H7" s="329" t="str">
        <f>'018.03-21-ED. PRINCIPAL'!J7</f>
        <v>PROJ-DE-045-20</v>
      </c>
      <c r="I7" s="68"/>
      <c r="L7" s="66"/>
      <c r="M7" s="66"/>
      <c r="N7" s="66"/>
      <c r="O7" s="66"/>
      <c r="P7" s="66"/>
      <c r="Q7" s="66"/>
      <c r="R7" s="66"/>
      <c r="S7" s="66"/>
      <c r="T7" s="66"/>
      <c r="U7" s="66"/>
    </row>
    <row r="8" spans="1:24" s="67" customFormat="1" ht="38.25">
      <c r="A8" s="130"/>
      <c r="B8" s="311" t="s">
        <v>102</v>
      </c>
      <c r="C8" s="378" t="str">
        <f>'018-21-CCU''s'!C8</f>
        <v>horista=113,69% / mensalista=73,06%</v>
      </c>
      <c r="D8" s="347" t="s">
        <v>66</v>
      </c>
      <c r="E8" s="306" t="s">
        <v>67</v>
      </c>
      <c r="F8" s="130"/>
      <c r="G8" s="327" t="s">
        <v>68</v>
      </c>
      <c r="H8" s="305" t="str">
        <f>'018-21-CCU''s'!H8</f>
        <v>SINAPI MAIO 2021</v>
      </c>
      <c r="I8" s="69"/>
      <c r="L8" s="66"/>
      <c r="M8" s="66"/>
      <c r="N8" s="66"/>
      <c r="O8" s="66"/>
      <c r="P8" s="66"/>
      <c r="Q8" s="66"/>
      <c r="R8" s="66"/>
      <c r="S8" s="66"/>
      <c r="T8" s="66"/>
      <c r="U8" s="66"/>
    </row>
    <row r="9" spans="1:24" s="88" customFormat="1" ht="25.5">
      <c r="A9" s="286"/>
      <c r="B9" s="372" t="s">
        <v>0</v>
      </c>
      <c r="C9" s="231" t="s">
        <v>1</v>
      </c>
      <c r="D9" s="232" t="s">
        <v>9715</v>
      </c>
      <c r="E9" s="232" t="s">
        <v>171</v>
      </c>
      <c r="F9" s="233" t="s">
        <v>11592</v>
      </c>
      <c r="G9" s="234" t="s">
        <v>15158</v>
      </c>
      <c r="H9" s="235" t="s">
        <v>15159</v>
      </c>
      <c r="J9" s="175"/>
    </row>
    <row r="10" spans="1:24" s="88" customFormat="1" ht="6" customHeight="1">
      <c r="A10" s="286"/>
      <c r="B10" s="373"/>
      <c r="C10" s="379"/>
      <c r="D10" s="382"/>
      <c r="E10" s="382"/>
      <c r="F10" s="382"/>
      <c r="G10" s="382"/>
      <c r="H10" s="382"/>
      <c r="J10" s="174"/>
    </row>
    <row r="11" spans="1:24" s="92" customFormat="1" ht="51">
      <c r="A11" s="286"/>
      <c r="B11" s="372" t="s">
        <v>15363</v>
      </c>
      <c r="C11" s="231" t="s">
        <v>24597</v>
      </c>
      <c r="D11" s="232" t="s">
        <v>103</v>
      </c>
      <c r="E11" s="232" t="s">
        <v>10</v>
      </c>
      <c r="F11" s="233"/>
      <c r="G11" s="234"/>
      <c r="H11" s="235">
        <v>989.3599999999999</v>
      </c>
      <c r="J11" s="172"/>
      <c r="K11" s="172"/>
      <c r="L11" s="172"/>
      <c r="M11" s="172"/>
      <c r="N11" s="172"/>
      <c r="O11" s="172"/>
    </row>
    <row r="12" spans="1:24" s="92" customFormat="1" ht="63.75">
      <c r="A12" s="256" t="s">
        <v>3261</v>
      </c>
      <c r="B12" s="288">
        <v>184</v>
      </c>
      <c r="C12" s="289" t="s">
        <v>4934</v>
      </c>
      <c r="D12" s="290" t="s">
        <v>207</v>
      </c>
      <c r="E12" s="290" t="s">
        <v>3249</v>
      </c>
      <c r="F12" s="383">
        <v>1.05</v>
      </c>
      <c r="G12" s="292" t="s">
        <v>18996</v>
      </c>
      <c r="H12" s="255">
        <v>156.13999999999999</v>
      </c>
    </row>
    <row r="13" spans="1:24" s="92" customFormat="1" ht="38.25">
      <c r="A13" s="256" t="s">
        <v>3261</v>
      </c>
      <c r="B13" s="374">
        <v>11451</v>
      </c>
      <c r="C13" s="289" t="s">
        <v>6183</v>
      </c>
      <c r="D13" s="290" t="s">
        <v>207</v>
      </c>
      <c r="E13" s="290" t="s">
        <v>3240</v>
      </c>
      <c r="F13" s="291">
        <v>6</v>
      </c>
      <c r="G13" s="292" t="s">
        <v>19297</v>
      </c>
      <c r="H13" s="255">
        <v>264.3</v>
      </c>
      <c r="J13" s="176"/>
    </row>
    <row r="14" spans="1:24" s="92" customFormat="1" ht="63.75">
      <c r="A14" s="256" t="s">
        <v>3261</v>
      </c>
      <c r="B14" s="374">
        <v>10554</v>
      </c>
      <c r="C14" s="289" t="s">
        <v>11939</v>
      </c>
      <c r="D14" s="290" t="s">
        <v>207</v>
      </c>
      <c r="E14" s="290" t="s">
        <v>3240</v>
      </c>
      <c r="F14" s="254">
        <v>2</v>
      </c>
      <c r="G14" s="292" t="s">
        <v>20454</v>
      </c>
      <c r="H14" s="255">
        <v>312.38</v>
      </c>
      <c r="J14" s="131"/>
    </row>
    <row r="15" spans="1:24" s="92" customFormat="1" ht="38.25">
      <c r="A15" s="256" t="s">
        <v>3261</v>
      </c>
      <c r="B15" s="374">
        <v>11055</v>
      </c>
      <c r="C15" s="289" t="s">
        <v>7530</v>
      </c>
      <c r="D15" s="290" t="s">
        <v>207</v>
      </c>
      <c r="E15" s="290" t="s">
        <v>3240</v>
      </c>
      <c r="F15" s="254">
        <v>39.6</v>
      </c>
      <c r="G15" s="292" t="s">
        <v>9982</v>
      </c>
      <c r="H15" s="255">
        <v>1.98</v>
      </c>
      <c r="J15" s="131"/>
      <c r="K15" s="501"/>
    </row>
    <row r="16" spans="1:24" s="92" customFormat="1" ht="63.75">
      <c r="A16" s="256" t="s">
        <v>3261</v>
      </c>
      <c r="B16" s="374">
        <v>20017</v>
      </c>
      <c r="C16" s="289" t="s">
        <v>6604</v>
      </c>
      <c r="D16" s="290" t="s">
        <v>207</v>
      </c>
      <c r="E16" s="290" t="s">
        <v>3243</v>
      </c>
      <c r="F16" s="254">
        <v>11.6</v>
      </c>
      <c r="G16" s="292" t="s">
        <v>10128</v>
      </c>
      <c r="H16" s="255">
        <v>78.989999999999995</v>
      </c>
      <c r="J16" s="131"/>
    </row>
    <row r="17" spans="1:17" s="92" customFormat="1" ht="25.5">
      <c r="A17" s="256" t="s">
        <v>3261</v>
      </c>
      <c r="B17" s="374">
        <v>20247</v>
      </c>
      <c r="C17" s="289" t="s">
        <v>7815</v>
      </c>
      <c r="D17" s="290" t="s">
        <v>207</v>
      </c>
      <c r="E17" s="290" t="s">
        <v>3244</v>
      </c>
      <c r="F17" s="383">
        <v>3.15E-2</v>
      </c>
      <c r="G17" s="292" t="s">
        <v>20497</v>
      </c>
      <c r="H17" s="255">
        <v>0.68</v>
      </c>
    </row>
    <row r="18" spans="1:17" s="92" customFormat="1" ht="25.5">
      <c r="A18" s="256" t="s">
        <v>3261</v>
      </c>
      <c r="B18" s="374">
        <v>39027</v>
      </c>
      <c r="C18" s="289" t="s">
        <v>7826</v>
      </c>
      <c r="D18" s="290" t="s">
        <v>207</v>
      </c>
      <c r="E18" s="290" t="s">
        <v>3244</v>
      </c>
      <c r="F18" s="291">
        <v>0.22500000000000001</v>
      </c>
      <c r="G18" s="292" t="s">
        <v>12370</v>
      </c>
      <c r="H18" s="255">
        <v>4.42</v>
      </c>
      <c r="J18" s="176"/>
    </row>
    <row r="19" spans="1:17" s="92" customFormat="1" ht="25.5">
      <c r="A19" s="256" t="s">
        <v>3259</v>
      </c>
      <c r="B19" s="374">
        <v>88261</v>
      </c>
      <c r="C19" s="289" t="s">
        <v>294</v>
      </c>
      <c r="D19" s="290" t="s">
        <v>9714</v>
      </c>
      <c r="E19" s="290" t="s">
        <v>206</v>
      </c>
      <c r="F19" s="254">
        <v>3.4580000000000002</v>
      </c>
      <c r="G19" s="292" t="s">
        <v>12381</v>
      </c>
      <c r="H19" s="255">
        <v>82.02</v>
      </c>
      <c r="J19" s="131"/>
    </row>
    <row r="20" spans="1:17" s="92" customFormat="1" ht="25.5">
      <c r="A20" s="256" t="s">
        <v>3259</v>
      </c>
      <c r="B20" s="374">
        <v>88309</v>
      </c>
      <c r="C20" s="289" t="s">
        <v>105</v>
      </c>
      <c r="D20" s="290" t="s">
        <v>9714</v>
      </c>
      <c r="E20" s="290" t="s">
        <v>206</v>
      </c>
      <c r="F20" s="254">
        <v>1.389</v>
      </c>
      <c r="G20" s="292" t="s">
        <v>11439</v>
      </c>
      <c r="H20" s="255">
        <v>33.19</v>
      </c>
      <c r="J20" s="131"/>
      <c r="K20" s="763"/>
    </row>
    <row r="21" spans="1:17" s="92" customFormat="1" ht="25.5">
      <c r="A21" s="256" t="s">
        <v>3259</v>
      </c>
      <c r="B21" s="374">
        <v>88316</v>
      </c>
      <c r="C21" s="289" t="s">
        <v>104</v>
      </c>
      <c r="D21" s="290" t="s">
        <v>9714</v>
      </c>
      <c r="E21" s="290" t="s">
        <v>206</v>
      </c>
      <c r="F21" s="254">
        <v>2.4239999999999999</v>
      </c>
      <c r="G21" s="292" t="s">
        <v>10172</v>
      </c>
      <c r="H21" s="255">
        <v>42.68</v>
      </c>
      <c r="J21" s="131"/>
    </row>
    <row r="22" spans="1:17" s="92" customFormat="1" ht="51">
      <c r="A22" s="256" t="s">
        <v>3259</v>
      </c>
      <c r="B22" s="374">
        <v>88627</v>
      </c>
      <c r="C22" s="289" t="s">
        <v>9414</v>
      </c>
      <c r="D22" s="290" t="s">
        <v>229</v>
      </c>
      <c r="E22" s="290" t="s">
        <v>209</v>
      </c>
      <c r="F22" s="383">
        <v>2.5000000000000001E-2</v>
      </c>
      <c r="G22" s="292" t="s">
        <v>24287</v>
      </c>
      <c r="H22" s="255">
        <v>12.58</v>
      </c>
    </row>
    <row r="23" spans="1:17" s="92" customFormat="1" ht="12.75">
      <c r="A23" s="286"/>
      <c r="B23" s="375" t="s">
        <v>143</v>
      </c>
      <c r="C23" s="837" t="s">
        <v>17498</v>
      </c>
      <c r="D23" s="835"/>
      <c r="E23" s="835"/>
      <c r="F23" s="835"/>
      <c r="G23" s="835"/>
      <c r="H23" s="836"/>
      <c r="J23" s="841"/>
      <c r="K23" s="841"/>
      <c r="L23" s="841"/>
      <c r="M23" s="841"/>
      <c r="N23" s="841"/>
      <c r="O23" s="841"/>
      <c r="P23" s="841"/>
      <c r="Q23" s="841"/>
    </row>
    <row r="24" spans="1:17" s="92" customFormat="1" ht="12.75">
      <c r="A24" s="286"/>
      <c r="B24" s="373"/>
      <c r="C24" s="379"/>
      <c r="D24" s="382"/>
      <c r="E24" s="382"/>
      <c r="F24" s="382"/>
      <c r="G24" s="382"/>
      <c r="H24" s="382"/>
      <c r="J24" s="846" t="s">
        <v>17500</v>
      </c>
      <c r="K24" s="846"/>
      <c r="L24" s="846"/>
      <c r="M24" s="846"/>
      <c r="N24" s="846"/>
      <c r="O24" s="846"/>
      <c r="P24" s="846"/>
      <c r="Q24" s="846"/>
    </row>
    <row r="25" spans="1:17" s="92" customFormat="1" ht="51">
      <c r="A25" s="286"/>
      <c r="B25" s="372" t="s">
        <v>15364</v>
      </c>
      <c r="C25" s="231" t="s">
        <v>24605</v>
      </c>
      <c r="D25" s="232" t="s">
        <v>103</v>
      </c>
      <c r="E25" s="232" t="s">
        <v>10</v>
      </c>
      <c r="F25" s="233"/>
      <c r="G25" s="234"/>
      <c r="H25" s="235">
        <v>1397.15</v>
      </c>
      <c r="J25" s="539" t="s">
        <v>15365</v>
      </c>
      <c r="K25" s="540" t="s">
        <v>15366</v>
      </c>
      <c r="L25" s="540" t="s">
        <v>15401</v>
      </c>
      <c r="M25" s="540" t="s">
        <v>15367</v>
      </c>
      <c r="N25" s="540" t="s">
        <v>15368</v>
      </c>
      <c r="O25" s="540" t="s">
        <v>15369</v>
      </c>
      <c r="P25" s="540" t="s">
        <v>15370</v>
      </c>
      <c r="Q25" s="540" t="s">
        <v>15371</v>
      </c>
    </row>
    <row r="26" spans="1:17" s="92" customFormat="1" ht="25.5">
      <c r="A26" s="256" t="s">
        <v>3261</v>
      </c>
      <c r="B26" s="288">
        <v>43692</v>
      </c>
      <c r="C26" s="289" t="s">
        <v>9552</v>
      </c>
      <c r="D26" s="290" t="s">
        <v>207</v>
      </c>
      <c r="E26" s="290" t="s">
        <v>3244</v>
      </c>
      <c r="F26" s="383">
        <v>101.1532704</v>
      </c>
      <c r="G26" s="292" t="s">
        <v>11240</v>
      </c>
      <c r="H26" s="255">
        <v>1122.8</v>
      </c>
      <c r="J26" s="547" t="s">
        <v>17501</v>
      </c>
      <c r="K26" s="548">
        <v>1.01</v>
      </c>
      <c r="L26" s="548">
        <v>0.96</v>
      </c>
      <c r="M26" s="548">
        <v>4</v>
      </c>
      <c r="N26" s="548">
        <v>11.78</v>
      </c>
      <c r="O26" s="548" t="s">
        <v>15372</v>
      </c>
      <c r="P26" s="548">
        <f>K26*L26*M26*N26</f>
        <v>45.687551999999997</v>
      </c>
      <c r="Q26" s="548">
        <f>M26*L26*K26*2</f>
        <v>7.7568000000000001</v>
      </c>
    </row>
    <row r="27" spans="1:17" s="92" customFormat="1" ht="38.25">
      <c r="A27" s="256" t="s">
        <v>3261</v>
      </c>
      <c r="B27" s="288">
        <v>2432</v>
      </c>
      <c r="C27" s="289" t="s">
        <v>6179</v>
      </c>
      <c r="D27" s="290" t="s">
        <v>207</v>
      </c>
      <c r="E27" s="290" t="s">
        <v>3240</v>
      </c>
      <c r="F27" s="383">
        <v>6</v>
      </c>
      <c r="G27" s="292" t="s">
        <v>12205</v>
      </c>
      <c r="H27" s="255">
        <v>85.74</v>
      </c>
      <c r="J27" s="547" t="s">
        <v>17502</v>
      </c>
      <c r="K27" s="548">
        <f>1.8</f>
        <v>1.8</v>
      </c>
      <c r="L27" s="548">
        <f>(0.1+0.03)*2</f>
        <v>0.26</v>
      </c>
      <c r="M27" s="548">
        <v>2</v>
      </c>
      <c r="N27" s="548">
        <v>3.0270000000000001</v>
      </c>
      <c r="O27" s="548" t="s">
        <v>15372</v>
      </c>
      <c r="P27" s="548">
        <f>K27*M27*N27</f>
        <v>10.897200000000002</v>
      </c>
      <c r="Q27" s="548">
        <f>M27*L27*K27</f>
        <v>0.93600000000000005</v>
      </c>
    </row>
    <row r="28" spans="1:17" s="92" customFormat="1" ht="25.5">
      <c r="A28" s="256" t="s">
        <v>3259</v>
      </c>
      <c r="B28" s="288">
        <v>88315</v>
      </c>
      <c r="C28" s="289" t="s">
        <v>208</v>
      </c>
      <c r="D28" s="290" t="s">
        <v>9714</v>
      </c>
      <c r="E28" s="290" t="s">
        <v>206</v>
      </c>
      <c r="F28" s="383">
        <v>3.8534579199999999</v>
      </c>
      <c r="G28" s="292" t="s">
        <v>21052</v>
      </c>
      <c r="H28" s="255">
        <v>91.63</v>
      </c>
      <c r="J28" s="547" t="s">
        <v>17503</v>
      </c>
      <c r="K28" s="548">
        <f>1.9</f>
        <v>1.9</v>
      </c>
      <c r="L28" s="548">
        <f>(0.06+0.03)*2</f>
        <v>0.18</v>
      </c>
      <c r="M28" s="548">
        <v>4</v>
      </c>
      <c r="N28" s="548">
        <v>2.0499999999999998</v>
      </c>
      <c r="O28" s="548" t="s">
        <v>15372</v>
      </c>
      <c r="P28" s="548">
        <f>K28*M28*N28</f>
        <v>15.579999999999998</v>
      </c>
      <c r="Q28" s="548">
        <f>M28*L28*K28</f>
        <v>1.3679999999999999</v>
      </c>
    </row>
    <row r="29" spans="1:17" s="92" customFormat="1" ht="25.5">
      <c r="A29" s="256" t="s">
        <v>3259</v>
      </c>
      <c r="B29" s="288">
        <v>88316</v>
      </c>
      <c r="C29" s="289" t="s">
        <v>104</v>
      </c>
      <c r="D29" s="290" t="s">
        <v>9714</v>
      </c>
      <c r="E29" s="290" t="s">
        <v>206</v>
      </c>
      <c r="F29" s="383">
        <v>3.8534579199999999</v>
      </c>
      <c r="G29" s="292" t="s">
        <v>10172</v>
      </c>
      <c r="H29" s="255">
        <v>67.849999999999994</v>
      </c>
      <c r="J29" s="547" t="s">
        <v>17504</v>
      </c>
      <c r="K29" s="548">
        <f>2+1.8</f>
        <v>3.8</v>
      </c>
      <c r="L29" s="548">
        <f>(0.06+0.03)*2</f>
        <v>0.18</v>
      </c>
      <c r="M29" s="548">
        <v>1</v>
      </c>
      <c r="N29" s="548">
        <v>2.0680000000000001</v>
      </c>
      <c r="O29" s="548" t="s">
        <v>15372</v>
      </c>
      <c r="P29" s="548">
        <f>K29*M29*N29</f>
        <v>7.8583999999999996</v>
      </c>
      <c r="Q29" s="548">
        <f>M29*L29*K29</f>
        <v>0.68399999999999994</v>
      </c>
    </row>
    <row r="30" spans="1:17" s="92" customFormat="1" ht="38.25">
      <c r="A30" s="256" t="s">
        <v>3259</v>
      </c>
      <c r="B30" s="288">
        <v>98746</v>
      </c>
      <c r="C30" s="289" t="s">
        <v>4073</v>
      </c>
      <c r="D30" s="290" t="s">
        <v>229</v>
      </c>
      <c r="E30" s="290" t="s">
        <v>5</v>
      </c>
      <c r="F30" s="383">
        <v>0.578018688</v>
      </c>
      <c r="G30" s="292" t="s">
        <v>22555</v>
      </c>
      <c r="H30" s="255">
        <v>29.13</v>
      </c>
      <c r="J30" s="547" t="s">
        <v>17501</v>
      </c>
      <c r="K30" s="548">
        <f>2+2.1*2</f>
        <v>6.2</v>
      </c>
      <c r="L30" s="548">
        <v>0.22</v>
      </c>
      <c r="M30" s="548">
        <v>1</v>
      </c>
      <c r="N30" s="548">
        <v>11.78</v>
      </c>
      <c r="O30" s="548" t="s">
        <v>15372</v>
      </c>
      <c r="P30" s="548">
        <f>K30*L30*M30*N30</f>
        <v>16.067920000000001</v>
      </c>
      <c r="Q30" s="548">
        <f>M30*L30*K30*2</f>
        <v>2.7280000000000002</v>
      </c>
    </row>
    <row r="31" spans="1:17" s="92" customFormat="1" ht="12.75">
      <c r="A31" s="286"/>
      <c r="B31" s="375" t="s">
        <v>143</v>
      </c>
      <c r="C31" s="837" t="s">
        <v>15374</v>
      </c>
      <c r="D31" s="835"/>
      <c r="E31" s="835"/>
      <c r="F31" s="835"/>
      <c r="G31" s="835"/>
      <c r="H31" s="836"/>
      <c r="J31" s="541" t="s">
        <v>17505</v>
      </c>
      <c r="K31" s="542">
        <f>0.9*2+0.26*4</f>
        <v>2.84</v>
      </c>
      <c r="L31" s="542">
        <f>0.03*4</f>
        <v>0.12</v>
      </c>
      <c r="M31" s="542">
        <v>1</v>
      </c>
      <c r="N31" s="542">
        <v>0.72</v>
      </c>
      <c r="O31" s="542" t="s">
        <v>15372</v>
      </c>
      <c r="P31" s="542">
        <f>K31*L31*M31*N31</f>
        <v>0.24537599999999998</v>
      </c>
      <c r="Q31" s="542">
        <f>M31*L31*K31*2</f>
        <v>0.68159999999999998</v>
      </c>
    </row>
    <row r="32" spans="1:17" s="88" customFormat="1" ht="12.75">
      <c r="A32" s="286"/>
      <c r="B32" s="293"/>
      <c r="C32" s="229"/>
      <c r="D32" s="230"/>
      <c r="E32" s="230"/>
      <c r="F32" s="230"/>
      <c r="G32" s="230"/>
      <c r="H32" s="230"/>
      <c r="J32" s="543"/>
      <c r="K32" s="172"/>
      <c r="L32" s="172"/>
      <c r="M32" s="172"/>
      <c r="N32" s="172"/>
      <c r="O32" s="544" t="s">
        <v>15373</v>
      </c>
      <c r="P32" s="544">
        <f>SUM(P26:P31)</f>
        <v>96.33644799999999</v>
      </c>
      <c r="Q32" s="544">
        <f>SUM(Q26:Q31)</f>
        <v>14.154399999999999</v>
      </c>
    </row>
    <row r="33" spans="1:17" s="236" customFormat="1" ht="63.75">
      <c r="A33" s="376"/>
      <c r="B33" s="372" t="s">
        <v>15375</v>
      </c>
      <c r="C33" s="231" t="s">
        <v>15376</v>
      </c>
      <c r="D33" s="232" t="s">
        <v>103</v>
      </c>
      <c r="E33" s="232" t="s">
        <v>193</v>
      </c>
      <c r="F33" s="233"/>
      <c r="G33" s="234"/>
      <c r="H33" s="235">
        <v>791.71</v>
      </c>
      <c r="J33" s="543"/>
      <c r="K33" s="172"/>
      <c r="L33" s="172"/>
      <c r="M33" s="172"/>
      <c r="N33" s="172"/>
      <c r="O33" s="545"/>
      <c r="P33" s="545"/>
      <c r="Q33" s="545"/>
    </row>
    <row r="34" spans="1:17" s="92" customFormat="1" ht="38.25">
      <c r="A34" s="256" t="s">
        <v>3261</v>
      </c>
      <c r="B34" s="374">
        <v>567</v>
      </c>
      <c r="C34" s="289" t="s">
        <v>11748</v>
      </c>
      <c r="D34" s="290" t="s">
        <v>207</v>
      </c>
      <c r="E34" s="290" t="s">
        <v>3243</v>
      </c>
      <c r="F34" s="254">
        <v>0.56000000000000005</v>
      </c>
      <c r="G34" s="292" t="s">
        <v>19274</v>
      </c>
      <c r="H34" s="255">
        <v>8.8699999999999992</v>
      </c>
      <c r="J34" s="131"/>
    </row>
    <row r="35" spans="1:17" s="92" customFormat="1" ht="25.5">
      <c r="A35" s="256" t="s">
        <v>3261</v>
      </c>
      <c r="B35" s="374">
        <v>4777</v>
      </c>
      <c r="C35" s="289" t="s">
        <v>5372</v>
      </c>
      <c r="D35" s="290" t="s">
        <v>207</v>
      </c>
      <c r="E35" s="290" t="s">
        <v>3244</v>
      </c>
      <c r="F35" s="254">
        <v>7.96</v>
      </c>
      <c r="G35" s="292" t="s">
        <v>10513</v>
      </c>
      <c r="H35" s="255">
        <v>77.680000000000007</v>
      </c>
      <c r="J35" s="131"/>
      <c r="K35" s="501"/>
    </row>
    <row r="36" spans="1:17" s="92" customFormat="1" ht="25.5">
      <c r="A36" s="256" t="s">
        <v>3261</v>
      </c>
      <c r="B36" s="374">
        <v>546</v>
      </c>
      <c r="C36" s="289" t="s">
        <v>11649</v>
      </c>
      <c r="D36" s="290" t="s">
        <v>207</v>
      </c>
      <c r="E36" s="290" t="s">
        <v>3244</v>
      </c>
      <c r="F36" s="254">
        <v>4.37</v>
      </c>
      <c r="G36" s="292" t="s">
        <v>11056</v>
      </c>
      <c r="H36" s="255">
        <v>54.62</v>
      </c>
      <c r="J36" s="131"/>
      <c r="K36" s="501"/>
    </row>
    <row r="37" spans="1:17" s="92" customFormat="1" ht="25.5">
      <c r="A37" s="256" t="s">
        <v>3259</v>
      </c>
      <c r="B37" s="288">
        <v>88309</v>
      </c>
      <c r="C37" s="289" t="s">
        <v>105</v>
      </c>
      <c r="D37" s="290" t="s">
        <v>9714</v>
      </c>
      <c r="E37" s="290" t="s">
        <v>206</v>
      </c>
      <c r="F37" s="254">
        <v>0.53</v>
      </c>
      <c r="G37" s="292" t="s">
        <v>11439</v>
      </c>
      <c r="H37" s="255">
        <v>12.66</v>
      </c>
      <c r="J37" s="131"/>
    </row>
    <row r="38" spans="1:17" s="92" customFormat="1" ht="25.5">
      <c r="A38" s="256" t="s">
        <v>3259</v>
      </c>
      <c r="B38" s="374">
        <v>88315</v>
      </c>
      <c r="C38" s="289" t="s">
        <v>208</v>
      </c>
      <c r="D38" s="290" t="s">
        <v>9714</v>
      </c>
      <c r="E38" s="290" t="s">
        <v>206</v>
      </c>
      <c r="F38" s="254">
        <v>5.6</v>
      </c>
      <c r="G38" s="292" t="s">
        <v>21052</v>
      </c>
      <c r="H38" s="255">
        <v>133.16</v>
      </c>
      <c r="J38" s="131"/>
    </row>
    <row r="39" spans="1:17" s="92" customFormat="1" ht="25.5">
      <c r="A39" s="256" t="s">
        <v>3259</v>
      </c>
      <c r="B39" s="374">
        <v>88316</v>
      </c>
      <c r="C39" s="289" t="s">
        <v>104</v>
      </c>
      <c r="D39" s="290" t="s">
        <v>9714</v>
      </c>
      <c r="E39" s="290" t="s">
        <v>206</v>
      </c>
      <c r="F39" s="254">
        <v>6.13</v>
      </c>
      <c r="G39" s="292" t="s">
        <v>10172</v>
      </c>
      <c r="H39" s="255">
        <v>107.94</v>
      </c>
      <c r="J39" s="131"/>
    </row>
    <row r="40" spans="1:17" s="92" customFormat="1" ht="38.25">
      <c r="A40" s="256" t="s">
        <v>3261</v>
      </c>
      <c r="B40" s="374">
        <v>7167</v>
      </c>
      <c r="C40" s="289" t="s">
        <v>9584</v>
      </c>
      <c r="D40" s="290" t="s">
        <v>207</v>
      </c>
      <c r="E40" s="290" t="s">
        <v>3242</v>
      </c>
      <c r="F40" s="254">
        <v>0.68</v>
      </c>
      <c r="G40" s="292" t="s">
        <v>20824</v>
      </c>
      <c r="H40" s="255">
        <v>17.48</v>
      </c>
      <c r="J40" s="131"/>
    </row>
    <row r="41" spans="1:17" s="92" customFormat="1" ht="25.5">
      <c r="A41" s="256" t="s">
        <v>3261</v>
      </c>
      <c r="B41" s="374">
        <v>10997</v>
      </c>
      <c r="C41" s="289" t="s">
        <v>6208</v>
      </c>
      <c r="D41" s="290" t="s">
        <v>207</v>
      </c>
      <c r="E41" s="290" t="s">
        <v>3244</v>
      </c>
      <c r="F41" s="254">
        <v>3.07</v>
      </c>
      <c r="G41" s="292" t="s">
        <v>14318</v>
      </c>
      <c r="H41" s="255">
        <v>61.03</v>
      </c>
      <c r="J41" s="131"/>
    </row>
    <row r="42" spans="1:17" s="92" customFormat="1" ht="38.25">
      <c r="A42" s="256" t="s">
        <v>3261</v>
      </c>
      <c r="B42" s="374">
        <v>21013</v>
      </c>
      <c r="C42" s="289" t="s">
        <v>8594</v>
      </c>
      <c r="D42" s="290" t="s">
        <v>207</v>
      </c>
      <c r="E42" s="290" t="s">
        <v>3243</v>
      </c>
      <c r="F42" s="254">
        <v>3.79</v>
      </c>
      <c r="G42" s="292" t="s">
        <v>20953</v>
      </c>
      <c r="H42" s="255">
        <v>306.19</v>
      </c>
      <c r="J42" s="131"/>
    </row>
    <row r="43" spans="1:17" s="92" customFormat="1" ht="25.5">
      <c r="A43" s="256" t="s">
        <v>3261</v>
      </c>
      <c r="B43" s="374">
        <v>40425</v>
      </c>
      <c r="C43" s="289" t="s">
        <v>5487</v>
      </c>
      <c r="D43" s="290" t="s">
        <v>207</v>
      </c>
      <c r="E43" s="290" t="s">
        <v>3244</v>
      </c>
      <c r="F43" s="254">
        <v>0.28999999999999998</v>
      </c>
      <c r="G43" s="292" t="s">
        <v>10578</v>
      </c>
      <c r="H43" s="255">
        <v>3.28</v>
      </c>
      <c r="J43" s="131"/>
    </row>
    <row r="44" spans="1:17" s="92" customFormat="1" ht="38.25">
      <c r="A44" s="256" t="s">
        <v>3261</v>
      </c>
      <c r="B44" s="374">
        <v>2420</v>
      </c>
      <c r="C44" s="289" t="s">
        <v>6181</v>
      </c>
      <c r="D44" s="290" t="s">
        <v>207</v>
      </c>
      <c r="E44" s="290" t="s">
        <v>3240</v>
      </c>
      <c r="F44" s="254">
        <v>1.06</v>
      </c>
      <c r="G44" s="292" t="s">
        <v>12216</v>
      </c>
      <c r="H44" s="255">
        <v>8.8000000000000007</v>
      </c>
      <c r="J44" s="131"/>
    </row>
    <row r="45" spans="1:17" s="92" customFormat="1" ht="12.75">
      <c r="A45" s="256"/>
      <c r="B45" s="288" t="s">
        <v>143</v>
      </c>
      <c r="C45" s="500" t="s">
        <v>15377</v>
      </c>
      <c r="D45" s="386"/>
      <c r="E45" s="386"/>
      <c r="F45" s="386"/>
      <c r="G45" s="386"/>
      <c r="H45" s="387"/>
      <c r="J45" s="131"/>
    </row>
    <row r="46" spans="1:17" s="88" customFormat="1" ht="12.75">
      <c r="A46" s="286"/>
      <c r="B46" s="834"/>
      <c r="C46" s="835"/>
      <c r="D46" s="835"/>
      <c r="E46" s="835"/>
      <c r="F46" s="835"/>
      <c r="G46" s="835"/>
      <c r="H46" s="836"/>
      <c r="K46" s="92"/>
      <c r="L46" s="92"/>
      <c r="M46" s="92"/>
      <c r="P46" s="92"/>
      <c r="Q46" s="92"/>
    </row>
    <row r="47" spans="1:17" s="88" customFormat="1" ht="38.25">
      <c r="A47" s="286"/>
      <c r="B47" s="372" t="s">
        <v>15378</v>
      </c>
      <c r="C47" s="231" t="s">
        <v>17507</v>
      </c>
      <c r="D47" s="232" t="s">
        <v>103</v>
      </c>
      <c r="E47" s="232" t="s">
        <v>10</v>
      </c>
      <c r="F47" s="233"/>
      <c r="G47" s="234"/>
      <c r="H47" s="235">
        <v>715.51</v>
      </c>
      <c r="J47" s="92"/>
      <c r="K47" s="92"/>
      <c r="L47" s="92"/>
      <c r="M47" s="92"/>
      <c r="N47" s="92"/>
      <c r="O47" s="92"/>
    </row>
    <row r="48" spans="1:17" s="92" customFormat="1" ht="25.5">
      <c r="A48" s="256" t="s">
        <v>3261</v>
      </c>
      <c r="B48" s="374">
        <v>39620</v>
      </c>
      <c r="C48" s="289" t="s">
        <v>4914</v>
      </c>
      <c r="D48" s="290" t="s">
        <v>207</v>
      </c>
      <c r="E48" s="290" t="s">
        <v>3240</v>
      </c>
      <c r="F48" s="254">
        <v>1</v>
      </c>
      <c r="G48" s="292" t="s">
        <v>18973</v>
      </c>
      <c r="H48" s="255">
        <v>708.4</v>
      </c>
      <c r="J48" s="131"/>
    </row>
    <row r="49" spans="1:11" s="92" customFormat="1" ht="25.5">
      <c r="A49" s="256" t="s">
        <v>3259</v>
      </c>
      <c r="B49" s="374">
        <v>88261</v>
      </c>
      <c r="C49" s="289" t="s">
        <v>294</v>
      </c>
      <c r="D49" s="290" t="s">
        <v>9714</v>
      </c>
      <c r="E49" s="290" t="s">
        <v>206</v>
      </c>
      <c r="F49" s="383">
        <v>0.3</v>
      </c>
      <c r="G49" s="292" t="s">
        <v>12381</v>
      </c>
      <c r="H49" s="255">
        <v>7.11</v>
      </c>
    </row>
    <row r="50" spans="1:11" s="92" customFormat="1" ht="12.75">
      <c r="A50" s="256"/>
      <c r="B50" s="288" t="s">
        <v>143</v>
      </c>
      <c r="C50" s="838" t="s">
        <v>17506</v>
      </c>
      <c r="D50" s="839"/>
      <c r="E50" s="839"/>
      <c r="F50" s="839"/>
      <c r="G50" s="839"/>
      <c r="H50" s="840"/>
    </row>
    <row r="51" spans="1:11" s="88" customFormat="1" ht="12.75">
      <c r="A51" s="286"/>
      <c r="B51" s="293"/>
      <c r="C51" s="229"/>
      <c r="D51" s="230"/>
      <c r="E51" s="230"/>
      <c r="F51" s="230"/>
      <c r="G51" s="230"/>
      <c r="H51" s="230"/>
      <c r="J51" s="89"/>
    </row>
    <row r="52" spans="1:11" s="236" customFormat="1" ht="38.25">
      <c r="A52" s="376"/>
      <c r="B52" s="372" t="s">
        <v>15381</v>
      </c>
      <c r="C52" s="231" t="s">
        <v>17470</v>
      </c>
      <c r="D52" s="232" t="s">
        <v>103</v>
      </c>
      <c r="E52" s="232" t="s">
        <v>193</v>
      </c>
      <c r="F52" s="233"/>
      <c r="G52" s="234"/>
      <c r="H52" s="235">
        <v>79.839999999999989</v>
      </c>
      <c r="J52" s="237"/>
    </row>
    <row r="53" spans="1:11" s="92" customFormat="1" ht="25.5">
      <c r="A53" s="256" t="s">
        <v>3261</v>
      </c>
      <c r="B53" s="374">
        <v>1338</v>
      </c>
      <c r="C53" s="289" t="s">
        <v>5489</v>
      </c>
      <c r="D53" s="290" t="s">
        <v>207</v>
      </c>
      <c r="E53" s="290" t="s">
        <v>3242</v>
      </c>
      <c r="F53" s="254">
        <v>1.1000000000000001</v>
      </c>
      <c r="G53" s="292" t="s">
        <v>14167</v>
      </c>
      <c r="H53" s="255">
        <v>39.58</v>
      </c>
      <c r="J53" s="131"/>
    </row>
    <row r="54" spans="1:11" s="92" customFormat="1" ht="25.5">
      <c r="A54" s="256" t="s">
        <v>3261</v>
      </c>
      <c r="B54" s="374">
        <v>1339</v>
      </c>
      <c r="C54" s="289" t="s">
        <v>5553</v>
      </c>
      <c r="D54" s="290" t="s">
        <v>207</v>
      </c>
      <c r="E54" s="290" t="s">
        <v>3244</v>
      </c>
      <c r="F54" s="254">
        <v>0.2</v>
      </c>
      <c r="G54" s="292" t="s">
        <v>10598</v>
      </c>
      <c r="H54" s="255">
        <v>7.21</v>
      </c>
      <c r="J54" s="131"/>
      <c r="K54" s="501"/>
    </row>
    <row r="55" spans="1:11" s="92" customFormat="1" ht="25.5">
      <c r="A55" s="256" t="s">
        <v>3259</v>
      </c>
      <c r="B55" s="374">
        <v>88261</v>
      </c>
      <c r="C55" s="289" t="s">
        <v>294</v>
      </c>
      <c r="D55" s="290" t="s">
        <v>9714</v>
      </c>
      <c r="E55" s="290" t="s">
        <v>206</v>
      </c>
      <c r="F55" s="254">
        <v>0.8</v>
      </c>
      <c r="G55" s="292" t="s">
        <v>12381</v>
      </c>
      <c r="H55" s="255">
        <v>18.97</v>
      </c>
      <c r="J55" s="131"/>
    </row>
    <row r="56" spans="1:11" s="92" customFormat="1" ht="25.5">
      <c r="A56" s="256" t="s">
        <v>3259</v>
      </c>
      <c r="B56" s="374">
        <v>88316</v>
      </c>
      <c r="C56" s="289" t="s">
        <v>104</v>
      </c>
      <c r="D56" s="290" t="s">
        <v>9714</v>
      </c>
      <c r="E56" s="290" t="s">
        <v>206</v>
      </c>
      <c r="F56" s="254">
        <v>0.8</v>
      </c>
      <c r="G56" s="292" t="s">
        <v>10172</v>
      </c>
      <c r="H56" s="255">
        <v>14.08</v>
      </c>
      <c r="J56" s="131"/>
    </row>
    <row r="57" spans="1:11" s="92" customFormat="1" ht="12.75">
      <c r="A57" s="256"/>
      <c r="B57" s="288" t="s">
        <v>143</v>
      </c>
      <c r="C57" s="538" t="s">
        <v>17471</v>
      </c>
      <c r="D57" s="386"/>
      <c r="E57" s="386"/>
      <c r="F57" s="386"/>
      <c r="G57" s="386"/>
      <c r="H57" s="387"/>
      <c r="J57" s="131"/>
    </row>
    <row r="58" spans="1:11" s="88" customFormat="1" ht="12.75">
      <c r="A58" s="286"/>
      <c r="B58" s="293"/>
      <c r="C58" s="229"/>
      <c r="D58" s="230"/>
      <c r="E58" s="230"/>
      <c r="F58" s="230"/>
      <c r="G58" s="230"/>
      <c r="H58" s="230"/>
      <c r="J58" s="89"/>
    </row>
    <row r="59" spans="1:11" s="236" customFormat="1" ht="25.5">
      <c r="A59" s="376"/>
      <c r="B59" s="372" t="s">
        <v>15382</v>
      </c>
      <c r="C59" s="231" t="s">
        <v>17440</v>
      </c>
      <c r="D59" s="232" t="s">
        <v>103</v>
      </c>
      <c r="E59" s="232" t="s">
        <v>3240</v>
      </c>
      <c r="F59" s="233"/>
      <c r="G59" s="234"/>
      <c r="H59" s="235">
        <v>579.55000000000007</v>
      </c>
      <c r="J59" s="237"/>
    </row>
    <row r="60" spans="1:11" s="92" customFormat="1" ht="51">
      <c r="A60" s="256" t="s">
        <v>3261</v>
      </c>
      <c r="B60" s="374">
        <v>39022</v>
      </c>
      <c r="C60" s="289" t="s">
        <v>7758</v>
      </c>
      <c r="D60" s="290" t="s">
        <v>207</v>
      </c>
      <c r="E60" s="290" t="s">
        <v>3240</v>
      </c>
      <c r="F60" s="291">
        <v>1</v>
      </c>
      <c r="G60" s="292" t="s">
        <v>20435</v>
      </c>
      <c r="H60" s="255">
        <v>445.43</v>
      </c>
      <c r="J60" s="176"/>
    </row>
    <row r="61" spans="1:11" s="92" customFormat="1" ht="25.5">
      <c r="A61" s="256" t="s">
        <v>3259</v>
      </c>
      <c r="B61" s="374">
        <v>88309</v>
      </c>
      <c r="C61" s="289" t="s">
        <v>105</v>
      </c>
      <c r="D61" s="290" t="s">
        <v>9714</v>
      </c>
      <c r="E61" s="290" t="s">
        <v>206</v>
      </c>
      <c r="F61" s="254">
        <v>3.464</v>
      </c>
      <c r="G61" s="292" t="s">
        <v>11439</v>
      </c>
      <c r="H61" s="255">
        <v>82.78</v>
      </c>
      <c r="J61" s="131"/>
    </row>
    <row r="62" spans="1:11" s="92" customFormat="1" ht="25.5">
      <c r="A62" s="256" t="s">
        <v>3259</v>
      </c>
      <c r="B62" s="374">
        <v>88316</v>
      </c>
      <c r="C62" s="289" t="s">
        <v>104</v>
      </c>
      <c r="D62" s="290" t="s">
        <v>9714</v>
      </c>
      <c r="E62" s="290" t="s">
        <v>206</v>
      </c>
      <c r="F62" s="254">
        <v>1.732</v>
      </c>
      <c r="G62" s="292" t="s">
        <v>10172</v>
      </c>
      <c r="H62" s="255">
        <v>30.5</v>
      </c>
      <c r="J62" s="131"/>
      <c r="K62" s="501"/>
    </row>
    <row r="63" spans="1:11" s="92" customFormat="1" ht="38.25">
      <c r="A63" s="256" t="s">
        <v>3259</v>
      </c>
      <c r="B63" s="374">
        <v>88629</v>
      </c>
      <c r="C63" s="289" t="s">
        <v>9416</v>
      </c>
      <c r="D63" s="290" t="s">
        <v>229</v>
      </c>
      <c r="E63" s="290" t="s">
        <v>209</v>
      </c>
      <c r="F63" s="254">
        <v>4.2200000000000001E-2</v>
      </c>
      <c r="G63" s="292" t="s">
        <v>24289</v>
      </c>
      <c r="H63" s="255">
        <v>20.84</v>
      </c>
      <c r="J63" s="131"/>
    </row>
    <row r="64" spans="1:11" s="92" customFormat="1" ht="12.75">
      <c r="A64" s="256"/>
      <c r="B64" s="288" t="s">
        <v>143</v>
      </c>
      <c r="C64" s="500" t="s">
        <v>15383</v>
      </c>
      <c r="D64" s="386"/>
      <c r="E64" s="386"/>
      <c r="F64" s="386"/>
      <c r="G64" s="386"/>
      <c r="H64" s="387"/>
      <c r="J64" s="131"/>
    </row>
    <row r="65" spans="1:11" s="88" customFormat="1" ht="12.75">
      <c r="A65" s="286"/>
      <c r="B65" s="293"/>
      <c r="C65" s="229"/>
      <c r="D65" s="230"/>
      <c r="E65" s="230"/>
      <c r="F65" s="230"/>
      <c r="G65" s="230"/>
      <c r="H65" s="230"/>
      <c r="J65" s="89"/>
    </row>
    <row r="66" spans="1:11" s="236" customFormat="1" ht="38.25">
      <c r="A66" s="376"/>
      <c r="B66" s="372" t="s">
        <v>15384</v>
      </c>
      <c r="C66" s="231" t="s">
        <v>15385</v>
      </c>
      <c r="D66" s="232" t="s">
        <v>103</v>
      </c>
      <c r="E66" s="232" t="s">
        <v>193</v>
      </c>
      <c r="F66" s="233"/>
      <c r="G66" s="234"/>
      <c r="H66" s="235">
        <v>458.85999999999996</v>
      </c>
      <c r="J66" s="237"/>
    </row>
    <row r="67" spans="1:11" s="92" customFormat="1" ht="51">
      <c r="A67" s="256" t="s">
        <v>3261</v>
      </c>
      <c r="B67" s="374">
        <v>4911</v>
      </c>
      <c r="C67" s="289" t="s">
        <v>7765</v>
      </c>
      <c r="D67" s="290" t="s">
        <v>207</v>
      </c>
      <c r="E67" s="290" t="s">
        <v>3242</v>
      </c>
      <c r="F67" s="291">
        <v>1</v>
      </c>
      <c r="G67" s="292" t="s">
        <v>20442</v>
      </c>
      <c r="H67" s="255">
        <v>417.76</v>
      </c>
      <c r="J67" s="176"/>
    </row>
    <row r="68" spans="1:11" s="92" customFormat="1" ht="25.5">
      <c r="A68" s="256" t="s">
        <v>3259</v>
      </c>
      <c r="B68" s="374">
        <v>88309</v>
      </c>
      <c r="C68" s="289" t="s">
        <v>105</v>
      </c>
      <c r="D68" s="290" t="s">
        <v>9714</v>
      </c>
      <c r="E68" s="290" t="s">
        <v>206</v>
      </c>
      <c r="F68" s="254">
        <v>0.8</v>
      </c>
      <c r="G68" s="292" t="s">
        <v>11439</v>
      </c>
      <c r="H68" s="255">
        <v>19.12</v>
      </c>
      <c r="J68" s="131"/>
    </row>
    <row r="69" spans="1:11" s="92" customFormat="1" ht="25.5">
      <c r="A69" s="256" t="s">
        <v>3259</v>
      </c>
      <c r="B69" s="374">
        <v>88316</v>
      </c>
      <c r="C69" s="289" t="s">
        <v>104</v>
      </c>
      <c r="D69" s="290" t="s">
        <v>9714</v>
      </c>
      <c r="E69" s="290" t="s">
        <v>206</v>
      </c>
      <c r="F69" s="254">
        <v>0.8</v>
      </c>
      <c r="G69" s="292" t="s">
        <v>10172</v>
      </c>
      <c r="H69" s="255">
        <v>14.08</v>
      </c>
      <c r="J69" s="131"/>
      <c r="K69" s="501"/>
    </row>
    <row r="70" spans="1:11" s="92" customFormat="1" ht="38.25">
      <c r="A70" s="256" t="s">
        <v>3259</v>
      </c>
      <c r="B70" s="374">
        <v>88629</v>
      </c>
      <c r="C70" s="289" t="s">
        <v>9416</v>
      </c>
      <c r="D70" s="290" t="s">
        <v>229</v>
      </c>
      <c r="E70" s="290" t="s">
        <v>209</v>
      </c>
      <c r="F70" s="254">
        <v>1.6E-2</v>
      </c>
      <c r="G70" s="292" t="s">
        <v>24289</v>
      </c>
      <c r="H70" s="255">
        <v>7.9</v>
      </c>
      <c r="J70" s="131"/>
    </row>
    <row r="71" spans="1:11" s="92" customFormat="1" ht="12.75">
      <c r="A71" s="256"/>
      <c r="B71" s="288" t="s">
        <v>143</v>
      </c>
      <c r="C71" s="500" t="s">
        <v>15386</v>
      </c>
      <c r="D71" s="386"/>
      <c r="E71" s="386"/>
      <c r="F71" s="386"/>
      <c r="G71" s="386"/>
      <c r="H71" s="387"/>
      <c r="J71" s="131"/>
    </row>
    <row r="72" spans="1:11" s="88" customFormat="1" ht="12.75">
      <c r="A72" s="286"/>
      <c r="B72" s="293"/>
      <c r="C72" s="229"/>
      <c r="D72" s="230"/>
      <c r="E72" s="230"/>
      <c r="F72" s="230"/>
      <c r="G72" s="230"/>
      <c r="H72" s="230"/>
      <c r="J72" s="89"/>
    </row>
    <row r="73" spans="1:11" s="236" customFormat="1" ht="25.5">
      <c r="A73" s="376"/>
      <c r="B73" s="372" t="s">
        <v>15387</v>
      </c>
      <c r="C73" s="231" t="s">
        <v>15388</v>
      </c>
      <c r="D73" s="232" t="s">
        <v>103</v>
      </c>
      <c r="E73" s="232" t="s">
        <v>15285</v>
      </c>
      <c r="F73" s="233"/>
      <c r="G73" s="234"/>
      <c r="H73" s="235">
        <v>94.539999999999992</v>
      </c>
      <c r="J73" s="237"/>
    </row>
    <row r="74" spans="1:11" s="92" customFormat="1" ht="25.5">
      <c r="A74" s="256" t="s">
        <v>12</v>
      </c>
      <c r="B74" s="374" t="s">
        <v>15336</v>
      </c>
      <c r="C74" s="289" t="s">
        <v>15284</v>
      </c>
      <c r="D74" s="290" t="s">
        <v>207</v>
      </c>
      <c r="E74" s="290" t="s">
        <v>15285</v>
      </c>
      <c r="F74" s="291">
        <v>1</v>
      </c>
      <c r="G74" s="292">
        <v>61.9</v>
      </c>
      <c r="H74" s="255">
        <v>61.9</v>
      </c>
      <c r="J74" s="176"/>
    </row>
    <row r="75" spans="1:11" s="92" customFormat="1" ht="25.5">
      <c r="A75" s="256" t="s">
        <v>3259</v>
      </c>
      <c r="B75" s="374">
        <v>88315</v>
      </c>
      <c r="C75" s="289" t="s">
        <v>208</v>
      </c>
      <c r="D75" s="290" t="s">
        <v>9714</v>
      </c>
      <c r="E75" s="290" t="s">
        <v>206</v>
      </c>
      <c r="F75" s="254">
        <v>1.002</v>
      </c>
      <c r="G75" s="292" t="s">
        <v>21052</v>
      </c>
      <c r="H75" s="255">
        <v>23.82</v>
      </c>
      <c r="J75" s="131"/>
    </row>
    <row r="76" spans="1:11" s="92" customFormat="1" ht="25.5">
      <c r="A76" s="256" t="s">
        <v>3259</v>
      </c>
      <c r="B76" s="374">
        <v>88316</v>
      </c>
      <c r="C76" s="289" t="s">
        <v>104</v>
      </c>
      <c r="D76" s="290" t="s">
        <v>9714</v>
      </c>
      <c r="E76" s="290" t="s">
        <v>206</v>
      </c>
      <c r="F76" s="254">
        <v>0.501</v>
      </c>
      <c r="G76" s="292" t="s">
        <v>10172</v>
      </c>
      <c r="H76" s="255">
        <v>8.82</v>
      </c>
      <c r="J76" s="131"/>
    </row>
    <row r="77" spans="1:11" s="92" customFormat="1" ht="12.75">
      <c r="A77" s="256"/>
      <c r="B77" s="288" t="s">
        <v>143</v>
      </c>
      <c r="C77" s="500" t="s">
        <v>15389</v>
      </c>
      <c r="D77" s="386"/>
      <c r="E77" s="386"/>
      <c r="F77" s="386"/>
      <c r="G77" s="386"/>
      <c r="H77" s="387"/>
      <c r="J77" s="131"/>
    </row>
    <row r="78" spans="1:11" s="88" customFormat="1" ht="12.75">
      <c r="A78" s="286"/>
      <c r="B78" s="293"/>
      <c r="C78" s="229"/>
      <c r="D78" s="230"/>
      <c r="E78" s="230"/>
      <c r="F78" s="230"/>
      <c r="G78" s="230"/>
      <c r="H78" s="230"/>
      <c r="J78" s="89"/>
    </row>
    <row r="79" spans="1:11" s="236" customFormat="1" ht="25.5">
      <c r="A79" s="376"/>
      <c r="B79" s="372" t="s">
        <v>15390</v>
      </c>
      <c r="C79" s="231" t="s">
        <v>15391</v>
      </c>
      <c r="D79" s="232" t="s">
        <v>103</v>
      </c>
      <c r="E79" s="232" t="s">
        <v>3240</v>
      </c>
      <c r="F79" s="233"/>
      <c r="G79" s="234"/>
      <c r="H79" s="235">
        <v>110.61999999999999</v>
      </c>
      <c r="J79" s="237"/>
    </row>
    <row r="80" spans="1:11" s="92" customFormat="1" ht="25.5">
      <c r="A80" s="256" t="s">
        <v>12</v>
      </c>
      <c r="B80" s="374" t="s">
        <v>15351</v>
      </c>
      <c r="C80" s="289" t="s">
        <v>15719</v>
      </c>
      <c r="D80" s="290" t="s">
        <v>207</v>
      </c>
      <c r="E80" s="290" t="s">
        <v>109</v>
      </c>
      <c r="F80" s="291">
        <v>1</v>
      </c>
      <c r="G80" s="292">
        <v>76.5</v>
      </c>
      <c r="H80" s="255">
        <v>76.5</v>
      </c>
      <c r="J80" s="176"/>
    </row>
    <row r="81" spans="1:17" s="92" customFormat="1" ht="25.5">
      <c r="A81" s="256" t="s">
        <v>3259</v>
      </c>
      <c r="B81" s="374">
        <v>88315</v>
      </c>
      <c r="C81" s="289" t="s">
        <v>208</v>
      </c>
      <c r="D81" s="290" t="s">
        <v>9714</v>
      </c>
      <c r="E81" s="290" t="s">
        <v>206</v>
      </c>
      <c r="F81" s="254">
        <v>1.002</v>
      </c>
      <c r="G81" s="292" t="s">
        <v>21052</v>
      </c>
      <c r="H81" s="255">
        <v>23.82</v>
      </c>
      <c r="J81" s="131"/>
    </row>
    <row r="82" spans="1:17" s="92" customFormat="1" ht="25.5">
      <c r="A82" s="256" t="s">
        <v>3259</v>
      </c>
      <c r="B82" s="374">
        <v>88316</v>
      </c>
      <c r="C82" s="289" t="s">
        <v>104</v>
      </c>
      <c r="D82" s="290" t="s">
        <v>9714</v>
      </c>
      <c r="E82" s="290" t="s">
        <v>206</v>
      </c>
      <c r="F82" s="254">
        <v>0.501</v>
      </c>
      <c r="G82" s="292" t="s">
        <v>10172</v>
      </c>
      <c r="H82" s="255">
        <v>8.82</v>
      </c>
      <c r="J82" s="131"/>
    </row>
    <row r="83" spans="1:17" s="92" customFormat="1" ht="38.25">
      <c r="A83" s="256" t="s">
        <v>3259</v>
      </c>
      <c r="B83" s="374">
        <v>88629</v>
      </c>
      <c r="C83" s="289" t="s">
        <v>9416</v>
      </c>
      <c r="D83" s="290" t="s">
        <v>229</v>
      </c>
      <c r="E83" s="290" t="s">
        <v>209</v>
      </c>
      <c r="F83" s="254">
        <v>3.0000000000000001E-3</v>
      </c>
      <c r="G83" s="292" t="s">
        <v>24289</v>
      </c>
      <c r="H83" s="255">
        <v>1.48</v>
      </c>
      <c r="J83" s="131"/>
    </row>
    <row r="84" spans="1:17" s="92" customFormat="1" ht="12.75">
      <c r="A84" s="256"/>
      <c r="B84" s="288" t="s">
        <v>143</v>
      </c>
      <c r="C84" s="500" t="s">
        <v>15389</v>
      </c>
      <c r="D84" s="386"/>
      <c r="E84" s="386"/>
      <c r="F84" s="386"/>
      <c r="G84" s="386"/>
      <c r="H84" s="387"/>
      <c r="J84" s="131"/>
    </row>
    <row r="85" spans="1:17" s="88" customFormat="1" ht="12.75">
      <c r="A85" s="286"/>
      <c r="B85" s="293"/>
      <c r="C85" s="229"/>
      <c r="D85" s="230"/>
      <c r="E85" s="230"/>
      <c r="F85" s="230"/>
      <c r="G85" s="230"/>
      <c r="H85" s="230"/>
      <c r="J85" s="89"/>
    </row>
    <row r="86" spans="1:17" s="236" customFormat="1" ht="38.25">
      <c r="A86" s="376"/>
      <c r="B86" s="372" t="s">
        <v>15392</v>
      </c>
      <c r="C86" s="231" t="s">
        <v>17529</v>
      </c>
      <c r="D86" s="232" t="s">
        <v>103</v>
      </c>
      <c r="E86" s="232" t="s">
        <v>193</v>
      </c>
      <c r="F86" s="233"/>
      <c r="G86" s="234"/>
      <c r="H86" s="235">
        <v>98.66</v>
      </c>
      <c r="J86" s="237"/>
    </row>
    <row r="87" spans="1:17" s="92" customFormat="1" ht="38.25">
      <c r="A87" s="256" t="s">
        <v>3261</v>
      </c>
      <c r="B87" s="374">
        <v>567</v>
      </c>
      <c r="C87" s="289" t="s">
        <v>11748</v>
      </c>
      <c r="D87" s="290" t="s">
        <v>207</v>
      </c>
      <c r="E87" s="290" t="s">
        <v>3243</v>
      </c>
      <c r="F87" s="291">
        <v>4</v>
      </c>
      <c r="G87" s="292" t="s">
        <v>19274</v>
      </c>
      <c r="H87" s="255">
        <v>63.4</v>
      </c>
      <c r="J87" s="176"/>
      <c r="K87" s="92">
        <f>0.6*0.8</f>
        <v>0.48</v>
      </c>
      <c r="L87" s="92">
        <v>1.778</v>
      </c>
    </row>
    <row r="88" spans="1:17" s="92" customFormat="1" ht="25.5">
      <c r="A88" s="256" t="s">
        <v>3259</v>
      </c>
      <c r="B88" s="288">
        <v>88261</v>
      </c>
      <c r="C88" s="289" t="s">
        <v>294</v>
      </c>
      <c r="D88" s="290" t="s">
        <v>9714</v>
      </c>
      <c r="E88" s="290" t="s">
        <v>206</v>
      </c>
      <c r="F88" s="254">
        <v>0.8</v>
      </c>
      <c r="G88" s="292" t="s">
        <v>12381</v>
      </c>
      <c r="H88" s="255">
        <v>18.97</v>
      </c>
      <c r="J88" s="131"/>
      <c r="K88" s="92">
        <f>0.6*0.6</f>
        <v>0.36</v>
      </c>
      <c r="L88" s="92" t="s">
        <v>15393</v>
      </c>
    </row>
    <row r="89" spans="1:17" s="92" customFormat="1" ht="25.5">
      <c r="A89" s="256" t="s">
        <v>3259</v>
      </c>
      <c r="B89" s="288">
        <v>88316</v>
      </c>
      <c r="C89" s="289" t="s">
        <v>104</v>
      </c>
      <c r="D89" s="290" t="s">
        <v>9714</v>
      </c>
      <c r="E89" s="290" t="s">
        <v>206</v>
      </c>
      <c r="F89" s="254">
        <v>0.8</v>
      </c>
      <c r="G89" s="292" t="s">
        <v>10172</v>
      </c>
      <c r="H89" s="255">
        <v>14.08</v>
      </c>
      <c r="J89" s="131"/>
      <c r="K89" s="92">
        <f>K88*L87/K87</f>
        <v>1.3334999999999999</v>
      </c>
    </row>
    <row r="90" spans="1:17" s="92" customFormat="1" ht="38.25">
      <c r="A90" s="256" t="s">
        <v>3261</v>
      </c>
      <c r="B90" s="374">
        <v>7170</v>
      </c>
      <c r="C90" s="289" t="s">
        <v>8383</v>
      </c>
      <c r="D90" s="290" t="s">
        <v>207</v>
      </c>
      <c r="E90" s="290" t="s">
        <v>3242</v>
      </c>
      <c r="F90" s="254">
        <v>1.05</v>
      </c>
      <c r="G90" s="292" t="s">
        <v>10007</v>
      </c>
      <c r="H90" s="255">
        <v>2.21</v>
      </c>
      <c r="J90" s="131"/>
    </row>
    <row r="91" spans="1:17" s="92" customFormat="1" ht="12.75">
      <c r="A91" s="256"/>
      <c r="B91" s="288" t="s">
        <v>143</v>
      </c>
      <c r="C91" s="546" t="s">
        <v>17530</v>
      </c>
      <c r="D91" s="386"/>
      <c r="E91" s="386"/>
      <c r="F91" s="386"/>
      <c r="G91" s="386"/>
      <c r="H91" s="387"/>
      <c r="J91" s="131"/>
    </row>
    <row r="92" spans="1:17" s="92" customFormat="1" ht="12.75">
      <c r="A92" s="286"/>
      <c r="B92" s="373"/>
      <c r="C92" s="379"/>
      <c r="D92" s="382"/>
      <c r="E92" s="382"/>
      <c r="F92" s="382"/>
      <c r="G92" s="382"/>
      <c r="H92" s="382"/>
    </row>
    <row r="93" spans="1:17" s="92" customFormat="1" ht="25.5">
      <c r="A93" s="286"/>
      <c r="B93" s="372" t="s">
        <v>15394</v>
      </c>
      <c r="C93" s="231" t="s">
        <v>17532</v>
      </c>
      <c r="D93" s="232" t="s">
        <v>103</v>
      </c>
      <c r="E93" s="232" t="s">
        <v>193</v>
      </c>
      <c r="F93" s="233"/>
      <c r="G93" s="234"/>
      <c r="H93" s="235">
        <v>294.72000000000003</v>
      </c>
      <c r="J93" s="843" t="s">
        <v>17499</v>
      </c>
      <c r="K93" s="844"/>
      <c r="L93" s="844"/>
      <c r="M93" s="844"/>
      <c r="N93" s="844"/>
      <c r="O93" s="844"/>
      <c r="P93" s="844"/>
      <c r="Q93" s="845"/>
    </row>
    <row r="94" spans="1:17" s="92" customFormat="1" ht="24.75" customHeight="1">
      <c r="A94" s="256" t="s">
        <v>3261</v>
      </c>
      <c r="B94" s="288">
        <v>43692</v>
      </c>
      <c r="C94" s="289" t="s">
        <v>9552</v>
      </c>
      <c r="D94" s="290" t="s">
        <v>207</v>
      </c>
      <c r="E94" s="290" t="s">
        <v>3244</v>
      </c>
      <c r="F94" s="383">
        <v>22.733760000000004</v>
      </c>
      <c r="G94" s="292" t="s">
        <v>11240</v>
      </c>
      <c r="H94" s="255">
        <v>252.34</v>
      </c>
      <c r="J94" s="764" t="s">
        <v>15365</v>
      </c>
      <c r="K94" s="750" t="s">
        <v>15366</v>
      </c>
      <c r="L94" s="750" t="s">
        <v>15401</v>
      </c>
      <c r="M94" s="750" t="s">
        <v>15367</v>
      </c>
      <c r="N94" s="750" t="s">
        <v>15368</v>
      </c>
      <c r="O94" s="750" t="s">
        <v>15369</v>
      </c>
      <c r="P94" s="750" t="s">
        <v>15370</v>
      </c>
      <c r="Q94" s="750" t="s">
        <v>15371</v>
      </c>
    </row>
    <row r="95" spans="1:17" s="92" customFormat="1" ht="38.25">
      <c r="A95" s="256" t="s">
        <v>3259</v>
      </c>
      <c r="B95" s="288">
        <v>88315</v>
      </c>
      <c r="C95" s="289" t="s">
        <v>208</v>
      </c>
      <c r="D95" s="290" t="s">
        <v>9714</v>
      </c>
      <c r="E95" s="290" t="s">
        <v>206</v>
      </c>
      <c r="F95" s="383">
        <v>0.86604800000000015</v>
      </c>
      <c r="G95" s="292" t="s">
        <v>21052</v>
      </c>
      <c r="H95" s="255">
        <v>20.59</v>
      </c>
      <c r="J95" s="547" t="s">
        <v>17531</v>
      </c>
      <c r="K95" s="548">
        <v>17</v>
      </c>
      <c r="L95" s="548">
        <f>(0.05+0.02)*2</f>
        <v>0.14000000000000001</v>
      </c>
      <c r="M95" s="548">
        <v>1</v>
      </c>
      <c r="N95" s="548">
        <v>1.2736000000000001</v>
      </c>
      <c r="O95" s="548" t="s">
        <v>15372</v>
      </c>
      <c r="P95" s="548">
        <f>K95*M95*N95</f>
        <v>21.651200000000003</v>
      </c>
      <c r="Q95" s="548">
        <f>M95*L95*K95</f>
        <v>2.3800000000000003</v>
      </c>
    </row>
    <row r="96" spans="1:17" s="92" customFormat="1" ht="25.5">
      <c r="A96" s="256" t="s">
        <v>3259</v>
      </c>
      <c r="B96" s="288">
        <v>88316</v>
      </c>
      <c r="C96" s="289" t="s">
        <v>104</v>
      </c>
      <c r="D96" s="290" t="s">
        <v>9714</v>
      </c>
      <c r="E96" s="290" t="s">
        <v>206</v>
      </c>
      <c r="F96" s="383">
        <v>0.86604800000000015</v>
      </c>
      <c r="G96" s="292" t="s">
        <v>10172</v>
      </c>
      <c r="H96" s="255">
        <v>15.25</v>
      </c>
      <c r="J96" s="547"/>
      <c r="K96" s="548"/>
      <c r="L96" s="548"/>
      <c r="M96" s="548"/>
      <c r="N96" s="548"/>
      <c r="O96" s="548"/>
      <c r="P96" s="548"/>
      <c r="Q96" s="548"/>
    </row>
    <row r="97" spans="1:17" s="92" customFormat="1" ht="38.25">
      <c r="A97" s="256" t="s">
        <v>3259</v>
      </c>
      <c r="B97" s="288">
        <v>98746</v>
      </c>
      <c r="C97" s="289" t="s">
        <v>4073</v>
      </c>
      <c r="D97" s="290" t="s">
        <v>229</v>
      </c>
      <c r="E97" s="290" t="s">
        <v>5</v>
      </c>
      <c r="F97" s="383">
        <v>0.12990720000000003</v>
      </c>
      <c r="G97" s="292" t="s">
        <v>22555</v>
      </c>
      <c r="H97" s="255">
        <v>6.54</v>
      </c>
      <c r="J97" s="72"/>
      <c r="O97" s="765" t="s">
        <v>15373</v>
      </c>
      <c r="P97" s="765">
        <f>SUM(P95:P96)</f>
        <v>21.651200000000003</v>
      </c>
      <c r="Q97" s="765">
        <f>SUM(Q95:Q96)</f>
        <v>2.3800000000000003</v>
      </c>
    </row>
    <row r="98" spans="1:17" s="92" customFormat="1" ht="12.75">
      <c r="A98" s="286"/>
      <c r="B98" s="375" t="s">
        <v>143</v>
      </c>
      <c r="C98" s="837" t="s">
        <v>15374</v>
      </c>
      <c r="D98" s="835"/>
      <c r="E98" s="835"/>
      <c r="F98" s="835"/>
      <c r="G98" s="835"/>
      <c r="H98" s="836"/>
      <c r="J98" s="131"/>
    </row>
    <row r="99" spans="1:17" s="88" customFormat="1" ht="12.75">
      <c r="A99" s="286"/>
      <c r="B99" s="293"/>
      <c r="C99" s="229"/>
      <c r="D99" s="230"/>
      <c r="E99" s="230"/>
      <c r="F99" s="230"/>
      <c r="G99" s="230"/>
      <c r="H99" s="230"/>
      <c r="J99" s="89"/>
    </row>
    <row r="100" spans="1:17" s="236" customFormat="1" ht="63.75">
      <c r="A100" s="376"/>
      <c r="B100" s="372" t="s">
        <v>15395</v>
      </c>
      <c r="C100" s="231" t="s">
        <v>15396</v>
      </c>
      <c r="D100" s="232" t="s">
        <v>103</v>
      </c>
      <c r="E100" s="232" t="s">
        <v>5</v>
      </c>
      <c r="F100" s="233"/>
      <c r="G100" s="234"/>
      <c r="H100" s="235">
        <v>277.28999999999996</v>
      </c>
      <c r="J100" s="237"/>
    </row>
    <row r="101" spans="1:17" s="92" customFormat="1" ht="25.5">
      <c r="A101" s="256" t="s">
        <v>3259</v>
      </c>
      <c r="B101" s="374">
        <v>88309</v>
      </c>
      <c r="C101" s="289" t="s">
        <v>105</v>
      </c>
      <c r="D101" s="290" t="s">
        <v>9714</v>
      </c>
      <c r="E101" s="290" t="s">
        <v>206</v>
      </c>
      <c r="F101" s="254">
        <v>1</v>
      </c>
      <c r="G101" s="292" t="s">
        <v>11439</v>
      </c>
      <c r="H101" s="255">
        <v>23.9</v>
      </c>
      <c r="J101" s="131"/>
    </row>
    <row r="102" spans="1:17" s="92" customFormat="1" ht="25.5">
      <c r="A102" s="256" t="s">
        <v>3259</v>
      </c>
      <c r="B102" s="374">
        <v>88315</v>
      </c>
      <c r="C102" s="289" t="s">
        <v>208</v>
      </c>
      <c r="D102" s="290" t="s">
        <v>9714</v>
      </c>
      <c r="E102" s="290" t="s">
        <v>206</v>
      </c>
      <c r="F102" s="254">
        <v>0.5</v>
      </c>
      <c r="G102" s="292" t="s">
        <v>21052</v>
      </c>
      <c r="H102" s="255">
        <v>11.89</v>
      </c>
      <c r="J102" s="131"/>
    </row>
    <row r="103" spans="1:17" s="92" customFormat="1" ht="25.5">
      <c r="A103" s="256" t="s">
        <v>3259</v>
      </c>
      <c r="B103" s="374">
        <v>88316</v>
      </c>
      <c r="C103" s="289" t="s">
        <v>104</v>
      </c>
      <c r="D103" s="290" t="s">
        <v>9714</v>
      </c>
      <c r="E103" s="290" t="s">
        <v>206</v>
      </c>
      <c r="F103" s="254">
        <v>2.5</v>
      </c>
      <c r="G103" s="292" t="s">
        <v>10172</v>
      </c>
      <c r="H103" s="255">
        <v>44.02</v>
      </c>
      <c r="J103" s="131"/>
    </row>
    <row r="104" spans="1:17" s="92" customFormat="1" ht="25.5">
      <c r="A104" s="256" t="s">
        <v>3259</v>
      </c>
      <c r="B104" s="374">
        <v>88317</v>
      </c>
      <c r="C104" s="289" t="s">
        <v>3096</v>
      </c>
      <c r="D104" s="290" t="s">
        <v>9714</v>
      </c>
      <c r="E104" s="290" t="s">
        <v>206</v>
      </c>
      <c r="F104" s="254">
        <v>0.5</v>
      </c>
      <c r="G104" s="292" t="s">
        <v>18764</v>
      </c>
      <c r="H104" s="255">
        <v>12.22</v>
      </c>
      <c r="J104" s="131"/>
      <c r="K104" s="501"/>
    </row>
    <row r="105" spans="1:17" s="92" customFormat="1" ht="25.5">
      <c r="A105" s="256" t="s">
        <v>3261</v>
      </c>
      <c r="B105" s="374">
        <v>10997</v>
      </c>
      <c r="C105" s="289" t="s">
        <v>6208</v>
      </c>
      <c r="D105" s="290" t="s">
        <v>207</v>
      </c>
      <c r="E105" s="290" t="s">
        <v>3244</v>
      </c>
      <c r="F105" s="254">
        <v>0.25</v>
      </c>
      <c r="G105" s="292" t="s">
        <v>14318</v>
      </c>
      <c r="H105" s="255">
        <v>4.97</v>
      </c>
      <c r="J105" s="131"/>
    </row>
    <row r="106" spans="1:17" s="92" customFormat="1" ht="38.25">
      <c r="A106" s="256" t="s">
        <v>3261</v>
      </c>
      <c r="B106" s="374">
        <v>21011</v>
      </c>
      <c r="C106" s="289" t="s">
        <v>8592</v>
      </c>
      <c r="D106" s="290" t="s">
        <v>207</v>
      </c>
      <c r="E106" s="290" t="s">
        <v>3243</v>
      </c>
      <c r="F106" s="254">
        <v>2.2400000000000002</v>
      </c>
      <c r="G106" s="292" t="s">
        <v>20952</v>
      </c>
      <c r="H106" s="255">
        <v>125.5</v>
      </c>
      <c r="J106" s="131"/>
    </row>
    <row r="107" spans="1:17" s="92" customFormat="1" ht="38.25">
      <c r="A107" s="256" t="s">
        <v>3261</v>
      </c>
      <c r="B107" s="374">
        <v>21012</v>
      </c>
      <c r="C107" s="289" t="s">
        <v>8593</v>
      </c>
      <c r="D107" s="290" t="s">
        <v>207</v>
      </c>
      <c r="E107" s="290" t="s">
        <v>3243</v>
      </c>
      <c r="F107" s="254">
        <v>0.6</v>
      </c>
      <c r="G107" s="292" t="s">
        <v>15891</v>
      </c>
      <c r="H107" s="255">
        <v>37.14</v>
      </c>
      <c r="J107" s="131"/>
    </row>
    <row r="108" spans="1:17" s="92" customFormat="1" ht="51">
      <c r="A108" s="256" t="s">
        <v>3259</v>
      </c>
      <c r="B108" s="374">
        <v>94963</v>
      </c>
      <c r="C108" s="289" t="s">
        <v>22440</v>
      </c>
      <c r="D108" s="290" t="s">
        <v>229</v>
      </c>
      <c r="E108" s="290" t="s">
        <v>209</v>
      </c>
      <c r="F108" s="254">
        <v>0.05</v>
      </c>
      <c r="G108" s="292" t="s">
        <v>22441</v>
      </c>
      <c r="H108" s="255">
        <v>17.649999999999999</v>
      </c>
      <c r="J108" s="131"/>
    </row>
    <row r="109" spans="1:17" s="92" customFormat="1" ht="12.75">
      <c r="A109" s="256"/>
      <c r="B109" s="288" t="s">
        <v>143</v>
      </c>
      <c r="C109" s="500" t="s">
        <v>15397</v>
      </c>
      <c r="D109" s="386"/>
      <c r="E109" s="386"/>
      <c r="F109" s="386"/>
      <c r="G109" s="386"/>
      <c r="H109" s="387"/>
      <c r="J109" s="131"/>
    </row>
    <row r="110" spans="1:17" s="88" customFormat="1" ht="12.75">
      <c r="A110" s="286"/>
      <c r="B110" s="293"/>
      <c r="C110" s="229"/>
      <c r="D110" s="230"/>
      <c r="E110" s="230"/>
      <c r="F110" s="230"/>
      <c r="G110" s="230"/>
      <c r="H110" s="230"/>
      <c r="J110" s="89"/>
    </row>
    <row r="111" spans="1:17" s="236" customFormat="1" ht="89.25">
      <c r="A111" s="376"/>
      <c r="B111" s="372" t="s">
        <v>15398</v>
      </c>
      <c r="C111" s="231" t="s">
        <v>17462</v>
      </c>
      <c r="D111" s="232" t="s">
        <v>103</v>
      </c>
      <c r="E111" s="232" t="s">
        <v>17463</v>
      </c>
      <c r="F111" s="233"/>
      <c r="G111" s="234"/>
      <c r="H111" s="235">
        <v>535.25999999999988</v>
      </c>
      <c r="J111" s="237"/>
    </row>
    <row r="112" spans="1:17" s="92" customFormat="1" ht="25.5">
      <c r="A112" s="256" t="s">
        <v>3259</v>
      </c>
      <c r="B112" s="374">
        <v>88309</v>
      </c>
      <c r="C112" s="289" t="s">
        <v>105</v>
      </c>
      <c r="D112" s="290" t="s">
        <v>9714</v>
      </c>
      <c r="E112" s="290" t="s">
        <v>206</v>
      </c>
      <c r="F112" s="254">
        <v>1</v>
      </c>
      <c r="G112" s="292" t="s">
        <v>11439</v>
      </c>
      <c r="H112" s="255">
        <v>23.9</v>
      </c>
      <c r="J112" s="131"/>
    </row>
    <row r="113" spans="1:17" s="92" customFormat="1" ht="25.5">
      <c r="A113" s="256" t="s">
        <v>3259</v>
      </c>
      <c r="B113" s="374">
        <v>88315</v>
      </c>
      <c r="C113" s="289" t="s">
        <v>208</v>
      </c>
      <c r="D113" s="290" t="s">
        <v>9714</v>
      </c>
      <c r="E113" s="290" t="s">
        <v>206</v>
      </c>
      <c r="F113" s="254">
        <v>0.75</v>
      </c>
      <c r="G113" s="292" t="s">
        <v>21052</v>
      </c>
      <c r="H113" s="255">
        <v>17.829999999999998</v>
      </c>
      <c r="J113" s="131"/>
    </row>
    <row r="114" spans="1:17" s="92" customFormat="1" ht="25.5">
      <c r="A114" s="256" t="s">
        <v>3259</v>
      </c>
      <c r="B114" s="374">
        <v>88316</v>
      </c>
      <c r="C114" s="289" t="s">
        <v>104</v>
      </c>
      <c r="D114" s="290" t="s">
        <v>9714</v>
      </c>
      <c r="E114" s="290" t="s">
        <v>206</v>
      </c>
      <c r="F114" s="254">
        <v>2.5</v>
      </c>
      <c r="G114" s="292" t="s">
        <v>10172</v>
      </c>
      <c r="H114" s="255">
        <v>44.02</v>
      </c>
      <c r="J114" s="131"/>
    </row>
    <row r="115" spans="1:17" s="92" customFormat="1" ht="25.5">
      <c r="A115" s="256" t="s">
        <v>3259</v>
      </c>
      <c r="B115" s="374">
        <v>88317</v>
      </c>
      <c r="C115" s="289" t="s">
        <v>3096</v>
      </c>
      <c r="D115" s="290" t="s">
        <v>9714</v>
      </c>
      <c r="E115" s="290" t="s">
        <v>206</v>
      </c>
      <c r="F115" s="254">
        <v>0.76</v>
      </c>
      <c r="G115" s="292" t="s">
        <v>18764</v>
      </c>
      <c r="H115" s="255">
        <v>18.57</v>
      </c>
      <c r="J115" s="131"/>
      <c r="K115" s="501"/>
    </row>
    <row r="116" spans="1:17" s="92" customFormat="1" ht="25.5">
      <c r="A116" s="256" t="s">
        <v>3261</v>
      </c>
      <c r="B116" s="374">
        <v>10997</v>
      </c>
      <c r="C116" s="289" t="s">
        <v>6208</v>
      </c>
      <c r="D116" s="290" t="s">
        <v>207</v>
      </c>
      <c r="E116" s="290" t="s">
        <v>3244</v>
      </c>
      <c r="F116" s="254">
        <v>0.5</v>
      </c>
      <c r="G116" s="292" t="s">
        <v>14318</v>
      </c>
      <c r="H116" s="255">
        <v>9.94</v>
      </c>
      <c r="J116" s="131"/>
    </row>
    <row r="117" spans="1:17" s="92" customFormat="1" ht="38.25">
      <c r="A117" s="256" t="s">
        <v>3261</v>
      </c>
      <c r="B117" s="374">
        <v>21011</v>
      </c>
      <c r="C117" s="289" t="s">
        <v>8592</v>
      </c>
      <c r="D117" s="290" t="s">
        <v>207</v>
      </c>
      <c r="E117" s="290" t="s">
        <v>3243</v>
      </c>
      <c r="F117" s="254">
        <v>2</v>
      </c>
      <c r="G117" s="292" t="s">
        <v>20952</v>
      </c>
      <c r="H117" s="255">
        <v>112.06</v>
      </c>
      <c r="J117" s="131"/>
      <c r="K117" s="92" t="s">
        <v>17461</v>
      </c>
    </row>
    <row r="118" spans="1:17" s="92" customFormat="1" ht="25.5">
      <c r="A118" s="256" t="s">
        <v>3261</v>
      </c>
      <c r="B118" s="374">
        <v>566</v>
      </c>
      <c r="C118" s="289" t="s">
        <v>11650</v>
      </c>
      <c r="D118" s="290" t="s">
        <v>207</v>
      </c>
      <c r="E118" s="290" t="s">
        <v>3243</v>
      </c>
      <c r="F118" s="254">
        <v>3</v>
      </c>
      <c r="G118" s="292" t="s">
        <v>9729</v>
      </c>
      <c r="H118" s="255">
        <v>17.79</v>
      </c>
      <c r="J118" s="131"/>
      <c r="K118" s="92" t="s">
        <v>17461</v>
      </c>
    </row>
    <row r="119" spans="1:17" s="92" customFormat="1" ht="25.5">
      <c r="A119" s="256" t="s">
        <v>3261</v>
      </c>
      <c r="B119" s="374">
        <v>7164</v>
      </c>
      <c r="C119" s="289" t="s">
        <v>8379</v>
      </c>
      <c r="D119" s="290" t="s">
        <v>207</v>
      </c>
      <c r="E119" s="290" t="s">
        <v>3242</v>
      </c>
      <c r="F119" s="254">
        <v>1</v>
      </c>
      <c r="G119" s="292" t="s">
        <v>20828</v>
      </c>
      <c r="H119" s="255">
        <v>42.69</v>
      </c>
      <c r="J119" s="131"/>
      <c r="K119" s="92" t="s">
        <v>17461</v>
      </c>
    </row>
    <row r="120" spans="1:17" s="92" customFormat="1" ht="38.25">
      <c r="A120" s="256" t="s">
        <v>3261</v>
      </c>
      <c r="B120" s="374">
        <v>21013</v>
      </c>
      <c r="C120" s="289" t="s">
        <v>8594</v>
      </c>
      <c r="D120" s="290" t="s">
        <v>207</v>
      </c>
      <c r="E120" s="290" t="s">
        <v>3243</v>
      </c>
      <c r="F120" s="254">
        <v>3.01</v>
      </c>
      <c r="G120" s="292" t="s">
        <v>20953</v>
      </c>
      <c r="H120" s="255">
        <v>243.17</v>
      </c>
      <c r="J120" s="131"/>
      <c r="K120" s="92" t="s">
        <v>17461</v>
      </c>
    </row>
    <row r="121" spans="1:17" s="92" customFormat="1" ht="51">
      <c r="A121" s="256" t="s">
        <v>3259</v>
      </c>
      <c r="B121" s="374">
        <v>94963</v>
      </c>
      <c r="C121" s="289" t="s">
        <v>22440</v>
      </c>
      <c r="D121" s="290" t="s">
        <v>229</v>
      </c>
      <c r="E121" s="290" t="s">
        <v>209</v>
      </c>
      <c r="F121" s="254">
        <v>1.4999999999999999E-2</v>
      </c>
      <c r="G121" s="292" t="s">
        <v>22441</v>
      </c>
      <c r="H121" s="255">
        <v>5.29</v>
      </c>
      <c r="J121" s="131"/>
    </row>
    <row r="122" spans="1:17" s="92" customFormat="1" ht="12.75">
      <c r="A122" s="256"/>
      <c r="B122" s="288" t="s">
        <v>143</v>
      </c>
      <c r="C122" s="500" t="s">
        <v>15399</v>
      </c>
      <c r="D122" s="386"/>
      <c r="E122" s="386"/>
      <c r="F122" s="386"/>
      <c r="G122" s="386"/>
      <c r="H122" s="387"/>
      <c r="J122" s="131"/>
    </row>
    <row r="123" spans="1:17" s="92" customFormat="1" ht="12.75">
      <c r="A123" s="286"/>
      <c r="B123" s="373"/>
      <c r="C123" s="379"/>
      <c r="D123" s="382"/>
      <c r="E123" s="382"/>
      <c r="F123" s="382"/>
      <c r="G123" s="382"/>
      <c r="H123" s="382"/>
    </row>
    <row r="124" spans="1:17" s="92" customFormat="1" ht="38.25">
      <c r="A124" s="286"/>
      <c r="B124" s="372" t="s">
        <v>15400</v>
      </c>
      <c r="C124" s="231" t="s">
        <v>17464</v>
      </c>
      <c r="D124" s="232" t="s">
        <v>103</v>
      </c>
      <c r="E124" s="232" t="s">
        <v>10</v>
      </c>
      <c r="F124" s="233"/>
      <c r="G124" s="234"/>
      <c r="H124" s="235">
        <v>699.06</v>
      </c>
      <c r="J124" s="843" t="s">
        <v>17499</v>
      </c>
      <c r="K124" s="844"/>
      <c r="L124" s="844"/>
      <c r="M124" s="844"/>
      <c r="N124" s="844"/>
      <c r="O124" s="844"/>
      <c r="P124" s="844"/>
      <c r="Q124" s="845"/>
    </row>
    <row r="125" spans="1:17" s="92" customFormat="1" ht="25.5">
      <c r="A125" s="256" t="s">
        <v>3261</v>
      </c>
      <c r="B125" s="288">
        <v>43692</v>
      </c>
      <c r="C125" s="289" t="s">
        <v>9552</v>
      </c>
      <c r="D125" s="290" t="s">
        <v>207</v>
      </c>
      <c r="E125" s="290" t="s">
        <v>3244</v>
      </c>
      <c r="F125" s="383">
        <v>6.0993239999999993</v>
      </c>
      <c r="G125" s="292" t="s">
        <v>11240</v>
      </c>
      <c r="H125" s="255">
        <v>67.7</v>
      </c>
      <c r="J125" s="764" t="s">
        <v>15365</v>
      </c>
      <c r="K125" s="750" t="s">
        <v>15366</v>
      </c>
      <c r="L125" s="750" t="s">
        <v>15401</v>
      </c>
      <c r="M125" s="750" t="s">
        <v>15367</v>
      </c>
      <c r="N125" s="750" t="s">
        <v>15368</v>
      </c>
      <c r="O125" s="750" t="s">
        <v>15369</v>
      </c>
      <c r="P125" s="750" t="s">
        <v>15370</v>
      </c>
      <c r="Q125" s="750" t="s">
        <v>15371</v>
      </c>
    </row>
    <row r="126" spans="1:17" s="92" customFormat="1" ht="25.5">
      <c r="A126" s="256" t="s">
        <v>3259</v>
      </c>
      <c r="B126" s="288">
        <v>88315</v>
      </c>
      <c r="C126" s="289" t="s">
        <v>208</v>
      </c>
      <c r="D126" s="290" t="s">
        <v>9714</v>
      </c>
      <c r="E126" s="290" t="s">
        <v>206</v>
      </c>
      <c r="F126" s="383">
        <v>0.81836320000000007</v>
      </c>
      <c r="G126" s="292" t="s">
        <v>21052</v>
      </c>
      <c r="H126" s="255">
        <v>19.46</v>
      </c>
      <c r="J126" s="547" t="s">
        <v>17465</v>
      </c>
      <c r="K126" s="548">
        <v>2.7</v>
      </c>
      <c r="L126" s="548">
        <f>2*PI()*0.013</f>
        <v>8.168140899333462E-2</v>
      </c>
      <c r="M126" s="548">
        <v>5</v>
      </c>
      <c r="N126" s="548">
        <v>1.0851999999999999</v>
      </c>
      <c r="O126" s="548" t="s">
        <v>15372</v>
      </c>
      <c r="P126" s="548">
        <f>K126*M126*N126</f>
        <v>14.6502</v>
      </c>
      <c r="Q126" s="548">
        <f>M126*L126*K126</f>
        <v>1.1026990214100174</v>
      </c>
    </row>
    <row r="127" spans="1:17" s="92" customFormat="1" ht="25.5">
      <c r="A127" s="256" t="s">
        <v>3259</v>
      </c>
      <c r="B127" s="288">
        <v>88316</v>
      </c>
      <c r="C127" s="289" t="s">
        <v>104</v>
      </c>
      <c r="D127" s="290" t="s">
        <v>9714</v>
      </c>
      <c r="E127" s="290" t="s">
        <v>206</v>
      </c>
      <c r="F127" s="383">
        <v>0.81836320000000007</v>
      </c>
      <c r="G127" s="292" t="s">
        <v>10172</v>
      </c>
      <c r="H127" s="255">
        <v>14.41</v>
      </c>
      <c r="J127" s="547" t="s">
        <v>17466</v>
      </c>
      <c r="K127" s="548">
        <f>3.1*2+0.5*4</f>
        <v>8.1999999999999993</v>
      </c>
      <c r="L127" s="548">
        <f>(0.05+0.03)*2</f>
        <v>0.16</v>
      </c>
      <c r="M127" s="548">
        <v>1</v>
      </c>
      <c r="N127" s="548">
        <v>0.70840000000000003</v>
      </c>
      <c r="O127" s="548" t="s">
        <v>15372</v>
      </c>
      <c r="P127" s="548">
        <f>K127*M127*N127</f>
        <v>5.8088799999999994</v>
      </c>
      <c r="Q127" s="548">
        <f>M127*L127*K127</f>
        <v>1.3119999999999998</v>
      </c>
    </row>
    <row r="128" spans="1:17" s="92" customFormat="1" ht="38.25">
      <c r="A128" s="256" t="s">
        <v>3259</v>
      </c>
      <c r="B128" s="288">
        <v>98746</v>
      </c>
      <c r="C128" s="289" t="s">
        <v>4073</v>
      </c>
      <c r="D128" s="290" t="s">
        <v>229</v>
      </c>
      <c r="E128" s="290" t="s">
        <v>5</v>
      </c>
      <c r="F128" s="383">
        <v>0.12275448</v>
      </c>
      <c r="G128" s="292" t="s">
        <v>22555</v>
      </c>
      <c r="H128" s="255">
        <v>6.18</v>
      </c>
      <c r="J128" s="72"/>
      <c r="O128" s="765" t="s">
        <v>15373</v>
      </c>
      <c r="P128" s="765">
        <f>SUM(P126:P127)</f>
        <v>20.45908</v>
      </c>
      <c r="Q128" s="765">
        <f>SUM(Q126:Q127)</f>
        <v>2.4146990214100175</v>
      </c>
    </row>
    <row r="129" spans="1:11" s="92" customFormat="1" ht="38.25">
      <c r="A129" s="256" t="s">
        <v>3261</v>
      </c>
      <c r="B129" s="374">
        <v>21010</v>
      </c>
      <c r="C129" s="289" t="s">
        <v>8591</v>
      </c>
      <c r="D129" s="290" t="s">
        <v>207</v>
      </c>
      <c r="E129" s="290" t="s">
        <v>3243</v>
      </c>
      <c r="F129" s="383">
        <v>15.382710000000001</v>
      </c>
      <c r="G129" s="292" t="s">
        <v>20951</v>
      </c>
      <c r="H129" s="255">
        <v>591.30999999999995</v>
      </c>
      <c r="J129" s="131"/>
    </row>
    <row r="130" spans="1:11" s="92" customFormat="1" ht="12.75">
      <c r="A130" s="286"/>
      <c r="B130" s="375" t="s">
        <v>143</v>
      </c>
      <c r="C130" s="837" t="s">
        <v>15374</v>
      </c>
      <c r="D130" s="835"/>
      <c r="E130" s="835"/>
      <c r="F130" s="835"/>
      <c r="G130" s="835"/>
      <c r="H130" s="836"/>
      <c r="J130" s="131"/>
    </row>
    <row r="131" spans="1:11" s="88" customFormat="1" ht="12.75">
      <c r="A131" s="286"/>
      <c r="B131" s="293"/>
      <c r="C131" s="229"/>
      <c r="D131" s="230"/>
      <c r="E131" s="230"/>
      <c r="F131" s="230"/>
      <c r="G131" s="230"/>
      <c r="H131" s="230"/>
      <c r="J131" s="89"/>
    </row>
    <row r="132" spans="1:11" s="236" customFormat="1" ht="25.5">
      <c r="A132" s="376"/>
      <c r="B132" s="372" t="s">
        <v>17584</v>
      </c>
      <c r="C132" s="231" t="s">
        <v>17585</v>
      </c>
      <c r="D132" s="232" t="s">
        <v>103</v>
      </c>
      <c r="E132" s="232" t="s">
        <v>17463</v>
      </c>
      <c r="F132" s="233"/>
      <c r="G132" s="234"/>
      <c r="H132" s="235">
        <v>206.35</v>
      </c>
      <c r="J132" s="237"/>
    </row>
    <row r="133" spans="1:11" s="92" customFormat="1" ht="25.5">
      <c r="A133" s="256" t="s">
        <v>3259</v>
      </c>
      <c r="B133" s="374">
        <v>88309</v>
      </c>
      <c r="C133" s="289" t="s">
        <v>105</v>
      </c>
      <c r="D133" s="290" t="s">
        <v>9714</v>
      </c>
      <c r="E133" s="290" t="s">
        <v>206</v>
      </c>
      <c r="F133" s="254">
        <v>0.5</v>
      </c>
      <c r="G133" s="292" t="s">
        <v>11439</v>
      </c>
      <c r="H133" s="255">
        <v>11.95</v>
      </c>
      <c r="J133" s="131"/>
    </row>
    <row r="134" spans="1:11" s="92" customFormat="1" ht="25.5">
      <c r="A134" s="256" t="s">
        <v>3259</v>
      </c>
      <c r="B134" s="374">
        <v>88315</v>
      </c>
      <c r="C134" s="289" t="s">
        <v>208</v>
      </c>
      <c r="D134" s="290" t="s">
        <v>9714</v>
      </c>
      <c r="E134" s="290" t="s">
        <v>206</v>
      </c>
      <c r="F134" s="254">
        <v>0.15</v>
      </c>
      <c r="G134" s="292" t="s">
        <v>21052</v>
      </c>
      <c r="H134" s="255">
        <v>3.56</v>
      </c>
      <c r="J134" s="131"/>
    </row>
    <row r="135" spans="1:11" s="92" customFormat="1" ht="25.5">
      <c r="A135" s="256" t="s">
        <v>3259</v>
      </c>
      <c r="B135" s="374">
        <v>88316</v>
      </c>
      <c r="C135" s="289" t="s">
        <v>104</v>
      </c>
      <c r="D135" s="290" t="s">
        <v>9714</v>
      </c>
      <c r="E135" s="290" t="s">
        <v>206</v>
      </c>
      <c r="F135" s="254">
        <v>1.5</v>
      </c>
      <c r="G135" s="292" t="s">
        <v>10172</v>
      </c>
      <c r="H135" s="255">
        <v>26.41</v>
      </c>
      <c r="J135" s="131"/>
    </row>
    <row r="136" spans="1:11" s="92" customFormat="1" ht="25.5">
      <c r="A136" s="256" t="s">
        <v>3259</v>
      </c>
      <c r="B136" s="374">
        <v>88317</v>
      </c>
      <c r="C136" s="289" t="s">
        <v>3096</v>
      </c>
      <c r="D136" s="290" t="s">
        <v>9714</v>
      </c>
      <c r="E136" s="290" t="s">
        <v>206</v>
      </c>
      <c r="F136" s="254">
        <v>0.15</v>
      </c>
      <c r="G136" s="292" t="s">
        <v>18764</v>
      </c>
      <c r="H136" s="255">
        <v>3.66</v>
      </c>
      <c r="J136" s="131"/>
      <c r="K136" s="501"/>
    </row>
    <row r="137" spans="1:11" s="92" customFormat="1" ht="25.5">
      <c r="A137" s="256" t="s">
        <v>3261</v>
      </c>
      <c r="B137" s="374">
        <v>10997</v>
      </c>
      <c r="C137" s="289" t="s">
        <v>6208</v>
      </c>
      <c r="D137" s="290" t="s">
        <v>207</v>
      </c>
      <c r="E137" s="290" t="s">
        <v>3244</v>
      </c>
      <c r="F137" s="254">
        <v>0.1</v>
      </c>
      <c r="G137" s="292" t="s">
        <v>14318</v>
      </c>
      <c r="H137" s="255">
        <v>1.98</v>
      </c>
      <c r="J137" s="131"/>
    </row>
    <row r="138" spans="1:11" s="92" customFormat="1" ht="38.25">
      <c r="A138" s="256" t="s">
        <v>3261</v>
      </c>
      <c r="B138" s="374">
        <v>21013</v>
      </c>
      <c r="C138" s="289" t="s">
        <v>8594</v>
      </c>
      <c r="D138" s="290" t="s">
        <v>207</v>
      </c>
      <c r="E138" s="290" t="s">
        <v>3243</v>
      </c>
      <c r="F138" s="254">
        <v>1.9</v>
      </c>
      <c r="G138" s="292" t="s">
        <v>20953</v>
      </c>
      <c r="H138" s="255">
        <v>153.5</v>
      </c>
      <c r="J138" s="131"/>
      <c r="K138" s="92" t="s">
        <v>17461</v>
      </c>
    </row>
    <row r="139" spans="1:11" s="92" customFormat="1" ht="51">
      <c r="A139" s="256" t="s">
        <v>3259</v>
      </c>
      <c r="B139" s="374">
        <v>94963</v>
      </c>
      <c r="C139" s="289" t="s">
        <v>22440</v>
      </c>
      <c r="D139" s="290" t="s">
        <v>229</v>
      </c>
      <c r="E139" s="290" t="s">
        <v>209</v>
      </c>
      <c r="F139" s="254">
        <v>1.4999999999999999E-2</v>
      </c>
      <c r="G139" s="292" t="s">
        <v>22441</v>
      </c>
      <c r="H139" s="255">
        <v>5.29</v>
      </c>
      <c r="J139" s="131"/>
    </row>
    <row r="140" spans="1:11" s="92" customFormat="1" ht="12.75">
      <c r="A140" s="256"/>
      <c r="B140" s="288" t="s">
        <v>143</v>
      </c>
      <c r="C140" s="550" t="s">
        <v>15399</v>
      </c>
      <c r="D140" s="386"/>
      <c r="E140" s="386"/>
      <c r="F140" s="386"/>
      <c r="G140" s="386"/>
      <c r="H140" s="387"/>
      <c r="J140" s="131"/>
    </row>
    <row r="141" spans="1:11" s="88" customFormat="1" ht="12.75">
      <c r="A141" s="286"/>
      <c r="B141" s="293"/>
      <c r="C141" s="229"/>
      <c r="D141" s="230"/>
      <c r="E141" s="230"/>
      <c r="F141" s="230"/>
      <c r="G141" s="230"/>
      <c r="H141" s="230"/>
      <c r="J141" s="89"/>
    </row>
    <row r="142" spans="1:11" s="236" customFormat="1" ht="25.5">
      <c r="A142" s="376"/>
      <c r="B142" s="372" t="s">
        <v>15402</v>
      </c>
      <c r="C142" s="231" t="s">
        <v>17708</v>
      </c>
      <c r="D142" s="232" t="s">
        <v>103</v>
      </c>
      <c r="E142" s="232" t="s">
        <v>193</v>
      </c>
      <c r="F142" s="233"/>
      <c r="G142" s="234"/>
      <c r="H142" s="235">
        <v>633.82000000000005</v>
      </c>
      <c r="J142" s="237"/>
    </row>
    <row r="143" spans="1:11" s="92" customFormat="1" ht="51">
      <c r="A143" s="256" t="s">
        <v>3261</v>
      </c>
      <c r="B143" s="374">
        <v>11795</v>
      </c>
      <c r="C143" s="289" t="s">
        <v>6578</v>
      </c>
      <c r="D143" s="290" t="s">
        <v>207</v>
      </c>
      <c r="E143" s="290" t="s">
        <v>3242</v>
      </c>
      <c r="F143" s="254">
        <v>1</v>
      </c>
      <c r="G143" s="292" t="s">
        <v>19843</v>
      </c>
      <c r="H143" s="255">
        <v>573.58000000000004</v>
      </c>
      <c r="J143" s="131"/>
    </row>
    <row r="144" spans="1:11" s="92" customFormat="1" ht="38.25">
      <c r="A144" s="256" t="s">
        <v>3261</v>
      </c>
      <c r="B144" s="374">
        <v>37591</v>
      </c>
      <c r="C144" s="289" t="s">
        <v>8095</v>
      </c>
      <c r="D144" s="290" t="s">
        <v>207</v>
      </c>
      <c r="E144" s="290" t="s">
        <v>3240</v>
      </c>
      <c r="F144" s="254">
        <v>1</v>
      </c>
      <c r="G144" s="292" t="s">
        <v>9870</v>
      </c>
      <c r="H144" s="255">
        <v>24.64</v>
      </c>
      <c r="J144" s="131"/>
    </row>
    <row r="145" spans="1:17" s="92" customFormat="1" ht="25.5">
      <c r="A145" s="256" t="s">
        <v>3259</v>
      </c>
      <c r="B145" s="374">
        <v>88309</v>
      </c>
      <c r="C145" s="289" t="s">
        <v>105</v>
      </c>
      <c r="D145" s="290" t="s">
        <v>9714</v>
      </c>
      <c r="E145" s="290" t="s">
        <v>206</v>
      </c>
      <c r="F145" s="254">
        <v>0.65</v>
      </c>
      <c r="G145" s="292" t="s">
        <v>11439</v>
      </c>
      <c r="H145" s="255">
        <v>15.53</v>
      </c>
      <c r="J145" s="131"/>
    </row>
    <row r="146" spans="1:17" s="92" customFormat="1" ht="25.5">
      <c r="A146" s="256" t="s">
        <v>3259</v>
      </c>
      <c r="B146" s="288">
        <v>88316</v>
      </c>
      <c r="C146" s="289" t="s">
        <v>104</v>
      </c>
      <c r="D146" s="290" t="s">
        <v>9714</v>
      </c>
      <c r="E146" s="290" t="s">
        <v>206</v>
      </c>
      <c r="F146" s="254">
        <v>1.1399999999999999</v>
      </c>
      <c r="G146" s="292" t="s">
        <v>10172</v>
      </c>
      <c r="H146" s="255">
        <v>20.07</v>
      </c>
      <c r="J146" s="131"/>
    </row>
    <row r="147" spans="1:17" s="92" customFormat="1" ht="12.75">
      <c r="A147" s="256"/>
      <c r="B147" s="288" t="s">
        <v>143</v>
      </c>
      <c r="C147" s="500" t="s">
        <v>15403</v>
      </c>
      <c r="D147" s="386"/>
      <c r="E147" s="386"/>
      <c r="F147" s="386"/>
      <c r="G147" s="386"/>
      <c r="H147" s="387"/>
      <c r="J147" s="131"/>
    </row>
    <row r="148" spans="1:17" s="88" customFormat="1" ht="12.75">
      <c r="A148" s="286"/>
      <c r="B148" s="373"/>
      <c r="C148" s="379"/>
      <c r="D148" s="382"/>
      <c r="E148" s="382"/>
      <c r="F148" s="382"/>
      <c r="G148" s="382"/>
      <c r="H148" s="382"/>
      <c r="J148" s="174"/>
    </row>
    <row r="149" spans="1:17" s="88" customFormat="1" ht="25.5">
      <c r="A149" s="286"/>
      <c r="B149" s="372" t="s">
        <v>15404</v>
      </c>
      <c r="C149" s="231" t="s">
        <v>15405</v>
      </c>
      <c r="D149" s="232" t="s">
        <v>103</v>
      </c>
      <c r="E149" s="232" t="s">
        <v>3241</v>
      </c>
      <c r="F149" s="233"/>
      <c r="G149" s="234"/>
      <c r="H149" s="235">
        <v>183.81</v>
      </c>
      <c r="J149" s="175"/>
    </row>
    <row r="150" spans="1:17" s="92" customFormat="1" ht="25.5">
      <c r="A150" s="256" t="s">
        <v>3261</v>
      </c>
      <c r="B150" s="288">
        <v>4721</v>
      </c>
      <c r="C150" s="289" t="s">
        <v>7580</v>
      </c>
      <c r="D150" s="290" t="s">
        <v>207</v>
      </c>
      <c r="E150" s="290" t="s">
        <v>3241</v>
      </c>
      <c r="F150" s="254">
        <v>1.2</v>
      </c>
      <c r="G150" s="292" t="s">
        <v>16598</v>
      </c>
      <c r="H150" s="255">
        <v>148.59</v>
      </c>
      <c r="J150" s="176"/>
    </row>
    <row r="151" spans="1:17" s="92" customFormat="1" ht="25.5">
      <c r="A151" s="256" t="s">
        <v>3259</v>
      </c>
      <c r="B151" s="288">
        <v>88316</v>
      </c>
      <c r="C151" s="289" t="s">
        <v>104</v>
      </c>
      <c r="D151" s="290" t="s">
        <v>9714</v>
      </c>
      <c r="E151" s="290" t="s">
        <v>206</v>
      </c>
      <c r="F151" s="254">
        <v>2</v>
      </c>
      <c r="G151" s="292" t="s">
        <v>10172</v>
      </c>
      <c r="H151" s="255">
        <v>35.22</v>
      </c>
      <c r="J151" s="176"/>
    </row>
    <row r="152" spans="1:17" s="92" customFormat="1" ht="12.75">
      <c r="A152" s="256"/>
      <c r="B152" s="288" t="s">
        <v>143</v>
      </c>
      <c r="C152" s="838" t="s">
        <v>15406</v>
      </c>
      <c r="D152" s="839"/>
      <c r="E152" s="839"/>
      <c r="F152" s="839"/>
      <c r="G152" s="839"/>
      <c r="H152" s="840"/>
      <c r="J152" s="176"/>
    </row>
    <row r="153" spans="1:17" s="92" customFormat="1" ht="12.75">
      <c r="A153" s="286"/>
      <c r="B153" s="373"/>
      <c r="C153" s="379"/>
      <c r="D153" s="382"/>
      <c r="E153" s="382"/>
      <c r="F153" s="382"/>
      <c r="G153" s="382"/>
      <c r="H153" s="382"/>
      <c r="J153" s="847" t="s">
        <v>24602</v>
      </c>
      <c r="K153" s="847"/>
      <c r="L153" s="847"/>
      <c r="M153" s="847"/>
      <c r="N153" s="847"/>
      <c r="O153" s="847"/>
      <c r="P153" s="847"/>
      <c r="Q153" s="847"/>
    </row>
    <row r="154" spans="1:17" s="92" customFormat="1" ht="38.25">
      <c r="A154" s="286"/>
      <c r="B154" s="372" t="s">
        <v>15407</v>
      </c>
      <c r="C154" s="231" t="s">
        <v>24601</v>
      </c>
      <c r="D154" s="232" t="s">
        <v>103</v>
      </c>
      <c r="E154" s="232" t="s">
        <v>10</v>
      </c>
      <c r="F154" s="233"/>
      <c r="G154" s="234"/>
      <c r="H154" s="235">
        <v>2307.5</v>
      </c>
      <c r="J154" s="539" t="s">
        <v>15365</v>
      </c>
      <c r="K154" s="540" t="s">
        <v>15366</v>
      </c>
      <c r="L154" s="540" t="s">
        <v>15401</v>
      </c>
      <c r="M154" s="540" t="s">
        <v>15367</v>
      </c>
      <c r="N154" s="540" t="s">
        <v>15368</v>
      </c>
      <c r="O154" s="540" t="s">
        <v>15369</v>
      </c>
      <c r="P154" s="540" t="s">
        <v>15370</v>
      </c>
      <c r="Q154" s="540" t="s">
        <v>15371</v>
      </c>
    </row>
    <row r="155" spans="1:17" s="92" customFormat="1" ht="25.5">
      <c r="A155" s="256" t="s">
        <v>3261</v>
      </c>
      <c r="B155" s="288">
        <v>43692</v>
      </c>
      <c r="C155" s="289" t="s">
        <v>9552</v>
      </c>
      <c r="D155" s="290" t="s">
        <v>207</v>
      </c>
      <c r="E155" s="290" t="s">
        <v>3244</v>
      </c>
      <c r="F155" s="383">
        <v>175.49432880000001</v>
      </c>
      <c r="G155" s="292" t="s">
        <v>11240</v>
      </c>
      <c r="H155" s="255">
        <v>1947.98</v>
      </c>
      <c r="J155" s="547" t="s">
        <v>17501</v>
      </c>
      <c r="K155" s="548">
        <v>2.1</v>
      </c>
      <c r="L155" s="548">
        <v>2.36</v>
      </c>
      <c r="M155" s="548">
        <v>2</v>
      </c>
      <c r="N155" s="548">
        <v>11.78</v>
      </c>
      <c r="O155" s="548" t="s">
        <v>15372</v>
      </c>
      <c r="P155" s="548">
        <f>K155*L155*M155*N155</f>
        <v>116.76335999999998</v>
      </c>
      <c r="Q155" s="548">
        <f>M155*L155*K155*2</f>
        <v>19.823999999999998</v>
      </c>
    </row>
    <row r="156" spans="1:17" s="92" customFormat="1" ht="25.5">
      <c r="A156" s="256" t="s">
        <v>12</v>
      </c>
      <c r="B156" s="288" t="s">
        <v>15327</v>
      </c>
      <c r="C156" s="289" t="s">
        <v>17515</v>
      </c>
      <c r="D156" s="290" t="s">
        <v>207</v>
      </c>
      <c r="E156" s="290" t="s">
        <v>109</v>
      </c>
      <c r="F156" s="383">
        <v>2</v>
      </c>
      <c r="G156" s="292">
        <v>14.63</v>
      </c>
      <c r="H156" s="255">
        <v>29.26</v>
      </c>
      <c r="J156" s="547" t="s">
        <v>17502</v>
      </c>
      <c r="K156" s="548">
        <v>2.25</v>
      </c>
      <c r="L156" s="548">
        <f>(0.1+0.03)*2</f>
        <v>0.26</v>
      </c>
      <c r="M156" s="548">
        <v>2</v>
      </c>
      <c r="N156" s="548">
        <v>3.0270000000000001</v>
      </c>
      <c r="O156" s="548" t="s">
        <v>15372</v>
      </c>
      <c r="P156" s="548">
        <f>K156*M156*N156</f>
        <v>13.621500000000001</v>
      </c>
      <c r="Q156" s="548">
        <f>M156*L156*K156</f>
        <v>1.17</v>
      </c>
    </row>
    <row r="157" spans="1:17" s="92" customFormat="1" ht="38.25">
      <c r="A157" s="256" t="s">
        <v>3261</v>
      </c>
      <c r="B157" s="288">
        <v>4329</v>
      </c>
      <c r="C157" s="289" t="s">
        <v>7508</v>
      </c>
      <c r="D157" s="290" t="s">
        <v>207</v>
      </c>
      <c r="E157" s="290" t="s">
        <v>3240</v>
      </c>
      <c r="F157" s="383">
        <v>2</v>
      </c>
      <c r="G157" s="292" t="s">
        <v>9971</v>
      </c>
      <c r="H157" s="255">
        <v>2.4</v>
      </c>
      <c r="J157" s="547"/>
      <c r="K157" s="548"/>
      <c r="L157" s="548"/>
      <c r="M157" s="548"/>
      <c r="N157" s="548"/>
      <c r="O157" s="548"/>
      <c r="P157" s="548"/>
      <c r="Q157" s="548"/>
    </row>
    <row r="158" spans="1:17" s="92" customFormat="1" ht="12.75">
      <c r="A158" s="256" t="s">
        <v>3261</v>
      </c>
      <c r="B158" s="288">
        <v>4339</v>
      </c>
      <c r="C158" s="289" t="s">
        <v>7750</v>
      </c>
      <c r="D158" s="290" t="s">
        <v>207</v>
      </c>
      <c r="E158" s="290" t="s">
        <v>3240</v>
      </c>
      <c r="F158" s="383">
        <v>2</v>
      </c>
      <c r="G158" s="292" t="s">
        <v>9848</v>
      </c>
      <c r="H158" s="255">
        <v>0.6</v>
      </c>
      <c r="J158" s="547"/>
      <c r="K158" s="548"/>
      <c r="L158" s="548"/>
      <c r="M158" s="548"/>
      <c r="N158" s="548"/>
      <c r="O158" s="548"/>
      <c r="P158" s="548"/>
      <c r="Q158" s="548"/>
    </row>
    <row r="159" spans="1:17" s="92" customFormat="1" ht="25.5">
      <c r="A159" s="256" t="s">
        <v>3259</v>
      </c>
      <c r="B159" s="288">
        <v>88315</v>
      </c>
      <c r="C159" s="289" t="s">
        <v>208</v>
      </c>
      <c r="D159" s="290" t="s">
        <v>9714</v>
      </c>
      <c r="E159" s="290" t="s">
        <v>206</v>
      </c>
      <c r="F159" s="383">
        <v>6.6854982399999994</v>
      </c>
      <c r="G159" s="292" t="s">
        <v>21052</v>
      </c>
      <c r="H159" s="255">
        <v>158.97999999999999</v>
      </c>
      <c r="J159" s="547" t="s">
        <v>17503</v>
      </c>
      <c r="K159" s="548">
        <v>1.95</v>
      </c>
      <c r="L159" s="548">
        <f>(0.06+0.03)*2</f>
        <v>0.18</v>
      </c>
      <c r="M159" s="548">
        <v>3</v>
      </c>
      <c r="N159" s="548">
        <v>2.0499999999999998</v>
      </c>
      <c r="O159" s="548" t="s">
        <v>15372</v>
      </c>
      <c r="P159" s="548">
        <f>K159*M159*N159</f>
        <v>11.992499999999998</v>
      </c>
      <c r="Q159" s="548">
        <f>M159*L159*K159</f>
        <v>1.0529999999999999</v>
      </c>
    </row>
    <row r="160" spans="1:17" s="92" customFormat="1" ht="25.5">
      <c r="A160" s="256" t="s">
        <v>3259</v>
      </c>
      <c r="B160" s="288">
        <v>88316</v>
      </c>
      <c r="C160" s="289" t="s">
        <v>104</v>
      </c>
      <c r="D160" s="290" t="s">
        <v>9714</v>
      </c>
      <c r="E160" s="290" t="s">
        <v>206</v>
      </c>
      <c r="F160" s="383">
        <v>6.6854982399999994</v>
      </c>
      <c r="G160" s="292" t="s">
        <v>10172</v>
      </c>
      <c r="H160" s="255">
        <v>117.73</v>
      </c>
      <c r="J160" s="547" t="s">
        <v>17513</v>
      </c>
      <c r="K160" s="548">
        <v>4.72</v>
      </c>
      <c r="L160" s="548">
        <f>PI()*0.008*2</f>
        <v>5.0265482457436693E-2</v>
      </c>
      <c r="M160" s="548">
        <v>1</v>
      </c>
      <c r="N160" s="548">
        <v>1.5780000000000001</v>
      </c>
      <c r="O160" s="548" t="s">
        <v>15372</v>
      </c>
      <c r="P160" s="548">
        <f>K160*M160*N160</f>
        <v>7.4481599999999997</v>
      </c>
      <c r="Q160" s="548">
        <f>M160*L160*K160</f>
        <v>0.23725307719910119</v>
      </c>
    </row>
    <row r="161" spans="1:17" s="92" customFormat="1" ht="38.25">
      <c r="A161" s="256" t="s">
        <v>3259</v>
      </c>
      <c r="B161" s="288">
        <v>98746</v>
      </c>
      <c r="C161" s="289" t="s">
        <v>4073</v>
      </c>
      <c r="D161" s="290" t="s">
        <v>229</v>
      </c>
      <c r="E161" s="290" t="s">
        <v>5</v>
      </c>
      <c r="F161" s="383">
        <v>1.002824736</v>
      </c>
      <c r="G161" s="292" t="s">
        <v>22555</v>
      </c>
      <c r="H161" s="255">
        <v>50.55</v>
      </c>
      <c r="J161" s="547" t="s">
        <v>17501</v>
      </c>
      <c r="K161" s="548">
        <f>2.36+2.1*2</f>
        <v>6.5600000000000005</v>
      </c>
      <c r="L161" s="548">
        <v>0.22</v>
      </c>
      <c r="M161" s="548">
        <v>1</v>
      </c>
      <c r="N161" s="548">
        <v>11.78</v>
      </c>
      <c r="O161" s="548" t="s">
        <v>15372</v>
      </c>
      <c r="P161" s="548">
        <f>K161*L161*M161*N161</f>
        <v>17.000896000000001</v>
      </c>
      <c r="Q161" s="548">
        <f>M161*L161*K161*2</f>
        <v>2.8864000000000001</v>
      </c>
    </row>
    <row r="162" spans="1:17" s="92" customFormat="1" ht="12.75">
      <c r="A162" s="286"/>
      <c r="B162" s="375" t="s">
        <v>143</v>
      </c>
      <c r="C162" s="837" t="s">
        <v>15374</v>
      </c>
      <c r="D162" s="835"/>
      <c r="E162" s="835"/>
      <c r="F162" s="835"/>
      <c r="G162" s="835"/>
      <c r="H162" s="836"/>
      <c r="J162" s="541" t="s">
        <v>17505</v>
      </c>
      <c r="K162" s="542">
        <v>3.6</v>
      </c>
      <c r="L162" s="542">
        <f>0.03*4</f>
        <v>0.12</v>
      </c>
      <c r="M162" s="542">
        <v>1</v>
      </c>
      <c r="N162" s="542">
        <v>0.72</v>
      </c>
      <c r="O162" s="542" t="s">
        <v>15372</v>
      </c>
      <c r="P162" s="542">
        <f>K162*L162*M162*N162</f>
        <v>0.31103999999999998</v>
      </c>
      <c r="Q162" s="542">
        <f>M162*L162*K162*2</f>
        <v>0.86399999999999999</v>
      </c>
    </row>
    <row r="163" spans="1:17" s="88" customFormat="1" ht="12.75">
      <c r="A163" s="286"/>
      <c r="B163" s="293"/>
      <c r="C163" s="229"/>
      <c r="D163" s="230"/>
      <c r="E163" s="230"/>
      <c r="F163" s="230"/>
      <c r="G163" s="230"/>
      <c r="H163" s="230"/>
      <c r="J163" s="543"/>
      <c r="K163" s="172"/>
      <c r="L163" s="172"/>
      <c r="M163" s="172"/>
      <c r="N163" s="172"/>
      <c r="O163" s="544" t="s">
        <v>15373</v>
      </c>
      <c r="P163" s="544">
        <f>SUM(P155:P162)</f>
        <v>167.13745599999999</v>
      </c>
      <c r="Q163" s="544">
        <f>SUM(Q155:Q162)</f>
        <v>26.034653077199099</v>
      </c>
    </row>
    <row r="164" spans="1:17" s="88" customFormat="1" ht="12.75">
      <c r="A164" s="286"/>
      <c r="B164" s="293"/>
      <c r="C164" s="229"/>
      <c r="D164" s="230"/>
      <c r="E164" s="230"/>
      <c r="F164" s="230"/>
      <c r="G164" s="230"/>
      <c r="H164" s="230"/>
      <c r="J164" s="89"/>
    </row>
    <row r="165" spans="1:17" s="236" customFormat="1" ht="38.25">
      <c r="A165" s="376"/>
      <c r="B165" s="372" t="s">
        <v>15408</v>
      </c>
      <c r="C165" s="231" t="s">
        <v>17519</v>
      </c>
      <c r="D165" s="232" t="s">
        <v>103</v>
      </c>
      <c r="E165" s="232" t="s">
        <v>5</v>
      </c>
      <c r="F165" s="233"/>
      <c r="G165" s="234"/>
      <c r="H165" s="235">
        <v>10.42</v>
      </c>
      <c r="J165" s="237"/>
    </row>
    <row r="166" spans="1:17" s="92" customFormat="1" ht="25.5">
      <c r="A166" s="256" t="s">
        <v>3259</v>
      </c>
      <c r="B166" s="374">
        <v>88309</v>
      </c>
      <c r="C166" s="289" t="s">
        <v>105</v>
      </c>
      <c r="D166" s="290" t="s">
        <v>9714</v>
      </c>
      <c r="E166" s="290" t="s">
        <v>206</v>
      </c>
      <c r="F166" s="254">
        <v>0.23</v>
      </c>
      <c r="G166" s="292" t="s">
        <v>11439</v>
      </c>
      <c r="H166" s="255">
        <v>5.49</v>
      </c>
      <c r="J166" s="131"/>
    </row>
    <row r="167" spans="1:17" s="92" customFormat="1" ht="25.5">
      <c r="A167" s="256" t="s">
        <v>3259</v>
      </c>
      <c r="B167" s="374">
        <v>88316</v>
      </c>
      <c r="C167" s="289" t="s">
        <v>104</v>
      </c>
      <c r="D167" s="290" t="s">
        <v>9714</v>
      </c>
      <c r="E167" s="290" t="s">
        <v>206</v>
      </c>
      <c r="F167" s="254">
        <v>0.23</v>
      </c>
      <c r="G167" s="292" t="s">
        <v>10172</v>
      </c>
      <c r="H167" s="255">
        <v>4.05</v>
      </c>
      <c r="J167" s="131"/>
      <c r="K167" s="501"/>
    </row>
    <row r="168" spans="1:17" s="92" customFormat="1" ht="38.25">
      <c r="A168" s="256" t="s">
        <v>3259</v>
      </c>
      <c r="B168" s="374">
        <v>88629</v>
      </c>
      <c r="C168" s="289" t="s">
        <v>9416</v>
      </c>
      <c r="D168" s="290" t="s">
        <v>229</v>
      </c>
      <c r="E168" s="290" t="s">
        <v>209</v>
      </c>
      <c r="F168" s="254">
        <v>1.8E-3</v>
      </c>
      <c r="G168" s="292" t="s">
        <v>24289</v>
      </c>
      <c r="H168" s="255">
        <v>0.88</v>
      </c>
      <c r="J168" s="131"/>
    </row>
    <row r="169" spans="1:17" s="92" customFormat="1" ht="12.75">
      <c r="A169" s="256"/>
      <c r="B169" s="288" t="s">
        <v>143</v>
      </c>
      <c r="C169" s="749" t="s">
        <v>17517</v>
      </c>
      <c r="D169" s="386"/>
      <c r="E169" s="386"/>
      <c r="F169" s="386"/>
      <c r="G169" s="386"/>
      <c r="H169" s="387"/>
      <c r="J169" s="131"/>
    </row>
    <row r="170" spans="1:17" s="92" customFormat="1" ht="12.75">
      <c r="A170" s="286"/>
      <c r="B170" s="373"/>
      <c r="C170" s="379"/>
      <c r="D170" s="382"/>
      <c r="E170" s="382"/>
      <c r="F170" s="382"/>
      <c r="G170" s="382"/>
      <c r="H170" s="382"/>
      <c r="J170" s="847" t="s">
        <v>17522</v>
      </c>
      <c r="K170" s="847"/>
      <c r="L170" s="847"/>
      <c r="M170" s="847"/>
      <c r="N170" s="847"/>
      <c r="O170" s="847"/>
      <c r="P170" s="847"/>
      <c r="Q170" s="847"/>
    </row>
    <row r="171" spans="1:17" s="92" customFormat="1" ht="51">
      <c r="A171" s="286"/>
      <c r="B171" s="372" t="s">
        <v>15409</v>
      </c>
      <c r="C171" s="231" t="s">
        <v>17518</v>
      </c>
      <c r="D171" s="232" t="s">
        <v>103</v>
      </c>
      <c r="E171" s="232" t="s">
        <v>10</v>
      </c>
      <c r="F171" s="233"/>
      <c r="G171" s="234"/>
      <c r="H171" s="235">
        <v>3789.4800000000005</v>
      </c>
      <c r="J171" s="539" t="s">
        <v>15365</v>
      </c>
      <c r="K171" s="540" t="s">
        <v>15366</v>
      </c>
      <c r="L171" s="540" t="s">
        <v>15401</v>
      </c>
      <c r="M171" s="540" t="s">
        <v>15367</v>
      </c>
      <c r="N171" s="540" t="s">
        <v>15368</v>
      </c>
      <c r="O171" s="540" t="s">
        <v>15369</v>
      </c>
      <c r="P171" s="540" t="s">
        <v>15370</v>
      </c>
      <c r="Q171" s="540" t="s">
        <v>15371</v>
      </c>
    </row>
    <row r="172" spans="1:17" s="92" customFormat="1" ht="25.5">
      <c r="A172" s="256" t="s">
        <v>3261</v>
      </c>
      <c r="B172" s="288">
        <v>43692</v>
      </c>
      <c r="C172" s="289" t="s">
        <v>9552</v>
      </c>
      <c r="D172" s="290" t="s">
        <v>207</v>
      </c>
      <c r="E172" s="290" t="s">
        <v>3244</v>
      </c>
      <c r="F172" s="383">
        <v>284.8269459</v>
      </c>
      <c r="G172" s="292" t="s">
        <v>11240</v>
      </c>
      <c r="H172" s="255">
        <v>3161.57</v>
      </c>
      <c r="J172" s="547" t="s">
        <v>17501</v>
      </c>
      <c r="K172" s="548">
        <v>1.55</v>
      </c>
      <c r="L172" s="548">
        <v>0.96</v>
      </c>
      <c r="M172" s="548">
        <v>4</v>
      </c>
      <c r="N172" s="548">
        <v>11.78</v>
      </c>
      <c r="O172" s="548" t="s">
        <v>15372</v>
      </c>
      <c r="P172" s="548">
        <f>K172*L172*M172*N172</f>
        <v>70.114559999999997</v>
      </c>
      <c r="Q172" s="548">
        <f>M172*L172*K172*2</f>
        <v>11.904</v>
      </c>
    </row>
    <row r="173" spans="1:17" s="92" customFormat="1" ht="25.5">
      <c r="A173" s="256" t="s">
        <v>12</v>
      </c>
      <c r="B173" s="288" t="s">
        <v>15327</v>
      </c>
      <c r="C173" s="289" t="s">
        <v>17515</v>
      </c>
      <c r="D173" s="290" t="s">
        <v>207</v>
      </c>
      <c r="E173" s="290" t="s">
        <v>109</v>
      </c>
      <c r="F173" s="383">
        <v>6</v>
      </c>
      <c r="G173" s="292">
        <v>14.63</v>
      </c>
      <c r="H173" s="255">
        <v>87.78</v>
      </c>
      <c r="J173" s="547" t="s">
        <v>17501</v>
      </c>
      <c r="K173" s="548">
        <v>1.58</v>
      </c>
      <c r="L173" s="548">
        <v>0.96</v>
      </c>
      <c r="M173" s="548">
        <v>4</v>
      </c>
      <c r="N173" s="548">
        <v>11.78</v>
      </c>
      <c r="O173" s="548" t="s">
        <v>15372</v>
      </c>
      <c r="P173" s="548">
        <f>K173*L173*M173*N173</f>
        <v>71.471615999999997</v>
      </c>
      <c r="Q173" s="548">
        <f>M173*L173*K173*2</f>
        <v>12.134399999999999</v>
      </c>
    </row>
    <row r="174" spans="1:17" s="92" customFormat="1" ht="38.25">
      <c r="A174" s="256" t="s">
        <v>3261</v>
      </c>
      <c r="B174" s="288">
        <v>4329</v>
      </c>
      <c r="C174" s="289" t="s">
        <v>7508</v>
      </c>
      <c r="D174" s="290" t="s">
        <v>207</v>
      </c>
      <c r="E174" s="290" t="s">
        <v>3240</v>
      </c>
      <c r="F174" s="383">
        <v>6</v>
      </c>
      <c r="G174" s="292" t="s">
        <v>9971</v>
      </c>
      <c r="H174" s="255">
        <v>7.2</v>
      </c>
      <c r="J174" s="547" t="s">
        <v>17502</v>
      </c>
      <c r="K174" s="548">
        <v>6.6</v>
      </c>
      <c r="L174" s="548">
        <f>(0.1+0.03)*2</f>
        <v>0.26</v>
      </c>
      <c r="M174" s="548">
        <v>2</v>
      </c>
      <c r="N174" s="548">
        <v>3.0270000000000001</v>
      </c>
      <c r="O174" s="548" t="s">
        <v>15372</v>
      </c>
      <c r="P174" s="548">
        <f>K174*M174*N174</f>
        <v>39.956400000000002</v>
      </c>
      <c r="Q174" s="548">
        <f>M174*L174*K174</f>
        <v>3.4319999999999999</v>
      </c>
    </row>
    <row r="175" spans="1:17" s="92" customFormat="1" ht="12.75">
      <c r="A175" s="256" t="s">
        <v>3261</v>
      </c>
      <c r="B175" s="288">
        <v>4339</v>
      </c>
      <c r="C175" s="289" t="s">
        <v>7750</v>
      </c>
      <c r="D175" s="290" t="s">
        <v>207</v>
      </c>
      <c r="E175" s="290" t="s">
        <v>3240</v>
      </c>
      <c r="F175" s="383">
        <v>6</v>
      </c>
      <c r="G175" s="292" t="s">
        <v>9848</v>
      </c>
      <c r="H175" s="255">
        <v>1.8</v>
      </c>
      <c r="J175" s="547"/>
      <c r="K175" s="548"/>
      <c r="L175" s="548"/>
      <c r="M175" s="548"/>
      <c r="N175" s="548"/>
      <c r="O175" s="548"/>
      <c r="P175" s="548"/>
      <c r="Q175" s="548"/>
    </row>
    <row r="176" spans="1:17" s="92" customFormat="1" ht="25.5">
      <c r="A176" s="256" t="s">
        <v>3259</v>
      </c>
      <c r="B176" s="288">
        <v>88315</v>
      </c>
      <c r="C176" s="289" t="s">
        <v>208</v>
      </c>
      <c r="D176" s="290" t="s">
        <v>9714</v>
      </c>
      <c r="E176" s="290" t="s">
        <v>206</v>
      </c>
      <c r="F176" s="383">
        <v>10.85055032</v>
      </c>
      <c r="G176" s="292" t="s">
        <v>21052</v>
      </c>
      <c r="H176" s="255">
        <v>258.02</v>
      </c>
      <c r="J176" s="547" t="s">
        <v>17503</v>
      </c>
      <c r="K176" s="548">
        <v>1.9</v>
      </c>
      <c r="L176" s="548">
        <f>(0.06+0.03)*2</f>
        <v>0.18</v>
      </c>
      <c r="M176" s="548">
        <v>8</v>
      </c>
      <c r="N176" s="548">
        <v>2.0499999999999998</v>
      </c>
      <c r="O176" s="548" t="s">
        <v>15372</v>
      </c>
      <c r="P176" s="548">
        <f>K176*M176*N176</f>
        <v>31.159999999999997</v>
      </c>
      <c r="Q176" s="548">
        <f>M176*L176*K176</f>
        <v>2.7359999999999998</v>
      </c>
    </row>
    <row r="177" spans="1:18" s="92" customFormat="1" ht="25.5">
      <c r="A177" s="256" t="s">
        <v>3259</v>
      </c>
      <c r="B177" s="288">
        <v>88316</v>
      </c>
      <c r="C177" s="289" t="s">
        <v>104</v>
      </c>
      <c r="D177" s="290" t="s">
        <v>9714</v>
      </c>
      <c r="E177" s="290" t="s">
        <v>206</v>
      </c>
      <c r="F177" s="383">
        <v>10.85055032</v>
      </c>
      <c r="G177" s="292" t="s">
        <v>10172</v>
      </c>
      <c r="H177" s="255">
        <v>191.07</v>
      </c>
      <c r="J177" s="547" t="s">
        <v>17513</v>
      </c>
      <c r="K177" s="548">
        <f>6.67+5+3.33</f>
        <v>15</v>
      </c>
      <c r="L177" s="548">
        <f>PI()*0.008*2</f>
        <v>5.0265482457436693E-2</v>
      </c>
      <c r="M177" s="548">
        <v>1</v>
      </c>
      <c r="N177" s="548">
        <v>1.5780000000000001</v>
      </c>
      <c r="O177" s="548" t="s">
        <v>15372</v>
      </c>
      <c r="P177" s="548">
        <f>K177*M177*N177</f>
        <v>23.67</v>
      </c>
      <c r="Q177" s="548">
        <f>M177*L177*K177</f>
        <v>0.75398223686155041</v>
      </c>
    </row>
    <row r="178" spans="1:18" s="92" customFormat="1" ht="38.25">
      <c r="A178" s="256" t="s">
        <v>3259</v>
      </c>
      <c r="B178" s="288">
        <v>98746</v>
      </c>
      <c r="C178" s="289" t="s">
        <v>4073</v>
      </c>
      <c r="D178" s="290" t="s">
        <v>229</v>
      </c>
      <c r="E178" s="290" t="s">
        <v>5</v>
      </c>
      <c r="F178" s="383">
        <v>1.6275825479999999</v>
      </c>
      <c r="G178" s="292" t="s">
        <v>22555</v>
      </c>
      <c r="H178" s="255">
        <v>82.04</v>
      </c>
      <c r="J178" s="547" t="s">
        <v>17501</v>
      </c>
      <c r="K178" s="548">
        <f>6.67+2.15*2</f>
        <v>10.969999999999999</v>
      </c>
      <c r="L178" s="548">
        <v>0.27</v>
      </c>
      <c r="M178" s="548">
        <v>1</v>
      </c>
      <c r="N178" s="548">
        <v>11.78</v>
      </c>
      <c r="O178" s="548" t="s">
        <v>15372</v>
      </c>
      <c r="P178" s="548">
        <f>K178*L178*M178*N178</f>
        <v>34.891182000000001</v>
      </c>
      <c r="Q178" s="548">
        <f>M178*L178*K178*2</f>
        <v>5.9238</v>
      </c>
    </row>
    <row r="179" spans="1:18" s="92" customFormat="1" ht="12.75">
      <c r="A179" s="286"/>
      <c r="B179" s="375" t="s">
        <v>143</v>
      </c>
      <c r="C179" s="837" t="s">
        <v>15374</v>
      </c>
      <c r="D179" s="835"/>
      <c r="E179" s="835"/>
      <c r="F179" s="835"/>
      <c r="G179" s="835"/>
      <c r="H179" s="836"/>
      <c r="J179" s="541" t="s">
        <v>17505</v>
      </c>
      <c r="K179" s="542"/>
      <c r="L179" s="542">
        <f>0.03*4</f>
        <v>0.12</v>
      </c>
      <c r="M179" s="542"/>
      <c r="N179" s="542">
        <v>0.72</v>
      </c>
      <c r="O179" s="542" t="s">
        <v>15372</v>
      </c>
      <c r="P179" s="542">
        <f>K179*L179*M179*N179</f>
        <v>0</v>
      </c>
      <c r="Q179" s="542">
        <f>M179*L179*K179*2</f>
        <v>0</v>
      </c>
    </row>
    <row r="180" spans="1:18" s="88" customFormat="1" ht="12.75">
      <c r="A180" s="286"/>
      <c r="B180" s="293"/>
      <c r="C180" s="229"/>
      <c r="D180" s="230"/>
      <c r="E180" s="230"/>
      <c r="F180" s="230"/>
      <c r="G180" s="230"/>
      <c r="H180" s="230"/>
      <c r="J180" s="543"/>
      <c r="K180" s="172"/>
      <c r="L180" s="172"/>
      <c r="M180" s="172"/>
      <c r="N180" s="172"/>
      <c r="O180" s="544" t="s">
        <v>15373</v>
      </c>
      <c r="P180" s="544">
        <f>SUM(P172:P179)</f>
        <v>271.263758</v>
      </c>
      <c r="Q180" s="544">
        <f>SUM(Q172:Q179)</f>
        <v>36.884182236861548</v>
      </c>
    </row>
    <row r="181" spans="1:18" s="88" customFormat="1" ht="12.75">
      <c r="A181" s="286"/>
      <c r="B181" s="293"/>
      <c r="C181" s="229"/>
      <c r="D181" s="230"/>
      <c r="E181" s="230"/>
      <c r="F181" s="230"/>
      <c r="G181" s="230"/>
      <c r="H181" s="230"/>
      <c r="J181" s="543"/>
      <c r="K181" s="172"/>
      <c r="L181" s="172"/>
      <c r="M181" s="172"/>
      <c r="N181" s="172"/>
      <c r="O181" s="549"/>
      <c r="P181" s="549"/>
      <c r="Q181" s="549"/>
      <c r="R181" s="179"/>
    </row>
    <row r="182" spans="1:18" s="92" customFormat="1" ht="12.75">
      <c r="A182" s="286"/>
      <c r="B182" s="373"/>
      <c r="C182" s="379"/>
      <c r="D182" s="382"/>
      <c r="E182" s="382"/>
      <c r="F182" s="382"/>
      <c r="G182" s="382"/>
      <c r="H182" s="382"/>
      <c r="J182" s="847" t="s">
        <v>17523</v>
      </c>
      <c r="K182" s="847"/>
      <c r="L182" s="847"/>
      <c r="M182" s="847"/>
      <c r="N182" s="847"/>
      <c r="O182" s="847"/>
      <c r="P182" s="847"/>
      <c r="Q182" s="847"/>
    </row>
    <row r="183" spans="1:18" s="92" customFormat="1" ht="38.25">
      <c r="A183" s="286"/>
      <c r="B183" s="372" t="s">
        <v>15410</v>
      </c>
      <c r="C183" s="231" t="s">
        <v>24610</v>
      </c>
      <c r="D183" s="232" t="s">
        <v>103</v>
      </c>
      <c r="E183" s="232" t="s">
        <v>10</v>
      </c>
      <c r="F183" s="233"/>
      <c r="G183" s="234"/>
      <c r="H183" s="235">
        <v>1207.3599999999999</v>
      </c>
      <c r="J183" s="539" t="s">
        <v>15365</v>
      </c>
      <c r="K183" s="540" t="s">
        <v>15366</v>
      </c>
      <c r="L183" s="540" t="s">
        <v>15401</v>
      </c>
      <c r="M183" s="540" t="s">
        <v>15367</v>
      </c>
      <c r="N183" s="540" t="s">
        <v>15368</v>
      </c>
      <c r="O183" s="540" t="s">
        <v>15369</v>
      </c>
      <c r="P183" s="540" t="s">
        <v>15370</v>
      </c>
      <c r="Q183" s="540" t="s">
        <v>15371</v>
      </c>
    </row>
    <row r="184" spans="1:18" s="92" customFormat="1" ht="25.5">
      <c r="A184" s="256" t="s">
        <v>3261</v>
      </c>
      <c r="B184" s="288">
        <v>43692</v>
      </c>
      <c r="C184" s="289" t="s">
        <v>9552</v>
      </c>
      <c r="D184" s="290" t="s">
        <v>207</v>
      </c>
      <c r="E184" s="290" t="s">
        <v>3244</v>
      </c>
      <c r="F184" s="383">
        <v>90.639061800000007</v>
      </c>
      <c r="G184" s="292" t="s">
        <v>11240</v>
      </c>
      <c r="H184" s="255">
        <v>1006.09</v>
      </c>
      <c r="J184" s="547" t="s">
        <v>17501</v>
      </c>
      <c r="K184" s="548">
        <v>1.93</v>
      </c>
      <c r="L184" s="548">
        <v>1.1399999999999999</v>
      </c>
      <c r="M184" s="548">
        <v>1</v>
      </c>
      <c r="N184" s="548">
        <v>11.78</v>
      </c>
      <c r="O184" s="548" t="s">
        <v>15372</v>
      </c>
      <c r="P184" s="548">
        <f>K184*L184*M184*N184</f>
        <v>25.918355999999996</v>
      </c>
      <c r="Q184" s="548">
        <f>M184*L184*K184*2</f>
        <v>4.4003999999999994</v>
      </c>
    </row>
    <row r="185" spans="1:18" s="92" customFormat="1" ht="25.5">
      <c r="A185" s="256" t="s">
        <v>12</v>
      </c>
      <c r="B185" s="288" t="s">
        <v>15327</v>
      </c>
      <c r="C185" s="289" t="s">
        <v>17515</v>
      </c>
      <c r="D185" s="290" t="s">
        <v>207</v>
      </c>
      <c r="E185" s="290" t="s">
        <v>109</v>
      </c>
      <c r="F185" s="383">
        <v>2</v>
      </c>
      <c r="G185" s="292">
        <v>14.63</v>
      </c>
      <c r="H185" s="255">
        <v>29.26</v>
      </c>
      <c r="J185" s="547"/>
      <c r="K185" s="548"/>
      <c r="L185" s="548"/>
      <c r="M185" s="548"/>
      <c r="N185" s="548">
        <v>11.78</v>
      </c>
      <c r="O185" s="548" t="s">
        <v>15372</v>
      </c>
      <c r="P185" s="548">
        <f>K185*L185*M185*N185</f>
        <v>0</v>
      </c>
      <c r="Q185" s="548">
        <f>M185*L185*K185*2</f>
        <v>0</v>
      </c>
    </row>
    <row r="186" spans="1:18" s="92" customFormat="1" ht="38.25">
      <c r="A186" s="256" t="s">
        <v>3261</v>
      </c>
      <c r="B186" s="288">
        <v>4329</v>
      </c>
      <c r="C186" s="289" t="s">
        <v>7508</v>
      </c>
      <c r="D186" s="290" t="s">
        <v>207</v>
      </c>
      <c r="E186" s="290" t="s">
        <v>3240</v>
      </c>
      <c r="F186" s="383">
        <v>2</v>
      </c>
      <c r="G186" s="292" t="s">
        <v>9971</v>
      </c>
      <c r="H186" s="255">
        <v>2.4</v>
      </c>
      <c r="J186" s="547" t="s">
        <v>17502</v>
      </c>
      <c r="K186" s="548">
        <v>1.2</v>
      </c>
      <c r="L186" s="548">
        <f>(0.1+0.03)*2</f>
        <v>0.26</v>
      </c>
      <c r="M186" s="548">
        <v>2</v>
      </c>
      <c r="N186" s="548">
        <v>3.0270000000000001</v>
      </c>
      <c r="O186" s="548" t="s">
        <v>15372</v>
      </c>
      <c r="P186" s="548">
        <f>K186*M186*N186</f>
        <v>7.2648000000000001</v>
      </c>
      <c r="Q186" s="548">
        <f>M186*L186*K186</f>
        <v>0.624</v>
      </c>
    </row>
    <row r="187" spans="1:18" s="92" customFormat="1" ht="12.75">
      <c r="A187" s="256" t="s">
        <v>3261</v>
      </c>
      <c r="B187" s="288">
        <v>4339</v>
      </c>
      <c r="C187" s="289" t="s">
        <v>7750</v>
      </c>
      <c r="D187" s="290" t="s">
        <v>207</v>
      </c>
      <c r="E187" s="290" t="s">
        <v>3240</v>
      </c>
      <c r="F187" s="383">
        <v>2</v>
      </c>
      <c r="G187" s="292" t="s">
        <v>9848</v>
      </c>
      <c r="H187" s="255">
        <v>0.6</v>
      </c>
      <c r="J187" s="547"/>
      <c r="K187" s="548"/>
      <c r="L187" s="548"/>
      <c r="M187" s="548"/>
      <c r="N187" s="548"/>
      <c r="O187" s="548"/>
      <c r="P187" s="548"/>
      <c r="Q187" s="548"/>
    </row>
    <row r="188" spans="1:18" s="92" customFormat="1" ht="25.5">
      <c r="A188" s="256" t="s">
        <v>3259</v>
      </c>
      <c r="B188" s="288">
        <v>88315</v>
      </c>
      <c r="C188" s="289" t="s">
        <v>208</v>
      </c>
      <c r="D188" s="290" t="s">
        <v>9714</v>
      </c>
      <c r="E188" s="290" t="s">
        <v>206</v>
      </c>
      <c r="F188" s="383">
        <v>3.4529166400000002</v>
      </c>
      <c r="G188" s="292" t="s">
        <v>21052</v>
      </c>
      <c r="H188" s="255">
        <v>82.11</v>
      </c>
      <c r="J188" s="547" t="s">
        <v>17503</v>
      </c>
      <c r="K188" s="548">
        <v>1.94</v>
      </c>
      <c r="L188" s="548">
        <f>(0.06+0.03)*2</f>
        <v>0.18</v>
      </c>
      <c r="M188" s="548">
        <v>8</v>
      </c>
      <c r="N188" s="548">
        <v>2.0499999999999998</v>
      </c>
      <c r="O188" s="548" t="s">
        <v>15372</v>
      </c>
      <c r="P188" s="548">
        <f>K188*M188*N188</f>
        <v>31.815999999999995</v>
      </c>
      <c r="Q188" s="548">
        <f>M188*L188*K188</f>
        <v>2.7935999999999996</v>
      </c>
    </row>
    <row r="189" spans="1:18" s="92" customFormat="1" ht="25.5">
      <c r="A189" s="256" t="s">
        <v>3259</v>
      </c>
      <c r="B189" s="288">
        <v>88316</v>
      </c>
      <c r="C189" s="289" t="s">
        <v>104</v>
      </c>
      <c r="D189" s="290" t="s">
        <v>9714</v>
      </c>
      <c r="E189" s="290" t="s">
        <v>206</v>
      </c>
      <c r="F189" s="383">
        <v>3.4529166400000002</v>
      </c>
      <c r="G189" s="292" t="s">
        <v>10172</v>
      </c>
      <c r="H189" s="255">
        <v>60.8</v>
      </c>
      <c r="J189" s="547" t="s">
        <v>17513</v>
      </c>
      <c r="K189" s="548">
        <v>2.4</v>
      </c>
      <c r="L189" s="548">
        <f>PI()*0.008*2</f>
        <v>5.0265482457436693E-2</v>
      </c>
      <c r="M189" s="548">
        <v>1</v>
      </c>
      <c r="N189" s="548">
        <v>1.5780000000000001</v>
      </c>
      <c r="O189" s="548" t="s">
        <v>15372</v>
      </c>
      <c r="P189" s="548">
        <f>K189*M189*N189</f>
        <v>3.7871999999999999</v>
      </c>
      <c r="Q189" s="548">
        <f>M189*L189*K189</f>
        <v>0.12063715789784805</v>
      </c>
    </row>
    <row r="190" spans="1:18" s="92" customFormat="1" ht="38.25">
      <c r="A190" s="256" t="s">
        <v>3259</v>
      </c>
      <c r="B190" s="288">
        <v>98746</v>
      </c>
      <c r="C190" s="289" t="s">
        <v>4073</v>
      </c>
      <c r="D190" s="290" t="s">
        <v>229</v>
      </c>
      <c r="E190" s="290" t="s">
        <v>5</v>
      </c>
      <c r="F190" s="383">
        <v>0.51793749600000005</v>
      </c>
      <c r="G190" s="292" t="s">
        <v>22555</v>
      </c>
      <c r="H190" s="255">
        <v>26.1</v>
      </c>
      <c r="J190" s="547" t="s">
        <v>17501</v>
      </c>
      <c r="K190" s="548">
        <f>2.4+2.1*2</f>
        <v>6.6</v>
      </c>
      <c r="L190" s="548">
        <v>0.22</v>
      </c>
      <c r="M190" s="548">
        <v>1</v>
      </c>
      <c r="N190" s="548">
        <v>11.78</v>
      </c>
      <c r="O190" s="548" t="s">
        <v>15372</v>
      </c>
      <c r="P190" s="548">
        <f>K190*L190*M190*N190</f>
        <v>17.104559999999999</v>
      </c>
      <c r="Q190" s="548">
        <f>M190*L190*K190*2</f>
        <v>2.9039999999999999</v>
      </c>
    </row>
    <row r="191" spans="1:18" s="92" customFormat="1" ht="12.75">
      <c r="A191" s="286"/>
      <c r="B191" s="375" t="s">
        <v>143</v>
      </c>
      <c r="C191" s="837" t="s">
        <v>15374</v>
      </c>
      <c r="D191" s="835"/>
      <c r="E191" s="835"/>
      <c r="F191" s="835"/>
      <c r="G191" s="835"/>
      <c r="H191" s="836"/>
      <c r="J191" s="541" t="s">
        <v>17505</v>
      </c>
      <c r="K191" s="542">
        <v>5</v>
      </c>
      <c r="L191" s="542">
        <f>0.03*4</f>
        <v>0.12</v>
      </c>
      <c r="M191" s="542">
        <v>1</v>
      </c>
      <c r="N191" s="542">
        <v>0.72</v>
      </c>
      <c r="O191" s="542" t="s">
        <v>15372</v>
      </c>
      <c r="P191" s="542">
        <f>K191*L191*M191*N191</f>
        <v>0.432</v>
      </c>
      <c r="Q191" s="542">
        <f>M191*L191*K191*2</f>
        <v>1.2</v>
      </c>
    </row>
    <row r="192" spans="1:18" s="88" customFormat="1" ht="12.75">
      <c r="A192" s="286"/>
      <c r="B192" s="293"/>
      <c r="C192" s="229"/>
      <c r="D192" s="230"/>
      <c r="E192" s="230"/>
      <c r="F192" s="230"/>
      <c r="G192" s="230"/>
      <c r="H192" s="230"/>
      <c r="J192" s="543"/>
      <c r="K192" s="172"/>
      <c r="L192" s="172"/>
      <c r="M192" s="172"/>
      <c r="N192" s="172"/>
      <c r="O192" s="544" t="s">
        <v>15373</v>
      </c>
      <c r="P192" s="544">
        <f>SUM(P184:P191)</f>
        <v>86.322916000000006</v>
      </c>
      <c r="Q192" s="544">
        <f>SUM(Q184:Q191)</f>
        <v>12.042637157897847</v>
      </c>
    </row>
    <row r="193" spans="1:19" s="92" customFormat="1" ht="12.75">
      <c r="A193" s="286"/>
      <c r="B193" s="373"/>
      <c r="C193" s="379"/>
      <c r="D193" s="382"/>
      <c r="E193" s="382"/>
      <c r="F193" s="382"/>
      <c r="G193" s="382"/>
      <c r="H193" s="382"/>
      <c r="J193" s="176"/>
    </row>
    <row r="194" spans="1:19" s="92" customFormat="1" ht="38.25">
      <c r="A194" s="286"/>
      <c r="B194" s="372" t="s">
        <v>15411</v>
      </c>
      <c r="C194" s="231" t="s">
        <v>17524</v>
      </c>
      <c r="D194" s="232" t="s">
        <v>103</v>
      </c>
      <c r="E194" s="232" t="s">
        <v>193</v>
      </c>
      <c r="F194" s="233"/>
      <c r="G194" s="234"/>
      <c r="H194" s="235">
        <v>288.70999999999998</v>
      </c>
      <c r="J194" s="176"/>
      <c r="K194" s="172"/>
      <c r="L194" s="172"/>
      <c r="M194" s="172"/>
      <c r="N194" s="172"/>
      <c r="O194" s="172"/>
      <c r="P194" s="172"/>
      <c r="Q194" s="172"/>
      <c r="R194" s="172"/>
      <c r="S194" s="172"/>
    </row>
    <row r="195" spans="1:19" s="92" customFormat="1" ht="25.5">
      <c r="A195" s="256" t="s">
        <v>3261</v>
      </c>
      <c r="B195" s="288">
        <v>43668</v>
      </c>
      <c r="C195" s="289" t="s">
        <v>5476</v>
      </c>
      <c r="D195" s="290" t="s">
        <v>207</v>
      </c>
      <c r="E195" s="290" t="s">
        <v>3244</v>
      </c>
      <c r="F195" s="383">
        <v>15.2</v>
      </c>
      <c r="G195" s="292" t="s">
        <v>19323</v>
      </c>
      <c r="H195" s="255">
        <v>209.3</v>
      </c>
      <c r="J195" s="176"/>
    </row>
    <row r="196" spans="1:19" s="92" customFormat="1" ht="25.5">
      <c r="A196" s="256" t="s">
        <v>3261</v>
      </c>
      <c r="B196" s="374">
        <v>39995</v>
      </c>
      <c r="C196" s="289" t="s">
        <v>7740</v>
      </c>
      <c r="D196" s="290" t="s">
        <v>207</v>
      </c>
      <c r="E196" s="290" t="s">
        <v>3241</v>
      </c>
      <c r="F196" s="383">
        <v>0.12</v>
      </c>
      <c r="G196" s="292" t="s">
        <v>20423</v>
      </c>
      <c r="H196" s="255">
        <v>49.27</v>
      </c>
      <c r="J196" s="72"/>
    </row>
    <row r="197" spans="1:19" s="92" customFormat="1" ht="25.5">
      <c r="A197" s="256" t="s">
        <v>3261</v>
      </c>
      <c r="B197" s="374">
        <v>3410</v>
      </c>
      <c r="C197" s="289" t="s">
        <v>4687</v>
      </c>
      <c r="D197" s="290" t="s">
        <v>207</v>
      </c>
      <c r="E197" s="290" t="s">
        <v>3244</v>
      </c>
      <c r="F197" s="383">
        <v>0.88</v>
      </c>
      <c r="G197" s="292" t="s">
        <v>18811</v>
      </c>
      <c r="H197" s="255">
        <v>23.95</v>
      </c>
      <c r="J197" s="72"/>
    </row>
    <row r="198" spans="1:19" s="92" customFormat="1" ht="25.5">
      <c r="A198" s="256" t="s">
        <v>3259</v>
      </c>
      <c r="B198" s="288">
        <v>88261</v>
      </c>
      <c r="C198" s="289" t="s">
        <v>294</v>
      </c>
      <c r="D198" s="290" t="s">
        <v>9714</v>
      </c>
      <c r="E198" s="290" t="s">
        <v>206</v>
      </c>
      <c r="F198" s="383">
        <v>0.15</v>
      </c>
      <c r="G198" s="292" t="s">
        <v>12381</v>
      </c>
      <c r="H198" s="255">
        <v>3.55</v>
      </c>
      <c r="J198" s="72"/>
    </row>
    <row r="199" spans="1:19" s="92" customFormat="1" ht="25.5">
      <c r="A199" s="256" t="s">
        <v>3259</v>
      </c>
      <c r="B199" s="288">
        <v>88316</v>
      </c>
      <c r="C199" s="289" t="s">
        <v>104</v>
      </c>
      <c r="D199" s="290" t="s">
        <v>9714</v>
      </c>
      <c r="E199" s="290" t="s">
        <v>206</v>
      </c>
      <c r="F199" s="383">
        <v>0.15</v>
      </c>
      <c r="G199" s="292" t="s">
        <v>10172</v>
      </c>
      <c r="H199" s="255">
        <v>2.64</v>
      </c>
      <c r="J199" s="72"/>
    </row>
    <row r="200" spans="1:19" s="92" customFormat="1" ht="12.75">
      <c r="A200" s="286"/>
      <c r="B200" s="375" t="s">
        <v>143</v>
      </c>
      <c r="C200" s="837" t="s">
        <v>17525</v>
      </c>
      <c r="D200" s="835"/>
      <c r="E200" s="835"/>
      <c r="F200" s="835"/>
      <c r="G200" s="835"/>
      <c r="H200" s="836"/>
      <c r="J200" s="176"/>
      <c r="K200" s="88"/>
      <c r="L200" s="88"/>
      <c r="M200" s="88"/>
      <c r="N200" s="88"/>
      <c r="O200" s="88"/>
    </row>
    <row r="201" spans="1:19" s="88" customFormat="1" ht="12.75">
      <c r="A201" s="286"/>
      <c r="B201" s="293"/>
      <c r="C201" s="229"/>
      <c r="D201" s="230"/>
      <c r="E201" s="230"/>
      <c r="F201" s="230"/>
      <c r="G201" s="230"/>
      <c r="H201" s="230"/>
      <c r="J201" s="89"/>
    </row>
    <row r="202" spans="1:19" s="236" customFormat="1" ht="63.75">
      <c r="A202" s="376"/>
      <c r="B202" s="372" t="s">
        <v>17458</v>
      </c>
      <c r="C202" s="231" t="s">
        <v>17459</v>
      </c>
      <c r="D202" s="232" t="s">
        <v>103</v>
      </c>
      <c r="E202" s="232" t="s">
        <v>5</v>
      </c>
      <c r="F202" s="233"/>
      <c r="G202" s="234"/>
      <c r="H202" s="235">
        <v>431.87999999999994</v>
      </c>
      <c r="J202" s="237"/>
    </row>
    <row r="203" spans="1:19" s="92" customFormat="1" ht="25.5">
      <c r="A203" s="256" t="s">
        <v>3259</v>
      </c>
      <c r="B203" s="374">
        <v>88309</v>
      </c>
      <c r="C203" s="289" t="s">
        <v>105</v>
      </c>
      <c r="D203" s="290" t="s">
        <v>9714</v>
      </c>
      <c r="E203" s="290" t="s">
        <v>206</v>
      </c>
      <c r="F203" s="254">
        <v>1</v>
      </c>
      <c r="G203" s="292" t="s">
        <v>11439</v>
      </c>
      <c r="H203" s="255">
        <v>23.9</v>
      </c>
      <c r="J203" s="131"/>
    </row>
    <row r="204" spans="1:19" s="92" customFormat="1" ht="25.5">
      <c r="A204" s="256" t="s">
        <v>3259</v>
      </c>
      <c r="B204" s="374">
        <v>88315</v>
      </c>
      <c r="C204" s="289" t="s">
        <v>208</v>
      </c>
      <c r="D204" s="290" t="s">
        <v>9714</v>
      </c>
      <c r="E204" s="290" t="s">
        <v>206</v>
      </c>
      <c r="F204" s="254">
        <v>1</v>
      </c>
      <c r="G204" s="292" t="s">
        <v>21052</v>
      </c>
      <c r="H204" s="255">
        <v>23.78</v>
      </c>
      <c r="J204" s="131"/>
      <c r="K204" s="92" t="s">
        <v>17460</v>
      </c>
    </row>
    <row r="205" spans="1:19" s="92" customFormat="1" ht="25.5">
      <c r="A205" s="256" t="s">
        <v>3259</v>
      </c>
      <c r="B205" s="374">
        <v>88316</v>
      </c>
      <c r="C205" s="289" t="s">
        <v>104</v>
      </c>
      <c r="D205" s="290" t="s">
        <v>9714</v>
      </c>
      <c r="E205" s="290" t="s">
        <v>206</v>
      </c>
      <c r="F205" s="254">
        <v>2.5</v>
      </c>
      <c r="G205" s="292" t="s">
        <v>10172</v>
      </c>
      <c r="H205" s="255">
        <v>44.02</v>
      </c>
      <c r="J205" s="131"/>
    </row>
    <row r="206" spans="1:19" s="92" customFormat="1" ht="25.5">
      <c r="A206" s="256" t="s">
        <v>3259</v>
      </c>
      <c r="B206" s="374">
        <v>88317</v>
      </c>
      <c r="C206" s="289" t="s">
        <v>3096</v>
      </c>
      <c r="D206" s="290" t="s">
        <v>9714</v>
      </c>
      <c r="E206" s="290" t="s">
        <v>206</v>
      </c>
      <c r="F206" s="254">
        <v>1</v>
      </c>
      <c r="G206" s="292" t="s">
        <v>18764</v>
      </c>
      <c r="H206" s="255">
        <v>24.44</v>
      </c>
      <c r="J206" s="131"/>
      <c r="K206" s="92" t="s">
        <v>17460</v>
      </c>
    </row>
    <row r="207" spans="1:19" s="92" customFormat="1" ht="25.5">
      <c r="A207" s="256" t="s">
        <v>3261</v>
      </c>
      <c r="B207" s="374">
        <v>10997</v>
      </c>
      <c r="C207" s="289" t="s">
        <v>6208</v>
      </c>
      <c r="D207" s="290" t="s">
        <v>207</v>
      </c>
      <c r="E207" s="290" t="s">
        <v>3244</v>
      </c>
      <c r="F207" s="254">
        <v>0.5</v>
      </c>
      <c r="G207" s="292" t="s">
        <v>14318</v>
      </c>
      <c r="H207" s="255">
        <v>9.94</v>
      </c>
      <c r="J207" s="131"/>
      <c r="K207" s="92" t="s">
        <v>17460</v>
      </c>
    </row>
    <row r="208" spans="1:19" s="92" customFormat="1" ht="38.25">
      <c r="A208" s="256" t="s">
        <v>3261</v>
      </c>
      <c r="B208" s="374">
        <v>21011</v>
      </c>
      <c r="C208" s="289" t="s">
        <v>8592</v>
      </c>
      <c r="D208" s="290" t="s">
        <v>207</v>
      </c>
      <c r="E208" s="290" t="s">
        <v>3243</v>
      </c>
      <c r="F208" s="254">
        <v>4.4800000000000004</v>
      </c>
      <c r="G208" s="292" t="s">
        <v>20952</v>
      </c>
      <c r="H208" s="255">
        <v>251.01</v>
      </c>
      <c r="J208" s="131"/>
      <c r="K208" s="92" t="s">
        <v>17460</v>
      </c>
    </row>
    <row r="209" spans="1:15" s="92" customFormat="1" ht="38.25">
      <c r="A209" s="256" t="s">
        <v>3261</v>
      </c>
      <c r="B209" s="374">
        <v>21012</v>
      </c>
      <c r="C209" s="289" t="s">
        <v>8593</v>
      </c>
      <c r="D209" s="290" t="s">
        <v>207</v>
      </c>
      <c r="E209" s="290" t="s">
        <v>3243</v>
      </c>
      <c r="F209" s="254">
        <v>0.6</v>
      </c>
      <c r="G209" s="292" t="s">
        <v>15891</v>
      </c>
      <c r="H209" s="255">
        <v>37.14</v>
      </c>
      <c r="J209" s="131"/>
    </row>
    <row r="210" spans="1:15" s="92" customFormat="1" ht="51">
      <c r="A210" s="256" t="s">
        <v>3259</v>
      </c>
      <c r="B210" s="374">
        <v>94963</v>
      </c>
      <c r="C210" s="289" t="s">
        <v>22440</v>
      </c>
      <c r="D210" s="290" t="s">
        <v>229</v>
      </c>
      <c r="E210" s="290" t="s">
        <v>209</v>
      </c>
      <c r="F210" s="254">
        <v>0.05</v>
      </c>
      <c r="G210" s="292" t="s">
        <v>22441</v>
      </c>
      <c r="H210" s="255">
        <v>17.649999999999999</v>
      </c>
      <c r="J210" s="131"/>
    </row>
    <row r="211" spans="1:15" s="92" customFormat="1" ht="12.75">
      <c r="A211" s="256"/>
      <c r="B211" s="288" t="s">
        <v>143</v>
      </c>
      <c r="C211" s="538" t="s">
        <v>15397</v>
      </c>
      <c r="D211" s="386"/>
      <c r="E211" s="386"/>
      <c r="F211" s="386"/>
      <c r="G211" s="386"/>
      <c r="H211" s="387"/>
      <c r="J211" s="131"/>
    </row>
    <row r="212" spans="1:15" s="88" customFormat="1" ht="12.75">
      <c r="A212" s="286"/>
      <c r="B212" s="373"/>
      <c r="C212" s="379"/>
      <c r="D212" s="382"/>
      <c r="E212" s="382"/>
      <c r="F212" s="382"/>
      <c r="G212" s="382"/>
      <c r="H212" s="382"/>
      <c r="J212" s="174"/>
    </row>
    <row r="213" spans="1:15" s="92" customFormat="1" ht="51">
      <c r="A213" s="286"/>
      <c r="B213" s="372" t="s">
        <v>24589</v>
      </c>
      <c r="C213" s="231" t="s">
        <v>24590</v>
      </c>
      <c r="D213" s="232" t="s">
        <v>103</v>
      </c>
      <c r="E213" s="232" t="s">
        <v>10</v>
      </c>
      <c r="F213" s="233"/>
      <c r="G213" s="234"/>
      <c r="H213" s="235">
        <v>766.86999999999989</v>
      </c>
      <c r="J213" s="172"/>
      <c r="K213" s="172"/>
      <c r="L213" s="172"/>
      <c r="M213" s="172"/>
      <c r="N213" s="172"/>
      <c r="O213" s="172"/>
    </row>
    <row r="214" spans="1:15" s="92" customFormat="1" ht="63.75">
      <c r="A214" s="256" t="s">
        <v>3261</v>
      </c>
      <c r="B214" s="288">
        <v>184</v>
      </c>
      <c r="C214" s="289" t="s">
        <v>4934</v>
      </c>
      <c r="D214" s="290" t="s">
        <v>207</v>
      </c>
      <c r="E214" s="290" t="s">
        <v>3249</v>
      </c>
      <c r="F214" s="383">
        <v>1.05</v>
      </c>
      <c r="G214" s="292" t="s">
        <v>18996</v>
      </c>
      <c r="H214" s="255">
        <v>156.13999999999999</v>
      </c>
    </row>
    <row r="215" spans="1:15" s="92" customFormat="1" ht="38.25">
      <c r="A215" s="256" t="s">
        <v>3261</v>
      </c>
      <c r="B215" s="374">
        <v>2433</v>
      </c>
      <c r="C215" s="289" t="s">
        <v>6180</v>
      </c>
      <c r="D215" s="290" t="s">
        <v>207</v>
      </c>
      <c r="E215" s="290" t="s">
        <v>3240</v>
      </c>
      <c r="F215" s="291">
        <v>6</v>
      </c>
      <c r="G215" s="292" t="s">
        <v>12373</v>
      </c>
      <c r="H215" s="255">
        <v>29.04</v>
      </c>
      <c r="J215" s="176"/>
    </row>
    <row r="216" spans="1:15" s="92" customFormat="1" ht="63.75">
      <c r="A216" s="256" t="s">
        <v>3261</v>
      </c>
      <c r="B216" s="374">
        <v>10553</v>
      </c>
      <c r="C216" s="289" t="s">
        <v>11937</v>
      </c>
      <c r="D216" s="290" t="s">
        <v>207</v>
      </c>
      <c r="E216" s="290" t="s">
        <v>3240</v>
      </c>
      <c r="F216" s="254">
        <v>1</v>
      </c>
      <c r="G216" s="292" t="s">
        <v>16656</v>
      </c>
      <c r="H216" s="255">
        <v>154.82</v>
      </c>
      <c r="J216" s="131"/>
    </row>
    <row r="217" spans="1:15" s="92" customFormat="1" ht="63.75">
      <c r="A217" s="256" t="s">
        <v>3261</v>
      </c>
      <c r="B217" s="374">
        <v>10555</v>
      </c>
      <c r="C217" s="289" t="s">
        <v>11940</v>
      </c>
      <c r="D217" s="290" t="s">
        <v>207</v>
      </c>
      <c r="E217" s="290" t="s">
        <v>3240</v>
      </c>
      <c r="F217" s="254">
        <v>1</v>
      </c>
      <c r="G217" s="292" t="s">
        <v>20455</v>
      </c>
      <c r="H217" s="255">
        <v>170.33</v>
      </c>
      <c r="J217" s="131"/>
    </row>
    <row r="218" spans="1:15" s="92" customFormat="1" ht="38.25">
      <c r="A218" s="256" t="s">
        <v>3261</v>
      </c>
      <c r="B218" s="374">
        <v>11055</v>
      </c>
      <c r="C218" s="289" t="s">
        <v>7530</v>
      </c>
      <c r="D218" s="290" t="s">
        <v>207</v>
      </c>
      <c r="E218" s="290" t="s">
        <v>3240</v>
      </c>
      <c r="F218" s="254">
        <v>39.6</v>
      </c>
      <c r="G218" s="292" t="s">
        <v>9982</v>
      </c>
      <c r="H218" s="255">
        <v>1.98</v>
      </c>
      <c r="J218" s="131"/>
      <c r="K218" s="501"/>
    </row>
    <row r="219" spans="1:15" s="92" customFormat="1" ht="63.75">
      <c r="A219" s="256" t="s">
        <v>3261</v>
      </c>
      <c r="B219" s="374">
        <v>20017</v>
      </c>
      <c r="C219" s="289" t="s">
        <v>6604</v>
      </c>
      <c r="D219" s="290" t="s">
        <v>207</v>
      </c>
      <c r="E219" s="290" t="s">
        <v>3243</v>
      </c>
      <c r="F219" s="254">
        <v>11.6</v>
      </c>
      <c r="G219" s="292" t="s">
        <v>10128</v>
      </c>
      <c r="H219" s="255">
        <v>78.989999999999995</v>
      </c>
      <c r="J219" s="131"/>
    </row>
    <row r="220" spans="1:15" s="92" customFormat="1" ht="25.5">
      <c r="A220" s="256" t="s">
        <v>3261</v>
      </c>
      <c r="B220" s="374">
        <v>20247</v>
      </c>
      <c r="C220" s="289" t="s">
        <v>7815</v>
      </c>
      <c r="D220" s="290" t="s">
        <v>207</v>
      </c>
      <c r="E220" s="290" t="s">
        <v>3244</v>
      </c>
      <c r="F220" s="383">
        <v>3.15E-2</v>
      </c>
      <c r="G220" s="292" t="s">
        <v>20497</v>
      </c>
      <c r="H220" s="255">
        <v>0.68</v>
      </c>
    </row>
    <row r="221" spans="1:15" s="92" customFormat="1" ht="25.5">
      <c r="A221" s="256" t="s">
        <v>3261</v>
      </c>
      <c r="B221" s="374">
        <v>39027</v>
      </c>
      <c r="C221" s="289" t="s">
        <v>7826</v>
      </c>
      <c r="D221" s="290" t="s">
        <v>207</v>
      </c>
      <c r="E221" s="290" t="s">
        <v>3244</v>
      </c>
      <c r="F221" s="291">
        <v>0.22500000000000001</v>
      </c>
      <c r="G221" s="292" t="s">
        <v>12370</v>
      </c>
      <c r="H221" s="255">
        <v>4.42</v>
      </c>
      <c r="J221" s="176"/>
    </row>
    <row r="222" spans="1:15" s="92" customFormat="1" ht="25.5">
      <c r="A222" s="256" t="s">
        <v>3259</v>
      </c>
      <c r="B222" s="374">
        <v>88261</v>
      </c>
      <c r="C222" s="289" t="s">
        <v>294</v>
      </c>
      <c r="D222" s="290" t="s">
        <v>9714</v>
      </c>
      <c r="E222" s="290" t="s">
        <v>206</v>
      </c>
      <c r="F222" s="254">
        <v>3.4580000000000002</v>
      </c>
      <c r="G222" s="292" t="s">
        <v>12381</v>
      </c>
      <c r="H222" s="255">
        <v>82.02</v>
      </c>
      <c r="J222" s="131"/>
    </row>
    <row r="223" spans="1:15" s="92" customFormat="1" ht="25.5">
      <c r="A223" s="256" t="s">
        <v>3259</v>
      </c>
      <c r="B223" s="374">
        <v>88309</v>
      </c>
      <c r="C223" s="289" t="s">
        <v>105</v>
      </c>
      <c r="D223" s="290" t="s">
        <v>9714</v>
      </c>
      <c r="E223" s="290" t="s">
        <v>206</v>
      </c>
      <c r="F223" s="254">
        <v>1.389</v>
      </c>
      <c r="G223" s="292" t="s">
        <v>11439</v>
      </c>
      <c r="H223" s="255">
        <v>33.19</v>
      </c>
      <c r="J223" s="131"/>
      <c r="K223" s="763"/>
    </row>
    <row r="224" spans="1:15" s="92" customFormat="1" ht="25.5">
      <c r="A224" s="256" t="s">
        <v>3259</v>
      </c>
      <c r="B224" s="374">
        <v>88316</v>
      </c>
      <c r="C224" s="289" t="s">
        <v>104</v>
      </c>
      <c r="D224" s="290" t="s">
        <v>9714</v>
      </c>
      <c r="E224" s="290" t="s">
        <v>206</v>
      </c>
      <c r="F224" s="254">
        <v>2.4239999999999999</v>
      </c>
      <c r="G224" s="292" t="s">
        <v>10172</v>
      </c>
      <c r="H224" s="255">
        <v>42.68</v>
      </c>
      <c r="J224" s="131"/>
    </row>
    <row r="225" spans="1:17" s="92" customFormat="1" ht="51">
      <c r="A225" s="256" t="s">
        <v>3259</v>
      </c>
      <c r="B225" s="374">
        <v>88627</v>
      </c>
      <c r="C225" s="289" t="s">
        <v>9414</v>
      </c>
      <c r="D225" s="290" t="s">
        <v>229</v>
      </c>
      <c r="E225" s="290" t="s">
        <v>209</v>
      </c>
      <c r="F225" s="383">
        <v>2.5000000000000001E-2</v>
      </c>
      <c r="G225" s="292" t="s">
        <v>24287</v>
      </c>
      <c r="H225" s="255">
        <v>12.58</v>
      </c>
    </row>
    <row r="226" spans="1:17" s="92" customFormat="1" ht="12.75">
      <c r="A226" s="286"/>
      <c r="B226" s="375" t="s">
        <v>143</v>
      </c>
      <c r="C226" s="837" t="s">
        <v>17498</v>
      </c>
      <c r="D226" s="835"/>
      <c r="E226" s="835"/>
      <c r="F226" s="835"/>
      <c r="G226" s="835"/>
      <c r="H226" s="836"/>
      <c r="J226" s="841"/>
      <c r="K226" s="841"/>
      <c r="L226" s="841"/>
      <c r="M226" s="841"/>
      <c r="N226" s="841"/>
      <c r="O226" s="841"/>
      <c r="P226" s="841"/>
      <c r="Q226" s="841"/>
    </row>
    <row r="227" spans="1:17" s="88" customFormat="1" ht="12.75">
      <c r="A227" s="286"/>
      <c r="B227" s="373"/>
      <c r="C227" s="379"/>
      <c r="D227" s="382"/>
      <c r="E227" s="382"/>
      <c r="F227" s="382"/>
      <c r="G227" s="382"/>
      <c r="H227" s="382"/>
      <c r="J227" s="174"/>
    </row>
    <row r="228" spans="1:17" s="92" customFormat="1" ht="51">
      <c r="A228" s="286"/>
      <c r="B228" s="372" t="s">
        <v>24594</v>
      </c>
      <c r="C228" s="231" t="s">
        <v>24595</v>
      </c>
      <c r="D228" s="232" t="s">
        <v>103</v>
      </c>
      <c r="E228" s="232" t="s">
        <v>10</v>
      </c>
      <c r="F228" s="233"/>
      <c r="G228" s="234"/>
      <c r="H228" s="235">
        <v>1003.5</v>
      </c>
      <c r="J228" s="172"/>
      <c r="K228" s="172"/>
      <c r="L228" s="172"/>
      <c r="M228" s="172"/>
      <c r="N228" s="172"/>
      <c r="O228" s="172"/>
    </row>
    <row r="229" spans="1:17" s="92" customFormat="1" ht="63.75">
      <c r="A229" s="256" t="s">
        <v>3261</v>
      </c>
      <c r="B229" s="288">
        <v>184</v>
      </c>
      <c r="C229" s="289" t="s">
        <v>4934</v>
      </c>
      <c r="D229" s="290" t="s">
        <v>207</v>
      </c>
      <c r="E229" s="290" t="s">
        <v>3249</v>
      </c>
      <c r="F229" s="383">
        <v>1.05</v>
      </c>
      <c r="G229" s="292" t="s">
        <v>18996</v>
      </c>
      <c r="H229" s="255">
        <v>156.13999999999999</v>
      </c>
    </row>
    <row r="230" spans="1:17" s="92" customFormat="1" ht="38.25">
      <c r="A230" s="256" t="s">
        <v>3261</v>
      </c>
      <c r="B230" s="374">
        <v>11451</v>
      </c>
      <c r="C230" s="289" t="s">
        <v>6183</v>
      </c>
      <c r="D230" s="290" t="s">
        <v>207</v>
      </c>
      <c r="E230" s="290" t="s">
        <v>3240</v>
      </c>
      <c r="F230" s="291">
        <v>6</v>
      </c>
      <c r="G230" s="292" t="s">
        <v>19297</v>
      </c>
      <c r="H230" s="255">
        <v>264.3</v>
      </c>
      <c r="J230" s="176"/>
    </row>
    <row r="231" spans="1:17" s="92" customFormat="1" ht="63.75">
      <c r="A231" s="256" t="s">
        <v>3261</v>
      </c>
      <c r="B231" s="374">
        <v>10554</v>
      </c>
      <c r="C231" s="289" t="s">
        <v>11939</v>
      </c>
      <c r="D231" s="290" t="s">
        <v>207</v>
      </c>
      <c r="E231" s="290" t="s">
        <v>3240</v>
      </c>
      <c r="F231" s="254">
        <v>1</v>
      </c>
      <c r="G231" s="292" t="s">
        <v>20454</v>
      </c>
      <c r="H231" s="255">
        <v>156.19</v>
      </c>
      <c r="J231" s="131"/>
    </row>
    <row r="232" spans="1:17" s="92" customFormat="1" ht="63.75">
      <c r="A232" s="256" t="s">
        <v>3261</v>
      </c>
      <c r="B232" s="374">
        <v>10555</v>
      </c>
      <c r="C232" s="289" t="s">
        <v>11940</v>
      </c>
      <c r="D232" s="290" t="s">
        <v>207</v>
      </c>
      <c r="E232" s="290" t="s">
        <v>3240</v>
      </c>
      <c r="F232" s="254">
        <v>1</v>
      </c>
      <c r="G232" s="292" t="s">
        <v>20455</v>
      </c>
      <c r="H232" s="255">
        <v>170.33</v>
      </c>
      <c r="J232" s="131"/>
    </row>
    <row r="233" spans="1:17" s="92" customFormat="1" ht="38.25">
      <c r="A233" s="256" t="s">
        <v>3261</v>
      </c>
      <c r="B233" s="374">
        <v>11055</v>
      </c>
      <c r="C233" s="289" t="s">
        <v>7530</v>
      </c>
      <c r="D233" s="290" t="s">
        <v>207</v>
      </c>
      <c r="E233" s="290" t="s">
        <v>3240</v>
      </c>
      <c r="F233" s="254">
        <v>39.6</v>
      </c>
      <c r="G233" s="292" t="s">
        <v>9982</v>
      </c>
      <c r="H233" s="255">
        <v>1.98</v>
      </c>
      <c r="J233" s="131"/>
      <c r="K233" s="501"/>
    </row>
    <row r="234" spans="1:17" s="92" customFormat="1" ht="63.75">
      <c r="A234" s="256" t="s">
        <v>3261</v>
      </c>
      <c r="B234" s="374">
        <v>20017</v>
      </c>
      <c r="C234" s="289" t="s">
        <v>6604</v>
      </c>
      <c r="D234" s="290" t="s">
        <v>207</v>
      </c>
      <c r="E234" s="290" t="s">
        <v>3243</v>
      </c>
      <c r="F234" s="254">
        <v>11.6</v>
      </c>
      <c r="G234" s="292" t="s">
        <v>10128</v>
      </c>
      <c r="H234" s="255">
        <v>78.989999999999995</v>
      </c>
      <c r="J234" s="131"/>
    </row>
    <row r="235" spans="1:17" s="92" customFormat="1" ht="25.5">
      <c r="A235" s="256" t="s">
        <v>3261</v>
      </c>
      <c r="B235" s="374">
        <v>20247</v>
      </c>
      <c r="C235" s="289" t="s">
        <v>7815</v>
      </c>
      <c r="D235" s="290" t="s">
        <v>207</v>
      </c>
      <c r="E235" s="290" t="s">
        <v>3244</v>
      </c>
      <c r="F235" s="383">
        <v>3.15E-2</v>
      </c>
      <c r="G235" s="292" t="s">
        <v>20497</v>
      </c>
      <c r="H235" s="255">
        <v>0.68</v>
      </c>
    </row>
    <row r="236" spans="1:17" s="92" customFormat="1" ht="25.5">
      <c r="A236" s="256" t="s">
        <v>3261</v>
      </c>
      <c r="B236" s="374">
        <v>39027</v>
      </c>
      <c r="C236" s="289" t="s">
        <v>7826</v>
      </c>
      <c r="D236" s="290" t="s">
        <v>207</v>
      </c>
      <c r="E236" s="290" t="s">
        <v>3244</v>
      </c>
      <c r="F236" s="291">
        <v>0.22500000000000001</v>
      </c>
      <c r="G236" s="292" t="s">
        <v>12370</v>
      </c>
      <c r="H236" s="255">
        <v>4.42</v>
      </c>
      <c r="J236" s="176"/>
    </row>
    <row r="237" spans="1:17" s="92" customFormat="1" ht="25.5">
      <c r="A237" s="256" t="s">
        <v>3259</v>
      </c>
      <c r="B237" s="374">
        <v>88261</v>
      </c>
      <c r="C237" s="289" t="s">
        <v>294</v>
      </c>
      <c r="D237" s="290" t="s">
        <v>9714</v>
      </c>
      <c r="E237" s="290" t="s">
        <v>206</v>
      </c>
      <c r="F237" s="254">
        <v>3.4580000000000002</v>
      </c>
      <c r="G237" s="292" t="s">
        <v>12381</v>
      </c>
      <c r="H237" s="255">
        <v>82.02</v>
      </c>
      <c r="J237" s="131"/>
    </row>
    <row r="238" spans="1:17" s="92" customFormat="1" ht="25.5">
      <c r="A238" s="256" t="s">
        <v>3259</v>
      </c>
      <c r="B238" s="374">
        <v>88309</v>
      </c>
      <c r="C238" s="289" t="s">
        <v>105</v>
      </c>
      <c r="D238" s="290" t="s">
        <v>9714</v>
      </c>
      <c r="E238" s="290" t="s">
        <v>206</v>
      </c>
      <c r="F238" s="254">
        <v>1.389</v>
      </c>
      <c r="G238" s="292" t="s">
        <v>11439</v>
      </c>
      <c r="H238" s="255">
        <v>33.19</v>
      </c>
      <c r="J238" s="131"/>
      <c r="K238" s="763"/>
    </row>
    <row r="239" spans="1:17" s="92" customFormat="1" ht="25.5">
      <c r="A239" s="256" t="s">
        <v>3259</v>
      </c>
      <c r="B239" s="374">
        <v>88316</v>
      </c>
      <c r="C239" s="289" t="s">
        <v>104</v>
      </c>
      <c r="D239" s="290" t="s">
        <v>9714</v>
      </c>
      <c r="E239" s="290" t="s">
        <v>206</v>
      </c>
      <c r="F239" s="254">
        <v>2.4239999999999999</v>
      </c>
      <c r="G239" s="292" t="s">
        <v>10172</v>
      </c>
      <c r="H239" s="255">
        <v>42.68</v>
      </c>
      <c r="J239" s="131"/>
    </row>
    <row r="240" spans="1:17" s="92" customFormat="1" ht="51">
      <c r="A240" s="256" t="s">
        <v>3259</v>
      </c>
      <c r="B240" s="374">
        <v>88627</v>
      </c>
      <c r="C240" s="289" t="s">
        <v>9414</v>
      </c>
      <c r="D240" s="290" t="s">
        <v>229</v>
      </c>
      <c r="E240" s="290" t="s">
        <v>209</v>
      </c>
      <c r="F240" s="383">
        <v>2.5000000000000001E-2</v>
      </c>
      <c r="G240" s="292" t="s">
        <v>24287</v>
      </c>
      <c r="H240" s="255">
        <v>12.58</v>
      </c>
    </row>
    <row r="241" spans="1:19" s="92" customFormat="1" ht="12.75">
      <c r="A241" s="286"/>
      <c r="B241" s="375" t="s">
        <v>143</v>
      </c>
      <c r="C241" s="837" t="s">
        <v>17498</v>
      </c>
      <c r="D241" s="835"/>
      <c r="E241" s="835"/>
      <c r="F241" s="835"/>
      <c r="G241" s="835"/>
      <c r="H241" s="836"/>
      <c r="J241" s="841"/>
      <c r="K241" s="841"/>
      <c r="L241" s="841"/>
      <c r="M241" s="841"/>
      <c r="N241" s="841"/>
      <c r="O241" s="841"/>
      <c r="P241" s="841"/>
      <c r="Q241" s="841"/>
    </row>
    <row r="242" spans="1:19" s="92" customFormat="1" ht="12.75">
      <c r="A242" s="286"/>
      <c r="B242" s="373"/>
      <c r="C242" s="379"/>
      <c r="D242" s="382"/>
      <c r="E242" s="382"/>
      <c r="F242" s="382"/>
      <c r="G242" s="382"/>
      <c r="H242" s="382"/>
      <c r="J242" s="176"/>
    </row>
    <row r="243" spans="1:19" s="92" customFormat="1" ht="51">
      <c r="A243" s="286"/>
      <c r="B243" s="372" t="s">
        <v>14349</v>
      </c>
      <c r="C243" s="231" t="s">
        <v>14350</v>
      </c>
      <c r="D243" s="232" t="s">
        <v>103</v>
      </c>
      <c r="E243" s="232" t="s">
        <v>109</v>
      </c>
      <c r="F243" s="233"/>
      <c r="G243" s="234"/>
      <c r="H243" s="235">
        <v>41.21</v>
      </c>
      <c r="J243" s="176"/>
      <c r="K243" s="172"/>
      <c r="L243" s="172"/>
      <c r="M243" s="172"/>
      <c r="N243" s="172"/>
      <c r="O243" s="172"/>
      <c r="P243" s="172"/>
      <c r="Q243" s="172"/>
      <c r="R243" s="172"/>
      <c r="S243" s="172"/>
    </row>
    <row r="244" spans="1:19" s="92" customFormat="1" ht="25.5">
      <c r="A244" s="256" t="s">
        <v>3259</v>
      </c>
      <c r="B244" s="288">
        <v>88264</v>
      </c>
      <c r="C244" s="289" t="s">
        <v>146</v>
      </c>
      <c r="D244" s="290" t="s">
        <v>9714</v>
      </c>
      <c r="E244" s="290" t="s">
        <v>206</v>
      </c>
      <c r="F244" s="383">
        <v>0.183</v>
      </c>
      <c r="G244" s="292" t="s">
        <v>16504</v>
      </c>
      <c r="H244" s="255">
        <v>4.41</v>
      </c>
      <c r="J244" s="176"/>
    </row>
    <row r="245" spans="1:19" s="92" customFormat="1" ht="25.5">
      <c r="A245" s="256" t="s">
        <v>3259</v>
      </c>
      <c r="B245" s="374">
        <v>88247</v>
      </c>
      <c r="C245" s="289" t="s">
        <v>145</v>
      </c>
      <c r="D245" s="290" t="s">
        <v>9714</v>
      </c>
      <c r="E245" s="290" t="s">
        <v>206</v>
      </c>
      <c r="F245" s="383">
        <v>0.183</v>
      </c>
      <c r="G245" s="292" t="s">
        <v>12206</v>
      </c>
      <c r="H245" s="255">
        <v>3.42</v>
      </c>
      <c r="J245" s="72"/>
    </row>
    <row r="246" spans="1:19" s="92" customFormat="1" ht="38.25">
      <c r="A246" s="256" t="s">
        <v>12</v>
      </c>
      <c r="B246" s="374" t="s">
        <v>14561</v>
      </c>
      <c r="C246" s="289" t="s">
        <v>16971</v>
      </c>
      <c r="D246" s="290" t="s">
        <v>207</v>
      </c>
      <c r="E246" s="290" t="s">
        <v>109</v>
      </c>
      <c r="F246" s="383">
        <v>1</v>
      </c>
      <c r="G246" s="292">
        <v>2.4300000000000002</v>
      </c>
      <c r="H246" s="255">
        <v>2.4300000000000002</v>
      </c>
      <c r="J246" s="72"/>
    </row>
    <row r="247" spans="1:19" s="92" customFormat="1" ht="25.5">
      <c r="A247" s="256" t="s">
        <v>12</v>
      </c>
      <c r="B247" s="374" t="s">
        <v>14332</v>
      </c>
      <c r="C247" s="289" t="s">
        <v>15761</v>
      </c>
      <c r="D247" s="290" t="s">
        <v>207</v>
      </c>
      <c r="E247" s="290" t="s">
        <v>109</v>
      </c>
      <c r="F247" s="383">
        <v>4</v>
      </c>
      <c r="G247" s="292">
        <v>2.7</v>
      </c>
      <c r="H247" s="255">
        <v>10.8</v>
      </c>
      <c r="J247" s="72"/>
    </row>
    <row r="248" spans="1:19" s="92" customFormat="1" ht="12.75">
      <c r="A248" s="256" t="s">
        <v>12</v>
      </c>
      <c r="B248" s="374" t="s">
        <v>14333</v>
      </c>
      <c r="C248" s="289" t="s">
        <v>14351</v>
      </c>
      <c r="D248" s="290" t="s">
        <v>207</v>
      </c>
      <c r="E248" s="290" t="s">
        <v>109</v>
      </c>
      <c r="F248" s="383">
        <v>16.8</v>
      </c>
      <c r="G248" s="292">
        <v>0.15</v>
      </c>
      <c r="H248" s="255">
        <v>2.52</v>
      </c>
      <c r="J248" s="72"/>
    </row>
    <row r="249" spans="1:19" s="92" customFormat="1" ht="25.5">
      <c r="A249" s="256" t="s">
        <v>3261</v>
      </c>
      <c r="B249" s="374">
        <v>39211</v>
      </c>
      <c r="C249" s="289" t="s">
        <v>4850</v>
      </c>
      <c r="D249" s="290" t="s">
        <v>207</v>
      </c>
      <c r="E249" s="290" t="s">
        <v>3240</v>
      </c>
      <c r="F249" s="383">
        <v>16.8</v>
      </c>
      <c r="G249" s="292" t="s">
        <v>10017</v>
      </c>
      <c r="H249" s="255">
        <v>14.95</v>
      </c>
      <c r="J249" s="72"/>
    </row>
    <row r="250" spans="1:19" s="92" customFormat="1" ht="12.75">
      <c r="A250" s="256" t="s">
        <v>3261</v>
      </c>
      <c r="B250" s="374">
        <v>39997</v>
      </c>
      <c r="C250" s="289" t="s">
        <v>7751</v>
      </c>
      <c r="D250" s="290" t="s">
        <v>207</v>
      </c>
      <c r="E250" s="290" t="s">
        <v>3240</v>
      </c>
      <c r="F250" s="383">
        <v>16.8</v>
      </c>
      <c r="G250" s="292" t="s">
        <v>9866</v>
      </c>
      <c r="H250" s="255">
        <v>2.68</v>
      </c>
      <c r="J250" s="72"/>
    </row>
    <row r="251" spans="1:19" s="92" customFormat="1" ht="12.75">
      <c r="A251" s="286"/>
      <c r="B251" s="375" t="s">
        <v>143</v>
      </c>
      <c r="C251" s="837" t="s">
        <v>16977</v>
      </c>
      <c r="D251" s="835"/>
      <c r="E251" s="835"/>
      <c r="F251" s="835"/>
      <c r="G251" s="835"/>
      <c r="H251" s="836"/>
      <c r="J251" s="176"/>
      <c r="K251" s="88"/>
      <c r="L251" s="88"/>
      <c r="M251" s="88"/>
      <c r="N251" s="88"/>
      <c r="O251" s="88"/>
    </row>
    <row r="252" spans="1:19" s="92" customFormat="1" ht="12.75">
      <c r="A252" s="286"/>
      <c r="B252" s="373"/>
      <c r="C252" s="379"/>
      <c r="D252" s="382"/>
      <c r="E252" s="382"/>
      <c r="F252" s="382"/>
      <c r="G252" s="382"/>
      <c r="H252" s="382"/>
      <c r="J252" s="176"/>
    </row>
    <row r="253" spans="1:19" s="92" customFormat="1" ht="51">
      <c r="A253" s="286"/>
      <c r="B253" s="372" t="s">
        <v>14352</v>
      </c>
      <c r="C253" s="231" t="s">
        <v>16980</v>
      </c>
      <c r="D253" s="232" t="s">
        <v>103</v>
      </c>
      <c r="E253" s="232" t="s">
        <v>109</v>
      </c>
      <c r="F253" s="233"/>
      <c r="G253" s="234"/>
      <c r="H253" s="235">
        <v>38.130000000000003</v>
      </c>
      <c r="J253" s="176"/>
      <c r="K253" s="172"/>
      <c r="L253" s="172"/>
      <c r="M253" s="172"/>
      <c r="N253" s="172"/>
      <c r="O253" s="172"/>
      <c r="P253" s="172"/>
      <c r="Q253" s="172"/>
      <c r="R253" s="172"/>
      <c r="S253" s="172"/>
    </row>
    <row r="254" spans="1:19" s="92" customFormat="1" ht="25.5">
      <c r="A254" s="256" t="s">
        <v>3259</v>
      </c>
      <c r="B254" s="288">
        <v>88264</v>
      </c>
      <c r="C254" s="289" t="s">
        <v>146</v>
      </c>
      <c r="D254" s="290" t="s">
        <v>9714</v>
      </c>
      <c r="E254" s="290" t="s">
        <v>206</v>
      </c>
      <c r="F254" s="383">
        <v>0.126</v>
      </c>
      <c r="G254" s="292" t="s">
        <v>16504</v>
      </c>
      <c r="H254" s="255">
        <v>3.03</v>
      </c>
      <c r="J254" s="176"/>
    </row>
    <row r="255" spans="1:19" s="92" customFormat="1" ht="25.5">
      <c r="A255" s="256" t="s">
        <v>3259</v>
      </c>
      <c r="B255" s="374">
        <v>88247</v>
      </c>
      <c r="C255" s="289" t="s">
        <v>145</v>
      </c>
      <c r="D255" s="290" t="s">
        <v>9714</v>
      </c>
      <c r="E255" s="290" t="s">
        <v>206</v>
      </c>
      <c r="F255" s="383">
        <v>0.126</v>
      </c>
      <c r="G255" s="292" t="s">
        <v>12206</v>
      </c>
      <c r="H255" s="255">
        <v>2.36</v>
      </c>
      <c r="J255" s="72"/>
    </row>
    <row r="256" spans="1:19" s="92" customFormat="1" ht="38.25">
      <c r="A256" s="256" t="s">
        <v>12</v>
      </c>
      <c r="B256" s="374" t="s">
        <v>14562</v>
      </c>
      <c r="C256" s="289" t="s">
        <v>16982</v>
      </c>
      <c r="D256" s="290" t="s">
        <v>207</v>
      </c>
      <c r="E256" s="290" t="s">
        <v>109</v>
      </c>
      <c r="F256" s="383">
        <v>1</v>
      </c>
      <c r="G256" s="292">
        <v>1.79</v>
      </c>
      <c r="H256" s="255">
        <v>1.79</v>
      </c>
      <c r="J256" s="72"/>
    </row>
    <row r="257" spans="1:19" s="92" customFormat="1" ht="25.5">
      <c r="A257" s="256" t="s">
        <v>12</v>
      </c>
      <c r="B257" s="374" t="s">
        <v>14332</v>
      </c>
      <c r="C257" s="289" t="s">
        <v>15761</v>
      </c>
      <c r="D257" s="290" t="s">
        <v>207</v>
      </c>
      <c r="E257" s="290" t="s">
        <v>109</v>
      </c>
      <c r="F257" s="383">
        <v>4</v>
      </c>
      <c r="G257" s="292">
        <v>2.7</v>
      </c>
      <c r="H257" s="255">
        <v>10.8</v>
      </c>
      <c r="J257" s="72"/>
    </row>
    <row r="258" spans="1:19" s="92" customFormat="1" ht="12.75">
      <c r="A258" s="256" t="s">
        <v>12</v>
      </c>
      <c r="B258" s="374" t="s">
        <v>14333</v>
      </c>
      <c r="C258" s="289" t="s">
        <v>14351</v>
      </c>
      <c r="D258" s="290" t="s">
        <v>207</v>
      </c>
      <c r="E258" s="290" t="s">
        <v>109</v>
      </c>
      <c r="F258" s="383">
        <v>16.8</v>
      </c>
      <c r="G258" s="292">
        <v>0.15</v>
      </c>
      <c r="H258" s="255">
        <v>2.52</v>
      </c>
      <c r="J258" s="72"/>
    </row>
    <row r="259" spans="1:19" s="92" customFormat="1" ht="25.5">
      <c r="A259" s="256" t="s">
        <v>3261</v>
      </c>
      <c r="B259" s="374">
        <v>39211</v>
      </c>
      <c r="C259" s="289" t="s">
        <v>4850</v>
      </c>
      <c r="D259" s="290" t="s">
        <v>207</v>
      </c>
      <c r="E259" s="290" t="s">
        <v>3240</v>
      </c>
      <c r="F259" s="383">
        <v>16.8</v>
      </c>
      <c r="G259" s="292" t="s">
        <v>10017</v>
      </c>
      <c r="H259" s="255">
        <v>14.95</v>
      </c>
      <c r="J259" s="72"/>
    </row>
    <row r="260" spans="1:19" s="92" customFormat="1" ht="12.75">
      <c r="A260" s="256" t="s">
        <v>3261</v>
      </c>
      <c r="B260" s="374">
        <v>39997</v>
      </c>
      <c r="C260" s="289" t="s">
        <v>7751</v>
      </c>
      <c r="D260" s="290" t="s">
        <v>207</v>
      </c>
      <c r="E260" s="290" t="s">
        <v>3240</v>
      </c>
      <c r="F260" s="383">
        <v>16.8</v>
      </c>
      <c r="G260" s="292" t="s">
        <v>9866</v>
      </c>
      <c r="H260" s="255">
        <v>2.68</v>
      </c>
      <c r="J260" s="72"/>
    </row>
    <row r="261" spans="1:19" s="92" customFormat="1" ht="12.75">
      <c r="A261" s="286"/>
      <c r="B261" s="375" t="s">
        <v>143</v>
      </c>
      <c r="C261" s="837" t="s">
        <v>16981</v>
      </c>
      <c r="D261" s="835"/>
      <c r="E261" s="835"/>
      <c r="F261" s="835"/>
      <c r="G261" s="835"/>
      <c r="H261" s="836"/>
      <c r="J261" s="176"/>
      <c r="K261" s="88"/>
      <c r="L261" s="88"/>
      <c r="M261" s="88"/>
      <c r="N261" s="88"/>
      <c r="O261" s="88"/>
    </row>
    <row r="262" spans="1:19" s="88" customFormat="1" ht="12.75">
      <c r="A262" s="286"/>
      <c r="B262" s="373"/>
      <c r="C262" s="379"/>
      <c r="D262" s="382"/>
      <c r="E262" s="382"/>
      <c r="F262" s="382"/>
      <c r="G262" s="382"/>
      <c r="H262" s="382"/>
      <c r="J262" s="174"/>
    </row>
    <row r="263" spans="1:19" s="88" customFormat="1" ht="25.5">
      <c r="A263" s="286"/>
      <c r="B263" s="372" t="s">
        <v>14363</v>
      </c>
      <c r="C263" s="231" t="s">
        <v>15405</v>
      </c>
      <c r="D263" s="232" t="s">
        <v>103</v>
      </c>
      <c r="E263" s="232" t="s">
        <v>3241</v>
      </c>
      <c r="F263" s="233"/>
      <c r="G263" s="234"/>
      <c r="H263" s="235">
        <v>183.81</v>
      </c>
      <c r="J263" s="175"/>
    </row>
    <row r="264" spans="1:19" s="92" customFormat="1" ht="25.5">
      <c r="A264" s="256" t="s">
        <v>3261</v>
      </c>
      <c r="B264" s="288">
        <v>4721</v>
      </c>
      <c r="C264" s="289" t="s">
        <v>7580</v>
      </c>
      <c r="D264" s="290" t="s">
        <v>207</v>
      </c>
      <c r="E264" s="290" t="s">
        <v>3241</v>
      </c>
      <c r="F264" s="254">
        <v>1.2</v>
      </c>
      <c r="G264" s="292" t="s">
        <v>16598</v>
      </c>
      <c r="H264" s="255">
        <v>148.59</v>
      </c>
      <c r="J264" s="176"/>
    </row>
    <row r="265" spans="1:19" s="92" customFormat="1" ht="25.5">
      <c r="A265" s="256" t="s">
        <v>3259</v>
      </c>
      <c r="B265" s="288">
        <v>88316</v>
      </c>
      <c r="C265" s="289" t="s">
        <v>104</v>
      </c>
      <c r="D265" s="290" t="s">
        <v>9714</v>
      </c>
      <c r="E265" s="290" t="s">
        <v>206</v>
      </c>
      <c r="F265" s="254">
        <v>2</v>
      </c>
      <c r="G265" s="292" t="s">
        <v>10172</v>
      </c>
      <c r="H265" s="255">
        <v>35.22</v>
      </c>
      <c r="J265" s="176"/>
    </row>
    <row r="266" spans="1:19" s="92" customFormat="1" ht="12.75">
      <c r="A266" s="256"/>
      <c r="B266" s="288" t="s">
        <v>143</v>
      </c>
      <c r="C266" s="838" t="s">
        <v>15406</v>
      </c>
      <c r="D266" s="839"/>
      <c r="E266" s="839"/>
      <c r="F266" s="839"/>
      <c r="G266" s="839"/>
      <c r="H266" s="840"/>
      <c r="J266" s="176"/>
    </row>
    <row r="267" spans="1:19" s="92" customFormat="1" ht="12.75">
      <c r="A267" s="286"/>
      <c r="B267" s="373"/>
      <c r="C267" s="379"/>
      <c r="D267" s="382"/>
      <c r="E267" s="382"/>
      <c r="F267" s="382"/>
      <c r="G267" s="382"/>
      <c r="H267" s="382"/>
      <c r="J267" s="176"/>
    </row>
    <row r="268" spans="1:19" s="92" customFormat="1" ht="38.25">
      <c r="A268" s="286"/>
      <c r="B268" s="372" t="s">
        <v>18515</v>
      </c>
      <c r="C268" s="231" t="s">
        <v>18518</v>
      </c>
      <c r="D268" s="232" t="s">
        <v>103</v>
      </c>
      <c r="E268" s="232" t="s">
        <v>109</v>
      </c>
      <c r="F268" s="233"/>
      <c r="G268" s="234"/>
      <c r="H268" s="235">
        <v>873.28</v>
      </c>
      <c r="J268" s="176"/>
      <c r="K268" s="172"/>
      <c r="L268" s="172"/>
      <c r="M268" s="172"/>
      <c r="N268" s="172"/>
      <c r="O268" s="172"/>
      <c r="P268" s="172"/>
      <c r="Q268" s="172"/>
      <c r="R268" s="172"/>
      <c r="S268" s="172"/>
    </row>
    <row r="269" spans="1:19" s="92" customFormat="1" ht="51">
      <c r="A269" s="256" t="s">
        <v>3259</v>
      </c>
      <c r="B269" s="288">
        <v>87316</v>
      </c>
      <c r="C269" s="289" t="s">
        <v>9328</v>
      </c>
      <c r="D269" s="290" t="s">
        <v>229</v>
      </c>
      <c r="E269" s="290" t="s">
        <v>209</v>
      </c>
      <c r="F269" s="383">
        <v>4.4999999999999997E-3</v>
      </c>
      <c r="G269" s="292" t="s">
        <v>24202</v>
      </c>
      <c r="H269" s="255">
        <v>1.72</v>
      </c>
      <c r="J269" s="176"/>
    </row>
    <row r="270" spans="1:19" s="92" customFormat="1" ht="25.5">
      <c r="A270" s="256" t="s">
        <v>3259</v>
      </c>
      <c r="B270" s="374">
        <v>88309</v>
      </c>
      <c r="C270" s="289" t="s">
        <v>105</v>
      </c>
      <c r="D270" s="290" t="s">
        <v>9714</v>
      </c>
      <c r="E270" s="290" t="s">
        <v>206</v>
      </c>
      <c r="F270" s="383">
        <v>1.5</v>
      </c>
      <c r="G270" s="292" t="s">
        <v>11439</v>
      </c>
      <c r="H270" s="255">
        <v>35.85</v>
      </c>
      <c r="J270" s="72"/>
    </row>
    <row r="271" spans="1:19" s="92" customFormat="1" ht="25.5">
      <c r="A271" s="256" t="s">
        <v>3259</v>
      </c>
      <c r="B271" s="374">
        <v>88316</v>
      </c>
      <c r="C271" s="289" t="s">
        <v>104</v>
      </c>
      <c r="D271" s="290" t="s">
        <v>9714</v>
      </c>
      <c r="E271" s="290" t="s">
        <v>206</v>
      </c>
      <c r="F271" s="383">
        <v>1.5</v>
      </c>
      <c r="G271" s="292" t="s">
        <v>10172</v>
      </c>
      <c r="H271" s="255">
        <v>26.41</v>
      </c>
      <c r="J271" s="72"/>
    </row>
    <row r="272" spans="1:19" s="92" customFormat="1" ht="38.25">
      <c r="A272" s="256" t="s">
        <v>3261</v>
      </c>
      <c r="B272" s="374">
        <v>21090</v>
      </c>
      <c r="C272" s="289" t="s">
        <v>8132</v>
      </c>
      <c r="D272" s="290" t="s">
        <v>207</v>
      </c>
      <c r="E272" s="290" t="s">
        <v>3240</v>
      </c>
      <c r="F272" s="383">
        <v>1</v>
      </c>
      <c r="G272" s="292" t="s">
        <v>20695</v>
      </c>
      <c r="H272" s="255">
        <v>809.3</v>
      </c>
      <c r="J272" s="72"/>
    </row>
    <row r="273" spans="1:18" s="92" customFormat="1" ht="12.75">
      <c r="A273" s="286"/>
      <c r="B273" s="375" t="s">
        <v>143</v>
      </c>
      <c r="C273" s="837" t="s">
        <v>18519</v>
      </c>
      <c r="D273" s="835"/>
      <c r="E273" s="835"/>
      <c r="F273" s="835"/>
      <c r="G273" s="835"/>
      <c r="H273" s="836"/>
      <c r="J273" s="176"/>
      <c r="K273" s="88"/>
      <c r="L273" s="88"/>
      <c r="M273" s="88"/>
      <c r="N273" s="88"/>
      <c r="O273" s="88"/>
    </row>
    <row r="274" spans="1:18" s="92" customFormat="1" ht="12.75">
      <c r="A274" s="286"/>
      <c r="B274" s="373"/>
      <c r="C274" s="379"/>
      <c r="D274" s="382"/>
      <c r="E274" s="382"/>
      <c r="F274" s="382"/>
      <c r="G274" s="382"/>
      <c r="H274" s="382"/>
      <c r="J274" s="176"/>
    </row>
    <row r="275" spans="1:18" s="88" customFormat="1" ht="25.5">
      <c r="A275" s="480"/>
      <c r="B275" s="372" t="s">
        <v>11586</v>
      </c>
      <c r="C275" s="231" t="s">
        <v>15151</v>
      </c>
      <c r="D275" s="232" t="s">
        <v>229</v>
      </c>
      <c r="E275" s="232" t="s">
        <v>3772</v>
      </c>
      <c r="F275" s="233"/>
      <c r="G275" s="234"/>
      <c r="H275" s="235">
        <v>8106.08</v>
      </c>
      <c r="J275" s="481"/>
    </row>
    <row r="276" spans="1:18" s="92" customFormat="1" ht="25.5">
      <c r="A276" s="482" t="s">
        <v>3259</v>
      </c>
      <c r="B276" s="288" t="s">
        <v>15156</v>
      </c>
      <c r="C276" s="289" t="s">
        <v>15154</v>
      </c>
      <c r="D276" s="290" t="s">
        <v>103</v>
      </c>
      <c r="E276" s="290" t="s">
        <v>206</v>
      </c>
      <c r="F276" s="483">
        <v>210</v>
      </c>
      <c r="G276" s="292">
        <v>18.12</v>
      </c>
      <c r="H276" s="255">
        <v>3805.2</v>
      </c>
    </row>
    <row r="277" spans="1:18" s="92" customFormat="1" ht="25.5">
      <c r="A277" s="482" t="s">
        <v>3261</v>
      </c>
      <c r="B277" s="288" t="s">
        <v>11587</v>
      </c>
      <c r="C277" s="289" t="s">
        <v>15153</v>
      </c>
      <c r="D277" s="290" t="s">
        <v>103</v>
      </c>
      <c r="E277" s="290" t="s">
        <v>206</v>
      </c>
      <c r="F277" s="483">
        <v>296</v>
      </c>
      <c r="G277" s="292">
        <v>14.53</v>
      </c>
      <c r="H277" s="255">
        <v>4300.88</v>
      </c>
    </row>
    <row r="278" spans="1:18" s="88" customFormat="1" ht="12.75">
      <c r="A278" s="480"/>
      <c r="B278" s="288" t="s">
        <v>143</v>
      </c>
      <c r="C278" s="819" t="s">
        <v>15152</v>
      </c>
      <c r="D278" s="820"/>
      <c r="E278" s="820"/>
      <c r="F278" s="820"/>
      <c r="G278" s="820"/>
      <c r="H278" s="821"/>
      <c r="J278" s="89"/>
    </row>
    <row r="279" spans="1:18" s="88" customFormat="1" ht="12.75">
      <c r="A279" s="480"/>
      <c r="B279" s="293"/>
      <c r="C279" s="229"/>
      <c r="D279" s="230"/>
      <c r="E279" s="230"/>
      <c r="F279" s="230"/>
      <c r="G279" s="230"/>
      <c r="H279" s="230"/>
      <c r="J279" s="89"/>
    </row>
    <row r="280" spans="1:18" s="88" customFormat="1" ht="25.5">
      <c r="A280" s="480"/>
      <c r="B280" s="372" t="s">
        <v>11587</v>
      </c>
      <c r="C280" s="231" t="s">
        <v>15153</v>
      </c>
      <c r="D280" s="232" t="s">
        <v>103</v>
      </c>
      <c r="E280" s="232" t="s">
        <v>206</v>
      </c>
      <c r="F280" s="233"/>
      <c r="G280" s="234"/>
      <c r="H280" s="235">
        <v>14.53</v>
      </c>
      <c r="J280" s="90"/>
    </row>
    <row r="281" spans="1:18" s="92" customFormat="1" ht="25.5">
      <c r="A281" s="482" t="s">
        <v>3259</v>
      </c>
      <c r="B281" s="288">
        <v>100289</v>
      </c>
      <c r="C281" s="289" t="s">
        <v>278</v>
      </c>
      <c r="D281" s="290" t="s">
        <v>9714</v>
      </c>
      <c r="E281" s="290" t="s">
        <v>206</v>
      </c>
      <c r="F281" s="483">
        <v>0.80986475735879082</v>
      </c>
      <c r="G281" s="292" t="s">
        <v>10122</v>
      </c>
      <c r="H281" s="255">
        <v>14.53</v>
      </c>
    </row>
    <row r="282" spans="1:18" s="88" customFormat="1" ht="12.75">
      <c r="A282" s="480"/>
      <c r="B282" s="288" t="s">
        <v>143</v>
      </c>
      <c r="C282" s="819" t="s">
        <v>15155</v>
      </c>
      <c r="D282" s="820"/>
      <c r="E282" s="820"/>
      <c r="F282" s="820"/>
      <c r="G282" s="820"/>
      <c r="H282" s="821"/>
      <c r="J282" s="89"/>
    </row>
    <row r="283" spans="1:18" s="88" customFormat="1" ht="12.75">
      <c r="A283" s="480"/>
      <c r="B283" s="293"/>
      <c r="C283" s="229"/>
      <c r="D283" s="230"/>
      <c r="E283" s="230"/>
      <c r="F283" s="230"/>
      <c r="G283" s="230"/>
      <c r="H283" s="230"/>
      <c r="J283" s="89"/>
    </row>
    <row r="284" spans="1:18" s="88" customFormat="1" ht="25.5">
      <c r="A284" s="480"/>
      <c r="B284" s="372" t="s">
        <v>15156</v>
      </c>
      <c r="C284" s="231" t="s">
        <v>15154</v>
      </c>
      <c r="D284" s="232" t="s">
        <v>103</v>
      </c>
      <c r="E284" s="232" t="s">
        <v>206</v>
      </c>
      <c r="F284" s="233"/>
      <c r="G284" s="234"/>
      <c r="H284" s="235">
        <v>18.12</v>
      </c>
      <c r="J284" s="90"/>
    </row>
    <row r="285" spans="1:18" s="92" customFormat="1" ht="25.5">
      <c r="A285" s="482" t="s">
        <v>3259</v>
      </c>
      <c r="B285" s="288">
        <v>88326</v>
      </c>
      <c r="C285" s="289" t="s">
        <v>173</v>
      </c>
      <c r="D285" s="290" t="s">
        <v>9714</v>
      </c>
      <c r="E285" s="290" t="s">
        <v>206</v>
      </c>
      <c r="F285" s="483">
        <v>0.80986475735879082</v>
      </c>
      <c r="G285" s="292" t="s">
        <v>11118</v>
      </c>
      <c r="H285" s="255">
        <v>18.12</v>
      </c>
    </row>
    <row r="286" spans="1:18" s="88" customFormat="1" ht="12.75">
      <c r="A286" s="480"/>
      <c r="B286" s="288" t="s">
        <v>143</v>
      </c>
      <c r="C286" s="819" t="s">
        <v>15155</v>
      </c>
      <c r="D286" s="820"/>
      <c r="E286" s="820"/>
      <c r="F286" s="820"/>
      <c r="G286" s="820"/>
      <c r="H286" s="821"/>
      <c r="J286" s="89"/>
    </row>
    <row r="287" spans="1:18" ht="9" customHeight="1">
      <c r="J287" s="72"/>
      <c r="K287" s="88"/>
      <c r="L287" s="88"/>
      <c r="M287" s="88"/>
      <c r="P287" s="88"/>
      <c r="Q287" s="88"/>
      <c r="R287" s="70"/>
    </row>
    <row r="288" spans="1:18" s="183" customFormat="1" ht="58.15" customHeight="1">
      <c r="A288" s="128"/>
      <c r="B288" s="842" t="str">
        <f>'018-21-CCU''s'!B2877:H2877</f>
        <v>ENG. GABRIEL DA CUNHA ARAUJO
CREA 23300/D-DF
ART: 0720210046394
MAT.: 973.175-X</v>
      </c>
      <c r="C288" s="842"/>
      <c r="D288" s="842"/>
      <c r="E288" s="842"/>
      <c r="F288" s="842"/>
      <c r="G288" s="842"/>
      <c r="H288" s="842"/>
      <c r="J288" s="176"/>
      <c r="N288" s="70"/>
      <c r="O288" s="70"/>
    </row>
    <row r="289" spans="1:15" s="183" customFormat="1" ht="58.15" customHeight="1">
      <c r="A289" s="128"/>
      <c r="B289" s="842" t="str">
        <f>'018-21-CCU''s'!B2878:H2878</f>
        <v>ENG. GILMAR DA MOTA FERNANDES
CREA 23785/D-DF
ART: 0720210047629
MAT.: 973.113-X</v>
      </c>
      <c r="C289" s="842"/>
      <c r="D289" s="842"/>
      <c r="E289" s="842"/>
      <c r="F289" s="842"/>
      <c r="G289" s="842"/>
      <c r="H289" s="842"/>
      <c r="J289" s="176"/>
      <c r="N289" s="70"/>
      <c r="O289" s="70"/>
    </row>
    <row r="290" spans="1:15" s="183" customFormat="1" ht="58.15" customHeight="1">
      <c r="A290" s="128"/>
      <c r="B290" s="842" t="str">
        <f>'018-21-CCU''s'!B2879:H2879</f>
        <v>ENG. TIAGO DE SOUZA OLIVEIRA
CREA 24935/D-DF
ART: 0720210047000
MAT.: 973.315-9</v>
      </c>
      <c r="C290" s="842"/>
      <c r="D290" s="842"/>
      <c r="E290" s="842"/>
      <c r="F290" s="842"/>
      <c r="G290" s="842"/>
      <c r="H290" s="842"/>
      <c r="J290" s="176"/>
      <c r="N290" s="70"/>
      <c r="O290" s="70"/>
    </row>
    <row r="291" spans="1:15">
      <c r="J291" s="70"/>
    </row>
  </sheetData>
  <autoFilter ref="B9:H290"/>
  <mergeCells count="38">
    <mergeCell ref="C191:H191"/>
    <mergeCell ref="C200:H200"/>
    <mergeCell ref="C266:H266"/>
    <mergeCell ref="C130:H130"/>
    <mergeCell ref="C152:H152"/>
    <mergeCell ref="C226:H226"/>
    <mergeCell ref="J153:Q153"/>
    <mergeCell ref="C162:H162"/>
    <mergeCell ref="J170:Q170"/>
    <mergeCell ref="C179:H179"/>
    <mergeCell ref="J182:Q182"/>
    <mergeCell ref="J124:Q124"/>
    <mergeCell ref="B1:H1"/>
    <mergeCell ref="B2:H2"/>
    <mergeCell ref="B3:H3"/>
    <mergeCell ref="B4:H4"/>
    <mergeCell ref="B5:H5"/>
    <mergeCell ref="C7:E7"/>
    <mergeCell ref="J23:Q23"/>
    <mergeCell ref="J24:Q24"/>
    <mergeCell ref="J93:Q93"/>
    <mergeCell ref="C23:H23"/>
    <mergeCell ref="C31:H31"/>
    <mergeCell ref="B46:H46"/>
    <mergeCell ref="C50:H50"/>
    <mergeCell ref="C98:H98"/>
    <mergeCell ref="J226:Q226"/>
    <mergeCell ref="C241:H241"/>
    <mergeCell ref="J241:Q241"/>
    <mergeCell ref="B290:H290"/>
    <mergeCell ref="B288:H288"/>
    <mergeCell ref="C278:H278"/>
    <mergeCell ref="C282:H282"/>
    <mergeCell ref="C286:H286"/>
    <mergeCell ref="B289:H289"/>
    <mergeCell ref="C273:H273"/>
    <mergeCell ref="C251:H251"/>
    <mergeCell ref="C261:H261"/>
  </mergeCells>
  <printOptions horizontalCentered="1"/>
  <pageMargins left="0.78740157480314965" right="0.78740157480314965" top="0.33" bottom="0.28999999999999998" header="0.11811023622047245" footer="0.11811023622047245"/>
  <pageSetup paperSize="9" scale="74" orientation="portrait" r:id="rId1"/>
  <headerFooter>
    <oddHeader>&amp;C&amp;F</oddHeader>
    <oddFooter>Página &amp;P de &amp;N</oddFooter>
  </headerFooter>
  <drawing r:id="rId2"/>
  <legacyDrawing r:id="rId3"/>
</worksheet>
</file>

<file path=xl/worksheets/sheet11.xml><?xml version="1.0" encoding="utf-8"?>
<worksheet xmlns="http://schemas.openxmlformats.org/spreadsheetml/2006/main" xmlns:r="http://schemas.openxmlformats.org/officeDocument/2006/relationships">
  <sheetPr>
    <tabColor rgb="FFFF0000"/>
  </sheetPr>
  <dimension ref="A1:X1678"/>
  <sheetViews>
    <sheetView showGridLines="0" view="pageBreakPreview" topLeftCell="A1651" zoomScaleNormal="100" zoomScaleSheetLayoutView="100" workbookViewId="0">
      <selection activeCell="R1676" sqref="R1676"/>
    </sheetView>
  </sheetViews>
  <sheetFormatPr defaultColWidth="9.140625" defaultRowHeight="15.75"/>
  <cols>
    <col min="1" max="1" width="13.28515625" style="364" customWidth="1"/>
    <col min="2" max="2" width="36.7109375" style="625" customWidth="1"/>
    <col min="3" max="3" width="12.28515625" style="368" customWidth="1"/>
    <col min="4" max="4" width="4.5703125" style="123" customWidth="1"/>
    <col min="5" max="9" width="15.85546875" style="123" customWidth="1"/>
    <col min="10" max="10" width="11" style="123" customWidth="1"/>
    <col min="11" max="11" width="11.5703125" style="123" customWidth="1"/>
    <col min="12" max="12" width="10.28515625" style="123" customWidth="1"/>
    <col min="13" max="13" width="10" style="83" bestFit="1" customWidth="1"/>
    <col min="14" max="14" width="10.140625" style="83" customWidth="1"/>
    <col min="15" max="15" width="9.140625" style="83"/>
    <col min="16" max="16" width="11.140625" style="83" customWidth="1"/>
    <col min="17" max="17" width="12.28515625" style="83" customWidth="1"/>
    <col min="18" max="16384" width="9.140625" style="83"/>
  </cols>
  <sheetData>
    <row r="1" spans="1:16" s="86" customFormat="1">
      <c r="A1" s="814"/>
      <c r="B1" s="814"/>
      <c r="C1" s="814"/>
      <c r="D1" s="814"/>
      <c r="E1" s="814"/>
      <c r="F1" s="814"/>
      <c r="G1" s="814"/>
      <c r="H1" s="814"/>
      <c r="I1" s="814"/>
      <c r="J1" s="126"/>
      <c r="K1" s="127"/>
      <c r="L1" s="127"/>
    </row>
    <row r="2" spans="1:16" s="67" customFormat="1" ht="18.75">
      <c r="A2" s="815" t="s">
        <v>3765</v>
      </c>
      <c r="B2" s="815"/>
      <c r="C2" s="815"/>
      <c r="D2" s="815"/>
      <c r="E2" s="815"/>
      <c r="F2" s="815"/>
      <c r="G2" s="815"/>
      <c r="H2" s="815"/>
      <c r="I2" s="815"/>
      <c r="J2" s="128"/>
      <c r="K2" s="129"/>
      <c r="L2" s="128"/>
      <c r="M2" s="66"/>
      <c r="N2" s="66"/>
      <c r="O2" s="66"/>
    </row>
    <row r="3" spans="1:16" s="67" customFormat="1" ht="18.75">
      <c r="A3" s="815" t="s">
        <v>3766</v>
      </c>
      <c r="B3" s="815"/>
      <c r="C3" s="815"/>
      <c r="D3" s="815"/>
      <c r="E3" s="815"/>
      <c r="F3" s="815"/>
      <c r="G3" s="815"/>
      <c r="H3" s="815"/>
      <c r="I3" s="815"/>
      <c r="J3" s="128"/>
      <c r="K3" s="129"/>
      <c r="L3" s="128"/>
      <c r="M3" s="66"/>
      <c r="N3" s="66"/>
      <c r="O3" s="66"/>
    </row>
    <row r="4" spans="1:16" s="67" customFormat="1" ht="18.75">
      <c r="A4" s="815" t="s">
        <v>3768</v>
      </c>
      <c r="B4" s="815"/>
      <c r="C4" s="815"/>
      <c r="D4" s="815"/>
      <c r="E4" s="815"/>
      <c r="F4" s="815"/>
      <c r="G4" s="815"/>
      <c r="H4" s="815"/>
      <c r="I4" s="815"/>
      <c r="J4" s="129"/>
      <c r="K4" s="128"/>
      <c r="L4" s="128"/>
      <c r="M4" s="66"/>
      <c r="N4" s="66"/>
      <c r="O4" s="66"/>
    </row>
    <row r="5" spans="1:16" s="67" customFormat="1" ht="18.75">
      <c r="A5" s="815" t="s">
        <v>201</v>
      </c>
      <c r="B5" s="815"/>
      <c r="C5" s="815"/>
      <c r="D5" s="815"/>
      <c r="E5" s="815"/>
      <c r="F5" s="815"/>
      <c r="G5" s="815"/>
      <c r="H5" s="815"/>
      <c r="I5" s="815"/>
      <c r="J5" s="129"/>
      <c r="K5" s="128"/>
      <c r="L5" s="128"/>
      <c r="M5" s="66"/>
      <c r="N5" s="66"/>
      <c r="O5" s="66"/>
    </row>
    <row r="6" spans="1:16" s="67" customFormat="1" ht="25.5">
      <c r="A6" s="552" t="s">
        <v>101</v>
      </c>
      <c r="B6" s="832" t="str">
        <f>'018-21-CCU''s'!C6</f>
        <v>018/2021-SEORÇA-SDS</v>
      </c>
      <c r="C6" s="813"/>
      <c r="D6" s="813"/>
      <c r="E6" s="813"/>
      <c r="F6" s="347"/>
      <c r="G6" s="347"/>
      <c r="H6" s="347" t="s">
        <v>61</v>
      </c>
      <c r="I6" s="346">
        <f>'018-21-CAPA'!E20</f>
        <v>44389</v>
      </c>
      <c r="J6" s="130"/>
      <c r="K6" s="129"/>
      <c r="L6" s="128"/>
      <c r="M6" s="66"/>
      <c r="N6" s="66"/>
      <c r="O6" s="66"/>
      <c r="P6" s="66"/>
    </row>
    <row r="7" spans="1:16" s="67" customFormat="1" ht="12.75">
      <c r="A7" s="552" t="s">
        <v>13</v>
      </c>
      <c r="B7" s="832" t="str">
        <f>'018-21-CCU''s'!C7</f>
        <v>ORÇ. REFORMA DO RESTAURANTE COMUNITÁRIO DE ARNIQUEIRAS</v>
      </c>
      <c r="C7" s="813"/>
      <c r="D7" s="813"/>
      <c r="E7" s="813"/>
      <c r="F7" s="552"/>
      <c r="G7" s="552"/>
      <c r="H7" s="552" t="s">
        <v>16</v>
      </c>
      <c r="I7" s="329" t="str">
        <f>'018-21-CCU''s'!H7</f>
        <v>PROJ-DE-045-20</v>
      </c>
      <c r="J7" s="130"/>
      <c r="K7" s="128"/>
      <c r="L7" s="128"/>
      <c r="M7" s="66"/>
      <c r="N7" s="66"/>
      <c r="O7" s="66"/>
    </row>
    <row r="8" spans="1:16" s="67" customFormat="1" ht="12.75">
      <c r="A8" s="365"/>
      <c r="B8" s="553"/>
      <c r="C8" s="576"/>
      <c r="D8" s="576"/>
      <c r="E8" s="576"/>
      <c r="F8" s="576"/>
      <c r="G8" s="552"/>
      <c r="H8" s="552"/>
      <c r="I8" s="330"/>
      <c r="J8" s="130"/>
      <c r="K8" s="128"/>
      <c r="L8" s="128"/>
      <c r="M8" s="66"/>
      <c r="N8" s="66"/>
      <c r="O8" s="66"/>
    </row>
    <row r="9" spans="1:16" s="120" customFormat="1" ht="22.5">
      <c r="A9" s="118" t="s">
        <v>12</v>
      </c>
      <c r="B9" s="612" t="s">
        <v>11</v>
      </c>
      <c r="C9" s="119" t="s">
        <v>279</v>
      </c>
      <c r="D9" s="119" t="s">
        <v>10</v>
      </c>
      <c r="E9" s="119" t="s">
        <v>8995</v>
      </c>
      <c r="F9" s="119" t="s">
        <v>8996</v>
      </c>
      <c r="G9" s="119" t="s">
        <v>8997</v>
      </c>
      <c r="H9" s="119" t="s">
        <v>8998</v>
      </c>
      <c r="I9" s="119" t="s">
        <v>8999</v>
      </c>
      <c r="J9" s="123"/>
      <c r="K9" s="123"/>
      <c r="L9" s="123"/>
    </row>
    <row r="10" spans="1:16" s="121" customFormat="1" ht="11.25">
      <c r="A10" s="173"/>
      <c r="B10" s="613"/>
      <c r="C10" s="180"/>
      <c r="D10" s="180"/>
      <c r="E10" s="180"/>
      <c r="F10" s="180"/>
      <c r="G10" s="180"/>
      <c r="H10" s="180"/>
      <c r="I10" s="180"/>
      <c r="J10" s="124"/>
      <c r="K10" s="124"/>
      <c r="L10" s="124"/>
    </row>
    <row r="11" spans="1:16" s="122" customFormat="1" ht="22.5">
      <c r="A11" s="366" t="s">
        <v>18211</v>
      </c>
      <c r="B11" s="626" t="s">
        <v>18217</v>
      </c>
      <c r="C11" s="369">
        <f>MIN(E13:I13)</f>
        <v>450</v>
      </c>
      <c r="D11" s="370" t="s">
        <v>109</v>
      </c>
      <c r="E11" s="486" t="s">
        <v>18212</v>
      </c>
      <c r="F11" s="486" t="s">
        <v>18214</v>
      </c>
      <c r="G11" s="486" t="s">
        <v>15269</v>
      </c>
      <c r="H11" s="486"/>
      <c r="I11" s="486"/>
      <c r="J11" s="125" t="s">
        <v>207</v>
      </c>
      <c r="K11" s="125"/>
      <c r="L11" s="125"/>
    </row>
    <row r="12" spans="1:16" s="122" customFormat="1" ht="11.25">
      <c r="A12" s="361"/>
      <c r="B12" s="615"/>
      <c r="C12" s="367" t="s">
        <v>284</v>
      </c>
      <c r="D12" s="848"/>
      <c r="E12" s="487"/>
      <c r="F12" s="487"/>
      <c r="G12" s="487"/>
      <c r="H12" s="487"/>
      <c r="I12" s="487"/>
      <c r="J12" s="125" t="s">
        <v>283</v>
      </c>
      <c r="K12" s="125" t="s">
        <v>280</v>
      </c>
      <c r="L12" s="125" t="s">
        <v>281</v>
      </c>
    </row>
    <row r="13" spans="1:16" s="122" customFormat="1" ht="11.25">
      <c r="A13" s="362"/>
      <c r="B13" s="616"/>
      <c r="C13" s="367" t="s">
        <v>9</v>
      </c>
      <c r="D13" s="849"/>
      <c r="E13" s="84">
        <f>2400/4</f>
        <v>600</v>
      </c>
      <c r="F13" s="488">
        <f>1800/4</f>
        <v>450</v>
      </c>
      <c r="G13" s="84">
        <f>3500/4</f>
        <v>875</v>
      </c>
      <c r="H13" s="84"/>
      <c r="I13" s="84"/>
      <c r="J13" s="125">
        <f>MEDIAN(E13:I13)</f>
        <v>600</v>
      </c>
      <c r="K13" s="125">
        <f>J13*1.3</f>
        <v>780</v>
      </c>
      <c r="L13" s="125">
        <f>J13*0.7</f>
        <v>420</v>
      </c>
    </row>
    <row r="14" spans="1:16" s="122" customFormat="1" ht="11.25">
      <c r="A14" s="362"/>
      <c r="B14" s="616"/>
      <c r="C14" s="367" t="s">
        <v>8</v>
      </c>
      <c r="D14" s="849"/>
      <c r="E14" s="751"/>
      <c r="F14" s="487"/>
      <c r="G14" s="751"/>
      <c r="H14" s="487"/>
      <c r="I14" s="487"/>
      <c r="J14" s="125"/>
      <c r="K14" s="125"/>
      <c r="L14" s="125"/>
    </row>
    <row r="15" spans="1:16" s="122" customFormat="1" ht="11.25">
      <c r="A15" s="362"/>
      <c r="B15" s="616"/>
      <c r="C15" s="367" t="s">
        <v>7</v>
      </c>
      <c r="D15" s="849"/>
      <c r="E15" s="489" t="s">
        <v>18213</v>
      </c>
      <c r="F15" s="489" t="s">
        <v>18215</v>
      </c>
      <c r="G15" s="489" t="s">
        <v>18216</v>
      </c>
      <c r="H15" s="489"/>
      <c r="I15" s="489"/>
      <c r="J15" s="125"/>
      <c r="K15" s="125"/>
      <c r="L15" s="125"/>
    </row>
    <row r="16" spans="1:16" s="122" customFormat="1" ht="11.25">
      <c r="A16" s="362"/>
      <c r="B16" s="616"/>
      <c r="C16" s="367" t="s">
        <v>6</v>
      </c>
      <c r="D16" s="849"/>
      <c r="E16" s="490">
        <v>44329</v>
      </c>
      <c r="F16" s="490">
        <v>44329</v>
      </c>
      <c r="G16" s="490">
        <v>44329</v>
      </c>
      <c r="H16" s="490"/>
      <c r="I16" s="490"/>
      <c r="J16" s="125"/>
      <c r="K16" s="125"/>
      <c r="L16" s="125"/>
    </row>
    <row r="17" spans="1:12" s="122" customFormat="1" ht="11.25">
      <c r="A17" s="363"/>
      <c r="B17" s="617"/>
      <c r="C17" s="367" t="s">
        <v>8993</v>
      </c>
      <c r="D17" s="850"/>
      <c r="E17" s="490"/>
      <c r="F17" s="490"/>
      <c r="G17" s="490"/>
      <c r="H17" s="490"/>
      <c r="I17" s="490"/>
      <c r="J17" s="125"/>
      <c r="K17" s="125"/>
      <c r="L17" s="125"/>
    </row>
    <row r="18" spans="1:12" s="121" customFormat="1" ht="11.25">
      <c r="A18" s="173"/>
      <c r="B18" s="613"/>
      <c r="C18" s="180"/>
      <c r="D18" s="180"/>
      <c r="E18" s="180"/>
      <c r="F18" s="180"/>
      <c r="G18" s="180"/>
      <c r="H18" s="180"/>
      <c r="I18" s="180"/>
      <c r="J18" s="124"/>
      <c r="K18" s="124"/>
      <c r="L18" s="124"/>
    </row>
    <row r="19" spans="1:12" s="122" customFormat="1" ht="11.25">
      <c r="A19" s="366" t="s">
        <v>17424</v>
      </c>
      <c r="B19" s="626" t="s">
        <v>17425</v>
      </c>
      <c r="C19" s="369">
        <f>MIN(E21:I21)</f>
        <v>1493.5</v>
      </c>
      <c r="D19" s="370" t="s">
        <v>109</v>
      </c>
      <c r="E19" s="486" t="s">
        <v>14756</v>
      </c>
      <c r="F19" s="486" t="s">
        <v>17427</v>
      </c>
      <c r="G19" s="486" t="s">
        <v>14925</v>
      </c>
      <c r="H19" s="486" t="s">
        <v>18219</v>
      </c>
      <c r="I19" s="486"/>
      <c r="J19" s="125" t="s">
        <v>207</v>
      </c>
      <c r="K19" s="125"/>
      <c r="L19" s="125"/>
    </row>
    <row r="20" spans="1:12" s="122" customFormat="1" ht="22.5">
      <c r="A20" s="361"/>
      <c r="B20" s="615"/>
      <c r="C20" s="367" t="s">
        <v>284</v>
      </c>
      <c r="D20" s="848"/>
      <c r="E20" s="487" t="s">
        <v>14757</v>
      </c>
      <c r="F20" s="487" t="s">
        <v>17430</v>
      </c>
      <c r="G20" s="487" t="s">
        <v>17431</v>
      </c>
      <c r="H20" s="675">
        <v>821</v>
      </c>
      <c r="I20" s="487"/>
      <c r="J20" s="125" t="s">
        <v>283</v>
      </c>
      <c r="K20" s="125" t="s">
        <v>280</v>
      </c>
      <c r="L20" s="125" t="s">
        <v>281</v>
      </c>
    </row>
    <row r="21" spans="1:12" s="122" customFormat="1" ht="11.25">
      <c r="A21" s="362"/>
      <c r="B21" s="616"/>
      <c r="C21" s="367" t="s">
        <v>9</v>
      </c>
      <c r="D21" s="849"/>
      <c r="E21" s="84">
        <v>2131.1999999999998</v>
      </c>
      <c r="F21" s="488">
        <v>1779.9</v>
      </c>
      <c r="G21" s="84">
        <v>1801.45</v>
      </c>
      <c r="H21" s="84">
        <v>1493.5</v>
      </c>
      <c r="I21" s="84"/>
      <c r="J21" s="125">
        <f>MEDIAN(E21:I21)</f>
        <v>1790.6750000000002</v>
      </c>
      <c r="K21" s="125">
        <f>J21*1.3</f>
        <v>2327.8775000000005</v>
      </c>
      <c r="L21" s="125">
        <f>J21*0.7</f>
        <v>1253.4725000000001</v>
      </c>
    </row>
    <row r="22" spans="1:12" s="122" customFormat="1" ht="11.25">
      <c r="A22" s="362"/>
      <c r="B22" s="616"/>
      <c r="C22" s="367" t="s">
        <v>8</v>
      </c>
      <c r="D22" s="849"/>
      <c r="E22" s="751" t="s">
        <v>14758</v>
      </c>
      <c r="F22" s="487" t="s">
        <v>17428</v>
      </c>
      <c r="G22" s="751" t="s">
        <v>14926</v>
      </c>
      <c r="H22" s="487"/>
      <c r="I22" s="487"/>
      <c r="J22" s="125"/>
      <c r="K22" s="125"/>
      <c r="L22" s="125"/>
    </row>
    <row r="23" spans="1:12" s="122" customFormat="1" ht="11.25">
      <c r="A23" s="362"/>
      <c r="B23" s="616"/>
      <c r="C23" s="367" t="s">
        <v>7</v>
      </c>
      <c r="D23" s="849"/>
      <c r="E23" s="489" t="s">
        <v>14759</v>
      </c>
      <c r="F23" s="489" t="s">
        <v>17429</v>
      </c>
      <c r="G23" s="489" t="s">
        <v>14927</v>
      </c>
      <c r="H23" s="489"/>
      <c r="I23" s="489"/>
      <c r="J23" s="125"/>
      <c r="K23" s="125"/>
      <c r="L23" s="125"/>
    </row>
    <row r="24" spans="1:12" s="122" customFormat="1" ht="11.25">
      <c r="A24" s="362"/>
      <c r="B24" s="616"/>
      <c r="C24" s="367" t="s">
        <v>6</v>
      </c>
      <c r="D24" s="849"/>
      <c r="E24" s="490">
        <v>44312</v>
      </c>
      <c r="F24" s="490">
        <v>44312</v>
      </c>
      <c r="G24" s="490">
        <v>44312</v>
      </c>
      <c r="H24" s="490">
        <v>44236</v>
      </c>
      <c r="I24" s="490"/>
      <c r="J24" s="125"/>
      <c r="K24" s="125"/>
      <c r="L24" s="125"/>
    </row>
    <row r="25" spans="1:12" s="122" customFormat="1" ht="11.25">
      <c r="A25" s="363"/>
      <c r="B25" s="617"/>
      <c r="C25" s="367" t="s">
        <v>8993</v>
      </c>
      <c r="D25" s="850"/>
      <c r="E25" s="490" t="s">
        <v>17426</v>
      </c>
      <c r="F25" s="490" t="s">
        <v>17426</v>
      </c>
      <c r="G25" s="490" t="s">
        <v>17426</v>
      </c>
      <c r="H25" s="490" t="s">
        <v>18220</v>
      </c>
      <c r="I25" s="490"/>
      <c r="J25" s="125"/>
      <c r="K25" s="125"/>
      <c r="L25" s="125"/>
    </row>
    <row r="26" spans="1:12" s="121" customFormat="1" ht="11.25">
      <c r="A26" s="173"/>
      <c r="B26" s="613"/>
      <c r="C26" s="180"/>
      <c r="D26" s="180"/>
      <c r="E26" s="180"/>
      <c r="F26" s="180"/>
      <c r="G26" s="180"/>
      <c r="H26" s="180"/>
      <c r="I26" s="180"/>
      <c r="J26" s="124"/>
      <c r="K26" s="124"/>
      <c r="L26" s="124"/>
    </row>
    <row r="27" spans="1:12" s="122" customFormat="1" ht="11.25">
      <c r="A27" s="366" t="s">
        <v>24786</v>
      </c>
      <c r="B27" s="626" t="s">
        <v>24787</v>
      </c>
      <c r="C27" s="369">
        <f>MIN(E29:I29)</f>
        <v>9</v>
      </c>
      <c r="D27" s="370" t="s">
        <v>4</v>
      </c>
      <c r="E27" s="486" t="s">
        <v>24815</v>
      </c>
      <c r="F27" s="486" t="s">
        <v>24820</v>
      </c>
      <c r="G27" s="486" t="s">
        <v>24824</v>
      </c>
      <c r="H27" s="486"/>
      <c r="I27" s="486"/>
      <c r="J27" s="125" t="s">
        <v>207</v>
      </c>
      <c r="K27" s="125"/>
      <c r="L27" s="125"/>
    </row>
    <row r="28" spans="1:12" s="122" customFormat="1" ht="22.5">
      <c r="A28" s="361"/>
      <c r="B28" s="615"/>
      <c r="C28" s="367" t="s">
        <v>284</v>
      </c>
      <c r="D28" s="848"/>
      <c r="E28" s="487" t="s">
        <v>24814</v>
      </c>
      <c r="F28" s="487" t="s">
        <v>24819</v>
      </c>
      <c r="G28" s="487" t="s">
        <v>24823</v>
      </c>
      <c r="H28" s="675"/>
      <c r="I28" s="487"/>
      <c r="J28" s="125" t="s">
        <v>283</v>
      </c>
      <c r="K28" s="125" t="s">
        <v>280</v>
      </c>
      <c r="L28" s="125" t="s">
        <v>281</v>
      </c>
    </row>
    <row r="29" spans="1:12" s="122" customFormat="1" ht="11.25">
      <c r="A29" s="362"/>
      <c r="B29" s="616"/>
      <c r="C29" s="367" t="s">
        <v>9</v>
      </c>
      <c r="D29" s="849"/>
      <c r="E29" s="84">
        <f>45/5</f>
        <v>9</v>
      </c>
      <c r="F29" s="488">
        <f>68.9/5</f>
        <v>13.780000000000001</v>
      </c>
      <c r="G29" s="84">
        <f>61.11/5</f>
        <v>12.222</v>
      </c>
      <c r="H29" s="84"/>
      <c r="I29" s="84"/>
      <c r="J29" s="125">
        <f>MEDIAN(E29:I29)</f>
        <v>12.222</v>
      </c>
      <c r="K29" s="125">
        <f>J29*1.3</f>
        <v>15.8886</v>
      </c>
      <c r="L29" s="125">
        <f>J29*0.7</f>
        <v>8.5553999999999988</v>
      </c>
    </row>
    <row r="30" spans="1:12" s="122" customFormat="1" ht="11.25">
      <c r="A30" s="362"/>
      <c r="B30" s="616"/>
      <c r="C30" s="367" t="s">
        <v>8</v>
      </c>
      <c r="D30" s="849"/>
      <c r="E30" s="751" t="s">
        <v>24817</v>
      </c>
      <c r="F30" s="487" t="s">
        <v>24821</v>
      </c>
      <c r="G30" s="751" t="s">
        <v>24825</v>
      </c>
      <c r="H30" s="487"/>
      <c r="I30" s="487"/>
      <c r="J30" s="125"/>
      <c r="K30" s="125"/>
      <c r="L30" s="125"/>
    </row>
    <row r="31" spans="1:12" s="122" customFormat="1" ht="11.25">
      <c r="A31" s="362"/>
      <c r="B31" s="616"/>
      <c r="C31" s="367" t="s">
        <v>7</v>
      </c>
      <c r="D31" s="849"/>
      <c r="E31" s="489" t="s">
        <v>24818</v>
      </c>
      <c r="F31" s="489" t="s">
        <v>24822</v>
      </c>
      <c r="G31" s="489" t="s">
        <v>24826</v>
      </c>
      <c r="H31" s="489"/>
      <c r="I31" s="489"/>
      <c r="J31" s="125"/>
      <c r="K31" s="125"/>
      <c r="L31" s="125"/>
    </row>
    <row r="32" spans="1:12" s="122" customFormat="1" ht="11.25">
      <c r="A32" s="362"/>
      <c r="B32" s="616"/>
      <c r="C32" s="367" t="s">
        <v>6</v>
      </c>
      <c r="D32" s="849"/>
      <c r="E32" s="490">
        <v>44386</v>
      </c>
      <c r="F32" s="490">
        <v>44386</v>
      </c>
      <c r="G32" s="490">
        <v>44386</v>
      </c>
      <c r="H32" s="490"/>
      <c r="I32" s="490"/>
      <c r="J32" s="125"/>
      <c r="K32" s="125"/>
      <c r="L32" s="125"/>
    </row>
    <row r="33" spans="1:12" s="122" customFormat="1" ht="11.25">
      <c r="A33" s="363"/>
      <c r="B33" s="617"/>
      <c r="C33" s="367" t="s">
        <v>8993</v>
      </c>
      <c r="D33" s="850"/>
      <c r="E33" s="490" t="s">
        <v>24816</v>
      </c>
      <c r="F33" s="490" t="s">
        <v>24816</v>
      </c>
      <c r="G33" s="490" t="s">
        <v>24816</v>
      </c>
      <c r="H33" s="490"/>
      <c r="I33" s="490"/>
      <c r="J33" s="125"/>
      <c r="K33" s="125"/>
      <c r="L33" s="125"/>
    </row>
    <row r="34" spans="1:12" s="121" customFormat="1" ht="11.25">
      <c r="A34" s="173"/>
      <c r="B34" s="613"/>
      <c r="C34" s="180"/>
      <c r="D34" s="180"/>
      <c r="E34" s="180"/>
      <c r="F34" s="180"/>
      <c r="G34" s="180"/>
      <c r="H34" s="180"/>
      <c r="I34" s="180"/>
      <c r="J34" s="124"/>
      <c r="K34" s="124"/>
      <c r="L34" s="124"/>
    </row>
    <row r="35" spans="1:12" s="122" customFormat="1" ht="22.5">
      <c r="A35" s="366" t="s">
        <v>15283</v>
      </c>
      <c r="B35" s="626" t="s">
        <v>17482</v>
      </c>
      <c r="C35" s="369">
        <f>MIN(E37:I37)</f>
        <v>47.88</v>
      </c>
      <c r="D35" s="370" t="s">
        <v>109</v>
      </c>
      <c r="E35" s="486" t="s">
        <v>17472</v>
      </c>
      <c r="F35" s="486" t="s">
        <v>17477</v>
      </c>
      <c r="G35" s="486" t="s">
        <v>18152</v>
      </c>
      <c r="H35" s="486"/>
      <c r="I35" s="486"/>
      <c r="J35" s="125" t="s">
        <v>207</v>
      </c>
      <c r="K35" s="125"/>
      <c r="L35" s="125"/>
    </row>
    <row r="36" spans="1:12" s="122" customFormat="1" ht="22.5">
      <c r="A36" s="361"/>
      <c r="B36" s="615"/>
      <c r="C36" s="367" t="s">
        <v>284</v>
      </c>
      <c r="D36" s="848"/>
      <c r="E36" s="487" t="s">
        <v>17475</v>
      </c>
      <c r="F36" s="487" t="s">
        <v>17479</v>
      </c>
      <c r="G36" s="487" t="s">
        <v>18153</v>
      </c>
      <c r="H36" s="487"/>
      <c r="I36" s="487"/>
      <c r="J36" s="125" t="s">
        <v>283</v>
      </c>
      <c r="K36" s="125" t="s">
        <v>280</v>
      </c>
      <c r="L36" s="125" t="s">
        <v>281</v>
      </c>
    </row>
    <row r="37" spans="1:12" s="122" customFormat="1" ht="11.25">
      <c r="A37" s="362"/>
      <c r="B37" s="616"/>
      <c r="C37" s="367" t="s">
        <v>9</v>
      </c>
      <c r="D37" s="849"/>
      <c r="E37" s="488">
        <v>47.88</v>
      </c>
      <c r="F37" s="84">
        <v>54</v>
      </c>
      <c r="G37" s="84">
        <v>60</v>
      </c>
      <c r="H37" s="84"/>
      <c r="I37" s="84"/>
      <c r="J37" s="125">
        <f>MEDIAN(E37:I37)</f>
        <v>54</v>
      </c>
      <c r="K37" s="125">
        <f>J37*1.3</f>
        <v>70.2</v>
      </c>
      <c r="L37" s="125">
        <f>J37*0.7</f>
        <v>37.799999999999997</v>
      </c>
    </row>
    <row r="38" spans="1:12" s="122" customFormat="1" ht="11.25">
      <c r="A38" s="362"/>
      <c r="B38" s="616"/>
      <c r="C38" s="367" t="s">
        <v>8</v>
      </c>
      <c r="D38" s="849"/>
      <c r="E38" s="487" t="s">
        <v>17474</v>
      </c>
      <c r="F38" s="487" t="s">
        <v>17481</v>
      </c>
      <c r="G38" s="751" t="s">
        <v>18154</v>
      </c>
      <c r="H38" s="487"/>
      <c r="I38" s="487"/>
      <c r="J38" s="125"/>
      <c r="K38" s="125"/>
      <c r="L38" s="125"/>
    </row>
    <row r="39" spans="1:12" s="122" customFormat="1" ht="11.25">
      <c r="A39" s="362"/>
      <c r="B39" s="616"/>
      <c r="C39" s="367" t="s">
        <v>7</v>
      </c>
      <c r="D39" s="849"/>
      <c r="E39" s="489" t="s">
        <v>17473</v>
      </c>
      <c r="F39" s="489" t="s">
        <v>17480</v>
      </c>
      <c r="G39" s="489" t="s">
        <v>18155</v>
      </c>
      <c r="H39" s="489"/>
      <c r="I39" s="489"/>
      <c r="J39" s="125"/>
      <c r="K39" s="125"/>
      <c r="L39" s="125"/>
    </row>
    <row r="40" spans="1:12" s="122" customFormat="1" ht="11.25">
      <c r="A40" s="362"/>
      <c r="B40" s="616"/>
      <c r="C40" s="367" t="s">
        <v>6</v>
      </c>
      <c r="D40" s="849"/>
      <c r="E40" s="490">
        <v>44320</v>
      </c>
      <c r="F40" s="490">
        <v>44320</v>
      </c>
      <c r="G40" s="490">
        <v>44328</v>
      </c>
      <c r="H40" s="490"/>
      <c r="I40" s="490"/>
      <c r="J40" s="125"/>
      <c r="K40" s="125"/>
      <c r="L40" s="125"/>
    </row>
    <row r="41" spans="1:12" s="122" customFormat="1" ht="11.25">
      <c r="A41" s="363"/>
      <c r="B41" s="617"/>
      <c r="C41" s="367" t="s">
        <v>8993</v>
      </c>
      <c r="D41" s="850"/>
      <c r="E41" s="490" t="s">
        <v>17476</v>
      </c>
      <c r="F41" s="490" t="s">
        <v>17478</v>
      </c>
      <c r="G41" s="490" t="s">
        <v>18156</v>
      </c>
      <c r="H41" s="490"/>
      <c r="I41" s="490"/>
      <c r="J41" s="125"/>
      <c r="K41" s="125"/>
      <c r="L41" s="125"/>
    </row>
    <row r="42" spans="1:12" s="121" customFormat="1" ht="11.25">
      <c r="A42" s="173"/>
      <c r="B42" s="613"/>
      <c r="C42" s="180"/>
      <c r="D42" s="180"/>
      <c r="E42" s="180"/>
      <c r="F42" s="180"/>
      <c r="G42" s="180"/>
      <c r="H42" s="180"/>
      <c r="I42" s="180"/>
      <c r="J42" s="124"/>
      <c r="K42" s="124"/>
      <c r="L42" s="124"/>
    </row>
    <row r="43" spans="1:12" s="122" customFormat="1" ht="22.5">
      <c r="A43" s="366" t="s">
        <v>15295</v>
      </c>
      <c r="B43" s="626" t="s">
        <v>17483</v>
      </c>
      <c r="C43" s="369">
        <f>MIN(E45:I45)</f>
        <v>112.02</v>
      </c>
      <c r="D43" s="370" t="s">
        <v>109</v>
      </c>
      <c r="E43" s="486" t="s">
        <v>17472</v>
      </c>
      <c r="F43" s="486" t="s">
        <v>17477</v>
      </c>
      <c r="G43" s="486" t="s">
        <v>18152</v>
      </c>
      <c r="H43" s="486" t="s">
        <v>18219</v>
      </c>
      <c r="I43" s="486"/>
      <c r="J43" s="125" t="s">
        <v>207</v>
      </c>
      <c r="K43" s="125"/>
      <c r="L43" s="125"/>
    </row>
    <row r="44" spans="1:12" s="122" customFormat="1" ht="22.5">
      <c r="A44" s="361"/>
      <c r="B44" s="615"/>
      <c r="C44" s="367" t="s">
        <v>284</v>
      </c>
      <c r="D44" s="848"/>
      <c r="E44" s="487" t="s">
        <v>17475</v>
      </c>
      <c r="F44" s="487" t="s">
        <v>17479</v>
      </c>
      <c r="G44" s="487" t="s">
        <v>18153</v>
      </c>
      <c r="H44" s="675" t="s">
        <v>18221</v>
      </c>
      <c r="I44" s="487"/>
      <c r="J44" s="125" t="s">
        <v>283</v>
      </c>
      <c r="K44" s="125" t="s">
        <v>280</v>
      </c>
      <c r="L44" s="125" t="s">
        <v>281</v>
      </c>
    </row>
    <row r="45" spans="1:12" s="122" customFormat="1" ht="11.25">
      <c r="A45" s="362"/>
      <c r="B45" s="616"/>
      <c r="C45" s="367" t="s">
        <v>9</v>
      </c>
      <c r="D45" s="849"/>
      <c r="E45" s="488">
        <v>123.06</v>
      </c>
      <c r="F45" s="84">
        <v>127.6</v>
      </c>
      <c r="G45" s="84">
        <v>150</v>
      </c>
      <c r="H45" s="84">
        <v>112.02</v>
      </c>
      <c r="I45" s="84"/>
      <c r="J45" s="125">
        <f>MEDIAN(E45:I45)</f>
        <v>125.33</v>
      </c>
      <c r="K45" s="125">
        <f>J45*1.3</f>
        <v>162.929</v>
      </c>
      <c r="L45" s="125">
        <f>J45*0.7</f>
        <v>87.730999999999995</v>
      </c>
    </row>
    <row r="46" spans="1:12" s="122" customFormat="1" ht="11.25">
      <c r="A46" s="362"/>
      <c r="B46" s="616"/>
      <c r="C46" s="367" t="s">
        <v>8</v>
      </c>
      <c r="D46" s="849"/>
      <c r="E46" s="487" t="s">
        <v>17474</v>
      </c>
      <c r="F46" s="487" t="s">
        <v>17481</v>
      </c>
      <c r="G46" s="751" t="s">
        <v>18154</v>
      </c>
      <c r="H46" s="487"/>
      <c r="I46" s="487"/>
      <c r="J46" s="125"/>
      <c r="K46" s="125"/>
      <c r="L46" s="125"/>
    </row>
    <row r="47" spans="1:12" s="122" customFormat="1" ht="11.25">
      <c r="A47" s="362"/>
      <c r="B47" s="616"/>
      <c r="C47" s="367" t="s">
        <v>7</v>
      </c>
      <c r="D47" s="849"/>
      <c r="E47" s="489" t="s">
        <v>17473</v>
      </c>
      <c r="F47" s="489" t="s">
        <v>17480</v>
      </c>
      <c r="G47" s="489" t="s">
        <v>18155</v>
      </c>
      <c r="H47" s="489"/>
      <c r="I47" s="489"/>
      <c r="J47" s="125"/>
      <c r="K47" s="125"/>
      <c r="L47" s="125"/>
    </row>
    <row r="48" spans="1:12" s="122" customFormat="1" ht="11.25">
      <c r="A48" s="362"/>
      <c r="B48" s="616"/>
      <c r="C48" s="367" t="s">
        <v>6</v>
      </c>
      <c r="D48" s="849"/>
      <c r="E48" s="490">
        <v>44320</v>
      </c>
      <c r="F48" s="490">
        <v>44320</v>
      </c>
      <c r="G48" s="490">
        <v>44328</v>
      </c>
      <c r="H48" s="490">
        <v>44151</v>
      </c>
      <c r="I48" s="490"/>
      <c r="J48" s="125"/>
      <c r="K48" s="125"/>
      <c r="L48" s="125"/>
    </row>
    <row r="49" spans="1:12" s="122" customFormat="1" ht="11.25">
      <c r="A49" s="363"/>
      <c r="B49" s="617"/>
      <c r="C49" s="367" t="s">
        <v>8993</v>
      </c>
      <c r="D49" s="850"/>
      <c r="E49" s="490" t="s">
        <v>17485</v>
      </c>
      <c r="F49" s="490" t="s">
        <v>17484</v>
      </c>
      <c r="G49" s="490" t="s">
        <v>18156</v>
      </c>
      <c r="H49" s="490" t="s">
        <v>18220</v>
      </c>
      <c r="I49" s="490"/>
      <c r="J49" s="125"/>
      <c r="K49" s="125"/>
      <c r="L49" s="125"/>
    </row>
    <row r="50" spans="1:12" s="121" customFormat="1" ht="11.25">
      <c r="A50" s="173"/>
      <c r="B50" s="613"/>
      <c r="C50" s="180"/>
      <c r="D50" s="180"/>
      <c r="E50" s="180"/>
      <c r="F50" s="180"/>
      <c r="G50" s="180"/>
      <c r="H50" s="180"/>
      <c r="I50" s="180"/>
      <c r="J50" s="124"/>
      <c r="K50" s="124"/>
      <c r="L50" s="124"/>
    </row>
    <row r="51" spans="1:12" s="122" customFormat="1" ht="22.5">
      <c r="A51" s="366" t="s">
        <v>15301</v>
      </c>
      <c r="B51" s="626" t="s">
        <v>17486</v>
      </c>
      <c r="C51" s="369">
        <f>MIN(E53:I53)</f>
        <v>6.52</v>
      </c>
      <c r="D51" s="370" t="s">
        <v>109</v>
      </c>
      <c r="E51" s="486" t="s">
        <v>17472</v>
      </c>
      <c r="F51" s="486" t="s">
        <v>17477</v>
      </c>
      <c r="G51" s="486" t="s">
        <v>18152</v>
      </c>
      <c r="H51" s="486" t="s">
        <v>18219</v>
      </c>
      <c r="I51" s="486"/>
      <c r="J51" s="125" t="s">
        <v>207</v>
      </c>
      <c r="K51" s="125"/>
      <c r="L51" s="125"/>
    </row>
    <row r="52" spans="1:12" s="122" customFormat="1" ht="22.5">
      <c r="A52" s="361"/>
      <c r="B52" s="615"/>
      <c r="C52" s="367" t="s">
        <v>284</v>
      </c>
      <c r="D52" s="848"/>
      <c r="E52" s="487" t="s">
        <v>17475</v>
      </c>
      <c r="F52" s="487" t="s">
        <v>17479</v>
      </c>
      <c r="G52" s="487" t="s">
        <v>18153</v>
      </c>
      <c r="H52" s="675" t="s">
        <v>18221</v>
      </c>
      <c r="I52" s="487"/>
      <c r="J52" s="125" t="s">
        <v>283</v>
      </c>
      <c r="K52" s="125" t="s">
        <v>280</v>
      </c>
      <c r="L52" s="125" t="s">
        <v>281</v>
      </c>
    </row>
    <row r="53" spans="1:12" s="122" customFormat="1" ht="11.25">
      <c r="A53" s="362"/>
      <c r="B53" s="616"/>
      <c r="C53" s="367" t="s">
        <v>9</v>
      </c>
      <c r="D53" s="849"/>
      <c r="E53" s="488">
        <v>7.76</v>
      </c>
      <c r="F53" s="84">
        <v>9.35</v>
      </c>
      <c r="G53" s="84">
        <v>10</v>
      </c>
      <c r="H53" s="84">
        <v>6.52</v>
      </c>
      <c r="I53" s="84"/>
      <c r="J53" s="125">
        <f>MEDIAN(E53:I53)</f>
        <v>8.5549999999999997</v>
      </c>
      <c r="K53" s="125">
        <f>J53*1.3</f>
        <v>11.121499999999999</v>
      </c>
      <c r="L53" s="125">
        <f>J53*0.7</f>
        <v>5.9884999999999993</v>
      </c>
    </row>
    <row r="54" spans="1:12" s="122" customFormat="1" ht="11.25">
      <c r="A54" s="362"/>
      <c r="B54" s="616"/>
      <c r="C54" s="367" t="s">
        <v>8</v>
      </c>
      <c r="D54" s="849"/>
      <c r="E54" s="487" t="s">
        <v>17474</v>
      </c>
      <c r="F54" s="487" t="s">
        <v>17481</v>
      </c>
      <c r="G54" s="751" t="s">
        <v>18154</v>
      </c>
      <c r="H54" s="487"/>
      <c r="I54" s="487"/>
      <c r="J54" s="125"/>
      <c r="K54" s="125"/>
      <c r="L54" s="125"/>
    </row>
    <row r="55" spans="1:12" s="122" customFormat="1" ht="11.25">
      <c r="A55" s="362"/>
      <c r="B55" s="616"/>
      <c r="C55" s="367" t="s">
        <v>7</v>
      </c>
      <c r="D55" s="849"/>
      <c r="E55" s="489" t="s">
        <v>17473</v>
      </c>
      <c r="F55" s="489" t="s">
        <v>17480</v>
      </c>
      <c r="G55" s="489" t="s">
        <v>18155</v>
      </c>
      <c r="H55" s="489"/>
      <c r="I55" s="489"/>
      <c r="J55" s="125"/>
      <c r="K55" s="125"/>
      <c r="L55" s="125"/>
    </row>
    <row r="56" spans="1:12" s="122" customFormat="1" ht="11.25">
      <c r="A56" s="362"/>
      <c r="B56" s="616"/>
      <c r="C56" s="367" t="s">
        <v>6</v>
      </c>
      <c r="D56" s="849"/>
      <c r="E56" s="490">
        <v>44320</v>
      </c>
      <c r="F56" s="490">
        <v>44320</v>
      </c>
      <c r="G56" s="490">
        <v>44328</v>
      </c>
      <c r="H56" s="490">
        <v>44151</v>
      </c>
      <c r="I56" s="490"/>
      <c r="J56" s="125"/>
      <c r="K56" s="125"/>
      <c r="L56" s="125"/>
    </row>
    <row r="57" spans="1:12" s="122" customFormat="1" ht="11.25">
      <c r="A57" s="363"/>
      <c r="B57" s="617"/>
      <c r="C57" s="367" t="s">
        <v>8993</v>
      </c>
      <c r="D57" s="850"/>
      <c r="E57" s="490" t="s">
        <v>17487</v>
      </c>
      <c r="F57" s="490" t="s">
        <v>17488</v>
      </c>
      <c r="G57" s="490" t="s">
        <v>18156</v>
      </c>
      <c r="H57" s="490" t="s">
        <v>18220</v>
      </c>
      <c r="I57" s="490"/>
      <c r="J57" s="125"/>
      <c r="K57" s="125"/>
      <c r="L57" s="125"/>
    </row>
    <row r="58" spans="1:12" s="121" customFormat="1" ht="11.25">
      <c r="A58" s="173"/>
      <c r="B58" s="613"/>
      <c r="C58" s="180"/>
      <c r="D58" s="180"/>
      <c r="E58" s="180"/>
      <c r="F58" s="180"/>
      <c r="G58" s="180"/>
      <c r="H58" s="180"/>
      <c r="I58" s="180"/>
      <c r="J58" s="124"/>
      <c r="K58" s="124"/>
      <c r="L58" s="124"/>
    </row>
    <row r="59" spans="1:12" s="122" customFormat="1" ht="22.5">
      <c r="A59" s="366" t="s">
        <v>15309</v>
      </c>
      <c r="B59" s="626" t="s">
        <v>17489</v>
      </c>
      <c r="C59" s="369">
        <f>MIN(E61:I61)</f>
        <v>27.79</v>
      </c>
      <c r="D59" s="370" t="s">
        <v>109</v>
      </c>
      <c r="E59" s="486" t="s">
        <v>17472</v>
      </c>
      <c r="F59" s="486" t="s">
        <v>17477</v>
      </c>
      <c r="G59" s="486" t="s">
        <v>18152</v>
      </c>
      <c r="H59" s="486"/>
      <c r="I59" s="486"/>
      <c r="J59" s="125" t="s">
        <v>207</v>
      </c>
      <c r="K59" s="125"/>
      <c r="L59" s="125"/>
    </row>
    <row r="60" spans="1:12" s="122" customFormat="1" ht="22.5">
      <c r="A60" s="361"/>
      <c r="B60" s="615"/>
      <c r="C60" s="367" t="s">
        <v>284</v>
      </c>
      <c r="D60" s="848"/>
      <c r="E60" s="487" t="s">
        <v>17475</v>
      </c>
      <c r="F60" s="487" t="s">
        <v>17479</v>
      </c>
      <c r="G60" s="487" t="s">
        <v>18153</v>
      </c>
      <c r="H60" s="487"/>
      <c r="I60" s="487"/>
      <c r="J60" s="125" t="s">
        <v>283</v>
      </c>
      <c r="K60" s="125" t="s">
        <v>280</v>
      </c>
      <c r="L60" s="125" t="s">
        <v>281</v>
      </c>
    </row>
    <row r="61" spans="1:12" s="122" customFormat="1" ht="11.25">
      <c r="A61" s="362"/>
      <c r="B61" s="616"/>
      <c r="C61" s="367" t="s">
        <v>9</v>
      </c>
      <c r="D61" s="849"/>
      <c r="E61" s="488">
        <v>27.79</v>
      </c>
      <c r="F61" s="84">
        <v>32.200000000000003</v>
      </c>
      <c r="G61" s="84">
        <v>34</v>
      </c>
      <c r="H61" s="84"/>
      <c r="I61" s="84"/>
      <c r="J61" s="125">
        <f>MEDIAN(E61:I61)</f>
        <v>32.200000000000003</v>
      </c>
      <c r="K61" s="125">
        <f>J61*1.3</f>
        <v>41.860000000000007</v>
      </c>
      <c r="L61" s="125">
        <f>J61*0.7</f>
        <v>22.54</v>
      </c>
    </row>
    <row r="62" spans="1:12" s="122" customFormat="1" ht="11.25">
      <c r="A62" s="362"/>
      <c r="B62" s="616"/>
      <c r="C62" s="367" t="s">
        <v>8</v>
      </c>
      <c r="D62" s="849"/>
      <c r="E62" s="487" t="s">
        <v>17474</v>
      </c>
      <c r="F62" s="487" t="s">
        <v>17481</v>
      </c>
      <c r="G62" s="751" t="s">
        <v>18154</v>
      </c>
      <c r="H62" s="487"/>
      <c r="I62" s="487"/>
      <c r="J62" s="125"/>
      <c r="K62" s="125"/>
      <c r="L62" s="125"/>
    </row>
    <row r="63" spans="1:12" s="122" customFormat="1" ht="11.25">
      <c r="A63" s="362"/>
      <c r="B63" s="616"/>
      <c r="C63" s="367" t="s">
        <v>7</v>
      </c>
      <c r="D63" s="849"/>
      <c r="E63" s="489" t="s">
        <v>17473</v>
      </c>
      <c r="F63" s="489" t="s">
        <v>17480</v>
      </c>
      <c r="G63" s="489" t="s">
        <v>18155</v>
      </c>
      <c r="H63" s="489"/>
      <c r="I63" s="489"/>
      <c r="J63" s="125"/>
      <c r="K63" s="125"/>
      <c r="L63" s="125"/>
    </row>
    <row r="64" spans="1:12" s="122" customFormat="1" ht="11.25">
      <c r="A64" s="362"/>
      <c r="B64" s="616"/>
      <c r="C64" s="367" t="s">
        <v>6</v>
      </c>
      <c r="D64" s="849"/>
      <c r="E64" s="490">
        <v>44320</v>
      </c>
      <c r="F64" s="490">
        <v>44320</v>
      </c>
      <c r="G64" s="490">
        <v>44328</v>
      </c>
      <c r="H64" s="490"/>
      <c r="I64" s="490"/>
      <c r="J64" s="125"/>
      <c r="K64" s="125"/>
      <c r="L64" s="125"/>
    </row>
    <row r="65" spans="1:12" s="122" customFormat="1" ht="11.25">
      <c r="A65" s="363"/>
      <c r="B65" s="617"/>
      <c r="C65" s="367" t="s">
        <v>8993</v>
      </c>
      <c r="D65" s="850"/>
      <c r="E65" s="490" t="s">
        <v>17497</v>
      </c>
      <c r="F65" s="490" t="s">
        <v>17490</v>
      </c>
      <c r="G65" s="490" t="s">
        <v>18156</v>
      </c>
      <c r="H65" s="490"/>
      <c r="I65" s="490"/>
      <c r="J65" s="125"/>
      <c r="K65" s="125"/>
      <c r="L65" s="125"/>
    </row>
    <row r="66" spans="1:12" s="121" customFormat="1" ht="11.25">
      <c r="A66" s="173"/>
      <c r="B66" s="613"/>
      <c r="C66" s="180"/>
      <c r="D66" s="180"/>
      <c r="E66" s="180"/>
      <c r="F66" s="180"/>
      <c r="G66" s="180"/>
      <c r="H66" s="180"/>
      <c r="I66" s="180"/>
      <c r="J66" s="124"/>
      <c r="K66" s="124"/>
      <c r="L66" s="124"/>
    </row>
    <row r="67" spans="1:12" s="122" customFormat="1" ht="22.5">
      <c r="A67" s="366" t="s">
        <v>15311</v>
      </c>
      <c r="B67" s="626" t="s">
        <v>17492</v>
      </c>
      <c r="C67" s="369">
        <f>MIN(E69:I69)</f>
        <v>48.02</v>
      </c>
      <c r="D67" s="370" t="s">
        <v>109</v>
      </c>
      <c r="E67" s="486" t="s">
        <v>17472</v>
      </c>
      <c r="F67" s="486" t="s">
        <v>17477</v>
      </c>
      <c r="G67" s="486" t="s">
        <v>18152</v>
      </c>
      <c r="H67" s="486"/>
      <c r="I67" s="486"/>
      <c r="J67" s="125" t="s">
        <v>207</v>
      </c>
      <c r="K67" s="125"/>
      <c r="L67" s="125"/>
    </row>
    <row r="68" spans="1:12" s="122" customFormat="1" ht="22.5">
      <c r="A68" s="361"/>
      <c r="B68" s="615"/>
      <c r="C68" s="367" t="s">
        <v>284</v>
      </c>
      <c r="D68" s="848"/>
      <c r="E68" s="487" t="s">
        <v>17475</v>
      </c>
      <c r="F68" s="487" t="s">
        <v>17479</v>
      </c>
      <c r="G68" s="487" t="s">
        <v>18153</v>
      </c>
      <c r="H68" s="487"/>
      <c r="I68" s="487"/>
      <c r="J68" s="125" t="s">
        <v>283</v>
      </c>
      <c r="K68" s="125" t="s">
        <v>280</v>
      </c>
      <c r="L68" s="125" t="s">
        <v>281</v>
      </c>
    </row>
    <row r="69" spans="1:12" s="122" customFormat="1" ht="11.25">
      <c r="A69" s="362"/>
      <c r="B69" s="616"/>
      <c r="C69" s="367" t="s">
        <v>9</v>
      </c>
      <c r="D69" s="849"/>
      <c r="E69" s="488">
        <v>48.02</v>
      </c>
      <c r="F69" s="84">
        <v>61.6</v>
      </c>
      <c r="G69" s="84">
        <v>59</v>
      </c>
      <c r="H69" s="84"/>
      <c r="I69" s="84"/>
      <c r="J69" s="125">
        <f>MEDIAN(E69:I69)</f>
        <v>59</v>
      </c>
      <c r="K69" s="125">
        <f>J69*1.3</f>
        <v>76.7</v>
      </c>
      <c r="L69" s="125">
        <f>J69*0.7</f>
        <v>41.3</v>
      </c>
    </row>
    <row r="70" spans="1:12" s="122" customFormat="1" ht="11.25">
      <c r="A70" s="362"/>
      <c r="B70" s="616"/>
      <c r="C70" s="367" t="s">
        <v>8</v>
      </c>
      <c r="D70" s="849"/>
      <c r="E70" s="487" t="s">
        <v>17474</v>
      </c>
      <c r="F70" s="487" t="s">
        <v>17481</v>
      </c>
      <c r="G70" s="751" t="s">
        <v>18154</v>
      </c>
      <c r="H70" s="487"/>
      <c r="I70" s="487"/>
      <c r="J70" s="125"/>
      <c r="K70" s="125"/>
      <c r="L70" s="125"/>
    </row>
    <row r="71" spans="1:12" s="122" customFormat="1" ht="11.25">
      <c r="A71" s="362"/>
      <c r="B71" s="616"/>
      <c r="C71" s="367" t="s">
        <v>7</v>
      </c>
      <c r="D71" s="849"/>
      <c r="E71" s="489" t="s">
        <v>17473</v>
      </c>
      <c r="F71" s="489" t="s">
        <v>17480</v>
      </c>
      <c r="G71" s="489" t="s">
        <v>18155</v>
      </c>
      <c r="H71" s="489"/>
      <c r="I71" s="489"/>
      <c r="J71" s="125"/>
      <c r="K71" s="125"/>
      <c r="L71" s="125"/>
    </row>
    <row r="72" spans="1:12" s="122" customFormat="1" ht="11.25">
      <c r="A72" s="362"/>
      <c r="B72" s="616"/>
      <c r="C72" s="367" t="s">
        <v>6</v>
      </c>
      <c r="D72" s="849"/>
      <c r="E72" s="490">
        <v>44320</v>
      </c>
      <c r="F72" s="490">
        <v>44320</v>
      </c>
      <c r="G72" s="490">
        <v>44328</v>
      </c>
      <c r="H72" s="490"/>
      <c r="I72" s="490"/>
      <c r="J72" s="125"/>
      <c r="K72" s="125"/>
      <c r="L72" s="125"/>
    </row>
    <row r="73" spans="1:12" s="122" customFormat="1" ht="11.25">
      <c r="A73" s="363"/>
      <c r="B73" s="617"/>
      <c r="C73" s="367" t="s">
        <v>8993</v>
      </c>
      <c r="D73" s="850"/>
      <c r="E73" s="490" t="s">
        <v>17496</v>
      </c>
      <c r="F73" s="490" t="s">
        <v>17491</v>
      </c>
      <c r="G73" s="490" t="s">
        <v>18156</v>
      </c>
      <c r="H73" s="490"/>
      <c r="I73" s="490"/>
      <c r="J73" s="125"/>
      <c r="K73" s="125"/>
      <c r="L73" s="125"/>
    </row>
    <row r="74" spans="1:12" s="121" customFormat="1" ht="11.25">
      <c r="A74" s="173"/>
      <c r="B74" s="613"/>
      <c r="C74" s="180"/>
      <c r="D74" s="180"/>
      <c r="E74" s="180"/>
      <c r="F74" s="180"/>
      <c r="G74" s="180"/>
      <c r="H74" s="180"/>
      <c r="I74" s="180"/>
      <c r="J74" s="124"/>
      <c r="K74" s="124"/>
      <c r="L74" s="124"/>
    </row>
    <row r="75" spans="1:12" s="122" customFormat="1" ht="22.5">
      <c r="A75" s="366" t="s">
        <v>15324</v>
      </c>
      <c r="B75" s="626" t="s">
        <v>17493</v>
      </c>
      <c r="C75" s="369">
        <f>MIN(E77:I77)</f>
        <v>39.08</v>
      </c>
      <c r="D75" s="370" t="s">
        <v>109</v>
      </c>
      <c r="E75" s="486" t="s">
        <v>17472</v>
      </c>
      <c r="F75" s="486" t="s">
        <v>17477</v>
      </c>
      <c r="G75" s="486" t="s">
        <v>18152</v>
      </c>
      <c r="H75" s="486"/>
      <c r="I75" s="486"/>
      <c r="J75" s="125" t="s">
        <v>207</v>
      </c>
      <c r="K75" s="125"/>
      <c r="L75" s="125"/>
    </row>
    <row r="76" spans="1:12" s="122" customFormat="1" ht="22.5">
      <c r="A76" s="361"/>
      <c r="B76" s="615"/>
      <c r="C76" s="367" t="s">
        <v>284</v>
      </c>
      <c r="D76" s="848"/>
      <c r="E76" s="487" t="s">
        <v>17475</v>
      </c>
      <c r="F76" s="487" t="s">
        <v>17479</v>
      </c>
      <c r="G76" s="487" t="s">
        <v>18153</v>
      </c>
      <c r="H76" s="487"/>
      <c r="I76" s="487"/>
      <c r="J76" s="125" t="s">
        <v>283</v>
      </c>
      <c r="K76" s="125" t="s">
        <v>280</v>
      </c>
      <c r="L76" s="125" t="s">
        <v>281</v>
      </c>
    </row>
    <row r="77" spans="1:12" s="122" customFormat="1" ht="11.25">
      <c r="A77" s="362"/>
      <c r="B77" s="616"/>
      <c r="C77" s="367" t="s">
        <v>9</v>
      </c>
      <c r="D77" s="849"/>
      <c r="E77" s="488">
        <v>39.08</v>
      </c>
      <c r="F77" s="84">
        <v>48.4</v>
      </c>
      <c r="G77" s="84">
        <v>48</v>
      </c>
      <c r="H77" s="84"/>
      <c r="I77" s="84"/>
      <c r="J77" s="125">
        <f>MEDIAN(E77:I77)</f>
        <v>48</v>
      </c>
      <c r="K77" s="125">
        <f>J77*1.3</f>
        <v>62.400000000000006</v>
      </c>
      <c r="L77" s="125">
        <f>J77*0.7</f>
        <v>33.599999999999994</v>
      </c>
    </row>
    <row r="78" spans="1:12" s="122" customFormat="1" ht="11.25">
      <c r="A78" s="362"/>
      <c r="B78" s="616"/>
      <c r="C78" s="367" t="s">
        <v>8</v>
      </c>
      <c r="D78" s="849"/>
      <c r="E78" s="487" t="s">
        <v>17474</v>
      </c>
      <c r="F78" s="487" t="s">
        <v>17481</v>
      </c>
      <c r="G78" s="751" t="s">
        <v>18154</v>
      </c>
      <c r="H78" s="487"/>
      <c r="I78" s="487"/>
      <c r="J78" s="125"/>
      <c r="K78" s="125"/>
      <c r="L78" s="125"/>
    </row>
    <row r="79" spans="1:12" s="122" customFormat="1" ht="11.25">
      <c r="A79" s="362"/>
      <c r="B79" s="616"/>
      <c r="C79" s="367" t="s">
        <v>7</v>
      </c>
      <c r="D79" s="849"/>
      <c r="E79" s="489" t="s">
        <v>17473</v>
      </c>
      <c r="F79" s="489" t="s">
        <v>17480</v>
      </c>
      <c r="G79" s="489" t="s">
        <v>18155</v>
      </c>
      <c r="H79" s="489"/>
      <c r="I79" s="489"/>
      <c r="J79" s="125"/>
      <c r="K79" s="125"/>
      <c r="L79" s="125"/>
    </row>
    <row r="80" spans="1:12" s="122" customFormat="1" ht="11.25">
      <c r="A80" s="362"/>
      <c r="B80" s="616"/>
      <c r="C80" s="367" t="s">
        <v>6</v>
      </c>
      <c r="D80" s="849"/>
      <c r="E80" s="490">
        <v>44320</v>
      </c>
      <c r="F80" s="490">
        <v>44320</v>
      </c>
      <c r="G80" s="490">
        <v>44328</v>
      </c>
      <c r="H80" s="490"/>
      <c r="I80" s="490"/>
      <c r="J80" s="125"/>
      <c r="K80" s="125"/>
      <c r="L80" s="125"/>
    </row>
    <row r="81" spans="1:12" s="122" customFormat="1" ht="11.25">
      <c r="A81" s="363"/>
      <c r="B81" s="617"/>
      <c r="C81" s="367" t="s">
        <v>8993</v>
      </c>
      <c r="D81" s="850"/>
      <c r="E81" s="490" t="s">
        <v>17495</v>
      </c>
      <c r="F81" s="490" t="s">
        <v>17494</v>
      </c>
      <c r="G81" s="490" t="s">
        <v>18156</v>
      </c>
      <c r="H81" s="490"/>
      <c r="I81" s="490"/>
      <c r="J81" s="125"/>
      <c r="K81" s="125"/>
      <c r="L81" s="125"/>
    </row>
    <row r="82" spans="1:12" s="121" customFormat="1" ht="11.25">
      <c r="A82" s="173"/>
      <c r="B82" s="613"/>
      <c r="C82" s="180"/>
      <c r="D82" s="180"/>
      <c r="E82" s="180"/>
      <c r="F82" s="180"/>
      <c r="G82" s="180"/>
      <c r="H82" s="180"/>
      <c r="I82" s="180"/>
      <c r="J82" s="124"/>
      <c r="K82" s="124"/>
      <c r="L82" s="124"/>
    </row>
    <row r="83" spans="1:12" s="122" customFormat="1" ht="22.5">
      <c r="A83" s="366" t="s">
        <v>15327</v>
      </c>
      <c r="B83" s="626" t="s">
        <v>17515</v>
      </c>
      <c r="C83" s="369">
        <f>MIN(E85:I85)</f>
        <v>14.63</v>
      </c>
      <c r="D83" s="370" t="s">
        <v>109</v>
      </c>
      <c r="E83" s="486" t="s">
        <v>14756</v>
      </c>
      <c r="F83" s="486" t="s">
        <v>18157</v>
      </c>
      <c r="G83" s="486" t="s">
        <v>18162</v>
      </c>
      <c r="H83" s="486"/>
      <c r="I83" s="486"/>
      <c r="J83" s="125" t="s">
        <v>207</v>
      </c>
      <c r="K83" s="125"/>
      <c r="L83" s="125"/>
    </row>
    <row r="84" spans="1:12" s="122" customFormat="1" ht="22.5">
      <c r="A84" s="361"/>
      <c r="B84" s="615"/>
      <c r="C84" s="367" t="s">
        <v>284</v>
      </c>
      <c r="D84" s="848"/>
      <c r="E84" s="487" t="s">
        <v>14757</v>
      </c>
      <c r="F84" s="487" t="s">
        <v>18160</v>
      </c>
      <c r="G84" s="487" t="s">
        <v>18164</v>
      </c>
      <c r="H84" s="487"/>
      <c r="I84" s="487"/>
      <c r="J84" s="125" t="s">
        <v>283</v>
      </c>
      <c r="K84" s="125" t="s">
        <v>280</v>
      </c>
      <c r="L84" s="125" t="s">
        <v>281</v>
      </c>
    </row>
    <row r="85" spans="1:12" s="122" customFormat="1" ht="11.25">
      <c r="A85" s="362"/>
      <c r="B85" s="616"/>
      <c r="C85" s="367" t="s">
        <v>9</v>
      </c>
      <c r="D85" s="849"/>
      <c r="E85" s="84">
        <f>69.52/4</f>
        <v>17.38</v>
      </c>
      <c r="F85" s="84">
        <v>14.63</v>
      </c>
      <c r="G85" s="84">
        <v>24.9</v>
      </c>
      <c r="H85" s="84"/>
      <c r="I85" s="84"/>
      <c r="J85" s="125">
        <f>MEDIAN(E85:I85)</f>
        <v>17.38</v>
      </c>
      <c r="K85" s="125">
        <f>J85*1.3</f>
        <v>22.594000000000001</v>
      </c>
      <c r="L85" s="125">
        <f>J85*0.7</f>
        <v>12.165999999999999</v>
      </c>
    </row>
    <row r="86" spans="1:12" s="122" customFormat="1" ht="11.25">
      <c r="A86" s="362"/>
      <c r="B86" s="616"/>
      <c r="C86" s="367" t="s">
        <v>8</v>
      </c>
      <c r="D86" s="849"/>
      <c r="E86" s="751" t="s">
        <v>14758</v>
      </c>
      <c r="F86" s="487" t="s">
        <v>18161</v>
      </c>
      <c r="G86" s="751" t="s">
        <v>17949</v>
      </c>
      <c r="H86" s="487"/>
      <c r="I86" s="487"/>
      <c r="J86" s="125"/>
      <c r="K86" s="125"/>
      <c r="L86" s="125"/>
    </row>
    <row r="87" spans="1:12" s="122" customFormat="1" ht="11.25">
      <c r="A87" s="362"/>
      <c r="B87" s="616"/>
      <c r="C87" s="367" t="s">
        <v>7</v>
      </c>
      <c r="D87" s="849"/>
      <c r="E87" s="489" t="s">
        <v>14759</v>
      </c>
      <c r="F87" s="489" t="s">
        <v>18159</v>
      </c>
      <c r="G87" s="489" t="s">
        <v>18163</v>
      </c>
      <c r="H87" s="489"/>
      <c r="I87" s="489"/>
      <c r="J87" s="125"/>
      <c r="K87" s="125"/>
      <c r="L87" s="125"/>
    </row>
    <row r="88" spans="1:12" s="122" customFormat="1" ht="11.25">
      <c r="A88" s="362"/>
      <c r="B88" s="616"/>
      <c r="C88" s="367" t="s">
        <v>6</v>
      </c>
      <c r="D88" s="849"/>
      <c r="E88" s="490">
        <v>44321</v>
      </c>
      <c r="F88" s="490">
        <v>44328</v>
      </c>
      <c r="G88" s="490">
        <v>44328</v>
      </c>
      <c r="H88" s="490"/>
      <c r="I88" s="490"/>
      <c r="J88" s="125"/>
      <c r="K88" s="125"/>
      <c r="L88" s="125"/>
    </row>
    <row r="89" spans="1:12" s="122" customFormat="1" ht="11.25">
      <c r="A89" s="363"/>
      <c r="B89" s="617"/>
      <c r="C89" s="367" t="s">
        <v>8993</v>
      </c>
      <c r="D89" s="850"/>
      <c r="E89" s="490" t="s">
        <v>17514</v>
      </c>
      <c r="F89" s="490" t="s">
        <v>18158</v>
      </c>
      <c r="G89" s="490" t="s">
        <v>18158</v>
      </c>
      <c r="H89" s="490"/>
      <c r="I89" s="490"/>
      <c r="J89" s="125"/>
      <c r="K89" s="125"/>
      <c r="L89" s="125"/>
    </row>
    <row r="90" spans="1:12" s="121" customFormat="1" ht="11.25">
      <c r="A90" s="173"/>
      <c r="B90" s="613"/>
      <c r="C90" s="180"/>
      <c r="D90" s="180"/>
      <c r="E90" s="180"/>
      <c r="F90" s="180"/>
      <c r="G90" s="180"/>
      <c r="H90" s="180"/>
      <c r="I90" s="180"/>
      <c r="J90" s="124"/>
      <c r="K90" s="124"/>
      <c r="L90" s="124"/>
    </row>
    <row r="91" spans="1:12" s="122" customFormat="1" ht="22.5">
      <c r="A91" s="366" t="s">
        <v>15336</v>
      </c>
      <c r="B91" s="626" t="s">
        <v>15284</v>
      </c>
      <c r="C91" s="369">
        <f>MIN(E93:I93)</f>
        <v>61.9</v>
      </c>
      <c r="D91" s="370" t="s">
        <v>15285</v>
      </c>
      <c r="E91" s="486" t="s">
        <v>15286</v>
      </c>
      <c r="F91" s="486" t="s">
        <v>15287</v>
      </c>
      <c r="G91" s="486" t="s">
        <v>14756</v>
      </c>
      <c r="H91" s="486"/>
      <c r="I91" s="486"/>
      <c r="J91" s="125" t="s">
        <v>207</v>
      </c>
      <c r="K91" s="125"/>
      <c r="L91" s="125"/>
    </row>
    <row r="92" spans="1:12" s="122" customFormat="1" ht="22.5">
      <c r="A92" s="361"/>
      <c r="B92" s="615"/>
      <c r="C92" s="367" t="s">
        <v>284</v>
      </c>
      <c r="D92" s="848"/>
      <c r="E92" s="487" t="s">
        <v>15288</v>
      </c>
      <c r="F92" s="487" t="s">
        <v>15289</v>
      </c>
      <c r="G92" s="487" t="s">
        <v>14757</v>
      </c>
      <c r="H92" s="487"/>
      <c r="I92" s="487"/>
      <c r="J92" s="125" t="s">
        <v>283</v>
      </c>
      <c r="K92" s="125" t="s">
        <v>280</v>
      </c>
      <c r="L92" s="125" t="s">
        <v>281</v>
      </c>
    </row>
    <row r="93" spans="1:12" s="122" customFormat="1" ht="11.25">
      <c r="A93" s="362"/>
      <c r="B93" s="616"/>
      <c r="C93" s="367" t="s">
        <v>9</v>
      </c>
      <c r="D93" s="849"/>
      <c r="E93" s="488">
        <v>68.760000000000005</v>
      </c>
      <c r="F93" s="488">
        <v>61.9</v>
      </c>
      <c r="G93" s="84">
        <v>62.38</v>
      </c>
      <c r="H93" s="84"/>
      <c r="I93" s="84"/>
      <c r="J93" s="125">
        <f>MEDIAN(E93:I93)</f>
        <v>62.38</v>
      </c>
      <c r="K93" s="125">
        <f>J93*1.3</f>
        <v>81.094000000000008</v>
      </c>
      <c r="L93" s="125">
        <f>J93*0.7</f>
        <v>43.665999999999997</v>
      </c>
    </row>
    <row r="94" spans="1:12" s="122" customFormat="1" ht="11.25">
      <c r="A94" s="362"/>
      <c r="B94" s="616"/>
      <c r="C94" s="367" t="s">
        <v>8</v>
      </c>
      <c r="D94" s="849"/>
      <c r="E94" s="487" t="s">
        <v>15290</v>
      </c>
      <c r="F94" s="487" t="s">
        <v>15291</v>
      </c>
      <c r="G94" s="751" t="s">
        <v>14758</v>
      </c>
      <c r="H94" s="487"/>
      <c r="I94" s="487"/>
      <c r="J94" s="125"/>
      <c r="K94" s="125"/>
      <c r="L94" s="125"/>
    </row>
    <row r="95" spans="1:12" s="122" customFormat="1" ht="11.25">
      <c r="A95" s="362"/>
      <c r="B95" s="616"/>
      <c r="C95" s="367" t="s">
        <v>7</v>
      </c>
      <c r="D95" s="849"/>
      <c r="E95" s="489" t="s">
        <v>15292</v>
      </c>
      <c r="F95" s="489" t="s">
        <v>15293</v>
      </c>
      <c r="G95" s="489" t="s">
        <v>14759</v>
      </c>
      <c r="H95" s="489"/>
      <c r="I95" s="489"/>
      <c r="J95" s="125"/>
      <c r="K95" s="125"/>
      <c r="L95" s="125"/>
    </row>
    <row r="96" spans="1:12" s="122" customFormat="1" ht="11.25">
      <c r="A96" s="362"/>
      <c r="B96" s="616"/>
      <c r="C96" s="367" t="s">
        <v>6</v>
      </c>
      <c r="D96" s="849"/>
      <c r="E96" s="490">
        <v>44255</v>
      </c>
      <c r="F96" s="490">
        <v>44255</v>
      </c>
      <c r="G96" s="490">
        <v>44255</v>
      </c>
      <c r="H96" s="490"/>
      <c r="I96" s="490"/>
      <c r="J96" s="125"/>
      <c r="K96" s="125"/>
      <c r="L96" s="125"/>
    </row>
    <row r="97" spans="1:12" s="122" customFormat="1" ht="11.25">
      <c r="A97" s="363"/>
      <c r="B97" s="617"/>
      <c r="C97" s="367" t="s">
        <v>8993</v>
      </c>
      <c r="D97" s="850"/>
      <c r="E97" s="490" t="s">
        <v>17516</v>
      </c>
      <c r="F97" s="490" t="s">
        <v>17516</v>
      </c>
      <c r="G97" s="490" t="s">
        <v>17516</v>
      </c>
      <c r="H97" s="490"/>
      <c r="I97" s="490"/>
      <c r="J97" s="125"/>
      <c r="K97" s="125"/>
      <c r="L97" s="125"/>
    </row>
    <row r="98" spans="1:12" s="121" customFormat="1" ht="11.25">
      <c r="A98" s="173"/>
      <c r="B98" s="613"/>
      <c r="C98" s="180"/>
      <c r="D98" s="180"/>
      <c r="E98" s="180"/>
      <c r="F98" s="180"/>
      <c r="G98" s="180"/>
      <c r="H98" s="180"/>
      <c r="I98" s="180"/>
      <c r="J98" s="124"/>
      <c r="K98" s="124"/>
      <c r="L98" s="124"/>
    </row>
    <row r="99" spans="1:12" s="122" customFormat="1" ht="22.5">
      <c r="A99" s="366" t="s">
        <v>15351</v>
      </c>
      <c r="B99" s="626" t="s">
        <v>15719</v>
      </c>
      <c r="C99" s="369">
        <f>MIN(E101:I101)</f>
        <v>76.5</v>
      </c>
      <c r="D99" s="370" t="s">
        <v>109</v>
      </c>
      <c r="E99" s="486" t="s">
        <v>15296</v>
      </c>
      <c r="F99" s="486" t="s">
        <v>14766</v>
      </c>
      <c r="G99" s="486" t="s">
        <v>14756</v>
      </c>
      <c r="H99" s="486"/>
      <c r="I99" s="486"/>
      <c r="J99" s="125" t="s">
        <v>207</v>
      </c>
      <c r="K99" s="125"/>
      <c r="L99" s="125"/>
    </row>
    <row r="100" spans="1:12" s="122" customFormat="1" ht="22.5">
      <c r="A100" s="361"/>
      <c r="B100" s="615"/>
      <c r="C100" s="367" t="s">
        <v>284</v>
      </c>
      <c r="D100" s="848"/>
      <c r="E100" s="487" t="s">
        <v>15297</v>
      </c>
      <c r="F100" s="487" t="s">
        <v>14767</v>
      </c>
      <c r="G100" s="487" t="s">
        <v>14757</v>
      </c>
      <c r="H100" s="487"/>
      <c r="I100" s="487"/>
      <c r="J100" s="125" t="s">
        <v>283</v>
      </c>
      <c r="K100" s="125" t="s">
        <v>280</v>
      </c>
      <c r="L100" s="125" t="s">
        <v>281</v>
      </c>
    </row>
    <row r="101" spans="1:12" s="122" customFormat="1" ht="11.25">
      <c r="A101" s="362"/>
      <c r="B101" s="616"/>
      <c r="C101" s="367" t="s">
        <v>9</v>
      </c>
      <c r="D101" s="849"/>
      <c r="E101" s="488">
        <v>96.68</v>
      </c>
      <c r="F101" s="84">
        <v>76.5</v>
      </c>
      <c r="G101" s="84">
        <v>76.5</v>
      </c>
      <c r="H101" s="84"/>
      <c r="I101" s="84"/>
      <c r="J101" s="125">
        <f>MEDIAN(E101:I101)</f>
        <v>76.5</v>
      </c>
      <c r="K101" s="125">
        <f>J101*1.3</f>
        <v>99.45</v>
      </c>
      <c r="L101" s="125">
        <f>J101*0.7</f>
        <v>53.55</v>
      </c>
    </row>
    <row r="102" spans="1:12" s="122" customFormat="1" ht="11.25">
      <c r="A102" s="362"/>
      <c r="B102" s="616"/>
      <c r="C102" s="367" t="s">
        <v>8</v>
      </c>
      <c r="D102" s="849"/>
      <c r="E102" s="487" t="s">
        <v>15298</v>
      </c>
      <c r="F102" s="487" t="s">
        <v>14758</v>
      </c>
      <c r="G102" s="751" t="s">
        <v>14758</v>
      </c>
      <c r="H102" s="487"/>
      <c r="I102" s="487"/>
      <c r="J102" s="125"/>
      <c r="K102" s="125"/>
      <c r="L102" s="125"/>
    </row>
    <row r="103" spans="1:12" s="122" customFormat="1" ht="11.25">
      <c r="A103" s="362"/>
      <c r="B103" s="616"/>
      <c r="C103" s="367" t="s">
        <v>7</v>
      </c>
      <c r="D103" s="849"/>
      <c r="E103" s="489" t="s">
        <v>15299</v>
      </c>
      <c r="F103" s="489" t="s">
        <v>14768</v>
      </c>
      <c r="G103" s="489" t="s">
        <v>14759</v>
      </c>
      <c r="H103" s="489"/>
      <c r="I103" s="489"/>
      <c r="J103" s="125"/>
      <c r="K103" s="125"/>
      <c r="L103" s="125"/>
    </row>
    <row r="104" spans="1:12" s="122" customFormat="1" ht="11.25">
      <c r="A104" s="362"/>
      <c r="B104" s="616"/>
      <c r="C104" s="367" t="s">
        <v>6</v>
      </c>
      <c r="D104" s="849"/>
      <c r="E104" s="490">
        <v>44255</v>
      </c>
      <c r="F104" s="490">
        <v>44255</v>
      </c>
      <c r="G104" s="490">
        <v>44255</v>
      </c>
      <c r="H104" s="490"/>
      <c r="I104" s="490"/>
      <c r="J104" s="125"/>
      <c r="K104" s="125"/>
      <c r="L104" s="125"/>
    </row>
    <row r="105" spans="1:12" s="122" customFormat="1" ht="11.25">
      <c r="A105" s="363"/>
      <c r="B105" s="617"/>
      <c r="C105" s="367" t="s">
        <v>8993</v>
      </c>
      <c r="D105" s="850"/>
      <c r="E105" s="490" t="s">
        <v>17520</v>
      </c>
      <c r="F105" s="490" t="s">
        <v>17520</v>
      </c>
      <c r="G105" s="490" t="s">
        <v>17520</v>
      </c>
      <c r="H105" s="490"/>
      <c r="I105" s="490"/>
      <c r="J105" s="125"/>
      <c r="K105" s="125"/>
      <c r="L105" s="125"/>
    </row>
    <row r="106" spans="1:12" s="121" customFormat="1" ht="11.25">
      <c r="A106" s="173"/>
      <c r="B106" s="613"/>
      <c r="C106" s="180"/>
      <c r="D106" s="180"/>
      <c r="E106" s="180"/>
      <c r="F106" s="180"/>
      <c r="G106" s="180"/>
      <c r="H106" s="180"/>
      <c r="I106" s="180"/>
      <c r="J106" s="124"/>
      <c r="K106" s="124"/>
      <c r="L106" s="124"/>
    </row>
    <row r="107" spans="1:12" s="122" customFormat="1" ht="11.25">
      <c r="A107" s="366" t="s">
        <v>15352</v>
      </c>
      <c r="B107" s="626" t="s">
        <v>24612</v>
      </c>
      <c r="C107" s="369">
        <f>MIN(E109:I109)</f>
        <v>159.9</v>
      </c>
      <c r="D107" s="370" t="s">
        <v>109</v>
      </c>
      <c r="E107" s="486" t="s">
        <v>14756</v>
      </c>
      <c r="F107" s="486" t="s">
        <v>15329</v>
      </c>
      <c r="G107" s="486" t="s">
        <v>14762</v>
      </c>
      <c r="H107" s="486" t="s">
        <v>18219</v>
      </c>
      <c r="I107" s="486"/>
      <c r="J107" s="125" t="s">
        <v>207</v>
      </c>
      <c r="K107" s="125"/>
      <c r="L107" s="125"/>
    </row>
    <row r="108" spans="1:12" s="122" customFormat="1" ht="45">
      <c r="A108" s="361"/>
      <c r="B108" s="615"/>
      <c r="C108" s="367" t="s">
        <v>284</v>
      </c>
      <c r="D108" s="848"/>
      <c r="E108" s="487" t="s">
        <v>14757</v>
      </c>
      <c r="F108" s="487" t="s">
        <v>15169</v>
      </c>
      <c r="G108" s="487" t="s">
        <v>15183</v>
      </c>
      <c r="H108" s="675" t="s">
        <v>18222</v>
      </c>
      <c r="I108" s="487"/>
      <c r="J108" s="125" t="s">
        <v>283</v>
      </c>
      <c r="K108" s="125" t="s">
        <v>280</v>
      </c>
      <c r="L108" s="125" t="s">
        <v>281</v>
      </c>
    </row>
    <row r="109" spans="1:12" s="122" customFormat="1" ht="11.25">
      <c r="A109" s="362"/>
      <c r="B109" s="616"/>
      <c r="C109" s="367" t="s">
        <v>9</v>
      </c>
      <c r="D109" s="849"/>
      <c r="E109" s="84">
        <v>159.9</v>
      </c>
      <c r="F109" s="488">
        <v>174.03</v>
      </c>
      <c r="G109" s="488">
        <v>174.03</v>
      </c>
      <c r="H109" s="84">
        <v>183.29</v>
      </c>
      <c r="I109" s="84"/>
      <c r="J109" s="125">
        <f>MEDIAN(E109:I109)</f>
        <v>174.03</v>
      </c>
      <c r="K109" s="125">
        <f>J109*1.3</f>
        <v>226.239</v>
      </c>
      <c r="L109" s="125">
        <f>J109*0.7</f>
        <v>121.821</v>
      </c>
    </row>
    <row r="110" spans="1:12" s="122" customFormat="1" ht="11.25">
      <c r="A110" s="362"/>
      <c r="B110" s="616"/>
      <c r="C110" s="367" t="s">
        <v>8</v>
      </c>
      <c r="D110" s="849"/>
      <c r="E110" s="751" t="s">
        <v>14758</v>
      </c>
      <c r="F110" s="487" t="s">
        <v>14764</v>
      </c>
      <c r="G110" s="487" t="s">
        <v>14764</v>
      </c>
      <c r="H110" s="487"/>
      <c r="I110" s="487"/>
      <c r="J110" s="125"/>
      <c r="K110" s="125"/>
      <c r="L110" s="125"/>
    </row>
    <row r="111" spans="1:12" s="122" customFormat="1" ht="11.25">
      <c r="A111" s="362"/>
      <c r="B111" s="616"/>
      <c r="C111" s="367" t="s">
        <v>7</v>
      </c>
      <c r="D111" s="849"/>
      <c r="E111" s="489" t="s">
        <v>14759</v>
      </c>
      <c r="F111" s="489" t="s">
        <v>15333</v>
      </c>
      <c r="G111" s="489" t="s">
        <v>15170</v>
      </c>
      <c r="H111" s="489"/>
      <c r="I111" s="489"/>
      <c r="J111" s="125"/>
      <c r="K111" s="125"/>
      <c r="L111" s="125"/>
    </row>
    <row r="112" spans="1:12" s="122" customFormat="1" ht="11.25">
      <c r="A112" s="362"/>
      <c r="B112" s="616"/>
      <c r="C112" s="367" t="s">
        <v>6</v>
      </c>
      <c r="D112" s="849"/>
      <c r="E112" s="490">
        <v>44321</v>
      </c>
      <c r="F112" s="490">
        <v>44328</v>
      </c>
      <c r="G112" s="490">
        <v>44328</v>
      </c>
      <c r="H112" s="490">
        <v>43983</v>
      </c>
      <c r="I112" s="490"/>
      <c r="J112" s="125"/>
      <c r="K112" s="125"/>
      <c r="L112" s="125"/>
    </row>
    <row r="113" spans="1:12" s="122" customFormat="1" ht="11.25">
      <c r="A113" s="363"/>
      <c r="B113" s="617"/>
      <c r="C113" s="367" t="s">
        <v>8993</v>
      </c>
      <c r="D113" s="850"/>
      <c r="E113" s="490" t="s">
        <v>17526</v>
      </c>
      <c r="F113" s="490" t="s">
        <v>18165</v>
      </c>
      <c r="G113" s="490" t="s">
        <v>18165</v>
      </c>
      <c r="H113" s="490" t="s">
        <v>18220</v>
      </c>
      <c r="I113" s="490"/>
      <c r="J113" s="125"/>
      <c r="K113" s="125"/>
      <c r="L113" s="125"/>
    </row>
    <row r="114" spans="1:12" s="121" customFormat="1" ht="11.25">
      <c r="A114" s="173"/>
      <c r="B114" s="613"/>
      <c r="C114" s="180"/>
      <c r="D114" s="180"/>
      <c r="E114" s="180"/>
      <c r="F114" s="180"/>
      <c r="G114" s="180"/>
      <c r="H114" s="180"/>
      <c r="I114" s="180"/>
      <c r="J114" s="124"/>
      <c r="K114" s="124"/>
      <c r="L114" s="124"/>
    </row>
    <row r="115" spans="1:12" s="122" customFormat="1" ht="22.5">
      <c r="A115" s="366" t="s">
        <v>15353</v>
      </c>
      <c r="B115" s="626" t="s">
        <v>15302</v>
      </c>
      <c r="C115" s="369">
        <f>MIN(E117:I117)</f>
        <v>38.229999999999997</v>
      </c>
      <c r="D115" s="370" t="s">
        <v>5</v>
      </c>
      <c r="E115" s="486" t="s">
        <v>15286</v>
      </c>
      <c r="F115" s="486" t="s">
        <v>15303</v>
      </c>
      <c r="G115" s="486" t="s">
        <v>15304</v>
      </c>
      <c r="H115" s="486" t="s">
        <v>18219</v>
      </c>
      <c r="I115" s="486"/>
      <c r="J115" s="125" t="s">
        <v>207</v>
      </c>
      <c r="K115" s="125"/>
      <c r="L115" s="125"/>
    </row>
    <row r="116" spans="1:12" s="122" customFormat="1" ht="22.5">
      <c r="A116" s="361"/>
      <c r="B116" s="615"/>
      <c r="C116" s="367" t="s">
        <v>284</v>
      </c>
      <c r="D116" s="848"/>
      <c r="E116" s="487" t="s">
        <v>15288</v>
      </c>
      <c r="F116" s="487" t="s">
        <v>15305</v>
      </c>
      <c r="G116" s="487" t="s">
        <v>15306</v>
      </c>
      <c r="H116" s="675" t="s">
        <v>18223</v>
      </c>
      <c r="I116" s="487"/>
      <c r="J116" s="125" t="s">
        <v>283</v>
      </c>
      <c r="K116" s="125" t="s">
        <v>280</v>
      </c>
      <c r="L116" s="125" t="s">
        <v>281</v>
      </c>
    </row>
    <row r="117" spans="1:12" s="122" customFormat="1" ht="11.25">
      <c r="A117" s="362"/>
      <c r="B117" s="616"/>
      <c r="C117" s="367" t="s">
        <v>9</v>
      </c>
      <c r="D117" s="849"/>
      <c r="E117" s="488">
        <v>47.59</v>
      </c>
      <c r="F117" s="84">
        <v>49</v>
      </c>
      <c r="G117" s="84">
        <v>38.229999999999997</v>
      </c>
      <c r="H117" s="84">
        <v>42.54</v>
      </c>
      <c r="I117" s="84"/>
      <c r="J117" s="125">
        <f>MEDIAN(E117:I117)</f>
        <v>45.064999999999998</v>
      </c>
      <c r="K117" s="125">
        <f>J117*1.3</f>
        <v>58.584499999999998</v>
      </c>
      <c r="L117" s="125">
        <f>J117*0.7</f>
        <v>31.545499999999997</v>
      </c>
    </row>
    <row r="118" spans="1:12" s="122" customFormat="1" ht="11.25">
      <c r="A118" s="362"/>
      <c r="B118" s="616"/>
      <c r="C118" s="367" t="s">
        <v>8</v>
      </c>
      <c r="D118" s="849"/>
      <c r="E118" s="487" t="s">
        <v>15290</v>
      </c>
      <c r="F118" s="487" t="s">
        <v>14931</v>
      </c>
      <c r="G118" s="751" t="s">
        <v>15307</v>
      </c>
      <c r="H118" s="487"/>
      <c r="I118" s="487"/>
      <c r="J118" s="125"/>
      <c r="K118" s="125"/>
      <c r="L118" s="125"/>
    </row>
    <row r="119" spans="1:12" s="122" customFormat="1" ht="11.25">
      <c r="A119" s="362"/>
      <c r="B119" s="616"/>
      <c r="C119" s="367" t="s">
        <v>7</v>
      </c>
      <c r="D119" s="849"/>
      <c r="E119" s="489" t="s">
        <v>15292</v>
      </c>
      <c r="F119" s="489" t="s">
        <v>14930</v>
      </c>
      <c r="G119" s="489" t="s">
        <v>15308</v>
      </c>
      <c r="H119" s="489"/>
      <c r="I119" s="489"/>
      <c r="J119" s="125"/>
      <c r="K119" s="125"/>
      <c r="L119" s="125"/>
    </row>
    <row r="120" spans="1:12" s="122" customFormat="1" ht="11.25">
      <c r="A120" s="362"/>
      <c r="B120" s="616"/>
      <c r="C120" s="367" t="s">
        <v>6</v>
      </c>
      <c r="D120" s="849"/>
      <c r="E120" s="490">
        <v>44257</v>
      </c>
      <c r="F120" s="490">
        <v>44257</v>
      </c>
      <c r="G120" s="490">
        <v>44257</v>
      </c>
      <c r="H120" s="490">
        <v>44050</v>
      </c>
      <c r="I120" s="490"/>
      <c r="J120" s="125"/>
      <c r="K120" s="125"/>
      <c r="L120" s="125"/>
    </row>
    <row r="121" spans="1:12" s="122" customFormat="1" ht="11.25">
      <c r="A121" s="363"/>
      <c r="B121" s="617"/>
      <c r="C121" s="367" t="s">
        <v>8993</v>
      </c>
      <c r="D121" s="850"/>
      <c r="E121" s="490" t="s">
        <v>17543</v>
      </c>
      <c r="F121" s="490" t="s">
        <v>17543</v>
      </c>
      <c r="G121" s="490" t="s">
        <v>17543</v>
      </c>
      <c r="H121" s="490" t="s">
        <v>18220</v>
      </c>
      <c r="I121" s="490"/>
      <c r="J121" s="125"/>
      <c r="K121" s="125"/>
      <c r="L121" s="125"/>
    </row>
    <row r="122" spans="1:12" s="121" customFormat="1" ht="11.25">
      <c r="A122" s="173"/>
      <c r="B122" s="613"/>
      <c r="C122" s="180"/>
      <c r="D122" s="180"/>
      <c r="E122" s="180"/>
      <c r="F122" s="180"/>
      <c r="G122" s="180"/>
      <c r="H122" s="180"/>
      <c r="I122" s="180"/>
      <c r="J122" s="124"/>
      <c r="K122" s="124"/>
      <c r="L122" s="124"/>
    </row>
    <row r="123" spans="1:12" s="122" customFormat="1" ht="22.5">
      <c r="A123" s="366" t="s">
        <v>15355</v>
      </c>
      <c r="B123" s="626" t="s">
        <v>17546</v>
      </c>
      <c r="C123" s="369">
        <f>MIN(E125:I125)</f>
        <v>53.952380952380942</v>
      </c>
      <c r="D123" s="370" t="s">
        <v>193</v>
      </c>
      <c r="E123" s="486" t="s">
        <v>14756</v>
      </c>
      <c r="F123" s="486" t="s">
        <v>14752</v>
      </c>
      <c r="G123" s="486" t="s">
        <v>17547</v>
      </c>
      <c r="H123" s="486" t="s">
        <v>17557</v>
      </c>
      <c r="I123" s="486" t="s">
        <v>18219</v>
      </c>
      <c r="J123" s="125" t="s">
        <v>207</v>
      </c>
      <c r="K123" s="125"/>
      <c r="L123" s="125"/>
    </row>
    <row r="124" spans="1:12" s="122" customFormat="1" ht="22.5">
      <c r="A124" s="361"/>
      <c r="B124" s="615"/>
      <c r="C124" s="367" t="s">
        <v>284</v>
      </c>
      <c r="D124" s="848"/>
      <c r="E124" s="487" t="s">
        <v>14757</v>
      </c>
      <c r="F124" s="487" t="s">
        <v>14753</v>
      </c>
      <c r="G124" s="487" t="s">
        <v>17550</v>
      </c>
      <c r="H124" s="487" t="s">
        <v>17559</v>
      </c>
      <c r="I124" s="675" t="s">
        <v>18224</v>
      </c>
      <c r="J124" s="125" t="s">
        <v>283</v>
      </c>
      <c r="K124" s="125" t="s">
        <v>280</v>
      </c>
      <c r="L124" s="125" t="s">
        <v>281</v>
      </c>
    </row>
    <row r="125" spans="1:12" s="122" customFormat="1" ht="11.25">
      <c r="A125" s="362"/>
      <c r="B125" s="616"/>
      <c r="C125" s="367" t="s">
        <v>9</v>
      </c>
      <c r="D125" s="849"/>
      <c r="E125" s="84">
        <f>364.7/(1.05*6)</f>
        <v>57.888888888888879</v>
      </c>
      <c r="F125" s="488">
        <f>379.9/(2.1*3)</f>
        <v>60.30158730158729</v>
      </c>
      <c r="G125" s="488">
        <f>695.6/(2.1*3)</f>
        <v>110.4126984126984</v>
      </c>
      <c r="H125" s="84">
        <f>339.9/(1.05*6)</f>
        <v>53.952380952380942</v>
      </c>
      <c r="I125" s="84">
        <v>89.1</v>
      </c>
      <c r="J125" s="125">
        <f>MEDIAN(E125:I125)</f>
        <v>60.30158730158729</v>
      </c>
      <c r="K125" s="125">
        <f>J125*1.3</f>
        <v>78.392063492063485</v>
      </c>
      <c r="L125" s="125">
        <f>J125*0.7</f>
        <v>42.211111111111101</v>
      </c>
    </row>
    <row r="126" spans="1:12" s="122" customFormat="1" ht="11.25">
      <c r="A126" s="362"/>
      <c r="B126" s="616"/>
      <c r="C126" s="367" t="s">
        <v>8</v>
      </c>
      <c r="D126" s="849"/>
      <c r="E126" s="751" t="s">
        <v>14758</v>
      </c>
      <c r="F126" s="487" t="s">
        <v>15326</v>
      </c>
      <c r="G126" s="751" t="s">
        <v>17549</v>
      </c>
      <c r="H126" s="751" t="s">
        <v>17560</v>
      </c>
      <c r="I126" s="487"/>
      <c r="J126" s="125"/>
      <c r="K126" s="125"/>
      <c r="L126" s="125"/>
    </row>
    <row r="127" spans="1:12" s="122" customFormat="1" ht="11.25">
      <c r="A127" s="362"/>
      <c r="B127" s="616"/>
      <c r="C127" s="367" t="s">
        <v>7</v>
      </c>
      <c r="D127" s="849"/>
      <c r="E127" s="489" t="s">
        <v>14759</v>
      </c>
      <c r="F127" s="489" t="s">
        <v>14755</v>
      </c>
      <c r="G127" s="489" t="s">
        <v>17548</v>
      </c>
      <c r="H127" s="489" t="s">
        <v>17558</v>
      </c>
      <c r="I127" s="489"/>
      <c r="J127" s="125"/>
      <c r="K127" s="125"/>
      <c r="L127" s="125"/>
    </row>
    <row r="128" spans="1:12" s="122" customFormat="1" ht="11.25">
      <c r="A128" s="362"/>
      <c r="B128" s="616"/>
      <c r="C128" s="367" t="s">
        <v>6</v>
      </c>
      <c r="D128" s="849"/>
      <c r="E128" s="490">
        <v>44322</v>
      </c>
      <c r="F128" s="490">
        <v>44322</v>
      </c>
      <c r="G128" s="490">
        <v>44322</v>
      </c>
      <c r="H128" s="490">
        <v>44322</v>
      </c>
      <c r="I128" s="490">
        <v>44111</v>
      </c>
      <c r="J128" s="125"/>
      <c r="K128" s="125"/>
      <c r="L128" s="125"/>
    </row>
    <row r="129" spans="1:12" s="122" customFormat="1" ht="11.25">
      <c r="A129" s="363"/>
      <c r="B129" s="617"/>
      <c r="C129" s="367" t="s">
        <v>8993</v>
      </c>
      <c r="D129" s="850"/>
      <c r="E129" s="490" t="s">
        <v>17544</v>
      </c>
      <c r="F129" s="490" t="s">
        <v>17544</v>
      </c>
      <c r="G129" s="490" t="s">
        <v>17544</v>
      </c>
      <c r="H129" s="490" t="s">
        <v>17554</v>
      </c>
      <c r="I129" s="490" t="s">
        <v>18220</v>
      </c>
      <c r="J129" s="125"/>
      <c r="K129" s="125"/>
      <c r="L129" s="125"/>
    </row>
    <row r="130" spans="1:12" s="121" customFormat="1" ht="11.25">
      <c r="A130" s="173"/>
      <c r="B130" s="613"/>
      <c r="C130" s="180"/>
      <c r="D130" s="180"/>
      <c r="E130" s="180"/>
      <c r="F130" s="180"/>
      <c r="G130" s="180"/>
      <c r="H130" s="180"/>
      <c r="I130" s="180"/>
      <c r="J130" s="124"/>
      <c r="K130" s="124"/>
      <c r="L130" s="124"/>
    </row>
    <row r="131" spans="1:12" s="122" customFormat="1" ht="22.5">
      <c r="A131" s="366" t="s">
        <v>15356</v>
      </c>
      <c r="B131" s="626" t="s">
        <v>17551</v>
      </c>
      <c r="C131" s="369">
        <f>MIN(E133:I133)</f>
        <v>16.166666666666668</v>
      </c>
      <c r="D131" s="370" t="s">
        <v>5</v>
      </c>
      <c r="E131" s="486" t="s">
        <v>17557</v>
      </c>
      <c r="F131" s="486" t="s">
        <v>17552</v>
      </c>
      <c r="G131" s="486" t="s">
        <v>17561</v>
      </c>
      <c r="H131" s="486"/>
      <c r="I131" s="486"/>
      <c r="J131" s="125" t="s">
        <v>207</v>
      </c>
      <c r="K131" s="125"/>
      <c r="L131" s="125"/>
    </row>
    <row r="132" spans="1:12" s="122" customFormat="1" ht="22.5">
      <c r="A132" s="361"/>
      <c r="B132" s="615"/>
      <c r="C132" s="367" t="s">
        <v>284</v>
      </c>
      <c r="D132" s="848"/>
      <c r="E132" s="487" t="s">
        <v>17559</v>
      </c>
      <c r="F132" s="487" t="s">
        <v>17555</v>
      </c>
      <c r="G132" s="487" t="s">
        <v>17564</v>
      </c>
      <c r="H132" s="487"/>
      <c r="I132" s="487"/>
      <c r="J132" s="125" t="s">
        <v>283</v>
      </c>
      <c r="K132" s="125" t="s">
        <v>280</v>
      </c>
      <c r="L132" s="125" t="s">
        <v>281</v>
      </c>
    </row>
    <row r="133" spans="1:12" s="122" customFormat="1" ht="11.25">
      <c r="A133" s="362"/>
      <c r="B133" s="616"/>
      <c r="C133" s="367" t="s">
        <v>9</v>
      </c>
      <c r="D133" s="849"/>
      <c r="E133" s="84">
        <f>129.9/6</f>
        <v>21.650000000000002</v>
      </c>
      <c r="F133" s="84">
        <f>197.45/6</f>
        <v>32.908333333333331</v>
      </c>
      <c r="G133" s="488">
        <f>97/6</f>
        <v>16.166666666666668</v>
      </c>
      <c r="H133" s="84"/>
      <c r="I133" s="84"/>
      <c r="J133" s="125">
        <f>MEDIAN(E133:I133)</f>
        <v>21.650000000000002</v>
      </c>
      <c r="K133" s="125">
        <f>J133*1.3</f>
        <v>28.145000000000003</v>
      </c>
      <c r="L133" s="125">
        <f>J133*0.7</f>
        <v>15.155000000000001</v>
      </c>
    </row>
    <row r="134" spans="1:12" s="122" customFormat="1" ht="11.25">
      <c r="A134" s="362"/>
      <c r="B134" s="616"/>
      <c r="C134" s="367" t="s">
        <v>8</v>
      </c>
      <c r="D134" s="849"/>
      <c r="E134" s="751" t="s">
        <v>17560</v>
      </c>
      <c r="F134" s="487"/>
      <c r="G134" s="751" t="s">
        <v>17563</v>
      </c>
      <c r="H134" s="487"/>
      <c r="I134" s="487"/>
      <c r="J134" s="125"/>
      <c r="K134" s="125"/>
      <c r="L134" s="125"/>
    </row>
    <row r="135" spans="1:12" s="122" customFormat="1" ht="11.25">
      <c r="A135" s="362"/>
      <c r="B135" s="616"/>
      <c r="C135" s="367" t="s">
        <v>7</v>
      </c>
      <c r="D135" s="849"/>
      <c r="E135" s="489" t="s">
        <v>17558</v>
      </c>
      <c r="F135" s="489" t="s">
        <v>17553</v>
      </c>
      <c r="G135" s="489" t="s">
        <v>17562</v>
      </c>
      <c r="H135" s="489"/>
      <c r="I135" s="489"/>
      <c r="J135" s="125"/>
      <c r="K135" s="125"/>
      <c r="L135" s="125"/>
    </row>
    <row r="136" spans="1:12" s="122" customFormat="1" ht="11.25">
      <c r="A136" s="362"/>
      <c r="B136" s="616"/>
      <c r="C136" s="367" t="s">
        <v>6</v>
      </c>
      <c r="D136" s="849"/>
      <c r="E136" s="490">
        <v>44322</v>
      </c>
      <c r="F136" s="490">
        <v>44322</v>
      </c>
      <c r="G136" s="490">
        <v>44322</v>
      </c>
      <c r="H136" s="490"/>
      <c r="I136" s="490"/>
      <c r="J136" s="125"/>
      <c r="K136" s="125"/>
      <c r="L136" s="125"/>
    </row>
    <row r="137" spans="1:12" s="122" customFormat="1" ht="11.25">
      <c r="A137" s="363"/>
      <c r="B137" s="617"/>
      <c r="C137" s="367" t="s">
        <v>8993</v>
      </c>
      <c r="D137" s="850"/>
      <c r="E137" s="490" t="s">
        <v>17554</v>
      </c>
      <c r="F137" s="490" t="s">
        <v>17554</v>
      </c>
      <c r="G137" s="490" t="s">
        <v>17554</v>
      </c>
      <c r="H137" s="490"/>
      <c r="I137" s="490"/>
      <c r="J137" s="125"/>
      <c r="K137" s="125"/>
      <c r="L137" s="125"/>
    </row>
    <row r="138" spans="1:12" s="121" customFormat="1" ht="11.25">
      <c r="A138" s="173"/>
      <c r="B138" s="613"/>
      <c r="C138" s="180"/>
      <c r="D138" s="180"/>
      <c r="E138" s="180"/>
      <c r="F138" s="180"/>
      <c r="G138" s="180"/>
      <c r="H138" s="180"/>
      <c r="I138" s="180"/>
      <c r="J138" s="124"/>
      <c r="K138" s="124"/>
      <c r="L138" s="124"/>
    </row>
    <row r="139" spans="1:12" s="122" customFormat="1" ht="22.5">
      <c r="A139" s="366" t="s">
        <v>15357</v>
      </c>
      <c r="B139" s="626" t="s">
        <v>17556</v>
      </c>
      <c r="C139" s="369">
        <f>MIN(E141:I141)</f>
        <v>7.916666666666667</v>
      </c>
      <c r="D139" s="370" t="s">
        <v>5</v>
      </c>
      <c r="E139" s="486" t="s">
        <v>17557</v>
      </c>
      <c r="F139" s="486" t="s">
        <v>17552</v>
      </c>
      <c r="G139" s="486" t="s">
        <v>17561</v>
      </c>
      <c r="H139" s="486"/>
      <c r="I139" s="486"/>
      <c r="J139" s="125" t="s">
        <v>207</v>
      </c>
      <c r="K139" s="125"/>
      <c r="L139" s="125"/>
    </row>
    <row r="140" spans="1:12" s="122" customFormat="1" ht="22.5">
      <c r="A140" s="361"/>
      <c r="B140" s="615"/>
      <c r="C140" s="367" t="s">
        <v>284</v>
      </c>
      <c r="D140" s="848"/>
      <c r="E140" s="487" t="s">
        <v>17559</v>
      </c>
      <c r="F140" s="487" t="s">
        <v>17555</v>
      </c>
      <c r="G140" s="487" t="s">
        <v>17564</v>
      </c>
      <c r="H140" s="487"/>
      <c r="I140" s="487"/>
      <c r="J140" s="125" t="s">
        <v>283</v>
      </c>
      <c r="K140" s="125" t="s">
        <v>280</v>
      </c>
      <c r="L140" s="125" t="s">
        <v>281</v>
      </c>
    </row>
    <row r="141" spans="1:12" s="122" customFormat="1" ht="11.25">
      <c r="A141" s="362"/>
      <c r="B141" s="616"/>
      <c r="C141" s="367" t="s">
        <v>9</v>
      </c>
      <c r="D141" s="849"/>
      <c r="E141" s="84">
        <f>29.9/3</f>
        <v>9.9666666666666668</v>
      </c>
      <c r="F141" s="84">
        <f>83.05/6</f>
        <v>13.841666666666667</v>
      </c>
      <c r="G141" s="488">
        <f>47.5/6</f>
        <v>7.916666666666667</v>
      </c>
      <c r="H141" s="84"/>
      <c r="I141" s="84"/>
      <c r="J141" s="125">
        <f>MEDIAN(E141:I141)</f>
        <v>9.9666666666666668</v>
      </c>
      <c r="K141" s="125">
        <f>J141*1.3</f>
        <v>12.956666666666667</v>
      </c>
      <c r="L141" s="125">
        <f>J141*0.7</f>
        <v>6.9766666666666666</v>
      </c>
    </row>
    <row r="142" spans="1:12" s="122" customFormat="1" ht="11.25">
      <c r="A142" s="362"/>
      <c r="B142" s="616"/>
      <c r="C142" s="367" t="s">
        <v>8</v>
      </c>
      <c r="D142" s="849"/>
      <c r="E142" s="751" t="s">
        <v>17560</v>
      </c>
      <c r="F142" s="487"/>
      <c r="G142" s="751" t="s">
        <v>17563</v>
      </c>
      <c r="H142" s="487"/>
      <c r="I142" s="487"/>
      <c r="J142" s="125"/>
      <c r="K142" s="125"/>
      <c r="L142" s="125"/>
    </row>
    <row r="143" spans="1:12" s="122" customFormat="1" ht="11.25">
      <c r="A143" s="362"/>
      <c r="B143" s="616"/>
      <c r="C143" s="367" t="s">
        <v>7</v>
      </c>
      <c r="D143" s="849"/>
      <c r="E143" s="489" t="s">
        <v>17558</v>
      </c>
      <c r="F143" s="489" t="s">
        <v>17553</v>
      </c>
      <c r="G143" s="489" t="s">
        <v>17562</v>
      </c>
      <c r="H143" s="489"/>
      <c r="I143" s="489"/>
      <c r="J143" s="125"/>
      <c r="K143" s="125"/>
      <c r="L143" s="125"/>
    </row>
    <row r="144" spans="1:12" s="122" customFormat="1" ht="11.25">
      <c r="A144" s="362"/>
      <c r="B144" s="616"/>
      <c r="C144" s="367" t="s">
        <v>6</v>
      </c>
      <c r="D144" s="849"/>
      <c r="E144" s="490">
        <v>44322</v>
      </c>
      <c r="F144" s="490">
        <v>44322</v>
      </c>
      <c r="G144" s="490">
        <v>44322</v>
      </c>
      <c r="H144" s="490"/>
      <c r="I144" s="490"/>
      <c r="J144" s="125"/>
      <c r="K144" s="125"/>
      <c r="L144" s="125"/>
    </row>
    <row r="145" spans="1:12" s="122" customFormat="1" ht="11.25">
      <c r="A145" s="363"/>
      <c r="B145" s="617"/>
      <c r="C145" s="367" t="s">
        <v>8993</v>
      </c>
      <c r="D145" s="850"/>
      <c r="E145" s="490" t="s">
        <v>17554</v>
      </c>
      <c r="F145" s="490" t="s">
        <v>17554</v>
      </c>
      <c r="G145" s="490" t="s">
        <v>17554</v>
      </c>
      <c r="H145" s="490"/>
      <c r="I145" s="490"/>
      <c r="J145" s="125"/>
      <c r="K145" s="125"/>
      <c r="L145" s="125"/>
    </row>
    <row r="146" spans="1:12" s="121" customFormat="1" ht="11.25">
      <c r="A146" s="173"/>
      <c r="B146" s="613"/>
      <c r="C146" s="180"/>
      <c r="D146" s="180"/>
      <c r="E146" s="180"/>
      <c r="F146" s="180"/>
      <c r="G146" s="180"/>
      <c r="H146" s="180"/>
      <c r="I146" s="180"/>
      <c r="J146" s="124"/>
      <c r="K146" s="124"/>
      <c r="L146" s="124"/>
    </row>
    <row r="147" spans="1:12" s="122" customFormat="1" ht="22.5">
      <c r="A147" s="366" t="s">
        <v>15358</v>
      </c>
      <c r="B147" s="626" t="s">
        <v>17583</v>
      </c>
      <c r="C147" s="369">
        <f>MIN(E149:I149)</f>
        <v>3609.05</v>
      </c>
      <c r="D147" s="370" t="s">
        <v>109</v>
      </c>
      <c r="E147" s="486" t="s">
        <v>14756</v>
      </c>
      <c r="F147" s="486" t="s">
        <v>14766</v>
      </c>
      <c r="G147" s="486" t="s">
        <v>16777</v>
      </c>
      <c r="H147" s="486"/>
      <c r="I147" s="486"/>
      <c r="J147" s="125" t="s">
        <v>207</v>
      </c>
      <c r="K147" s="125"/>
      <c r="L147" s="125"/>
    </row>
    <row r="148" spans="1:12" s="122" customFormat="1" ht="22.5">
      <c r="A148" s="361"/>
      <c r="B148" s="615"/>
      <c r="C148" s="367" t="s">
        <v>284</v>
      </c>
      <c r="D148" s="848"/>
      <c r="E148" s="487" t="s">
        <v>14757</v>
      </c>
      <c r="F148" s="487" t="s">
        <v>14767</v>
      </c>
      <c r="G148" s="487" t="s">
        <v>15173</v>
      </c>
      <c r="H148" s="487"/>
      <c r="I148" s="487"/>
      <c r="J148" s="125" t="s">
        <v>283</v>
      </c>
      <c r="K148" s="125" t="s">
        <v>280</v>
      </c>
      <c r="L148" s="125" t="s">
        <v>281</v>
      </c>
    </row>
    <row r="149" spans="1:12" s="122" customFormat="1" ht="11.25">
      <c r="A149" s="362"/>
      <c r="B149" s="616"/>
      <c r="C149" s="367" t="s">
        <v>9</v>
      </c>
      <c r="D149" s="849"/>
      <c r="E149" s="84">
        <v>3647.04</v>
      </c>
      <c r="F149" s="84">
        <v>3799</v>
      </c>
      <c r="G149" s="488">
        <v>3609.05</v>
      </c>
      <c r="H149" s="84"/>
      <c r="I149" s="84"/>
      <c r="J149" s="125">
        <f>MEDIAN(E149:I149)</f>
        <v>3647.04</v>
      </c>
      <c r="K149" s="125">
        <f>J149*1.3</f>
        <v>4741.152</v>
      </c>
      <c r="L149" s="125">
        <f>J149*0.7</f>
        <v>2552.9279999999999</v>
      </c>
    </row>
    <row r="150" spans="1:12" s="122" customFormat="1" ht="11.25">
      <c r="A150" s="362"/>
      <c r="B150" s="616"/>
      <c r="C150" s="367" t="s">
        <v>8</v>
      </c>
      <c r="D150" s="849"/>
      <c r="E150" s="751" t="s">
        <v>14758</v>
      </c>
      <c r="F150" s="487" t="s">
        <v>14758</v>
      </c>
      <c r="G150" s="487" t="s">
        <v>14758</v>
      </c>
      <c r="H150" s="487"/>
      <c r="I150" s="487"/>
      <c r="J150" s="125"/>
      <c r="K150" s="125"/>
      <c r="L150" s="125"/>
    </row>
    <row r="151" spans="1:12" s="122" customFormat="1" ht="11.25">
      <c r="A151" s="362"/>
      <c r="B151" s="616"/>
      <c r="C151" s="367" t="s">
        <v>7</v>
      </c>
      <c r="D151" s="849"/>
      <c r="E151" s="489" t="s">
        <v>14759</v>
      </c>
      <c r="F151" s="489" t="s">
        <v>14768</v>
      </c>
      <c r="G151" s="489" t="s">
        <v>14937</v>
      </c>
      <c r="H151" s="489"/>
      <c r="I151" s="489"/>
      <c r="J151" s="125"/>
      <c r="K151" s="125"/>
      <c r="L151" s="125"/>
    </row>
    <row r="152" spans="1:12" s="122" customFormat="1" ht="11.25">
      <c r="A152" s="362"/>
      <c r="B152" s="616"/>
      <c r="C152" s="367" t="s">
        <v>6</v>
      </c>
      <c r="D152" s="849"/>
      <c r="E152" s="490">
        <v>44322</v>
      </c>
      <c r="F152" s="490">
        <v>44322</v>
      </c>
      <c r="G152" s="490">
        <v>44322</v>
      </c>
      <c r="H152" s="490"/>
      <c r="I152" s="490"/>
      <c r="J152" s="125"/>
      <c r="K152" s="125"/>
      <c r="L152" s="125"/>
    </row>
    <row r="153" spans="1:12" s="122" customFormat="1" ht="11.25">
      <c r="A153" s="363"/>
      <c r="B153" s="617"/>
      <c r="C153" s="367" t="s">
        <v>8993</v>
      </c>
      <c r="D153" s="850"/>
      <c r="E153" s="490" t="s">
        <v>17582</v>
      </c>
      <c r="F153" s="490" t="s">
        <v>17582</v>
      </c>
      <c r="G153" s="490" t="s">
        <v>17582</v>
      </c>
      <c r="H153" s="490"/>
      <c r="I153" s="490"/>
      <c r="J153" s="125"/>
      <c r="K153" s="125"/>
      <c r="L153" s="125"/>
    </row>
    <row r="154" spans="1:12" s="121" customFormat="1" ht="11.25">
      <c r="A154" s="173"/>
      <c r="B154" s="613"/>
      <c r="C154" s="180"/>
      <c r="D154" s="180"/>
      <c r="E154" s="180"/>
      <c r="F154" s="180"/>
      <c r="G154" s="180"/>
      <c r="H154" s="180"/>
      <c r="I154" s="180"/>
      <c r="J154" s="124"/>
      <c r="K154" s="124"/>
      <c r="L154" s="124"/>
    </row>
    <row r="155" spans="1:12" s="122" customFormat="1" ht="11.25">
      <c r="A155" s="366" t="s">
        <v>15359</v>
      </c>
      <c r="B155" s="626" t="s">
        <v>15325</v>
      </c>
      <c r="C155" s="369">
        <f>MIN(E157:I157)</f>
        <v>67</v>
      </c>
      <c r="D155" s="370" t="s">
        <v>109</v>
      </c>
      <c r="E155" s="486" t="s">
        <v>14752</v>
      </c>
      <c r="F155" s="486" t="s">
        <v>14756</v>
      </c>
      <c r="G155" s="486" t="s">
        <v>14766</v>
      </c>
      <c r="H155" s="486" t="s">
        <v>18219</v>
      </c>
      <c r="I155" s="486"/>
      <c r="J155" s="125" t="s">
        <v>207</v>
      </c>
      <c r="K155" s="125"/>
      <c r="L155" s="125"/>
    </row>
    <row r="156" spans="1:12" s="122" customFormat="1" ht="22.5">
      <c r="A156" s="361"/>
      <c r="B156" s="615"/>
      <c r="C156" s="367" t="s">
        <v>284</v>
      </c>
      <c r="D156" s="848"/>
      <c r="E156" s="487" t="s">
        <v>14753</v>
      </c>
      <c r="F156" s="487" t="s">
        <v>14757</v>
      </c>
      <c r="G156" s="487" t="s">
        <v>14767</v>
      </c>
      <c r="H156" s="675" t="s">
        <v>18225</v>
      </c>
      <c r="I156" s="487"/>
      <c r="J156" s="125" t="s">
        <v>283</v>
      </c>
      <c r="K156" s="125" t="s">
        <v>280</v>
      </c>
      <c r="L156" s="125" t="s">
        <v>281</v>
      </c>
    </row>
    <row r="157" spans="1:12" s="122" customFormat="1" ht="11.25">
      <c r="A157" s="362"/>
      <c r="B157" s="616"/>
      <c r="C157" s="367" t="s">
        <v>9</v>
      </c>
      <c r="D157" s="849"/>
      <c r="E157" s="488">
        <v>79.900000000000006</v>
      </c>
      <c r="F157" s="84">
        <v>67</v>
      </c>
      <c r="G157" s="84">
        <v>89.9</v>
      </c>
      <c r="H157" s="84">
        <v>80.3</v>
      </c>
      <c r="I157" s="84"/>
      <c r="J157" s="125">
        <f>MEDIAN(E157:I157)</f>
        <v>80.099999999999994</v>
      </c>
      <c r="K157" s="125">
        <f>J157*1.3</f>
        <v>104.13</v>
      </c>
      <c r="L157" s="125">
        <f>J157*0.7</f>
        <v>56.069999999999993</v>
      </c>
    </row>
    <row r="158" spans="1:12" s="122" customFormat="1" ht="11.25">
      <c r="A158" s="362"/>
      <c r="B158" s="616"/>
      <c r="C158" s="367" t="s">
        <v>8</v>
      </c>
      <c r="D158" s="849"/>
      <c r="E158" s="487" t="s">
        <v>15326</v>
      </c>
      <c r="F158" s="751" t="s">
        <v>14758</v>
      </c>
      <c r="G158" s="487" t="s">
        <v>14758</v>
      </c>
      <c r="H158" s="487"/>
      <c r="I158" s="487"/>
      <c r="J158" s="125"/>
      <c r="K158" s="125"/>
      <c r="L158" s="125"/>
    </row>
    <row r="159" spans="1:12" s="122" customFormat="1" ht="11.25">
      <c r="A159" s="362"/>
      <c r="B159" s="616"/>
      <c r="C159" s="367" t="s">
        <v>7</v>
      </c>
      <c r="D159" s="849"/>
      <c r="E159" s="489" t="s">
        <v>14755</v>
      </c>
      <c r="F159" s="489" t="s">
        <v>14759</v>
      </c>
      <c r="G159" s="489" t="s">
        <v>14768</v>
      </c>
      <c r="H159" s="489"/>
      <c r="I159" s="489"/>
      <c r="J159" s="125"/>
      <c r="K159" s="125"/>
      <c r="L159" s="125"/>
    </row>
    <row r="160" spans="1:12" s="122" customFormat="1" ht="11.25">
      <c r="A160" s="362"/>
      <c r="B160" s="616"/>
      <c r="C160" s="367" t="s">
        <v>6</v>
      </c>
      <c r="D160" s="849"/>
      <c r="E160" s="490">
        <v>44256</v>
      </c>
      <c r="F160" s="490">
        <v>44256</v>
      </c>
      <c r="G160" s="490">
        <v>44256</v>
      </c>
      <c r="H160" s="490">
        <v>44292</v>
      </c>
      <c r="I160" s="490"/>
      <c r="J160" s="125"/>
      <c r="K160" s="125"/>
      <c r="L160" s="125"/>
    </row>
    <row r="161" spans="1:12" s="122" customFormat="1" ht="11.25">
      <c r="A161" s="363"/>
      <c r="B161" s="617"/>
      <c r="C161" s="367" t="s">
        <v>8993</v>
      </c>
      <c r="D161" s="850"/>
      <c r="E161" s="490" t="s">
        <v>17598</v>
      </c>
      <c r="F161" s="490" t="s">
        <v>17598</v>
      </c>
      <c r="G161" s="490" t="s">
        <v>17598</v>
      </c>
      <c r="H161" s="490" t="s">
        <v>18220</v>
      </c>
      <c r="I161" s="490"/>
      <c r="J161" s="125"/>
      <c r="K161" s="125"/>
      <c r="L161" s="125"/>
    </row>
    <row r="162" spans="1:12" s="121" customFormat="1" ht="11.25">
      <c r="A162" s="173"/>
      <c r="B162" s="613"/>
      <c r="C162" s="180"/>
      <c r="D162" s="180"/>
      <c r="E162" s="180"/>
      <c r="F162" s="180"/>
      <c r="G162" s="180"/>
      <c r="H162" s="180"/>
      <c r="I162" s="180"/>
      <c r="J162" s="124"/>
      <c r="K162" s="124"/>
      <c r="L162" s="124"/>
    </row>
    <row r="163" spans="1:12" s="122" customFormat="1" ht="11.25">
      <c r="A163" s="366" t="s">
        <v>17601</v>
      </c>
      <c r="B163" s="626" t="s">
        <v>17602</v>
      </c>
      <c r="C163" s="369">
        <f>MIN(E165:I165)</f>
        <v>41.12</v>
      </c>
      <c r="D163" s="370" t="s">
        <v>109</v>
      </c>
      <c r="E163" s="486" t="s">
        <v>14925</v>
      </c>
      <c r="F163" s="486" t="s">
        <v>17604</v>
      </c>
      <c r="G163" s="486" t="s">
        <v>15313</v>
      </c>
      <c r="H163" s="486"/>
      <c r="I163" s="486"/>
      <c r="J163" s="125" t="s">
        <v>207</v>
      </c>
      <c r="K163" s="125"/>
      <c r="L163" s="125"/>
    </row>
    <row r="164" spans="1:12" s="122" customFormat="1" ht="22.5">
      <c r="A164" s="361"/>
      <c r="B164" s="615"/>
      <c r="C164" s="367" t="s">
        <v>284</v>
      </c>
      <c r="D164" s="848"/>
      <c r="E164" s="487" t="s">
        <v>17431</v>
      </c>
      <c r="F164" s="487" t="s">
        <v>17606</v>
      </c>
      <c r="G164" s="487" t="s">
        <v>15315</v>
      </c>
      <c r="H164" s="487"/>
      <c r="I164" s="487"/>
      <c r="J164" s="125" t="s">
        <v>283</v>
      </c>
      <c r="K164" s="125" t="s">
        <v>280</v>
      </c>
      <c r="L164" s="125" t="s">
        <v>281</v>
      </c>
    </row>
    <row r="165" spans="1:12" s="122" customFormat="1" ht="11.25">
      <c r="A165" s="362"/>
      <c r="B165" s="616"/>
      <c r="C165" s="367" t="s">
        <v>9</v>
      </c>
      <c r="D165" s="849"/>
      <c r="E165" s="488">
        <v>43.61</v>
      </c>
      <c r="F165" s="84">
        <v>41.12</v>
      </c>
      <c r="G165" s="488">
        <v>46.22</v>
      </c>
      <c r="H165" s="84"/>
      <c r="I165" s="84"/>
      <c r="J165" s="125">
        <f>MEDIAN(E165:I165)</f>
        <v>43.61</v>
      </c>
      <c r="K165" s="125">
        <f>J165*1.3</f>
        <v>56.692999999999998</v>
      </c>
      <c r="L165" s="125">
        <f>J165*0.7</f>
        <v>30.526999999999997</v>
      </c>
    </row>
    <row r="166" spans="1:12" s="122" customFormat="1" ht="11.25">
      <c r="A166" s="362"/>
      <c r="B166" s="616"/>
      <c r="C166" s="367" t="s">
        <v>8</v>
      </c>
      <c r="D166" s="849"/>
      <c r="E166" s="487" t="s">
        <v>14926</v>
      </c>
      <c r="F166" s="751" t="s">
        <v>17607</v>
      </c>
      <c r="G166" s="487" t="s">
        <v>15318</v>
      </c>
      <c r="H166" s="487"/>
      <c r="I166" s="487"/>
      <c r="J166" s="125"/>
      <c r="K166" s="125"/>
      <c r="L166" s="125"/>
    </row>
    <row r="167" spans="1:12" s="122" customFormat="1" ht="11.25">
      <c r="A167" s="362"/>
      <c r="B167" s="616"/>
      <c r="C167" s="367" t="s">
        <v>7</v>
      </c>
      <c r="D167" s="849"/>
      <c r="E167" s="489" t="s">
        <v>14927</v>
      </c>
      <c r="F167" s="489" t="s">
        <v>17605</v>
      </c>
      <c r="G167" s="489" t="s">
        <v>15320</v>
      </c>
      <c r="H167" s="489"/>
      <c r="I167" s="489"/>
      <c r="J167" s="125"/>
      <c r="K167" s="125"/>
      <c r="L167" s="125"/>
    </row>
    <row r="168" spans="1:12" s="122" customFormat="1" ht="11.25">
      <c r="A168" s="362"/>
      <c r="B168" s="616"/>
      <c r="C168" s="367" t="s">
        <v>6</v>
      </c>
      <c r="D168" s="849"/>
      <c r="E168" s="490">
        <v>44323</v>
      </c>
      <c r="F168" s="490">
        <v>44323</v>
      </c>
      <c r="G168" s="490">
        <v>44323</v>
      </c>
      <c r="H168" s="490"/>
      <c r="I168" s="490"/>
      <c r="J168" s="125"/>
      <c r="K168" s="125"/>
      <c r="L168" s="125"/>
    </row>
    <row r="169" spans="1:12" s="122" customFormat="1" ht="11.25">
      <c r="A169" s="363"/>
      <c r="B169" s="617"/>
      <c r="C169" s="367" t="s">
        <v>8993</v>
      </c>
      <c r="D169" s="850"/>
      <c r="E169" s="490" t="s">
        <v>17603</v>
      </c>
      <c r="F169" s="490" t="s">
        <v>17603</v>
      </c>
      <c r="G169" s="490" t="s">
        <v>17603</v>
      </c>
      <c r="H169" s="490"/>
      <c r="I169" s="490"/>
      <c r="J169" s="125"/>
      <c r="K169" s="125"/>
      <c r="L169" s="125"/>
    </row>
    <row r="170" spans="1:12" s="121" customFormat="1" ht="11.25">
      <c r="A170" s="173"/>
      <c r="B170" s="613"/>
      <c r="C170" s="180"/>
      <c r="D170" s="180"/>
      <c r="E170" s="180"/>
      <c r="F170" s="180"/>
      <c r="G170" s="180"/>
      <c r="H170" s="180"/>
      <c r="I170" s="180"/>
      <c r="J170" s="124"/>
      <c r="K170" s="124"/>
      <c r="L170" s="124"/>
    </row>
    <row r="171" spans="1:12" s="122" customFormat="1" ht="22.5">
      <c r="A171" s="366" t="s">
        <v>17611</v>
      </c>
      <c r="B171" s="626" t="s">
        <v>17612</v>
      </c>
      <c r="C171" s="369">
        <f>MIN(E173:I173)</f>
        <v>2058.21</v>
      </c>
      <c r="D171" s="370" t="s">
        <v>109</v>
      </c>
      <c r="E171" s="486" t="s">
        <v>14756</v>
      </c>
      <c r="F171" s="486" t="s">
        <v>17614</v>
      </c>
      <c r="G171" s="486" t="s">
        <v>17618</v>
      </c>
      <c r="H171" s="486"/>
      <c r="I171" s="486"/>
      <c r="J171" s="125" t="s">
        <v>207</v>
      </c>
      <c r="K171" s="125"/>
      <c r="L171" s="125"/>
    </row>
    <row r="172" spans="1:12" s="122" customFormat="1" ht="22.5">
      <c r="A172" s="361"/>
      <c r="B172" s="615"/>
      <c r="C172" s="367" t="s">
        <v>284</v>
      </c>
      <c r="D172" s="848"/>
      <c r="E172" s="487" t="s">
        <v>14757</v>
      </c>
      <c r="F172" s="487" t="s">
        <v>17615</v>
      </c>
      <c r="G172" s="487" t="s">
        <v>17621</v>
      </c>
      <c r="H172" s="487"/>
      <c r="I172" s="487"/>
      <c r="J172" s="125" t="s">
        <v>283</v>
      </c>
      <c r="K172" s="125" t="s">
        <v>280</v>
      </c>
      <c r="L172" s="125" t="s">
        <v>281</v>
      </c>
    </row>
    <row r="173" spans="1:12" s="122" customFormat="1" ht="11.25">
      <c r="A173" s="362"/>
      <c r="B173" s="616"/>
      <c r="C173" s="367" t="s">
        <v>9</v>
      </c>
      <c r="D173" s="849"/>
      <c r="E173" s="84">
        <v>2278.5</v>
      </c>
      <c r="F173" s="84">
        <v>2058.21</v>
      </c>
      <c r="G173" s="488">
        <v>2299</v>
      </c>
      <c r="H173" s="84"/>
      <c r="I173" s="84"/>
      <c r="J173" s="125">
        <f>MEDIAN(E173:I173)</f>
        <v>2278.5</v>
      </c>
      <c r="K173" s="125">
        <f>J173*1.3</f>
        <v>2962.05</v>
      </c>
      <c r="L173" s="125">
        <f>J173*0.7</f>
        <v>1594.9499999999998</v>
      </c>
    </row>
    <row r="174" spans="1:12" s="122" customFormat="1" ht="11.25">
      <c r="A174" s="362"/>
      <c r="B174" s="616"/>
      <c r="C174" s="367" t="s">
        <v>8</v>
      </c>
      <c r="D174" s="849"/>
      <c r="E174" s="751" t="s">
        <v>14758</v>
      </c>
      <c r="F174" s="487" t="s">
        <v>17617</v>
      </c>
      <c r="G174" s="487" t="s">
        <v>17619</v>
      </c>
      <c r="H174" s="487"/>
      <c r="I174" s="487"/>
      <c r="J174" s="125"/>
      <c r="K174" s="125"/>
      <c r="L174" s="125"/>
    </row>
    <row r="175" spans="1:12" s="122" customFormat="1" ht="11.25">
      <c r="A175" s="362"/>
      <c r="B175" s="616"/>
      <c r="C175" s="367" t="s">
        <v>7</v>
      </c>
      <c r="D175" s="849"/>
      <c r="E175" s="489" t="s">
        <v>14759</v>
      </c>
      <c r="F175" s="489" t="s">
        <v>17616</v>
      </c>
      <c r="G175" s="489" t="s">
        <v>17620</v>
      </c>
      <c r="H175" s="489"/>
      <c r="I175" s="489"/>
      <c r="J175" s="125"/>
      <c r="K175" s="125"/>
      <c r="L175" s="125"/>
    </row>
    <row r="176" spans="1:12" s="122" customFormat="1" ht="11.25">
      <c r="A176" s="362"/>
      <c r="B176" s="616"/>
      <c r="C176" s="367" t="s">
        <v>6</v>
      </c>
      <c r="D176" s="849"/>
      <c r="E176" s="490">
        <v>44323</v>
      </c>
      <c r="F176" s="490">
        <v>44323</v>
      </c>
      <c r="G176" s="490">
        <v>44323</v>
      </c>
      <c r="H176" s="490"/>
      <c r="I176" s="490"/>
      <c r="J176" s="125"/>
      <c r="K176" s="125"/>
      <c r="L176" s="125"/>
    </row>
    <row r="177" spans="1:12" s="122" customFormat="1" ht="11.25">
      <c r="A177" s="363"/>
      <c r="B177" s="617"/>
      <c r="C177" s="367" t="s">
        <v>8993</v>
      </c>
      <c r="D177" s="850"/>
      <c r="E177" s="490" t="s">
        <v>17613</v>
      </c>
      <c r="F177" s="490" t="s">
        <v>17613</v>
      </c>
      <c r="G177" s="490" t="s">
        <v>17613</v>
      </c>
      <c r="H177" s="490"/>
      <c r="I177" s="490"/>
      <c r="J177" s="125"/>
      <c r="K177" s="125"/>
      <c r="L177" s="125"/>
    </row>
    <row r="178" spans="1:12" s="121" customFormat="1" ht="11.25">
      <c r="A178" s="173"/>
      <c r="B178" s="613"/>
      <c r="C178" s="180"/>
      <c r="D178" s="180"/>
      <c r="E178" s="180"/>
      <c r="F178" s="180"/>
      <c r="G178" s="180"/>
      <c r="H178" s="180"/>
      <c r="I178" s="180"/>
      <c r="J178" s="124"/>
      <c r="K178" s="124"/>
      <c r="L178" s="124"/>
    </row>
    <row r="179" spans="1:12" s="122" customFormat="1" ht="22.5">
      <c r="A179" s="366" t="s">
        <v>17626</v>
      </c>
      <c r="B179" s="626" t="s">
        <v>17623</v>
      </c>
      <c r="C179" s="369">
        <f>MIN(E181:I181)</f>
        <v>365</v>
      </c>
      <c r="D179" s="370" t="s">
        <v>109</v>
      </c>
      <c r="E179" s="486" t="s">
        <v>17628</v>
      </c>
      <c r="F179" s="486" t="s">
        <v>17632</v>
      </c>
      <c r="G179" s="486" t="s">
        <v>17636</v>
      </c>
      <c r="H179" s="486" t="s">
        <v>18219</v>
      </c>
      <c r="I179" s="486"/>
      <c r="J179" s="125" t="s">
        <v>207</v>
      </c>
      <c r="K179" s="125"/>
      <c r="L179" s="125"/>
    </row>
    <row r="180" spans="1:12" s="122" customFormat="1" ht="22.5">
      <c r="A180" s="361"/>
      <c r="B180" s="615"/>
      <c r="C180" s="367" t="s">
        <v>284</v>
      </c>
      <c r="D180" s="848"/>
      <c r="E180" s="487" t="s">
        <v>17630</v>
      </c>
      <c r="F180" s="487" t="s">
        <v>17635</v>
      </c>
      <c r="G180" s="487" t="s">
        <v>17638</v>
      </c>
      <c r="H180" s="675" t="s">
        <v>18226</v>
      </c>
      <c r="I180" s="487"/>
      <c r="J180" s="125" t="s">
        <v>283</v>
      </c>
      <c r="K180" s="125" t="s">
        <v>280</v>
      </c>
      <c r="L180" s="125" t="s">
        <v>281</v>
      </c>
    </row>
    <row r="181" spans="1:12" s="122" customFormat="1" ht="11.25">
      <c r="A181" s="362"/>
      <c r="B181" s="616"/>
      <c r="C181" s="367" t="s">
        <v>9</v>
      </c>
      <c r="D181" s="849"/>
      <c r="E181" s="84">
        <v>420</v>
      </c>
      <c r="F181" s="84">
        <v>447.33</v>
      </c>
      <c r="G181" s="488">
        <v>365</v>
      </c>
      <c r="H181" s="84">
        <v>410</v>
      </c>
      <c r="I181" s="84"/>
      <c r="J181" s="125">
        <f>MEDIAN(E181:I181)</f>
        <v>415</v>
      </c>
      <c r="K181" s="125">
        <f>J181*1.3</f>
        <v>539.5</v>
      </c>
      <c r="L181" s="125">
        <f>J181*0.7</f>
        <v>290.5</v>
      </c>
    </row>
    <row r="182" spans="1:12" s="122" customFormat="1" ht="11.25">
      <c r="A182" s="362"/>
      <c r="B182" s="616"/>
      <c r="C182" s="367" t="s">
        <v>8</v>
      </c>
      <c r="D182" s="849"/>
      <c r="E182" s="751" t="s">
        <v>17631</v>
      </c>
      <c r="F182" s="487" t="s">
        <v>17634</v>
      </c>
      <c r="G182" s="487" t="s">
        <v>17639</v>
      </c>
      <c r="H182" s="487"/>
      <c r="I182" s="487"/>
      <c r="J182" s="125"/>
      <c r="K182" s="125"/>
      <c r="L182" s="125"/>
    </row>
    <row r="183" spans="1:12" s="122" customFormat="1" ht="11.25">
      <c r="A183" s="362"/>
      <c r="B183" s="616"/>
      <c r="C183" s="367" t="s">
        <v>7</v>
      </c>
      <c r="D183" s="849"/>
      <c r="E183" s="489" t="s">
        <v>17629</v>
      </c>
      <c r="F183" s="489" t="s">
        <v>17633</v>
      </c>
      <c r="G183" s="489" t="s">
        <v>17637</v>
      </c>
      <c r="H183" s="489"/>
      <c r="I183" s="489"/>
      <c r="J183" s="125"/>
      <c r="K183" s="125"/>
      <c r="L183" s="125"/>
    </row>
    <row r="184" spans="1:12" s="122" customFormat="1" ht="11.25">
      <c r="A184" s="362"/>
      <c r="B184" s="616"/>
      <c r="C184" s="367" t="s">
        <v>6</v>
      </c>
      <c r="D184" s="849"/>
      <c r="E184" s="490">
        <v>44323</v>
      </c>
      <c r="F184" s="490">
        <v>44323</v>
      </c>
      <c r="G184" s="490">
        <v>44323</v>
      </c>
      <c r="H184" s="490">
        <v>43997</v>
      </c>
      <c r="I184" s="490"/>
      <c r="J184" s="125"/>
      <c r="K184" s="125"/>
      <c r="L184" s="125"/>
    </row>
    <row r="185" spans="1:12" s="122" customFormat="1" ht="11.25">
      <c r="A185" s="363"/>
      <c r="B185" s="617"/>
      <c r="C185" s="367" t="s">
        <v>8993</v>
      </c>
      <c r="D185" s="850"/>
      <c r="E185" s="490" t="s">
        <v>17627</v>
      </c>
      <c r="F185" s="490" t="s">
        <v>17627</v>
      </c>
      <c r="G185" s="490" t="s">
        <v>17627</v>
      </c>
      <c r="H185" s="490" t="s">
        <v>18220</v>
      </c>
      <c r="I185" s="490"/>
      <c r="J185" s="125"/>
      <c r="K185" s="125"/>
      <c r="L185" s="125"/>
    </row>
    <row r="186" spans="1:12" s="121" customFormat="1" ht="11.25">
      <c r="A186" s="173"/>
      <c r="B186" s="613"/>
      <c r="C186" s="180"/>
      <c r="D186" s="180"/>
      <c r="E186" s="180"/>
      <c r="F186" s="180"/>
      <c r="G186" s="180"/>
      <c r="H186" s="180"/>
      <c r="I186" s="180"/>
      <c r="J186" s="124"/>
      <c r="K186" s="124"/>
      <c r="L186" s="124"/>
    </row>
    <row r="187" spans="1:12" s="122" customFormat="1" ht="22.5">
      <c r="A187" s="366" t="s">
        <v>17640</v>
      </c>
      <c r="B187" s="626" t="s">
        <v>15312</v>
      </c>
      <c r="C187" s="369">
        <f>MIN(E189:I189)</f>
        <v>524.07000000000005</v>
      </c>
      <c r="D187" s="370" t="s">
        <v>109</v>
      </c>
      <c r="E187" s="486" t="s">
        <v>15313</v>
      </c>
      <c r="F187" s="486" t="s">
        <v>15314</v>
      </c>
      <c r="G187" s="486" t="s">
        <v>14744</v>
      </c>
      <c r="H187" s="486"/>
      <c r="I187" s="486"/>
      <c r="J187" s="125" t="s">
        <v>207</v>
      </c>
      <c r="K187" s="125"/>
      <c r="L187" s="125"/>
    </row>
    <row r="188" spans="1:12" s="122" customFormat="1" ht="22.5">
      <c r="A188" s="361"/>
      <c r="B188" s="615"/>
      <c r="C188" s="367" t="s">
        <v>284</v>
      </c>
      <c r="D188" s="848"/>
      <c r="E188" s="487" t="s">
        <v>15315</v>
      </c>
      <c r="F188" s="487" t="s">
        <v>15316</v>
      </c>
      <c r="G188" s="487" t="s">
        <v>15317</v>
      </c>
      <c r="H188" s="487"/>
      <c r="I188" s="487"/>
      <c r="J188" s="125" t="s">
        <v>283</v>
      </c>
      <c r="K188" s="125" t="s">
        <v>280</v>
      </c>
      <c r="L188" s="125" t="s">
        <v>281</v>
      </c>
    </row>
    <row r="189" spans="1:12" s="122" customFormat="1" ht="11.25">
      <c r="A189" s="362"/>
      <c r="B189" s="616"/>
      <c r="C189" s="367" t="s">
        <v>9</v>
      </c>
      <c r="D189" s="849"/>
      <c r="E189" s="488">
        <f>376.91+218.08</f>
        <v>594.99</v>
      </c>
      <c r="F189" s="84">
        <f>338.41+214.61</f>
        <v>553.02</v>
      </c>
      <c r="G189" s="84">
        <f>320.72+203.35</f>
        <v>524.07000000000005</v>
      </c>
      <c r="H189" s="84"/>
      <c r="I189" s="84"/>
      <c r="J189" s="125">
        <f>MEDIAN(E189:I189)</f>
        <v>553.02</v>
      </c>
      <c r="K189" s="125">
        <f>J189*1.3</f>
        <v>718.92600000000004</v>
      </c>
      <c r="L189" s="125">
        <f>J189*0.7</f>
        <v>387.11399999999998</v>
      </c>
    </row>
    <row r="190" spans="1:12" s="122" customFormat="1" ht="11.25">
      <c r="A190" s="362"/>
      <c r="B190" s="616"/>
      <c r="C190" s="367" t="s">
        <v>8</v>
      </c>
      <c r="D190" s="849"/>
      <c r="E190" s="487" t="s">
        <v>15318</v>
      </c>
      <c r="F190" s="487" t="s">
        <v>15319</v>
      </c>
      <c r="G190" s="751" t="s">
        <v>15106</v>
      </c>
      <c r="H190" s="487"/>
      <c r="I190" s="487"/>
      <c r="J190" s="125"/>
      <c r="K190" s="125"/>
      <c r="L190" s="125"/>
    </row>
    <row r="191" spans="1:12" s="122" customFormat="1" ht="11.25">
      <c r="A191" s="362"/>
      <c r="B191" s="616"/>
      <c r="C191" s="367" t="s">
        <v>7</v>
      </c>
      <c r="D191" s="849"/>
      <c r="E191" s="489" t="s">
        <v>15320</v>
      </c>
      <c r="F191" s="489" t="s">
        <v>15321</v>
      </c>
      <c r="G191" s="489" t="s">
        <v>15322</v>
      </c>
      <c r="H191" s="489"/>
      <c r="I191" s="489"/>
      <c r="J191" s="125"/>
      <c r="K191" s="125"/>
      <c r="L191" s="125"/>
    </row>
    <row r="192" spans="1:12" s="122" customFormat="1" ht="11.25">
      <c r="A192" s="362"/>
      <c r="B192" s="616"/>
      <c r="C192" s="367" t="s">
        <v>6</v>
      </c>
      <c r="D192" s="849"/>
      <c r="E192" s="490">
        <v>44256</v>
      </c>
      <c r="F192" s="490">
        <v>44256</v>
      </c>
      <c r="G192" s="490">
        <v>44256</v>
      </c>
      <c r="H192" s="490"/>
      <c r="I192" s="490"/>
      <c r="J192" s="125"/>
      <c r="K192" s="125"/>
      <c r="L192" s="125"/>
    </row>
    <row r="193" spans="1:12" s="122" customFormat="1" ht="11.25">
      <c r="A193" s="363"/>
      <c r="B193" s="617"/>
      <c r="C193" s="367" t="s">
        <v>8993</v>
      </c>
      <c r="D193" s="850"/>
      <c r="E193" s="490" t="s">
        <v>17641</v>
      </c>
      <c r="F193" s="490" t="s">
        <v>17641</v>
      </c>
      <c r="G193" s="490" t="s">
        <v>17641</v>
      </c>
      <c r="H193" s="490"/>
      <c r="I193" s="490"/>
      <c r="J193" s="125"/>
      <c r="K193" s="125"/>
      <c r="L193" s="125"/>
    </row>
    <row r="194" spans="1:12" s="121" customFormat="1" ht="11.25">
      <c r="A194" s="173"/>
      <c r="B194" s="613"/>
      <c r="C194" s="180"/>
      <c r="D194" s="180"/>
      <c r="E194" s="180"/>
      <c r="F194" s="180"/>
      <c r="G194" s="180"/>
      <c r="H194" s="180"/>
      <c r="I194" s="180"/>
      <c r="J194" s="124"/>
      <c r="K194" s="124"/>
      <c r="L194" s="124"/>
    </row>
    <row r="195" spans="1:12" s="122" customFormat="1" ht="22.5">
      <c r="A195" s="366" t="s">
        <v>17642</v>
      </c>
      <c r="B195" s="626" t="s">
        <v>17654</v>
      </c>
      <c r="C195" s="369">
        <f>MIN(E197:I197)</f>
        <v>2046.3</v>
      </c>
      <c r="D195" s="370" t="s">
        <v>109</v>
      </c>
      <c r="E195" s="486" t="s">
        <v>17644</v>
      </c>
      <c r="F195" s="486" t="s">
        <v>17648</v>
      </c>
      <c r="G195" s="486" t="s">
        <v>16777</v>
      </c>
      <c r="H195" s="486"/>
      <c r="I195" s="486"/>
      <c r="J195" s="125" t="s">
        <v>207</v>
      </c>
      <c r="K195" s="125"/>
      <c r="L195" s="125"/>
    </row>
    <row r="196" spans="1:12" s="122" customFormat="1" ht="22.5">
      <c r="A196" s="361"/>
      <c r="B196" s="615"/>
      <c r="C196" s="367" t="s">
        <v>284</v>
      </c>
      <c r="D196" s="848"/>
      <c r="E196" s="487" t="s">
        <v>17647</v>
      </c>
      <c r="F196" s="487" t="s">
        <v>17651</v>
      </c>
      <c r="G196" s="487" t="s">
        <v>15173</v>
      </c>
      <c r="H196" s="487"/>
      <c r="I196" s="487"/>
      <c r="J196" s="125" t="s">
        <v>283</v>
      </c>
      <c r="K196" s="125" t="s">
        <v>280</v>
      </c>
      <c r="L196" s="125" t="s">
        <v>281</v>
      </c>
    </row>
    <row r="197" spans="1:12" s="122" customFormat="1" ht="11.25">
      <c r="A197" s="362"/>
      <c r="B197" s="616"/>
      <c r="C197" s="367" t="s">
        <v>9</v>
      </c>
      <c r="D197" s="849"/>
      <c r="E197" s="488">
        <v>2046.3</v>
      </c>
      <c r="F197" s="84">
        <v>2583.7600000000002</v>
      </c>
      <c r="G197" s="488">
        <v>2594.6999999999998</v>
      </c>
      <c r="H197" s="84"/>
      <c r="I197" s="84"/>
      <c r="J197" s="125">
        <f>MEDIAN(E197:I197)</f>
        <v>2583.7600000000002</v>
      </c>
      <c r="K197" s="125">
        <f>J197*1.3</f>
        <v>3358.8880000000004</v>
      </c>
      <c r="L197" s="125">
        <f>J197*0.7</f>
        <v>1808.6320000000001</v>
      </c>
    </row>
    <row r="198" spans="1:12" s="122" customFormat="1" ht="11.25">
      <c r="A198" s="362"/>
      <c r="B198" s="616"/>
      <c r="C198" s="367" t="s">
        <v>8</v>
      </c>
      <c r="D198" s="849"/>
      <c r="E198" s="487" t="s">
        <v>17645</v>
      </c>
      <c r="F198" s="487" t="s">
        <v>17649</v>
      </c>
      <c r="G198" s="487" t="s">
        <v>14758</v>
      </c>
      <c r="H198" s="487"/>
      <c r="I198" s="487"/>
      <c r="J198" s="125"/>
      <c r="K198" s="125"/>
      <c r="L198" s="125"/>
    </row>
    <row r="199" spans="1:12" s="122" customFormat="1" ht="11.25">
      <c r="A199" s="362"/>
      <c r="B199" s="616"/>
      <c r="C199" s="367" t="s">
        <v>7</v>
      </c>
      <c r="D199" s="849"/>
      <c r="E199" s="489" t="s">
        <v>17646</v>
      </c>
      <c r="F199" s="489" t="s">
        <v>17650</v>
      </c>
      <c r="G199" s="489" t="s">
        <v>14937</v>
      </c>
      <c r="H199" s="489"/>
      <c r="I199" s="489"/>
      <c r="J199" s="125"/>
      <c r="K199" s="125"/>
      <c r="L199" s="125"/>
    </row>
    <row r="200" spans="1:12" s="122" customFormat="1" ht="11.25">
      <c r="A200" s="362"/>
      <c r="B200" s="616"/>
      <c r="C200" s="367" t="s">
        <v>6</v>
      </c>
      <c r="D200" s="849"/>
      <c r="E200" s="490">
        <v>44323</v>
      </c>
      <c r="F200" s="490">
        <v>44323</v>
      </c>
      <c r="G200" s="490">
        <v>44323</v>
      </c>
      <c r="H200" s="490"/>
      <c r="I200" s="490"/>
      <c r="J200" s="125"/>
      <c r="K200" s="125"/>
      <c r="L200" s="125"/>
    </row>
    <row r="201" spans="1:12" s="122" customFormat="1" ht="11.25">
      <c r="A201" s="363"/>
      <c r="B201" s="617"/>
      <c r="C201" s="367" t="s">
        <v>8993</v>
      </c>
      <c r="D201" s="850"/>
      <c r="E201" s="490" t="s">
        <v>17643</v>
      </c>
      <c r="F201" s="490" t="s">
        <v>17643</v>
      </c>
      <c r="G201" s="490" t="s">
        <v>17643</v>
      </c>
      <c r="H201" s="490"/>
      <c r="I201" s="490"/>
      <c r="J201" s="125"/>
      <c r="K201" s="125"/>
      <c r="L201" s="125"/>
    </row>
    <row r="202" spans="1:12" s="121" customFormat="1" ht="11.25">
      <c r="A202" s="173"/>
      <c r="B202" s="613"/>
      <c r="C202" s="180"/>
      <c r="D202" s="180"/>
      <c r="E202" s="180"/>
      <c r="F202" s="180"/>
      <c r="G202" s="180"/>
      <c r="H202" s="180"/>
      <c r="I202" s="180"/>
      <c r="J202" s="124"/>
      <c r="K202" s="124"/>
      <c r="L202" s="124"/>
    </row>
    <row r="203" spans="1:12" s="122" customFormat="1" ht="22.5">
      <c r="A203" s="366" t="s">
        <v>17659</v>
      </c>
      <c r="B203" s="626" t="s">
        <v>17660</v>
      </c>
      <c r="C203" s="369">
        <f>MIN(E205:I205)</f>
        <v>628.69000000000005</v>
      </c>
      <c r="D203" s="370" t="s">
        <v>109</v>
      </c>
      <c r="E203" s="486" t="s">
        <v>14756</v>
      </c>
      <c r="F203" s="486" t="s">
        <v>15313</v>
      </c>
      <c r="G203" s="486" t="s">
        <v>17662</v>
      </c>
      <c r="H203" s="486"/>
      <c r="I203" s="486"/>
      <c r="J203" s="125" t="s">
        <v>207</v>
      </c>
      <c r="K203" s="125"/>
      <c r="L203" s="125"/>
    </row>
    <row r="204" spans="1:12" s="122" customFormat="1" ht="22.5">
      <c r="A204" s="361"/>
      <c r="B204" s="615"/>
      <c r="C204" s="367" t="s">
        <v>284</v>
      </c>
      <c r="D204" s="848"/>
      <c r="E204" s="487" t="s">
        <v>14757</v>
      </c>
      <c r="F204" s="487" t="s">
        <v>15315</v>
      </c>
      <c r="G204" s="487" t="s">
        <v>17665</v>
      </c>
      <c r="H204" s="487"/>
      <c r="I204" s="487"/>
      <c r="J204" s="125" t="s">
        <v>283</v>
      </c>
      <c r="K204" s="125" t="s">
        <v>280</v>
      </c>
      <c r="L204" s="125" t="s">
        <v>281</v>
      </c>
    </row>
    <row r="205" spans="1:12" s="122" customFormat="1" ht="11.25">
      <c r="A205" s="362"/>
      <c r="B205" s="616"/>
      <c r="C205" s="367" t="s">
        <v>9</v>
      </c>
      <c r="D205" s="849"/>
      <c r="E205" s="84">
        <v>628.69000000000005</v>
      </c>
      <c r="F205" s="488">
        <v>651.57000000000005</v>
      </c>
      <c r="G205" s="488">
        <v>665</v>
      </c>
      <c r="H205" s="84"/>
      <c r="I205" s="84"/>
      <c r="J205" s="125">
        <f>MEDIAN(E205:I205)</f>
        <v>651.57000000000005</v>
      </c>
      <c r="K205" s="125">
        <f>J205*1.3</f>
        <v>847.04100000000005</v>
      </c>
      <c r="L205" s="125">
        <f>J205*0.7</f>
        <v>456.09899999999999</v>
      </c>
    </row>
    <row r="206" spans="1:12" s="122" customFormat="1" ht="11.25">
      <c r="A206" s="362"/>
      <c r="B206" s="616"/>
      <c r="C206" s="367" t="s">
        <v>8</v>
      </c>
      <c r="D206" s="849"/>
      <c r="E206" s="751" t="s">
        <v>14758</v>
      </c>
      <c r="F206" s="487" t="s">
        <v>15318</v>
      </c>
      <c r="G206" s="487" t="s">
        <v>17663</v>
      </c>
      <c r="H206" s="487"/>
      <c r="I206" s="487"/>
      <c r="J206" s="125"/>
      <c r="K206" s="125"/>
      <c r="L206" s="125"/>
    </row>
    <row r="207" spans="1:12" s="122" customFormat="1" ht="11.25">
      <c r="A207" s="362"/>
      <c r="B207" s="616"/>
      <c r="C207" s="367" t="s">
        <v>7</v>
      </c>
      <c r="D207" s="849"/>
      <c r="E207" s="489" t="s">
        <v>14759</v>
      </c>
      <c r="F207" s="489" t="s">
        <v>15320</v>
      </c>
      <c r="G207" s="489" t="s">
        <v>17664</v>
      </c>
      <c r="H207" s="489"/>
      <c r="I207" s="489"/>
      <c r="J207" s="125"/>
      <c r="K207" s="125"/>
      <c r="L207" s="125"/>
    </row>
    <row r="208" spans="1:12" s="122" customFormat="1" ht="11.25">
      <c r="A208" s="362"/>
      <c r="B208" s="616"/>
      <c r="C208" s="367" t="s">
        <v>6</v>
      </c>
      <c r="D208" s="849"/>
      <c r="E208" s="490">
        <v>44323</v>
      </c>
      <c r="F208" s="490">
        <v>44323</v>
      </c>
      <c r="G208" s="490">
        <v>44323</v>
      </c>
      <c r="H208" s="490"/>
      <c r="I208" s="490"/>
      <c r="J208" s="125"/>
      <c r="K208" s="125"/>
      <c r="L208" s="125"/>
    </row>
    <row r="209" spans="1:12" s="122" customFormat="1" ht="11.25">
      <c r="A209" s="363"/>
      <c r="B209" s="617"/>
      <c r="C209" s="367" t="s">
        <v>8993</v>
      </c>
      <c r="D209" s="850"/>
      <c r="E209" s="490" t="s">
        <v>17661</v>
      </c>
      <c r="F209" s="490" t="s">
        <v>17661</v>
      </c>
      <c r="G209" s="490" t="s">
        <v>17661</v>
      </c>
      <c r="H209" s="490"/>
      <c r="I209" s="490"/>
      <c r="J209" s="125"/>
      <c r="K209" s="125"/>
      <c r="L209" s="125"/>
    </row>
    <row r="210" spans="1:12" s="121" customFormat="1" ht="11.25">
      <c r="A210" s="173"/>
      <c r="B210" s="613"/>
      <c r="C210" s="180"/>
      <c r="D210" s="180"/>
      <c r="E210" s="180"/>
      <c r="F210" s="180"/>
      <c r="G210" s="180"/>
      <c r="H210" s="180"/>
      <c r="I210" s="180"/>
      <c r="J210" s="124"/>
      <c r="K210" s="124"/>
      <c r="L210" s="124"/>
    </row>
    <row r="211" spans="1:12" s="122" customFormat="1" ht="33.75">
      <c r="A211" s="366" t="s">
        <v>17667</v>
      </c>
      <c r="B211" s="626" t="s">
        <v>17669</v>
      </c>
      <c r="C211" s="369">
        <f>MIN(E213:I213)</f>
        <v>249.9</v>
      </c>
      <c r="D211" s="370" t="s">
        <v>109</v>
      </c>
      <c r="E211" s="486" t="s">
        <v>14925</v>
      </c>
      <c r="F211" s="486" t="s">
        <v>17674</v>
      </c>
      <c r="G211" s="486" t="s">
        <v>17677</v>
      </c>
      <c r="H211" s="486"/>
      <c r="I211" s="486"/>
      <c r="J211" s="125" t="s">
        <v>207</v>
      </c>
      <c r="K211" s="125"/>
      <c r="L211" s="125"/>
    </row>
    <row r="212" spans="1:12" s="122" customFormat="1" ht="33.75">
      <c r="A212" s="361"/>
      <c r="B212" s="615"/>
      <c r="C212" s="367" t="s">
        <v>284</v>
      </c>
      <c r="D212" s="848"/>
      <c r="E212" s="487" t="s">
        <v>14924</v>
      </c>
      <c r="F212" s="487" t="s">
        <v>17676</v>
      </c>
      <c r="G212" s="487" t="s">
        <v>17679</v>
      </c>
      <c r="H212" s="487"/>
      <c r="I212" s="487"/>
      <c r="J212" s="125" t="s">
        <v>283</v>
      </c>
      <c r="K212" s="125" t="s">
        <v>280</v>
      </c>
      <c r="L212" s="125" t="s">
        <v>281</v>
      </c>
    </row>
    <row r="213" spans="1:12" s="122" customFormat="1" ht="11.25">
      <c r="A213" s="362"/>
      <c r="B213" s="616"/>
      <c r="C213" s="367" t="s">
        <v>9</v>
      </c>
      <c r="D213" s="849"/>
      <c r="E213" s="488">
        <v>278.29000000000002</v>
      </c>
      <c r="F213" s="488">
        <v>249.9</v>
      </c>
      <c r="G213" s="488">
        <v>269.89999999999998</v>
      </c>
      <c r="H213" s="84"/>
      <c r="I213" s="84"/>
      <c r="J213" s="125">
        <f>MEDIAN(E213:I213)</f>
        <v>269.89999999999998</v>
      </c>
      <c r="K213" s="125">
        <f>J213*1.3</f>
        <v>350.87</v>
      </c>
      <c r="L213" s="125">
        <f>J213*0.7</f>
        <v>188.92999999999998</v>
      </c>
    </row>
    <row r="214" spans="1:12" s="122" customFormat="1" ht="11.25">
      <c r="A214" s="362"/>
      <c r="B214" s="616"/>
      <c r="C214" s="367" t="s">
        <v>8</v>
      </c>
      <c r="D214" s="849"/>
      <c r="E214" s="487" t="s">
        <v>14926</v>
      </c>
      <c r="F214" s="487" t="s">
        <v>14764</v>
      </c>
      <c r="G214" s="487" t="s">
        <v>17680</v>
      </c>
      <c r="H214" s="487"/>
      <c r="I214" s="487"/>
      <c r="J214" s="125"/>
      <c r="K214" s="125"/>
      <c r="L214" s="125"/>
    </row>
    <row r="215" spans="1:12" s="122" customFormat="1" ht="11.25">
      <c r="A215" s="362"/>
      <c r="B215" s="616"/>
      <c r="C215" s="367" t="s">
        <v>7</v>
      </c>
      <c r="D215" s="849"/>
      <c r="E215" s="489" t="s">
        <v>14927</v>
      </c>
      <c r="F215" s="489" t="s">
        <v>17675</v>
      </c>
      <c r="G215" s="489" t="s">
        <v>17678</v>
      </c>
      <c r="H215" s="489"/>
      <c r="I215" s="489"/>
      <c r="J215" s="125"/>
      <c r="K215" s="125"/>
      <c r="L215" s="125"/>
    </row>
    <row r="216" spans="1:12" s="122" customFormat="1" ht="11.25">
      <c r="A216" s="362"/>
      <c r="B216" s="616"/>
      <c r="C216" s="367" t="s">
        <v>6</v>
      </c>
      <c r="D216" s="849"/>
      <c r="E216" s="490">
        <v>44323</v>
      </c>
      <c r="F216" s="490">
        <v>44323</v>
      </c>
      <c r="G216" s="490">
        <v>44323</v>
      </c>
      <c r="H216" s="490"/>
      <c r="I216" s="490"/>
      <c r="J216" s="125"/>
      <c r="K216" s="125"/>
      <c r="L216" s="125"/>
    </row>
    <row r="217" spans="1:12" s="122" customFormat="1" ht="11.25">
      <c r="A217" s="363"/>
      <c r="B217" s="617"/>
      <c r="C217" s="367" t="s">
        <v>8993</v>
      </c>
      <c r="D217" s="850"/>
      <c r="E217" s="490" t="s">
        <v>17668</v>
      </c>
      <c r="F217" s="490" t="s">
        <v>17668</v>
      </c>
      <c r="G217" s="490" t="s">
        <v>17668</v>
      </c>
      <c r="H217" s="490"/>
      <c r="I217" s="490"/>
      <c r="J217" s="125"/>
      <c r="K217" s="125"/>
      <c r="L217" s="125"/>
    </row>
    <row r="218" spans="1:12" s="121" customFormat="1" ht="11.25">
      <c r="A218" s="173"/>
      <c r="B218" s="613"/>
      <c r="C218" s="180"/>
      <c r="D218" s="180"/>
      <c r="E218" s="180"/>
      <c r="F218" s="180"/>
      <c r="G218" s="180"/>
      <c r="H218" s="180"/>
      <c r="I218" s="180"/>
      <c r="J218" s="124"/>
      <c r="K218" s="124"/>
      <c r="L218" s="124"/>
    </row>
    <row r="219" spans="1:12" s="122" customFormat="1" ht="22.5">
      <c r="A219" s="366" t="s">
        <v>17672</v>
      </c>
      <c r="B219" s="626" t="s">
        <v>17673</v>
      </c>
      <c r="C219" s="369">
        <f>MIN(E221:I221)</f>
        <v>567.20000000000005</v>
      </c>
      <c r="D219" s="370" t="s">
        <v>109</v>
      </c>
      <c r="E219" s="486" t="s">
        <v>14925</v>
      </c>
      <c r="F219" s="486" t="s">
        <v>16777</v>
      </c>
      <c r="G219" s="486" t="s">
        <v>14756</v>
      </c>
      <c r="H219" s="486"/>
      <c r="I219" s="486"/>
      <c r="J219" s="125" t="s">
        <v>207</v>
      </c>
      <c r="K219" s="125"/>
      <c r="L219" s="125"/>
    </row>
    <row r="220" spans="1:12" s="122" customFormat="1" ht="22.5">
      <c r="A220" s="361"/>
      <c r="B220" s="615"/>
      <c r="C220" s="367" t="s">
        <v>284</v>
      </c>
      <c r="D220" s="848"/>
      <c r="E220" s="487" t="s">
        <v>14924</v>
      </c>
      <c r="F220" s="487" t="s">
        <v>15173</v>
      </c>
      <c r="G220" s="487" t="s">
        <v>14757</v>
      </c>
      <c r="H220" s="487"/>
      <c r="I220" s="487"/>
      <c r="J220" s="125" t="s">
        <v>283</v>
      </c>
      <c r="K220" s="125" t="s">
        <v>280</v>
      </c>
      <c r="L220" s="125" t="s">
        <v>281</v>
      </c>
    </row>
    <row r="221" spans="1:12" s="122" customFormat="1" ht="11.25">
      <c r="A221" s="362"/>
      <c r="B221" s="616"/>
      <c r="C221" s="367" t="s">
        <v>9</v>
      </c>
      <c r="D221" s="849"/>
      <c r="E221" s="488">
        <v>675.27</v>
      </c>
      <c r="F221" s="488">
        <v>567.20000000000005</v>
      </c>
      <c r="G221" s="84">
        <v>609.9</v>
      </c>
      <c r="H221" s="84"/>
      <c r="I221" s="84"/>
      <c r="J221" s="125">
        <f>MEDIAN(E221:I221)</f>
        <v>609.9</v>
      </c>
      <c r="K221" s="125">
        <f>J221*1.3</f>
        <v>792.87</v>
      </c>
      <c r="L221" s="125">
        <f>J221*0.7</f>
        <v>426.92999999999995</v>
      </c>
    </row>
    <row r="222" spans="1:12" s="122" customFormat="1" ht="11.25">
      <c r="A222" s="362"/>
      <c r="B222" s="616"/>
      <c r="C222" s="367" t="s">
        <v>8</v>
      </c>
      <c r="D222" s="849"/>
      <c r="E222" s="487" t="s">
        <v>14926</v>
      </c>
      <c r="F222" s="487" t="s">
        <v>14758</v>
      </c>
      <c r="G222" s="751" t="s">
        <v>14758</v>
      </c>
      <c r="H222" s="487"/>
      <c r="I222" s="487"/>
      <c r="J222" s="125"/>
      <c r="K222" s="125"/>
      <c r="L222" s="125"/>
    </row>
    <row r="223" spans="1:12" s="122" customFormat="1" ht="11.25">
      <c r="A223" s="362"/>
      <c r="B223" s="616"/>
      <c r="C223" s="367" t="s">
        <v>7</v>
      </c>
      <c r="D223" s="849"/>
      <c r="E223" s="489" t="s">
        <v>14927</v>
      </c>
      <c r="F223" s="489" t="s">
        <v>14937</v>
      </c>
      <c r="G223" s="489" t="s">
        <v>14759</v>
      </c>
      <c r="H223" s="489"/>
      <c r="I223" s="489"/>
      <c r="J223" s="125"/>
      <c r="K223" s="125"/>
      <c r="L223" s="125"/>
    </row>
    <row r="224" spans="1:12" s="122" customFormat="1" ht="11.25">
      <c r="A224" s="362"/>
      <c r="B224" s="616"/>
      <c r="C224" s="367" t="s">
        <v>6</v>
      </c>
      <c r="D224" s="849"/>
      <c r="E224" s="490">
        <v>44323</v>
      </c>
      <c r="F224" s="490">
        <v>44323</v>
      </c>
      <c r="G224" s="490">
        <v>44323</v>
      </c>
      <c r="H224" s="490"/>
      <c r="I224" s="490"/>
      <c r="J224" s="125"/>
      <c r="K224" s="125"/>
      <c r="L224" s="125"/>
    </row>
    <row r="225" spans="1:12" s="122" customFormat="1" ht="11.25">
      <c r="A225" s="363"/>
      <c r="B225" s="617"/>
      <c r="C225" s="367" t="s">
        <v>8993</v>
      </c>
      <c r="D225" s="850"/>
      <c r="E225" s="490" t="s">
        <v>17681</v>
      </c>
      <c r="F225" s="490" t="s">
        <v>17681</v>
      </c>
      <c r="G225" s="490" t="s">
        <v>17681</v>
      </c>
      <c r="H225" s="490"/>
      <c r="I225" s="490"/>
      <c r="J225" s="125"/>
      <c r="K225" s="125"/>
      <c r="L225" s="125"/>
    </row>
    <row r="226" spans="1:12" s="121" customFormat="1" ht="11.25">
      <c r="A226" s="173"/>
      <c r="B226" s="613"/>
      <c r="C226" s="180"/>
      <c r="D226" s="180"/>
      <c r="E226" s="180"/>
      <c r="F226" s="180"/>
      <c r="G226" s="180"/>
      <c r="H226" s="180"/>
      <c r="I226" s="180"/>
      <c r="J226" s="124"/>
      <c r="K226" s="124"/>
      <c r="L226" s="124"/>
    </row>
    <row r="227" spans="1:12" s="122" customFormat="1" ht="22.5">
      <c r="A227" s="366" t="s">
        <v>17682</v>
      </c>
      <c r="B227" s="626" t="s">
        <v>17690</v>
      </c>
      <c r="C227" s="369">
        <f>MIN(E229:I229)</f>
        <v>161.19999999999999</v>
      </c>
      <c r="D227" s="370" t="s">
        <v>109</v>
      </c>
      <c r="E227" s="486" t="s">
        <v>15313</v>
      </c>
      <c r="F227" s="486" t="s">
        <v>17677</v>
      </c>
      <c r="G227" s="486" t="s">
        <v>14756</v>
      </c>
      <c r="H227" s="486" t="s">
        <v>18219</v>
      </c>
      <c r="I227" s="486"/>
      <c r="J227" s="125" t="s">
        <v>207</v>
      </c>
      <c r="K227" s="125"/>
      <c r="L227" s="125"/>
    </row>
    <row r="228" spans="1:12" s="122" customFormat="1" ht="33.75">
      <c r="A228" s="361"/>
      <c r="B228" s="615"/>
      <c r="C228" s="367" t="s">
        <v>284</v>
      </c>
      <c r="D228" s="848"/>
      <c r="E228" s="487" t="s">
        <v>15315</v>
      </c>
      <c r="F228" s="487" t="s">
        <v>17679</v>
      </c>
      <c r="G228" s="487" t="s">
        <v>14757</v>
      </c>
      <c r="H228" s="675" t="s">
        <v>18227</v>
      </c>
      <c r="I228" s="487"/>
      <c r="J228" s="125" t="s">
        <v>283</v>
      </c>
      <c r="K228" s="125" t="s">
        <v>280</v>
      </c>
      <c r="L228" s="125" t="s">
        <v>281</v>
      </c>
    </row>
    <row r="229" spans="1:12" s="122" customFormat="1" ht="11.25">
      <c r="A229" s="362"/>
      <c r="B229" s="616"/>
      <c r="C229" s="367" t="s">
        <v>9</v>
      </c>
      <c r="D229" s="849"/>
      <c r="E229" s="488">
        <v>161.19999999999999</v>
      </c>
      <c r="F229" s="488">
        <v>162.88</v>
      </c>
      <c r="G229" s="84">
        <v>167</v>
      </c>
      <c r="H229" s="84">
        <v>161.44</v>
      </c>
      <c r="I229" s="84"/>
      <c r="J229" s="125">
        <f>MEDIAN(E229:I229)</f>
        <v>162.16</v>
      </c>
      <c r="K229" s="125">
        <f>J229*1.3</f>
        <v>210.80799999999999</v>
      </c>
      <c r="L229" s="125">
        <f>J229*0.7</f>
        <v>113.51199999999999</v>
      </c>
    </row>
    <row r="230" spans="1:12" s="122" customFormat="1" ht="11.25">
      <c r="A230" s="362"/>
      <c r="B230" s="616"/>
      <c r="C230" s="367" t="s">
        <v>8</v>
      </c>
      <c r="D230" s="849"/>
      <c r="E230" s="487" t="s">
        <v>15318</v>
      </c>
      <c r="F230" s="487" t="s">
        <v>17680</v>
      </c>
      <c r="G230" s="751" t="s">
        <v>14758</v>
      </c>
      <c r="H230" s="487"/>
      <c r="I230" s="487"/>
      <c r="J230" s="125"/>
      <c r="K230" s="125"/>
      <c r="L230" s="125"/>
    </row>
    <row r="231" spans="1:12" s="122" customFormat="1" ht="11.25">
      <c r="A231" s="362"/>
      <c r="B231" s="616"/>
      <c r="C231" s="367" t="s">
        <v>7</v>
      </c>
      <c r="D231" s="849"/>
      <c r="E231" s="489" t="s">
        <v>15320</v>
      </c>
      <c r="F231" s="489" t="s">
        <v>17678</v>
      </c>
      <c r="G231" s="489" t="s">
        <v>14759</v>
      </c>
      <c r="H231" s="489"/>
      <c r="I231" s="489"/>
      <c r="J231" s="125"/>
      <c r="K231" s="125"/>
      <c r="L231" s="125"/>
    </row>
    <row r="232" spans="1:12" s="122" customFormat="1" ht="11.25">
      <c r="A232" s="362"/>
      <c r="B232" s="616"/>
      <c r="C232" s="367" t="s">
        <v>6</v>
      </c>
      <c r="D232" s="849"/>
      <c r="E232" s="490">
        <v>44324</v>
      </c>
      <c r="F232" s="490">
        <v>44324</v>
      </c>
      <c r="G232" s="490">
        <v>44324</v>
      </c>
      <c r="H232" s="490">
        <v>44049</v>
      </c>
      <c r="I232" s="490"/>
      <c r="J232" s="125"/>
      <c r="K232" s="125"/>
      <c r="L232" s="125"/>
    </row>
    <row r="233" spans="1:12" s="122" customFormat="1" ht="11.25">
      <c r="A233" s="363"/>
      <c r="B233" s="617"/>
      <c r="C233" s="367" t="s">
        <v>8993</v>
      </c>
      <c r="D233" s="850"/>
      <c r="E233" s="490" t="s">
        <v>17686</v>
      </c>
      <c r="F233" s="490" t="s">
        <v>17686</v>
      </c>
      <c r="G233" s="490" t="s">
        <v>17686</v>
      </c>
      <c r="H233" s="490" t="s">
        <v>18220</v>
      </c>
      <c r="I233" s="490"/>
      <c r="J233" s="125"/>
      <c r="K233" s="125"/>
      <c r="L233" s="125"/>
    </row>
    <row r="234" spans="1:12" s="121" customFormat="1" ht="11.25">
      <c r="A234" s="173"/>
      <c r="B234" s="613"/>
      <c r="C234" s="180"/>
      <c r="D234" s="180"/>
      <c r="E234" s="180"/>
      <c r="F234" s="180"/>
      <c r="G234" s="180"/>
      <c r="H234" s="180"/>
      <c r="I234" s="180"/>
      <c r="J234" s="124"/>
      <c r="K234" s="124"/>
      <c r="L234" s="124"/>
    </row>
    <row r="235" spans="1:12" s="122" customFormat="1" ht="22.5">
      <c r="A235" s="366" t="s">
        <v>17695</v>
      </c>
      <c r="B235" s="626" t="s">
        <v>17697</v>
      </c>
      <c r="C235" s="369">
        <f>MIN(E237:I237)</f>
        <v>82.9</v>
      </c>
      <c r="D235" s="370" t="s">
        <v>109</v>
      </c>
      <c r="E235" s="486" t="s">
        <v>15313</v>
      </c>
      <c r="F235" s="486" t="s">
        <v>14752</v>
      </c>
      <c r="G235" s="486" t="s">
        <v>14756</v>
      </c>
      <c r="H235" s="486" t="s">
        <v>18219</v>
      </c>
      <c r="I235" s="486"/>
      <c r="J235" s="125" t="s">
        <v>207</v>
      </c>
      <c r="K235" s="125"/>
      <c r="L235" s="125"/>
    </row>
    <row r="236" spans="1:12" s="122" customFormat="1" ht="22.5">
      <c r="A236" s="361"/>
      <c r="B236" s="615"/>
      <c r="C236" s="367" t="s">
        <v>284</v>
      </c>
      <c r="D236" s="848"/>
      <c r="E236" s="487" t="s">
        <v>15315</v>
      </c>
      <c r="F236" s="487" t="s">
        <v>14753</v>
      </c>
      <c r="G236" s="487" t="s">
        <v>14757</v>
      </c>
      <c r="H236" s="675" t="s">
        <v>18228</v>
      </c>
      <c r="I236" s="487"/>
      <c r="J236" s="125" t="s">
        <v>283</v>
      </c>
      <c r="K236" s="125" t="s">
        <v>280</v>
      </c>
      <c r="L236" s="125" t="s">
        <v>281</v>
      </c>
    </row>
    <row r="237" spans="1:12" s="122" customFormat="1" ht="11.25">
      <c r="A237" s="362"/>
      <c r="B237" s="616"/>
      <c r="C237" s="367" t="s">
        <v>9</v>
      </c>
      <c r="D237" s="849"/>
      <c r="E237" s="488">
        <v>103</v>
      </c>
      <c r="F237" s="488">
        <v>82.9</v>
      </c>
      <c r="G237" s="84">
        <v>97.66</v>
      </c>
      <c r="H237" s="84">
        <v>122.78</v>
      </c>
      <c r="I237" s="84"/>
      <c r="J237" s="125">
        <f>MEDIAN(E237:I237)</f>
        <v>100.33</v>
      </c>
      <c r="K237" s="125">
        <f>J237*1.3</f>
        <v>130.429</v>
      </c>
      <c r="L237" s="125">
        <f>J237*0.7</f>
        <v>70.230999999999995</v>
      </c>
    </row>
    <row r="238" spans="1:12" s="122" customFormat="1" ht="11.25">
      <c r="A238" s="362"/>
      <c r="B238" s="616"/>
      <c r="C238" s="367" t="s">
        <v>8</v>
      </c>
      <c r="D238" s="849"/>
      <c r="E238" s="487" t="s">
        <v>15318</v>
      </c>
      <c r="F238" s="487" t="s">
        <v>15326</v>
      </c>
      <c r="G238" s="751" t="s">
        <v>14758</v>
      </c>
      <c r="H238" s="487"/>
      <c r="I238" s="487"/>
      <c r="J238" s="125"/>
      <c r="K238" s="125"/>
      <c r="L238" s="125"/>
    </row>
    <row r="239" spans="1:12" s="122" customFormat="1" ht="11.25">
      <c r="A239" s="362"/>
      <c r="B239" s="616"/>
      <c r="C239" s="367" t="s">
        <v>7</v>
      </c>
      <c r="D239" s="849"/>
      <c r="E239" s="489" t="s">
        <v>15320</v>
      </c>
      <c r="F239" s="489" t="s">
        <v>14755</v>
      </c>
      <c r="G239" s="489" t="s">
        <v>14759</v>
      </c>
      <c r="H239" s="489"/>
      <c r="I239" s="489"/>
      <c r="J239" s="125"/>
      <c r="K239" s="125"/>
      <c r="L239" s="125"/>
    </row>
    <row r="240" spans="1:12" s="122" customFormat="1" ht="11.25">
      <c r="A240" s="362"/>
      <c r="B240" s="616"/>
      <c r="C240" s="367" t="s">
        <v>6</v>
      </c>
      <c r="D240" s="849"/>
      <c r="E240" s="490">
        <v>44324</v>
      </c>
      <c r="F240" s="490">
        <v>44324</v>
      </c>
      <c r="G240" s="490">
        <v>44324</v>
      </c>
      <c r="H240" s="490">
        <v>44046</v>
      </c>
      <c r="I240" s="490"/>
      <c r="J240" s="125"/>
      <c r="K240" s="125"/>
      <c r="L240" s="125"/>
    </row>
    <row r="241" spans="1:12" s="122" customFormat="1" ht="11.25">
      <c r="A241" s="363"/>
      <c r="B241" s="617"/>
      <c r="C241" s="367" t="s">
        <v>8993</v>
      </c>
      <c r="D241" s="850"/>
      <c r="E241" s="490" t="s">
        <v>17696</v>
      </c>
      <c r="F241" s="490" t="s">
        <v>17696</v>
      </c>
      <c r="G241" s="490" t="s">
        <v>17696</v>
      </c>
      <c r="H241" s="490" t="s">
        <v>18220</v>
      </c>
      <c r="I241" s="490"/>
      <c r="J241" s="125"/>
      <c r="K241" s="125"/>
      <c r="L241" s="125"/>
    </row>
    <row r="242" spans="1:12" s="121" customFormat="1" ht="11.25">
      <c r="A242" s="173"/>
      <c r="B242" s="613"/>
      <c r="C242" s="180"/>
      <c r="D242" s="180"/>
      <c r="E242" s="180"/>
      <c r="F242" s="180"/>
      <c r="G242" s="180"/>
      <c r="H242" s="180"/>
      <c r="I242" s="180"/>
      <c r="J242" s="124"/>
      <c r="K242" s="124"/>
      <c r="L242" s="124"/>
    </row>
    <row r="243" spans="1:12" s="122" customFormat="1" ht="22.5">
      <c r="A243" s="366" t="s">
        <v>17699</v>
      </c>
      <c r="B243" s="626" t="s">
        <v>24663</v>
      </c>
      <c r="C243" s="369">
        <f>MIN(E245:I245)</f>
        <v>618.45000000000005</v>
      </c>
      <c r="D243" s="370" t="s">
        <v>109</v>
      </c>
      <c r="E243" s="486" t="s">
        <v>14744</v>
      </c>
      <c r="F243" s="486" t="s">
        <v>17677</v>
      </c>
      <c r="G243" s="486" t="s">
        <v>14756</v>
      </c>
      <c r="H243" s="486"/>
      <c r="I243" s="486"/>
      <c r="J243" s="125" t="s">
        <v>207</v>
      </c>
      <c r="K243" s="125"/>
      <c r="L243" s="125"/>
    </row>
    <row r="244" spans="1:12" s="122" customFormat="1" ht="33.75">
      <c r="A244" s="361"/>
      <c r="B244" s="615"/>
      <c r="C244" s="367" t="s">
        <v>284</v>
      </c>
      <c r="D244" s="848"/>
      <c r="E244" s="487" t="s">
        <v>15104</v>
      </c>
      <c r="F244" s="487" t="s">
        <v>17679</v>
      </c>
      <c r="G244" s="487" t="s">
        <v>14757</v>
      </c>
      <c r="H244" s="487"/>
      <c r="I244" s="487"/>
      <c r="J244" s="125" t="s">
        <v>283</v>
      </c>
      <c r="K244" s="125" t="s">
        <v>280</v>
      </c>
      <c r="L244" s="125" t="s">
        <v>281</v>
      </c>
    </row>
    <row r="245" spans="1:12" s="122" customFormat="1" ht="11.25">
      <c r="A245" s="362"/>
      <c r="B245" s="616"/>
      <c r="C245" s="367" t="s">
        <v>9</v>
      </c>
      <c r="D245" s="849"/>
      <c r="E245" s="84">
        <v>618.45000000000005</v>
      </c>
      <c r="F245" s="488">
        <v>649.1</v>
      </c>
      <c r="G245" s="84">
        <v>620.39</v>
      </c>
      <c r="H245" s="84"/>
      <c r="I245" s="84"/>
      <c r="J245" s="125">
        <f>MEDIAN(E245:I245)</f>
        <v>620.39</v>
      </c>
      <c r="K245" s="125">
        <f>J245*1.3</f>
        <v>806.50700000000006</v>
      </c>
      <c r="L245" s="125">
        <f>J245*0.7</f>
        <v>434.27299999999997</v>
      </c>
    </row>
    <row r="246" spans="1:12" s="122" customFormat="1" ht="11.25">
      <c r="A246" s="362"/>
      <c r="B246" s="616"/>
      <c r="C246" s="367" t="s">
        <v>8</v>
      </c>
      <c r="D246" s="849"/>
      <c r="E246" s="487" t="s">
        <v>15106</v>
      </c>
      <c r="F246" s="487" t="s">
        <v>17680</v>
      </c>
      <c r="G246" s="751" t="s">
        <v>14758</v>
      </c>
      <c r="H246" s="487"/>
      <c r="I246" s="487"/>
      <c r="J246" s="125"/>
      <c r="K246" s="125"/>
      <c r="L246" s="125"/>
    </row>
    <row r="247" spans="1:12" s="122" customFormat="1" ht="11.25">
      <c r="A247" s="362"/>
      <c r="B247" s="616"/>
      <c r="C247" s="367" t="s">
        <v>7</v>
      </c>
      <c r="D247" s="849"/>
      <c r="E247" s="489" t="s">
        <v>14745</v>
      </c>
      <c r="F247" s="489" t="s">
        <v>17678</v>
      </c>
      <c r="G247" s="489" t="s">
        <v>14759</v>
      </c>
      <c r="H247" s="489"/>
      <c r="I247" s="489"/>
      <c r="J247" s="125"/>
      <c r="K247" s="125"/>
      <c r="L247" s="125"/>
    </row>
    <row r="248" spans="1:12" s="122" customFormat="1" ht="11.25">
      <c r="A248" s="362"/>
      <c r="B248" s="616"/>
      <c r="C248" s="367" t="s">
        <v>6</v>
      </c>
      <c r="D248" s="849"/>
      <c r="E248" s="490">
        <v>44324</v>
      </c>
      <c r="F248" s="490">
        <v>44324</v>
      </c>
      <c r="G248" s="490">
        <v>44324</v>
      </c>
      <c r="H248" s="490"/>
      <c r="I248" s="490"/>
      <c r="J248" s="125"/>
      <c r="K248" s="125"/>
      <c r="L248" s="125"/>
    </row>
    <row r="249" spans="1:12" s="122" customFormat="1" ht="11.25">
      <c r="A249" s="363"/>
      <c r="B249" s="617"/>
      <c r="C249" s="367" t="s">
        <v>8993</v>
      </c>
      <c r="D249" s="850"/>
      <c r="E249" s="490" t="s">
        <v>17706</v>
      </c>
      <c r="F249" s="490" t="s">
        <v>17706</v>
      </c>
      <c r="G249" s="490" t="s">
        <v>17706</v>
      </c>
      <c r="H249" s="490"/>
      <c r="I249" s="490"/>
      <c r="J249" s="125"/>
      <c r="K249" s="125"/>
      <c r="L249" s="125"/>
    </row>
    <row r="250" spans="1:12" s="121" customFormat="1" ht="11.25">
      <c r="A250" s="173"/>
      <c r="B250" s="613"/>
      <c r="C250" s="180"/>
      <c r="D250" s="180"/>
      <c r="E250" s="180"/>
      <c r="F250" s="180"/>
      <c r="G250" s="180"/>
      <c r="H250" s="180"/>
      <c r="I250" s="180"/>
      <c r="J250" s="124"/>
      <c r="K250" s="124"/>
      <c r="L250" s="124"/>
    </row>
    <row r="251" spans="1:12" s="122" customFormat="1" ht="22.5">
      <c r="A251" s="366" t="s">
        <v>17700</v>
      </c>
      <c r="B251" s="626" t="s">
        <v>15328</v>
      </c>
      <c r="C251" s="369">
        <f>MIN(E253:I253)</f>
        <v>854.1</v>
      </c>
      <c r="D251" s="370" t="s">
        <v>109</v>
      </c>
      <c r="E251" s="486" t="s">
        <v>15329</v>
      </c>
      <c r="F251" s="486" t="s">
        <v>14756</v>
      </c>
      <c r="G251" s="486" t="s">
        <v>15330</v>
      </c>
      <c r="H251" s="486" t="s">
        <v>18219</v>
      </c>
      <c r="I251" s="486"/>
      <c r="J251" s="125" t="s">
        <v>207</v>
      </c>
      <c r="K251" s="125"/>
      <c r="L251" s="125"/>
    </row>
    <row r="252" spans="1:12" s="122" customFormat="1" ht="22.5">
      <c r="A252" s="361"/>
      <c r="B252" s="615"/>
      <c r="C252" s="367" t="s">
        <v>284</v>
      </c>
      <c r="D252" s="848"/>
      <c r="E252" s="487" t="s">
        <v>15169</v>
      </c>
      <c r="F252" s="487" t="s">
        <v>14757</v>
      </c>
      <c r="G252" s="487" t="s">
        <v>15331</v>
      </c>
      <c r="H252" s="675" t="s">
        <v>18229</v>
      </c>
      <c r="I252" s="487"/>
      <c r="J252" s="125" t="s">
        <v>283</v>
      </c>
      <c r="K252" s="125" t="s">
        <v>280</v>
      </c>
      <c r="L252" s="125" t="s">
        <v>281</v>
      </c>
    </row>
    <row r="253" spans="1:12" s="122" customFormat="1" ht="11.25">
      <c r="A253" s="362"/>
      <c r="B253" s="616"/>
      <c r="C253" s="367" t="s">
        <v>9</v>
      </c>
      <c r="D253" s="849"/>
      <c r="E253" s="488">
        <v>1013.69</v>
      </c>
      <c r="F253" s="84">
        <v>854.1</v>
      </c>
      <c r="G253" s="84">
        <v>949</v>
      </c>
      <c r="H253" s="84">
        <v>959.04</v>
      </c>
      <c r="I253" s="84"/>
      <c r="J253" s="125">
        <f>MEDIAN(E253:I253)</f>
        <v>954.02</v>
      </c>
      <c r="K253" s="125">
        <f>J253*1.3</f>
        <v>1240.2260000000001</v>
      </c>
      <c r="L253" s="125">
        <f>J253*0.7</f>
        <v>667.81399999999996</v>
      </c>
    </row>
    <row r="254" spans="1:12" s="122" customFormat="1" ht="11.25">
      <c r="A254" s="362"/>
      <c r="B254" s="616"/>
      <c r="C254" s="367" t="s">
        <v>8</v>
      </c>
      <c r="D254" s="849"/>
      <c r="E254" s="487" t="s">
        <v>14764</v>
      </c>
      <c r="F254" s="751" t="s">
        <v>14758</v>
      </c>
      <c r="G254" s="487" t="s">
        <v>15332</v>
      </c>
      <c r="H254" s="487"/>
      <c r="I254" s="487"/>
      <c r="J254" s="125"/>
      <c r="K254" s="125"/>
      <c r="L254" s="125"/>
    </row>
    <row r="255" spans="1:12" s="122" customFormat="1" ht="11.25">
      <c r="A255" s="362"/>
      <c r="B255" s="616"/>
      <c r="C255" s="367" t="s">
        <v>7</v>
      </c>
      <c r="D255" s="849"/>
      <c r="E255" s="489" t="s">
        <v>15333</v>
      </c>
      <c r="F255" s="489" t="s">
        <v>14759</v>
      </c>
      <c r="G255" s="489" t="s">
        <v>15334</v>
      </c>
      <c r="H255" s="489"/>
      <c r="I255" s="489"/>
      <c r="J255" s="125"/>
      <c r="K255" s="125"/>
      <c r="L255" s="125"/>
    </row>
    <row r="256" spans="1:12" s="122" customFormat="1" ht="11.25">
      <c r="A256" s="362"/>
      <c r="B256" s="616"/>
      <c r="C256" s="367" t="s">
        <v>6</v>
      </c>
      <c r="D256" s="849"/>
      <c r="E256" s="490">
        <v>44256</v>
      </c>
      <c r="F256" s="490">
        <v>44256</v>
      </c>
      <c r="G256" s="490">
        <v>44256</v>
      </c>
      <c r="H256" s="490">
        <v>44141</v>
      </c>
      <c r="I256" s="490"/>
      <c r="J256" s="125"/>
      <c r="K256" s="125"/>
      <c r="L256" s="125"/>
    </row>
    <row r="257" spans="1:12" s="122" customFormat="1" ht="11.25">
      <c r="A257" s="363"/>
      <c r="B257" s="617"/>
      <c r="C257" s="367" t="s">
        <v>8993</v>
      </c>
      <c r="D257" s="850"/>
      <c r="E257" s="490" t="s">
        <v>17707</v>
      </c>
      <c r="F257" s="490" t="s">
        <v>17707</v>
      </c>
      <c r="G257" s="490" t="s">
        <v>17707</v>
      </c>
      <c r="H257" s="490" t="s">
        <v>18220</v>
      </c>
      <c r="I257" s="490"/>
      <c r="J257" s="125"/>
      <c r="K257" s="125"/>
      <c r="L257" s="125"/>
    </row>
    <row r="258" spans="1:12" s="121" customFormat="1" ht="11.25">
      <c r="A258" s="173"/>
      <c r="B258" s="613"/>
      <c r="C258" s="180"/>
      <c r="D258" s="180"/>
      <c r="E258" s="180"/>
      <c r="F258" s="180"/>
      <c r="G258" s="180"/>
      <c r="H258" s="180"/>
      <c r="I258" s="180"/>
      <c r="J258" s="124"/>
      <c r="K258" s="124"/>
      <c r="L258" s="124"/>
    </row>
    <row r="259" spans="1:12" s="122" customFormat="1" ht="56.25">
      <c r="A259" s="366" t="s">
        <v>17748</v>
      </c>
      <c r="B259" s="626" t="s">
        <v>17749</v>
      </c>
      <c r="C259" s="369">
        <f>MIN(E261:I261)</f>
        <v>10.813333333333333</v>
      </c>
      <c r="D259" s="370" t="s">
        <v>109</v>
      </c>
      <c r="E259" s="486" t="s">
        <v>15337</v>
      </c>
      <c r="F259" s="486" t="s">
        <v>15338</v>
      </c>
      <c r="G259" s="486" t="s">
        <v>15339</v>
      </c>
      <c r="H259" s="486"/>
      <c r="I259" s="486"/>
      <c r="J259" s="125" t="s">
        <v>207</v>
      </c>
      <c r="K259" s="125"/>
      <c r="L259" s="125"/>
    </row>
    <row r="260" spans="1:12" s="122" customFormat="1" ht="11.25">
      <c r="A260" s="361"/>
      <c r="B260" s="615"/>
      <c r="C260" s="367" t="s">
        <v>284</v>
      </c>
      <c r="D260" s="848"/>
      <c r="E260" s="487" t="s">
        <v>15340</v>
      </c>
      <c r="F260" s="487" t="s">
        <v>15341</v>
      </c>
      <c r="G260" s="487" t="s">
        <v>15342</v>
      </c>
      <c r="H260" s="487"/>
      <c r="I260" s="487"/>
      <c r="J260" s="125" t="s">
        <v>283</v>
      </c>
      <c r="K260" s="125" t="s">
        <v>280</v>
      </c>
      <c r="L260" s="125" t="s">
        <v>281</v>
      </c>
    </row>
    <row r="261" spans="1:12" s="122" customFormat="1" ht="11.25">
      <c r="A261" s="766"/>
      <c r="B261" s="616"/>
      <c r="C261" s="367" t="s">
        <v>9</v>
      </c>
      <c r="D261" s="849"/>
      <c r="E261" s="488">
        <f>(16.22/(0.15*0.15))*(0.1*0.15)</f>
        <v>10.813333333333333</v>
      </c>
      <c r="F261" s="84">
        <f>(30/(0.15*0.15))*(0.1*0.15)</f>
        <v>20</v>
      </c>
      <c r="G261" s="84">
        <f>(19.6/(0.15*0.15))*(0.1*0.15)</f>
        <v>13.066666666666668</v>
      </c>
      <c r="H261" s="84"/>
      <c r="I261" s="84"/>
      <c r="J261" s="125">
        <f>MEDIAN(E261:I261)</f>
        <v>13.066666666666668</v>
      </c>
      <c r="K261" s="125">
        <f>J261*1.3</f>
        <v>16.986666666666668</v>
      </c>
      <c r="L261" s="125">
        <f>J261*0.7</f>
        <v>9.1466666666666665</v>
      </c>
    </row>
    <row r="262" spans="1:12" s="122" customFormat="1" ht="11.25">
      <c r="A262" s="362"/>
      <c r="B262" s="616"/>
      <c r="C262" s="367" t="s">
        <v>8</v>
      </c>
      <c r="D262" s="849"/>
      <c r="E262" s="487"/>
      <c r="F262" s="751" t="s">
        <v>15343</v>
      </c>
      <c r="G262" s="487" t="s">
        <v>15344</v>
      </c>
      <c r="H262" s="487"/>
      <c r="I262" s="487"/>
      <c r="J262" s="125"/>
      <c r="K262" s="125"/>
      <c r="L262" s="125"/>
    </row>
    <row r="263" spans="1:12" s="122" customFormat="1" ht="11.25">
      <c r="A263" s="362"/>
      <c r="B263" s="616"/>
      <c r="C263" s="367" t="s">
        <v>7</v>
      </c>
      <c r="D263" s="849"/>
      <c r="E263" s="489" t="s">
        <v>15345</v>
      </c>
      <c r="F263" s="489" t="s">
        <v>15346</v>
      </c>
      <c r="G263" s="489" t="s">
        <v>15347</v>
      </c>
      <c r="H263" s="489"/>
      <c r="I263" s="489"/>
      <c r="J263" s="125"/>
      <c r="K263" s="125"/>
      <c r="L263" s="125"/>
    </row>
    <row r="264" spans="1:12" s="122" customFormat="1" ht="11.25">
      <c r="A264" s="362"/>
      <c r="B264" s="616"/>
      <c r="C264" s="367" t="s">
        <v>6</v>
      </c>
      <c r="D264" s="849"/>
      <c r="E264" s="490">
        <v>44256</v>
      </c>
      <c r="F264" s="490">
        <v>44015</v>
      </c>
      <c r="G264" s="490">
        <v>44257</v>
      </c>
      <c r="H264" s="490"/>
      <c r="I264" s="490"/>
      <c r="J264" s="125"/>
      <c r="K264" s="125"/>
      <c r="L264" s="125"/>
    </row>
    <row r="265" spans="1:12" s="122" customFormat="1" ht="11.25">
      <c r="A265" s="363"/>
      <c r="B265" s="617"/>
      <c r="C265" s="367" t="s">
        <v>8993</v>
      </c>
      <c r="D265" s="850"/>
      <c r="E265" s="490" t="s">
        <v>17778</v>
      </c>
      <c r="F265" s="490" t="s">
        <v>17779</v>
      </c>
      <c r="G265" s="490" t="s">
        <v>17780</v>
      </c>
      <c r="H265" s="490"/>
      <c r="I265" s="490"/>
      <c r="J265" s="125"/>
      <c r="K265" s="125"/>
      <c r="L265" s="125"/>
    </row>
    <row r="266" spans="1:12" s="121" customFormat="1" ht="11.25">
      <c r="A266" s="173"/>
      <c r="B266" s="613"/>
      <c r="C266" s="180"/>
      <c r="D266" s="180"/>
      <c r="E266" s="180"/>
      <c r="F266" s="180"/>
      <c r="G266" s="180"/>
      <c r="H266" s="180"/>
      <c r="I266" s="180"/>
      <c r="J266" s="124"/>
      <c r="K266" s="124"/>
      <c r="L266" s="124"/>
    </row>
    <row r="267" spans="1:12" s="122" customFormat="1" ht="45">
      <c r="A267" s="366" t="s">
        <v>17750</v>
      </c>
      <c r="B267" s="626" t="s">
        <v>17752</v>
      </c>
      <c r="C267" s="369">
        <f>MIN(E269:I269)</f>
        <v>9.9699999999999989</v>
      </c>
      <c r="D267" s="370" t="s">
        <v>109</v>
      </c>
      <c r="E267" s="486" t="s">
        <v>15337</v>
      </c>
      <c r="F267" s="486" t="s">
        <v>15338</v>
      </c>
      <c r="G267" s="486" t="s">
        <v>15339</v>
      </c>
      <c r="H267" s="486"/>
      <c r="I267" s="486"/>
      <c r="J267" s="125" t="s">
        <v>207</v>
      </c>
      <c r="K267" s="125"/>
      <c r="L267" s="125"/>
    </row>
    <row r="268" spans="1:12" s="122" customFormat="1" ht="11.25">
      <c r="A268" s="361"/>
      <c r="B268" s="615"/>
      <c r="C268" s="367" t="s">
        <v>284</v>
      </c>
      <c r="D268" s="848"/>
      <c r="E268" s="487" t="s">
        <v>15340</v>
      </c>
      <c r="F268" s="487" t="s">
        <v>15341</v>
      </c>
      <c r="G268" s="487" t="s">
        <v>15342</v>
      </c>
      <c r="H268" s="487"/>
      <c r="I268" s="487"/>
      <c r="J268" s="125" t="s">
        <v>283</v>
      </c>
      <c r="K268" s="125" t="s">
        <v>280</v>
      </c>
      <c r="L268" s="125" t="s">
        <v>281</v>
      </c>
    </row>
    <row r="269" spans="1:12" s="122" customFormat="1" ht="11.25">
      <c r="A269" s="766"/>
      <c r="B269" s="616"/>
      <c r="C269" s="367" t="s">
        <v>9</v>
      </c>
      <c r="D269" s="849"/>
      <c r="E269" s="488">
        <f>(86.08/(0.45*0.15))*(0.15*0.15)</f>
        <v>28.693333333333328</v>
      </c>
      <c r="F269" s="84">
        <f>(55/(0.45*0.15))*(0.15*0.15)</f>
        <v>18.333333333333332</v>
      </c>
      <c r="G269" s="84">
        <f>(29.91/(0.45*0.15))*(0.15*0.15)</f>
        <v>9.9699999999999989</v>
      </c>
      <c r="H269" s="84"/>
      <c r="I269" s="84"/>
      <c r="J269" s="125">
        <f>MEDIAN(E269:I269)</f>
        <v>18.333333333333332</v>
      </c>
      <c r="K269" s="125">
        <f>J269*1.3</f>
        <v>23.833333333333332</v>
      </c>
      <c r="L269" s="125">
        <f>J269*0.7</f>
        <v>12.833333333333332</v>
      </c>
    </row>
    <row r="270" spans="1:12" s="122" customFormat="1" ht="11.25">
      <c r="A270" s="362"/>
      <c r="B270" s="616"/>
      <c r="C270" s="367" t="s">
        <v>8</v>
      </c>
      <c r="D270" s="849"/>
      <c r="E270" s="487"/>
      <c r="F270" s="751" t="s">
        <v>15343</v>
      </c>
      <c r="G270" s="487" t="s">
        <v>15344</v>
      </c>
      <c r="H270" s="487"/>
      <c r="I270" s="487"/>
      <c r="J270" s="125"/>
      <c r="K270" s="125"/>
      <c r="L270" s="125"/>
    </row>
    <row r="271" spans="1:12" s="122" customFormat="1" ht="11.25">
      <c r="A271" s="362"/>
      <c r="B271" s="616"/>
      <c r="C271" s="367" t="s">
        <v>7</v>
      </c>
      <c r="D271" s="849"/>
      <c r="E271" s="489" t="s">
        <v>15345</v>
      </c>
      <c r="F271" s="489" t="s">
        <v>15346</v>
      </c>
      <c r="G271" s="489" t="s">
        <v>15347</v>
      </c>
      <c r="H271" s="489"/>
      <c r="I271" s="489"/>
      <c r="J271" s="125"/>
      <c r="K271" s="125"/>
      <c r="L271" s="125"/>
    </row>
    <row r="272" spans="1:12" s="122" customFormat="1" ht="11.25">
      <c r="A272" s="362"/>
      <c r="B272" s="616"/>
      <c r="C272" s="367" t="s">
        <v>6</v>
      </c>
      <c r="D272" s="849"/>
      <c r="E272" s="490">
        <v>44256</v>
      </c>
      <c r="F272" s="490">
        <v>44015</v>
      </c>
      <c r="G272" s="490">
        <v>44257</v>
      </c>
      <c r="H272" s="490"/>
      <c r="I272" s="490"/>
      <c r="J272" s="125"/>
      <c r="K272" s="125"/>
      <c r="L272" s="125"/>
    </row>
    <row r="273" spans="1:12" s="122" customFormat="1" ht="11.25">
      <c r="A273" s="363"/>
      <c r="B273" s="617"/>
      <c r="C273" s="367" t="s">
        <v>8993</v>
      </c>
      <c r="D273" s="850"/>
      <c r="E273" s="490" t="s">
        <v>17778</v>
      </c>
      <c r="F273" s="490" t="s">
        <v>17779</v>
      </c>
      <c r="G273" s="490" t="s">
        <v>17780</v>
      </c>
      <c r="H273" s="490"/>
      <c r="I273" s="490"/>
      <c r="J273" s="125"/>
      <c r="K273" s="125"/>
      <c r="L273" s="125"/>
    </row>
    <row r="274" spans="1:12" s="121" customFormat="1" ht="11.25">
      <c r="A274" s="173"/>
      <c r="B274" s="613"/>
      <c r="C274" s="180"/>
      <c r="D274" s="180"/>
      <c r="E274" s="180"/>
      <c r="F274" s="180"/>
      <c r="G274" s="180"/>
      <c r="H274" s="180"/>
      <c r="I274" s="180"/>
      <c r="J274" s="124"/>
      <c r="K274" s="124"/>
      <c r="L274" s="124"/>
    </row>
    <row r="275" spans="1:12" s="122" customFormat="1" ht="45">
      <c r="A275" s="366" t="s">
        <v>17751</v>
      </c>
      <c r="B275" s="626" t="s">
        <v>17753</v>
      </c>
      <c r="C275" s="369">
        <f>MIN(E277:I277)</f>
        <v>17.724444444444448</v>
      </c>
      <c r="D275" s="370" t="s">
        <v>109</v>
      </c>
      <c r="E275" s="486" t="s">
        <v>15337</v>
      </c>
      <c r="F275" s="486" t="s">
        <v>15338</v>
      </c>
      <c r="G275" s="486" t="s">
        <v>15339</v>
      </c>
      <c r="H275" s="486"/>
      <c r="I275" s="486"/>
      <c r="J275" s="125" t="s">
        <v>207</v>
      </c>
      <c r="K275" s="125"/>
      <c r="L275" s="125"/>
    </row>
    <row r="276" spans="1:12" s="122" customFormat="1" ht="11.25">
      <c r="A276" s="361"/>
      <c r="B276" s="615"/>
      <c r="C276" s="367" t="s">
        <v>284</v>
      </c>
      <c r="D276" s="848"/>
      <c r="E276" s="487" t="s">
        <v>15340</v>
      </c>
      <c r="F276" s="487" t="s">
        <v>15341</v>
      </c>
      <c r="G276" s="487" t="s">
        <v>15342</v>
      </c>
      <c r="H276" s="487"/>
      <c r="I276" s="487"/>
      <c r="J276" s="125" t="s">
        <v>283</v>
      </c>
      <c r="K276" s="125" t="s">
        <v>280</v>
      </c>
      <c r="L276" s="125" t="s">
        <v>281</v>
      </c>
    </row>
    <row r="277" spans="1:12" s="122" customFormat="1" ht="11.25">
      <c r="A277" s="766"/>
      <c r="B277" s="616"/>
      <c r="C277" s="367" t="s">
        <v>9</v>
      </c>
      <c r="D277" s="849"/>
      <c r="E277" s="488">
        <f>(86.08/(0.45*0.15))*(0.2*0.2)</f>
        <v>51.010370370370374</v>
      </c>
      <c r="F277" s="84">
        <f>(55/(0.45*0.15))*(0.2*0.2)</f>
        <v>32.592592592592595</v>
      </c>
      <c r="G277" s="84">
        <f>(29.91/(0.45*0.15))*(0.2*0.2)</f>
        <v>17.724444444444448</v>
      </c>
      <c r="H277" s="84"/>
      <c r="I277" s="84"/>
      <c r="J277" s="125">
        <f>MEDIAN(E277:I277)</f>
        <v>32.592592592592595</v>
      </c>
      <c r="K277" s="125">
        <f>J277*1.3</f>
        <v>42.370370370370374</v>
      </c>
      <c r="L277" s="125">
        <f>J277*0.7</f>
        <v>22.814814814814817</v>
      </c>
    </row>
    <row r="278" spans="1:12" s="122" customFormat="1" ht="11.25">
      <c r="A278" s="362"/>
      <c r="B278" s="616"/>
      <c r="C278" s="367" t="s">
        <v>8</v>
      </c>
      <c r="D278" s="849"/>
      <c r="E278" s="487"/>
      <c r="F278" s="751" t="s">
        <v>15343</v>
      </c>
      <c r="G278" s="487" t="s">
        <v>15344</v>
      </c>
      <c r="H278" s="487"/>
      <c r="I278" s="487"/>
      <c r="J278" s="125"/>
      <c r="K278" s="125"/>
      <c r="L278" s="125"/>
    </row>
    <row r="279" spans="1:12" s="122" customFormat="1" ht="11.25">
      <c r="A279" s="362"/>
      <c r="B279" s="616"/>
      <c r="C279" s="367" t="s">
        <v>7</v>
      </c>
      <c r="D279" s="849"/>
      <c r="E279" s="489" t="s">
        <v>15345</v>
      </c>
      <c r="F279" s="489" t="s">
        <v>15346</v>
      </c>
      <c r="G279" s="489" t="s">
        <v>15347</v>
      </c>
      <c r="H279" s="489"/>
      <c r="I279" s="489"/>
      <c r="J279" s="125"/>
      <c r="K279" s="125"/>
      <c r="L279" s="125"/>
    </row>
    <row r="280" spans="1:12" s="122" customFormat="1" ht="11.25">
      <c r="A280" s="362"/>
      <c r="B280" s="616"/>
      <c r="C280" s="367" t="s">
        <v>6</v>
      </c>
      <c r="D280" s="849"/>
      <c r="E280" s="490">
        <v>44256</v>
      </c>
      <c r="F280" s="490">
        <v>44015</v>
      </c>
      <c r="G280" s="490">
        <v>44257</v>
      </c>
      <c r="H280" s="490"/>
      <c r="I280" s="490"/>
      <c r="J280" s="125"/>
      <c r="K280" s="125"/>
      <c r="L280" s="125"/>
    </row>
    <row r="281" spans="1:12" s="122" customFormat="1" ht="11.25">
      <c r="A281" s="363"/>
      <c r="B281" s="617"/>
      <c r="C281" s="367" t="s">
        <v>8993</v>
      </c>
      <c r="D281" s="850"/>
      <c r="E281" s="490" t="s">
        <v>17778</v>
      </c>
      <c r="F281" s="490" t="s">
        <v>17779</v>
      </c>
      <c r="G281" s="490" t="s">
        <v>17780</v>
      </c>
      <c r="H281" s="490"/>
      <c r="I281" s="490"/>
      <c r="J281" s="125"/>
      <c r="K281" s="125"/>
      <c r="L281" s="125"/>
    </row>
    <row r="282" spans="1:12" s="121" customFormat="1" ht="11.25">
      <c r="A282" s="173"/>
      <c r="B282" s="613"/>
      <c r="C282" s="180"/>
      <c r="D282" s="180"/>
      <c r="E282" s="180"/>
      <c r="F282" s="180"/>
      <c r="G282" s="180"/>
      <c r="H282" s="180"/>
      <c r="I282" s="180"/>
      <c r="J282" s="124"/>
      <c r="K282" s="124"/>
      <c r="L282" s="124"/>
    </row>
    <row r="283" spans="1:12" s="122" customFormat="1" ht="45">
      <c r="A283" s="366" t="s">
        <v>17759</v>
      </c>
      <c r="B283" s="626" t="s">
        <v>15354</v>
      </c>
      <c r="C283" s="369">
        <f>MIN(E285:I285)</f>
        <v>29.91</v>
      </c>
      <c r="D283" s="370" t="s">
        <v>109</v>
      </c>
      <c r="E283" s="486" t="s">
        <v>15337</v>
      </c>
      <c r="F283" s="486" t="s">
        <v>15338</v>
      </c>
      <c r="G283" s="486" t="s">
        <v>15339</v>
      </c>
      <c r="H283" s="486"/>
      <c r="I283" s="486"/>
      <c r="J283" s="125" t="s">
        <v>207</v>
      </c>
      <c r="K283" s="125"/>
      <c r="L283" s="125"/>
    </row>
    <row r="284" spans="1:12" s="122" customFormat="1" ht="11.25">
      <c r="A284" s="361"/>
      <c r="B284" s="615"/>
      <c r="C284" s="367" t="s">
        <v>284</v>
      </c>
      <c r="D284" s="848"/>
      <c r="E284" s="487" t="s">
        <v>15340</v>
      </c>
      <c r="F284" s="487" t="s">
        <v>15341</v>
      </c>
      <c r="G284" s="487" t="s">
        <v>15342</v>
      </c>
      <c r="H284" s="487"/>
      <c r="I284" s="487"/>
      <c r="J284" s="125" t="s">
        <v>283</v>
      </c>
      <c r="K284" s="125" t="s">
        <v>280</v>
      </c>
      <c r="L284" s="125" t="s">
        <v>281</v>
      </c>
    </row>
    <row r="285" spans="1:12" s="122" customFormat="1" ht="11.25">
      <c r="A285" s="766"/>
      <c r="B285" s="616"/>
      <c r="C285" s="367" t="s">
        <v>9</v>
      </c>
      <c r="D285" s="849"/>
      <c r="E285" s="488">
        <f>86.08</f>
        <v>86.08</v>
      </c>
      <c r="F285" s="84">
        <v>55</v>
      </c>
      <c r="G285" s="84">
        <v>29.91</v>
      </c>
      <c r="H285" s="84"/>
      <c r="I285" s="84"/>
      <c r="J285" s="125">
        <f>MEDIAN(E285:I285)</f>
        <v>55</v>
      </c>
      <c r="K285" s="125">
        <f>J285*1.3</f>
        <v>71.5</v>
      </c>
      <c r="L285" s="125">
        <f>J285*0.7</f>
        <v>38.5</v>
      </c>
    </row>
    <row r="286" spans="1:12" s="122" customFormat="1" ht="11.25">
      <c r="A286" s="362"/>
      <c r="B286" s="616"/>
      <c r="C286" s="367" t="s">
        <v>8</v>
      </c>
      <c r="D286" s="849"/>
      <c r="E286" s="487"/>
      <c r="F286" s="751" t="s">
        <v>15343</v>
      </c>
      <c r="G286" s="487" t="s">
        <v>15344</v>
      </c>
      <c r="H286" s="487"/>
      <c r="I286" s="487"/>
      <c r="J286" s="125"/>
      <c r="K286" s="125"/>
      <c r="L286" s="125"/>
    </row>
    <row r="287" spans="1:12" s="122" customFormat="1" ht="11.25">
      <c r="A287" s="362"/>
      <c r="B287" s="616"/>
      <c r="C287" s="367" t="s">
        <v>7</v>
      </c>
      <c r="D287" s="849"/>
      <c r="E287" s="489" t="s">
        <v>15345</v>
      </c>
      <c r="F287" s="489" t="s">
        <v>15346</v>
      </c>
      <c r="G287" s="489" t="s">
        <v>15347</v>
      </c>
      <c r="H287" s="489"/>
      <c r="I287" s="489"/>
      <c r="J287" s="125"/>
      <c r="K287" s="125"/>
      <c r="L287" s="125"/>
    </row>
    <row r="288" spans="1:12" s="122" customFormat="1" ht="11.25">
      <c r="A288" s="362"/>
      <c r="B288" s="616"/>
      <c r="C288" s="367" t="s">
        <v>6</v>
      </c>
      <c r="D288" s="849"/>
      <c r="E288" s="490">
        <v>44256</v>
      </c>
      <c r="F288" s="490">
        <v>44015</v>
      </c>
      <c r="G288" s="490">
        <v>44257</v>
      </c>
      <c r="H288" s="490"/>
      <c r="I288" s="490"/>
      <c r="J288" s="125"/>
      <c r="K288" s="125"/>
      <c r="L288" s="125"/>
    </row>
    <row r="289" spans="1:12" s="122" customFormat="1" ht="11.25">
      <c r="A289" s="363"/>
      <c r="B289" s="617"/>
      <c r="C289" s="367" t="s">
        <v>8993</v>
      </c>
      <c r="D289" s="850"/>
      <c r="E289" s="490" t="s">
        <v>17778</v>
      </c>
      <c r="F289" s="490" t="s">
        <v>17779</v>
      </c>
      <c r="G289" s="490" t="s">
        <v>17780</v>
      </c>
      <c r="H289" s="490"/>
      <c r="I289" s="490"/>
      <c r="J289" s="125"/>
      <c r="K289" s="125"/>
      <c r="L289" s="125"/>
    </row>
    <row r="290" spans="1:12" s="121" customFormat="1" ht="11.25">
      <c r="A290" s="173"/>
      <c r="B290" s="613"/>
      <c r="C290" s="180"/>
      <c r="D290" s="180"/>
      <c r="E290" s="180"/>
      <c r="F290" s="180"/>
      <c r="G290" s="180"/>
      <c r="H290" s="180"/>
      <c r="I290" s="180"/>
      <c r="J290" s="124"/>
      <c r="K290" s="124"/>
      <c r="L290" s="124"/>
    </row>
    <row r="291" spans="1:12" s="122" customFormat="1" ht="45">
      <c r="A291" s="366" t="s">
        <v>17760</v>
      </c>
      <c r="B291" s="626" t="s">
        <v>17761</v>
      </c>
      <c r="C291" s="369">
        <f>MIN(E293:I293)</f>
        <v>35.448888888888895</v>
      </c>
      <c r="D291" s="370" t="s">
        <v>109</v>
      </c>
      <c r="E291" s="486" t="s">
        <v>15337</v>
      </c>
      <c r="F291" s="486" t="s">
        <v>15338</v>
      </c>
      <c r="G291" s="486" t="s">
        <v>15339</v>
      </c>
      <c r="H291" s="486"/>
      <c r="I291" s="486"/>
      <c r="J291" s="125" t="s">
        <v>207</v>
      </c>
      <c r="K291" s="125"/>
      <c r="L291" s="125"/>
    </row>
    <row r="292" spans="1:12" s="122" customFormat="1" ht="11.25">
      <c r="A292" s="361"/>
      <c r="B292" s="615"/>
      <c r="C292" s="367" t="s">
        <v>284</v>
      </c>
      <c r="D292" s="848"/>
      <c r="E292" s="487" t="s">
        <v>15340</v>
      </c>
      <c r="F292" s="487" t="s">
        <v>15341</v>
      </c>
      <c r="G292" s="487" t="s">
        <v>15342</v>
      </c>
      <c r="H292" s="487"/>
      <c r="I292" s="487"/>
      <c r="J292" s="125" t="s">
        <v>283</v>
      </c>
      <c r="K292" s="125" t="s">
        <v>280</v>
      </c>
      <c r="L292" s="125" t="s">
        <v>281</v>
      </c>
    </row>
    <row r="293" spans="1:12" s="122" customFormat="1" ht="11.25">
      <c r="A293" s="766"/>
      <c r="B293" s="616"/>
      <c r="C293" s="367" t="s">
        <v>9</v>
      </c>
      <c r="D293" s="849"/>
      <c r="E293" s="488">
        <f>(86.08/(0.45*0.15))*(0.4*0.2)</f>
        <v>102.02074074074075</v>
      </c>
      <c r="F293" s="84">
        <f>(55/(0.45*0.15))*(0.4*0.2)</f>
        <v>65.18518518518519</v>
      </c>
      <c r="G293" s="84">
        <f>(29.91/(0.45*0.15))*(0.4*0.2)</f>
        <v>35.448888888888895</v>
      </c>
      <c r="H293" s="84"/>
      <c r="I293" s="84"/>
      <c r="J293" s="125">
        <f>MEDIAN(E293:I293)</f>
        <v>65.18518518518519</v>
      </c>
      <c r="K293" s="125">
        <f>J293*1.3</f>
        <v>84.740740740740748</v>
      </c>
      <c r="L293" s="125">
        <f>J293*0.7</f>
        <v>45.629629629629633</v>
      </c>
    </row>
    <row r="294" spans="1:12" s="122" customFormat="1" ht="11.25">
      <c r="A294" s="362"/>
      <c r="B294" s="616"/>
      <c r="C294" s="367" t="s">
        <v>8</v>
      </c>
      <c r="D294" s="849"/>
      <c r="E294" s="487"/>
      <c r="F294" s="751" t="s">
        <v>15343</v>
      </c>
      <c r="G294" s="487" t="s">
        <v>15344</v>
      </c>
      <c r="H294" s="487"/>
      <c r="I294" s="487"/>
      <c r="J294" s="125"/>
      <c r="K294" s="125"/>
      <c r="L294" s="125"/>
    </row>
    <row r="295" spans="1:12" s="122" customFormat="1" ht="11.25">
      <c r="A295" s="362"/>
      <c r="B295" s="616"/>
      <c r="C295" s="367" t="s">
        <v>7</v>
      </c>
      <c r="D295" s="849"/>
      <c r="E295" s="489" t="s">
        <v>15345</v>
      </c>
      <c r="F295" s="489" t="s">
        <v>15346</v>
      </c>
      <c r="G295" s="489" t="s">
        <v>15347</v>
      </c>
      <c r="H295" s="489"/>
      <c r="I295" s="489"/>
      <c r="J295" s="125"/>
      <c r="K295" s="125"/>
      <c r="L295" s="125"/>
    </row>
    <row r="296" spans="1:12" s="122" customFormat="1" ht="11.25">
      <c r="A296" s="362"/>
      <c r="B296" s="616"/>
      <c r="C296" s="367" t="s">
        <v>6</v>
      </c>
      <c r="D296" s="849"/>
      <c r="E296" s="490">
        <v>44256</v>
      </c>
      <c r="F296" s="490">
        <v>44015</v>
      </c>
      <c r="G296" s="490">
        <v>44257</v>
      </c>
      <c r="H296" s="490"/>
      <c r="I296" s="490"/>
      <c r="J296" s="125"/>
      <c r="K296" s="125"/>
      <c r="L296" s="125"/>
    </row>
    <row r="297" spans="1:12" s="122" customFormat="1" ht="11.25">
      <c r="A297" s="363"/>
      <c r="B297" s="617"/>
      <c r="C297" s="367" t="s">
        <v>8993</v>
      </c>
      <c r="D297" s="850"/>
      <c r="E297" s="490" t="s">
        <v>17778</v>
      </c>
      <c r="F297" s="490" t="s">
        <v>17779</v>
      </c>
      <c r="G297" s="490" t="s">
        <v>17780</v>
      </c>
      <c r="H297" s="490"/>
      <c r="I297" s="490"/>
      <c r="J297" s="125"/>
      <c r="K297" s="125"/>
      <c r="L297" s="125"/>
    </row>
    <row r="298" spans="1:12" s="121" customFormat="1" ht="11.25">
      <c r="A298" s="173"/>
      <c r="B298" s="613"/>
      <c r="C298" s="180"/>
      <c r="D298" s="180"/>
      <c r="E298" s="180"/>
      <c r="F298" s="180"/>
      <c r="G298" s="180"/>
      <c r="H298" s="180"/>
      <c r="I298" s="180"/>
      <c r="J298" s="124"/>
      <c r="K298" s="124"/>
      <c r="L298" s="124"/>
    </row>
    <row r="299" spans="1:12" s="122" customFormat="1" ht="33.75">
      <c r="A299" s="366" t="s">
        <v>17768</v>
      </c>
      <c r="B299" s="626" t="s">
        <v>24688</v>
      </c>
      <c r="C299" s="369">
        <f>MIN(E301:I301)</f>
        <v>2950</v>
      </c>
      <c r="D299" s="370" t="s">
        <v>109</v>
      </c>
      <c r="E299" s="486" t="s">
        <v>15337</v>
      </c>
      <c r="F299" s="486" t="s">
        <v>15338</v>
      </c>
      <c r="G299" s="486" t="s">
        <v>15339</v>
      </c>
      <c r="H299" s="486"/>
      <c r="I299" s="486"/>
      <c r="J299" s="125" t="s">
        <v>207</v>
      </c>
      <c r="K299" s="125"/>
      <c r="L299" s="125"/>
    </row>
    <row r="300" spans="1:12" s="122" customFormat="1" ht="11.25">
      <c r="A300" s="361"/>
      <c r="B300" s="615"/>
      <c r="C300" s="367" t="s">
        <v>284</v>
      </c>
      <c r="D300" s="848"/>
      <c r="E300" s="487" t="s">
        <v>15340</v>
      </c>
      <c r="F300" s="487" t="s">
        <v>15341</v>
      </c>
      <c r="G300" s="487" t="s">
        <v>15342</v>
      </c>
      <c r="H300" s="487"/>
      <c r="I300" s="487"/>
      <c r="J300" s="125" t="s">
        <v>283</v>
      </c>
      <c r="K300" s="125" t="s">
        <v>280</v>
      </c>
      <c r="L300" s="125" t="s">
        <v>281</v>
      </c>
    </row>
    <row r="301" spans="1:12" s="122" customFormat="1" ht="11.25">
      <c r="A301" s="766"/>
      <c r="B301" s="616"/>
      <c r="C301" s="367" t="s">
        <v>9</v>
      </c>
      <c r="D301" s="849"/>
      <c r="E301" s="488">
        <v>2950</v>
      </c>
      <c r="F301" s="84">
        <v>3200</v>
      </c>
      <c r="G301" s="84">
        <v>3075</v>
      </c>
      <c r="H301" s="84"/>
      <c r="I301" s="84"/>
      <c r="J301" s="125">
        <f>MEDIAN(E301:I301)</f>
        <v>3075</v>
      </c>
      <c r="K301" s="125">
        <f>J301*1.3</f>
        <v>3997.5</v>
      </c>
      <c r="L301" s="125">
        <f>J301*0.7</f>
        <v>2152.5</v>
      </c>
    </row>
    <row r="302" spans="1:12" s="122" customFormat="1" ht="11.25">
      <c r="A302" s="362"/>
      <c r="B302" s="616"/>
      <c r="C302" s="367" t="s">
        <v>8</v>
      </c>
      <c r="D302" s="849"/>
      <c r="E302" s="487"/>
      <c r="F302" s="751" t="s">
        <v>15343</v>
      </c>
      <c r="G302" s="487" t="s">
        <v>15344</v>
      </c>
      <c r="H302" s="487"/>
      <c r="I302" s="487"/>
      <c r="J302" s="125"/>
      <c r="K302" s="125"/>
      <c r="L302" s="125"/>
    </row>
    <row r="303" spans="1:12" s="122" customFormat="1" ht="11.25">
      <c r="A303" s="362"/>
      <c r="B303" s="616"/>
      <c r="C303" s="367" t="s">
        <v>7</v>
      </c>
      <c r="D303" s="849"/>
      <c r="E303" s="489" t="s">
        <v>15345</v>
      </c>
      <c r="F303" s="489" t="s">
        <v>15346</v>
      </c>
      <c r="G303" s="489" t="s">
        <v>15347</v>
      </c>
      <c r="H303" s="489"/>
      <c r="I303" s="489"/>
      <c r="J303" s="125"/>
      <c r="K303" s="125"/>
      <c r="L303" s="125"/>
    </row>
    <row r="304" spans="1:12" s="122" customFormat="1" ht="11.25">
      <c r="A304" s="362"/>
      <c r="B304" s="616"/>
      <c r="C304" s="367" t="s">
        <v>6</v>
      </c>
      <c r="D304" s="849"/>
      <c r="E304" s="490">
        <v>44256</v>
      </c>
      <c r="F304" s="490">
        <v>44015</v>
      </c>
      <c r="G304" s="490">
        <v>44257</v>
      </c>
      <c r="H304" s="490"/>
      <c r="I304" s="490"/>
      <c r="J304" s="125"/>
      <c r="K304" s="125"/>
      <c r="L304" s="125"/>
    </row>
    <row r="305" spans="1:12" s="122" customFormat="1" ht="11.25">
      <c r="A305" s="363"/>
      <c r="B305" s="617"/>
      <c r="C305" s="367" t="s">
        <v>8993</v>
      </c>
      <c r="D305" s="850"/>
      <c r="E305" s="490" t="s">
        <v>17778</v>
      </c>
      <c r="F305" s="490" t="s">
        <v>17779</v>
      </c>
      <c r="G305" s="490" t="s">
        <v>17780</v>
      </c>
      <c r="H305" s="490"/>
      <c r="I305" s="490"/>
      <c r="J305" s="125"/>
      <c r="K305" s="125"/>
      <c r="L305" s="125"/>
    </row>
    <row r="306" spans="1:12" s="121" customFormat="1" ht="11.25">
      <c r="A306" s="173"/>
      <c r="B306" s="613"/>
      <c r="C306" s="180"/>
      <c r="D306" s="180"/>
      <c r="E306" s="180"/>
      <c r="F306" s="180"/>
      <c r="G306" s="180"/>
      <c r="H306" s="180"/>
      <c r="I306" s="180"/>
      <c r="J306" s="124"/>
      <c r="K306" s="124"/>
      <c r="L306" s="124"/>
    </row>
    <row r="307" spans="1:12" s="121" customFormat="1" ht="33.75">
      <c r="A307" s="366" t="s">
        <v>14614</v>
      </c>
      <c r="B307" s="626" t="s">
        <v>17329</v>
      </c>
      <c r="C307" s="369">
        <f>MIN(E309:I309)</f>
        <v>31990</v>
      </c>
      <c r="D307" s="370" t="s">
        <v>109</v>
      </c>
      <c r="E307" s="486" t="s">
        <v>17234</v>
      </c>
      <c r="F307" s="486" t="s">
        <v>17235</v>
      </c>
      <c r="G307" s="486" t="s">
        <v>17286</v>
      </c>
      <c r="H307" s="486"/>
      <c r="I307" s="486"/>
      <c r="J307" s="125" t="s">
        <v>207</v>
      </c>
      <c r="K307" s="125"/>
      <c r="L307" s="125"/>
    </row>
    <row r="308" spans="1:12" s="121" customFormat="1" ht="22.5">
      <c r="A308" s="361"/>
      <c r="B308" s="615"/>
      <c r="C308" s="367" t="s">
        <v>284</v>
      </c>
      <c r="D308" s="848"/>
      <c r="E308" s="487" t="s">
        <v>17236</v>
      </c>
      <c r="F308" s="487" t="s">
        <v>17237</v>
      </c>
      <c r="G308" s="487" t="s">
        <v>17287</v>
      </c>
      <c r="H308" s="487"/>
      <c r="I308" s="487"/>
      <c r="J308" s="125" t="s">
        <v>283</v>
      </c>
      <c r="K308" s="125" t="s">
        <v>280</v>
      </c>
      <c r="L308" s="125" t="s">
        <v>281</v>
      </c>
    </row>
    <row r="309" spans="1:12" s="121" customFormat="1" ht="11.25">
      <c r="A309" s="362"/>
      <c r="B309" s="616"/>
      <c r="C309" s="367" t="s">
        <v>9</v>
      </c>
      <c r="D309" s="849"/>
      <c r="E309" s="488">
        <v>38900</v>
      </c>
      <c r="F309" s="488">
        <v>31990</v>
      </c>
      <c r="G309" s="488">
        <v>47980</v>
      </c>
      <c r="H309" s="84"/>
      <c r="I309" s="84"/>
      <c r="J309" s="125">
        <f>MEDIAN(E309:I309)</f>
        <v>38900</v>
      </c>
      <c r="K309" s="125">
        <f>J309*1.3</f>
        <v>50570</v>
      </c>
      <c r="L309" s="125">
        <f>J309*0.7</f>
        <v>27230</v>
      </c>
    </row>
    <row r="310" spans="1:12" s="121" customFormat="1" ht="11.25">
      <c r="A310" s="362"/>
      <c r="B310" s="616"/>
      <c r="C310" s="367" t="s">
        <v>8</v>
      </c>
      <c r="D310" s="849"/>
      <c r="E310" s="487" t="s">
        <v>17238</v>
      </c>
      <c r="F310" s="487" t="s">
        <v>17239</v>
      </c>
      <c r="G310" s="487" t="s">
        <v>17288</v>
      </c>
      <c r="H310" s="487"/>
      <c r="I310" s="487"/>
      <c r="J310" s="125"/>
      <c r="K310" s="125"/>
      <c r="L310" s="125"/>
    </row>
    <row r="311" spans="1:12" s="121" customFormat="1" ht="11.25">
      <c r="A311" s="362"/>
      <c r="B311" s="616"/>
      <c r="C311" s="367" t="s">
        <v>7</v>
      </c>
      <c r="D311" s="849"/>
      <c r="E311" s="489" t="s">
        <v>17240</v>
      </c>
      <c r="F311" s="489" t="s">
        <v>17241</v>
      </c>
      <c r="G311" s="489" t="s">
        <v>17289</v>
      </c>
      <c r="H311" s="489"/>
      <c r="I311" s="489"/>
      <c r="J311" s="125"/>
      <c r="K311" s="125"/>
      <c r="L311" s="125"/>
    </row>
    <row r="312" spans="1:12" s="121" customFormat="1" ht="11.25">
      <c r="A312" s="362"/>
      <c r="B312" s="616"/>
      <c r="C312" s="367" t="s">
        <v>6</v>
      </c>
      <c r="D312" s="849"/>
      <c r="E312" s="490">
        <v>44302</v>
      </c>
      <c r="F312" s="490">
        <v>44302</v>
      </c>
      <c r="G312" s="490">
        <v>44305</v>
      </c>
      <c r="H312" s="490"/>
      <c r="I312" s="490"/>
      <c r="J312" s="125"/>
      <c r="K312" s="125"/>
      <c r="L312" s="125"/>
    </row>
    <row r="313" spans="1:12" s="121" customFormat="1" ht="11.25">
      <c r="A313" s="363"/>
      <c r="B313" s="617"/>
      <c r="C313" s="367" t="s">
        <v>8993</v>
      </c>
      <c r="D313" s="850"/>
      <c r="E313" s="490" t="s">
        <v>15718</v>
      </c>
      <c r="F313" s="490" t="s">
        <v>17290</v>
      </c>
      <c r="G313" s="490" t="s">
        <v>17291</v>
      </c>
      <c r="H313" s="490"/>
      <c r="I313" s="490"/>
      <c r="J313" s="125"/>
      <c r="K313" s="125"/>
      <c r="L313" s="125"/>
    </row>
    <row r="314" spans="1:12" s="121" customFormat="1" ht="11.25">
      <c r="A314" s="173"/>
      <c r="B314" s="613"/>
      <c r="C314" s="180"/>
      <c r="D314" s="180"/>
      <c r="E314" s="180"/>
      <c r="F314" s="180"/>
      <c r="G314" s="180"/>
      <c r="H314" s="180"/>
      <c r="I314" s="180"/>
      <c r="J314" s="124"/>
      <c r="K314" s="124"/>
      <c r="L314" s="124"/>
    </row>
    <row r="315" spans="1:12" s="121" customFormat="1" ht="22.5">
      <c r="A315" s="366" t="s">
        <v>17359</v>
      </c>
      <c r="B315" s="626" t="s">
        <v>17362</v>
      </c>
      <c r="C315" s="369">
        <f>MIN(E317:I317)</f>
        <v>8.1999999999999993</v>
      </c>
      <c r="D315" s="370" t="s">
        <v>109</v>
      </c>
      <c r="E315" s="486" t="s">
        <v>17364</v>
      </c>
      <c r="F315" s="486" t="s">
        <v>15204</v>
      </c>
      <c r="G315" s="486" t="s">
        <v>14752</v>
      </c>
      <c r="H315" s="486" t="s">
        <v>18219</v>
      </c>
      <c r="I315" s="486"/>
      <c r="J315" s="125" t="s">
        <v>207</v>
      </c>
      <c r="K315" s="125"/>
      <c r="L315" s="125"/>
    </row>
    <row r="316" spans="1:12" s="121" customFormat="1" ht="22.5">
      <c r="A316" s="361"/>
      <c r="B316" s="615"/>
      <c r="C316" s="367" t="s">
        <v>284</v>
      </c>
      <c r="D316" s="848"/>
      <c r="E316" s="487" t="s">
        <v>17363</v>
      </c>
      <c r="F316" s="487" t="s">
        <v>15203</v>
      </c>
      <c r="G316" s="487" t="s">
        <v>14753</v>
      </c>
      <c r="H316" s="675" t="s">
        <v>18230</v>
      </c>
      <c r="I316" s="487"/>
      <c r="J316" s="125" t="s">
        <v>283</v>
      </c>
      <c r="K316" s="125" t="s">
        <v>280</v>
      </c>
      <c r="L316" s="125" t="s">
        <v>281</v>
      </c>
    </row>
    <row r="317" spans="1:12" s="121" customFormat="1" ht="11.25">
      <c r="A317" s="362"/>
      <c r="B317" s="616"/>
      <c r="C317" s="367" t="s">
        <v>9</v>
      </c>
      <c r="D317" s="849"/>
      <c r="E317" s="488">
        <v>8.9499999999999993</v>
      </c>
      <c r="F317" s="488">
        <v>9</v>
      </c>
      <c r="G317" s="488">
        <v>9.39</v>
      </c>
      <c r="H317" s="84">
        <v>8.1999999999999993</v>
      </c>
      <c r="I317" s="84"/>
      <c r="J317" s="125">
        <f>MEDIAN(E317:I317)</f>
        <v>8.9749999999999996</v>
      </c>
      <c r="K317" s="125">
        <f>J317*1.3</f>
        <v>11.6675</v>
      </c>
      <c r="L317" s="125">
        <f>J317*0.7</f>
        <v>6.2824999999999998</v>
      </c>
    </row>
    <row r="318" spans="1:12" s="121" customFormat="1" ht="11.25">
      <c r="A318" s="362"/>
      <c r="B318" s="616"/>
      <c r="C318" s="367" t="s">
        <v>8</v>
      </c>
      <c r="D318" s="849"/>
      <c r="E318" s="487" t="s">
        <v>17366</v>
      </c>
      <c r="F318" s="487" t="s">
        <v>17368</v>
      </c>
      <c r="G318" s="487" t="s">
        <v>14754</v>
      </c>
      <c r="H318" s="487"/>
      <c r="I318" s="487"/>
      <c r="J318" s="125"/>
      <c r="K318" s="125"/>
      <c r="L318" s="125"/>
    </row>
    <row r="319" spans="1:12" s="121" customFormat="1" ht="11.25">
      <c r="A319" s="362"/>
      <c r="B319" s="616"/>
      <c r="C319" s="367" t="s">
        <v>7</v>
      </c>
      <c r="D319" s="849"/>
      <c r="E319" s="489" t="s">
        <v>17367</v>
      </c>
      <c r="F319" s="489" t="s">
        <v>15205</v>
      </c>
      <c r="G319" s="489" t="s">
        <v>14755</v>
      </c>
      <c r="H319" s="489"/>
      <c r="I319" s="489"/>
      <c r="J319" s="125"/>
      <c r="K319" s="125"/>
      <c r="L319" s="125"/>
    </row>
    <row r="320" spans="1:12" s="121" customFormat="1" ht="11.25">
      <c r="A320" s="362"/>
      <c r="B320" s="616"/>
      <c r="C320" s="367" t="s">
        <v>6</v>
      </c>
      <c r="D320" s="849"/>
      <c r="E320" s="490">
        <v>44312</v>
      </c>
      <c r="F320" s="490">
        <v>44312</v>
      </c>
      <c r="G320" s="490">
        <v>44312</v>
      </c>
      <c r="H320" s="490">
        <v>44315</v>
      </c>
      <c r="I320" s="490"/>
      <c r="J320" s="125"/>
      <c r="K320" s="125"/>
      <c r="L320" s="125"/>
    </row>
    <row r="321" spans="1:12" s="121" customFormat="1" ht="11.25">
      <c r="A321" s="363"/>
      <c r="B321" s="617"/>
      <c r="C321" s="367" t="s">
        <v>8993</v>
      </c>
      <c r="D321" s="850"/>
      <c r="E321" s="490" t="s">
        <v>17365</v>
      </c>
      <c r="F321" s="490" t="s">
        <v>17365</v>
      </c>
      <c r="G321" s="490" t="s">
        <v>17365</v>
      </c>
      <c r="H321" s="490" t="s">
        <v>18220</v>
      </c>
      <c r="I321" s="490"/>
      <c r="J321" s="125"/>
      <c r="K321" s="125"/>
      <c r="L321" s="125"/>
    </row>
    <row r="322" spans="1:12" s="121" customFormat="1" ht="11.25">
      <c r="A322" s="173"/>
      <c r="B322" s="613"/>
      <c r="C322" s="180"/>
      <c r="D322" s="180"/>
      <c r="E322" s="180"/>
      <c r="F322" s="180"/>
      <c r="G322" s="180"/>
      <c r="H322" s="180"/>
      <c r="I322" s="180"/>
      <c r="J322" s="124"/>
      <c r="K322" s="124"/>
      <c r="L322" s="124"/>
    </row>
    <row r="323" spans="1:12" s="121" customFormat="1" ht="22.5">
      <c r="A323" s="366" t="s">
        <v>17382</v>
      </c>
      <c r="B323" s="626" t="s">
        <v>17385</v>
      </c>
      <c r="C323" s="369">
        <f>MIN(E325:I325)</f>
        <v>5.63</v>
      </c>
      <c r="D323" s="370" t="s">
        <v>109</v>
      </c>
      <c r="E323" s="486" t="s">
        <v>14929</v>
      </c>
      <c r="F323" s="486" t="s">
        <v>16928</v>
      </c>
      <c r="G323" s="486" t="s">
        <v>16777</v>
      </c>
      <c r="H323" s="486"/>
      <c r="I323" s="486"/>
      <c r="J323" s="125" t="s">
        <v>207</v>
      </c>
      <c r="K323" s="125"/>
      <c r="L323" s="125"/>
    </row>
    <row r="324" spans="1:12" s="121" customFormat="1" ht="22.5">
      <c r="A324" s="361"/>
      <c r="B324" s="615"/>
      <c r="C324" s="367" t="s">
        <v>284</v>
      </c>
      <c r="D324" s="848"/>
      <c r="E324" s="487" t="s">
        <v>14928</v>
      </c>
      <c r="F324" s="487" t="s">
        <v>15002</v>
      </c>
      <c r="G324" s="487" t="s">
        <v>15173</v>
      </c>
      <c r="H324" s="487"/>
      <c r="I324" s="487"/>
      <c r="J324" s="125" t="s">
        <v>283</v>
      </c>
      <c r="K324" s="125" t="s">
        <v>280</v>
      </c>
      <c r="L324" s="125" t="s">
        <v>281</v>
      </c>
    </row>
    <row r="325" spans="1:12" s="121" customFormat="1" ht="11.25">
      <c r="A325" s="362"/>
      <c r="B325" s="616"/>
      <c r="C325" s="367" t="s">
        <v>9</v>
      </c>
      <c r="D325" s="849"/>
      <c r="E325" s="84">
        <v>5.63</v>
      </c>
      <c r="F325" s="84">
        <v>7.8</v>
      </c>
      <c r="G325" s="488">
        <v>13.9</v>
      </c>
      <c r="H325" s="488"/>
      <c r="I325" s="84"/>
      <c r="J325" s="125">
        <f>MEDIAN(E325:I325)</f>
        <v>7.8</v>
      </c>
      <c r="K325" s="125">
        <f>J325*1.3</f>
        <v>10.14</v>
      </c>
      <c r="L325" s="125">
        <f>J325*0.7</f>
        <v>5.46</v>
      </c>
    </row>
    <row r="326" spans="1:12" s="121" customFormat="1" ht="11.25">
      <c r="A326" s="362"/>
      <c r="B326" s="616"/>
      <c r="C326" s="367" t="s">
        <v>8</v>
      </c>
      <c r="D326" s="849"/>
      <c r="E326" s="487" t="s">
        <v>14931</v>
      </c>
      <c r="F326" s="487" t="s">
        <v>14758</v>
      </c>
      <c r="G326" s="487" t="s">
        <v>14758</v>
      </c>
      <c r="H326" s="487"/>
      <c r="I326" s="487"/>
      <c r="J326" s="125"/>
      <c r="K326" s="125"/>
      <c r="L326" s="125"/>
    </row>
    <row r="327" spans="1:12" s="121" customFormat="1" ht="11.25">
      <c r="A327" s="362"/>
      <c r="B327" s="616"/>
      <c r="C327" s="367" t="s">
        <v>7</v>
      </c>
      <c r="D327" s="849"/>
      <c r="E327" s="489" t="s">
        <v>14930</v>
      </c>
      <c r="F327" s="489" t="s">
        <v>14759</v>
      </c>
      <c r="G327" s="489" t="s">
        <v>14937</v>
      </c>
      <c r="H327" s="489"/>
      <c r="I327" s="489"/>
      <c r="J327" s="125"/>
      <c r="K327" s="125"/>
      <c r="L327" s="125"/>
    </row>
    <row r="328" spans="1:12" s="121" customFormat="1" ht="11.25">
      <c r="A328" s="362"/>
      <c r="B328" s="616"/>
      <c r="C328" s="367" t="s">
        <v>6</v>
      </c>
      <c r="D328" s="849"/>
      <c r="E328" s="490">
        <v>44313</v>
      </c>
      <c r="F328" s="490">
        <v>44313</v>
      </c>
      <c r="G328" s="490">
        <v>44313</v>
      </c>
      <c r="H328" s="490"/>
      <c r="I328" s="490"/>
      <c r="J328" s="125"/>
      <c r="K328" s="125"/>
      <c r="L328" s="125"/>
    </row>
    <row r="329" spans="1:12" s="121" customFormat="1" ht="11.25">
      <c r="A329" s="363"/>
      <c r="B329" s="617"/>
      <c r="C329" s="367" t="s">
        <v>8993</v>
      </c>
      <c r="D329" s="850"/>
      <c r="E329" s="490" t="s">
        <v>17384</v>
      </c>
      <c r="F329" s="490" t="s">
        <v>17384</v>
      </c>
      <c r="G329" s="490" t="s">
        <v>17384</v>
      </c>
      <c r="H329" s="490"/>
      <c r="I329" s="490"/>
      <c r="J329" s="125"/>
      <c r="K329" s="125"/>
      <c r="L329" s="125"/>
    </row>
    <row r="330" spans="1:12" s="121" customFormat="1" ht="11.25">
      <c r="A330" s="173"/>
      <c r="B330" s="613"/>
      <c r="C330" s="180"/>
      <c r="D330" s="180"/>
      <c r="E330" s="180"/>
      <c r="F330" s="180"/>
      <c r="G330" s="180"/>
      <c r="H330" s="180"/>
      <c r="I330" s="180"/>
      <c r="J330" s="124"/>
      <c r="K330" s="124"/>
      <c r="L330" s="124"/>
    </row>
    <row r="331" spans="1:12" s="121" customFormat="1" ht="22.5">
      <c r="A331" s="366" t="s">
        <v>17383</v>
      </c>
      <c r="B331" s="626" t="s">
        <v>17387</v>
      </c>
      <c r="C331" s="369">
        <f>MIN(E333:I333)</f>
        <v>17.71</v>
      </c>
      <c r="D331" s="370" t="s">
        <v>109</v>
      </c>
      <c r="E331" s="486" t="s">
        <v>17176</v>
      </c>
      <c r="F331" s="486" t="s">
        <v>14752</v>
      </c>
      <c r="G331" s="486" t="s">
        <v>17389</v>
      </c>
      <c r="H331" s="486"/>
      <c r="I331" s="486"/>
      <c r="J331" s="125" t="s">
        <v>207</v>
      </c>
      <c r="K331" s="125"/>
      <c r="L331" s="125"/>
    </row>
    <row r="332" spans="1:12" s="121" customFormat="1" ht="22.5">
      <c r="A332" s="361"/>
      <c r="B332" s="615"/>
      <c r="C332" s="367" t="s">
        <v>284</v>
      </c>
      <c r="D332" s="848"/>
      <c r="E332" s="487" t="s">
        <v>15003</v>
      </c>
      <c r="F332" s="487" t="s">
        <v>14753</v>
      </c>
      <c r="G332" s="487" t="s">
        <v>17388</v>
      </c>
      <c r="H332" s="487"/>
      <c r="I332" s="487"/>
      <c r="J332" s="125" t="s">
        <v>283</v>
      </c>
      <c r="K332" s="125" t="s">
        <v>280</v>
      </c>
      <c r="L332" s="125" t="s">
        <v>281</v>
      </c>
    </row>
    <row r="333" spans="1:12" s="121" customFormat="1" ht="11.25">
      <c r="A333" s="362"/>
      <c r="B333" s="616"/>
      <c r="C333" s="367" t="s">
        <v>9</v>
      </c>
      <c r="D333" s="849"/>
      <c r="E333" s="488">
        <v>17.71</v>
      </c>
      <c r="F333" s="488">
        <v>17.71</v>
      </c>
      <c r="G333" s="488">
        <v>18.88</v>
      </c>
      <c r="H333" s="84"/>
      <c r="I333" s="84"/>
      <c r="J333" s="125">
        <f>MEDIAN(E333:I333)</f>
        <v>17.71</v>
      </c>
      <c r="K333" s="125">
        <f>J333*1.3</f>
        <v>23.023000000000003</v>
      </c>
      <c r="L333" s="125">
        <f>J333*0.7</f>
        <v>12.397</v>
      </c>
    </row>
    <row r="334" spans="1:12" s="121" customFormat="1" ht="11.25">
      <c r="A334" s="362"/>
      <c r="B334" s="616"/>
      <c r="C334" s="367" t="s">
        <v>8</v>
      </c>
      <c r="D334" s="849"/>
      <c r="E334" s="487" t="s">
        <v>14764</v>
      </c>
      <c r="F334" s="487" t="s">
        <v>14754</v>
      </c>
      <c r="G334" s="487" t="s">
        <v>17390</v>
      </c>
      <c r="H334" s="487"/>
      <c r="I334" s="487"/>
      <c r="J334" s="125"/>
      <c r="K334" s="125"/>
      <c r="L334" s="125"/>
    </row>
    <row r="335" spans="1:12" s="121" customFormat="1" ht="11.25">
      <c r="A335" s="362"/>
      <c r="B335" s="616"/>
      <c r="C335" s="367" t="s">
        <v>7</v>
      </c>
      <c r="D335" s="849"/>
      <c r="E335" s="489" t="s">
        <v>16726</v>
      </c>
      <c r="F335" s="489" t="s">
        <v>14755</v>
      </c>
      <c r="G335" s="489" t="s">
        <v>17391</v>
      </c>
      <c r="H335" s="489"/>
      <c r="I335" s="489"/>
      <c r="J335" s="125"/>
      <c r="K335" s="125"/>
      <c r="L335" s="125"/>
    </row>
    <row r="336" spans="1:12" s="121" customFormat="1" ht="11.25">
      <c r="A336" s="362"/>
      <c r="B336" s="616"/>
      <c r="C336" s="367" t="s">
        <v>6</v>
      </c>
      <c r="D336" s="849"/>
      <c r="E336" s="490">
        <v>44313</v>
      </c>
      <c r="F336" s="490">
        <v>44313</v>
      </c>
      <c r="G336" s="490">
        <v>44313</v>
      </c>
      <c r="H336" s="490"/>
      <c r="I336" s="490"/>
      <c r="J336" s="125"/>
      <c r="K336" s="125"/>
      <c r="L336" s="125"/>
    </row>
    <row r="337" spans="1:12" s="121" customFormat="1" ht="11.25">
      <c r="A337" s="363"/>
      <c r="B337" s="617"/>
      <c r="C337" s="367" t="s">
        <v>8993</v>
      </c>
      <c r="D337" s="850"/>
      <c r="E337" s="490" t="s">
        <v>17386</v>
      </c>
      <c r="F337" s="490" t="s">
        <v>17386</v>
      </c>
      <c r="G337" s="490" t="s">
        <v>17386</v>
      </c>
      <c r="H337" s="490"/>
      <c r="I337" s="490"/>
      <c r="J337" s="125"/>
      <c r="K337" s="125"/>
      <c r="L337" s="125"/>
    </row>
    <row r="338" spans="1:12" s="121" customFormat="1" ht="11.25">
      <c r="A338" s="173"/>
      <c r="B338" s="613"/>
      <c r="C338" s="180"/>
      <c r="D338" s="180"/>
      <c r="E338" s="180"/>
      <c r="F338" s="180"/>
      <c r="G338" s="180"/>
      <c r="H338" s="180"/>
      <c r="I338" s="180"/>
      <c r="J338" s="124"/>
      <c r="K338" s="124"/>
      <c r="L338" s="124"/>
    </row>
    <row r="339" spans="1:12" s="121" customFormat="1" ht="11.25">
      <c r="A339" s="366" t="s">
        <v>17392</v>
      </c>
      <c r="B339" s="626" t="s">
        <v>17394</v>
      </c>
      <c r="C339" s="369">
        <f>MIN(E341:I341)</f>
        <v>21.06</v>
      </c>
      <c r="D339" s="370" t="s">
        <v>109</v>
      </c>
      <c r="E339" s="486" t="s">
        <v>17068</v>
      </c>
      <c r="F339" s="486" t="s">
        <v>14752</v>
      </c>
      <c r="G339" s="486" t="s">
        <v>17150</v>
      </c>
      <c r="H339" s="486"/>
      <c r="I339" s="486"/>
      <c r="J339" s="125" t="s">
        <v>207</v>
      </c>
      <c r="K339" s="125"/>
      <c r="L339" s="125"/>
    </row>
    <row r="340" spans="1:12" s="121" customFormat="1" ht="22.5">
      <c r="A340" s="361"/>
      <c r="B340" s="615"/>
      <c r="C340" s="367" t="s">
        <v>284</v>
      </c>
      <c r="D340" s="848"/>
      <c r="E340" s="487" t="s">
        <v>17071</v>
      </c>
      <c r="F340" s="487" t="s">
        <v>14753</v>
      </c>
      <c r="G340" s="487" t="s">
        <v>17149</v>
      </c>
      <c r="H340" s="487"/>
      <c r="I340" s="487"/>
      <c r="J340" s="125" t="s">
        <v>283</v>
      </c>
      <c r="K340" s="125" t="s">
        <v>280</v>
      </c>
      <c r="L340" s="125" t="s">
        <v>281</v>
      </c>
    </row>
    <row r="341" spans="1:12" s="121" customFormat="1" ht="11.25">
      <c r="A341" s="362"/>
      <c r="B341" s="616"/>
      <c r="C341" s="367" t="s">
        <v>9</v>
      </c>
      <c r="D341" s="849"/>
      <c r="E341" s="488">
        <v>21.06</v>
      </c>
      <c r="F341" s="488">
        <v>37.9</v>
      </c>
      <c r="G341" s="488">
        <v>26.1</v>
      </c>
      <c r="H341" s="84"/>
      <c r="I341" s="84"/>
      <c r="J341" s="125">
        <f>MEDIAN(E341:I341)</f>
        <v>26.1</v>
      </c>
      <c r="K341" s="125">
        <f>J341*1.3</f>
        <v>33.93</v>
      </c>
      <c r="L341" s="125">
        <f>J341*0.7</f>
        <v>18.27</v>
      </c>
    </row>
    <row r="342" spans="1:12" s="121" customFormat="1" ht="11.25">
      <c r="A342" s="362"/>
      <c r="B342" s="616"/>
      <c r="C342" s="367" t="s">
        <v>8</v>
      </c>
      <c r="D342" s="849"/>
      <c r="E342" s="487" t="s">
        <v>17273</v>
      </c>
      <c r="F342" s="487" t="s">
        <v>14754</v>
      </c>
      <c r="G342" s="487" t="s">
        <v>17151</v>
      </c>
      <c r="H342" s="487"/>
      <c r="I342" s="487"/>
      <c r="J342" s="125"/>
      <c r="K342" s="125"/>
      <c r="L342" s="125"/>
    </row>
    <row r="343" spans="1:12" s="121" customFormat="1" ht="11.25">
      <c r="A343" s="362"/>
      <c r="B343" s="616"/>
      <c r="C343" s="367" t="s">
        <v>7</v>
      </c>
      <c r="D343" s="849"/>
      <c r="E343" s="489" t="s">
        <v>17076</v>
      </c>
      <c r="F343" s="489" t="s">
        <v>14755</v>
      </c>
      <c r="G343" s="489" t="s">
        <v>17152</v>
      </c>
      <c r="H343" s="489"/>
      <c r="I343" s="489"/>
      <c r="J343" s="125"/>
      <c r="K343" s="125"/>
      <c r="L343" s="125"/>
    </row>
    <row r="344" spans="1:12" s="121" customFormat="1" ht="11.25">
      <c r="A344" s="362"/>
      <c r="B344" s="616"/>
      <c r="C344" s="367" t="s">
        <v>6</v>
      </c>
      <c r="D344" s="849"/>
      <c r="E344" s="490">
        <v>44313</v>
      </c>
      <c r="F344" s="490">
        <v>44313</v>
      </c>
      <c r="G344" s="490">
        <v>44313</v>
      </c>
      <c r="H344" s="490"/>
      <c r="I344" s="490"/>
      <c r="J344" s="125"/>
      <c r="K344" s="125"/>
      <c r="L344" s="125"/>
    </row>
    <row r="345" spans="1:12" s="121" customFormat="1" ht="11.25">
      <c r="A345" s="363"/>
      <c r="B345" s="617"/>
      <c r="C345" s="367" t="s">
        <v>8993</v>
      </c>
      <c r="D345" s="850"/>
      <c r="E345" s="490" t="s">
        <v>17393</v>
      </c>
      <c r="F345" s="490" t="s">
        <v>17393</v>
      </c>
      <c r="G345" s="490" t="s">
        <v>17393</v>
      </c>
      <c r="H345" s="490"/>
      <c r="I345" s="490"/>
      <c r="J345" s="125"/>
      <c r="K345" s="125"/>
      <c r="L345" s="125"/>
    </row>
    <row r="346" spans="1:12" s="121" customFormat="1" ht="11.25">
      <c r="A346" s="173"/>
      <c r="B346" s="613"/>
      <c r="C346" s="180"/>
      <c r="D346" s="180"/>
      <c r="E346" s="180"/>
      <c r="F346" s="180"/>
      <c r="G346" s="180"/>
      <c r="H346" s="180"/>
      <c r="I346" s="180"/>
      <c r="J346" s="124"/>
      <c r="K346" s="124"/>
      <c r="L346" s="124"/>
    </row>
    <row r="347" spans="1:12" s="121" customFormat="1" ht="22.5">
      <c r="A347" s="366" t="s">
        <v>17396</v>
      </c>
      <c r="B347" s="626" t="s">
        <v>17398</v>
      </c>
      <c r="C347" s="369">
        <f>MIN(E349:I349)</f>
        <v>867</v>
      </c>
      <c r="D347" s="370" t="s">
        <v>109</v>
      </c>
      <c r="E347" s="486" t="s">
        <v>17410</v>
      </c>
      <c r="F347" s="486" t="s">
        <v>17743</v>
      </c>
      <c r="G347" s="486" t="s">
        <v>17789</v>
      </c>
      <c r="H347" s="486"/>
      <c r="I347" s="486"/>
      <c r="J347" s="125" t="s">
        <v>207</v>
      </c>
      <c r="K347" s="125"/>
      <c r="L347" s="125"/>
    </row>
    <row r="348" spans="1:12" s="121" customFormat="1" ht="22.5">
      <c r="A348" s="361"/>
      <c r="B348" s="615"/>
      <c r="C348" s="367" t="s">
        <v>284</v>
      </c>
      <c r="D348" s="848"/>
      <c r="E348" s="487" t="s">
        <v>17414</v>
      </c>
      <c r="F348" s="487" t="s">
        <v>17745</v>
      </c>
      <c r="G348" s="487" t="s">
        <v>17790</v>
      </c>
      <c r="H348" s="487"/>
      <c r="I348" s="487"/>
      <c r="J348" s="125" t="s">
        <v>283</v>
      </c>
      <c r="K348" s="125" t="s">
        <v>280</v>
      </c>
      <c r="L348" s="125" t="s">
        <v>281</v>
      </c>
    </row>
    <row r="349" spans="1:12" s="121" customFormat="1" ht="11.25">
      <c r="A349" s="362"/>
      <c r="B349" s="616"/>
      <c r="C349" s="367" t="s">
        <v>9</v>
      </c>
      <c r="D349" s="849"/>
      <c r="E349" s="488">
        <v>867</v>
      </c>
      <c r="F349" s="488">
        <v>966</v>
      </c>
      <c r="G349" s="488">
        <v>1061.06</v>
      </c>
      <c r="H349" s="84"/>
      <c r="I349" s="84"/>
      <c r="J349" s="125">
        <f>MEDIAN(E349:I349)</f>
        <v>966</v>
      </c>
      <c r="K349" s="125">
        <f>J349*1.3</f>
        <v>1255.8</v>
      </c>
      <c r="L349" s="125">
        <f>J349*0.7</f>
        <v>676.19999999999993</v>
      </c>
    </row>
    <row r="350" spans="1:12" s="121" customFormat="1" ht="11.25">
      <c r="A350" s="362"/>
      <c r="B350" s="616"/>
      <c r="C350" s="367" t="s">
        <v>8</v>
      </c>
      <c r="D350" s="849"/>
      <c r="E350" s="487" t="s">
        <v>17413</v>
      </c>
      <c r="F350" s="487" t="s">
        <v>17747</v>
      </c>
      <c r="G350" s="487" t="s">
        <v>17791</v>
      </c>
      <c r="H350" s="487"/>
      <c r="I350" s="487"/>
      <c r="J350" s="125"/>
      <c r="K350" s="125"/>
      <c r="L350" s="125"/>
    </row>
    <row r="351" spans="1:12" s="121" customFormat="1" ht="11.25">
      <c r="A351" s="362"/>
      <c r="B351" s="616"/>
      <c r="C351" s="367" t="s">
        <v>7</v>
      </c>
      <c r="D351" s="849"/>
      <c r="E351" s="489" t="s">
        <v>17412</v>
      </c>
      <c r="F351" s="489" t="s">
        <v>17746</v>
      </c>
      <c r="G351" s="489" t="s">
        <v>17792</v>
      </c>
      <c r="H351" s="489"/>
      <c r="I351" s="489"/>
      <c r="J351" s="125"/>
      <c r="K351" s="125"/>
      <c r="L351" s="125"/>
    </row>
    <row r="352" spans="1:12" s="121" customFormat="1" ht="11.25">
      <c r="A352" s="362"/>
      <c r="B352" s="616"/>
      <c r="C352" s="367" t="s">
        <v>6</v>
      </c>
      <c r="D352" s="849"/>
      <c r="E352" s="490">
        <v>44313</v>
      </c>
      <c r="F352" s="490">
        <v>44319</v>
      </c>
      <c r="G352" s="490">
        <v>44319</v>
      </c>
      <c r="H352" s="490"/>
      <c r="I352" s="490"/>
      <c r="J352" s="125"/>
      <c r="K352" s="125"/>
      <c r="L352" s="125"/>
    </row>
    <row r="353" spans="1:12" s="121" customFormat="1" ht="11.25">
      <c r="A353" s="363"/>
      <c r="B353" s="617"/>
      <c r="C353" s="367" t="s">
        <v>8993</v>
      </c>
      <c r="D353" s="850"/>
      <c r="E353" s="490" t="s">
        <v>17411</v>
      </c>
      <c r="F353" s="490" t="s">
        <v>17744</v>
      </c>
      <c r="G353" s="490" t="s">
        <v>17793</v>
      </c>
      <c r="H353" s="490"/>
      <c r="I353" s="490"/>
      <c r="J353" s="125"/>
      <c r="K353" s="125"/>
      <c r="L353" s="125"/>
    </row>
    <row r="354" spans="1:12" s="121" customFormat="1" ht="11.25">
      <c r="A354" s="173"/>
      <c r="B354" s="613"/>
      <c r="C354" s="180"/>
      <c r="D354" s="180"/>
      <c r="E354" s="180"/>
      <c r="F354" s="180"/>
      <c r="G354" s="180"/>
      <c r="H354" s="180"/>
      <c r="I354" s="180"/>
      <c r="J354" s="124"/>
      <c r="K354" s="124"/>
      <c r="L354" s="124"/>
    </row>
    <row r="355" spans="1:12" s="121" customFormat="1" ht="22.5">
      <c r="A355" s="366" t="s">
        <v>17397</v>
      </c>
      <c r="B355" s="626" t="s">
        <v>17399</v>
      </c>
      <c r="C355" s="369">
        <f>MIN(E357:I357)</f>
        <v>1926</v>
      </c>
      <c r="D355" s="370" t="s">
        <v>109</v>
      </c>
      <c r="E355" s="486" t="s">
        <v>17410</v>
      </c>
      <c r="F355" s="486" t="s">
        <v>17828</v>
      </c>
      <c r="G355" s="486" t="s">
        <v>17789</v>
      </c>
      <c r="H355" s="486" t="s">
        <v>17743</v>
      </c>
      <c r="I355" s="486"/>
      <c r="J355" s="125" t="s">
        <v>207</v>
      </c>
      <c r="K355" s="125"/>
      <c r="L355" s="125"/>
    </row>
    <row r="356" spans="1:12" s="121" customFormat="1" ht="22.5">
      <c r="A356" s="361"/>
      <c r="B356" s="615"/>
      <c r="C356" s="367" t="s">
        <v>284</v>
      </c>
      <c r="D356" s="848"/>
      <c r="E356" s="487" t="s">
        <v>17414</v>
      </c>
      <c r="F356" s="487" t="s">
        <v>16759</v>
      </c>
      <c r="G356" s="487" t="s">
        <v>17790</v>
      </c>
      <c r="H356" s="487" t="s">
        <v>17745</v>
      </c>
      <c r="I356" s="487"/>
      <c r="J356" s="125" t="s">
        <v>283</v>
      </c>
      <c r="K356" s="125" t="s">
        <v>280</v>
      </c>
      <c r="L356" s="125" t="s">
        <v>281</v>
      </c>
    </row>
    <row r="357" spans="1:12" s="121" customFormat="1" ht="11.25">
      <c r="A357" s="362"/>
      <c r="B357" s="616"/>
      <c r="C357" s="367" t="s">
        <v>9</v>
      </c>
      <c r="D357" s="849"/>
      <c r="E357" s="488">
        <v>1926</v>
      </c>
      <c r="F357" s="488">
        <v>2800</v>
      </c>
      <c r="G357" s="488" t="s">
        <v>18090</v>
      </c>
      <c r="H357" s="488" t="s">
        <v>18090</v>
      </c>
      <c r="I357" s="488"/>
      <c r="J357" s="125">
        <f>MEDIAN(E357:I357)</f>
        <v>2363</v>
      </c>
      <c r="K357" s="125">
        <f>J357*1.3</f>
        <v>3071.9</v>
      </c>
      <c r="L357" s="125">
        <f>J357*0.7</f>
        <v>1654.1</v>
      </c>
    </row>
    <row r="358" spans="1:12" s="121" customFormat="1" ht="11.25">
      <c r="A358" s="362"/>
      <c r="B358" s="616"/>
      <c r="C358" s="367" t="s">
        <v>8</v>
      </c>
      <c r="D358" s="849"/>
      <c r="E358" s="487" t="s">
        <v>17413</v>
      </c>
      <c r="F358" s="487" t="s">
        <v>17829</v>
      </c>
      <c r="G358" s="487" t="s">
        <v>17791</v>
      </c>
      <c r="H358" s="487" t="s">
        <v>17747</v>
      </c>
      <c r="I358" s="487"/>
      <c r="J358" s="125"/>
      <c r="K358" s="125"/>
      <c r="L358" s="125"/>
    </row>
    <row r="359" spans="1:12" s="121" customFormat="1" ht="11.25">
      <c r="A359" s="362"/>
      <c r="B359" s="616"/>
      <c r="C359" s="367" t="s">
        <v>7</v>
      </c>
      <c r="D359" s="849"/>
      <c r="E359" s="489" t="s">
        <v>17412</v>
      </c>
      <c r="F359" s="489" t="s">
        <v>17830</v>
      </c>
      <c r="G359" s="489" t="s">
        <v>17792</v>
      </c>
      <c r="H359" s="489" t="s">
        <v>17746</v>
      </c>
      <c r="I359" s="489"/>
      <c r="J359" s="125"/>
      <c r="K359" s="125"/>
      <c r="L359" s="125"/>
    </row>
    <row r="360" spans="1:12" s="121" customFormat="1" ht="11.25">
      <c r="A360" s="362"/>
      <c r="B360" s="616"/>
      <c r="C360" s="367" t="s">
        <v>6</v>
      </c>
      <c r="D360" s="849"/>
      <c r="E360" s="490">
        <v>44313</v>
      </c>
      <c r="F360" s="490">
        <v>44326</v>
      </c>
      <c r="G360" s="490">
        <v>44319</v>
      </c>
      <c r="H360" s="490">
        <v>44319</v>
      </c>
      <c r="I360" s="490"/>
      <c r="J360" s="125"/>
      <c r="K360" s="125"/>
      <c r="L360" s="125"/>
    </row>
    <row r="361" spans="1:12" s="121" customFormat="1" ht="11.25">
      <c r="A361" s="363"/>
      <c r="B361" s="617"/>
      <c r="C361" s="367" t="s">
        <v>8993</v>
      </c>
      <c r="D361" s="850"/>
      <c r="E361" s="490" t="s">
        <v>17411</v>
      </c>
      <c r="F361" s="490" t="s">
        <v>17831</v>
      </c>
      <c r="G361" s="490" t="s">
        <v>17793</v>
      </c>
      <c r="H361" s="490" t="s">
        <v>17744</v>
      </c>
      <c r="I361" s="490"/>
      <c r="J361" s="125"/>
      <c r="K361" s="125"/>
      <c r="L361" s="125"/>
    </row>
    <row r="362" spans="1:12" s="574" customFormat="1">
      <c r="A362" s="607"/>
      <c r="B362" s="621"/>
      <c r="C362" s="608"/>
      <c r="D362" s="573"/>
      <c r="E362" s="573"/>
      <c r="F362" s="573"/>
      <c r="G362" s="573"/>
      <c r="H362" s="573"/>
      <c r="I362" s="573"/>
      <c r="J362" s="560"/>
      <c r="K362" s="560"/>
      <c r="L362" s="560"/>
    </row>
    <row r="363" spans="1:12" s="575" customFormat="1" ht="15">
      <c r="A363" s="677" t="s">
        <v>17877</v>
      </c>
      <c r="B363" s="626" t="s">
        <v>17992</v>
      </c>
      <c r="C363" s="369">
        <f t="shared" ref="C363" si="0">MIN(E365:I365)</f>
        <v>51.23</v>
      </c>
      <c r="D363" s="370" t="s">
        <v>109</v>
      </c>
      <c r="E363" s="474" t="s">
        <v>14925</v>
      </c>
      <c r="F363" s="486" t="s">
        <v>18219</v>
      </c>
      <c r="G363" s="486" t="s">
        <v>18219</v>
      </c>
      <c r="H363" s="474"/>
      <c r="I363" s="474"/>
      <c r="J363" s="558" t="s">
        <v>207</v>
      </c>
      <c r="K363" s="561"/>
      <c r="L363" s="561"/>
    </row>
    <row r="364" spans="1:12" s="574" customFormat="1" ht="45">
      <c r="A364" s="562"/>
      <c r="B364" s="618"/>
      <c r="C364" s="563" t="s">
        <v>284</v>
      </c>
      <c r="D364" s="609"/>
      <c r="E364" s="564" t="s">
        <v>17993</v>
      </c>
      <c r="F364" s="675" t="s">
        <v>18231</v>
      </c>
      <c r="G364" s="675" t="s">
        <v>18232</v>
      </c>
      <c r="H364" s="564"/>
      <c r="I364" s="564"/>
      <c r="J364" s="565" t="s">
        <v>283</v>
      </c>
      <c r="K364" s="560"/>
      <c r="L364" s="560"/>
    </row>
    <row r="365" spans="1:12" s="574" customFormat="1" ht="15">
      <c r="A365" s="566"/>
      <c r="B365" s="619"/>
      <c r="C365" s="563" t="s">
        <v>9</v>
      </c>
      <c r="D365" s="610"/>
      <c r="E365" s="84">
        <v>51.23</v>
      </c>
      <c r="F365" s="84">
        <v>150</v>
      </c>
      <c r="G365" s="84">
        <v>52.49</v>
      </c>
      <c r="H365" s="84"/>
      <c r="I365" s="84"/>
      <c r="J365" s="565">
        <f t="shared" ref="J365" si="1">MEDIAN(E365:I365)</f>
        <v>52.49</v>
      </c>
      <c r="K365" s="560"/>
      <c r="L365" s="560"/>
    </row>
    <row r="366" spans="1:12" s="574" customFormat="1" ht="15">
      <c r="A366" s="566"/>
      <c r="B366" s="619"/>
      <c r="C366" s="563" t="s">
        <v>8</v>
      </c>
      <c r="D366" s="610"/>
      <c r="E366" s="564" t="s">
        <v>14926</v>
      </c>
      <c r="F366" s="487"/>
      <c r="G366" s="487"/>
      <c r="H366" s="564"/>
      <c r="I366" s="564"/>
      <c r="J366" s="565"/>
      <c r="K366" s="560"/>
      <c r="L366" s="560"/>
    </row>
    <row r="367" spans="1:12" s="574" customFormat="1" ht="15">
      <c r="A367" s="566"/>
      <c r="B367" s="619"/>
      <c r="C367" s="563" t="s">
        <v>7</v>
      </c>
      <c r="D367" s="610"/>
      <c r="E367" s="567" t="s">
        <v>17994</v>
      </c>
      <c r="F367" s="489"/>
      <c r="G367" s="489"/>
      <c r="H367" s="567"/>
      <c r="I367" s="567"/>
      <c r="J367" s="565"/>
      <c r="K367" s="560"/>
      <c r="L367" s="560"/>
    </row>
    <row r="368" spans="1:12" s="574" customFormat="1" ht="15">
      <c r="A368" s="566"/>
      <c r="B368" s="619"/>
      <c r="C368" s="563" t="s">
        <v>6</v>
      </c>
      <c r="D368" s="611"/>
      <c r="E368" s="473">
        <v>44327</v>
      </c>
      <c r="F368" s="490">
        <v>44075</v>
      </c>
      <c r="G368" s="490">
        <v>44097</v>
      </c>
      <c r="H368" s="473"/>
      <c r="I368" s="473"/>
      <c r="J368" s="565"/>
      <c r="K368" s="560"/>
      <c r="L368" s="560"/>
    </row>
    <row r="369" spans="1:12" s="574" customFormat="1" ht="15">
      <c r="A369" s="568"/>
      <c r="B369" s="620"/>
      <c r="C369" s="563" t="s">
        <v>8993</v>
      </c>
      <c r="D369" s="611"/>
      <c r="E369" s="473" t="s">
        <v>18206</v>
      </c>
      <c r="F369" s="490" t="s">
        <v>18220</v>
      </c>
      <c r="G369" s="490" t="s">
        <v>18220</v>
      </c>
      <c r="H369" s="473"/>
      <c r="I369" s="473"/>
      <c r="J369" s="565"/>
      <c r="K369" s="560"/>
      <c r="L369" s="560"/>
    </row>
    <row r="370" spans="1:12" s="574" customFormat="1">
      <c r="A370" s="607"/>
      <c r="B370" s="621"/>
      <c r="C370" s="608"/>
      <c r="D370" s="573"/>
      <c r="E370" s="573"/>
      <c r="F370" s="573"/>
      <c r="G370" s="573"/>
      <c r="H370" s="573"/>
      <c r="I370" s="573"/>
      <c r="J370" s="560"/>
      <c r="K370" s="560"/>
      <c r="L370" s="560"/>
    </row>
    <row r="371" spans="1:12" s="575" customFormat="1" ht="15">
      <c r="A371" s="677" t="s">
        <v>17881</v>
      </c>
      <c r="B371" s="626" t="s">
        <v>17995</v>
      </c>
      <c r="C371" s="369">
        <f t="shared" ref="C371" si="2">MIN(E373:I373)</f>
        <v>103.5</v>
      </c>
      <c r="D371" s="370" t="s">
        <v>109</v>
      </c>
      <c r="E371" s="474" t="s">
        <v>17823</v>
      </c>
      <c r="F371" s="474" t="s">
        <v>17996</v>
      </c>
      <c r="G371" s="486" t="s">
        <v>18219</v>
      </c>
      <c r="H371" s="474"/>
      <c r="I371" s="474"/>
      <c r="J371" s="558" t="s">
        <v>207</v>
      </c>
      <c r="K371" s="561"/>
      <c r="L371" s="561"/>
    </row>
    <row r="372" spans="1:12" s="574" customFormat="1" ht="22.5">
      <c r="A372" s="562"/>
      <c r="B372" s="618"/>
      <c r="C372" s="563" t="s">
        <v>284</v>
      </c>
      <c r="D372" s="609"/>
      <c r="E372" s="564" t="s">
        <v>17997</v>
      </c>
      <c r="F372" s="564" t="s">
        <v>17998</v>
      </c>
      <c r="G372" s="675" t="s">
        <v>18233</v>
      </c>
      <c r="H372" s="564"/>
      <c r="I372" s="564"/>
      <c r="J372" s="565" t="s">
        <v>283</v>
      </c>
      <c r="K372" s="560"/>
      <c r="L372" s="560"/>
    </row>
    <row r="373" spans="1:12" s="574" customFormat="1" ht="15">
      <c r="A373" s="566"/>
      <c r="B373" s="619"/>
      <c r="C373" s="563" t="s">
        <v>9</v>
      </c>
      <c r="D373" s="610"/>
      <c r="E373" s="84">
        <v>137.13999999999999</v>
      </c>
      <c r="F373" s="488">
        <v>103.5</v>
      </c>
      <c r="G373" s="84">
        <v>111</v>
      </c>
      <c r="H373" s="84"/>
      <c r="I373" s="84"/>
      <c r="J373" s="565">
        <f t="shared" ref="J373" si="3">MEDIAN(E373:I373)</f>
        <v>111</v>
      </c>
      <c r="K373" s="560"/>
      <c r="L373" s="560"/>
    </row>
    <row r="374" spans="1:12" s="574" customFormat="1" ht="15">
      <c r="A374" s="566"/>
      <c r="B374" s="619"/>
      <c r="C374" s="563" t="s">
        <v>8</v>
      </c>
      <c r="D374" s="610"/>
      <c r="E374" s="564" t="s">
        <v>17824</v>
      </c>
      <c r="F374" s="564" t="s">
        <v>17999</v>
      </c>
      <c r="G374" s="487"/>
      <c r="H374" s="564"/>
      <c r="I374" s="564"/>
      <c r="J374" s="565"/>
      <c r="K374" s="560"/>
      <c r="L374" s="560"/>
    </row>
    <row r="375" spans="1:12" s="574" customFormat="1" ht="15">
      <c r="A375" s="566"/>
      <c r="B375" s="619"/>
      <c r="C375" s="563" t="s">
        <v>7</v>
      </c>
      <c r="D375" s="610"/>
      <c r="E375" s="567" t="s">
        <v>18000</v>
      </c>
      <c r="F375" s="567" t="s">
        <v>18001</v>
      </c>
      <c r="G375" s="489"/>
      <c r="H375" s="567"/>
      <c r="I375" s="567"/>
      <c r="J375" s="565"/>
      <c r="K375" s="560"/>
      <c r="L375" s="560"/>
    </row>
    <row r="376" spans="1:12" s="574" customFormat="1" ht="15">
      <c r="A376" s="566"/>
      <c r="B376" s="619"/>
      <c r="C376" s="563" t="s">
        <v>6</v>
      </c>
      <c r="D376" s="611"/>
      <c r="E376" s="473">
        <v>44327</v>
      </c>
      <c r="F376" s="473">
        <v>44327</v>
      </c>
      <c r="G376" s="490">
        <v>44152</v>
      </c>
      <c r="H376" s="473"/>
      <c r="I376" s="473"/>
      <c r="J376" s="565"/>
      <c r="K376" s="560"/>
      <c r="L376" s="560"/>
    </row>
    <row r="377" spans="1:12" s="574" customFormat="1" ht="15">
      <c r="A377" s="568"/>
      <c r="B377" s="620"/>
      <c r="C377" s="563" t="s">
        <v>8993</v>
      </c>
      <c r="D377" s="611"/>
      <c r="E377" s="473" t="s">
        <v>18205</v>
      </c>
      <c r="F377" s="473" t="s">
        <v>18205</v>
      </c>
      <c r="G377" s="490" t="s">
        <v>18220</v>
      </c>
      <c r="H377" s="473"/>
      <c r="I377" s="473"/>
      <c r="J377" s="565"/>
      <c r="K377" s="560"/>
      <c r="L377" s="560"/>
    </row>
    <row r="378" spans="1:12" s="574" customFormat="1">
      <c r="A378" s="607"/>
      <c r="B378" s="621"/>
      <c r="C378" s="608"/>
      <c r="D378" s="573"/>
      <c r="E378" s="573"/>
      <c r="F378" s="573"/>
      <c r="G378" s="573"/>
      <c r="H378" s="573"/>
      <c r="I378" s="573"/>
      <c r="J378" s="560"/>
      <c r="K378" s="560"/>
      <c r="L378" s="560"/>
    </row>
    <row r="379" spans="1:12" s="575" customFormat="1" ht="22.5">
      <c r="A379" s="677" t="s">
        <v>17886</v>
      </c>
      <c r="B379" s="626" t="s">
        <v>17885</v>
      </c>
      <c r="C379" s="369">
        <f t="shared" ref="C379" si="4">MIN(E381:I381)</f>
        <v>1085</v>
      </c>
      <c r="D379" s="370" t="s">
        <v>109</v>
      </c>
      <c r="E379" s="474" t="s">
        <v>18002</v>
      </c>
      <c r="F379" s="474" t="s">
        <v>17944</v>
      </c>
      <c r="G379" s="474" t="s">
        <v>18003</v>
      </c>
      <c r="H379" s="474"/>
      <c r="I379" s="474"/>
      <c r="J379" s="558" t="s">
        <v>207</v>
      </c>
      <c r="K379" s="561"/>
      <c r="L379" s="561"/>
    </row>
    <row r="380" spans="1:12" s="574" customFormat="1" ht="33.75">
      <c r="A380" s="562"/>
      <c r="B380" s="618"/>
      <c r="C380" s="563" t="s">
        <v>284</v>
      </c>
      <c r="D380" s="609"/>
      <c r="E380" s="564" t="s">
        <v>18004</v>
      </c>
      <c r="F380" s="564" t="s">
        <v>17947</v>
      </c>
      <c r="G380" s="564" t="s">
        <v>18005</v>
      </c>
      <c r="H380" s="564"/>
      <c r="I380" s="564"/>
      <c r="J380" s="565" t="s">
        <v>283</v>
      </c>
      <c r="K380" s="560"/>
      <c r="L380" s="560"/>
    </row>
    <row r="381" spans="1:12" s="574" customFormat="1" ht="15">
      <c r="A381" s="566"/>
      <c r="B381" s="619"/>
      <c r="C381" s="563" t="s">
        <v>9</v>
      </c>
      <c r="D381" s="610"/>
      <c r="E381" s="84">
        <v>1085</v>
      </c>
      <c r="F381" s="488">
        <v>1569.25</v>
      </c>
      <c r="G381" s="488">
        <v>1520.48</v>
      </c>
      <c r="H381" s="84"/>
      <c r="I381" s="84"/>
      <c r="J381" s="565">
        <f t="shared" ref="J381" si="5">MEDIAN(E381:I381)</f>
        <v>1520.48</v>
      </c>
      <c r="K381" s="560"/>
      <c r="L381" s="560"/>
    </row>
    <row r="382" spans="1:12" s="574" customFormat="1" ht="15">
      <c r="A382" s="566"/>
      <c r="B382" s="619"/>
      <c r="C382" s="563" t="s">
        <v>8</v>
      </c>
      <c r="D382" s="610"/>
      <c r="E382" s="564" t="s">
        <v>18006</v>
      </c>
      <c r="F382" s="564" t="s">
        <v>17950</v>
      </c>
      <c r="G382" s="564" t="s">
        <v>18007</v>
      </c>
      <c r="H382" s="564"/>
      <c r="I382" s="564"/>
      <c r="J382" s="565"/>
      <c r="K382" s="560"/>
      <c r="L382" s="560"/>
    </row>
    <row r="383" spans="1:12" s="574" customFormat="1" ht="15">
      <c r="A383" s="566"/>
      <c r="B383" s="619"/>
      <c r="C383" s="563" t="s">
        <v>7</v>
      </c>
      <c r="D383" s="610"/>
      <c r="E383" s="567"/>
      <c r="F383" s="567" t="s">
        <v>17952</v>
      </c>
      <c r="G383" s="567">
        <v>6321113600</v>
      </c>
      <c r="H383" s="567"/>
      <c r="I383" s="567"/>
      <c r="J383" s="565"/>
      <c r="K383" s="560"/>
      <c r="L383" s="560"/>
    </row>
    <row r="384" spans="1:12" s="574" customFormat="1" ht="15">
      <c r="A384" s="566"/>
      <c r="B384" s="619"/>
      <c r="C384" s="563" t="s">
        <v>6</v>
      </c>
      <c r="D384" s="611"/>
      <c r="E384" s="473">
        <v>44327</v>
      </c>
      <c r="F384" s="473">
        <v>44327</v>
      </c>
      <c r="G384" s="473"/>
      <c r="H384" s="473"/>
      <c r="I384" s="473"/>
      <c r="J384" s="565"/>
      <c r="K384" s="560"/>
      <c r="L384" s="560"/>
    </row>
    <row r="385" spans="1:12" s="574" customFormat="1" ht="15">
      <c r="A385" s="568"/>
      <c r="B385" s="620"/>
      <c r="C385" s="563" t="s">
        <v>8993</v>
      </c>
      <c r="D385" s="611"/>
      <c r="E385" s="473" t="s">
        <v>18207</v>
      </c>
      <c r="F385" s="473" t="s">
        <v>18207</v>
      </c>
      <c r="G385" s="473" t="s">
        <v>18207</v>
      </c>
      <c r="H385" s="473"/>
      <c r="I385" s="473"/>
      <c r="J385" s="565"/>
      <c r="K385" s="560"/>
      <c r="L385" s="560"/>
    </row>
    <row r="386" spans="1:12" s="574" customFormat="1">
      <c r="A386" s="607"/>
      <c r="B386" s="621"/>
      <c r="C386" s="608"/>
      <c r="D386" s="573"/>
      <c r="E386" s="573"/>
      <c r="F386" s="573"/>
      <c r="G386" s="573"/>
      <c r="H386" s="573"/>
      <c r="I386" s="573"/>
      <c r="J386" s="560"/>
      <c r="K386" s="560"/>
      <c r="L386" s="560"/>
    </row>
    <row r="387" spans="1:12" s="575" customFormat="1" ht="33.75">
      <c r="A387" s="677" t="s">
        <v>17888</v>
      </c>
      <c r="B387" s="626" t="s">
        <v>18086</v>
      </c>
      <c r="C387" s="369">
        <f t="shared" ref="C387" si="6">MIN(E389:I389)</f>
        <v>19215</v>
      </c>
      <c r="D387" s="370" t="s">
        <v>109</v>
      </c>
      <c r="E387" s="474" t="s">
        <v>18008</v>
      </c>
      <c r="F387" s="474" t="s">
        <v>17342</v>
      </c>
      <c r="G387" s="474" t="s">
        <v>17343</v>
      </c>
      <c r="H387" s="474"/>
      <c r="I387" s="474"/>
      <c r="J387" s="558" t="s">
        <v>207</v>
      </c>
      <c r="K387" s="561"/>
      <c r="L387" s="561"/>
    </row>
    <row r="388" spans="1:12" s="574" customFormat="1" ht="15">
      <c r="A388" s="562"/>
      <c r="B388" s="618"/>
      <c r="C388" s="563" t="s">
        <v>284</v>
      </c>
      <c r="D388" s="609"/>
      <c r="E388" s="564" t="s">
        <v>18009</v>
      </c>
      <c r="F388" s="564" t="s">
        <v>18010</v>
      </c>
      <c r="G388" s="564"/>
      <c r="H388" s="564"/>
      <c r="I388" s="564"/>
      <c r="J388" s="565" t="s">
        <v>283</v>
      </c>
      <c r="K388" s="560"/>
      <c r="L388" s="560"/>
    </row>
    <row r="389" spans="1:12" s="574" customFormat="1" ht="15">
      <c r="A389" s="566"/>
      <c r="B389" s="619"/>
      <c r="C389" s="563" t="s">
        <v>9</v>
      </c>
      <c r="D389" s="610"/>
      <c r="E389" s="84">
        <v>21128.03</v>
      </c>
      <c r="F389" s="488">
        <v>22500</v>
      </c>
      <c r="G389" s="488">
        <v>19215</v>
      </c>
      <c r="H389" s="84"/>
      <c r="I389" s="84"/>
      <c r="J389" s="565">
        <f t="shared" ref="J389" si="7">MEDIAN(E389:I389)</f>
        <v>21128.03</v>
      </c>
      <c r="K389" s="560"/>
      <c r="L389" s="560"/>
    </row>
    <row r="390" spans="1:12" s="574" customFormat="1" ht="15">
      <c r="A390" s="566"/>
      <c r="B390" s="619"/>
      <c r="C390" s="563" t="s">
        <v>8</v>
      </c>
      <c r="D390" s="610"/>
      <c r="E390" s="564" t="s">
        <v>17344</v>
      </c>
      <c r="F390" s="564" t="s">
        <v>17345</v>
      </c>
      <c r="G390" s="564" t="s">
        <v>17346</v>
      </c>
      <c r="H390" s="564"/>
      <c r="I390" s="564"/>
      <c r="J390" s="565"/>
      <c r="K390" s="560"/>
      <c r="L390" s="560"/>
    </row>
    <row r="391" spans="1:12" s="574" customFormat="1" ht="22.5">
      <c r="A391" s="566"/>
      <c r="B391" s="619"/>
      <c r="C391" s="563" t="s">
        <v>7</v>
      </c>
      <c r="D391" s="610"/>
      <c r="E391" s="567" t="s">
        <v>17344</v>
      </c>
      <c r="F391" s="567" t="s">
        <v>18011</v>
      </c>
      <c r="G391" s="567" t="s">
        <v>18012</v>
      </c>
      <c r="H391" s="567"/>
      <c r="I391" s="567"/>
      <c r="J391" s="565"/>
      <c r="K391" s="560"/>
      <c r="L391" s="560"/>
    </row>
    <row r="392" spans="1:12" s="574" customFormat="1" ht="15">
      <c r="A392" s="566"/>
      <c r="B392" s="619"/>
      <c r="C392" s="563" t="s">
        <v>6</v>
      </c>
      <c r="D392" s="611"/>
      <c r="E392" s="473">
        <v>44308</v>
      </c>
      <c r="F392" s="473">
        <v>44308</v>
      </c>
      <c r="G392" s="473">
        <v>44308</v>
      </c>
      <c r="H392" s="473"/>
      <c r="I392" s="473"/>
      <c r="J392" s="565"/>
      <c r="K392" s="560"/>
      <c r="L392" s="560"/>
    </row>
    <row r="393" spans="1:12" s="574" customFormat="1" ht="15">
      <c r="A393" s="568"/>
      <c r="B393" s="620"/>
      <c r="C393" s="563" t="s">
        <v>8993</v>
      </c>
      <c r="D393" s="611"/>
      <c r="E393" s="473" t="s">
        <v>17347</v>
      </c>
      <c r="F393" s="473" t="s">
        <v>17348</v>
      </c>
      <c r="G393" s="473" t="s">
        <v>17349</v>
      </c>
      <c r="H393" s="473"/>
      <c r="I393" s="473"/>
      <c r="J393" s="565"/>
      <c r="K393" s="560"/>
      <c r="L393" s="560"/>
    </row>
    <row r="394" spans="1:12" s="574" customFormat="1">
      <c r="A394" s="607"/>
      <c r="B394" s="621"/>
      <c r="C394" s="608"/>
      <c r="D394" s="573"/>
      <c r="E394" s="573"/>
      <c r="F394" s="573"/>
      <c r="G394" s="573"/>
      <c r="H394" s="573"/>
      <c r="I394" s="573"/>
      <c r="J394" s="560"/>
      <c r="K394" s="560"/>
      <c r="L394" s="560"/>
    </row>
    <row r="395" spans="1:12" s="575" customFormat="1" ht="33.75">
      <c r="A395" s="677" t="s">
        <v>17891</v>
      </c>
      <c r="B395" s="626" t="s">
        <v>18087</v>
      </c>
      <c r="C395" s="369">
        <f t="shared" ref="C395" si="8">MIN(E397:I397)</f>
        <v>859.77</v>
      </c>
      <c r="D395" s="370" t="s">
        <v>109</v>
      </c>
      <c r="E395" s="474" t="s">
        <v>18008</v>
      </c>
      <c r="F395" s="474" t="s">
        <v>17342</v>
      </c>
      <c r="G395" s="474" t="s">
        <v>17343</v>
      </c>
      <c r="H395" s="486" t="s">
        <v>18219</v>
      </c>
      <c r="I395" s="474"/>
      <c r="J395" s="558" t="s">
        <v>207</v>
      </c>
      <c r="K395" s="561"/>
      <c r="L395" s="561"/>
    </row>
    <row r="396" spans="1:12" s="574" customFormat="1" ht="15">
      <c r="A396" s="562"/>
      <c r="B396" s="618"/>
      <c r="C396" s="563" t="s">
        <v>284</v>
      </c>
      <c r="D396" s="609"/>
      <c r="E396" s="564" t="s">
        <v>18009</v>
      </c>
      <c r="F396" s="564" t="s">
        <v>18010</v>
      </c>
      <c r="G396" s="564"/>
      <c r="H396" s="675">
        <v>4821</v>
      </c>
      <c r="I396" s="564"/>
      <c r="J396" s="565" t="s">
        <v>283</v>
      </c>
      <c r="K396" s="560"/>
      <c r="L396" s="560"/>
    </row>
    <row r="397" spans="1:12" s="574" customFormat="1" ht="15">
      <c r="A397" s="566"/>
      <c r="B397" s="619"/>
      <c r="C397" s="563" t="s">
        <v>9</v>
      </c>
      <c r="D397" s="610"/>
      <c r="E397" s="84">
        <v>859.77</v>
      </c>
      <c r="F397" s="488">
        <v>900</v>
      </c>
      <c r="G397" s="488">
        <v>899.1</v>
      </c>
      <c r="H397" s="84">
        <v>1390</v>
      </c>
      <c r="I397" s="84"/>
      <c r="J397" s="565">
        <f t="shared" ref="J397" si="9">MEDIAN(E397:I397)</f>
        <v>899.55</v>
      </c>
      <c r="K397" s="560"/>
      <c r="L397" s="560"/>
    </row>
    <row r="398" spans="1:12" s="574" customFormat="1" ht="15">
      <c r="A398" s="566"/>
      <c r="B398" s="619"/>
      <c r="C398" s="563" t="s">
        <v>8</v>
      </c>
      <c r="D398" s="610"/>
      <c r="E398" s="564" t="s">
        <v>17344</v>
      </c>
      <c r="F398" s="564" t="s">
        <v>17345</v>
      </c>
      <c r="G398" s="564" t="s">
        <v>17346</v>
      </c>
      <c r="H398" s="487"/>
      <c r="I398" s="564"/>
      <c r="J398" s="565"/>
      <c r="K398" s="560"/>
      <c r="L398" s="560"/>
    </row>
    <row r="399" spans="1:12" s="574" customFormat="1" ht="22.5">
      <c r="A399" s="566"/>
      <c r="B399" s="619"/>
      <c r="C399" s="563" t="s">
        <v>7</v>
      </c>
      <c r="D399" s="610"/>
      <c r="E399" s="567" t="s">
        <v>17344</v>
      </c>
      <c r="F399" s="567" t="s">
        <v>18011</v>
      </c>
      <c r="G399" s="567" t="s">
        <v>18012</v>
      </c>
      <c r="H399" s="489"/>
      <c r="I399" s="567"/>
      <c r="J399" s="565"/>
      <c r="K399" s="560"/>
      <c r="L399" s="560"/>
    </row>
    <row r="400" spans="1:12" s="574" customFormat="1" ht="15">
      <c r="A400" s="566"/>
      <c r="B400" s="619"/>
      <c r="C400" s="563" t="s">
        <v>6</v>
      </c>
      <c r="D400" s="611"/>
      <c r="E400" s="473">
        <v>44308</v>
      </c>
      <c r="F400" s="473">
        <v>44308</v>
      </c>
      <c r="G400" s="473">
        <v>44308</v>
      </c>
      <c r="H400" s="490">
        <v>44279</v>
      </c>
      <c r="I400" s="473"/>
      <c r="J400" s="565"/>
      <c r="K400" s="560"/>
      <c r="L400" s="560"/>
    </row>
    <row r="401" spans="1:12" s="574" customFormat="1" ht="15">
      <c r="A401" s="568"/>
      <c r="B401" s="620"/>
      <c r="C401" s="563" t="s">
        <v>8993</v>
      </c>
      <c r="D401" s="611"/>
      <c r="E401" s="473" t="s">
        <v>17347</v>
      </c>
      <c r="F401" s="473" t="s">
        <v>17348</v>
      </c>
      <c r="G401" s="473" t="s">
        <v>17349</v>
      </c>
      <c r="H401" s="490" t="s">
        <v>18220</v>
      </c>
      <c r="I401" s="473"/>
      <c r="J401" s="565"/>
      <c r="K401" s="560"/>
      <c r="L401" s="560"/>
    </row>
    <row r="402" spans="1:12" s="574" customFormat="1">
      <c r="A402" s="607"/>
      <c r="B402" s="621"/>
      <c r="C402" s="608"/>
      <c r="D402" s="573"/>
      <c r="E402" s="573"/>
      <c r="F402" s="573"/>
      <c r="G402" s="573"/>
      <c r="H402" s="573"/>
      <c r="I402" s="573"/>
      <c r="J402" s="560"/>
      <c r="K402" s="560"/>
      <c r="L402" s="560"/>
    </row>
    <row r="403" spans="1:12" s="575" customFormat="1" ht="15">
      <c r="A403" s="677" t="s">
        <v>18655</v>
      </c>
      <c r="B403" s="626" t="s">
        <v>18656</v>
      </c>
      <c r="C403" s="369">
        <f t="shared" ref="C403" si="10">MIN(E405:I405)</f>
        <v>25.21</v>
      </c>
      <c r="D403" s="678" t="s">
        <v>109</v>
      </c>
      <c r="E403" s="474" t="s">
        <v>17205</v>
      </c>
      <c r="F403" s="474" t="s">
        <v>15313</v>
      </c>
      <c r="G403" s="474" t="s">
        <v>18664</v>
      </c>
      <c r="H403" s="486"/>
      <c r="I403" s="474"/>
      <c r="J403" s="558" t="s">
        <v>207</v>
      </c>
      <c r="K403" s="561"/>
      <c r="L403" s="561"/>
    </row>
    <row r="404" spans="1:12" s="574" customFormat="1" ht="15">
      <c r="A404" s="562"/>
      <c r="B404" s="618"/>
      <c r="C404" s="563" t="s">
        <v>284</v>
      </c>
      <c r="D404" s="708"/>
      <c r="E404" s="564" t="s">
        <v>18660</v>
      </c>
      <c r="F404" s="564" t="s">
        <v>18661</v>
      </c>
      <c r="G404" s="564" t="s">
        <v>18607</v>
      </c>
      <c r="H404" s="675"/>
      <c r="I404" s="564"/>
      <c r="J404" s="565" t="s">
        <v>283</v>
      </c>
      <c r="K404" s="560"/>
      <c r="L404" s="560"/>
    </row>
    <row r="405" spans="1:12" s="574" customFormat="1" ht="15">
      <c r="A405" s="566"/>
      <c r="B405" s="619"/>
      <c r="C405" s="563" t="s">
        <v>9</v>
      </c>
      <c r="D405" s="610"/>
      <c r="E405" s="84">
        <v>25.21</v>
      </c>
      <c r="F405" s="488">
        <v>30.96</v>
      </c>
      <c r="G405" s="488">
        <v>27.9</v>
      </c>
      <c r="H405" s="84"/>
      <c r="I405" s="84"/>
      <c r="J405" s="565">
        <f t="shared" ref="J405" si="11">MEDIAN(E405:I405)</f>
        <v>27.9</v>
      </c>
      <c r="K405" s="560"/>
      <c r="L405" s="560"/>
    </row>
    <row r="406" spans="1:12" s="574" customFormat="1" ht="15">
      <c r="A406" s="566"/>
      <c r="B406" s="619"/>
      <c r="C406" s="563" t="s">
        <v>8</v>
      </c>
      <c r="D406" s="610"/>
      <c r="E406" s="564" t="s">
        <v>17208</v>
      </c>
      <c r="F406" s="564" t="s">
        <v>15318</v>
      </c>
      <c r="G406" s="564" t="s">
        <v>17428</v>
      </c>
      <c r="H406" s="487"/>
      <c r="I406" s="564"/>
      <c r="J406" s="565"/>
      <c r="K406" s="560"/>
      <c r="L406" s="560"/>
    </row>
    <row r="407" spans="1:12" s="574" customFormat="1" ht="15">
      <c r="A407" s="566"/>
      <c r="B407" s="619"/>
      <c r="C407" s="563" t="s">
        <v>7</v>
      </c>
      <c r="D407" s="610"/>
      <c r="E407" s="567" t="s">
        <v>18662</v>
      </c>
      <c r="F407" s="567" t="s">
        <v>18663</v>
      </c>
      <c r="G407" s="567" t="s">
        <v>18665</v>
      </c>
      <c r="H407" s="489"/>
      <c r="I407" s="567"/>
      <c r="J407" s="565"/>
      <c r="K407" s="560"/>
      <c r="L407" s="560"/>
    </row>
    <row r="408" spans="1:12" s="574" customFormat="1" ht="15">
      <c r="A408" s="566"/>
      <c r="B408" s="619"/>
      <c r="C408" s="563" t="s">
        <v>6</v>
      </c>
      <c r="D408" s="611"/>
      <c r="E408" s="473">
        <v>44368</v>
      </c>
      <c r="F408" s="473">
        <v>44368</v>
      </c>
      <c r="G408" s="473">
        <v>44368</v>
      </c>
      <c r="H408" s="490"/>
      <c r="I408" s="473"/>
      <c r="J408" s="565"/>
      <c r="K408" s="560"/>
      <c r="L408" s="560"/>
    </row>
    <row r="409" spans="1:12" s="574" customFormat="1" ht="15">
      <c r="A409" s="568"/>
      <c r="B409" s="620"/>
      <c r="C409" s="563" t="s">
        <v>8993</v>
      </c>
      <c r="D409" s="611"/>
      <c r="E409" s="473" t="s">
        <v>18659</v>
      </c>
      <c r="F409" s="473" t="s">
        <v>18659</v>
      </c>
      <c r="G409" s="473" t="s">
        <v>18659</v>
      </c>
      <c r="H409" s="490"/>
      <c r="I409" s="473"/>
      <c r="J409" s="565"/>
      <c r="K409" s="560"/>
      <c r="L409" s="560"/>
    </row>
    <row r="410" spans="1:12" s="574" customFormat="1">
      <c r="A410" s="607"/>
      <c r="B410" s="621"/>
      <c r="C410" s="608"/>
      <c r="D410" s="573"/>
      <c r="E410" s="573"/>
      <c r="F410" s="573"/>
      <c r="G410" s="573"/>
      <c r="H410" s="573"/>
      <c r="I410" s="573"/>
      <c r="J410" s="560"/>
      <c r="K410" s="560"/>
      <c r="L410" s="560"/>
    </row>
    <row r="411" spans="1:12" s="575" customFormat="1" ht="15">
      <c r="A411" s="677" t="s">
        <v>18657</v>
      </c>
      <c r="B411" s="626" t="s">
        <v>18658</v>
      </c>
      <c r="C411" s="369">
        <f t="shared" ref="C411" si="12">MIN(E413:I413)</f>
        <v>25.2</v>
      </c>
      <c r="D411" s="678" t="s">
        <v>109</v>
      </c>
      <c r="E411" s="474" t="s">
        <v>17205</v>
      </c>
      <c r="F411" s="474" t="s">
        <v>18664</v>
      </c>
      <c r="G411" s="474" t="s">
        <v>15313</v>
      </c>
      <c r="H411" s="486"/>
      <c r="I411" s="474"/>
      <c r="J411" s="558" t="s">
        <v>207</v>
      </c>
      <c r="K411" s="561"/>
      <c r="L411" s="561"/>
    </row>
    <row r="412" spans="1:12" s="574" customFormat="1" ht="15">
      <c r="A412" s="562"/>
      <c r="B412" s="618"/>
      <c r="C412" s="563" t="s">
        <v>284</v>
      </c>
      <c r="D412" s="708"/>
      <c r="E412" s="564" t="s">
        <v>18660</v>
      </c>
      <c r="F412" s="564" t="s">
        <v>18607</v>
      </c>
      <c r="G412" s="564" t="s">
        <v>18661</v>
      </c>
      <c r="H412" s="675"/>
      <c r="I412" s="564"/>
      <c r="J412" s="565" t="s">
        <v>283</v>
      </c>
      <c r="K412" s="560"/>
      <c r="L412" s="560"/>
    </row>
    <row r="413" spans="1:12" s="574" customFormat="1" ht="15">
      <c r="A413" s="566"/>
      <c r="B413" s="619"/>
      <c r="C413" s="563" t="s">
        <v>9</v>
      </c>
      <c r="D413" s="610"/>
      <c r="E413" s="84">
        <v>25.2</v>
      </c>
      <c r="F413" s="488">
        <v>27.9</v>
      </c>
      <c r="G413" s="488">
        <v>30.96</v>
      </c>
      <c r="H413" s="84"/>
      <c r="I413" s="84"/>
      <c r="J413" s="565">
        <f t="shared" ref="J413" si="13">MEDIAN(E413:I413)</f>
        <v>27.9</v>
      </c>
      <c r="K413" s="560"/>
      <c r="L413" s="560"/>
    </row>
    <row r="414" spans="1:12" s="574" customFormat="1" ht="15">
      <c r="A414" s="566"/>
      <c r="B414" s="619"/>
      <c r="C414" s="563" t="s">
        <v>8</v>
      </c>
      <c r="D414" s="610"/>
      <c r="E414" s="564" t="s">
        <v>17208</v>
      </c>
      <c r="F414" s="564" t="s">
        <v>17428</v>
      </c>
      <c r="G414" s="564" t="s">
        <v>15318</v>
      </c>
      <c r="H414" s="487"/>
      <c r="I414" s="564"/>
      <c r="J414" s="565"/>
      <c r="K414" s="560"/>
      <c r="L414" s="560"/>
    </row>
    <row r="415" spans="1:12" s="574" customFormat="1" ht="15">
      <c r="A415" s="566"/>
      <c r="B415" s="619"/>
      <c r="C415" s="563" t="s">
        <v>7</v>
      </c>
      <c r="D415" s="610"/>
      <c r="E415" s="567" t="s">
        <v>18662</v>
      </c>
      <c r="F415" s="567" t="s">
        <v>18665</v>
      </c>
      <c r="G415" s="567" t="s">
        <v>18663</v>
      </c>
      <c r="H415" s="489"/>
      <c r="I415" s="567"/>
      <c r="J415" s="565"/>
      <c r="K415" s="560"/>
      <c r="L415" s="560"/>
    </row>
    <row r="416" spans="1:12" s="574" customFormat="1" ht="15">
      <c r="A416" s="566"/>
      <c r="B416" s="619"/>
      <c r="C416" s="563" t="s">
        <v>6</v>
      </c>
      <c r="D416" s="611"/>
      <c r="E416" s="473">
        <v>44368</v>
      </c>
      <c r="F416" s="473">
        <v>44368</v>
      </c>
      <c r="G416" s="473">
        <v>44368</v>
      </c>
      <c r="H416" s="490"/>
      <c r="I416" s="473"/>
      <c r="J416" s="565"/>
      <c r="K416" s="560"/>
      <c r="L416" s="560"/>
    </row>
    <row r="417" spans="1:12" s="574" customFormat="1" ht="15">
      <c r="A417" s="568"/>
      <c r="B417" s="620"/>
      <c r="C417" s="563" t="s">
        <v>8993</v>
      </c>
      <c r="D417" s="611"/>
      <c r="E417" s="473" t="s">
        <v>18659</v>
      </c>
      <c r="F417" s="473" t="s">
        <v>18659</v>
      </c>
      <c r="G417" s="473" t="s">
        <v>18659</v>
      </c>
      <c r="H417" s="490"/>
      <c r="I417" s="473"/>
      <c r="J417" s="565"/>
      <c r="K417" s="560"/>
      <c r="L417" s="560"/>
    </row>
    <row r="418" spans="1:12" s="574" customFormat="1">
      <c r="A418" s="607"/>
      <c r="B418" s="621"/>
      <c r="C418" s="608"/>
      <c r="D418" s="573"/>
      <c r="E418" s="573"/>
      <c r="F418" s="573"/>
      <c r="G418" s="573"/>
      <c r="H418" s="573"/>
      <c r="I418" s="573"/>
      <c r="J418" s="560"/>
      <c r="K418" s="560"/>
      <c r="L418" s="560"/>
    </row>
    <row r="419" spans="1:12" s="575" customFormat="1" ht="15">
      <c r="A419" s="677" t="s">
        <v>18676</v>
      </c>
      <c r="B419" s="626" t="s">
        <v>18677</v>
      </c>
      <c r="C419" s="369">
        <f t="shared" ref="C419" si="14">MIN(E421:I421)</f>
        <v>184.9</v>
      </c>
      <c r="D419" s="678" t="s">
        <v>193</v>
      </c>
      <c r="E419" s="474" t="s">
        <v>18679</v>
      </c>
      <c r="F419" s="474" t="s">
        <v>15044</v>
      </c>
      <c r="G419" s="474" t="s">
        <v>15040</v>
      </c>
      <c r="H419" s="486"/>
      <c r="I419" s="474"/>
      <c r="J419" s="558" t="s">
        <v>207</v>
      </c>
      <c r="K419" s="561"/>
      <c r="L419" s="561"/>
    </row>
    <row r="420" spans="1:12" s="574" customFormat="1" ht="22.5">
      <c r="A420" s="562"/>
      <c r="B420" s="618"/>
      <c r="C420" s="563" t="s">
        <v>284</v>
      </c>
      <c r="D420" s="708"/>
      <c r="E420" s="564" t="s">
        <v>18678</v>
      </c>
      <c r="F420" s="564" t="s">
        <v>15043</v>
      </c>
      <c r="G420" s="564" t="s">
        <v>15039</v>
      </c>
      <c r="H420" s="675"/>
      <c r="I420" s="564"/>
      <c r="J420" s="565" t="s">
        <v>283</v>
      </c>
      <c r="K420" s="560"/>
      <c r="L420" s="560"/>
    </row>
    <row r="421" spans="1:12" s="574" customFormat="1" ht="15">
      <c r="A421" s="566"/>
      <c r="B421" s="619"/>
      <c r="C421" s="563" t="s">
        <v>9</v>
      </c>
      <c r="D421" s="610"/>
      <c r="E421" s="84">
        <f>274.57</f>
        <v>274.57</v>
      </c>
      <c r="F421" s="488">
        <v>184.9</v>
      </c>
      <c r="G421" s="488">
        <v>195.99</v>
      </c>
      <c r="H421" s="84"/>
      <c r="I421" s="84"/>
      <c r="J421" s="565">
        <f t="shared" ref="J421" si="15">MEDIAN(E421:I421)</f>
        <v>195.99</v>
      </c>
      <c r="K421" s="560"/>
      <c r="L421" s="560"/>
    </row>
    <row r="422" spans="1:12" s="574" customFormat="1" ht="15">
      <c r="A422" s="566"/>
      <c r="B422" s="619"/>
      <c r="C422" s="563" t="s">
        <v>8</v>
      </c>
      <c r="D422" s="610"/>
      <c r="E422" s="564" t="s">
        <v>18681</v>
      </c>
      <c r="F422" s="564" t="s">
        <v>15046</v>
      </c>
      <c r="G422" s="564" t="s">
        <v>15041</v>
      </c>
      <c r="H422" s="487"/>
      <c r="I422" s="564"/>
      <c r="J422" s="565"/>
      <c r="K422" s="560"/>
      <c r="L422" s="560"/>
    </row>
    <row r="423" spans="1:12" s="574" customFormat="1" ht="15">
      <c r="A423" s="566"/>
      <c r="B423" s="619"/>
      <c r="C423" s="563" t="s">
        <v>7</v>
      </c>
      <c r="D423" s="610"/>
      <c r="E423" s="567" t="s">
        <v>18682</v>
      </c>
      <c r="F423" s="567" t="s">
        <v>15045</v>
      </c>
      <c r="G423" s="567" t="s">
        <v>15042</v>
      </c>
      <c r="H423" s="489"/>
      <c r="I423" s="567"/>
      <c r="J423" s="565"/>
      <c r="K423" s="560"/>
      <c r="L423" s="560"/>
    </row>
    <row r="424" spans="1:12" s="574" customFormat="1" ht="15">
      <c r="A424" s="566"/>
      <c r="B424" s="619"/>
      <c r="C424" s="563" t="s">
        <v>6</v>
      </c>
      <c r="D424" s="611"/>
      <c r="E424" s="473">
        <v>44368</v>
      </c>
      <c r="F424" s="473">
        <v>44368</v>
      </c>
      <c r="G424" s="473">
        <v>44368</v>
      </c>
      <c r="H424" s="490"/>
      <c r="I424" s="473"/>
      <c r="J424" s="565"/>
      <c r="K424" s="560"/>
      <c r="L424" s="560"/>
    </row>
    <row r="425" spans="1:12" s="574" customFormat="1" ht="15">
      <c r="A425" s="568"/>
      <c r="B425" s="620"/>
      <c r="C425" s="563" t="s">
        <v>8993</v>
      </c>
      <c r="D425" s="611"/>
      <c r="E425" s="473" t="s">
        <v>18680</v>
      </c>
      <c r="F425" s="473" t="s">
        <v>18680</v>
      </c>
      <c r="G425" s="473" t="s">
        <v>18680</v>
      </c>
      <c r="H425" s="490"/>
      <c r="I425" s="473"/>
      <c r="J425" s="565"/>
      <c r="K425" s="560"/>
      <c r="L425" s="560"/>
    </row>
    <row r="426" spans="1:12" s="574" customFormat="1">
      <c r="A426" s="607"/>
      <c r="B426" s="621"/>
      <c r="C426" s="608"/>
      <c r="D426" s="573"/>
      <c r="E426" s="573"/>
      <c r="F426" s="573"/>
      <c r="G426" s="573"/>
      <c r="H426" s="573"/>
      <c r="I426" s="573"/>
      <c r="J426" s="560"/>
      <c r="K426" s="560"/>
      <c r="L426" s="560"/>
    </row>
    <row r="427" spans="1:12" s="575" customFormat="1" ht="15">
      <c r="A427" s="677" t="s">
        <v>18683</v>
      </c>
      <c r="B427" s="626" t="s">
        <v>18686</v>
      </c>
      <c r="C427" s="369">
        <f t="shared" ref="C427" si="16">MIN(E429:I429)</f>
        <v>1.2050000000000001</v>
      </c>
      <c r="D427" s="678" t="s">
        <v>5</v>
      </c>
      <c r="E427" s="474" t="s">
        <v>18690</v>
      </c>
      <c r="F427" s="474" t="s">
        <v>14861</v>
      </c>
      <c r="G427" s="474" t="s">
        <v>18706</v>
      </c>
      <c r="H427" s="486"/>
      <c r="I427" s="474"/>
      <c r="J427" s="558" t="s">
        <v>207</v>
      </c>
      <c r="K427" s="561"/>
      <c r="L427" s="561"/>
    </row>
    <row r="428" spans="1:12" s="574" customFormat="1" ht="22.5">
      <c r="A428" s="562"/>
      <c r="B428" s="618"/>
      <c r="C428" s="563" t="s">
        <v>284</v>
      </c>
      <c r="D428" s="708"/>
      <c r="E428" s="564" t="s">
        <v>18689</v>
      </c>
      <c r="F428" s="564" t="s">
        <v>14860</v>
      </c>
      <c r="G428" s="564" t="s">
        <v>18705</v>
      </c>
      <c r="H428" s="675"/>
      <c r="I428" s="564"/>
      <c r="J428" s="565" t="s">
        <v>283</v>
      </c>
      <c r="K428" s="560"/>
      <c r="L428" s="560"/>
    </row>
    <row r="429" spans="1:12" s="574" customFormat="1" ht="15">
      <c r="A429" s="566"/>
      <c r="B429" s="619"/>
      <c r="C429" s="563" t="s">
        <v>9</v>
      </c>
      <c r="D429" s="610"/>
      <c r="E429" s="84">
        <f>16.5/2</f>
        <v>8.25</v>
      </c>
      <c r="F429" s="488">
        <f>2.41/2</f>
        <v>1.2050000000000001</v>
      </c>
      <c r="G429" s="488">
        <f>3.58/2</f>
        <v>1.79</v>
      </c>
      <c r="H429" s="84"/>
      <c r="I429" s="84"/>
      <c r="J429" s="565">
        <f t="shared" ref="J429" si="17">MEDIAN(E429:I429)</f>
        <v>1.79</v>
      </c>
      <c r="K429" s="560"/>
      <c r="L429" s="560"/>
    </row>
    <row r="430" spans="1:12" s="574" customFormat="1" ht="15">
      <c r="A430" s="566"/>
      <c r="B430" s="619"/>
      <c r="C430" s="563" t="s">
        <v>8</v>
      </c>
      <c r="D430" s="610"/>
      <c r="E430" s="564" t="s">
        <v>18692</v>
      </c>
      <c r="F430" s="564" t="s">
        <v>14862</v>
      </c>
      <c r="G430" s="564" t="s">
        <v>18707</v>
      </c>
      <c r="H430" s="487"/>
      <c r="I430" s="564"/>
      <c r="J430" s="565"/>
      <c r="K430" s="560"/>
      <c r="L430" s="560"/>
    </row>
    <row r="431" spans="1:12" s="574" customFormat="1" ht="15">
      <c r="A431" s="566"/>
      <c r="B431" s="619"/>
      <c r="C431" s="563" t="s">
        <v>7</v>
      </c>
      <c r="D431" s="610"/>
      <c r="E431" s="567" t="s">
        <v>18693</v>
      </c>
      <c r="F431" s="567" t="s">
        <v>18704</v>
      </c>
      <c r="G431" s="567" t="s">
        <v>18708</v>
      </c>
      <c r="H431" s="489"/>
      <c r="I431" s="567"/>
      <c r="J431" s="565"/>
      <c r="K431" s="560"/>
      <c r="L431" s="560"/>
    </row>
    <row r="432" spans="1:12" s="574" customFormat="1" ht="15">
      <c r="A432" s="566"/>
      <c r="B432" s="619"/>
      <c r="C432" s="563" t="s">
        <v>6</v>
      </c>
      <c r="D432" s="611"/>
      <c r="E432" s="473">
        <v>44368</v>
      </c>
      <c r="F432" s="473">
        <v>44368</v>
      </c>
      <c r="G432" s="473">
        <v>44368</v>
      </c>
      <c r="H432" s="490"/>
      <c r="I432" s="473"/>
      <c r="J432" s="565"/>
      <c r="K432" s="560"/>
      <c r="L432" s="560"/>
    </row>
    <row r="433" spans="1:12" s="574" customFormat="1" ht="15">
      <c r="A433" s="568"/>
      <c r="B433" s="620"/>
      <c r="C433" s="563" t="s">
        <v>8993</v>
      </c>
      <c r="D433" s="611"/>
      <c r="E433" s="473" t="s">
        <v>18691</v>
      </c>
      <c r="F433" s="473" t="s">
        <v>18691</v>
      </c>
      <c r="G433" s="473" t="s">
        <v>18691</v>
      </c>
      <c r="H433" s="490"/>
      <c r="I433" s="473"/>
      <c r="J433" s="565"/>
      <c r="K433" s="560"/>
      <c r="L433" s="560"/>
    </row>
    <row r="434" spans="1:12" s="574" customFormat="1">
      <c r="A434" s="607"/>
      <c r="B434" s="621"/>
      <c r="C434" s="608"/>
      <c r="D434" s="573"/>
      <c r="E434" s="573"/>
      <c r="F434" s="573"/>
      <c r="G434" s="573"/>
      <c r="H434" s="573"/>
      <c r="I434" s="573"/>
      <c r="J434" s="560"/>
      <c r="K434" s="560"/>
      <c r="L434" s="560"/>
    </row>
    <row r="435" spans="1:12" s="575" customFormat="1" ht="15">
      <c r="A435" s="677" t="s">
        <v>18684</v>
      </c>
      <c r="B435" s="626" t="s">
        <v>18688</v>
      </c>
      <c r="C435" s="369">
        <f t="shared" ref="C435" si="18">MIN(E437:I437)</f>
        <v>2.585</v>
      </c>
      <c r="D435" s="678" t="s">
        <v>5</v>
      </c>
      <c r="E435" s="474" t="s">
        <v>18690</v>
      </c>
      <c r="F435" s="474" t="s">
        <v>14861</v>
      </c>
      <c r="G435" s="474" t="s">
        <v>18706</v>
      </c>
      <c r="H435" s="486"/>
      <c r="I435" s="474"/>
      <c r="J435" s="558" t="s">
        <v>207</v>
      </c>
      <c r="K435" s="561"/>
      <c r="L435" s="561"/>
    </row>
    <row r="436" spans="1:12" s="574" customFormat="1" ht="22.5">
      <c r="A436" s="562"/>
      <c r="B436" s="618"/>
      <c r="C436" s="563" t="s">
        <v>284</v>
      </c>
      <c r="D436" s="708"/>
      <c r="E436" s="564" t="s">
        <v>18689</v>
      </c>
      <c r="F436" s="564" t="s">
        <v>14860</v>
      </c>
      <c r="G436" s="564" t="s">
        <v>18705</v>
      </c>
      <c r="H436" s="675"/>
      <c r="I436" s="564"/>
      <c r="J436" s="565" t="s">
        <v>283</v>
      </c>
      <c r="K436" s="560"/>
      <c r="L436" s="560"/>
    </row>
    <row r="437" spans="1:12" s="574" customFormat="1" ht="15">
      <c r="A437" s="566"/>
      <c r="B437" s="619"/>
      <c r="C437" s="563" t="s">
        <v>9</v>
      </c>
      <c r="D437" s="610"/>
      <c r="E437" s="84">
        <f>24.9/2</f>
        <v>12.45</v>
      </c>
      <c r="F437" s="488">
        <f>8.86/2</f>
        <v>4.43</v>
      </c>
      <c r="G437" s="488">
        <f>5.17/2</f>
        <v>2.585</v>
      </c>
      <c r="H437" s="84"/>
      <c r="I437" s="84"/>
      <c r="J437" s="565">
        <f t="shared" ref="J437" si="19">MEDIAN(E437:I437)</f>
        <v>4.43</v>
      </c>
      <c r="K437" s="560"/>
      <c r="L437" s="560"/>
    </row>
    <row r="438" spans="1:12" s="574" customFormat="1" ht="15">
      <c r="A438" s="566"/>
      <c r="B438" s="619"/>
      <c r="C438" s="563" t="s">
        <v>8</v>
      </c>
      <c r="D438" s="610"/>
      <c r="E438" s="564" t="s">
        <v>18692</v>
      </c>
      <c r="F438" s="564" t="s">
        <v>14862</v>
      </c>
      <c r="G438" s="564" t="s">
        <v>18707</v>
      </c>
      <c r="H438" s="487"/>
      <c r="I438" s="564"/>
      <c r="J438" s="565"/>
      <c r="K438" s="560"/>
      <c r="L438" s="560"/>
    </row>
    <row r="439" spans="1:12" s="574" customFormat="1" ht="15">
      <c r="A439" s="566"/>
      <c r="B439" s="619"/>
      <c r="C439" s="563" t="s">
        <v>7</v>
      </c>
      <c r="D439" s="610"/>
      <c r="E439" s="567" t="s">
        <v>18693</v>
      </c>
      <c r="F439" s="567" t="s">
        <v>18704</v>
      </c>
      <c r="G439" s="567" t="s">
        <v>18708</v>
      </c>
      <c r="H439" s="489"/>
      <c r="I439" s="567"/>
      <c r="J439" s="565"/>
      <c r="K439" s="560"/>
      <c r="L439" s="560"/>
    </row>
    <row r="440" spans="1:12" s="574" customFormat="1" ht="15">
      <c r="A440" s="566"/>
      <c r="B440" s="619"/>
      <c r="C440" s="563" t="s">
        <v>6</v>
      </c>
      <c r="D440" s="611"/>
      <c r="E440" s="473">
        <v>44368</v>
      </c>
      <c r="F440" s="473">
        <v>44368</v>
      </c>
      <c r="G440" s="473">
        <v>44368</v>
      </c>
      <c r="H440" s="490"/>
      <c r="I440" s="473"/>
      <c r="J440" s="565"/>
      <c r="K440" s="560"/>
      <c r="L440" s="560"/>
    </row>
    <row r="441" spans="1:12" s="574" customFormat="1" ht="15">
      <c r="A441" s="568"/>
      <c r="B441" s="620"/>
      <c r="C441" s="563" t="s">
        <v>8993</v>
      </c>
      <c r="D441" s="611"/>
      <c r="E441" s="473" t="s">
        <v>18691</v>
      </c>
      <c r="F441" s="473" t="s">
        <v>18691</v>
      </c>
      <c r="G441" s="473" t="s">
        <v>18691</v>
      </c>
      <c r="H441" s="490"/>
      <c r="I441" s="473"/>
      <c r="J441" s="565"/>
      <c r="K441" s="560"/>
      <c r="L441" s="560"/>
    </row>
    <row r="442" spans="1:12" s="574" customFormat="1">
      <c r="A442" s="607"/>
      <c r="B442" s="621"/>
      <c r="C442" s="608"/>
      <c r="D442" s="573"/>
      <c r="E442" s="573"/>
      <c r="F442" s="573"/>
      <c r="G442" s="491"/>
      <c r="H442" s="573"/>
      <c r="I442" s="573"/>
      <c r="J442" s="560"/>
      <c r="K442" s="560"/>
      <c r="L442" s="560"/>
    </row>
    <row r="443" spans="1:12" s="575" customFormat="1" ht="15">
      <c r="A443" s="677" t="s">
        <v>18685</v>
      </c>
      <c r="B443" s="626" t="s">
        <v>18687</v>
      </c>
      <c r="C443" s="369">
        <f t="shared" ref="C443" si="20">MIN(E445:I445)</f>
        <v>4.085</v>
      </c>
      <c r="D443" s="678" t="s">
        <v>5</v>
      </c>
      <c r="E443" s="474" t="s">
        <v>14861</v>
      </c>
      <c r="F443" s="474" t="s">
        <v>18706</v>
      </c>
      <c r="G443" s="486" t="s">
        <v>14929</v>
      </c>
      <c r="H443" s="486"/>
      <c r="I443" s="474"/>
      <c r="J443" s="558" t="s">
        <v>207</v>
      </c>
      <c r="K443" s="561"/>
      <c r="L443" s="561"/>
    </row>
    <row r="444" spans="1:12" s="574" customFormat="1" ht="22.5">
      <c r="A444" s="562"/>
      <c r="B444" s="618"/>
      <c r="C444" s="563" t="s">
        <v>284</v>
      </c>
      <c r="D444" s="708"/>
      <c r="E444" s="564" t="s">
        <v>14860</v>
      </c>
      <c r="F444" s="564" t="s">
        <v>18705</v>
      </c>
      <c r="G444" s="487" t="s">
        <v>14928</v>
      </c>
      <c r="H444" s="675"/>
      <c r="I444" s="564"/>
      <c r="J444" s="565" t="s">
        <v>283</v>
      </c>
      <c r="K444" s="560"/>
      <c r="L444" s="560"/>
    </row>
    <row r="445" spans="1:12" s="574" customFormat="1" ht="15">
      <c r="A445" s="566"/>
      <c r="B445" s="619"/>
      <c r="C445" s="563" t="s">
        <v>9</v>
      </c>
      <c r="D445" s="610"/>
      <c r="E445" s="488">
        <f>8.17/2</f>
        <v>4.085</v>
      </c>
      <c r="F445" s="488">
        <f>10.66/2</f>
        <v>5.33</v>
      </c>
      <c r="G445" s="488">
        <f>8.29/2</f>
        <v>4.1449999999999996</v>
      </c>
      <c r="H445" s="84"/>
      <c r="I445" s="84"/>
      <c r="J445" s="565">
        <f t="shared" ref="J445" si="21">MEDIAN(E445:I445)</f>
        <v>4.1449999999999996</v>
      </c>
      <c r="K445" s="560"/>
      <c r="L445" s="560"/>
    </row>
    <row r="446" spans="1:12" s="574" customFormat="1" ht="15">
      <c r="A446" s="566"/>
      <c r="B446" s="619"/>
      <c r="C446" s="563" t="s">
        <v>8</v>
      </c>
      <c r="D446" s="610"/>
      <c r="E446" s="564" t="s">
        <v>14862</v>
      </c>
      <c r="F446" s="564" t="s">
        <v>18707</v>
      </c>
      <c r="G446" s="487" t="s">
        <v>14931</v>
      </c>
      <c r="H446" s="487"/>
      <c r="I446" s="564"/>
      <c r="J446" s="565"/>
      <c r="K446" s="560"/>
      <c r="L446" s="560"/>
    </row>
    <row r="447" spans="1:12" s="574" customFormat="1" ht="15">
      <c r="A447" s="566"/>
      <c r="B447" s="619"/>
      <c r="C447" s="563" t="s">
        <v>7</v>
      </c>
      <c r="D447" s="610"/>
      <c r="E447" s="567" t="s">
        <v>18704</v>
      </c>
      <c r="F447" s="567" t="s">
        <v>18708</v>
      </c>
      <c r="G447" s="489" t="s">
        <v>14930</v>
      </c>
      <c r="H447" s="489"/>
      <c r="I447" s="567"/>
      <c r="J447" s="565"/>
      <c r="K447" s="560"/>
      <c r="L447" s="560"/>
    </row>
    <row r="448" spans="1:12" s="574" customFormat="1" ht="15">
      <c r="A448" s="566"/>
      <c r="B448" s="619"/>
      <c r="C448" s="563" t="s">
        <v>6</v>
      </c>
      <c r="D448" s="611"/>
      <c r="E448" s="473">
        <v>44368</v>
      </c>
      <c r="F448" s="473">
        <v>44368</v>
      </c>
      <c r="G448" s="473">
        <v>44368</v>
      </c>
      <c r="H448" s="490"/>
      <c r="I448" s="473"/>
      <c r="J448" s="565"/>
      <c r="K448" s="560"/>
      <c r="L448" s="560"/>
    </row>
    <row r="449" spans="1:12" s="574" customFormat="1" ht="15">
      <c r="A449" s="568"/>
      <c r="B449" s="620"/>
      <c r="C449" s="563" t="s">
        <v>8993</v>
      </c>
      <c r="D449" s="611"/>
      <c r="E449" s="473" t="s">
        <v>18691</v>
      </c>
      <c r="F449" s="473" t="s">
        <v>18691</v>
      </c>
      <c r="G449" s="473" t="s">
        <v>18691</v>
      </c>
      <c r="H449" s="490"/>
      <c r="I449" s="473"/>
      <c r="J449" s="565"/>
      <c r="K449" s="560"/>
      <c r="L449" s="560"/>
    </row>
    <row r="450" spans="1:12" s="121" customFormat="1" ht="11.25">
      <c r="A450" s="173"/>
      <c r="B450" s="613"/>
      <c r="C450" s="180"/>
      <c r="D450" s="180"/>
      <c r="E450" s="180"/>
      <c r="F450" s="180"/>
      <c r="G450" s="180"/>
      <c r="H450" s="180"/>
      <c r="I450" s="180"/>
      <c r="J450" s="124"/>
      <c r="K450" s="124"/>
      <c r="L450" s="124"/>
    </row>
    <row r="451" spans="1:12" s="122" customFormat="1" ht="22.5">
      <c r="A451" s="677" t="s">
        <v>9607</v>
      </c>
      <c r="B451" s="626" t="s">
        <v>24726</v>
      </c>
      <c r="C451" s="369">
        <f>MIN(E453:I453)</f>
        <v>4597.3500000000004</v>
      </c>
      <c r="D451" s="370" t="s">
        <v>109</v>
      </c>
      <c r="E451" s="486" t="s">
        <v>24727</v>
      </c>
      <c r="F451" s="486"/>
      <c r="G451" s="486"/>
      <c r="H451" s="486"/>
      <c r="I451" s="486"/>
      <c r="J451" s="125" t="s">
        <v>207</v>
      </c>
      <c r="K451" s="125"/>
      <c r="L451" s="125"/>
    </row>
    <row r="452" spans="1:12" s="122" customFormat="1" ht="11.25">
      <c r="A452" s="361"/>
      <c r="B452" s="615"/>
      <c r="C452" s="367" t="s">
        <v>284</v>
      </c>
      <c r="D452" s="848"/>
      <c r="E452" s="487" t="s">
        <v>24729</v>
      </c>
      <c r="F452" s="487"/>
      <c r="G452" s="487"/>
      <c r="H452" s="675"/>
      <c r="I452" s="487"/>
      <c r="J452" s="125" t="s">
        <v>283</v>
      </c>
      <c r="K452" s="125" t="s">
        <v>280</v>
      </c>
      <c r="L452" s="125" t="s">
        <v>281</v>
      </c>
    </row>
    <row r="453" spans="1:12" s="122" customFormat="1" ht="11.25">
      <c r="A453" s="362"/>
      <c r="B453" s="616"/>
      <c r="C453" s="367" t="s">
        <v>9</v>
      </c>
      <c r="D453" s="849"/>
      <c r="E453" s="84">
        <v>4597.3500000000004</v>
      </c>
      <c r="F453" s="488"/>
      <c r="G453" s="488"/>
      <c r="H453" s="84"/>
      <c r="I453" s="84"/>
      <c r="J453" s="125">
        <f>MEDIAN(E453:I453)</f>
        <v>4597.3500000000004</v>
      </c>
      <c r="K453" s="125">
        <f>J453*1.3</f>
        <v>5976.5550000000003</v>
      </c>
      <c r="L453" s="125">
        <f>J453*0.7</f>
        <v>3218.145</v>
      </c>
    </row>
    <row r="454" spans="1:12" s="122" customFormat="1" ht="11.25">
      <c r="A454" s="362"/>
      <c r="B454" s="616"/>
      <c r="C454" s="367" t="s">
        <v>8</v>
      </c>
      <c r="D454" s="849"/>
      <c r="E454" s="487" t="s">
        <v>24730</v>
      </c>
      <c r="F454" s="487"/>
      <c r="G454" s="487"/>
      <c r="H454" s="487"/>
      <c r="I454" s="487"/>
      <c r="J454" s="125"/>
      <c r="K454" s="125"/>
      <c r="L454" s="125"/>
    </row>
    <row r="455" spans="1:12" s="122" customFormat="1" ht="11.25">
      <c r="A455" s="362"/>
      <c r="B455" s="616"/>
      <c r="C455" s="367" t="s">
        <v>7</v>
      </c>
      <c r="D455" s="849"/>
      <c r="E455" s="489" t="s">
        <v>24731</v>
      </c>
      <c r="F455" s="489"/>
      <c r="G455" s="489"/>
      <c r="H455" s="489"/>
      <c r="I455" s="489"/>
      <c r="J455" s="125"/>
      <c r="K455" s="125"/>
      <c r="L455" s="125"/>
    </row>
    <row r="456" spans="1:12" s="122" customFormat="1" ht="11.25">
      <c r="A456" s="362"/>
      <c r="B456" s="616"/>
      <c r="C456" s="367" t="s">
        <v>6</v>
      </c>
      <c r="D456" s="849"/>
      <c r="E456" s="490">
        <v>44384</v>
      </c>
      <c r="F456" s="490"/>
      <c r="G456" s="490"/>
      <c r="H456" s="490"/>
      <c r="I456" s="490"/>
      <c r="J456" s="125"/>
      <c r="K456" s="125"/>
      <c r="L456" s="125"/>
    </row>
    <row r="457" spans="1:12" s="122" customFormat="1" ht="11.25">
      <c r="A457" s="363"/>
      <c r="B457" s="617"/>
      <c r="C457" s="367" t="s">
        <v>8993</v>
      </c>
      <c r="D457" s="850"/>
      <c r="E457" s="490" t="s">
        <v>24728</v>
      </c>
      <c r="F457" s="490"/>
      <c r="G457" s="490"/>
      <c r="H457" s="490"/>
      <c r="I457" s="490"/>
      <c r="J457" s="125"/>
      <c r="K457" s="125"/>
      <c r="L457" s="125"/>
    </row>
    <row r="458" spans="1:12" s="121" customFormat="1" ht="11.25">
      <c r="A458" s="173"/>
      <c r="B458" s="613"/>
      <c r="C458" s="180"/>
      <c r="D458" s="180"/>
      <c r="E458" s="180"/>
      <c r="F458" s="180"/>
      <c r="G458" s="180"/>
      <c r="H458" s="180"/>
      <c r="I458" s="180"/>
      <c r="J458" s="124"/>
      <c r="K458" s="124"/>
      <c r="L458" s="124"/>
    </row>
    <row r="459" spans="1:12" s="122" customFormat="1" ht="11.25">
      <c r="A459" s="366" t="s">
        <v>18462</v>
      </c>
      <c r="B459" s="626" t="s">
        <v>18463</v>
      </c>
      <c r="C459" s="369">
        <f>MIN(E461:I461)</f>
        <v>1800</v>
      </c>
      <c r="D459" s="370" t="s">
        <v>109</v>
      </c>
      <c r="E459" s="486" t="s">
        <v>18464</v>
      </c>
      <c r="F459" s="486" t="s">
        <v>18465</v>
      </c>
      <c r="G459" s="486" t="s">
        <v>18466</v>
      </c>
      <c r="H459" s="486"/>
      <c r="I459" s="486"/>
      <c r="J459" s="125" t="s">
        <v>207</v>
      </c>
      <c r="K459" s="125"/>
      <c r="L459" s="125"/>
    </row>
    <row r="460" spans="1:12" s="122" customFormat="1" ht="22.5">
      <c r="A460" s="361"/>
      <c r="B460" s="615"/>
      <c r="C460" s="367" t="s">
        <v>284</v>
      </c>
      <c r="D460" s="848"/>
      <c r="E460" s="487" t="s">
        <v>18467</v>
      </c>
      <c r="F460" s="487" t="s">
        <v>18468</v>
      </c>
      <c r="G460" s="487" t="s">
        <v>18469</v>
      </c>
      <c r="H460" s="487"/>
      <c r="I460" s="487"/>
      <c r="J460" s="125" t="s">
        <v>283</v>
      </c>
      <c r="K460" s="125" t="s">
        <v>280</v>
      </c>
      <c r="L460" s="125" t="s">
        <v>281</v>
      </c>
    </row>
    <row r="461" spans="1:12" s="122" customFormat="1" ht="11.25">
      <c r="A461" s="362"/>
      <c r="B461" s="616"/>
      <c r="C461" s="367" t="s">
        <v>9</v>
      </c>
      <c r="D461" s="849"/>
      <c r="E461" s="84">
        <v>2499</v>
      </c>
      <c r="F461" s="488">
        <v>1800</v>
      </c>
      <c r="G461" s="488">
        <v>2100</v>
      </c>
      <c r="H461" s="84"/>
      <c r="I461" s="84"/>
      <c r="J461" s="125">
        <f>MEDIAN(E461:I461)</f>
        <v>2100</v>
      </c>
      <c r="K461" s="125">
        <f>J461*1.3</f>
        <v>2730</v>
      </c>
      <c r="L461" s="125">
        <f>J461*0.7</f>
        <v>1470</v>
      </c>
    </row>
    <row r="462" spans="1:12" s="122" customFormat="1" ht="11.25">
      <c r="A462" s="362"/>
      <c r="B462" s="616"/>
      <c r="C462" s="367" t="s">
        <v>8</v>
      </c>
      <c r="D462" s="849"/>
      <c r="E462" s="487" t="s">
        <v>18470</v>
      </c>
      <c r="F462" s="487" t="s">
        <v>18471</v>
      </c>
      <c r="G462" s="487" t="s">
        <v>18472</v>
      </c>
      <c r="H462" s="487"/>
      <c r="I462" s="487"/>
      <c r="J462" s="125"/>
      <c r="K462" s="125"/>
      <c r="L462" s="125"/>
    </row>
    <row r="463" spans="1:12" s="122" customFormat="1" ht="11.25">
      <c r="A463" s="362"/>
      <c r="B463" s="616"/>
      <c r="C463" s="367" t="s">
        <v>7</v>
      </c>
      <c r="D463" s="849"/>
      <c r="E463" s="489" t="s">
        <v>18473</v>
      </c>
      <c r="F463" s="489" t="s">
        <v>18474</v>
      </c>
      <c r="G463" s="489" t="s">
        <v>18475</v>
      </c>
      <c r="H463" s="489"/>
      <c r="I463" s="489"/>
      <c r="J463" s="125"/>
      <c r="K463" s="125"/>
      <c r="L463" s="125"/>
    </row>
    <row r="464" spans="1:12" s="122" customFormat="1" ht="11.25">
      <c r="A464" s="362"/>
      <c r="B464" s="616"/>
      <c r="C464" s="367" t="s">
        <v>6</v>
      </c>
      <c r="D464" s="849"/>
      <c r="E464" s="490">
        <v>44293</v>
      </c>
      <c r="F464" s="490">
        <v>44295</v>
      </c>
      <c r="G464" s="490">
        <v>44328</v>
      </c>
      <c r="H464" s="490"/>
      <c r="I464" s="490"/>
      <c r="J464" s="125"/>
      <c r="K464" s="125"/>
      <c r="L464" s="125"/>
    </row>
    <row r="465" spans="1:12" s="122" customFormat="1" ht="11.25">
      <c r="A465" s="363"/>
      <c r="B465" s="617"/>
      <c r="C465" s="367" t="s">
        <v>8993</v>
      </c>
      <c r="D465" s="850"/>
      <c r="E465" s="490" t="s">
        <v>18476</v>
      </c>
      <c r="F465" s="490" t="s">
        <v>18477</v>
      </c>
      <c r="G465" s="490"/>
      <c r="H465" s="490"/>
      <c r="I465" s="490"/>
      <c r="J465" s="125"/>
      <c r="K465" s="125"/>
      <c r="L465" s="125"/>
    </row>
    <row r="466" spans="1:12" s="121" customFormat="1" ht="11.25">
      <c r="A466" s="173"/>
      <c r="B466" s="613"/>
      <c r="C466" s="180"/>
      <c r="D466" s="180"/>
      <c r="E466" s="180"/>
      <c r="F466" s="180"/>
      <c r="G466" s="180"/>
      <c r="H466" s="180"/>
      <c r="I466" s="180"/>
      <c r="J466" s="124"/>
      <c r="K466" s="124"/>
      <c r="L466" s="124"/>
    </row>
    <row r="467" spans="1:12" s="122" customFormat="1" ht="11.25">
      <c r="A467" s="366" t="s">
        <v>9608</v>
      </c>
      <c r="B467" s="626" t="s">
        <v>15749</v>
      </c>
      <c r="C467" s="369">
        <f>MIN(E469:I469)</f>
        <v>10.88</v>
      </c>
      <c r="D467" s="370" t="s">
        <v>5</v>
      </c>
      <c r="E467" s="486" t="s">
        <v>17048</v>
      </c>
      <c r="F467" s="486" t="s">
        <v>17069</v>
      </c>
      <c r="G467" s="486" t="s">
        <v>17068</v>
      </c>
      <c r="H467" s="486" t="s">
        <v>18219</v>
      </c>
      <c r="I467" s="486"/>
      <c r="J467" s="125" t="s">
        <v>207</v>
      </c>
      <c r="K467" s="125"/>
      <c r="L467" s="125"/>
    </row>
    <row r="468" spans="1:12" s="122" customFormat="1" ht="22.5">
      <c r="A468" s="361"/>
      <c r="B468" s="615"/>
      <c r="C468" s="367" t="s">
        <v>284</v>
      </c>
      <c r="D468" s="848"/>
      <c r="E468" s="487" t="s">
        <v>16759</v>
      </c>
      <c r="F468" s="487" t="s">
        <v>17350</v>
      </c>
      <c r="G468" s="487" t="s">
        <v>17071</v>
      </c>
      <c r="H468" s="675" t="s">
        <v>18234</v>
      </c>
      <c r="I468" s="487"/>
      <c r="J468" s="125" t="s">
        <v>283</v>
      </c>
      <c r="K468" s="125" t="s">
        <v>280</v>
      </c>
      <c r="L468" s="125" t="s">
        <v>281</v>
      </c>
    </row>
    <row r="469" spans="1:12" s="122" customFormat="1" ht="11.25">
      <c r="A469" s="362"/>
      <c r="B469" s="616"/>
      <c r="C469" s="367" t="s">
        <v>9</v>
      </c>
      <c r="D469" s="849"/>
      <c r="E469" s="84">
        <v>10.88</v>
      </c>
      <c r="F469" s="488">
        <v>14.9</v>
      </c>
      <c r="G469" s="488">
        <v>11.43</v>
      </c>
      <c r="H469" s="84">
        <v>20.28</v>
      </c>
      <c r="I469" s="84"/>
      <c r="J469" s="125">
        <f>MEDIAN(E469:I469)</f>
        <v>13.164999999999999</v>
      </c>
      <c r="K469" s="125">
        <f>J469*1.3</f>
        <v>17.1145</v>
      </c>
      <c r="L469" s="125">
        <f>J469*0.7</f>
        <v>9.2154999999999987</v>
      </c>
    </row>
    <row r="470" spans="1:12" s="122" customFormat="1" ht="11.25">
      <c r="A470" s="362"/>
      <c r="B470" s="616"/>
      <c r="C470" s="367" t="s">
        <v>8</v>
      </c>
      <c r="D470" s="849"/>
      <c r="E470" s="487" t="s">
        <v>17049</v>
      </c>
      <c r="F470" s="487" t="s">
        <v>17351</v>
      </c>
      <c r="G470" s="487" t="s">
        <v>17273</v>
      </c>
      <c r="H470" s="487"/>
      <c r="I470" s="487"/>
      <c r="J470" s="125"/>
      <c r="K470" s="125"/>
      <c r="L470" s="125"/>
    </row>
    <row r="471" spans="1:12" s="122" customFormat="1" ht="11.25">
      <c r="A471" s="362"/>
      <c r="B471" s="616"/>
      <c r="C471" s="367" t="s">
        <v>7</v>
      </c>
      <c r="D471" s="849"/>
      <c r="E471" s="489" t="s">
        <v>17050</v>
      </c>
      <c r="F471" s="489" t="s">
        <v>17352</v>
      </c>
      <c r="G471" s="489" t="s">
        <v>17076</v>
      </c>
      <c r="H471" s="489"/>
      <c r="I471" s="489"/>
      <c r="J471" s="125"/>
      <c r="K471" s="125"/>
      <c r="L471" s="125"/>
    </row>
    <row r="472" spans="1:12" s="122" customFormat="1" ht="11.25">
      <c r="A472" s="362"/>
      <c r="B472" s="616"/>
      <c r="C472" s="367" t="s">
        <v>6</v>
      </c>
      <c r="D472" s="849"/>
      <c r="E472" s="490">
        <v>44299</v>
      </c>
      <c r="F472" s="490">
        <v>44306</v>
      </c>
      <c r="G472" s="490">
        <v>44309</v>
      </c>
      <c r="H472" s="490">
        <v>44270</v>
      </c>
      <c r="I472" s="490"/>
      <c r="J472" s="125"/>
      <c r="K472" s="125"/>
      <c r="L472" s="125"/>
    </row>
    <row r="473" spans="1:12" s="122" customFormat="1" ht="11.25">
      <c r="A473" s="363"/>
      <c r="B473" s="617"/>
      <c r="C473" s="367" t="s">
        <v>8993</v>
      </c>
      <c r="D473" s="850"/>
      <c r="E473" s="490" t="s">
        <v>17051</v>
      </c>
      <c r="F473" s="490" t="s">
        <v>17079</v>
      </c>
      <c r="G473" s="490" t="s">
        <v>17353</v>
      </c>
      <c r="H473" s="490" t="s">
        <v>18220</v>
      </c>
      <c r="I473" s="490"/>
      <c r="J473" s="125"/>
      <c r="K473" s="125"/>
      <c r="L473" s="125"/>
    </row>
    <row r="474" spans="1:12" s="121" customFormat="1" ht="11.25">
      <c r="A474" s="173"/>
      <c r="B474" s="613"/>
      <c r="C474" s="180"/>
      <c r="D474" s="180"/>
      <c r="E474" s="180"/>
      <c r="F474" s="180"/>
      <c r="G474" s="180"/>
      <c r="H474" s="180"/>
      <c r="I474" s="180"/>
      <c r="J474" s="124"/>
      <c r="K474" s="124"/>
      <c r="L474" s="124"/>
    </row>
    <row r="475" spans="1:12" s="122" customFormat="1" ht="22.5">
      <c r="A475" s="366" t="s">
        <v>9609</v>
      </c>
      <c r="B475" s="626" t="s">
        <v>15750</v>
      </c>
      <c r="C475" s="369">
        <f>MIN(E477:I477)</f>
        <v>4400</v>
      </c>
      <c r="D475" s="370" t="s">
        <v>109</v>
      </c>
      <c r="E475" s="486" t="s">
        <v>17249</v>
      </c>
      <c r="F475" s="486" t="s">
        <v>17250</v>
      </c>
      <c r="G475" s="486" t="s">
        <v>17251</v>
      </c>
      <c r="H475" s="486"/>
      <c r="I475" s="486"/>
      <c r="J475" s="125" t="s">
        <v>207</v>
      </c>
      <c r="K475" s="125"/>
      <c r="L475" s="125"/>
    </row>
    <row r="476" spans="1:12" s="122" customFormat="1" ht="22.5">
      <c r="A476" s="361"/>
      <c r="B476" s="615"/>
      <c r="C476" s="367" t="s">
        <v>284</v>
      </c>
      <c r="D476" s="848"/>
      <c r="E476" s="487" t="s">
        <v>17252</v>
      </c>
      <c r="F476" s="487" t="s">
        <v>17253</v>
      </c>
      <c r="G476" s="487" t="s">
        <v>17254</v>
      </c>
      <c r="H476" s="487"/>
      <c r="I476" s="487"/>
      <c r="J476" s="125" t="s">
        <v>283</v>
      </c>
      <c r="K476" s="125" t="s">
        <v>280</v>
      </c>
      <c r="L476" s="125" t="s">
        <v>281</v>
      </c>
    </row>
    <row r="477" spans="1:12" s="122" customFormat="1" ht="11.25">
      <c r="A477" s="362"/>
      <c r="B477" s="616"/>
      <c r="C477" s="367" t="s">
        <v>9</v>
      </c>
      <c r="D477" s="849"/>
      <c r="E477" s="84">
        <v>4400</v>
      </c>
      <c r="F477" s="488">
        <v>11565</v>
      </c>
      <c r="G477" s="488">
        <v>11980</v>
      </c>
      <c r="H477" s="84"/>
      <c r="I477" s="84"/>
      <c r="J477" s="125">
        <f>MEDIAN(E477:I477)</f>
        <v>11565</v>
      </c>
      <c r="K477" s="125">
        <f>J477*1.3</f>
        <v>15034.5</v>
      </c>
      <c r="L477" s="125">
        <f>J477*0.7</f>
        <v>8095.4999999999991</v>
      </c>
    </row>
    <row r="478" spans="1:12" s="122" customFormat="1" ht="11.25">
      <c r="A478" s="362"/>
      <c r="B478" s="616"/>
      <c r="C478" s="367" t="s">
        <v>8</v>
      </c>
      <c r="D478" s="849"/>
      <c r="E478" s="487" t="s">
        <v>17255</v>
      </c>
      <c r="F478" s="487" t="s">
        <v>17256</v>
      </c>
      <c r="G478" s="487" t="s">
        <v>17257</v>
      </c>
      <c r="H478" s="487"/>
      <c r="I478" s="487"/>
      <c r="J478" s="125"/>
      <c r="K478" s="125"/>
      <c r="L478" s="125"/>
    </row>
    <row r="479" spans="1:12" s="122" customFormat="1" ht="11.25">
      <c r="A479" s="362"/>
      <c r="B479" s="616"/>
      <c r="C479" s="367" t="s">
        <v>7</v>
      </c>
      <c r="D479" s="849"/>
      <c r="E479" s="489" t="s">
        <v>17258</v>
      </c>
      <c r="F479" s="489" t="s">
        <v>17259</v>
      </c>
      <c r="G479" s="489" t="s">
        <v>17260</v>
      </c>
      <c r="H479" s="489"/>
      <c r="I479" s="489"/>
      <c r="J479" s="125"/>
      <c r="K479" s="125"/>
      <c r="L479" s="125"/>
    </row>
    <row r="480" spans="1:12" s="122" customFormat="1" ht="11.25">
      <c r="A480" s="362"/>
      <c r="B480" s="616"/>
      <c r="C480" s="367" t="s">
        <v>6</v>
      </c>
      <c r="D480" s="849"/>
      <c r="E480" s="490">
        <v>44298</v>
      </c>
      <c r="F480" s="490">
        <v>44301</v>
      </c>
      <c r="G480" s="490">
        <v>44301</v>
      </c>
      <c r="H480" s="490"/>
      <c r="I480" s="490"/>
      <c r="J480" s="125"/>
      <c r="K480" s="125"/>
      <c r="L480" s="125"/>
    </row>
    <row r="481" spans="1:12" s="122" customFormat="1" ht="11.25">
      <c r="A481" s="363"/>
      <c r="B481" s="617"/>
      <c r="C481" s="367" t="s">
        <v>8993</v>
      </c>
      <c r="D481" s="850"/>
      <c r="E481" s="490" t="s">
        <v>15348</v>
      </c>
      <c r="F481" s="490" t="s">
        <v>15279</v>
      </c>
      <c r="G481" s="490" t="s">
        <v>15280</v>
      </c>
      <c r="H481" s="490"/>
      <c r="I481" s="490"/>
      <c r="J481" s="125"/>
      <c r="K481" s="125"/>
      <c r="L481" s="125"/>
    </row>
    <row r="482" spans="1:12" s="121" customFormat="1" ht="11.25">
      <c r="A482" s="2"/>
      <c r="B482" s="622"/>
      <c r="C482" s="491"/>
      <c r="D482" s="491"/>
      <c r="E482" s="491"/>
      <c r="F482" s="491"/>
      <c r="G482" s="491"/>
      <c r="H482" s="491"/>
      <c r="I482" s="491"/>
      <c r="J482" s="124"/>
      <c r="K482" s="124"/>
      <c r="L482" s="124"/>
    </row>
    <row r="483" spans="1:12" s="122" customFormat="1" ht="22.5">
      <c r="A483" s="366" t="s">
        <v>9610</v>
      </c>
      <c r="B483" s="626" t="s">
        <v>15751</v>
      </c>
      <c r="C483" s="369">
        <f>MIN(E485:I485)</f>
        <v>1280</v>
      </c>
      <c r="D483" s="370" t="s">
        <v>109</v>
      </c>
      <c r="E483" s="486" t="s">
        <v>17249</v>
      </c>
      <c r="F483" s="486" t="s">
        <v>17250</v>
      </c>
      <c r="G483" s="486" t="s">
        <v>17251</v>
      </c>
      <c r="H483" s="486"/>
      <c r="I483" s="486"/>
      <c r="J483" s="125" t="s">
        <v>207</v>
      </c>
      <c r="K483" s="125"/>
      <c r="L483" s="125"/>
    </row>
    <row r="484" spans="1:12" s="122" customFormat="1" ht="22.5">
      <c r="A484" s="361"/>
      <c r="B484" s="615"/>
      <c r="C484" s="367" t="s">
        <v>284</v>
      </c>
      <c r="D484" s="554"/>
      <c r="E484" s="487" t="s">
        <v>17252</v>
      </c>
      <c r="F484" s="487" t="s">
        <v>17253</v>
      </c>
      <c r="G484" s="487" t="s">
        <v>17254</v>
      </c>
      <c r="H484" s="487"/>
      <c r="I484" s="487"/>
      <c r="J484" s="125" t="s">
        <v>283</v>
      </c>
      <c r="K484" s="125" t="s">
        <v>280</v>
      </c>
      <c r="L484" s="125" t="s">
        <v>281</v>
      </c>
    </row>
    <row r="485" spans="1:12" s="122" customFormat="1" ht="15">
      <c r="A485" s="362"/>
      <c r="B485" s="616"/>
      <c r="C485" s="367" t="s">
        <v>9</v>
      </c>
      <c r="D485" s="492"/>
      <c r="E485" s="84">
        <v>1280</v>
      </c>
      <c r="F485" s="84">
        <v>1829</v>
      </c>
      <c r="G485" s="84">
        <v>5890</v>
      </c>
      <c r="H485" s="84"/>
      <c r="I485" s="84"/>
      <c r="J485" s="125">
        <f>MEDIAN(E485:I485)</f>
        <v>1829</v>
      </c>
      <c r="K485" s="125">
        <f>J485*1.3</f>
        <v>2377.7000000000003</v>
      </c>
      <c r="L485" s="125">
        <f>J485*0.7</f>
        <v>1280.3</v>
      </c>
    </row>
    <row r="486" spans="1:12" s="122" customFormat="1" ht="15">
      <c r="A486" s="362"/>
      <c r="B486" s="616"/>
      <c r="C486" s="367" t="s">
        <v>8</v>
      </c>
      <c r="D486" s="492"/>
      <c r="E486" s="487" t="s">
        <v>17255</v>
      </c>
      <c r="F486" s="487" t="s">
        <v>17256</v>
      </c>
      <c r="G486" s="487" t="s">
        <v>17257</v>
      </c>
      <c r="H486" s="487"/>
      <c r="I486" s="487"/>
      <c r="J486" s="125"/>
      <c r="K486" s="125"/>
      <c r="L486" s="125"/>
    </row>
    <row r="487" spans="1:12" s="122" customFormat="1" ht="15">
      <c r="A487" s="362"/>
      <c r="B487" s="616"/>
      <c r="C487" s="367" t="s">
        <v>7</v>
      </c>
      <c r="D487" s="492"/>
      <c r="E487" s="489" t="s">
        <v>17258</v>
      </c>
      <c r="F487" s="489" t="s">
        <v>17259</v>
      </c>
      <c r="G487" s="489" t="s">
        <v>17260</v>
      </c>
      <c r="H487" s="489"/>
      <c r="I487" s="489"/>
      <c r="J487" s="125"/>
      <c r="K487" s="125"/>
      <c r="L487" s="125"/>
    </row>
    <row r="488" spans="1:12" s="122" customFormat="1" ht="15">
      <c r="A488" s="362"/>
      <c r="B488" s="616"/>
      <c r="C488" s="367" t="s">
        <v>6</v>
      </c>
      <c r="D488" s="493"/>
      <c r="E488" s="490">
        <v>44298</v>
      </c>
      <c r="F488" s="490">
        <v>44301</v>
      </c>
      <c r="G488" s="490">
        <v>44301</v>
      </c>
      <c r="H488" s="490"/>
      <c r="I488" s="490"/>
      <c r="J488" s="125"/>
      <c r="K488" s="125"/>
      <c r="L488" s="125"/>
    </row>
    <row r="489" spans="1:12" s="122" customFormat="1" ht="15">
      <c r="A489" s="363"/>
      <c r="B489" s="617"/>
      <c r="C489" s="367" t="s">
        <v>8993</v>
      </c>
      <c r="D489" s="493"/>
      <c r="E489" s="490" t="s">
        <v>15348</v>
      </c>
      <c r="F489" s="490" t="s">
        <v>15279</v>
      </c>
      <c r="G489" s="490" t="s">
        <v>15280</v>
      </c>
      <c r="H489" s="490"/>
      <c r="I489" s="490"/>
      <c r="J489" s="125"/>
      <c r="K489" s="125"/>
      <c r="L489" s="125"/>
    </row>
    <row r="490" spans="1:12" s="121" customFormat="1" ht="11.25">
      <c r="A490" s="2"/>
      <c r="B490" s="622"/>
      <c r="C490" s="491"/>
      <c r="D490" s="491"/>
      <c r="E490" s="491"/>
      <c r="F490" s="491"/>
      <c r="G490" s="491"/>
      <c r="H490" s="491"/>
      <c r="I490" s="491"/>
      <c r="J490" s="124"/>
      <c r="K490" s="124"/>
      <c r="L490" s="124"/>
    </row>
    <row r="491" spans="1:12" s="122" customFormat="1" ht="22.5">
      <c r="A491" s="366" t="s">
        <v>9611</v>
      </c>
      <c r="B491" s="626" t="s">
        <v>15752</v>
      </c>
      <c r="C491" s="369">
        <f>MIN(E493:I493)</f>
        <v>460</v>
      </c>
      <c r="D491" s="370" t="s">
        <v>109</v>
      </c>
      <c r="E491" s="486" t="s">
        <v>17249</v>
      </c>
      <c r="F491" s="486" t="s">
        <v>17250</v>
      </c>
      <c r="G491" s="486" t="s">
        <v>17251</v>
      </c>
      <c r="H491" s="486"/>
      <c r="I491" s="486"/>
      <c r="J491" s="125" t="s">
        <v>207</v>
      </c>
      <c r="K491" s="125"/>
      <c r="L491" s="125"/>
    </row>
    <row r="492" spans="1:12" s="122" customFormat="1" ht="22.5">
      <c r="A492" s="361"/>
      <c r="B492" s="615"/>
      <c r="C492" s="367" t="s">
        <v>284</v>
      </c>
      <c r="D492" s="554"/>
      <c r="E492" s="487" t="s">
        <v>17252</v>
      </c>
      <c r="F492" s="487" t="s">
        <v>17253</v>
      </c>
      <c r="G492" s="487" t="s">
        <v>17254</v>
      </c>
      <c r="H492" s="487"/>
      <c r="I492" s="487"/>
      <c r="J492" s="125" t="s">
        <v>283</v>
      </c>
      <c r="K492" s="125" t="s">
        <v>280</v>
      </c>
      <c r="L492" s="125" t="s">
        <v>281</v>
      </c>
    </row>
    <row r="493" spans="1:12" s="122" customFormat="1" ht="15">
      <c r="A493" s="362"/>
      <c r="B493" s="616"/>
      <c r="C493" s="367" t="s">
        <v>9</v>
      </c>
      <c r="D493" s="492"/>
      <c r="E493" s="84">
        <v>460</v>
      </c>
      <c r="F493" s="488">
        <v>1417</v>
      </c>
      <c r="G493" s="488">
        <v>4690</v>
      </c>
      <c r="H493" s="84"/>
      <c r="I493" s="84"/>
      <c r="J493" s="125">
        <f>MEDIAN(E493:I493)</f>
        <v>1417</v>
      </c>
      <c r="K493" s="125">
        <f>J493*1.3</f>
        <v>1842.1000000000001</v>
      </c>
      <c r="L493" s="125">
        <f>J493*0.7</f>
        <v>991.9</v>
      </c>
    </row>
    <row r="494" spans="1:12" s="122" customFormat="1" ht="15">
      <c r="A494" s="362"/>
      <c r="B494" s="616"/>
      <c r="C494" s="367" t="s">
        <v>8</v>
      </c>
      <c r="D494" s="492"/>
      <c r="E494" s="487" t="s">
        <v>17255</v>
      </c>
      <c r="F494" s="487" t="s">
        <v>17256</v>
      </c>
      <c r="G494" s="487" t="s">
        <v>17257</v>
      </c>
      <c r="H494" s="487"/>
      <c r="I494" s="487"/>
      <c r="J494" s="125"/>
      <c r="K494" s="125"/>
      <c r="L494" s="125"/>
    </row>
    <row r="495" spans="1:12" s="122" customFormat="1" ht="15">
      <c r="A495" s="362"/>
      <c r="B495" s="616"/>
      <c r="C495" s="367" t="s">
        <v>7</v>
      </c>
      <c r="D495" s="492"/>
      <c r="E495" s="489" t="s">
        <v>17258</v>
      </c>
      <c r="F495" s="489" t="s">
        <v>17259</v>
      </c>
      <c r="G495" s="489" t="s">
        <v>17260</v>
      </c>
      <c r="H495" s="489"/>
      <c r="I495" s="489"/>
      <c r="J495" s="125"/>
      <c r="K495" s="125"/>
      <c r="L495" s="125"/>
    </row>
    <row r="496" spans="1:12" s="122" customFormat="1" ht="15">
      <c r="A496" s="362"/>
      <c r="B496" s="616"/>
      <c r="C496" s="367" t="s">
        <v>6</v>
      </c>
      <c r="D496" s="493"/>
      <c r="E496" s="490">
        <v>44298</v>
      </c>
      <c r="F496" s="490">
        <v>44301</v>
      </c>
      <c r="G496" s="490">
        <v>44301</v>
      </c>
      <c r="H496" s="490"/>
      <c r="I496" s="490"/>
      <c r="J496" s="125"/>
      <c r="K496" s="125"/>
      <c r="L496" s="125"/>
    </row>
    <row r="497" spans="1:12" s="122" customFormat="1" ht="15">
      <c r="A497" s="363"/>
      <c r="B497" s="617"/>
      <c r="C497" s="367" t="s">
        <v>8993</v>
      </c>
      <c r="D497" s="493"/>
      <c r="E497" s="490" t="s">
        <v>15348</v>
      </c>
      <c r="F497" s="490" t="s">
        <v>15279</v>
      </c>
      <c r="G497" s="490" t="s">
        <v>15280</v>
      </c>
      <c r="H497" s="490"/>
      <c r="I497" s="490"/>
      <c r="J497" s="125"/>
      <c r="K497" s="125"/>
      <c r="L497" s="125"/>
    </row>
    <row r="498" spans="1:12" s="121" customFormat="1" ht="11.25">
      <c r="A498" s="2"/>
      <c r="B498" s="622"/>
      <c r="C498" s="491"/>
      <c r="D498" s="491"/>
      <c r="E498" s="491"/>
      <c r="F498" s="491"/>
      <c r="G498" s="491"/>
      <c r="H498" s="491"/>
      <c r="I498" s="491"/>
      <c r="J498" s="124"/>
      <c r="K498" s="124"/>
      <c r="L498" s="124"/>
    </row>
    <row r="499" spans="1:12" s="122" customFormat="1" ht="22.5">
      <c r="A499" s="366" t="s">
        <v>11593</v>
      </c>
      <c r="B499" s="626" t="s">
        <v>18456</v>
      </c>
      <c r="C499" s="369">
        <f>MIN(E501:I501)</f>
        <v>3250</v>
      </c>
      <c r="D499" s="370" t="s">
        <v>109</v>
      </c>
      <c r="E499" s="486" t="s">
        <v>17249</v>
      </c>
      <c r="F499" s="486" t="s">
        <v>17250</v>
      </c>
      <c r="G499" s="486" t="s">
        <v>17251</v>
      </c>
      <c r="H499" s="486"/>
      <c r="I499" s="486"/>
      <c r="J499" s="125" t="s">
        <v>207</v>
      </c>
      <c r="K499" s="125"/>
      <c r="L499" s="125"/>
    </row>
    <row r="500" spans="1:12" s="122" customFormat="1" ht="22.5">
      <c r="A500" s="361"/>
      <c r="B500" s="615"/>
      <c r="C500" s="367" t="s">
        <v>284</v>
      </c>
      <c r="D500" s="554"/>
      <c r="E500" s="487" t="s">
        <v>17252</v>
      </c>
      <c r="F500" s="487" t="s">
        <v>17253</v>
      </c>
      <c r="G500" s="487" t="s">
        <v>17254</v>
      </c>
      <c r="H500" s="487"/>
      <c r="I500" s="487"/>
      <c r="J500" s="125" t="s">
        <v>283</v>
      </c>
      <c r="K500" s="125" t="s">
        <v>280</v>
      </c>
      <c r="L500" s="125" t="s">
        <v>281</v>
      </c>
    </row>
    <row r="501" spans="1:12" s="122" customFormat="1" ht="15">
      <c r="A501" s="362"/>
      <c r="B501" s="616"/>
      <c r="C501" s="367" t="s">
        <v>9</v>
      </c>
      <c r="D501" s="492"/>
      <c r="E501" s="84">
        <v>3250</v>
      </c>
      <c r="F501" s="488">
        <v>4481</v>
      </c>
      <c r="G501" s="488">
        <v>8996</v>
      </c>
      <c r="H501" s="84"/>
      <c r="I501" s="84"/>
      <c r="J501" s="125">
        <f>MEDIAN(E501:I501)</f>
        <v>4481</v>
      </c>
      <c r="K501" s="125">
        <f>J501*1.3</f>
        <v>5825.3</v>
      </c>
      <c r="L501" s="125">
        <f>J501*0.7</f>
        <v>3136.7</v>
      </c>
    </row>
    <row r="502" spans="1:12" s="122" customFormat="1" ht="15">
      <c r="A502" s="362"/>
      <c r="B502" s="616"/>
      <c r="C502" s="367" t="s">
        <v>8</v>
      </c>
      <c r="D502" s="492"/>
      <c r="E502" s="487" t="s">
        <v>17255</v>
      </c>
      <c r="F502" s="487" t="s">
        <v>17256</v>
      </c>
      <c r="G502" s="487" t="s">
        <v>17257</v>
      </c>
      <c r="H502" s="487"/>
      <c r="I502" s="487"/>
      <c r="J502" s="125"/>
      <c r="K502" s="125"/>
      <c r="L502" s="125"/>
    </row>
    <row r="503" spans="1:12" s="122" customFormat="1" ht="15">
      <c r="A503" s="362"/>
      <c r="B503" s="616"/>
      <c r="C503" s="367" t="s">
        <v>7</v>
      </c>
      <c r="D503" s="492"/>
      <c r="E503" s="489" t="s">
        <v>17258</v>
      </c>
      <c r="F503" s="489" t="s">
        <v>17259</v>
      </c>
      <c r="G503" s="489" t="s">
        <v>17260</v>
      </c>
      <c r="H503" s="489"/>
      <c r="I503" s="489"/>
      <c r="J503" s="125"/>
      <c r="K503" s="125"/>
      <c r="L503" s="125"/>
    </row>
    <row r="504" spans="1:12" s="122" customFormat="1" ht="15">
      <c r="A504" s="362"/>
      <c r="B504" s="616"/>
      <c r="C504" s="367" t="s">
        <v>6</v>
      </c>
      <c r="D504" s="493"/>
      <c r="E504" s="490">
        <v>44298</v>
      </c>
      <c r="F504" s="490">
        <v>44301</v>
      </c>
      <c r="G504" s="490">
        <v>44301</v>
      </c>
      <c r="H504" s="490"/>
      <c r="I504" s="490"/>
      <c r="J504" s="125"/>
      <c r="K504" s="125"/>
      <c r="L504" s="125"/>
    </row>
    <row r="505" spans="1:12" s="122" customFormat="1" ht="15">
      <c r="A505" s="363"/>
      <c r="B505" s="617"/>
      <c r="C505" s="367" t="s">
        <v>8993</v>
      </c>
      <c r="D505" s="493"/>
      <c r="E505" s="490" t="s">
        <v>15348</v>
      </c>
      <c r="F505" s="490" t="s">
        <v>15279</v>
      </c>
      <c r="G505" s="490" t="s">
        <v>15280</v>
      </c>
      <c r="H505" s="490"/>
      <c r="I505" s="490"/>
      <c r="J505" s="125"/>
      <c r="K505" s="125"/>
      <c r="L505" s="125"/>
    </row>
    <row r="506" spans="1:12" s="121" customFormat="1" ht="11.25">
      <c r="A506" s="2"/>
      <c r="B506" s="622"/>
      <c r="C506" s="491"/>
      <c r="D506" s="491"/>
      <c r="E506" s="491"/>
      <c r="F506" s="491"/>
      <c r="G506" s="491"/>
      <c r="H506" s="491"/>
      <c r="I506" s="491"/>
      <c r="J506" s="124"/>
      <c r="K506" s="124"/>
      <c r="L506" s="124"/>
    </row>
    <row r="507" spans="1:12" s="122" customFormat="1" ht="33.75">
      <c r="A507" s="366" t="s">
        <v>11594</v>
      </c>
      <c r="B507" s="626" t="s">
        <v>18384</v>
      </c>
      <c r="C507" s="369">
        <f>MIN(E509:I509)</f>
        <v>84.76</v>
      </c>
      <c r="D507" s="370" t="s">
        <v>109</v>
      </c>
      <c r="E507" s="486" t="s">
        <v>17052</v>
      </c>
      <c r="F507" s="486" t="s">
        <v>24704</v>
      </c>
      <c r="G507" s="486" t="s">
        <v>14756</v>
      </c>
      <c r="H507" s="486"/>
      <c r="I507" s="486"/>
      <c r="J507" s="125" t="s">
        <v>207</v>
      </c>
      <c r="K507" s="125"/>
      <c r="L507" s="125"/>
    </row>
    <row r="508" spans="1:12" s="122" customFormat="1" ht="22.5">
      <c r="A508" s="361"/>
      <c r="B508" s="615"/>
      <c r="C508" s="367" t="s">
        <v>284</v>
      </c>
      <c r="D508" s="554"/>
      <c r="E508" s="487" t="s">
        <v>18553</v>
      </c>
      <c r="F508" s="487" t="s">
        <v>24706</v>
      </c>
      <c r="G508" s="487" t="s">
        <v>15002</v>
      </c>
      <c r="H508" s="487"/>
      <c r="I508" s="675"/>
      <c r="J508" s="125" t="s">
        <v>283</v>
      </c>
      <c r="K508" s="125" t="s">
        <v>280</v>
      </c>
      <c r="L508" s="125" t="s">
        <v>281</v>
      </c>
    </row>
    <row r="509" spans="1:12" s="122" customFormat="1" ht="15">
      <c r="A509" s="362"/>
      <c r="B509" s="616"/>
      <c r="C509" s="367" t="s">
        <v>9</v>
      </c>
      <c r="D509" s="492"/>
      <c r="E509" s="84">
        <f>6377.07/19</f>
        <v>335.63526315789471</v>
      </c>
      <c r="F509" s="488">
        <v>84.76</v>
      </c>
      <c r="G509" s="84">
        <v>91.9</v>
      </c>
      <c r="H509" s="84"/>
      <c r="I509" s="84"/>
      <c r="J509" s="125">
        <f>MEDIAN(E509:I509)</f>
        <v>91.9</v>
      </c>
      <c r="K509" s="125">
        <f>J509*1.3</f>
        <v>119.47000000000001</v>
      </c>
      <c r="L509" s="125">
        <f>J509*0.7</f>
        <v>64.33</v>
      </c>
    </row>
    <row r="510" spans="1:12" s="122" customFormat="1" ht="15">
      <c r="A510" s="362"/>
      <c r="B510" s="616"/>
      <c r="C510" s="367" t="s">
        <v>8</v>
      </c>
      <c r="D510" s="492"/>
      <c r="E510" s="487" t="s">
        <v>17054</v>
      </c>
      <c r="F510" s="487" t="s">
        <v>24708</v>
      </c>
      <c r="G510" s="487" t="s">
        <v>14758</v>
      </c>
      <c r="H510" s="487"/>
      <c r="I510" s="487"/>
      <c r="J510" s="125"/>
      <c r="K510" s="125"/>
      <c r="L510" s="125"/>
    </row>
    <row r="511" spans="1:12" s="122" customFormat="1" ht="15">
      <c r="A511" s="362"/>
      <c r="B511" s="616"/>
      <c r="C511" s="367" t="s">
        <v>7</v>
      </c>
      <c r="D511" s="492"/>
      <c r="E511" s="489" t="s">
        <v>18554</v>
      </c>
      <c r="F511" s="489" t="s">
        <v>24828</v>
      </c>
      <c r="G511" s="489" t="s">
        <v>18166</v>
      </c>
      <c r="H511" s="489"/>
      <c r="I511" s="489"/>
      <c r="J511" s="125"/>
      <c r="K511" s="125"/>
      <c r="L511" s="125"/>
    </row>
    <row r="512" spans="1:12" s="122" customFormat="1" ht="15">
      <c r="A512" s="362"/>
      <c r="B512" s="616"/>
      <c r="C512" s="367" t="s">
        <v>6</v>
      </c>
      <c r="D512" s="493"/>
      <c r="E512" s="490">
        <v>44358</v>
      </c>
      <c r="F512" s="490">
        <v>44385</v>
      </c>
      <c r="G512" s="490">
        <v>44386</v>
      </c>
      <c r="H512" s="490"/>
      <c r="I512" s="490"/>
      <c r="J512" s="125"/>
      <c r="K512" s="125"/>
      <c r="L512" s="125"/>
    </row>
    <row r="513" spans="1:12" s="122" customFormat="1" ht="15">
      <c r="A513" s="363"/>
      <c r="B513" s="617"/>
      <c r="C513" s="367" t="s">
        <v>8993</v>
      </c>
      <c r="D513" s="493"/>
      <c r="E513" s="490" t="s">
        <v>18552</v>
      </c>
      <c r="F513" s="490" t="s">
        <v>24827</v>
      </c>
      <c r="G513" s="490" t="s">
        <v>24830</v>
      </c>
      <c r="H513" s="490"/>
      <c r="I513" s="490"/>
      <c r="J513" s="125"/>
      <c r="K513" s="125"/>
      <c r="L513" s="125"/>
    </row>
    <row r="514" spans="1:12" s="121" customFormat="1" ht="11.25">
      <c r="A514" s="2"/>
      <c r="B514" s="622"/>
      <c r="C514" s="491"/>
      <c r="D514" s="491"/>
      <c r="E514" s="491"/>
      <c r="F514" s="491"/>
      <c r="G514" s="491"/>
      <c r="H514" s="491"/>
      <c r="I514" s="491"/>
      <c r="J514" s="124"/>
      <c r="K514" s="124"/>
      <c r="L514" s="124"/>
    </row>
    <row r="515" spans="1:12" s="122" customFormat="1" ht="45">
      <c r="A515" s="366" t="s">
        <v>11595</v>
      </c>
      <c r="B515" s="626" t="s">
        <v>24829</v>
      </c>
      <c r="C515" s="369">
        <f>MIN(E517:I517)</f>
        <v>84.55</v>
      </c>
      <c r="D515" s="370" t="s">
        <v>109</v>
      </c>
      <c r="E515" s="486" t="s">
        <v>17052</v>
      </c>
      <c r="F515" s="486" t="s">
        <v>24695</v>
      </c>
      <c r="G515" s="486" t="s">
        <v>24836</v>
      </c>
      <c r="H515" s="486"/>
      <c r="I515" s="486"/>
      <c r="J515" s="125" t="s">
        <v>207</v>
      </c>
      <c r="K515" s="125"/>
      <c r="L515" s="125"/>
    </row>
    <row r="516" spans="1:12" s="122" customFormat="1" ht="22.5">
      <c r="A516" s="361"/>
      <c r="B516" s="615"/>
      <c r="C516" s="367" t="s">
        <v>284</v>
      </c>
      <c r="D516" s="554"/>
      <c r="E516" s="487" t="s">
        <v>18553</v>
      </c>
      <c r="F516" s="487" t="s">
        <v>16716</v>
      </c>
      <c r="G516" s="487" t="s">
        <v>24835</v>
      </c>
      <c r="H516" s="487"/>
      <c r="I516" s="487"/>
      <c r="J516" s="125" t="s">
        <v>283</v>
      </c>
      <c r="K516" s="125" t="s">
        <v>280</v>
      </c>
      <c r="L516" s="125" t="s">
        <v>281</v>
      </c>
    </row>
    <row r="517" spans="1:12" s="122" customFormat="1" ht="15">
      <c r="A517" s="362"/>
      <c r="B517" s="616"/>
      <c r="C517" s="367" t="s">
        <v>9</v>
      </c>
      <c r="D517" s="492"/>
      <c r="E517" s="84">
        <f>732.25/3</f>
        <v>244.08333333333334</v>
      </c>
      <c r="F517" s="488">
        <v>247.34</v>
      </c>
      <c r="G517" s="488">
        <v>84.55</v>
      </c>
      <c r="H517" s="84"/>
      <c r="I517" s="84"/>
      <c r="J517" s="125">
        <f>MEDIAN(E517:I517)</f>
        <v>244.08333333333334</v>
      </c>
      <c r="K517" s="125">
        <f>J517*1.3</f>
        <v>317.30833333333334</v>
      </c>
      <c r="L517" s="125">
        <f>J517*0.7</f>
        <v>170.85833333333332</v>
      </c>
    </row>
    <row r="518" spans="1:12" s="122" customFormat="1" ht="15">
      <c r="A518" s="362"/>
      <c r="B518" s="616"/>
      <c r="C518" s="367" t="s">
        <v>8</v>
      </c>
      <c r="D518" s="492"/>
      <c r="E518" s="487" t="s">
        <v>17054</v>
      </c>
      <c r="F518" s="487" t="s">
        <v>24696</v>
      </c>
      <c r="G518" s="487" t="s">
        <v>24837</v>
      </c>
      <c r="H518" s="487"/>
      <c r="I518" s="487"/>
      <c r="J518" s="125"/>
      <c r="K518" s="125"/>
      <c r="L518" s="125"/>
    </row>
    <row r="519" spans="1:12" s="122" customFormat="1" ht="15">
      <c r="A519" s="362"/>
      <c r="B519" s="616"/>
      <c r="C519" s="367" t="s">
        <v>7</v>
      </c>
      <c r="D519" s="492"/>
      <c r="E519" s="489" t="s">
        <v>18554</v>
      </c>
      <c r="F519" s="489" t="s">
        <v>24697</v>
      </c>
      <c r="G519" s="489" t="s">
        <v>24838</v>
      </c>
      <c r="H519" s="489"/>
      <c r="I519" s="489"/>
      <c r="J519" s="125"/>
      <c r="K519" s="125"/>
      <c r="L519" s="125"/>
    </row>
    <row r="520" spans="1:12" s="122" customFormat="1" ht="15">
      <c r="A520" s="362"/>
      <c r="B520" s="616"/>
      <c r="C520" s="367" t="s">
        <v>6</v>
      </c>
      <c r="D520" s="493"/>
      <c r="E520" s="490">
        <v>44358</v>
      </c>
      <c r="F520" s="490">
        <v>44376</v>
      </c>
      <c r="G520" s="490">
        <v>44386</v>
      </c>
      <c r="H520" s="490"/>
      <c r="I520" s="490"/>
      <c r="J520" s="125"/>
      <c r="K520" s="125"/>
      <c r="L520" s="125"/>
    </row>
    <row r="521" spans="1:12" s="122" customFormat="1" ht="15">
      <c r="A521" s="363"/>
      <c r="B521" s="617"/>
      <c r="C521" s="367" t="s">
        <v>8993</v>
      </c>
      <c r="D521" s="493"/>
      <c r="E521" s="490" t="s">
        <v>18552</v>
      </c>
      <c r="F521" s="490" t="s">
        <v>24698</v>
      </c>
      <c r="G521" s="490" t="s">
        <v>24830</v>
      </c>
      <c r="H521" s="490"/>
      <c r="I521" s="490"/>
      <c r="J521" s="125"/>
      <c r="K521" s="125"/>
      <c r="L521" s="125"/>
    </row>
    <row r="522" spans="1:12" s="121" customFormat="1" ht="11.25">
      <c r="A522" s="2"/>
      <c r="B522" s="622"/>
      <c r="C522" s="491"/>
      <c r="D522" s="491"/>
      <c r="E522" s="491"/>
      <c r="F522" s="491"/>
      <c r="G522" s="491"/>
      <c r="H522" s="491"/>
      <c r="I522" s="491"/>
      <c r="J522" s="124"/>
      <c r="K522" s="124"/>
      <c r="L522" s="124"/>
    </row>
    <row r="523" spans="1:12" s="122" customFormat="1" ht="33.75">
      <c r="A523" s="366" t="s">
        <v>11596</v>
      </c>
      <c r="B523" s="626" t="s">
        <v>18385</v>
      </c>
      <c r="C523" s="369">
        <f>MIN(E525:I525)</f>
        <v>231.61</v>
      </c>
      <c r="D523" s="370" t="s">
        <v>109</v>
      </c>
      <c r="E523" s="486" t="s">
        <v>17052</v>
      </c>
      <c r="F523" s="486" t="s">
        <v>24704</v>
      </c>
      <c r="G523" s="486" t="s">
        <v>24832</v>
      </c>
      <c r="H523" s="486"/>
      <c r="I523" s="486"/>
      <c r="J523" s="125" t="s">
        <v>207</v>
      </c>
      <c r="K523" s="125"/>
      <c r="L523" s="125"/>
    </row>
    <row r="524" spans="1:12" s="122" customFormat="1" ht="22.5">
      <c r="A524" s="361"/>
      <c r="B524" s="615"/>
      <c r="C524" s="367" t="s">
        <v>284</v>
      </c>
      <c r="D524" s="554"/>
      <c r="E524" s="487" t="s">
        <v>18553</v>
      </c>
      <c r="F524" s="487" t="s">
        <v>24706</v>
      </c>
      <c r="G524" s="487" t="s">
        <v>24831</v>
      </c>
      <c r="H524" s="675"/>
      <c r="I524" s="487"/>
      <c r="J524" s="125" t="s">
        <v>283</v>
      </c>
      <c r="K524" s="125" t="s">
        <v>280</v>
      </c>
      <c r="L524" s="125" t="s">
        <v>281</v>
      </c>
    </row>
    <row r="525" spans="1:12" s="122" customFormat="1" ht="15">
      <c r="A525" s="362"/>
      <c r="B525" s="616"/>
      <c r="C525" s="367" t="s">
        <v>9</v>
      </c>
      <c r="D525" s="492"/>
      <c r="E525" s="84">
        <f>7153.41/13</f>
        <v>550.26230769230767</v>
      </c>
      <c r="F525" s="488">
        <v>231.61</v>
      </c>
      <c r="G525" s="488">
        <v>233.91</v>
      </c>
      <c r="H525" s="84"/>
      <c r="I525" s="84"/>
      <c r="J525" s="125">
        <f>MEDIAN(E525:I525)</f>
        <v>233.91</v>
      </c>
      <c r="K525" s="125">
        <f>J525*1.3</f>
        <v>304.08300000000003</v>
      </c>
      <c r="L525" s="125">
        <f>J525*0.7</f>
        <v>163.73699999999999</v>
      </c>
    </row>
    <row r="526" spans="1:12" s="122" customFormat="1" ht="15">
      <c r="A526" s="362"/>
      <c r="B526" s="616"/>
      <c r="C526" s="367" t="s">
        <v>8</v>
      </c>
      <c r="D526" s="492"/>
      <c r="E526" s="487" t="s">
        <v>17054</v>
      </c>
      <c r="F526" s="487" t="s">
        <v>24708</v>
      </c>
      <c r="G526" s="487" t="s">
        <v>24833</v>
      </c>
      <c r="H526" s="487"/>
      <c r="I526" s="487"/>
      <c r="J526" s="125"/>
      <c r="K526" s="125"/>
      <c r="L526" s="125"/>
    </row>
    <row r="527" spans="1:12" s="122" customFormat="1" ht="15">
      <c r="A527" s="362"/>
      <c r="B527" s="616"/>
      <c r="C527" s="367" t="s">
        <v>7</v>
      </c>
      <c r="D527" s="492"/>
      <c r="E527" s="489" t="s">
        <v>18554</v>
      </c>
      <c r="F527" s="489" t="s">
        <v>24828</v>
      </c>
      <c r="G527" s="489" t="s">
        <v>24834</v>
      </c>
      <c r="H527" s="489"/>
      <c r="I527" s="489"/>
      <c r="J527" s="125"/>
      <c r="K527" s="125"/>
      <c r="L527" s="125"/>
    </row>
    <row r="528" spans="1:12" s="122" customFormat="1" ht="15">
      <c r="A528" s="362"/>
      <c r="B528" s="616"/>
      <c r="C528" s="367" t="s">
        <v>6</v>
      </c>
      <c r="D528" s="493"/>
      <c r="E528" s="490">
        <v>44358</v>
      </c>
      <c r="F528" s="490">
        <v>44385</v>
      </c>
      <c r="G528" s="490">
        <v>44386</v>
      </c>
      <c r="H528" s="490"/>
      <c r="I528" s="490"/>
      <c r="J528" s="125"/>
      <c r="K528" s="125"/>
      <c r="L528" s="125"/>
    </row>
    <row r="529" spans="1:12" s="122" customFormat="1" ht="15">
      <c r="A529" s="363"/>
      <c r="B529" s="617"/>
      <c r="C529" s="367" t="s">
        <v>8993</v>
      </c>
      <c r="D529" s="493"/>
      <c r="E529" s="490" t="s">
        <v>18552</v>
      </c>
      <c r="F529" s="490" t="s">
        <v>24827</v>
      </c>
      <c r="G529" s="490" t="s">
        <v>24830</v>
      </c>
      <c r="H529" s="490"/>
      <c r="I529" s="490"/>
      <c r="J529" s="125"/>
      <c r="K529" s="125"/>
      <c r="L529" s="125"/>
    </row>
    <row r="530" spans="1:12" s="121" customFormat="1" ht="11.25">
      <c r="A530" s="2"/>
      <c r="B530" s="622"/>
      <c r="C530" s="491"/>
      <c r="D530" s="491"/>
      <c r="E530" s="491"/>
      <c r="F530" s="491"/>
      <c r="G530" s="491"/>
      <c r="H530" s="491"/>
      <c r="I530" s="491"/>
      <c r="J530" s="124"/>
      <c r="K530" s="124"/>
      <c r="L530" s="124"/>
    </row>
    <row r="531" spans="1:12" s="122" customFormat="1" ht="45">
      <c r="A531" s="366" t="s">
        <v>11597</v>
      </c>
      <c r="B531" s="626" t="s">
        <v>18386</v>
      </c>
      <c r="C531" s="369">
        <f>MIN(E533:I533)</f>
        <v>212.94789473684213</v>
      </c>
      <c r="D531" s="370" t="s">
        <v>109</v>
      </c>
      <c r="E531" s="486" t="s">
        <v>17052</v>
      </c>
      <c r="F531" s="486" t="s">
        <v>24699</v>
      </c>
      <c r="G531" s="486" t="s">
        <v>24704</v>
      </c>
      <c r="H531" s="486"/>
      <c r="I531" s="486"/>
      <c r="J531" s="125" t="s">
        <v>207</v>
      </c>
      <c r="K531" s="125"/>
      <c r="L531" s="125"/>
    </row>
    <row r="532" spans="1:12" s="122" customFormat="1" ht="22.5">
      <c r="A532" s="361"/>
      <c r="B532" s="615"/>
      <c r="C532" s="367" t="s">
        <v>284</v>
      </c>
      <c r="D532" s="554"/>
      <c r="E532" s="487" t="s">
        <v>18553</v>
      </c>
      <c r="F532" s="487" t="s">
        <v>24700</v>
      </c>
      <c r="G532" s="487" t="s">
        <v>24706</v>
      </c>
      <c r="H532" s="675"/>
      <c r="I532" s="487"/>
      <c r="J532" s="125" t="s">
        <v>283</v>
      </c>
      <c r="K532" s="125" t="s">
        <v>280</v>
      </c>
      <c r="L532" s="125" t="s">
        <v>281</v>
      </c>
    </row>
    <row r="533" spans="1:12" s="122" customFormat="1" ht="15">
      <c r="A533" s="362"/>
      <c r="B533" s="616"/>
      <c r="C533" s="367" t="s">
        <v>9</v>
      </c>
      <c r="D533" s="492"/>
      <c r="E533" s="84">
        <f>12138.03/57</f>
        <v>212.94789473684213</v>
      </c>
      <c r="F533" s="488">
        <v>373.63</v>
      </c>
      <c r="G533" s="488">
        <v>274.39</v>
      </c>
      <c r="H533" s="84"/>
      <c r="I533" s="84"/>
      <c r="J533" s="125">
        <f>MEDIAN(E533:I533)</f>
        <v>274.39</v>
      </c>
      <c r="K533" s="125">
        <f>J533*1.3</f>
        <v>356.70699999999999</v>
      </c>
      <c r="L533" s="125">
        <f>J533*0.7</f>
        <v>192.07299999999998</v>
      </c>
    </row>
    <row r="534" spans="1:12" s="122" customFormat="1" ht="15">
      <c r="A534" s="362"/>
      <c r="B534" s="616"/>
      <c r="C534" s="367" t="s">
        <v>8</v>
      </c>
      <c r="D534" s="492"/>
      <c r="E534" s="487" t="s">
        <v>17054</v>
      </c>
      <c r="F534" s="487" t="s">
        <v>24701</v>
      </c>
      <c r="G534" s="487" t="s">
        <v>24708</v>
      </c>
      <c r="H534" s="487"/>
      <c r="I534" s="487"/>
      <c r="J534" s="125"/>
      <c r="K534" s="125"/>
      <c r="L534" s="125"/>
    </row>
    <row r="535" spans="1:12" s="122" customFormat="1" ht="15">
      <c r="A535" s="362"/>
      <c r="B535" s="616"/>
      <c r="C535" s="367" t="s">
        <v>7</v>
      </c>
      <c r="D535" s="492"/>
      <c r="E535" s="489" t="s">
        <v>18554</v>
      </c>
      <c r="F535" s="489" t="s">
        <v>24702</v>
      </c>
      <c r="G535" s="489" t="s">
        <v>24828</v>
      </c>
      <c r="H535" s="489"/>
      <c r="I535" s="489"/>
      <c r="J535" s="125"/>
      <c r="K535" s="125"/>
      <c r="L535" s="125"/>
    </row>
    <row r="536" spans="1:12" s="122" customFormat="1" ht="15">
      <c r="A536" s="362"/>
      <c r="B536" s="616"/>
      <c r="C536" s="367" t="s">
        <v>6</v>
      </c>
      <c r="D536" s="493"/>
      <c r="E536" s="490">
        <v>44358</v>
      </c>
      <c r="F536" s="490">
        <v>44377</v>
      </c>
      <c r="G536" s="490">
        <v>44385</v>
      </c>
      <c r="H536" s="490"/>
      <c r="I536" s="490"/>
      <c r="J536" s="125"/>
      <c r="K536" s="125"/>
      <c r="L536" s="125"/>
    </row>
    <row r="537" spans="1:12" s="122" customFormat="1" ht="15">
      <c r="A537" s="363"/>
      <c r="B537" s="617"/>
      <c r="C537" s="367" t="s">
        <v>8993</v>
      </c>
      <c r="D537" s="493"/>
      <c r="E537" s="490" t="s">
        <v>18552</v>
      </c>
      <c r="F537" s="490" t="s">
        <v>24703</v>
      </c>
      <c r="G537" s="490" t="s">
        <v>24830</v>
      </c>
      <c r="H537" s="490"/>
      <c r="I537" s="490"/>
      <c r="J537" s="125"/>
      <c r="K537" s="125"/>
      <c r="L537" s="125"/>
    </row>
    <row r="538" spans="1:12" s="121" customFormat="1" ht="11.25">
      <c r="A538" s="2"/>
      <c r="B538" s="622"/>
      <c r="C538" s="491"/>
      <c r="D538" s="491"/>
      <c r="E538" s="491"/>
      <c r="F538" s="491"/>
      <c r="G538" s="491"/>
      <c r="H538" s="491"/>
      <c r="I538" s="491"/>
      <c r="J538" s="124"/>
      <c r="K538" s="124"/>
      <c r="L538" s="124"/>
    </row>
    <row r="539" spans="1:12" s="122" customFormat="1" ht="45">
      <c r="A539" s="366" t="s">
        <v>11598</v>
      </c>
      <c r="B539" s="626" t="s">
        <v>15753</v>
      </c>
      <c r="C539" s="369">
        <f>MIN(E541:I541)</f>
        <v>440.87</v>
      </c>
      <c r="D539" s="370" t="s">
        <v>109</v>
      </c>
      <c r="E539" s="486" t="s">
        <v>17057</v>
      </c>
      <c r="F539" s="486" t="s">
        <v>17052</v>
      </c>
      <c r="G539" s="486" t="s">
        <v>17212</v>
      </c>
      <c r="H539" s="486"/>
      <c r="I539" s="486"/>
      <c r="J539" s="125" t="s">
        <v>207</v>
      </c>
      <c r="K539" s="125"/>
      <c r="L539" s="125"/>
    </row>
    <row r="540" spans="1:12" s="122" customFormat="1" ht="22.5">
      <c r="A540" s="361"/>
      <c r="B540" s="615"/>
      <c r="C540" s="367" t="s">
        <v>284</v>
      </c>
      <c r="D540" s="554"/>
      <c r="E540" s="487" t="s">
        <v>17058</v>
      </c>
      <c r="F540" s="487" t="s">
        <v>17053</v>
      </c>
      <c r="G540" s="487" t="s">
        <v>17214</v>
      </c>
      <c r="H540" s="487"/>
      <c r="I540" s="487"/>
      <c r="J540" s="125" t="s">
        <v>283</v>
      </c>
      <c r="K540" s="125" t="s">
        <v>280</v>
      </c>
      <c r="L540" s="125" t="s">
        <v>281</v>
      </c>
    </row>
    <row r="541" spans="1:12" s="122" customFormat="1" ht="15">
      <c r="A541" s="362"/>
      <c r="B541" s="616"/>
      <c r="C541" s="367" t="s">
        <v>9</v>
      </c>
      <c r="D541" s="492"/>
      <c r="E541" s="488">
        <v>440.87</v>
      </c>
      <c r="F541" s="488">
        <v>537.91</v>
      </c>
      <c r="G541" s="488">
        <v>460</v>
      </c>
      <c r="H541" s="84"/>
      <c r="I541" s="84"/>
      <c r="J541" s="125">
        <f>MEDIAN(E541:I541)</f>
        <v>460</v>
      </c>
      <c r="K541" s="125">
        <f>J541*1.3</f>
        <v>598</v>
      </c>
      <c r="L541" s="125">
        <f>J541*0.7</f>
        <v>322</v>
      </c>
    </row>
    <row r="542" spans="1:12" s="122" customFormat="1" ht="15">
      <c r="A542" s="362"/>
      <c r="B542" s="616"/>
      <c r="C542" s="367" t="s">
        <v>8</v>
      </c>
      <c r="D542" s="492"/>
      <c r="E542" s="487" t="s">
        <v>17059</v>
      </c>
      <c r="F542" s="487" t="s">
        <v>17054</v>
      </c>
      <c r="G542" s="487" t="s">
        <v>17032</v>
      </c>
      <c r="H542" s="487"/>
      <c r="I542" s="487"/>
      <c r="J542" s="125"/>
      <c r="K542" s="125"/>
      <c r="L542" s="125"/>
    </row>
    <row r="543" spans="1:12" s="122" customFormat="1" ht="15">
      <c r="A543" s="362"/>
      <c r="B543" s="616"/>
      <c r="C543" s="367" t="s">
        <v>7</v>
      </c>
      <c r="D543" s="492"/>
      <c r="E543" s="489" t="s">
        <v>17060</v>
      </c>
      <c r="F543" s="489" t="s">
        <v>17055</v>
      </c>
      <c r="G543" s="489" t="s">
        <v>17033</v>
      </c>
      <c r="H543" s="489"/>
      <c r="I543" s="489"/>
      <c r="J543" s="125"/>
      <c r="K543" s="125"/>
      <c r="L543" s="125"/>
    </row>
    <row r="544" spans="1:12" s="122" customFormat="1" ht="15">
      <c r="A544" s="362"/>
      <c r="B544" s="616"/>
      <c r="C544" s="367" t="s">
        <v>6</v>
      </c>
      <c r="D544" s="493"/>
      <c r="E544" s="490">
        <v>44295</v>
      </c>
      <c r="F544" s="490">
        <v>44294</v>
      </c>
      <c r="G544" s="490">
        <v>44327</v>
      </c>
      <c r="H544" s="490"/>
      <c r="I544" s="490"/>
      <c r="J544" s="125"/>
      <c r="K544" s="125"/>
      <c r="L544" s="125"/>
    </row>
    <row r="545" spans="1:12" s="122" customFormat="1" ht="15">
      <c r="A545" s="363"/>
      <c r="B545" s="617"/>
      <c r="C545" s="367" t="s">
        <v>8993</v>
      </c>
      <c r="D545" s="493"/>
      <c r="E545" s="490" t="s">
        <v>17061</v>
      </c>
      <c r="F545" s="490" t="s">
        <v>17056</v>
      </c>
      <c r="G545" s="490" t="s">
        <v>17827</v>
      </c>
      <c r="H545" s="490"/>
      <c r="I545" s="490"/>
      <c r="J545" s="125"/>
      <c r="K545" s="125"/>
      <c r="L545" s="125"/>
    </row>
    <row r="546" spans="1:12" s="121" customFormat="1" ht="11.25">
      <c r="A546" s="2"/>
      <c r="B546" s="622"/>
      <c r="C546" s="491"/>
      <c r="D546" s="491"/>
      <c r="E546" s="491"/>
      <c r="F546" s="491"/>
      <c r="G546" s="491"/>
      <c r="H546" s="491"/>
      <c r="I546" s="491"/>
      <c r="J546" s="124"/>
      <c r="K546" s="124"/>
      <c r="L546" s="124"/>
    </row>
    <row r="547" spans="1:12" s="122" customFormat="1" ht="45">
      <c r="A547" s="366" t="s">
        <v>11599</v>
      </c>
      <c r="B547" s="626" t="s">
        <v>15754</v>
      </c>
      <c r="C547" s="369">
        <f>MIN(E549:I549)</f>
        <v>829.92</v>
      </c>
      <c r="D547" s="370" t="s">
        <v>109</v>
      </c>
      <c r="E547" s="486" t="s">
        <v>16715</v>
      </c>
      <c r="F547" s="486" t="s">
        <v>17052</v>
      </c>
      <c r="G547" s="486" t="s">
        <v>14756</v>
      </c>
      <c r="H547" s="486"/>
      <c r="I547" s="486"/>
      <c r="J547" s="125" t="s">
        <v>207</v>
      </c>
      <c r="K547" s="125"/>
      <c r="L547" s="125"/>
    </row>
    <row r="548" spans="1:12" s="122" customFormat="1" ht="22.5">
      <c r="A548" s="361"/>
      <c r="B548" s="615"/>
      <c r="C548" s="367" t="s">
        <v>284</v>
      </c>
      <c r="D548" s="554"/>
      <c r="E548" s="487" t="s">
        <v>16716</v>
      </c>
      <c r="F548" s="487" t="s">
        <v>17053</v>
      </c>
      <c r="G548" s="487" t="s">
        <v>15002</v>
      </c>
      <c r="H548" s="487"/>
      <c r="I548" s="487"/>
      <c r="J548" s="125" t="s">
        <v>283</v>
      </c>
      <c r="K548" s="125" t="s">
        <v>280</v>
      </c>
      <c r="L548" s="125" t="s">
        <v>281</v>
      </c>
    </row>
    <row r="549" spans="1:12" s="122" customFormat="1" ht="15">
      <c r="A549" s="362"/>
      <c r="B549" s="616"/>
      <c r="C549" s="367" t="s">
        <v>9</v>
      </c>
      <c r="D549" s="492"/>
      <c r="E549" s="84">
        <v>879.87</v>
      </c>
      <c r="F549" s="488">
        <v>916.71</v>
      </c>
      <c r="G549" s="84">
        <v>829.92</v>
      </c>
      <c r="H549" s="84"/>
      <c r="I549" s="84"/>
      <c r="J549" s="125">
        <f>MEDIAN(E549:I549)</f>
        <v>879.87</v>
      </c>
      <c r="K549" s="125">
        <f>J549*1.3</f>
        <v>1143.8310000000001</v>
      </c>
      <c r="L549" s="125">
        <f>J549*0.7</f>
        <v>615.90899999999999</v>
      </c>
    </row>
    <row r="550" spans="1:12" s="122" customFormat="1" ht="15">
      <c r="A550" s="362"/>
      <c r="B550" s="616"/>
      <c r="C550" s="367" t="s">
        <v>8</v>
      </c>
      <c r="D550" s="492"/>
      <c r="E550" s="487" t="s">
        <v>16717</v>
      </c>
      <c r="F550" s="487" t="s">
        <v>17054</v>
      </c>
      <c r="G550" s="487" t="s">
        <v>14758</v>
      </c>
      <c r="H550" s="487"/>
      <c r="I550" s="487"/>
      <c r="J550" s="125"/>
      <c r="K550" s="125"/>
      <c r="L550" s="125"/>
    </row>
    <row r="551" spans="1:12" s="122" customFormat="1" ht="15">
      <c r="A551" s="362"/>
      <c r="B551" s="616"/>
      <c r="C551" s="367" t="s">
        <v>7</v>
      </c>
      <c r="D551" s="492"/>
      <c r="E551" s="489" t="s">
        <v>16718</v>
      </c>
      <c r="F551" s="489" t="s">
        <v>17055</v>
      </c>
      <c r="G551" s="489" t="s">
        <v>18166</v>
      </c>
      <c r="H551" s="489"/>
      <c r="I551" s="489"/>
      <c r="J551" s="125"/>
      <c r="K551" s="125"/>
      <c r="L551" s="125"/>
    </row>
    <row r="552" spans="1:12" s="122" customFormat="1" ht="15">
      <c r="A552" s="362"/>
      <c r="B552" s="616"/>
      <c r="C552" s="367" t="s">
        <v>6</v>
      </c>
      <c r="D552" s="493"/>
      <c r="E552" s="490">
        <v>44294</v>
      </c>
      <c r="F552" s="490">
        <v>44294</v>
      </c>
      <c r="G552" s="490">
        <v>44328</v>
      </c>
      <c r="H552" s="490"/>
      <c r="I552" s="490"/>
      <c r="J552" s="125"/>
      <c r="K552" s="125"/>
      <c r="L552" s="125"/>
    </row>
    <row r="553" spans="1:12" s="122" customFormat="1" ht="15">
      <c r="A553" s="363"/>
      <c r="B553" s="617"/>
      <c r="C553" s="367" t="s">
        <v>8993</v>
      </c>
      <c r="D553" s="493"/>
      <c r="E553" s="490" t="s">
        <v>16721</v>
      </c>
      <c r="F553" s="490" t="s">
        <v>17056</v>
      </c>
      <c r="G553" s="490" t="s">
        <v>18167</v>
      </c>
      <c r="H553" s="490"/>
      <c r="I553" s="490"/>
      <c r="J553" s="125"/>
      <c r="K553" s="125"/>
      <c r="L553" s="125"/>
    </row>
    <row r="554" spans="1:12" s="121" customFormat="1" ht="11.25">
      <c r="A554" s="2"/>
      <c r="B554" s="622"/>
      <c r="C554" s="491"/>
      <c r="D554" s="491"/>
      <c r="E554" s="491"/>
      <c r="F554" s="491"/>
      <c r="G554" s="491"/>
      <c r="H554" s="491"/>
      <c r="I554" s="491"/>
      <c r="J554" s="124"/>
      <c r="K554" s="124"/>
      <c r="L554" s="124"/>
    </row>
    <row r="555" spans="1:12" s="122" customFormat="1" ht="45">
      <c r="A555" s="366" t="s">
        <v>18387</v>
      </c>
      <c r="B555" s="626" t="s">
        <v>18389</v>
      </c>
      <c r="C555" s="369">
        <f>MIN(E557:I557)</f>
        <v>318.32</v>
      </c>
      <c r="D555" s="370" t="s">
        <v>109</v>
      </c>
      <c r="E555" s="486" t="s">
        <v>17052</v>
      </c>
      <c r="F555" s="486" t="s">
        <v>24704</v>
      </c>
      <c r="G555" s="486" t="s">
        <v>24705</v>
      </c>
      <c r="H555" s="486"/>
      <c r="I555" s="486"/>
      <c r="J555" s="125" t="s">
        <v>207</v>
      </c>
      <c r="K555" s="125"/>
      <c r="L555" s="125"/>
    </row>
    <row r="556" spans="1:12" s="122" customFormat="1" ht="22.5">
      <c r="A556" s="361"/>
      <c r="B556" s="615"/>
      <c r="C556" s="367" t="s">
        <v>284</v>
      </c>
      <c r="D556" s="695"/>
      <c r="E556" s="487" t="s">
        <v>18553</v>
      </c>
      <c r="F556" s="487" t="s">
        <v>24706</v>
      </c>
      <c r="G556" s="487" t="s">
        <v>24707</v>
      </c>
      <c r="H556" s="675"/>
      <c r="I556" s="487"/>
      <c r="J556" s="125" t="s">
        <v>283</v>
      </c>
      <c r="K556" s="125" t="s">
        <v>280</v>
      </c>
      <c r="L556" s="125" t="s">
        <v>281</v>
      </c>
    </row>
    <row r="557" spans="1:12" s="122" customFormat="1" ht="15">
      <c r="A557" s="362"/>
      <c r="B557" s="616"/>
      <c r="C557" s="367" t="s">
        <v>9</v>
      </c>
      <c r="D557" s="492"/>
      <c r="E557" s="84">
        <f>2864.88/9</f>
        <v>318.32</v>
      </c>
      <c r="F557" s="488">
        <v>462.31</v>
      </c>
      <c r="G557" s="488">
        <v>326.3</v>
      </c>
      <c r="H557" s="84"/>
      <c r="I557" s="84"/>
      <c r="J557" s="125">
        <f>MEDIAN(E557:I557)</f>
        <v>326.3</v>
      </c>
      <c r="K557" s="125">
        <f>J557*1.3</f>
        <v>424.19000000000005</v>
      </c>
      <c r="L557" s="125">
        <f>J557*0.7</f>
        <v>228.41</v>
      </c>
    </row>
    <row r="558" spans="1:12" s="122" customFormat="1" ht="15">
      <c r="A558" s="362"/>
      <c r="B558" s="616"/>
      <c r="C558" s="367" t="s">
        <v>8</v>
      </c>
      <c r="D558" s="492"/>
      <c r="E558" s="487" t="s">
        <v>17054</v>
      </c>
      <c r="F558" s="487" t="s">
        <v>24708</v>
      </c>
      <c r="G558" s="487" t="s">
        <v>24709</v>
      </c>
      <c r="H558" s="487"/>
      <c r="I558" s="487"/>
      <c r="J558" s="125"/>
      <c r="K558" s="125"/>
      <c r="L558" s="125"/>
    </row>
    <row r="559" spans="1:12" s="122" customFormat="1" ht="15">
      <c r="A559" s="362"/>
      <c r="B559" s="616"/>
      <c r="C559" s="367" t="s">
        <v>7</v>
      </c>
      <c r="D559" s="492"/>
      <c r="E559" s="489" t="s">
        <v>18554</v>
      </c>
      <c r="F559" s="489" t="s">
        <v>24710</v>
      </c>
      <c r="G559" s="489" t="s">
        <v>24711</v>
      </c>
      <c r="H559" s="489"/>
      <c r="I559" s="489"/>
      <c r="J559" s="125"/>
      <c r="K559" s="125"/>
      <c r="L559" s="125"/>
    </row>
    <row r="560" spans="1:12" s="122" customFormat="1" ht="15">
      <c r="A560" s="362"/>
      <c r="B560" s="616"/>
      <c r="C560" s="367" t="s">
        <v>6</v>
      </c>
      <c r="D560" s="493"/>
      <c r="E560" s="490">
        <v>44358</v>
      </c>
      <c r="F560" s="490">
        <v>44375</v>
      </c>
      <c r="G560" s="490">
        <v>44375</v>
      </c>
      <c r="H560" s="490"/>
      <c r="I560" s="490"/>
      <c r="J560" s="125"/>
      <c r="K560" s="125"/>
      <c r="L560" s="125"/>
    </row>
    <row r="561" spans="1:12" s="122" customFormat="1" ht="15">
      <c r="A561" s="363"/>
      <c r="B561" s="617"/>
      <c r="C561" s="367" t="s">
        <v>8993</v>
      </c>
      <c r="D561" s="493"/>
      <c r="E561" s="490" t="s">
        <v>18552</v>
      </c>
      <c r="F561" s="490" t="s">
        <v>24712</v>
      </c>
      <c r="G561" s="490" t="s">
        <v>24712</v>
      </c>
      <c r="H561" s="490"/>
      <c r="I561" s="490"/>
      <c r="J561" s="125"/>
      <c r="K561" s="125"/>
      <c r="L561" s="125"/>
    </row>
    <row r="562" spans="1:12" s="121" customFormat="1" ht="11.25">
      <c r="A562" s="2"/>
      <c r="B562" s="622"/>
      <c r="C562" s="491"/>
      <c r="D562" s="491"/>
      <c r="E562" s="491"/>
      <c r="F562" s="491"/>
      <c r="G562" s="491"/>
      <c r="H562" s="491"/>
      <c r="I562" s="491"/>
      <c r="J562" s="124"/>
      <c r="K562" s="124"/>
      <c r="L562" s="124"/>
    </row>
    <row r="563" spans="1:12" s="122" customFormat="1" ht="45">
      <c r="A563" s="366" t="s">
        <v>18388</v>
      </c>
      <c r="B563" s="626" t="s">
        <v>18390</v>
      </c>
      <c r="C563" s="369">
        <f>MIN(E565:I565)</f>
        <v>294.89999999999998</v>
      </c>
      <c r="D563" s="370" t="s">
        <v>109</v>
      </c>
      <c r="E563" s="486" t="s">
        <v>17052</v>
      </c>
      <c r="F563" s="486" t="s">
        <v>24695</v>
      </c>
      <c r="G563" s="486" t="s">
        <v>14752</v>
      </c>
      <c r="H563" s="486"/>
      <c r="I563" s="486"/>
      <c r="J563" s="125" t="s">
        <v>207</v>
      </c>
      <c r="K563" s="125"/>
      <c r="L563" s="125"/>
    </row>
    <row r="564" spans="1:12" s="122" customFormat="1" ht="22.5">
      <c r="A564" s="361"/>
      <c r="B564" s="615"/>
      <c r="C564" s="367" t="s">
        <v>284</v>
      </c>
      <c r="D564" s="695"/>
      <c r="E564" s="487" t="s">
        <v>18553</v>
      </c>
      <c r="F564" s="487" t="s">
        <v>24713</v>
      </c>
      <c r="G564" s="487" t="s">
        <v>14753</v>
      </c>
      <c r="H564" s="675"/>
      <c r="I564" s="487"/>
      <c r="J564" s="125" t="s">
        <v>283</v>
      </c>
      <c r="K564" s="125" t="s">
        <v>280</v>
      </c>
      <c r="L564" s="125" t="s">
        <v>281</v>
      </c>
    </row>
    <row r="565" spans="1:12" s="122" customFormat="1" ht="15">
      <c r="A565" s="362"/>
      <c r="B565" s="616"/>
      <c r="C565" s="367" t="s">
        <v>9</v>
      </c>
      <c r="D565" s="492"/>
      <c r="E565" s="84">
        <f>3213.45/9</f>
        <v>357.04999999999995</v>
      </c>
      <c r="F565" s="488">
        <v>453.08</v>
      </c>
      <c r="G565" s="488">
        <v>294.89999999999998</v>
      </c>
      <c r="H565" s="84"/>
      <c r="I565" s="84"/>
      <c r="J565" s="125">
        <f>MEDIAN(E565:I565)</f>
        <v>357.04999999999995</v>
      </c>
      <c r="K565" s="125">
        <f>J565*1.3</f>
        <v>464.16499999999996</v>
      </c>
      <c r="L565" s="125">
        <f>J565*0.7</f>
        <v>249.93499999999995</v>
      </c>
    </row>
    <row r="566" spans="1:12" s="122" customFormat="1" ht="15">
      <c r="A566" s="362"/>
      <c r="B566" s="616"/>
      <c r="C566" s="367" t="s">
        <v>8</v>
      </c>
      <c r="D566" s="492"/>
      <c r="E566" s="487" t="s">
        <v>17054</v>
      </c>
      <c r="F566" s="487" t="s">
        <v>24696</v>
      </c>
      <c r="G566" s="487" t="s">
        <v>15326</v>
      </c>
      <c r="H566" s="487"/>
      <c r="I566" s="487"/>
      <c r="J566" s="125"/>
      <c r="K566" s="125"/>
      <c r="L566" s="125"/>
    </row>
    <row r="567" spans="1:12" s="122" customFormat="1" ht="15">
      <c r="A567" s="362"/>
      <c r="B567" s="616"/>
      <c r="C567" s="367" t="s">
        <v>7</v>
      </c>
      <c r="D567" s="492"/>
      <c r="E567" s="489" t="s">
        <v>18554</v>
      </c>
      <c r="F567" s="489" t="s">
        <v>24697</v>
      </c>
      <c r="G567" s="489" t="s">
        <v>14755</v>
      </c>
      <c r="H567" s="489"/>
      <c r="I567" s="489"/>
      <c r="J567" s="125"/>
      <c r="K567" s="125"/>
      <c r="L567" s="125"/>
    </row>
    <row r="568" spans="1:12" s="122" customFormat="1" ht="15">
      <c r="A568" s="362"/>
      <c r="B568" s="616"/>
      <c r="C568" s="367" t="s">
        <v>6</v>
      </c>
      <c r="D568" s="493"/>
      <c r="E568" s="490">
        <v>44358</v>
      </c>
      <c r="F568" s="490">
        <v>44376</v>
      </c>
      <c r="G568" s="490">
        <v>44376</v>
      </c>
      <c r="H568" s="490"/>
      <c r="I568" s="490"/>
      <c r="J568" s="125"/>
      <c r="K568" s="125"/>
      <c r="L568" s="125"/>
    </row>
    <row r="569" spans="1:12" s="122" customFormat="1" ht="15">
      <c r="A569" s="363"/>
      <c r="B569" s="617"/>
      <c r="C569" s="367" t="s">
        <v>8993</v>
      </c>
      <c r="D569" s="493"/>
      <c r="E569" s="490" t="s">
        <v>18552</v>
      </c>
      <c r="F569" s="490" t="s">
        <v>24714</v>
      </c>
      <c r="G569" s="490" t="s">
        <v>24714</v>
      </c>
      <c r="H569" s="490"/>
      <c r="I569" s="490"/>
      <c r="J569" s="125"/>
      <c r="K569" s="125"/>
      <c r="L569" s="125"/>
    </row>
    <row r="570" spans="1:12" s="121" customFormat="1" ht="11.25">
      <c r="A570" s="2"/>
      <c r="B570" s="622"/>
      <c r="C570" s="491"/>
      <c r="D570" s="491"/>
      <c r="E570" s="491"/>
      <c r="F570" s="491"/>
      <c r="G570" s="491"/>
      <c r="H570" s="491"/>
      <c r="I570" s="491"/>
      <c r="J570" s="124"/>
      <c r="K570" s="124"/>
      <c r="L570" s="124"/>
    </row>
    <row r="571" spans="1:12" s="121" customFormat="1" ht="22.5">
      <c r="A571" s="366" t="s">
        <v>14332</v>
      </c>
      <c r="B571" s="626" t="s">
        <v>15761</v>
      </c>
      <c r="C571" s="369">
        <f t="shared" ref="C571" si="22">MIN(E573:I573)</f>
        <v>2.7</v>
      </c>
      <c r="D571" s="370" t="s">
        <v>109</v>
      </c>
      <c r="E571" s="486" t="s">
        <v>14746</v>
      </c>
      <c r="F571" s="486" t="s">
        <v>15242</v>
      </c>
      <c r="G571" s="486" t="s">
        <v>15243</v>
      </c>
      <c r="H571" s="486" t="s">
        <v>18219</v>
      </c>
      <c r="I571" s="486"/>
      <c r="J571" s="125" t="s">
        <v>207</v>
      </c>
      <c r="K571" s="125"/>
      <c r="L571" s="125"/>
    </row>
    <row r="572" spans="1:12" s="121" customFormat="1" ht="22.5">
      <c r="A572" s="361"/>
      <c r="B572" s="615"/>
      <c r="C572" s="367" t="s">
        <v>284</v>
      </c>
      <c r="D572" s="554"/>
      <c r="E572" s="487" t="s">
        <v>14747</v>
      </c>
      <c r="F572" s="487" t="s">
        <v>15244</v>
      </c>
      <c r="G572" s="487" t="s">
        <v>15245</v>
      </c>
      <c r="H572" s="675" t="s">
        <v>18235</v>
      </c>
      <c r="I572" s="487"/>
      <c r="J572" s="125" t="s">
        <v>283</v>
      </c>
      <c r="K572" s="125" t="s">
        <v>280</v>
      </c>
      <c r="L572" s="125" t="s">
        <v>281</v>
      </c>
    </row>
    <row r="573" spans="1:12" s="121" customFormat="1" ht="15">
      <c r="A573" s="362"/>
      <c r="B573" s="616"/>
      <c r="C573" s="367" t="s">
        <v>9</v>
      </c>
      <c r="D573" s="492"/>
      <c r="E573" s="84">
        <v>2.86</v>
      </c>
      <c r="F573" s="488">
        <v>3.26</v>
      </c>
      <c r="G573" s="84" t="s">
        <v>15252</v>
      </c>
      <c r="H573" s="84">
        <v>2.7</v>
      </c>
      <c r="I573" s="84"/>
      <c r="J573" s="125">
        <f t="shared" ref="J573" si="23">MEDIAN(E573:I573)</f>
        <v>2.86</v>
      </c>
      <c r="K573" s="125">
        <f t="shared" ref="K573" si="24">J573*1.3</f>
        <v>3.718</v>
      </c>
      <c r="L573" s="125">
        <f t="shared" ref="L573" si="25">J573*0.7</f>
        <v>2.0019999999999998</v>
      </c>
    </row>
    <row r="574" spans="1:12" s="121" customFormat="1" ht="15">
      <c r="A574" s="362"/>
      <c r="B574" s="616"/>
      <c r="C574" s="367" t="s">
        <v>8</v>
      </c>
      <c r="D574" s="492"/>
      <c r="E574" s="487" t="s">
        <v>14748</v>
      </c>
      <c r="F574" s="487" t="s">
        <v>15246</v>
      </c>
      <c r="G574" s="487" t="s">
        <v>15247</v>
      </c>
      <c r="H574" s="487"/>
      <c r="I574" s="487"/>
      <c r="J574" s="125"/>
      <c r="K574" s="125"/>
      <c r="L574" s="125"/>
    </row>
    <row r="575" spans="1:12" s="121" customFormat="1" ht="15">
      <c r="A575" s="362"/>
      <c r="B575" s="616"/>
      <c r="C575" s="367" t="s">
        <v>7</v>
      </c>
      <c r="D575" s="492"/>
      <c r="E575" s="489" t="s">
        <v>14749</v>
      </c>
      <c r="F575" s="489" t="s">
        <v>15248</v>
      </c>
      <c r="G575" s="489" t="s">
        <v>15249</v>
      </c>
      <c r="H575" s="489"/>
      <c r="I575" s="489"/>
      <c r="J575" s="125"/>
      <c r="K575" s="125"/>
      <c r="L575" s="125"/>
    </row>
    <row r="576" spans="1:12" s="121" customFormat="1" ht="15">
      <c r="A576" s="362"/>
      <c r="B576" s="616"/>
      <c r="C576" s="367" t="s">
        <v>6</v>
      </c>
      <c r="D576" s="493"/>
      <c r="E576" s="490">
        <v>44253</v>
      </c>
      <c r="F576" s="490">
        <v>44256</v>
      </c>
      <c r="G576" s="490">
        <v>44257</v>
      </c>
      <c r="H576" s="490">
        <v>43991</v>
      </c>
      <c r="I576" s="490"/>
      <c r="J576" s="125"/>
      <c r="K576" s="125"/>
      <c r="L576" s="125"/>
    </row>
    <row r="577" spans="1:12" s="121" customFormat="1" ht="15">
      <c r="A577" s="363"/>
      <c r="B577" s="617"/>
      <c r="C577" s="367" t="s">
        <v>8993</v>
      </c>
      <c r="D577" s="493"/>
      <c r="E577" s="490" t="s">
        <v>14770</v>
      </c>
      <c r="F577" s="490" t="s">
        <v>15250</v>
      </c>
      <c r="G577" s="490" t="s">
        <v>15251</v>
      </c>
      <c r="H577" s="490" t="s">
        <v>18220</v>
      </c>
      <c r="I577" s="490"/>
      <c r="J577" s="125"/>
      <c r="K577" s="125"/>
      <c r="L577" s="125"/>
    </row>
    <row r="578" spans="1:12" s="121" customFormat="1" ht="11.25">
      <c r="A578" s="2"/>
      <c r="B578" s="622"/>
      <c r="C578" s="491"/>
      <c r="D578" s="491"/>
      <c r="E578" s="491"/>
      <c r="F578" s="491"/>
      <c r="G578" s="491"/>
      <c r="H578" s="491"/>
      <c r="I578" s="491"/>
      <c r="J578" s="124"/>
      <c r="K578" s="124"/>
      <c r="L578" s="124"/>
    </row>
    <row r="579" spans="1:12" s="121" customFormat="1" ht="11.25">
      <c r="A579" s="366" t="s">
        <v>14333</v>
      </c>
      <c r="B579" s="626" t="s">
        <v>14351</v>
      </c>
      <c r="C579" s="369">
        <f t="shared" ref="C579" si="26">MIN(E581:I581)</f>
        <v>0.15</v>
      </c>
      <c r="D579" s="370" t="s">
        <v>109</v>
      </c>
      <c r="E579" s="486" t="s">
        <v>14746</v>
      </c>
      <c r="F579" s="486" t="s">
        <v>15242</v>
      </c>
      <c r="G579" s="486" t="s">
        <v>15243</v>
      </c>
      <c r="H579" s="486" t="s">
        <v>18219</v>
      </c>
      <c r="I579" s="486"/>
      <c r="J579" s="125" t="s">
        <v>207</v>
      </c>
      <c r="K579" s="125"/>
      <c r="L579" s="125"/>
    </row>
    <row r="580" spans="1:12" s="121" customFormat="1" ht="22.5">
      <c r="A580" s="361"/>
      <c r="B580" s="615"/>
      <c r="C580" s="367" t="s">
        <v>284</v>
      </c>
      <c r="D580" s="554"/>
      <c r="E580" s="487" t="s">
        <v>14747</v>
      </c>
      <c r="F580" s="487" t="s">
        <v>15244</v>
      </c>
      <c r="G580" s="487" t="s">
        <v>15245</v>
      </c>
      <c r="H580" s="675" t="s">
        <v>18236</v>
      </c>
      <c r="I580" s="487"/>
      <c r="J580" s="125" t="s">
        <v>283</v>
      </c>
      <c r="K580" s="125" t="s">
        <v>280</v>
      </c>
      <c r="L580" s="125" t="s">
        <v>281</v>
      </c>
    </row>
    <row r="581" spans="1:12" s="121" customFormat="1" ht="15">
      <c r="A581" s="362"/>
      <c r="B581" s="616"/>
      <c r="C581" s="367" t="s">
        <v>9</v>
      </c>
      <c r="D581" s="492"/>
      <c r="E581" s="84">
        <v>0.15</v>
      </c>
      <c r="F581" s="488">
        <v>0.19</v>
      </c>
      <c r="G581" s="84">
        <v>0.16</v>
      </c>
      <c r="H581" s="84">
        <v>0.24</v>
      </c>
      <c r="I581" s="84"/>
      <c r="J581" s="125">
        <f t="shared" ref="J581" si="27">MEDIAN(E581:I581)</f>
        <v>0.17499999999999999</v>
      </c>
      <c r="K581" s="125">
        <f t="shared" ref="K581" si="28">J581*1.3</f>
        <v>0.22749999999999998</v>
      </c>
      <c r="L581" s="125">
        <f t="shared" ref="L581" si="29">J581*0.7</f>
        <v>0.12249999999999998</v>
      </c>
    </row>
    <row r="582" spans="1:12" s="121" customFormat="1" ht="15">
      <c r="A582" s="362"/>
      <c r="B582" s="616"/>
      <c r="C582" s="367" t="s">
        <v>8</v>
      </c>
      <c r="D582" s="492"/>
      <c r="E582" s="487" t="s">
        <v>14748</v>
      </c>
      <c r="F582" s="487" t="s">
        <v>15246</v>
      </c>
      <c r="G582" s="487" t="s">
        <v>15247</v>
      </c>
      <c r="H582" s="487"/>
      <c r="I582" s="487"/>
      <c r="J582" s="125"/>
      <c r="K582" s="125"/>
      <c r="L582" s="125"/>
    </row>
    <row r="583" spans="1:12" s="121" customFormat="1" ht="15">
      <c r="A583" s="362"/>
      <c r="B583" s="616"/>
      <c r="C583" s="367" t="s">
        <v>7</v>
      </c>
      <c r="D583" s="492"/>
      <c r="E583" s="489" t="s">
        <v>14749</v>
      </c>
      <c r="F583" s="489" t="s">
        <v>15248</v>
      </c>
      <c r="G583" s="489" t="s">
        <v>15249</v>
      </c>
      <c r="H583" s="489"/>
      <c r="I583" s="489"/>
      <c r="J583" s="125"/>
      <c r="K583" s="125"/>
      <c r="L583" s="125"/>
    </row>
    <row r="584" spans="1:12" s="121" customFormat="1" ht="15">
      <c r="A584" s="362"/>
      <c r="B584" s="616"/>
      <c r="C584" s="367" t="s">
        <v>6</v>
      </c>
      <c r="D584" s="493"/>
      <c r="E584" s="490">
        <v>44253</v>
      </c>
      <c r="F584" s="490">
        <v>44256</v>
      </c>
      <c r="G584" s="490">
        <v>44257</v>
      </c>
      <c r="H584" s="490">
        <v>44084</v>
      </c>
      <c r="I584" s="490"/>
      <c r="J584" s="125"/>
      <c r="K584" s="125"/>
      <c r="L584" s="125"/>
    </row>
    <row r="585" spans="1:12" s="121" customFormat="1" ht="15">
      <c r="A585" s="363"/>
      <c r="B585" s="617"/>
      <c r="C585" s="367" t="s">
        <v>8993</v>
      </c>
      <c r="D585" s="493"/>
      <c r="E585" s="490" t="s">
        <v>14770</v>
      </c>
      <c r="F585" s="490" t="s">
        <v>15250</v>
      </c>
      <c r="G585" s="490" t="s">
        <v>15251</v>
      </c>
      <c r="H585" s="490" t="s">
        <v>18220</v>
      </c>
      <c r="I585" s="490"/>
      <c r="J585" s="125"/>
      <c r="K585" s="125"/>
      <c r="L585" s="125"/>
    </row>
    <row r="586" spans="1:12" s="121" customFormat="1" ht="11.25">
      <c r="A586" s="2"/>
      <c r="B586" s="622"/>
      <c r="C586" s="491"/>
      <c r="D586" s="491"/>
      <c r="E586" s="491"/>
      <c r="F586" s="491"/>
      <c r="G586" s="491"/>
      <c r="H586" s="491"/>
      <c r="I586" s="491"/>
      <c r="J586" s="124"/>
      <c r="K586" s="124"/>
      <c r="L586" s="124"/>
    </row>
    <row r="587" spans="1:12" s="121" customFormat="1" ht="22.5">
      <c r="A587" s="366" t="s">
        <v>14354</v>
      </c>
      <c r="B587" s="626" t="s">
        <v>18378</v>
      </c>
      <c r="C587" s="369">
        <f t="shared" ref="C587" si="30">MIN(E589:I589)</f>
        <v>11.23</v>
      </c>
      <c r="D587" s="370" t="s">
        <v>109</v>
      </c>
      <c r="E587" s="486" t="s">
        <v>16907</v>
      </c>
      <c r="F587" s="486" t="s">
        <v>14746</v>
      </c>
      <c r="G587" s="486" t="s">
        <v>15242</v>
      </c>
      <c r="H587" s="486" t="s">
        <v>15243</v>
      </c>
      <c r="I587" s="486" t="s">
        <v>18219</v>
      </c>
      <c r="J587" s="125" t="s">
        <v>207</v>
      </c>
      <c r="K587" s="125"/>
      <c r="L587" s="125"/>
    </row>
    <row r="588" spans="1:12" s="121" customFormat="1" ht="33.75">
      <c r="A588" s="361"/>
      <c r="B588" s="615"/>
      <c r="C588" s="367" t="s">
        <v>284</v>
      </c>
      <c r="D588" s="554"/>
      <c r="E588" s="487" t="s">
        <v>16909</v>
      </c>
      <c r="F588" s="487" t="s">
        <v>17062</v>
      </c>
      <c r="G588" s="487" t="s">
        <v>17063</v>
      </c>
      <c r="H588" s="487" t="s">
        <v>15245</v>
      </c>
      <c r="I588" s="675" t="s">
        <v>18237</v>
      </c>
      <c r="J588" s="125" t="s">
        <v>283</v>
      </c>
      <c r="K588" s="125" t="s">
        <v>280</v>
      </c>
      <c r="L588" s="125" t="s">
        <v>281</v>
      </c>
    </row>
    <row r="589" spans="1:12" s="121" customFormat="1" ht="15">
      <c r="A589" s="362"/>
      <c r="B589" s="616"/>
      <c r="C589" s="367" t="s">
        <v>9</v>
      </c>
      <c r="D589" s="492"/>
      <c r="E589" s="84">
        <v>11.23</v>
      </c>
      <c r="F589" s="488">
        <v>27.07</v>
      </c>
      <c r="G589" s="488">
        <v>18.86</v>
      </c>
      <c r="H589" s="84">
        <v>18.89</v>
      </c>
      <c r="I589" s="84">
        <v>18</v>
      </c>
      <c r="J589" s="125">
        <f t="shared" ref="J589" si="31">MEDIAN(E589:I589)</f>
        <v>18.86</v>
      </c>
      <c r="K589" s="125">
        <f t="shared" ref="K589" si="32">J589*1.3</f>
        <v>24.518000000000001</v>
      </c>
      <c r="L589" s="125">
        <f t="shared" ref="L589" si="33">J589*0.7</f>
        <v>13.201999999999998</v>
      </c>
    </row>
    <row r="590" spans="1:12" s="121" customFormat="1" ht="15">
      <c r="A590" s="362"/>
      <c r="B590" s="616"/>
      <c r="C590" s="367" t="s">
        <v>8</v>
      </c>
      <c r="D590" s="492"/>
      <c r="E590" s="487" t="s">
        <v>16911</v>
      </c>
      <c r="F590" s="487" t="s">
        <v>14748</v>
      </c>
      <c r="G590" s="487" t="s">
        <v>15246</v>
      </c>
      <c r="H590" s="487" t="s">
        <v>15247</v>
      </c>
      <c r="I590" s="487"/>
      <c r="J590" s="125"/>
      <c r="K590" s="125"/>
      <c r="L590" s="125"/>
    </row>
    <row r="591" spans="1:12" s="121" customFormat="1" ht="15">
      <c r="A591" s="362"/>
      <c r="B591" s="616"/>
      <c r="C591" s="367" t="s">
        <v>7</v>
      </c>
      <c r="D591" s="492"/>
      <c r="E591" s="489" t="s">
        <v>16913</v>
      </c>
      <c r="F591" s="489" t="s">
        <v>17064</v>
      </c>
      <c r="G591" s="489" t="s">
        <v>17065</v>
      </c>
      <c r="H591" s="489" t="s">
        <v>15249</v>
      </c>
      <c r="I591" s="489"/>
      <c r="J591" s="125"/>
      <c r="K591" s="125"/>
      <c r="L591" s="125"/>
    </row>
    <row r="592" spans="1:12" s="121" customFormat="1" ht="15">
      <c r="A592" s="362"/>
      <c r="B592" s="616"/>
      <c r="C592" s="367" t="s">
        <v>6</v>
      </c>
      <c r="D592" s="493"/>
      <c r="E592" s="490">
        <v>44295</v>
      </c>
      <c r="F592" s="490">
        <v>44293</v>
      </c>
      <c r="G592" s="490">
        <v>44298</v>
      </c>
      <c r="H592" s="490">
        <v>44295</v>
      </c>
      <c r="I592" s="490">
        <v>44200</v>
      </c>
      <c r="J592" s="125"/>
      <c r="K592" s="125"/>
      <c r="L592" s="125"/>
    </row>
    <row r="593" spans="1:12" s="121" customFormat="1" ht="15">
      <c r="A593" s="363"/>
      <c r="B593" s="617"/>
      <c r="C593" s="367" t="s">
        <v>8993</v>
      </c>
      <c r="D593" s="493"/>
      <c r="E593" s="490" t="s">
        <v>16915</v>
      </c>
      <c r="F593" s="490" t="s">
        <v>17066</v>
      </c>
      <c r="G593" s="490" t="s">
        <v>17067</v>
      </c>
      <c r="H593" s="490" t="s">
        <v>15006</v>
      </c>
      <c r="I593" s="490" t="s">
        <v>18220</v>
      </c>
      <c r="J593" s="125"/>
      <c r="K593" s="125"/>
      <c r="L593" s="125"/>
    </row>
    <row r="594" spans="1:12" s="121" customFormat="1" ht="11.25">
      <c r="A594" s="2"/>
      <c r="B594" s="622"/>
      <c r="C594" s="491"/>
      <c r="D594" s="491"/>
      <c r="E594" s="491"/>
      <c r="F594" s="491"/>
      <c r="G594" s="491"/>
      <c r="H594" s="491"/>
      <c r="I594" s="491"/>
      <c r="J594" s="124"/>
      <c r="K594" s="124"/>
      <c r="L594" s="124"/>
    </row>
    <row r="595" spans="1:12" s="121" customFormat="1" ht="22.5">
      <c r="A595" s="366" t="s">
        <v>14355</v>
      </c>
      <c r="B595" s="626" t="s">
        <v>15755</v>
      </c>
      <c r="C595" s="369">
        <f t="shared" ref="C595" si="34">MIN(E597:I597)</f>
        <v>11.23</v>
      </c>
      <c r="D595" s="370" t="s">
        <v>109</v>
      </c>
      <c r="E595" s="486" t="s">
        <v>16907</v>
      </c>
      <c r="F595" s="486" t="s">
        <v>14746</v>
      </c>
      <c r="G595" s="486" t="s">
        <v>15242</v>
      </c>
      <c r="H595" s="486" t="s">
        <v>15243</v>
      </c>
      <c r="I595" s="486" t="s">
        <v>18219</v>
      </c>
      <c r="J595" s="125" t="s">
        <v>207</v>
      </c>
      <c r="K595" s="125"/>
      <c r="L595" s="125"/>
    </row>
    <row r="596" spans="1:12" s="121" customFormat="1" ht="33.75">
      <c r="A596" s="361"/>
      <c r="B596" s="615"/>
      <c r="C596" s="367" t="s">
        <v>284</v>
      </c>
      <c r="D596" s="554"/>
      <c r="E596" s="487" t="s">
        <v>16909</v>
      </c>
      <c r="F596" s="487" t="s">
        <v>17062</v>
      </c>
      <c r="G596" s="487" t="s">
        <v>17063</v>
      </c>
      <c r="H596" s="487" t="s">
        <v>15245</v>
      </c>
      <c r="I596" s="675" t="s">
        <v>18237</v>
      </c>
      <c r="J596" s="125" t="s">
        <v>283</v>
      </c>
      <c r="K596" s="125" t="s">
        <v>280</v>
      </c>
      <c r="L596" s="125" t="s">
        <v>281</v>
      </c>
    </row>
    <row r="597" spans="1:12" s="121" customFormat="1" ht="15">
      <c r="A597" s="362"/>
      <c r="B597" s="616"/>
      <c r="C597" s="367" t="s">
        <v>9</v>
      </c>
      <c r="D597" s="492"/>
      <c r="E597" s="84">
        <v>11.23</v>
      </c>
      <c r="F597" s="488">
        <v>27.07</v>
      </c>
      <c r="G597" s="488">
        <v>18.86</v>
      </c>
      <c r="H597" s="84">
        <v>18.89</v>
      </c>
      <c r="I597" s="84">
        <v>18</v>
      </c>
      <c r="J597" s="125">
        <f t="shared" ref="J597" si="35">MEDIAN(E597:I597)</f>
        <v>18.86</v>
      </c>
      <c r="K597" s="125">
        <f t="shared" ref="K597:K613" si="36">J597*1.3</f>
        <v>24.518000000000001</v>
      </c>
      <c r="L597" s="125">
        <f t="shared" ref="L597" si="37">J597*0.7</f>
        <v>13.201999999999998</v>
      </c>
    </row>
    <row r="598" spans="1:12" s="121" customFormat="1" ht="15">
      <c r="A598" s="362"/>
      <c r="B598" s="616"/>
      <c r="C598" s="367" t="s">
        <v>8</v>
      </c>
      <c r="D598" s="492"/>
      <c r="E598" s="487" t="s">
        <v>16911</v>
      </c>
      <c r="F598" s="487" t="s">
        <v>14748</v>
      </c>
      <c r="G598" s="487" t="s">
        <v>15246</v>
      </c>
      <c r="H598" s="487" t="s">
        <v>15247</v>
      </c>
      <c r="I598" s="487"/>
      <c r="J598" s="125"/>
      <c r="K598" s="125"/>
      <c r="L598" s="125"/>
    </row>
    <row r="599" spans="1:12" s="121" customFormat="1" ht="15">
      <c r="A599" s="362"/>
      <c r="B599" s="616"/>
      <c r="C599" s="367" t="s">
        <v>7</v>
      </c>
      <c r="D599" s="492"/>
      <c r="E599" s="489" t="s">
        <v>16913</v>
      </c>
      <c r="F599" s="489" t="s">
        <v>17064</v>
      </c>
      <c r="G599" s="489" t="s">
        <v>17065</v>
      </c>
      <c r="H599" s="489" t="s">
        <v>15249</v>
      </c>
      <c r="I599" s="489"/>
      <c r="J599" s="125"/>
      <c r="K599" s="125"/>
      <c r="L599" s="125"/>
    </row>
    <row r="600" spans="1:12" s="121" customFormat="1" ht="15">
      <c r="A600" s="362"/>
      <c r="B600" s="616"/>
      <c r="C600" s="367" t="s">
        <v>6</v>
      </c>
      <c r="D600" s="493"/>
      <c r="E600" s="490">
        <v>44295</v>
      </c>
      <c r="F600" s="490">
        <v>44293</v>
      </c>
      <c r="G600" s="490">
        <v>44298</v>
      </c>
      <c r="H600" s="490">
        <v>44295</v>
      </c>
      <c r="I600" s="490">
        <v>44200</v>
      </c>
      <c r="J600" s="125"/>
      <c r="K600" s="125"/>
      <c r="L600" s="125"/>
    </row>
    <row r="601" spans="1:12" s="121" customFormat="1" ht="15">
      <c r="A601" s="363"/>
      <c r="B601" s="617"/>
      <c r="C601" s="367" t="s">
        <v>8993</v>
      </c>
      <c r="D601" s="493"/>
      <c r="E601" s="490" t="s">
        <v>16915</v>
      </c>
      <c r="F601" s="490" t="s">
        <v>17066</v>
      </c>
      <c r="G601" s="490" t="s">
        <v>17067</v>
      </c>
      <c r="H601" s="490" t="s">
        <v>15006</v>
      </c>
      <c r="I601" s="490" t="s">
        <v>18220</v>
      </c>
      <c r="J601" s="125"/>
      <c r="K601" s="125"/>
      <c r="L601" s="125"/>
    </row>
    <row r="602" spans="1:12" s="121" customFormat="1" ht="11.25">
      <c r="A602" s="2"/>
      <c r="B602" s="622"/>
      <c r="C602" s="491"/>
      <c r="D602" s="491"/>
      <c r="E602" s="491"/>
      <c r="F602" s="491"/>
      <c r="G602" s="491"/>
      <c r="H602" s="491"/>
      <c r="I602" s="491"/>
      <c r="J602" s="124"/>
      <c r="K602" s="124"/>
      <c r="L602" s="124"/>
    </row>
    <row r="603" spans="1:12" s="121" customFormat="1" ht="22.5">
      <c r="A603" s="366" t="s">
        <v>14356</v>
      </c>
      <c r="B603" s="626" t="s">
        <v>15756</v>
      </c>
      <c r="C603" s="369">
        <f t="shared" ref="C603" si="38">MIN(E605:I605)</f>
        <v>21.803333333333331</v>
      </c>
      <c r="D603" s="370" t="s">
        <v>5</v>
      </c>
      <c r="E603" s="486" t="s">
        <v>16907</v>
      </c>
      <c r="F603" s="486" t="s">
        <v>14746</v>
      </c>
      <c r="G603" s="486" t="s">
        <v>15242</v>
      </c>
      <c r="H603" s="486" t="s">
        <v>15243</v>
      </c>
      <c r="I603" s="486" t="s">
        <v>18219</v>
      </c>
      <c r="J603" s="125" t="s">
        <v>207</v>
      </c>
      <c r="K603" s="125"/>
      <c r="L603" s="125"/>
    </row>
    <row r="604" spans="1:12" s="121" customFormat="1" ht="33.75">
      <c r="A604" s="361"/>
      <c r="B604" s="615"/>
      <c r="C604" s="367" t="s">
        <v>284</v>
      </c>
      <c r="D604" s="554"/>
      <c r="E604" s="487" t="s">
        <v>16909</v>
      </c>
      <c r="F604" s="487" t="s">
        <v>17062</v>
      </c>
      <c r="G604" s="487" t="s">
        <v>17063</v>
      </c>
      <c r="H604" s="487" t="s">
        <v>15245</v>
      </c>
      <c r="I604" s="675" t="s">
        <v>18238</v>
      </c>
      <c r="J604" s="125" t="s">
        <v>283</v>
      </c>
      <c r="K604" s="125" t="s">
        <v>280</v>
      </c>
      <c r="L604" s="125" t="s">
        <v>281</v>
      </c>
    </row>
    <row r="605" spans="1:12" s="121" customFormat="1" ht="15">
      <c r="A605" s="362"/>
      <c r="B605" s="616"/>
      <c r="C605" s="367" t="s">
        <v>9</v>
      </c>
      <c r="D605" s="492"/>
      <c r="E605" s="84">
        <f>75.15/3</f>
        <v>25.05</v>
      </c>
      <c r="F605" s="488">
        <f>157.96/3</f>
        <v>52.653333333333336</v>
      </c>
      <c r="G605" s="488">
        <f>78.24/3</f>
        <v>26.08</v>
      </c>
      <c r="H605" s="516">
        <f>65.41/3</f>
        <v>21.803333333333331</v>
      </c>
      <c r="I605" s="84">
        <v>26.92</v>
      </c>
      <c r="J605" s="125">
        <f t="shared" ref="J605" si="39">MEDIAN(E605:I605)</f>
        <v>26.08</v>
      </c>
      <c r="K605" s="125">
        <f t="shared" si="36"/>
        <v>33.903999999999996</v>
      </c>
      <c r="L605" s="125">
        <f t="shared" ref="L605" si="40">J605*0.7</f>
        <v>18.255999999999997</v>
      </c>
    </row>
    <row r="606" spans="1:12" s="121" customFormat="1" ht="15">
      <c r="A606" s="362"/>
      <c r="B606" s="616"/>
      <c r="C606" s="367" t="s">
        <v>8</v>
      </c>
      <c r="D606" s="492"/>
      <c r="E606" s="487" t="s">
        <v>16911</v>
      </c>
      <c r="F606" s="487" t="s">
        <v>14748</v>
      </c>
      <c r="G606" s="487" t="s">
        <v>15246</v>
      </c>
      <c r="H606" s="487" t="s">
        <v>15247</v>
      </c>
      <c r="I606" s="487"/>
      <c r="J606" s="125"/>
      <c r="K606" s="125"/>
      <c r="L606" s="125"/>
    </row>
    <row r="607" spans="1:12" s="121" customFormat="1" ht="15">
      <c r="A607" s="362"/>
      <c r="B607" s="616"/>
      <c r="C607" s="367" t="s">
        <v>7</v>
      </c>
      <c r="D607" s="492"/>
      <c r="E607" s="489" t="s">
        <v>16913</v>
      </c>
      <c r="F607" s="489" t="s">
        <v>17064</v>
      </c>
      <c r="G607" s="489" t="s">
        <v>17065</v>
      </c>
      <c r="H607" s="489" t="s">
        <v>15249</v>
      </c>
      <c r="I607" s="489"/>
      <c r="J607" s="125"/>
      <c r="K607" s="125"/>
      <c r="L607" s="125"/>
    </row>
    <row r="608" spans="1:12" s="121" customFormat="1" ht="15">
      <c r="A608" s="362"/>
      <c r="B608" s="616"/>
      <c r="C608" s="367" t="s">
        <v>6</v>
      </c>
      <c r="D608" s="493"/>
      <c r="E608" s="490">
        <v>44295</v>
      </c>
      <c r="F608" s="490">
        <v>44293</v>
      </c>
      <c r="G608" s="490">
        <v>44298</v>
      </c>
      <c r="H608" s="490">
        <v>44295</v>
      </c>
      <c r="I608" s="490">
        <v>44092</v>
      </c>
      <c r="J608" s="125"/>
      <c r="K608" s="125"/>
      <c r="L608" s="125"/>
    </row>
    <row r="609" spans="1:12" s="121" customFormat="1" ht="15">
      <c r="A609" s="363"/>
      <c r="B609" s="617"/>
      <c r="C609" s="367" t="s">
        <v>8993</v>
      </c>
      <c r="D609" s="493"/>
      <c r="E609" s="490" t="s">
        <v>16915</v>
      </c>
      <c r="F609" s="490" t="s">
        <v>17066</v>
      </c>
      <c r="G609" s="490" t="s">
        <v>17067</v>
      </c>
      <c r="H609" s="490" t="s">
        <v>15006</v>
      </c>
      <c r="I609" s="490" t="s">
        <v>18220</v>
      </c>
      <c r="J609" s="125"/>
      <c r="K609" s="125"/>
      <c r="L609" s="125"/>
    </row>
    <row r="610" spans="1:12" s="121" customFormat="1" ht="11.25">
      <c r="A610" s="2"/>
      <c r="B610" s="622"/>
      <c r="C610" s="491"/>
      <c r="D610" s="491"/>
      <c r="E610" s="491"/>
      <c r="F610" s="491"/>
      <c r="G610" s="491"/>
      <c r="H610" s="491"/>
      <c r="I610" s="491"/>
      <c r="J610" s="124"/>
      <c r="K610" s="124"/>
      <c r="L610" s="124"/>
    </row>
    <row r="611" spans="1:12" s="121" customFormat="1" ht="22.5">
      <c r="A611" s="366" t="s">
        <v>14357</v>
      </c>
      <c r="B611" s="626" t="s">
        <v>15757</v>
      </c>
      <c r="C611" s="369">
        <f t="shared" ref="C611" si="41">MIN(E613:I613)</f>
        <v>16.956666666666667</v>
      </c>
      <c r="D611" s="370" t="s">
        <v>5</v>
      </c>
      <c r="E611" s="486" t="s">
        <v>16907</v>
      </c>
      <c r="F611" s="486" t="s">
        <v>14746</v>
      </c>
      <c r="G611" s="486" t="s">
        <v>15242</v>
      </c>
      <c r="H611" s="486" t="s">
        <v>15243</v>
      </c>
      <c r="I611" s="486" t="s">
        <v>18219</v>
      </c>
      <c r="J611" s="125" t="s">
        <v>207</v>
      </c>
      <c r="K611" s="125"/>
      <c r="L611" s="125"/>
    </row>
    <row r="612" spans="1:12" s="121" customFormat="1" ht="33.75">
      <c r="A612" s="361"/>
      <c r="B612" s="615"/>
      <c r="C612" s="367" t="s">
        <v>284</v>
      </c>
      <c r="D612" s="554"/>
      <c r="E612" s="487" t="s">
        <v>16909</v>
      </c>
      <c r="F612" s="487" t="s">
        <v>17062</v>
      </c>
      <c r="G612" s="487" t="s">
        <v>17063</v>
      </c>
      <c r="H612" s="487" t="s">
        <v>15245</v>
      </c>
      <c r="I612" s="675" t="s">
        <v>18238</v>
      </c>
      <c r="J612" s="125" t="s">
        <v>283</v>
      </c>
      <c r="K612" s="125" t="s">
        <v>280</v>
      </c>
      <c r="L612" s="125" t="s">
        <v>281</v>
      </c>
    </row>
    <row r="613" spans="1:12" s="121" customFormat="1" ht="15">
      <c r="A613" s="362"/>
      <c r="B613" s="616"/>
      <c r="C613" s="367" t="s">
        <v>9</v>
      </c>
      <c r="D613" s="492"/>
      <c r="E613" s="84">
        <f>58.46/3</f>
        <v>19.486666666666668</v>
      </c>
      <c r="F613" s="488">
        <f>121.4/3</f>
        <v>40.466666666666669</v>
      </c>
      <c r="G613" s="488">
        <f>60.63/3</f>
        <v>20.21</v>
      </c>
      <c r="H613" s="516">
        <f>50.87/3</f>
        <v>16.956666666666667</v>
      </c>
      <c r="I613" s="84">
        <v>26.92</v>
      </c>
      <c r="J613" s="125">
        <f t="shared" ref="J613" si="42">MEDIAN(E613:I613)</f>
        <v>20.21</v>
      </c>
      <c r="K613" s="125">
        <f t="shared" si="36"/>
        <v>26.273000000000003</v>
      </c>
      <c r="L613" s="125">
        <f t="shared" ref="L613" si="43">J613*0.7</f>
        <v>14.147</v>
      </c>
    </row>
    <row r="614" spans="1:12" s="121" customFormat="1" ht="15">
      <c r="A614" s="362"/>
      <c r="B614" s="616"/>
      <c r="C614" s="367" t="s">
        <v>8</v>
      </c>
      <c r="D614" s="492"/>
      <c r="E614" s="487" t="s">
        <v>16911</v>
      </c>
      <c r="F614" s="487" t="s">
        <v>14748</v>
      </c>
      <c r="G614" s="487" t="s">
        <v>15246</v>
      </c>
      <c r="H614" s="487" t="s">
        <v>15247</v>
      </c>
      <c r="I614" s="487"/>
      <c r="J614" s="125"/>
      <c r="K614" s="125"/>
      <c r="L614" s="125"/>
    </row>
    <row r="615" spans="1:12" s="121" customFormat="1" ht="15">
      <c r="A615" s="362"/>
      <c r="B615" s="616"/>
      <c r="C615" s="367" t="s">
        <v>7</v>
      </c>
      <c r="D615" s="492"/>
      <c r="E615" s="489" t="s">
        <v>16913</v>
      </c>
      <c r="F615" s="489" t="s">
        <v>17064</v>
      </c>
      <c r="G615" s="489" t="s">
        <v>17065</v>
      </c>
      <c r="H615" s="489" t="s">
        <v>15249</v>
      </c>
      <c r="I615" s="489"/>
      <c r="J615" s="125"/>
      <c r="K615" s="125"/>
      <c r="L615" s="125"/>
    </row>
    <row r="616" spans="1:12" s="121" customFormat="1" ht="15">
      <c r="A616" s="362"/>
      <c r="B616" s="616"/>
      <c r="C616" s="367" t="s">
        <v>6</v>
      </c>
      <c r="D616" s="493"/>
      <c r="E616" s="490">
        <v>44295</v>
      </c>
      <c r="F616" s="490">
        <v>44293</v>
      </c>
      <c r="G616" s="490">
        <v>44298</v>
      </c>
      <c r="H616" s="490">
        <v>44295</v>
      </c>
      <c r="I616" s="490">
        <v>44092</v>
      </c>
      <c r="J616" s="125"/>
      <c r="K616" s="125"/>
      <c r="L616" s="125"/>
    </row>
    <row r="617" spans="1:12" s="121" customFormat="1" ht="15">
      <c r="A617" s="363"/>
      <c r="B617" s="617"/>
      <c r="C617" s="367" t="s">
        <v>8993</v>
      </c>
      <c r="D617" s="493"/>
      <c r="E617" s="490" t="s">
        <v>16915</v>
      </c>
      <c r="F617" s="490" t="s">
        <v>17066</v>
      </c>
      <c r="G617" s="490" t="s">
        <v>17067</v>
      </c>
      <c r="H617" s="490" t="s">
        <v>15006</v>
      </c>
      <c r="I617" s="490" t="s">
        <v>18220</v>
      </c>
      <c r="J617" s="125"/>
      <c r="K617" s="125"/>
      <c r="L617" s="125"/>
    </row>
    <row r="618" spans="1:12" s="121" customFormat="1" ht="11.25">
      <c r="A618" s="2"/>
      <c r="B618" s="622"/>
      <c r="C618" s="491"/>
      <c r="D618" s="491"/>
      <c r="E618" s="491"/>
      <c r="F618" s="491"/>
      <c r="G618" s="491"/>
      <c r="H618" s="491"/>
      <c r="I618" s="491"/>
      <c r="J618" s="124"/>
      <c r="K618" s="124"/>
      <c r="L618" s="124"/>
    </row>
    <row r="619" spans="1:12" s="121" customFormat="1" ht="22.5">
      <c r="A619" s="366" t="s">
        <v>14359</v>
      </c>
      <c r="B619" s="626" t="s">
        <v>15758</v>
      </c>
      <c r="C619" s="369">
        <f t="shared" ref="C619" si="44">MIN(E621:I621)</f>
        <v>15.4</v>
      </c>
      <c r="D619" s="370" t="s">
        <v>109</v>
      </c>
      <c r="E619" s="486" t="s">
        <v>16907</v>
      </c>
      <c r="F619" s="486" t="s">
        <v>14746</v>
      </c>
      <c r="G619" s="486" t="s">
        <v>15242</v>
      </c>
      <c r="H619" s="486" t="s">
        <v>15243</v>
      </c>
      <c r="I619" s="486" t="s">
        <v>18219</v>
      </c>
      <c r="J619" s="125" t="s">
        <v>207</v>
      </c>
      <c r="K619" s="125"/>
      <c r="L619" s="125"/>
    </row>
    <row r="620" spans="1:12" s="121" customFormat="1" ht="33.75">
      <c r="A620" s="361"/>
      <c r="B620" s="615"/>
      <c r="C620" s="367" t="s">
        <v>284</v>
      </c>
      <c r="D620" s="554"/>
      <c r="E620" s="487" t="s">
        <v>16909</v>
      </c>
      <c r="F620" s="487" t="s">
        <v>17062</v>
      </c>
      <c r="G620" s="487" t="s">
        <v>17063</v>
      </c>
      <c r="H620" s="487" t="s">
        <v>15245</v>
      </c>
      <c r="I620" s="675" t="s">
        <v>18239</v>
      </c>
      <c r="J620" s="125" t="s">
        <v>283</v>
      </c>
      <c r="K620" s="125" t="s">
        <v>280</v>
      </c>
      <c r="L620" s="125" t="s">
        <v>281</v>
      </c>
    </row>
    <row r="621" spans="1:12" s="121" customFormat="1" ht="15">
      <c r="A621" s="362"/>
      <c r="B621" s="616"/>
      <c r="C621" s="367" t="s">
        <v>9</v>
      </c>
      <c r="D621" s="492"/>
      <c r="E621" s="84">
        <v>15.4</v>
      </c>
      <c r="F621" s="488">
        <v>27.95</v>
      </c>
      <c r="G621" s="488">
        <v>17.829999999999998</v>
      </c>
      <c r="H621" s="516">
        <v>19.84</v>
      </c>
      <c r="I621" s="84">
        <v>19.989999999999998</v>
      </c>
      <c r="J621" s="125">
        <f t="shared" ref="J621" si="45">MEDIAN(E621:I621)</f>
        <v>19.84</v>
      </c>
      <c r="K621" s="125">
        <f t="shared" ref="K621:K637" si="46">J621*1.3</f>
        <v>25.792000000000002</v>
      </c>
      <c r="L621" s="125">
        <f t="shared" ref="L621" si="47">J621*0.7</f>
        <v>13.888</v>
      </c>
    </row>
    <row r="622" spans="1:12" s="121" customFormat="1" ht="15">
      <c r="A622" s="362"/>
      <c r="B622" s="616"/>
      <c r="C622" s="367" t="s">
        <v>8</v>
      </c>
      <c r="D622" s="492"/>
      <c r="E622" s="487" t="s">
        <v>16911</v>
      </c>
      <c r="F622" s="487" t="s">
        <v>14748</v>
      </c>
      <c r="G622" s="487" t="s">
        <v>15246</v>
      </c>
      <c r="H622" s="487" t="s">
        <v>15247</v>
      </c>
      <c r="I622" s="487"/>
      <c r="J622" s="125"/>
      <c r="K622" s="125"/>
      <c r="L622" s="125"/>
    </row>
    <row r="623" spans="1:12" s="121" customFormat="1" ht="15">
      <c r="A623" s="362"/>
      <c r="B623" s="616"/>
      <c r="C623" s="367" t="s">
        <v>7</v>
      </c>
      <c r="D623" s="492"/>
      <c r="E623" s="489" t="s">
        <v>16913</v>
      </c>
      <c r="F623" s="489" t="s">
        <v>17064</v>
      </c>
      <c r="G623" s="489" t="s">
        <v>17065</v>
      </c>
      <c r="H623" s="489" t="s">
        <v>15249</v>
      </c>
      <c r="I623" s="489"/>
      <c r="J623" s="125"/>
      <c r="K623" s="125"/>
      <c r="L623" s="125"/>
    </row>
    <row r="624" spans="1:12" s="121" customFormat="1" ht="15">
      <c r="A624" s="362"/>
      <c r="B624" s="616"/>
      <c r="C624" s="367" t="s">
        <v>6</v>
      </c>
      <c r="D624" s="493"/>
      <c r="E624" s="490">
        <v>44295</v>
      </c>
      <c r="F624" s="490">
        <v>44293</v>
      </c>
      <c r="G624" s="490">
        <v>44298</v>
      </c>
      <c r="H624" s="490">
        <v>44295</v>
      </c>
      <c r="I624" s="490">
        <v>44056</v>
      </c>
      <c r="J624" s="125"/>
      <c r="K624" s="125"/>
      <c r="L624" s="125"/>
    </row>
    <row r="625" spans="1:12" s="121" customFormat="1" ht="15">
      <c r="A625" s="363"/>
      <c r="B625" s="617"/>
      <c r="C625" s="367" t="s">
        <v>8993</v>
      </c>
      <c r="D625" s="493"/>
      <c r="E625" s="490" t="s">
        <v>16915</v>
      </c>
      <c r="F625" s="490" t="s">
        <v>17066</v>
      </c>
      <c r="G625" s="490" t="s">
        <v>17067</v>
      </c>
      <c r="H625" s="490" t="s">
        <v>15006</v>
      </c>
      <c r="I625" s="490" t="s">
        <v>18220</v>
      </c>
      <c r="J625" s="125"/>
      <c r="K625" s="125"/>
      <c r="L625" s="125"/>
    </row>
    <row r="626" spans="1:12" s="121" customFormat="1" ht="11.25">
      <c r="A626" s="2"/>
      <c r="B626" s="622"/>
      <c r="C626" s="491"/>
      <c r="D626" s="491"/>
      <c r="E626" s="491"/>
      <c r="F626" s="491"/>
      <c r="G626" s="491"/>
      <c r="H626" s="491"/>
      <c r="I626" s="491"/>
      <c r="J626" s="124"/>
      <c r="K626" s="124"/>
      <c r="L626" s="124"/>
    </row>
    <row r="627" spans="1:12" s="121" customFormat="1" ht="22.5">
      <c r="A627" s="366" t="s">
        <v>14360</v>
      </c>
      <c r="B627" s="626" t="s">
        <v>15759</v>
      </c>
      <c r="C627" s="369">
        <f t="shared" ref="C627" si="48">MIN(E629:I629)</f>
        <v>2.48</v>
      </c>
      <c r="D627" s="370" t="s">
        <v>109</v>
      </c>
      <c r="E627" s="486" t="s">
        <v>16907</v>
      </c>
      <c r="F627" s="486" t="s">
        <v>14746</v>
      </c>
      <c r="G627" s="486" t="s">
        <v>15242</v>
      </c>
      <c r="H627" s="486" t="s">
        <v>15243</v>
      </c>
      <c r="I627" s="486" t="s">
        <v>14752</v>
      </c>
      <c r="J627" s="125" t="s">
        <v>207</v>
      </c>
      <c r="K627" s="125"/>
      <c r="L627" s="125"/>
    </row>
    <row r="628" spans="1:12" s="121" customFormat="1" ht="33.75">
      <c r="A628" s="361"/>
      <c r="B628" s="615"/>
      <c r="C628" s="367" t="s">
        <v>284</v>
      </c>
      <c r="D628" s="554"/>
      <c r="E628" s="487" t="s">
        <v>16909</v>
      </c>
      <c r="F628" s="487" t="s">
        <v>17062</v>
      </c>
      <c r="G628" s="487" t="s">
        <v>17063</v>
      </c>
      <c r="H628" s="487" t="s">
        <v>15245</v>
      </c>
      <c r="I628" s="487" t="s">
        <v>14753</v>
      </c>
      <c r="J628" s="125" t="s">
        <v>283</v>
      </c>
      <c r="K628" s="125" t="s">
        <v>280</v>
      </c>
      <c r="L628" s="125" t="s">
        <v>281</v>
      </c>
    </row>
    <row r="629" spans="1:12" s="121" customFormat="1" ht="15">
      <c r="A629" s="362"/>
      <c r="B629" s="616"/>
      <c r="C629" s="367" t="s">
        <v>9</v>
      </c>
      <c r="D629" s="492"/>
      <c r="E629" s="84">
        <v>2.79</v>
      </c>
      <c r="F629" s="488">
        <v>12.69</v>
      </c>
      <c r="G629" s="488">
        <v>2.64</v>
      </c>
      <c r="H629" s="516">
        <v>2.48</v>
      </c>
      <c r="I629" s="488">
        <v>2.79</v>
      </c>
      <c r="J629" s="125">
        <f t="shared" ref="J629" si="49">MEDIAN(E629:I629)</f>
        <v>2.79</v>
      </c>
      <c r="K629" s="125">
        <f t="shared" si="46"/>
        <v>3.6270000000000002</v>
      </c>
      <c r="L629" s="125">
        <f t="shared" ref="L629" si="50">J629*0.7</f>
        <v>1.9529999999999998</v>
      </c>
    </row>
    <row r="630" spans="1:12" s="121" customFormat="1" ht="15">
      <c r="A630" s="362"/>
      <c r="B630" s="616"/>
      <c r="C630" s="367" t="s">
        <v>8</v>
      </c>
      <c r="D630" s="492"/>
      <c r="E630" s="487" t="s">
        <v>16911</v>
      </c>
      <c r="F630" s="487" t="s">
        <v>14748</v>
      </c>
      <c r="G630" s="487" t="s">
        <v>15246</v>
      </c>
      <c r="H630" s="487" t="s">
        <v>15247</v>
      </c>
      <c r="I630" s="487" t="s">
        <v>14754</v>
      </c>
      <c r="J630" s="125"/>
      <c r="K630" s="125"/>
      <c r="L630" s="125"/>
    </row>
    <row r="631" spans="1:12" s="121" customFormat="1" ht="15">
      <c r="A631" s="362"/>
      <c r="B631" s="616"/>
      <c r="C631" s="367" t="s">
        <v>7</v>
      </c>
      <c r="D631" s="492"/>
      <c r="E631" s="489" t="s">
        <v>16913</v>
      </c>
      <c r="F631" s="489" t="s">
        <v>17064</v>
      </c>
      <c r="G631" s="489" t="s">
        <v>17065</v>
      </c>
      <c r="H631" s="489" t="s">
        <v>15249</v>
      </c>
      <c r="I631" s="489" t="s">
        <v>14755</v>
      </c>
      <c r="J631" s="125"/>
      <c r="K631" s="125"/>
      <c r="L631" s="125"/>
    </row>
    <row r="632" spans="1:12" s="121" customFormat="1" ht="15">
      <c r="A632" s="362"/>
      <c r="B632" s="616"/>
      <c r="C632" s="367" t="s">
        <v>6</v>
      </c>
      <c r="D632" s="493"/>
      <c r="E632" s="490">
        <v>44295</v>
      </c>
      <c r="F632" s="490">
        <v>44293</v>
      </c>
      <c r="G632" s="490">
        <v>44298</v>
      </c>
      <c r="H632" s="490">
        <v>44295</v>
      </c>
      <c r="I632" s="490">
        <v>44295</v>
      </c>
      <c r="J632" s="125"/>
      <c r="K632" s="125"/>
      <c r="L632" s="125"/>
    </row>
    <row r="633" spans="1:12" s="121" customFormat="1" ht="15">
      <c r="A633" s="363"/>
      <c r="B633" s="617"/>
      <c r="C633" s="367" t="s">
        <v>8993</v>
      </c>
      <c r="D633" s="493"/>
      <c r="E633" s="490" t="s">
        <v>16915</v>
      </c>
      <c r="F633" s="490" t="s">
        <v>17066</v>
      </c>
      <c r="G633" s="490" t="s">
        <v>17067</v>
      </c>
      <c r="H633" s="490" t="s">
        <v>15006</v>
      </c>
      <c r="I633" s="490" t="s">
        <v>16921</v>
      </c>
      <c r="J633" s="125"/>
      <c r="K633" s="125"/>
      <c r="L633" s="125"/>
    </row>
    <row r="634" spans="1:12" s="121" customFormat="1" ht="11.25">
      <c r="A634" s="2"/>
      <c r="B634" s="622"/>
      <c r="C634" s="491"/>
      <c r="D634" s="491"/>
      <c r="E634" s="491"/>
      <c r="F634" s="491"/>
      <c r="G634" s="491"/>
      <c r="H634" s="491"/>
      <c r="I634" s="491"/>
      <c r="J634" s="124"/>
      <c r="K634" s="124"/>
      <c r="L634" s="124"/>
    </row>
    <row r="635" spans="1:12" s="121" customFormat="1" ht="22.5">
      <c r="A635" s="366" t="s">
        <v>14361</v>
      </c>
      <c r="B635" s="626" t="s">
        <v>14542</v>
      </c>
      <c r="C635" s="369">
        <f t="shared" ref="C635" si="51">MIN(E637:I637)</f>
        <v>2.7</v>
      </c>
      <c r="D635" s="370" t="s">
        <v>109</v>
      </c>
      <c r="E635" s="486" t="s">
        <v>14752</v>
      </c>
      <c r="F635" s="486" t="s">
        <v>14762</v>
      </c>
      <c r="G635" s="486" t="s">
        <v>15182</v>
      </c>
      <c r="H635" s="486" t="s">
        <v>18219</v>
      </c>
      <c r="I635" s="486"/>
      <c r="J635" s="125" t="s">
        <v>207</v>
      </c>
      <c r="K635" s="125"/>
      <c r="L635" s="125"/>
    </row>
    <row r="636" spans="1:12" s="121" customFormat="1" ht="22.5">
      <c r="A636" s="361"/>
      <c r="B636" s="615"/>
      <c r="C636" s="367" t="s">
        <v>284</v>
      </c>
      <c r="D636" s="554"/>
      <c r="E636" s="487" t="s">
        <v>14753</v>
      </c>
      <c r="F636" s="487" t="s">
        <v>15183</v>
      </c>
      <c r="G636" s="487" t="s">
        <v>15184</v>
      </c>
      <c r="H636" s="675" t="s">
        <v>18240</v>
      </c>
      <c r="I636" s="487"/>
      <c r="J636" s="125" t="s">
        <v>283</v>
      </c>
      <c r="K636" s="125" t="s">
        <v>280</v>
      </c>
      <c r="L636" s="125" t="s">
        <v>281</v>
      </c>
    </row>
    <row r="637" spans="1:12" s="121" customFormat="1" ht="15">
      <c r="A637" s="362"/>
      <c r="B637" s="616"/>
      <c r="C637" s="367" t="s">
        <v>9</v>
      </c>
      <c r="D637" s="492"/>
      <c r="E637" s="84">
        <v>2.89</v>
      </c>
      <c r="F637" s="488">
        <v>3.93</v>
      </c>
      <c r="G637" s="488">
        <v>2.7</v>
      </c>
      <c r="H637" s="84">
        <v>4.8</v>
      </c>
      <c r="I637" s="84"/>
      <c r="J637" s="125">
        <f t="shared" ref="J637" si="52">MEDIAN(E637:I637)</f>
        <v>3.41</v>
      </c>
      <c r="K637" s="125">
        <f t="shared" si="46"/>
        <v>4.4330000000000007</v>
      </c>
      <c r="L637" s="125">
        <f t="shared" ref="L637" si="53">J637*0.7</f>
        <v>2.387</v>
      </c>
    </row>
    <row r="638" spans="1:12" s="121" customFormat="1" ht="15">
      <c r="A638" s="362"/>
      <c r="B638" s="616"/>
      <c r="C638" s="367" t="s">
        <v>8</v>
      </c>
      <c r="D638" s="492"/>
      <c r="E638" s="472" t="s">
        <v>14754</v>
      </c>
      <c r="F638" s="487" t="s">
        <v>14764</v>
      </c>
      <c r="G638" s="487" t="s">
        <v>15185</v>
      </c>
      <c r="H638" s="487"/>
      <c r="I638" s="487"/>
      <c r="J638" s="125"/>
      <c r="K638" s="125"/>
      <c r="L638" s="125"/>
    </row>
    <row r="639" spans="1:12" s="121" customFormat="1" ht="15">
      <c r="A639" s="362"/>
      <c r="B639" s="616"/>
      <c r="C639" s="367" t="s">
        <v>7</v>
      </c>
      <c r="D639" s="492"/>
      <c r="E639" s="487" t="s">
        <v>14755</v>
      </c>
      <c r="F639" s="489" t="s">
        <v>15170</v>
      </c>
      <c r="G639" s="489" t="s">
        <v>15186</v>
      </c>
      <c r="H639" s="489"/>
      <c r="I639" s="489"/>
      <c r="J639" s="125"/>
      <c r="K639" s="125"/>
      <c r="L639" s="125"/>
    </row>
    <row r="640" spans="1:12" s="121" customFormat="1" ht="15">
      <c r="A640" s="362"/>
      <c r="B640" s="616"/>
      <c r="C640" s="367" t="s">
        <v>6</v>
      </c>
      <c r="D640" s="493"/>
      <c r="E640" s="490">
        <v>44253</v>
      </c>
      <c r="F640" s="490">
        <v>44256</v>
      </c>
      <c r="G640" s="490">
        <v>44256</v>
      </c>
      <c r="H640" s="490">
        <v>44265</v>
      </c>
      <c r="I640" s="490"/>
      <c r="J640" s="125"/>
      <c r="K640" s="125"/>
      <c r="L640" s="125"/>
    </row>
    <row r="641" spans="1:12" s="121" customFormat="1" ht="15">
      <c r="A641" s="363"/>
      <c r="B641" s="617"/>
      <c r="C641" s="367" t="s">
        <v>8993</v>
      </c>
      <c r="D641" s="493"/>
      <c r="E641" s="490" t="s">
        <v>14771</v>
      </c>
      <c r="F641" s="490" t="s">
        <v>14771</v>
      </c>
      <c r="G641" s="490" t="s">
        <v>14771</v>
      </c>
      <c r="H641" s="490" t="s">
        <v>18220</v>
      </c>
      <c r="I641" s="490"/>
      <c r="J641" s="125"/>
      <c r="K641" s="125"/>
      <c r="L641" s="125"/>
    </row>
    <row r="642" spans="1:12" s="121" customFormat="1" ht="11.25">
      <c r="A642" s="2"/>
      <c r="B642" s="622"/>
      <c r="C642" s="491"/>
      <c r="D642" s="491"/>
      <c r="E642" s="491"/>
      <c r="F642" s="491"/>
      <c r="G642" s="491"/>
      <c r="H642" s="491"/>
      <c r="I642" s="491"/>
      <c r="J642" s="124"/>
      <c r="K642" s="124"/>
      <c r="L642" s="124"/>
    </row>
    <row r="643" spans="1:12" s="121" customFormat="1" ht="22.5">
      <c r="A643" s="366" t="s">
        <v>14365</v>
      </c>
      <c r="B643" s="626" t="s">
        <v>15760</v>
      </c>
      <c r="C643" s="369">
        <f t="shared" ref="C643" si="54">MIN(E645:I645)</f>
        <v>20.75</v>
      </c>
      <c r="D643" s="370" t="s">
        <v>109</v>
      </c>
      <c r="E643" s="486" t="s">
        <v>16907</v>
      </c>
      <c r="F643" s="486" t="s">
        <v>14746</v>
      </c>
      <c r="G643" s="486" t="s">
        <v>15242</v>
      </c>
      <c r="H643" s="486" t="s">
        <v>15243</v>
      </c>
      <c r="I643" s="486" t="s">
        <v>18219</v>
      </c>
      <c r="J643" s="125" t="s">
        <v>207</v>
      </c>
      <c r="K643" s="125"/>
      <c r="L643" s="125"/>
    </row>
    <row r="644" spans="1:12" s="121" customFormat="1" ht="33.75">
      <c r="A644" s="361"/>
      <c r="B644" s="615"/>
      <c r="C644" s="367" t="s">
        <v>284</v>
      </c>
      <c r="D644" s="554"/>
      <c r="E644" s="487" t="s">
        <v>16909</v>
      </c>
      <c r="F644" s="487" t="s">
        <v>17062</v>
      </c>
      <c r="G644" s="487" t="s">
        <v>17063</v>
      </c>
      <c r="H644" s="487" t="s">
        <v>15245</v>
      </c>
      <c r="I644" s="675" t="s">
        <v>18241</v>
      </c>
      <c r="J644" s="125" t="s">
        <v>283</v>
      </c>
      <c r="K644" s="125" t="s">
        <v>280</v>
      </c>
      <c r="L644" s="125" t="s">
        <v>281</v>
      </c>
    </row>
    <row r="645" spans="1:12" s="121" customFormat="1" ht="15">
      <c r="A645" s="362"/>
      <c r="B645" s="616"/>
      <c r="C645" s="367" t="s">
        <v>9</v>
      </c>
      <c r="D645" s="492"/>
      <c r="E645" s="84">
        <v>22.09</v>
      </c>
      <c r="F645" s="488">
        <v>36.380000000000003</v>
      </c>
      <c r="G645" s="488">
        <v>22.2</v>
      </c>
      <c r="H645" s="516">
        <v>20.75</v>
      </c>
      <c r="I645" s="84">
        <v>25.64</v>
      </c>
      <c r="J645" s="125">
        <f t="shared" ref="J645" si="55">MEDIAN(E645:I645)</f>
        <v>22.2</v>
      </c>
      <c r="K645" s="125">
        <f t="shared" ref="K645:K685" si="56">J645*1.3</f>
        <v>28.86</v>
      </c>
      <c r="L645" s="125">
        <f t="shared" ref="L645" si="57">J645*0.7</f>
        <v>15.54</v>
      </c>
    </row>
    <row r="646" spans="1:12" s="121" customFormat="1" ht="15">
      <c r="A646" s="362"/>
      <c r="B646" s="616"/>
      <c r="C646" s="367" t="s">
        <v>8</v>
      </c>
      <c r="D646" s="492"/>
      <c r="E646" s="487" t="s">
        <v>16911</v>
      </c>
      <c r="F646" s="487" t="s">
        <v>14748</v>
      </c>
      <c r="G646" s="487" t="s">
        <v>15246</v>
      </c>
      <c r="H646" s="487" t="s">
        <v>15247</v>
      </c>
      <c r="I646" s="487"/>
      <c r="J646" s="125"/>
      <c r="K646" s="125"/>
      <c r="L646" s="125"/>
    </row>
    <row r="647" spans="1:12" s="121" customFormat="1" ht="15">
      <c r="A647" s="362"/>
      <c r="B647" s="616"/>
      <c r="C647" s="367" t="s">
        <v>7</v>
      </c>
      <c r="D647" s="492"/>
      <c r="E647" s="489" t="s">
        <v>16913</v>
      </c>
      <c r="F647" s="489" t="s">
        <v>17064</v>
      </c>
      <c r="G647" s="489" t="s">
        <v>17065</v>
      </c>
      <c r="H647" s="489" t="s">
        <v>15249</v>
      </c>
      <c r="I647" s="489"/>
      <c r="J647" s="125"/>
      <c r="K647" s="125"/>
      <c r="L647" s="125"/>
    </row>
    <row r="648" spans="1:12" s="121" customFormat="1" ht="15">
      <c r="A648" s="362"/>
      <c r="B648" s="616"/>
      <c r="C648" s="367" t="s">
        <v>6</v>
      </c>
      <c r="D648" s="493"/>
      <c r="E648" s="490">
        <v>44295</v>
      </c>
      <c r="F648" s="490">
        <v>44293</v>
      </c>
      <c r="G648" s="490">
        <v>44298</v>
      </c>
      <c r="H648" s="490">
        <v>44295</v>
      </c>
      <c r="I648" s="490">
        <v>44007</v>
      </c>
      <c r="J648" s="125"/>
      <c r="K648" s="125"/>
      <c r="L648" s="125"/>
    </row>
    <row r="649" spans="1:12" s="121" customFormat="1" ht="15">
      <c r="A649" s="363"/>
      <c r="B649" s="617"/>
      <c r="C649" s="367" t="s">
        <v>8993</v>
      </c>
      <c r="D649" s="493"/>
      <c r="E649" s="490" t="s">
        <v>16915</v>
      </c>
      <c r="F649" s="490" t="s">
        <v>17066</v>
      </c>
      <c r="G649" s="490" t="s">
        <v>17067</v>
      </c>
      <c r="H649" s="490" t="s">
        <v>15006</v>
      </c>
      <c r="I649" s="490" t="s">
        <v>18220</v>
      </c>
      <c r="J649" s="125"/>
      <c r="K649" s="125"/>
      <c r="L649" s="125"/>
    </row>
    <row r="650" spans="1:12" s="121" customFormat="1" ht="11.25">
      <c r="A650" s="2"/>
      <c r="B650" s="622"/>
      <c r="C650" s="491"/>
      <c r="D650" s="491"/>
      <c r="E650" s="491"/>
      <c r="F650" s="491"/>
      <c r="G650" s="491"/>
      <c r="H650" s="491"/>
      <c r="I650" s="491"/>
      <c r="J650" s="124"/>
      <c r="K650" s="124"/>
      <c r="L650" s="124"/>
    </row>
    <row r="651" spans="1:12" s="121" customFormat="1" ht="22.5">
      <c r="A651" s="366" t="s">
        <v>14366</v>
      </c>
      <c r="B651" s="626" t="s">
        <v>15762</v>
      </c>
      <c r="C651" s="369">
        <f t="shared" ref="C651" si="58">MIN(E653:I653)</f>
        <v>11</v>
      </c>
      <c r="D651" s="370" t="s">
        <v>109</v>
      </c>
      <c r="E651" s="486" t="s">
        <v>16907</v>
      </c>
      <c r="F651" s="486" t="s">
        <v>14746</v>
      </c>
      <c r="G651" s="486" t="s">
        <v>15242</v>
      </c>
      <c r="H651" s="486" t="s">
        <v>15243</v>
      </c>
      <c r="I651" s="486" t="s">
        <v>18219</v>
      </c>
      <c r="J651" s="125" t="s">
        <v>207</v>
      </c>
      <c r="K651" s="125"/>
      <c r="L651" s="125"/>
    </row>
    <row r="652" spans="1:12" s="121" customFormat="1" ht="33.75">
      <c r="A652" s="361"/>
      <c r="B652" s="615"/>
      <c r="C652" s="367" t="s">
        <v>284</v>
      </c>
      <c r="D652" s="554"/>
      <c r="E652" s="487" t="s">
        <v>16909</v>
      </c>
      <c r="F652" s="487" t="s">
        <v>17062</v>
      </c>
      <c r="G652" s="487" t="s">
        <v>17063</v>
      </c>
      <c r="H652" s="487" t="s">
        <v>15245</v>
      </c>
      <c r="I652" s="675" t="s">
        <v>18236</v>
      </c>
      <c r="J652" s="125" t="s">
        <v>283</v>
      </c>
      <c r="K652" s="125" t="s">
        <v>280</v>
      </c>
      <c r="L652" s="125" t="s">
        <v>281</v>
      </c>
    </row>
    <row r="653" spans="1:12" s="121" customFormat="1" ht="15">
      <c r="A653" s="362"/>
      <c r="B653" s="616"/>
      <c r="C653" s="367" t="s">
        <v>9</v>
      </c>
      <c r="D653" s="492"/>
      <c r="E653" s="84">
        <v>11</v>
      </c>
      <c r="F653" s="488">
        <v>22.63</v>
      </c>
      <c r="G653" s="488">
        <v>11.3</v>
      </c>
      <c r="H653" s="516">
        <v>12.24</v>
      </c>
      <c r="I653" s="84">
        <v>18.600000000000001</v>
      </c>
      <c r="J653" s="125">
        <f t="shared" ref="J653" si="59">MEDIAN(E653:I653)</f>
        <v>12.24</v>
      </c>
      <c r="K653" s="125">
        <f t="shared" si="56"/>
        <v>15.912000000000001</v>
      </c>
      <c r="L653" s="125">
        <f t="shared" ref="L653" si="60">J653*0.7</f>
        <v>8.5679999999999996</v>
      </c>
    </row>
    <row r="654" spans="1:12" s="121" customFormat="1" ht="15">
      <c r="A654" s="362"/>
      <c r="B654" s="616"/>
      <c r="C654" s="367" t="s">
        <v>8</v>
      </c>
      <c r="D654" s="492"/>
      <c r="E654" s="487" t="s">
        <v>16911</v>
      </c>
      <c r="F654" s="487" t="s">
        <v>14748</v>
      </c>
      <c r="G654" s="487" t="s">
        <v>15246</v>
      </c>
      <c r="H654" s="487" t="s">
        <v>15247</v>
      </c>
      <c r="I654" s="487"/>
      <c r="J654" s="125"/>
      <c r="K654" s="125"/>
      <c r="L654" s="125"/>
    </row>
    <row r="655" spans="1:12" s="121" customFormat="1" ht="15">
      <c r="A655" s="362"/>
      <c r="B655" s="616"/>
      <c r="C655" s="367" t="s">
        <v>7</v>
      </c>
      <c r="D655" s="492"/>
      <c r="E655" s="489" t="s">
        <v>16913</v>
      </c>
      <c r="F655" s="489" t="s">
        <v>17064</v>
      </c>
      <c r="G655" s="489" t="s">
        <v>17065</v>
      </c>
      <c r="H655" s="489" t="s">
        <v>15249</v>
      </c>
      <c r="I655" s="489"/>
      <c r="J655" s="125"/>
      <c r="K655" s="125"/>
      <c r="L655" s="125"/>
    </row>
    <row r="656" spans="1:12" s="121" customFormat="1" ht="15">
      <c r="A656" s="362"/>
      <c r="B656" s="616"/>
      <c r="C656" s="367" t="s">
        <v>6</v>
      </c>
      <c r="D656" s="493"/>
      <c r="E656" s="490">
        <v>44295</v>
      </c>
      <c r="F656" s="490">
        <v>44293</v>
      </c>
      <c r="G656" s="490">
        <v>44298</v>
      </c>
      <c r="H656" s="490">
        <v>44295</v>
      </c>
      <c r="I656" s="490">
        <v>44084</v>
      </c>
      <c r="J656" s="125"/>
      <c r="K656" s="125"/>
      <c r="L656" s="125"/>
    </row>
    <row r="657" spans="1:12" s="121" customFormat="1" ht="15">
      <c r="A657" s="363"/>
      <c r="B657" s="617"/>
      <c r="C657" s="367" t="s">
        <v>8993</v>
      </c>
      <c r="D657" s="493"/>
      <c r="E657" s="490" t="s">
        <v>16915</v>
      </c>
      <c r="F657" s="490" t="s">
        <v>17066</v>
      </c>
      <c r="G657" s="490" t="s">
        <v>17067</v>
      </c>
      <c r="H657" s="490" t="s">
        <v>15006</v>
      </c>
      <c r="I657" s="490" t="s">
        <v>18220</v>
      </c>
      <c r="J657" s="125"/>
      <c r="K657" s="125"/>
      <c r="L657" s="125"/>
    </row>
    <row r="658" spans="1:12" s="121" customFormat="1" ht="11.25">
      <c r="A658" s="2"/>
      <c r="B658" s="622"/>
      <c r="C658" s="491"/>
      <c r="D658" s="491"/>
      <c r="E658" s="491"/>
      <c r="F658" s="491"/>
      <c r="G658" s="491"/>
      <c r="H658" s="491"/>
      <c r="I658" s="491"/>
      <c r="J658" s="124"/>
      <c r="K658" s="124"/>
      <c r="L658" s="124"/>
    </row>
    <row r="659" spans="1:12" s="121" customFormat="1" ht="22.5">
      <c r="A659" s="366" t="s">
        <v>14367</v>
      </c>
      <c r="B659" s="626" t="s">
        <v>18381</v>
      </c>
      <c r="C659" s="369">
        <f t="shared" ref="C659" si="61">MIN(E661:I661)</f>
        <v>10.85</v>
      </c>
      <c r="D659" s="370" t="s">
        <v>109</v>
      </c>
      <c r="E659" s="486" t="s">
        <v>16907</v>
      </c>
      <c r="F659" s="486" t="s">
        <v>14746</v>
      </c>
      <c r="G659" s="486" t="s">
        <v>15242</v>
      </c>
      <c r="H659" s="486" t="s">
        <v>15243</v>
      </c>
      <c r="I659" s="486"/>
      <c r="J659" s="125" t="s">
        <v>207</v>
      </c>
      <c r="K659" s="125"/>
      <c r="L659" s="125"/>
    </row>
    <row r="660" spans="1:12" s="121" customFormat="1" ht="33.75">
      <c r="A660" s="361"/>
      <c r="B660" s="615"/>
      <c r="C660" s="367" t="s">
        <v>284</v>
      </c>
      <c r="D660" s="554"/>
      <c r="E660" s="487" t="s">
        <v>16909</v>
      </c>
      <c r="F660" s="487" t="s">
        <v>17062</v>
      </c>
      <c r="G660" s="487" t="s">
        <v>17063</v>
      </c>
      <c r="H660" s="487" t="s">
        <v>15245</v>
      </c>
      <c r="I660" s="487"/>
      <c r="J660" s="125" t="s">
        <v>283</v>
      </c>
      <c r="K660" s="125" t="s">
        <v>280</v>
      </c>
      <c r="L660" s="125" t="s">
        <v>281</v>
      </c>
    </row>
    <row r="661" spans="1:12" s="121" customFormat="1" ht="15">
      <c r="A661" s="362"/>
      <c r="B661" s="616"/>
      <c r="C661" s="367" t="s">
        <v>9</v>
      </c>
      <c r="D661" s="492"/>
      <c r="E661" s="84">
        <v>11.12</v>
      </c>
      <c r="F661" s="488">
        <v>20.85</v>
      </c>
      <c r="G661" s="488">
        <v>10.85</v>
      </c>
      <c r="H661" s="516">
        <v>11.02</v>
      </c>
      <c r="I661" s="488"/>
      <c r="J661" s="125">
        <f t="shared" ref="J661" si="62">MEDIAN(E661:I661)</f>
        <v>11.07</v>
      </c>
      <c r="K661" s="125">
        <f t="shared" si="56"/>
        <v>14.391</v>
      </c>
      <c r="L661" s="125">
        <f t="shared" ref="L661" si="63">J661*0.7</f>
        <v>7.7489999999999997</v>
      </c>
    </row>
    <row r="662" spans="1:12" s="121" customFormat="1" ht="15">
      <c r="A662" s="362"/>
      <c r="B662" s="616"/>
      <c r="C662" s="367" t="s">
        <v>8</v>
      </c>
      <c r="D662" s="492"/>
      <c r="E662" s="487" t="s">
        <v>16911</v>
      </c>
      <c r="F662" s="487" t="s">
        <v>14748</v>
      </c>
      <c r="G662" s="487" t="s">
        <v>15246</v>
      </c>
      <c r="H662" s="487" t="s">
        <v>15247</v>
      </c>
      <c r="I662" s="487"/>
      <c r="J662" s="125"/>
      <c r="K662" s="125"/>
      <c r="L662" s="125"/>
    </row>
    <row r="663" spans="1:12" s="121" customFormat="1" ht="15">
      <c r="A663" s="362"/>
      <c r="B663" s="616"/>
      <c r="C663" s="367" t="s">
        <v>7</v>
      </c>
      <c r="D663" s="492"/>
      <c r="E663" s="489" t="s">
        <v>16913</v>
      </c>
      <c r="F663" s="489" t="s">
        <v>17064</v>
      </c>
      <c r="G663" s="489" t="s">
        <v>17065</v>
      </c>
      <c r="H663" s="489" t="s">
        <v>15249</v>
      </c>
      <c r="I663" s="489"/>
      <c r="J663" s="125"/>
      <c r="K663" s="125"/>
      <c r="L663" s="125"/>
    </row>
    <row r="664" spans="1:12" s="121" customFormat="1" ht="15">
      <c r="A664" s="362"/>
      <c r="B664" s="616"/>
      <c r="C664" s="367" t="s">
        <v>6</v>
      </c>
      <c r="D664" s="493"/>
      <c r="E664" s="490">
        <v>44295</v>
      </c>
      <c r="F664" s="490">
        <v>44293</v>
      </c>
      <c r="G664" s="490">
        <v>44298</v>
      </c>
      <c r="H664" s="490">
        <v>44295</v>
      </c>
      <c r="I664" s="490"/>
      <c r="J664" s="125"/>
      <c r="K664" s="125"/>
      <c r="L664" s="125"/>
    </row>
    <row r="665" spans="1:12" s="121" customFormat="1" ht="15">
      <c r="A665" s="363"/>
      <c r="B665" s="617"/>
      <c r="C665" s="367" t="s">
        <v>8993</v>
      </c>
      <c r="D665" s="493"/>
      <c r="E665" s="490" t="s">
        <v>16915</v>
      </c>
      <c r="F665" s="490" t="s">
        <v>17066</v>
      </c>
      <c r="G665" s="490" t="s">
        <v>17067</v>
      </c>
      <c r="H665" s="490" t="s">
        <v>15006</v>
      </c>
      <c r="I665" s="490"/>
      <c r="J665" s="125"/>
      <c r="K665" s="125"/>
      <c r="L665" s="125"/>
    </row>
    <row r="666" spans="1:12" s="121" customFormat="1" ht="11.25">
      <c r="A666" s="2"/>
      <c r="B666" s="622"/>
      <c r="C666" s="491"/>
      <c r="D666" s="491"/>
      <c r="E666" s="491"/>
      <c r="F666" s="491"/>
      <c r="G666" s="491"/>
      <c r="H666" s="491"/>
      <c r="I666" s="491"/>
      <c r="J666" s="124"/>
      <c r="K666" s="124"/>
      <c r="L666" s="124"/>
    </row>
    <row r="667" spans="1:12" s="121" customFormat="1" ht="22.5">
      <c r="A667" s="366" t="s">
        <v>14368</v>
      </c>
      <c r="B667" s="626" t="s">
        <v>15763</v>
      </c>
      <c r="C667" s="369">
        <f t="shared" ref="C667" si="64">MIN(E669:I669)</f>
        <v>10.85</v>
      </c>
      <c r="D667" s="370" t="s">
        <v>109</v>
      </c>
      <c r="E667" s="486" t="s">
        <v>16907</v>
      </c>
      <c r="F667" s="486" t="s">
        <v>14746</v>
      </c>
      <c r="G667" s="486" t="s">
        <v>15242</v>
      </c>
      <c r="H667" s="486" t="s">
        <v>15243</v>
      </c>
      <c r="I667" s="486"/>
      <c r="J667" s="125" t="s">
        <v>207</v>
      </c>
      <c r="K667" s="125"/>
      <c r="L667" s="125"/>
    </row>
    <row r="668" spans="1:12" s="121" customFormat="1" ht="33.75">
      <c r="A668" s="361"/>
      <c r="B668" s="615"/>
      <c r="C668" s="367" t="s">
        <v>284</v>
      </c>
      <c r="D668" s="554"/>
      <c r="E668" s="487" t="s">
        <v>16909</v>
      </c>
      <c r="F668" s="487" t="s">
        <v>17062</v>
      </c>
      <c r="G668" s="487" t="s">
        <v>17063</v>
      </c>
      <c r="H668" s="487" t="s">
        <v>15245</v>
      </c>
      <c r="I668" s="487"/>
      <c r="J668" s="125" t="s">
        <v>283</v>
      </c>
      <c r="K668" s="125" t="s">
        <v>280</v>
      </c>
      <c r="L668" s="125" t="s">
        <v>281</v>
      </c>
    </row>
    <row r="669" spans="1:12" s="121" customFormat="1" ht="15">
      <c r="A669" s="362"/>
      <c r="B669" s="616"/>
      <c r="C669" s="367" t="s">
        <v>9</v>
      </c>
      <c r="D669" s="492"/>
      <c r="E669" s="84">
        <v>11.12</v>
      </c>
      <c r="F669" s="488">
        <v>20.85</v>
      </c>
      <c r="G669" s="488">
        <v>10.85</v>
      </c>
      <c r="H669" s="516">
        <v>11.02</v>
      </c>
      <c r="I669" s="488"/>
      <c r="J669" s="125">
        <f t="shared" ref="J669" si="65">MEDIAN(E669:I669)</f>
        <v>11.07</v>
      </c>
      <c r="K669" s="125">
        <f t="shared" si="56"/>
        <v>14.391</v>
      </c>
      <c r="L669" s="125">
        <f t="shared" ref="L669" si="66">J669*0.7</f>
        <v>7.7489999999999997</v>
      </c>
    </row>
    <row r="670" spans="1:12" s="121" customFormat="1" ht="15">
      <c r="A670" s="362"/>
      <c r="B670" s="616"/>
      <c r="C670" s="367" t="s">
        <v>8</v>
      </c>
      <c r="D670" s="492"/>
      <c r="E670" s="487" t="s">
        <v>16911</v>
      </c>
      <c r="F670" s="487" t="s">
        <v>14748</v>
      </c>
      <c r="G670" s="487" t="s">
        <v>15246</v>
      </c>
      <c r="H670" s="487" t="s">
        <v>15247</v>
      </c>
      <c r="I670" s="487"/>
      <c r="J670" s="125"/>
      <c r="K670" s="125"/>
      <c r="L670" s="125"/>
    </row>
    <row r="671" spans="1:12" s="121" customFormat="1" ht="15">
      <c r="A671" s="362"/>
      <c r="B671" s="616"/>
      <c r="C671" s="367" t="s">
        <v>7</v>
      </c>
      <c r="D671" s="492"/>
      <c r="E671" s="489" t="s">
        <v>16913</v>
      </c>
      <c r="F671" s="489" t="s">
        <v>17064</v>
      </c>
      <c r="G671" s="489" t="s">
        <v>17065</v>
      </c>
      <c r="H671" s="489" t="s">
        <v>15249</v>
      </c>
      <c r="I671" s="489"/>
      <c r="J671" s="125"/>
      <c r="K671" s="125"/>
      <c r="L671" s="125"/>
    </row>
    <row r="672" spans="1:12" s="121" customFormat="1" ht="15">
      <c r="A672" s="362"/>
      <c r="B672" s="616"/>
      <c r="C672" s="367" t="s">
        <v>6</v>
      </c>
      <c r="D672" s="493"/>
      <c r="E672" s="490">
        <v>44295</v>
      </c>
      <c r="F672" s="490">
        <v>44293</v>
      </c>
      <c r="G672" s="490">
        <v>44298</v>
      </c>
      <c r="H672" s="490">
        <v>44295</v>
      </c>
      <c r="I672" s="490"/>
      <c r="J672" s="125"/>
      <c r="K672" s="125"/>
      <c r="L672" s="125"/>
    </row>
    <row r="673" spans="1:16" s="121" customFormat="1" ht="15">
      <c r="A673" s="363"/>
      <c r="B673" s="617"/>
      <c r="C673" s="367" t="s">
        <v>8993</v>
      </c>
      <c r="D673" s="493"/>
      <c r="E673" s="490" t="s">
        <v>16915</v>
      </c>
      <c r="F673" s="490" t="s">
        <v>17066</v>
      </c>
      <c r="G673" s="490" t="s">
        <v>17067</v>
      </c>
      <c r="H673" s="490" t="s">
        <v>15006</v>
      </c>
      <c r="I673" s="490"/>
      <c r="J673" s="125"/>
      <c r="K673" s="125"/>
      <c r="L673" s="125"/>
    </row>
    <row r="674" spans="1:16" s="121" customFormat="1" ht="11.25">
      <c r="A674" s="2"/>
      <c r="B674" s="622"/>
      <c r="C674" s="491"/>
      <c r="D674" s="491"/>
      <c r="E674" s="491"/>
      <c r="F674" s="491"/>
      <c r="G674" s="491"/>
      <c r="H674" s="491"/>
      <c r="I674" s="491"/>
      <c r="J674" s="124"/>
      <c r="K674" s="124"/>
      <c r="L674" s="124"/>
    </row>
    <row r="675" spans="1:16" s="121" customFormat="1" ht="22.5">
      <c r="A675" s="366" t="s">
        <v>14369</v>
      </c>
      <c r="B675" s="626" t="s">
        <v>15764</v>
      </c>
      <c r="C675" s="369">
        <f t="shared" ref="C675" si="67">MIN(E677:I677)</f>
        <v>9.42</v>
      </c>
      <c r="D675" s="370" t="s">
        <v>109</v>
      </c>
      <c r="E675" s="486" t="s">
        <v>16907</v>
      </c>
      <c r="F675" s="486" t="s">
        <v>14746</v>
      </c>
      <c r="G675" s="486" t="s">
        <v>15242</v>
      </c>
      <c r="H675" s="486" t="s">
        <v>15243</v>
      </c>
      <c r="I675" s="486"/>
      <c r="J675" s="125" t="s">
        <v>207</v>
      </c>
      <c r="K675" s="125"/>
      <c r="L675" s="125"/>
    </row>
    <row r="676" spans="1:16" s="121" customFormat="1" ht="33.75">
      <c r="A676" s="361"/>
      <c r="B676" s="615"/>
      <c r="C676" s="367" t="s">
        <v>284</v>
      </c>
      <c r="D676" s="554"/>
      <c r="E676" s="487" t="s">
        <v>16909</v>
      </c>
      <c r="F676" s="487" t="s">
        <v>17062</v>
      </c>
      <c r="G676" s="487" t="s">
        <v>17063</v>
      </c>
      <c r="H676" s="487" t="s">
        <v>15245</v>
      </c>
      <c r="I676" s="487"/>
      <c r="J676" s="125" t="s">
        <v>283</v>
      </c>
      <c r="K676" s="125" t="s">
        <v>280</v>
      </c>
      <c r="L676" s="125" t="s">
        <v>281</v>
      </c>
    </row>
    <row r="677" spans="1:16" s="121" customFormat="1" ht="15">
      <c r="A677" s="362"/>
      <c r="B677" s="616"/>
      <c r="C677" s="367" t="s">
        <v>9</v>
      </c>
      <c r="D677" s="492"/>
      <c r="E677" s="84">
        <v>12.02</v>
      </c>
      <c r="F677" s="488">
        <v>16.86</v>
      </c>
      <c r="G677" s="488">
        <v>9.4700000000000006</v>
      </c>
      <c r="H677" s="516">
        <v>9.42</v>
      </c>
      <c r="I677" s="488"/>
      <c r="J677" s="125">
        <f t="shared" ref="J677" si="68">MEDIAN(E677:I677)</f>
        <v>10.745000000000001</v>
      </c>
      <c r="K677" s="125">
        <f t="shared" si="56"/>
        <v>13.968500000000002</v>
      </c>
      <c r="L677" s="125">
        <f t="shared" ref="L677" si="69">J677*0.7</f>
        <v>7.5215000000000005</v>
      </c>
    </row>
    <row r="678" spans="1:16" s="121" customFormat="1" ht="15">
      <c r="A678" s="362"/>
      <c r="B678" s="616"/>
      <c r="C678" s="367" t="s">
        <v>8</v>
      </c>
      <c r="D678" s="492"/>
      <c r="E678" s="487" t="s">
        <v>16911</v>
      </c>
      <c r="F678" s="487" t="s">
        <v>14748</v>
      </c>
      <c r="G678" s="487" t="s">
        <v>15246</v>
      </c>
      <c r="H678" s="487" t="s">
        <v>15247</v>
      </c>
      <c r="I678" s="487"/>
      <c r="J678" s="125"/>
      <c r="K678" s="125"/>
      <c r="L678" s="125"/>
    </row>
    <row r="679" spans="1:16" s="121" customFormat="1" ht="15">
      <c r="A679" s="362"/>
      <c r="B679" s="616"/>
      <c r="C679" s="367" t="s">
        <v>7</v>
      </c>
      <c r="D679" s="492"/>
      <c r="E679" s="489" t="s">
        <v>16913</v>
      </c>
      <c r="F679" s="489" t="s">
        <v>17064</v>
      </c>
      <c r="G679" s="489" t="s">
        <v>17065</v>
      </c>
      <c r="H679" s="489" t="s">
        <v>15249</v>
      </c>
      <c r="I679" s="489"/>
      <c r="J679" s="125"/>
      <c r="K679" s="125"/>
      <c r="L679" s="125"/>
    </row>
    <row r="680" spans="1:16" s="121" customFormat="1" ht="15">
      <c r="A680" s="362"/>
      <c r="B680" s="616"/>
      <c r="C680" s="367" t="s">
        <v>6</v>
      </c>
      <c r="D680" s="493"/>
      <c r="E680" s="490">
        <v>44295</v>
      </c>
      <c r="F680" s="490">
        <v>44293</v>
      </c>
      <c r="G680" s="490">
        <v>44298</v>
      </c>
      <c r="H680" s="490">
        <v>44295</v>
      </c>
      <c r="I680" s="490"/>
      <c r="J680" s="125"/>
      <c r="K680" s="125"/>
      <c r="L680" s="125"/>
    </row>
    <row r="681" spans="1:16" s="121" customFormat="1" ht="15">
      <c r="A681" s="363"/>
      <c r="B681" s="617"/>
      <c r="C681" s="367" t="s">
        <v>8993</v>
      </c>
      <c r="D681" s="493"/>
      <c r="E681" s="490" t="s">
        <v>16915</v>
      </c>
      <c r="F681" s="490" t="s">
        <v>17066</v>
      </c>
      <c r="G681" s="490" t="s">
        <v>17067</v>
      </c>
      <c r="H681" s="490" t="s">
        <v>15006</v>
      </c>
      <c r="I681" s="490"/>
      <c r="J681" s="125"/>
      <c r="K681" s="125"/>
      <c r="L681" s="125"/>
      <c r="P681" s="532"/>
    </row>
    <row r="682" spans="1:16" s="121" customFormat="1" ht="11.25">
      <c r="A682" s="2"/>
      <c r="B682" s="622"/>
      <c r="C682" s="491"/>
      <c r="D682" s="491"/>
      <c r="E682" s="491"/>
      <c r="F682" s="491"/>
      <c r="G682" s="491"/>
      <c r="H682" s="491"/>
      <c r="I682" s="491"/>
      <c r="J682" s="124"/>
      <c r="K682" s="124"/>
      <c r="L682" s="124"/>
    </row>
    <row r="683" spans="1:16" s="121" customFormat="1" ht="22.5">
      <c r="A683" s="366" t="s">
        <v>14370</v>
      </c>
      <c r="B683" s="626" t="s">
        <v>15765</v>
      </c>
      <c r="C683" s="369">
        <f t="shared" ref="C683" si="70">MIN(E685:I685)</f>
        <v>9.5266666666666655</v>
      </c>
      <c r="D683" s="370" t="s">
        <v>5</v>
      </c>
      <c r="E683" s="486" t="s">
        <v>16907</v>
      </c>
      <c r="F683" s="486" t="s">
        <v>14746</v>
      </c>
      <c r="G683" s="486" t="s">
        <v>15242</v>
      </c>
      <c r="H683" s="486" t="s">
        <v>15243</v>
      </c>
      <c r="I683" s="486" t="s">
        <v>18219</v>
      </c>
      <c r="J683" s="125" t="s">
        <v>207</v>
      </c>
      <c r="K683" s="125"/>
      <c r="L683" s="125"/>
    </row>
    <row r="684" spans="1:16" s="121" customFormat="1" ht="33.75">
      <c r="A684" s="361"/>
      <c r="B684" s="615"/>
      <c r="C684" s="367" t="s">
        <v>284</v>
      </c>
      <c r="D684" s="554"/>
      <c r="E684" s="487" t="s">
        <v>16909</v>
      </c>
      <c r="F684" s="487" t="s">
        <v>17062</v>
      </c>
      <c r="G684" s="487" t="s">
        <v>17063</v>
      </c>
      <c r="H684" s="487" t="s">
        <v>15245</v>
      </c>
      <c r="I684" s="675">
        <v>6532020</v>
      </c>
      <c r="J684" s="125" t="s">
        <v>283</v>
      </c>
      <c r="K684" s="125" t="s">
        <v>280</v>
      </c>
      <c r="L684" s="125" t="s">
        <v>281</v>
      </c>
    </row>
    <row r="685" spans="1:16" s="121" customFormat="1" ht="15">
      <c r="A685" s="362"/>
      <c r="B685" s="616"/>
      <c r="C685" s="367" t="s">
        <v>9</v>
      </c>
      <c r="D685" s="492"/>
      <c r="E685" s="84">
        <f>48.32/3</f>
        <v>16.106666666666666</v>
      </c>
      <c r="F685" s="488">
        <f>93.71/3</f>
        <v>31.236666666666665</v>
      </c>
      <c r="G685" s="488">
        <f>41.31/3</f>
        <v>13.770000000000001</v>
      </c>
      <c r="H685" s="516">
        <f>28.58/3</f>
        <v>9.5266666666666655</v>
      </c>
      <c r="I685" s="84">
        <f>35</f>
        <v>35</v>
      </c>
      <c r="J685" s="125">
        <f t="shared" ref="J685" si="71">MEDIAN(E685:I685)</f>
        <v>16.106666666666666</v>
      </c>
      <c r="K685" s="125">
        <f t="shared" si="56"/>
        <v>20.938666666666666</v>
      </c>
      <c r="L685" s="125">
        <f t="shared" ref="L685" si="72">J685*0.7</f>
        <v>11.274666666666665</v>
      </c>
    </row>
    <row r="686" spans="1:16" s="121" customFormat="1" ht="15">
      <c r="A686" s="362"/>
      <c r="B686" s="616"/>
      <c r="C686" s="367" t="s">
        <v>8</v>
      </c>
      <c r="D686" s="492"/>
      <c r="E686" s="487" t="s">
        <v>16911</v>
      </c>
      <c r="F686" s="487" t="s">
        <v>14748</v>
      </c>
      <c r="G686" s="487" t="s">
        <v>15246</v>
      </c>
      <c r="H686" s="487" t="s">
        <v>15247</v>
      </c>
      <c r="I686" s="487"/>
      <c r="J686" s="125"/>
      <c r="K686" s="125"/>
      <c r="L686" s="125"/>
    </row>
    <row r="687" spans="1:16" s="121" customFormat="1" ht="15">
      <c r="A687" s="362"/>
      <c r="B687" s="616"/>
      <c r="C687" s="367" t="s">
        <v>7</v>
      </c>
      <c r="D687" s="492"/>
      <c r="E687" s="489" t="s">
        <v>16913</v>
      </c>
      <c r="F687" s="489" t="s">
        <v>17064</v>
      </c>
      <c r="G687" s="489" t="s">
        <v>17065</v>
      </c>
      <c r="H687" s="489" t="s">
        <v>15249</v>
      </c>
      <c r="I687" s="489"/>
      <c r="J687" s="125"/>
      <c r="K687" s="125"/>
      <c r="L687" s="125"/>
    </row>
    <row r="688" spans="1:16" s="121" customFormat="1" ht="15">
      <c r="A688" s="362"/>
      <c r="B688" s="616"/>
      <c r="C688" s="367" t="s">
        <v>6</v>
      </c>
      <c r="D688" s="493"/>
      <c r="E688" s="490">
        <v>44295</v>
      </c>
      <c r="F688" s="490">
        <v>44293</v>
      </c>
      <c r="G688" s="490">
        <v>44298</v>
      </c>
      <c r="H688" s="490">
        <v>44295</v>
      </c>
      <c r="I688" s="490">
        <v>44103</v>
      </c>
      <c r="J688" s="125"/>
      <c r="K688" s="125"/>
      <c r="L688" s="125"/>
    </row>
    <row r="689" spans="1:12" s="121" customFormat="1" ht="15">
      <c r="A689" s="363"/>
      <c r="B689" s="617"/>
      <c r="C689" s="367" t="s">
        <v>8993</v>
      </c>
      <c r="D689" s="493"/>
      <c r="E689" s="490" t="s">
        <v>16915</v>
      </c>
      <c r="F689" s="490" t="s">
        <v>17066</v>
      </c>
      <c r="G689" s="490" t="s">
        <v>17067</v>
      </c>
      <c r="H689" s="490" t="s">
        <v>15006</v>
      </c>
      <c r="I689" s="490" t="s">
        <v>18220</v>
      </c>
      <c r="J689" s="125"/>
      <c r="K689" s="125"/>
      <c r="L689" s="125"/>
    </row>
    <row r="690" spans="1:12" s="121" customFormat="1" ht="11.25">
      <c r="A690" s="2"/>
      <c r="B690" s="622"/>
      <c r="C690" s="491"/>
      <c r="D690" s="491"/>
      <c r="E690" s="491"/>
      <c r="F690" s="491"/>
      <c r="G690" s="491"/>
      <c r="H690" s="491"/>
      <c r="I690" s="491"/>
      <c r="J690" s="124"/>
      <c r="K690" s="124"/>
      <c r="L690" s="124"/>
    </row>
    <row r="691" spans="1:12" s="121" customFormat="1" ht="22.5">
      <c r="A691" s="366" t="s">
        <v>14381</v>
      </c>
      <c r="B691" s="626" t="s">
        <v>15766</v>
      </c>
      <c r="C691" s="369">
        <f t="shared" ref="C691" si="73">MIN(E693:I693)</f>
        <v>6.3500000000000005</v>
      </c>
      <c r="D691" s="370" t="s">
        <v>5</v>
      </c>
      <c r="E691" s="486" t="s">
        <v>16907</v>
      </c>
      <c r="F691" s="486" t="s">
        <v>14746</v>
      </c>
      <c r="G691" s="486" t="s">
        <v>15242</v>
      </c>
      <c r="H691" s="486" t="s">
        <v>15243</v>
      </c>
      <c r="I691" s="486" t="s">
        <v>18219</v>
      </c>
      <c r="J691" s="125" t="s">
        <v>207</v>
      </c>
      <c r="K691" s="125"/>
      <c r="L691" s="125"/>
    </row>
    <row r="692" spans="1:12" s="121" customFormat="1" ht="33.75">
      <c r="A692" s="361"/>
      <c r="B692" s="615"/>
      <c r="C692" s="367" t="s">
        <v>284</v>
      </c>
      <c r="D692" s="554"/>
      <c r="E692" s="487" t="s">
        <v>16909</v>
      </c>
      <c r="F692" s="487" t="s">
        <v>17062</v>
      </c>
      <c r="G692" s="487" t="s">
        <v>17063</v>
      </c>
      <c r="H692" s="487" t="s">
        <v>15245</v>
      </c>
      <c r="I692" s="675" t="s">
        <v>18238</v>
      </c>
      <c r="J692" s="125" t="s">
        <v>283</v>
      </c>
      <c r="K692" s="125" t="s">
        <v>280</v>
      </c>
      <c r="L692" s="125" t="s">
        <v>281</v>
      </c>
    </row>
    <row r="693" spans="1:12" s="121" customFormat="1" ht="15">
      <c r="A693" s="362"/>
      <c r="B693" s="616"/>
      <c r="C693" s="367" t="s">
        <v>9</v>
      </c>
      <c r="D693" s="492"/>
      <c r="E693" s="84">
        <f>34.35/3</f>
        <v>11.450000000000001</v>
      </c>
      <c r="F693" s="488">
        <f>63.89/3</f>
        <v>21.296666666666667</v>
      </c>
      <c r="G693" s="488">
        <f>27.54/3</f>
        <v>9.18</v>
      </c>
      <c r="H693" s="516">
        <f>19.05/3</f>
        <v>6.3500000000000005</v>
      </c>
      <c r="I693" s="84">
        <v>12.1</v>
      </c>
      <c r="J693" s="125">
        <f t="shared" ref="J693" si="74">MEDIAN(E693:I693)</f>
        <v>11.450000000000001</v>
      </c>
      <c r="K693" s="125">
        <f t="shared" ref="K693:K741" si="75">J693*1.3</f>
        <v>14.885000000000002</v>
      </c>
      <c r="L693" s="125">
        <f t="shared" ref="L693" si="76">J693*0.7</f>
        <v>8.0150000000000006</v>
      </c>
    </row>
    <row r="694" spans="1:12" s="121" customFormat="1" ht="15">
      <c r="A694" s="362"/>
      <c r="B694" s="616"/>
      <c r="C694" s="367" t="s">
        <v>8</v>
      </c>
      <c r="D694" s="492"/>
      <c r="E694" s="487" t="s">
        <v>16911</v>
      </c>
      <c r="F694" s="487" t="s">
        <v>14748</v>
      </c>
      <c r="G694" s="487" t="s">
        <v>15246</v>
      </c>
      <c r="H694" s="487" t="s">
        <v>15247</v>
      </c>
      <c r="I694" s="487"/>
      <c r="J694" s="125"/>
      <c r="K694" s="125"/>
      <c r="L694" s="125"/>
    </row>
    <row r="695" spans="1:12" s="121" customFormat="1" ht="15">
      <c r="A695" s="362"/>
      <c r="B695" s="616"/>
      <c r="C695" s="367" t="s">
        <v>7</v>
      </c>
      <c r="D695" s="492"/>
      <c r="E695" s="489" t="s">
        <v>16913</v>
      </c>
      <c r="F695" s="489" t="s">
        <v>17064</v>
      </c>
      <c r="G695" s="489" t="s">
        <v>17065</v>
      </c>
      <c r="H695" s="489" t="s">
        <v>15249</v>
      </c>
      <c r="I695" s="489"/>
      <c r="J695" s="125"/>
      <c r="K695" s="125"/>
      <c r="L695" s="125"/>
    </row>
    <row r="696" spans="1:12" s="121" customFormat="1" ht="15">
      <c r="A696" s="362"/>
      <c r="B696" s="616"/>
      <c r="C696" s="367" t="s">
        <v>6</v>
      </c>
      <c r="D696" s="493"/>
      <c r="E696" s="490">
        <v>44295</v>
      </c>
      <c r="F696" s="490">
        <v>44293</v>
      </c>
      <c r="G696" s="490">
        <v>44298</v>
      </c>
      <c r="H696" s="490">
        <v>44295</v>
      </c>
      <c r="I696" s="490">
        <v>44092</v>
      </c>
      <c r="J696" s="125"/>
      <c r="K696" s="125"/>
      <c r="L696" s="125"/>
    </row>
    <row r="697" spans="1:12" s="121" customFormat="1" ht="15">
      <c r="A697" s="363"/>
      <c r="B697" s="617"/>
      <c r="C697" s="367" t="s">
        <v>8993</v>
      </c>
      <c r="D697" s="493"/>
      <c r="E697" s="490" t="s">
        <v>16915</v>
      </c>
      <c r="F697" s="490" t="s">
        <v>17066</v>
      </c>
      <c r="G697" s="490" t="s">
        <v>17067</v>
      </c>
      <c r="H697" s="490" t="s">
        <v>15006</v>
      </c>
      <c r="I697" s="490" t="s">
        <v>18220</v>
      </c>
      <c r="J697" s="125"/>
      <c r="K697" s="125"/>
      <c r="L697" s="125"/>
    </row>
    <row r="698" spans="1:12" s="121" customFormat="1" ht="11.25">
      <c r="A698" s="2"/>
      <c r="B698" s="622"/>
      <c r="C698" s="491"/>
      <c r="D698" s="491"/>
      <c r="E698" s="491"/>
      <c r="F698" s="491"/>
      <c r="G698" s="491"/>
      <c r="H698" s="491"/>
      <c r="I698" s="491"/>
      <c r="J698" s="124"/>
      <c r="K698" s="124"/>
      <c r="L698" s="124"/>
    </row>
    <row r="699" spans="1:12" s="121" customFormat="1" ht="11.25">
      <c r="A699" s="366" t="s">
        <v>14382</v>
      </c>
      <c r="B699" s="626" t="s">
        <v>15767</v>
      </c>
      <c r="C699" s="369">
        <f t="shared" ref="C699" si="77">MIN(E701:I701)</f>
        <v>35.409999999999997</v>
      </c>
      <c r="D699" s="370" t="s">
        <v>109</v>
      </c>
      <c r="E699" s="486" t="s">
        <v>16841</v>
      </c>
      <c r="F699" s="486" t="s">
        <v>14756</v>
      </c>
      <c r="G699" s="486" t="s">
        <v>15007</v>
      </c>
      <c r="H699" s="486" t="s">
        <v>18219</v>
      </c>
      <c r="I699" s="486"/>
      <c r="J699" s="125" t="s">
        <v>207</v>
      </c>
      <c r="K699" s="125"/>
      <c r="L699" s="125"/>
    </row>
    <row r="700" spans="1:12" s="121" customFormat="1" ht="22.5">
      <c r="A700" s="361"/>
      <c r="B700" s="615"/>
      <c r="C700" s="367" t="s">
        <v>284</v>
      </c>
      <c r="D700" s="554"/>
      <c r="E700" s="487" t="s">
        <v>16842</v>
      </c>
      <c r="F700" s="487" t="s">
        <v>14757</v>
      </c>
      <c r="G700" s="487" t="s">
        <v>15008</v>
      </c>
      <c r="H700" s="675" t="s">
        <v>18242</v>
      </c>
      <c r="I700" s="487"/>
      <c r="J700" s="125" t="s">
        <v>283</v>
      </c>
      <c r="K700" s="125" t="s">
        <v>280</v>
      </c>
      <c r="L700" s="125" t="s">
        <v>281</v>
      </c>
    </row>
    <row r="701" spans="1:12" s="121" customFormat="1" ht="15">
      <c r="A701" s="362"/>
      <c r="B701" s="616"/>
      <c r="C701" s="367" t="s">
        <v>9</v>
      </c>
      <c r="D701" s="492"/>
      <c r="E701" s="84">
        <v>35.409999999999997</v>
      </c>
      <c r="F701" s="488">
        <v>46.97</v>
      </c>
      <c r="G701" s="488">
        <v>41.91</v>
      </c>
      <c r="H701" s="84">
        <v>45.5</v>
      </c>
      <c r="I701" s="84"/>
      <c r="J701" s="125">
        <f t="shared" ref="J701" si="78">MEDIAN(E701:I701)</f>
        <v>43.704999999999998</v>
      </c>
      <c r="K701" s="125">
        <f t="shared" si="75"/>
        <v>56.816499999999998</v>
      </c>
      <c r="L701" s="125">
        <f t="shared" ref="L701" si="79">J701*0.7</f>
        <v>30.593499999999995</v>
      </c>
    </row>
    <row r="702" spans="1:12" s="121" customFormat="1" ht="15">
      <c r="A702" s="362"/>
      <c r="B702" s="616"/>
      <c r="C702" s="367" t="s">
        <v>8</v>
      </c>
      <c r="D702" s="492"/>
      <c r="E702" s="487" t="s">
        <v>14751</v>
      </c>
      <c r="F702" s="487" t="s">
        <v>14758</v>
      </c>
      <c r="G702" s="487" t="s">
        <v>15009</v>
      </c>
      <c r="H702" s="487"/>
      <c r="I702" s="487"/>
      <c r="J702" s="125"/>
      <c r="K702" s="125"/>
      <c r="L702" s="125"/>
    </row>
    <row r="703" spans="1:12" s="121" customFormat="1" ht="15">
      <c r="A703" s="362"/>
      <c r="B703" s="616"/>
      <c r="C703" s="367" t="s">
        <v>7</v>
      </c>
      <c r="D703" s="492"/>
      <c r="E703" s="489" t="s">
        <v>16843</v>
      </c>
      <c r="F703" s="489" t="s">
        <v>14759</v>
      </c>
      <c r="G703" s="489" t="s">
        <v>15171</v>
      </c>
      <c r="H703" s="489"/>
      <c r="I703" s="489"/>
      <c r="J703" s="125"/>
      <c r="K703" s="125"/>
      <c r="L703" s="125"/>
    </row>
    <row r="704" spans="1:12" s="121" customFormat="1" ht="15">
      <c r="A704" s="362"/>
      <c r="B704" s="616"/>
      <c r="C704" s="367" t="s">
        <v>6</v>
      </c>
      <c r="D704" s="493"/>
      <c r="E704" s="490">
        <v>44294</v>
      </c>
      <c r="F704" s="490">
        <v>44294</v>
      </c>
      <c r="G704" s="490">
        <v>44294</v>
      </c>
      <c r="H704" s="490">
        <v>44285</v>
      </c>
      <c r="I704" s="490"/>
      <c r="J704" s="125"/>
      <c r="K704" s="125"/>
      <c r="L704" s="125"/>
    </row>
    <row r="705" spans="1:12" s="121" customFormat="1" ht="15">
      <c r="A705" s="363"/>
      <c r="B705" s="617"/>
      <c r="C705" s="367" t="s">
        <v>8993</v>
      </c>
      <c r="D705" s="493"/>
      <c r="E705" s="490" t="s">
        <v>16844</v>
      </c>
      <c r="F705" s="490" t="s">
        <v>16844</v>
      </c>
      <c r="G705" s="490" t="s">
        <v>16844</v>
      </c>
      <c r="H705" s="490" t="s">
        <v>18220</v>
      </c>
      <c r="I705" s="490"/>
      <c r="J705" s="125"/>
      <c r="K705" s="125"/>
      <c r="L705" s="125"/>
    </row>
    <row r="706" spans="1:12" s="121" customFormat="1" ht="11.25">
      <c r="A706" s="2"/>
      <c r="B706" s="622"/>
      <c r="C706" s="491"/>
      <c r="D706" s="491"/>
      <c r="E706" s="491"/>
      <c r="F706" s="491"/>
      <c r="G706" s="491"/>
      <c r="H706" s="491"/>
      <c r="I706" s="491"/>
      <c r="J706" s="124"/>
      <c r="K706" s="124"/>
      <c r="L706" s="124"/>
    </row>
    <row r="707" spans="1:12" s="121" customFormat="1" ht="11.25">
      <c r="A707" s="366" t="s">
        <v>14383</v>
      </c>
      <c r="B707" s="626" t="s">
        <v>15768</v>
      </c>
      <c r="C707" s="369">
        <f t="shared" ref="C707" si="80">MIN(E709:I709)</f>
        <v>33.909999999999997</v>
      </c>
      <c r="D707" s="370" t="s">
        <v>109</v>
      </c>
      <c r="E707" s="486" t="s">
        <v>16841</v>
      </c>
      <c r="F707" s="486" t="s">
        <v>14756</v>
      </c>
      <c r="G707" s="486" t="s">
        <v>15007</v>
      </c>
      <c r="H707" s="486" t="s">
        <v>18219</v>
      </c>
      <c r="I707" s="486"/>
      <c r="J707" s="125" t="s">
        <v>207</v>
      </c>
      <c r="K707" s="125"/>
      <c r="L707" s="125"/>
    </row>
    <row r="708" spans="1:12" s="121" customFormat="1" ht="22.5">
      <c r="A708" s="361"/>
      <c r="B708" s="615"/>
      <c r="C708" s="367" t="s">
        <v>284</v>
      </c>
      <c r="D708" s="554"/>
      <c r="E708" s="487" t="s">
        <v>16842</v>
      </c>
      <c r="F708" s="487" t="s">
        <v>14757</v>
      </c>
      <c r="G708" s="487" t="s">
        <v>15008</v>
      </c>
      <c r="H708" s="675" t="s">
        <v>18243</v>
      </c>
      <c r="I708" s="487"/>
      <c r="J708" s="125" t="s">
        <v>283</v>
      </c>
      <c r="K708" s="125" t="s">
        <v>280</v>
      </c>
      <c r="L708" s="125" t="s">
        <v>281</v>
      </c>
    </row>
    <row r="709" spans="1:12" s="121" customFormat="1" ht="15">
      <c r="A709" s="362"/>
      <c r="B709" s="616"/>
      <c r="C709" s="367" t="s">
        <v>9</v>
      </c>
      <c r="D709" s="492"/>
      <c r="E709" s="84">
        <v>33.909999999999997</v>
      </c>
      <c r="F709" s="488">
        <v>44.98</v>
      </c>
      <c r="G709" s="488">
        <v>40.14</v>
      </c>
      <c r="H709" s="84">
        <v>34.01</v>
      </c>
      <c r="I709" s="84"/>
      <c r="J709" s="125">
        <f t="shared" ref="J709" si="81">MEDIAN(E709:I709)</f>
        <v>37.075000000000003</v>
      </c>
      <c r="K709" s="125">
        <f t="shared" si="75"/>
        <v>48.197500000000005</v>
      </c>
      <c r="L709" s="125">
        <f t="shared" ref="L709" si="82">J709*0.7</f>
        <v>25.952500000000001</v>
      </c>
    </row>
    <row r="710" spans="1:12" s="121" customFormat="1" ht="15">
      <c r="A710" s="362"/>
      <c r="B710" s="616"/>
      <c r="C710" s="367" t="s">
        <v>8</v>
      </c>
      <c r="D710" s="492"/>
      <c r="E710" s="487" t="s">
        <v>14751</v>
      </c>
      <c r="F710" s="487" t="s">
        <v>14758</v>
      </c>
      <c r="G710" s="487" t="s">
        <v>15009</v>
      </c>
      <c r="H710" s="487"/>
      <c r="I710" s="487"/>
      <c r="J710" s="125"/>
      <c r="K710" s="125"/>
      <c r="L710" s="125"/>
    </row>
    <row r="711" spans="1:12" s="121" customFormat="1" ht="15">
      <c r="A711" s="362"/>
      <c r="B711" s="616"/>
      <c r="C711" s="367" t="s">
        <v>7</v>
      </c>
      <c r="D711" s="492"/>
      <c r="E711" s="489" t="s">
        <v>16843</v>
      </c>
      <c r="F711" s="489" t="s">
        <v>14759</v>
      </c>
      <c r="G711" s="489" t="s">
        <v>15171</v>
      </c>
      <c r="H711" s="489"/>
      <c r="I711" s="489"/>
      <c r="J711" s="125"/>
      <c r="K711" s="125"/>
      <c r="L711" s="125"/>
    </row>
    <row r="712" spans="1:12" s="121" customFormat="1" ht="15">
      <c r="A712" s="362"/>
      <c r="B712" s="616"/>
      <c r="C712" s="367" t="s">
        <v>6</v>
      </c>
      <c r="D712" s="493"/>
      <c r="E712" s="490">
        <v>44294</v>
      </c>
      <c r="F712" s="490">
        <v>44294</v>
      </c>
      <c r="G712" s="490">
        <v>44294</v>
      </c>
      <c r="H712" s="490">
        <v>44113</v>
      </c>
      <c r="I712" s="490"/>
      <c r="J712" s="125"/>
      <c r="K712" s="125"/>
      <c r="L712" s="125"/>
    </row>
    <row r="713" spans="1:12" s="121" customFormat="1" ht="15">
      <c r="A713" s="363"/>
      <c r="B713" s="617"/>
      <c r="C713" s="367" t="s">
        <v>8993</v>
      </c>
      <c r="D713" s="493"/>
      <c r="E713" s="490" t="s">
        <v>15005</v>
      </c>
      <c r="F713" s="490" t="s">
        <v>15005</v>
      </c>
      <c r="G713" s="490" t="s">
        <v>15005</v>
      </c>
      <c r="H713" s="490" t="s">
        <v>18220</v>
      </c>
      <c r="I713" s="490"/>
      <c r="J713" s="125"/>
      <c r="K713" s="125"/>
      <c r="L713" s="125"/>
    </row>
    <row r="714" spans="1:12" s="121" customFormat="1" ht="11.25">
      <c r="A714" s="2"/>
      <c r="B714" s="622"/>
      <c r="C714" s="491"/>
      <c r="D714" s="491"/>
      <c r="E714" s="491"/>
      <c r="F714" s="491"/>
      <c r="G714" s="491"/>
      <c r="H714" s="491"/>
      <c r="I714" s="491"/>
      <c r="J714" s="124"/>
      <c r="K714" s="124"/>
      <c r="L714" s="124"/>
    </row>
    <row r="715" spans="1:12" s="121" customFormat="1" ht="11.25">
      <c r="A715" s="366" t="s">
        <v>14384</v>
      </c>
      <c r="B715" s="626" t="s">
        <v>15769</v>
      </c>
      <c r="C715" s="369">
        <f t="shared" ref="C715" si="83">MIN(E717:I717)</f>
        <v>36.659999999999997</v>
      </c>
      <c r="D715" s="370" t="s">
        <v>109</v>
      </c>
      <c r="E715" s="486" t="s">
        <v>16841</v>
      </c>
      <c r="F715" s="486" t="s">
        <v>14756</v>
      </c>
      <c r="G715" s="486" t="s">
        <v>15007</v>
      </c>
      <c r="H715" s="486" t="s">
        <v>18219</v>
      </c>
      <c r="I715" s="486"/>
      <c r="J715" s="125" t="s">
        <v>207</v>
      </c>
      <c r="K715" s="125"/>
      <c r="L715" s="125"/>
    </row>
    <row r="716" spans="1:12" s="121" customFormat="1" ht="22.5">
      <c r="A716" s="361"/>
      <c r="B716" s="615"/>
      <c r="C716" s="367" t="s">
        <v>284</v>
      </c>
      <c r="D716" s="554"/>
      <c r="E716" s="487" t="s">
        <v>16842</v>
      </c>
      <c r="F716" s="487" t="s">
        <v>14757</v>
      </c>
      <c r="G716" s="487" t="s">
        <v>15008</v>
      </c>
      <c r="H716" s="675" t="s">
        <v>18244</v>
      </c>
      <c r="I716" s="487"/>
      <c r="J716" s="125" t="s">
        <v>283</v>
      </c>
      <c r="K716" s="125" t="s">
        <v>280</v>
      </c>
      <c r="L716" s="125" t="s">
        <v>281</v>
      </c>
    </row>
    <row r="717" spans="1:12" s="121" customFormat="1" ht="15">
      <c r="A717" s="362"/>
      <c r="B717" s="616"/>
      <c r="C717" s="367" t="s">
        <v>9</v>
      </c>
      <c r="D717" s="492"/>
      <c r="E717" s="84">
        <v>36.659999999999997</v>
      </c>
      <c r="F717" s="488">
        <v>48.63</v>
      </c>
      <c r="G717" s="488">
        <v>43.4</v>
      </c>
      <c r="H717" s="84">
        <v>46.89</v>
      </c>
      <c r="I717" s="84"/>
      <c r="J717" s="125">
        <f t="shared" ref="J717" si="84">MEDIAN(E717:I717)</f>
        <v>45.144999999999996</v>
      </c>
      <c r="K717" s="125">
        <f t="shared" si="75"/>
        <v>58.688499999999998</v>
      </c>
      <c r="L717" s="125">
        <f t="shared" ref="L717" si="85">J717*0.7</f>
        <v>31.601499999999994</v>
      </c>
    </row>
    <row r="718" spans="1:12" s="121" customFormat="1" ht="15">
      <c r="A718" s="362"/>
      <c r="B718" s="616"/>
      <c r="C718" s="367" t="s">
        <v>8</v>
      </c>
      <c r="D718" s="492"/>
      <c r="E718" s="487" t="s">
        <v>14751</v>
      </c>
      <c r="F718" s="487" t="s">
        <v>14758</v>
      </c>
      <c r="G718" s="487" t="s">
        <v>15009</v>
      </c>
      <c r="H718" s="487"/>
      <c r="I718" s="487"/>
      <c r="J718" s="125"/>
      <c r="K718" s="125"/>
      <c r="L718" s="125"/>
    </row>
    <row r="719" spans="1:12" s="121" customFormat="1" ht="15">
      <c r="A719" s="362"/>
      <c r="B719" s="616"/>
      <c r="C719" s="367" t="s">
        <v>7</v>
      </c>
      <c r="D719" s="492"/>
      <c r="E719" s="489" t="s">
        <v>16843</v>
      </c>
      <c r="F719" s="489" t="s">
        <v>14759</v>
      </c>
      <c r="G719" s="489" t="s">
        <v>15171</v>
      </c>
      <c r="H719" s="489"/>
      <c r="I719" s="489"/>
      <c r="J719" s="125"/>
      <c r="K719" s="125"/>
      <c r="L719" s="125"/>
    </row>
    <row r="720" spans="1:12" s="121" customFormat="1" ht="15">
      <c r="A720" s="362"/>
      <c r="B720" s="616"/>
      <c r="C720" s="367" t="s">
        <v>6</v>
      </c>
      <c r="D720" s="493"/>
      <c r="E720" s="490">
        <v>44294</v>
      </c>
      <c r="F720" s="490">
        <v>44294</v>
      </c>
      <c r="G720" s="490">
        <v>44294</v>
      </c>
      <c r="H720" s="490">
        <v>44151</v>
      </c>
      <c r="I720" s="490"/>
      <c r="J720" s="125"/>
      <c r="K720" s="125"/>
      <c r="L720" s="125"/>
    </row>
    <row r="721" spans="1:12" s="121" customFormat="1" ht="15">
      <c r="A721" s="363"/>
      <c r="B721" s="617"/>
      <c r="C721" s="367" t="s">
        <v>8993</v>
      </c>
      <c r="D721" s="493"/>
      <c r="E721" s="490" t="s">
        <v>16845</v>
      </c>
      <c r="F721" s="490" t="s">
        <v>16845</v>
      </c>
      <c r="G721" s="490" t="s">
        <v>16845</v>
      </c>
      <c r="H721" s="490" t="s">
        <v>18220</v>
      </c>
      <c r="I721" s="490"/>
      <c r="J721" s="125"/>
      <c r="K721" s="125"/>
      <c r="L721" s="125"/>
    </row>
    <row r="722" spans="1:12" s="121" customFormat="1" ht="11.25">
      <c r="A722" s="2"/>
      <c r="B722" s="622"/>
      <c r="C722" s="491"/>
      <c r="D722" s="491"/>
      <c r="E722" s="491"/>
      <c r="F722" s="491"/>
      <c r="G722" s="491"/>
      <c r="H722" s="491"/>
      <c r="I722" s="491"/>
      <c r="J722" s="124"/>
      <c r="K722" s="124"/>
      <c r="L722" s="124"/>
    </row>
    <row r="723" spans="1:12" s="121" customFormat="1" ht="11.25">
      <c r="A723" s="366" t="s">
        <v>14385</v>
      </c>
      <c r="B723" s="626" t="s">
        <v>15770</v>
      </c>
      <c r="C723" s="369">
        <f t="shared" ref="C723" si="86">MIN(E725:I725)</f>
        <v>45.57</v>
      </c>
      <c r="D723" s="370" t="s">
        <v>109</v>
      </c>
      <c r="E723" s="486" t="s">
        <v>16841</v>
      </c>
      <c r="F723" s="486" t="s">
        <v>14756</v>
      </c>
      <c r="G723" s="486" t="s">
        <v>15007</v>
      </c>
      <c r="H723" s="486" t="s">
        <v>18219</v>
      </c>
      <c r="I723" s="486"/>
      <c r="J723" s="125" t="s">
        <v>207</v>
      </c>
      <c r="K723" s="125"/>
      <c r="L723" s="125"/>
    </row>
    <row r="724" spans="1:12" s="121" customFormat="1" ht="22.5">
      <c r="A724" s="361"/>
      <c r="B724" s="615"/>
      <c r="C724" s="367" t="s">
        <v>284</v>
      </c>
      <c r="D724" s="554"/>
      <c r="E724" s="487" t="s">
        <v>16842</v>
      </c>
      <c r="F724" s="487" t="s">
        <v>14757</v>
      </c>
      <c r="G724" s="487" t="s">
        <v>15008</v>
      </c>
      <c r="H724" s="675" t="s">
        <v>18244</v>
      </c>
      <c r="I724" s="487"/>
      <c r="J724" s="125" t="s">
        <v>283</v>
      </c>
      <c r="K724" s="125" t="s">
        <v>280</v>
      </c>
      <c r="L724" s="125" t="s">
        <v>281</v>
      </c>
    </row>
    <row r="725" spans="1:12" s="121" customFormat="1" ht="15">
      <c r="A725" s="362"/>
      <c r="B725" s="616"/>
      <c r="C725" s="367" t="s">
        <v>9</v>
      </c>
      <c r="D725" s="492"/>
      <c r="E725" s="84">
        <v>45.57</v>
      </c>
      <c r="F725" s="488">
        <v>60.45</v>
      </c>
      <c r="G725" s="488">
        <v>53.94</v>
      </c>
      <c r="H725" s="84">
        <v>46.89</v>
      </c>
      <c r="I725" s="84"/>
      <c r="J725" s="125">
        <f t="shared" ref="J725" si="87">MEDIAN(E725:I725)</f>
        <v>50.414999999999999</v>
      </c>
      <c r="K725" s="125">
        <f t="shared" si="75"/>
        <v>65.539500000000004</v>
      </c>
      <c r="L725" s="125">
        <f t="shared" ref="L725" si="88">J725*0.7</f>
        <v>35.290499999999994</v>
      </c>
    </row>
    <row r="726" spans="1:12" s="121" customFormat="1" ht="15">
      <c r="A726" s="362"/>
      <c r="B726" s="616"/>
      <c r="C726" s="367" t="s">
        <v>8</v>
      </c>
      <c r="D726" s="492"/>
      <c r="E726" s="487" t="s">
        <v>14751</v>
      </c>
      <c r="F726" s="487" t="s">
        <v>14758</v>
      </c>
      <c r="G726" s="487" t="s">
        <v>15009</v>
      </c>
      <c r="H726" s="487"/>
      <c r="I726" s="487"/>
      <c r="J726" s="125"/>
      <c r="K726" s="125"/>
      <c r="L726" s="125"/>
    </row>
    <row r="727" spans="1:12" s="121" customFormat="1" ht="15">
      <c r="A727" s="362"/>
      <c r="B727" s="616"/>
      <c r="C727" s="367" t="s">
        <v>7</v>
      </c>
      <c r="D727" s="492"/>
      <c r="E727" s="489" t="s">
        <v>16843</v>
      </c>
      <c r="F727" s="489" t="s">
        <v>14759</v>
      </c>
      <c r="G727" s="489" t="s">
        <v>15171</v>
      </c>
      <c r="H727" s="489"/>
      <c r="I727" s="489"/>
      <c r="J727" s="125"/>
      <c r="K727" s="125"/>
      <c r="L727" s="125"/>
    </row>
    <row r="728" spans="1:12" s="121" customFormat="1" ht="15">
      <c r="A728" s="362"/>
      <c r="B728" s="616"/>
      <c r="C728" s="367" t="s">
        <v>6</v>
      </c>
      <c r="D728" s="493"/>
      <c r="E728" s="490">
        <v>44294</v>
      </c>
      <c r="F728" s="490">
        <v>44294</v>
      </c>
      <c r="G728" s="490">
        <v>44294</v>
      </c>
      <c r="H728" s="490">
        <v>44151</v>
      </c>
      <c r="I728" s="490"/>
      <c r="J728" s="125"/>
      <c r="K728" s="125"/>
      <c r="L728" s="125"/>
    </row>
    <row r="729" spans="1:12" s="121" customFormat="1" ht="15">
      <c r="A729" s="363"/>
      <c r="B729" s="617"/>
      <c r="C729" s="367" t="s">
        <v>8993</v>
      </c>
      <c r="D729" s="493"/>
      <c r="E729" s="490" t="s">
        <v>16846</v>
      </c>
      <c r="F729" s="490" t="s">
        <v>16846</v>
      </c>
      <c r="G729" s="490" t="s">
        <v>16846</v>
      </c>
      <c r="H729" s="490" t="s">
        <v>18220</v>
      </c>
      <c r="I729" s="490"/>
      <c r="J729" s="125"/>
      <c r="K729" s="125"/>
      <c r="L729" s="125"/>
    </row>
    <row r="730" spans="1:12" s="121" customFormat="1" ht="11.25">
      <c r="A730" s="2"/>
      <c r="B730" s="622"/>
      <c r="C730" s="491"/>
      <c r="D730" s="491"/>
      <c r="E730" s="491"/>
      <c r="F730" s="491"/>
      <c r="G730" s="491"/>
      <c r="H730" s="491"/>
      <c r="I730" s="491"/>
      <c r="J730" s="124"/>
      <c r="K730" s="124"/>
      <c r="L730" s="124"/>
    </row>
    <row r="731" spans="1:12" s="121" customFormat="1" ht="22.5">
      <c r="A731" s="366" t="s">
        <v>14386</v>
      </c>
      <c r="B731" s="626" t="s">
        <v>15771</v>
      </c>
      <c r="C731" s="369">
        <f t="shared" ref="C731" si="89">MIN(E733:I733)</f>
        <v>11.666666666666666</v>
      </c>
      <c r="D731" s="370" t="s">
        <v>5</v>
      </c>
      <c r="E731" s="486" t="s">
        <v>17068</v>
      </c>
      <c r="F731" s="486" t="s">
        <v>17069</v>
      </c>
      <c r="G731" s="486" t="s">
        <v>17070</v>
      </c>
      <c r="H731" s="486" t="s">
        <v>17220</v>
      </c>
      <c r="I731" s="486" t="s">
        <v>18219</v>
      </c>
      <c r="J731" s="125" t="s">
        <v>207</v>
      </c>
      <c r="K731" s="125"/>
      <c r="L731" s="125"/>
    </row>
    <row r="732" spans="1:12" s="121" customFormat="1" ht="22.5">
      <c r="A732" s="361"/>
      <c r="B732" s="615"/>
      <c r="C732" s="367" t="s">
        <v>284</v>
      </c>
      <c r="D732" s="554"/>
      <c r="E732" s="487" t="s">
        <v>17071</v>
      </c>
      <c r="F732" s="487" t="s">
        <v>16759</v>
      </c>
      <c r="G732" s="487" t="s">
        <v>17072</v>
      </c>
      <c r="H732" s="487" t="s">
        <v>17221</v>
      </c>
      <c r="I732" s="675">
        <v>21183</v>
      </c>
      <c r="J732" s="125" t="s">
        <v>283</v>
      </c>
      <c r="K732" s="125" t="s">
        <v>280</v>
      </c>
      <c r="L732" s="125" t="s">
        <v>281</v>
      </c>
    </row>
    <row r="733" spans="1:12" s="121" customFormat="1" ht="15">
      <c r="A733" s="362"/>
      <c r="B733" s="616"/>
      <c r="C733" s="367" t="s">
        <v>9</v>
      </c>
      <c r="D733" s="492"/>
      <c r="E733" s="516">
        <f>45.38/3</f>
        <v>15.126666666666667</v>
      </c>
      <c r="F733" s="488">
        <v>14.9</v>
      </c>
      <c r="G733" s="488">
        <f>36.9/3</f>
        <v>12.299999999999999</v>
      </c>
      <c r="H733" s="84">
        <v>11.666666666666666</v>
      </c>
      <c r="I733" s="84">
        <f>120/6</f>
        <v>20</v>
      </c>
      <c r="J733" s="125">
        <f t="shared" ref="J733" si="90">MEDIAN(E733:I733)</f>
        <v>14.9</v>
      </c>
      <c r="K733" s="125">
        <f t="shared" si="75"/>
        <v>19.37</v>
      </c>
      <c r="L733" s="125">
        <f t="shared" ref="L733" si="91">J733*0.7</f>
        <v>10.43</v>
      </c>
    </row>
    <row r="734" spans="1:12" s="121" customFormat="1" ht="15">
      <c r="A734" s="362"/>
      <c r="B734" s="616"/>
      <c r="C734" s="367" t="s">
        <v>8</v>
      </c>
      <c r="D734" s="492"/>
      <c r="E734" s="487" t="s">
        <v>17073</v>
      </c>
      <c r="F734" s="487" t="s">
        <v>17074</v>
      </c>
      <c r="G734" s="487" t="s">
        <v>17075</v>
      </c>
      <c r="H734" s="487" t="s">
        <v>17222</v>
      </c>
      <c r="I734" s="487"/>
      <c r="J734" s="125"/>
      <c r="K734" s="125"/>
      <c r="L734" s="125"/>
    </row>
    <row r="735" spans="1:12" s="121" customFormat="1" ht="15">
      <c r="A735" s="362"/>
      <c r="B735" s="616"/>
      <c r="C735" s="367" t="s">
        <v>7</v>
      </c>
      <c r="D735" s="492"/>
      <c r="E735" s="489" t="s">
        <v>17076</v>
      </c>
      <c r="F735" s="489" t="s">
        <v>17077</v>
      </c>
      <c r="G735" s="489" t="s">
        <v>17078</v>
      </c>
      <c r="H735" s="489" t="s">
        <v>17223</v>
      </c>
      <c r="I735" s="489"/>
      <c r="J735" s="125"/>
      <c r="K735" s="125"/>
      <c r="L735" s="125"/>
    </row>
    <row r="736" spans="1:12" s="121" customFormat="1" ht="15">
      <c r="A736" s="362"/>
      <c r="B736" s="616"/>
      <c r="C736" s="367" t="s">
        <v>6</v>
      </c>
      <c r="D736" s="493"/>
      <c r="E736" s="490">
        <v>44299</v>
      </c>
      <c r="F736" s="490">
        <v>44299</v>
      </c>
      <c r="G736" s="490">
        <v>44299</v>
      </c>
      <c r="H736" s="490">
        <v>44301</v>
      </c>
      <c r="I736" s="490">
        <v>44306</v>
      </c>
      <c r="J736" s="125"/>
      <c r="K736" s="125"/>
      <c r="L736" s="125"/>
    </row>
    <row r="737" spans="1:12" s="121" customFormat="1" ht="15">
      <c r="A737" s="363"/>
      <c r="B737" s="617"/>
      <c r="C737" s="367" t="s">
        <v>8993</v>
      </c>
      <c r="D737" s="493"/>
      <c r="E737" s="490" t="s">
        <v>15010</v>
      </c>
      <c r="F737" s="490" t="s">
        <v>17079</v>
      </c>
      <c r="G737" s="490" t="s">
        <v>17080</v>
      </c>
      <c r="H737" s="490" t="s">
        <v>15721</v>
      </c>
      <c r="I737" s="490" t="s">
        <v>18220</v>
      </c>
      <c r="J737" s="125"/>
      <c r="K737" s="125"/>
      <c r="L737" s="125"/>
    </row>
    <row r="738" spans="1:12" s="121" customFormat="1" ht="11.25">
      <c r="A738" s="2"/>
      <c r="B738" s="622"/>
      <c r="C738" s="491"/>
      <c r="D738" s="491"/>
      <c r="E738" s="491"/>
      <c r="F738" s="491"/>
      <c r="G738" s="491"/>
      <c r="H738" s="491"/>
      <c r="I738" s="491"/>
      <c r="J738" s="124"/>
      <c r="K738" s="124"/>
      <c r="L738" s="124"/>
    </row>
    <row r="739" spans="1:12" s="121" customFormat="1" ht="22.5">
      <c r="A739" s="366" t="s">
        <v>14387</v>
      </c>
      <c r="B739" s="626" t="s">
        <v>14495</v>
      </c>
      <c r="C739" s="369">
        <v>11.444505821861227</v>
      </c>
      <c r="D739" s="370" t="s">
        <v>109</v>
      </c>
      <c r="E739" s="486" t="s">
        <v>14496</v>
      </c>
      <c r="F739" s="486" t="s">
        <v>14497</v>
      </c>
      <c r="G739" s="486" t="s">
        <v>14498</v>
      </c>
      <c r="H739" s="486" t="s">
        <v>18219</v>
      </c>
      <c r="I739" s="486"/>
      <c r="J739" s="125" t="s">
        <v>207</v>
      </c>
      <c r="K739" s="125"/>
      <c r="L739" s="125"/>
    </row>
    <row r="740" spans="1:12" s="121" customFormat="1" ht="33.75">
      <c r="A740" s="361"/>
      <c r="B740" s="615"/>
      <c r="C740" s="367" t="s">
        <v>284</v>
      </c>
      <c r="D740" s="554"/>
      <c r="E740" s="487" t="s">
        <v>14499</v>
      </c>
      <c r="F740" s="487" t="s">
        <v>14500</v>
      </c>
      <c r="G740" s="487" t="s">
        <v>14501</v>
      </c>
      <c r="H740" s="675" t="s">
        <v>18245</v>
      </c>
      <c r="I740" s="487"/>
      <c r="J740" s="125" t="s">
        <v>283</v>
      </c>
      <c r="K740" s="125" t="s">
        <v>280</v>
      </c>
      <c r="L740" s="125" t="s">
        <v>281</v>
      </c>
    </row>
    <row r="741" spans="1:12" s="121" customFormat="1" ht="15">
      <c r="A741" s="362"/>
      <c r="B741" s="616"/>
      <c r="C741" s="367" t="s">
        <v>9</v>
      </c>
      <c r="D741" s="492"/>
      <c r="E741" s="84">
        <v>14.76</v>
      </c>
      <c r="F741" s="488">
        <v>12</v>
      </c>
      <c r="G741" s="488">
        <v>15.5</v>
      </c>
      <c r="H741" s="84">
        <v>22.26</v>
      </c>
      <c r="I741" s="84"/>
      <c r="J741" s="125">
        <f t="shared" ref="J741" si="92">MEDIAN(E741:I741)</f>
        <v>15.129999999999999</v>
      </c>
      <c r="K741" s="125">
        <f t="shared" si="75"/>
        <v>19.669</v>
      </c>
      <c r="L741" s="125">
        <f t="shared" ref="L741" si="93">J741*0.7</f>
        <v>10.590999999999999</v>
      </c>
    </row>
    <row r="742" spans="1:12" s="121" customFormat="1" ht="15">
      <c r="A742" s="362"/>
      <c r="B742" s="616"/>
      <c r="C742" s="367" t="s">
        <v>8</v>
      </c>
      <c r="D742" s="492"/>
      <c r="E742" s="487" t="s">
        <v>14502</v>
      </c>
      <c r="F742" s="487" t="s">
        <v>14503</v>
      </c>
      <c r="G742" s="487" t="s">
        <v>14503</v>
      </c>
      <c r="H742" s="487"/>
      <c r="I742" s="487"/>
      <c r="J742" s="125"/>
      <c r="K742" s="125"/>
      <c r="L742" s="125"/>
    </row>
    <row r="743" spans="1:12" s="121" customFormat="1" ht="15">
      <c r="A743" s="362"/>
      <c r="B743" s="616"/>
      <c r="C743" s="367" t="s">
        <v>7</v>
      </c>
      <c r="D743" s="492"/>
      <c r="E743" s="489" t="s">
        <v>14504</v>
      </c>
      <c r="F743" s="489" t="s">
        <v>14505</v>
      </c>
      <c r="G743" s="489" t="s">
        <v>14506</v>
      </c>
      <c r="H743" s="489"/>
      <c r="I743" s="489"/>
      <c r="J743" s="125"/>
      <c r="K743" s="125"/>
      <c r="L743" s="125"/>
    </row>
    <row r="744" spans="1:12" s="121" customFormat="1" ht="15">
      <c r="A744" s="362"/>
      <c r="B744" s="616"/>
      <c r="C744" s="367" t="s">
        <v>6</v>
      </c>
      <c r="D744" s="493"/>
      <c r="E744" s="490">
        <v>44095</v>
      </c>
      <c r="F744" s="490">
        <v>44095</v>
      </c>
      <c r="G744" s="490">
        <v>44095</v>
      </c>
      <c r="H744" s="490">
        <v>44256</v>
      </c>
      <c r="I744" s="490"/>
      <c r="J744" s="125"/>
      <c r="K744" s="125"/>
      <c r="L744" s="125"/>
    </row>
    <row r="745" spans="1:12" s="121" customFormat="1" ht="15">
      <c r="A745" s="363"/>
      <c r="B745" s="617"/>
      <c r="C745" s="367" t="s">
        <v>8993</v>
      </c>
      <c r="D745" s="493"/>
      <c r="E745" s="490"/>
      <c r="F745" s="490"/>
      <c r="G745" s="490"/>
      <c r="H745" s="490" t="s">
        <v>18220</v>
      </c>
      <c r="I745" s="490"/>
      <c r="J745" s="125"/>
      <c r="K745" s="125"/>
      <c r="L745" s="125"/>
    </row>
    <row r="746" spans="1:12" s="121" customFormat="1" ht="11.25">
      <c r="A746" s="2"/>
      <c r="B746" s="622"/>
      <c r="C746" s="491"/>
      <c r="D746" s="491"/>
      <c r="E746" s="491"/>
      <c r="F746" s="491"/>
      <c r="G746" s="491"/>
      <c r="H746" s="491"/>
      <c r="I746" s="491"/>
      <c r="J746" s="124"/>
      <c r="K746" s="124"/>
      <c r="L746" s="124"/>
    </row>
    <row r="747" spans="1:12" s="121" customFormat="1" ht="22.5">
      <c r="A747" s="366" t="s">
        <v>14388</v>
      </c>
      <c r="B747" s="626" t="s">
        <v>14334</v>
      </c>
      <c r="C747" s="369">
        <f>MIN(E749:I749)</f>
        <v>43.5</v>
      </c>
      <c r="D747" s="370" t="s">
        <v>5</v>
      </c>
      <c r="E747" s="486" t="s">
        <v>15193</v>
      </c>
      <c r="F747" s="486" t="s">
        <v>15175</v>
      </c>
      <c r="G747" s="486" t="s">
        <v>15176</v>
      </c>
      <c r="H747" s="486"/>
      <c r="I747" s="486"/>
      <c r="J747" s="125" t="s">
        <v>207</v>
      </c>
      <c r="K747" s="125"/>
      <c r="L747" s="125"/>
    </row>
    <row r="748" spans="1:12" s="121" customFormat="1" ht="22.5">
      <c r="A748" s="361"/>
      <c r="B748" s="615"/>
      <c r="C748" s="367" t="s">
        <v>284</v>
      </c>
      <c r="D748" s="554"/>
      <c r="E748" s="487" t="s">
        <v>15192</v>
      </c>
      <c r="F748" s="487" t="s">
        <v>15177</v>
      </c>
      <c r="G748" s="487" t="s">
        <v>15178</v>
      </c>
      <c r="H748" s="487"/>
      <c r="I748" s="487"/>
      <c r="J748" s="125" t="s">
        <v>283</v>
      </c>
      <c r="K748" s="125" t="s">
        <v>280</v>
      </c>
      <c r="L748" s="125" t="s">
        <v>281</v>
      </c>
    </row>
    <row r="749" spans="1:12" s="121" customFormat="1" ht="15">
      <c r="A749" s="362"/>
      <c r="B749" s="616"/>
      <c r="C749" s="367" t="s">
        <v>9</v>
      </c>
      <c r="D749" s="492"/>
      <c r="E749" s="84">
        <v>43.5</v>
      </c>
      <c r="F749" s="488">
        <v>52.04</v>
      </c>
      <c r="G749" s="488">
        <v>57.663333333333334</v>
      </c>
      <c r="H749" s="84"/>
      <c r="I749" s="84"/>
      <c r="J749" s="125">
        <f t="shared" ref="J749" si="94">MEDIAN(E749:I749)</f>
        <v>52.04</v>
      </c>
      <c r="K749" s="125">
        <f t="shared" ref="K749" si="95">J749*1.3</f>
        <v>67.652000000000001</v>
      </c>
      <c r="L749" s="125">
        <f t="shared" ref="L749" si="96">J749*0.7</f>
        <v>36.427999999999997</v>
      </c>
    </row>
    <row r="750" spans="1:12" s="121" customFormat="1" ht="15">
      <c r="A750" s="362"/>
      <c r="B750" s="616"/>
      <c r="C750" s="367" t="s">
        <v>8</v>
      </c>
      <c r="D750" s="492"/>
      <c r="E750" s="487" t="s">
        <v>15194</v>
      </c>
      <c r="F750" s="487" t="s">
        <v>15179</v>
      </c>
      <c r="G750" s="487" t="s">
        <v>15180</v>
      </c>
      <c r="H750" s="487"/>
      <c r="I750" s="487"/>
      <c r="J750" s="125"/>
      <c r="K750" s="125"/>
      <c r="L750" s="125"/>
    </row>
    <row r="751" spans="1:12" s="121" customFormat="1" ht="15">
      <c r="A751" s="362"/>
      <c r="B751" s="616"/>
      <c r="C751" s="367" t="s">
        <v>7</v>
      </c>
      <c r="D751" s="492"/>
      <c r="E751" s="489" t="s">
        <v>15195</v>
      </c>
      <c r="F751" s="489" t="s">
        <v>15181</v>
      </c>
      <c r="G751" s="489"/>
      <c r="H751" s="489"/>
      <c r="I751" s="489"/>
      <c r="J751" s="125"/>
      <c r="K751" s="125"/>
      <c r="L751" s="125"/>
    </row>
    <row r="752" spans="1:12" s="121" customFormat="1" ht="15">
      <c r="A752" s="362"/>
      <c r="B752" s="616"/>
      <c r="C752" s="367" t="s">
        <v>6</v>
      </c>
      <c r="D752" s="493"/>
      <c r="E752" s="490">
        <v>44256</v>
      </c>
      <c r="F752" s="490">
        <v>44256</v>
      </c>
      <c r="G752" s="490">
        <v>44256</v>
      </c>
      <c r="H752" s="490"/>
      <c r="I752" s="490"/>
      <c r="J752" s="125"/>
      <c r="K752" s="125"/>
      <c r="L752" s="125"/>
    </row>
    <row r="753" spans="1:12" s="121" customFormat="1" ht="15">
      <c r="A753" s="363"/>
      <c r="B753" s="617"/>
      <c r="C753" s="367" t="s">
        <v>8993</v>
      </c>
      <c r="D753" s="493"/>
      <c r="E753" s="490" t="s">
        <v>14769</v>
      </c>
      <c r="F753" s="490" t="s">
        <v>14769</v>
      </c>
      <c r="G753" s="490" t="s">
        <v>14769</v>
      </c>
      <c r="H753" s="490"/>
      <c r="I753" s="490"/>
      <c r="J753" s="125"/>
      <c r="K753" s="125"/>
      <c r="L753" s="125"/>
    </row>
    <row r="754" spans="1:12" s="121" customFormat="1" ht="11.25">
      <c r="A754" s="2"/>
      <c r="B754" s="622"/>
      <c r="C754" s="491"/>
      <c r="D754" s="491"/>
      <c r="E754" s="491"/>
      <c r="F754" s="491"/>
      <c r="G754" s="491"/>
      <c r="H754" s="491"/>
      <c r="I754" s="491"/>
      <c r="J754" s="124"/>
      <c r="K754" s="124"/>
      <c r="L754" s="124"/>
    </row>
    <row r="755" spans="1:12" s="121" customFormat="1" ht="78.75">
      <c r="A755" s="366" t="s">
        <v>14389</v>
      </c>
      <c r="B755" s="626" t="s">
        <v>18436</v>
      </c>
      <c r="C755" s="369">
        <f t="shared" ref="C755" si="97">MIN(E757:I757)</f>
        <v>1034</v>
      </c>
      <c r="D755" s="370" t="s">
        <v>109</v>
      </c>
      <c r="E755" s="486" t="s">
        <v>16923</v>
      </c>
      <c r="F755" s="486" t="s">
        <v>18555</v>
      </c>
      <c r="G755" s="486" t="s">
        <v>14756</v>
      </c>
      <c r="H755" s="486"/>
      <c r="I755" s="486"/>
      <c r="J755" s="125" t="s">
        <v>207</v>
      </c>
      <c r="K755" s="125"/>
      <c r="L755" s="125"/>
    </row>
    <row r="756" spans="1:12" s="121" customFormat="1" ht="22.5">
      <c r="A756" s="361"/>
      <c r="B756" s="615"/>
      <c r="C756" s="367" t="s">
        <v>284</v>
      </c>
      <c r="D756" s="554"/>
      <c r="E756" s="487" t="s">
        <v>18556</v>
      </c>
      <c r="F756" s="487" t="s">
        <v>18557</v>
      </c>
      <c r="G756" s="487" t="s">
        <v>14917</v>
      </c>
      <c r="H756" s="675"/>
      <c r="I756" s="487"/>
      <c r="J756" s="125" t="s">
        <v>283</v>
      </c>
      <c r="K756" s="125" t="s">
        <v>280</v>
      </c>
      <c r="L756" s="125" t="s">
        <v>281</v>
      </c>
    </row>
    <row r="757" spans="1:12" s="121" customFormat="1" ht="15">
      <c r="A757" s="362"/>
      <c r="B757" s="616"/>
      <c r="C757" s="367" t="s">
        <v>9</v>
      </c>
      <c r="D757" s="492"/>
      <c r="E757" s="84">
        <v>1034</v>
      </c>
      <c r="F757" s="488">
        <v>1259.2</v>
      </c>
      <c r="G757" s="488">
        <v>1318.87</v>
      </c>
      <c r="H757" s="84"/>
      <c r="I757" s="84"/>
      <c r="J757" s="125">
        <f t="shared" ref="J757" si="98">MEDIAN(E757:I757)</f>
        <v>1259.2</v>
      </c>
      <c r="K757" s="125">
        <f t="shared" ref="K757" si="99">J757*1.3</f>
        <v>1636.96</v>
      </c>
      <c r="L757" s="125">
        <f t="shared" ref="L757" si="100">J757*0.7</f>
        <v>881.43999999999994</v>
      </c>
    </row>
    <row r="758" spans="1:12" s="121" customFormat="1" ht="15">
      <c r="A758" s="362"/>
      <c r="B758" s="616"/>
      <c r="C758" s="367" t="s">
        <v>8</v>
      </c>
      <c r="D758" s="492"/>
      <c r="E758" s="487" t="s">
        <v>18558</v>
      </c>
      <c r="F758" s="487" t="s">
        <v>18559</v>
      </c>
      <c r="G758" s="487" t="s">
        <v>14758</v>
      </c>
      <c r="H758" s="487"/>
      <c r="I758" s="487"/>
      <c r="J758" s="125"/>
      <c r="K758" s="125"/>
      <c r="L758" s="125"/>
    </row>
    <row r="759" spans="1:12" s="121" customFormat="1" ht="15">
      <c r="A759" s="362"/>
      <c r="B759" s="616"/>
      <c r="C759" s="367" t="s">
        <v>7</v>
      </c>
      <c r="D759" s="492"/>
      <c r="E759" s="489" t="s">
        <v>18560</v>
      </c>
      <c r="F759" s="489" t="s">
        <v>18561</v>
      </c>
      <c r="G759" s="489" t="s">
        <v>14759</v>
      </c>
      <c r="H759" s="489"/>
      <c r="I759" s="489"/>
      <c r="J759" s="125"/>
      <c r="K759" s="125"/>
      <c r="L759" s="125"/>
    </row>
    <row r="760" spans="1:12" s="121" customFormat="1" ht="15">
      <c r="A760" s="362"/>
      <c r="B760" s="616"/>
      <c r="C760" s="367" t="s">
        <v>6</v>
      </c>
      <c r="D760" s="493"/>
      <c r="E760" s="490">
        <v>44253</v>
      </c>
      <c r="F760" s="490">
        <v>44257</v>
      </c>
      <c r="G760" s="490">
        <v>44257</v>
      </c>
      <c r="H760" s="490"/>
      <c r="I760" s="490"/>
      <c r="J760" s="125"/>
      <c r="K760" s="125"/>
      <c r="L760" s="125"/>
    </row>
    <row r="761" spans="1:12" s="121" customFormat="1" ht="15">
      <c r="A761" s="363"/>
      <c r="B761" s="617"/>
      <c r="C761" s="367" t="s">
        <v>8993</v>
      </c>
      <c r="D761" s="493"/>
      <c r="E761" s="490" t="s">
        <v>18562</v>
      </c>
      <c r="F761" s="490" t="s">
        <v>18563</v>
      </c>
      <c r="G761" s="490" t="s">
        <v>18563</v>
      </c>
      <c r="H761" s="490"/>
      <c r="I761" s="490"/>
      <c r="J761" s="125"/>
      <c r="K761" s="125"/>
      <c r="L761" s="125"/>
    </row>
    <row r="762" spans="1:12" s="121" customFormat="1" ht="11.25">
      <c r="A762" s="2"/>
      <c r="B762" s="622"/>
      <c r="C762" s="491"/>
      <c r="D762" s="491"/>
      <c r="E762" s="491"/>
      <c r="F762" s="491"/>
      <c r="G762" s="491"/>
      <c r="H762" s="491"/>
      <c r="I762" s="491"/>
      <c r="J762" s="124"/>
      <c r="K762" s="124"/>
      <c r="L762" s="124"/>
    </row>
    <row r="763" spans="1:12" s="121" customFormat="1" ht="56.25">
      <c r="A763" s="366" t="s">
        <v>14390</v>
      </c>
      <c r="B763" s="626" t="s">
        <v>15772</v>
      </c>
      <c r="C763" s="369">
        <f t="shared" ref="C763" si="101">MIN(E765:I765)</f>
        <v>854.1</v>
      </c>
      <c r="D763" s="370" t="s">
        <v>109</v>
      </c>
      <c r="E763" s="486" t="s">
        <v>16928</v>
      </c>
      <c r="F763" s="486" t="s">
        <v>14766</v>
      </c>
      <c r="G763" s="486" t="s">
        <v>16777</v>
      </c>
      <c r="H763" s="486" t="s">
        <v>18219</v>
      </c>
      <c r="I763" s="486"/>
      <c r="J763" s="125" t="s">
        <v>207</v>
      </c>
      <c r="K763" s="125"/>
      <c r="L763" s="125"/>
    </row>
    <row r="764" spans="1:12" s="121" customFormat="1" ht="22.5">
      <c r="A764" s="361"/>
      <c r="B764" s="615"/>
      <c r="C764" s="367" t="s">
        <v>284</v>
      </c>
      <c r="D764" s="554"/>
      <c r="E764" s="487" t="s">
        <v>15002</v>
      </c>
      <c r="F764" s="487" t="s">
        <v>16738</v>
      </c>
      <c r="G764" s="487" t="s">
        <v>15173</v>
      </c>
      <c r="H764" s="675" t="s">
        <v>18246</v>
      </c>
      <c r="I764" s="487"/>
      <c r="J764" s="125" t="s">
        <v>283</v>
      </c>
      <c r="K764" s="125" t="s">
        <v>280</v>
      </c>
      <c r="L764" s="125" t="s">
        <v>281</v>
      </c>
    </row>
    <row r="765" spans="1:12" s="121" customFormat="1" ht="15">
      <c r="A765" s="362"/>
      <c r="B765" s="616"/>
      <c r="C765" s="367" t="s">
        <v>9</v>
      </c>
      <c r="D765" s="492"/>
      <c r="E765" s="84">
        <v>854.1</v>
      </c>
      <c r="F765" s="488">
        <v>854.1</v>
      </c>
      <c r="G765" s="488">
        <v>854.1</v>
      </c>
      <c r="H765" s="84">
        <v>890</v>
      </c>
      <c r="I765" s="84"/>
      <c r="J765" s="125">
        <f t="shared" ref="J765" si="102">MEDIAN(E765:I765)</f>
        <v>854.1</v>
      </c>
      <c r="K765" s="125">
        <f t="shared" ref="K765" si="103">J765*1.3</f>
        <v>1110.3300000000002</v>
      </c>
      <c r="L765" s="125">
        <f t="shared" ref="L765" si="104">J765*0.7</f>
        <v>597.87</v>
      </c>
    </row>
    <row r="766" spans="1:12" s="121" customFormat="1" ht="15">
      <c r="A766" s="362"/>
      <c r="B766" s="616"/>
      <c r="C766" s="367" t="s">
        <v>8</v>
      </c>
      <c r="D766" s="492"/>
      <c r="E766" s="487" t="s">
        <v>14758</v>
      </c>
      <c r="F766" s="487" t="s">
        <v>16739</v>
      </c>
      <c r="G766" s="487" t="s">
        <v>14758</v>
      </c>
      <c r="H766" s="487"/>
      <c r="I766" s="487"/>
      <c r="J766" s="125"/>
      <c r="K766" s="125"/>
      <c r="L766" s="125"/>
    </row>
    <row r="767" spans="1:12" s="121" customFormat="1" ht="15">
      <c r="A767" s="362"/>
      <c r="B767" s="616"/>
      <c r="C767" s="367" t="s">
        <v>7</v>
      </c>
      <c r="D767" s="492"/>
      <c r="E767" s="489" t="s">
        <v>14759</v>
      </c>
      <c r="F767" s="489" t="s">
        <v>14768</v>
      </c>
      <c r="G767" s="489" t="s">
        <v>14937</v>
      </c>
      <c r="H767" s="489"/>
      <c r="I767" s="489"/>
      <c r="J767" s="125"/>
      <c r="K767" s="125"/>
      <c r="L767" s="125"/>
    </row>
    <row r="768" spans="1:12" s="121" customFormat="1" ht="15">
      <c r="A768" s="362"/>
      <c r="B768" s="616"/>
      <c r="C768" s="367" t="s">
        <v>6</v>
      </c>
      <c r="D768" s="493"/>
      <c r="E768" s="490">
        <v>44295</v>
      </c>
      <c r="F768" s="490">
        <v>44295</v>
      </c>
      <c r="G768" s="490">
        <v>44295</v>
      </c>
      <c r="H768" s="490">
        <v>44319</v>
      </c>
      <c r="I768" s="490"/>
      <c r="J768" s="125"/>
      <c r="K768" s="125"/>
      <c r="L768" s="125"/>
    </row>
    <row r="769" spans="1:12" s="121" customFormat="1" ht="15">
      <c r="A769" s="363"/>
      <c r="B769" s="617"/>
      <c r="C769" s="367" t="s">
        <v>8993</v>
      </c>
      <c r="D769" s="493"/>
      <c r="E769" s="490" t="s">
        <v>16929</v>
      </c>
      <c r="F769" s="490" t="s">
        <v>16929</v>
      </c>
      <c r="G769" s="490" t="s">
        <v>16929</v>
      </c>
      <c r="H769" s="490" t="s">
        <v>18220</v>
      </c>
      <c r="I769" s="490"/>
      <c r="J769" s="125"/>
      <c r="K769" s="125"/>
      <c r="L769" s="125"/>
    </row>
    <row r="770" spans="1:12" s="121" customFormat="1" ht="11.25">
      <c r="A770" s="2"/>
      <c r="B770" s="622"/>
      <c r="C770" s="491"/>
      <c r="D770" s="491"/>
      <c r="E770" s="491"/>
      <c r="F770" s="491"/>
      <c r="G770" s="491"/>
      <c r="H770" s="491"/>
      <c r="I770" s="491"/>
      <c r="J770" s="124"/>
      <c r="K770" s="124"/>
      <c r="L770" s="124"/>
    </row>
    <row r="771" spans="1:12" s="121" customFormat="1" ht="56.25">
      <c r="A771" s="366" t="s">
        <v>14391</v>
      </c>
      <c r="B771" s="626" t="s">
        <v>15773</v>
      </c>
      <c r="C771" s="369">
        <f t="shared" ref="C771" si="105">MIN(E773:I773)</f>
        <v>911</v>
      </c>
      <c r="D771" s="370" t="s">
        <v>109</v>
      </c>
      <c r="E771" s="486" t="s">
        <v>17081</v>
      </c>
      <c r="F771" s="486" t="s">
        <v>17216</v>
      </c>
      <c r="G771" s="486" t="s">
        <v>17369</v>
      </c>
      <c r="H771" s="486" t="s">
        <v>18219</v>
      </c>
      <c r="I771" s="486"/>
      <c r="J771" s="125" t="s">
        <v>207</v>
      </c>
      <c r="K771" s="125"/>
      <c r="L771" s="125"/>
    </row>
    <row r="772" spans="1:12" s="121" customFormat="1" ht="22.5">
      <c r="A772" s="361"/>
      <c r="B772" s="615"/>
      <c r="C772" s="367" t="s">
        <v>284</v>
      </c>
      <c r="D772" s="554"/>
      <c r="E772" s="487" t="s">
        <v>17082</v>
      </c>
      <c r="F772" s="487" t="s">
        <v>17217</v>
      </c>
      <c r="G772" s="487" t="s">
        <v>17370</v>
      </c>
      <c r="H772" s="675" t="s">
        <v>18247</v>
      </c>
      <c r="I772" s="487"/>
      <c r="J772" s="125" t="s">
        <v>283</v>
      </c>
      <c r="K772" s="125" t="s">
        <v>280</v>
      </c>
      <c r="L772" s="125" t="s">
        <v>281</v>
      </c>
    </row>
    <row r="773" spans="1:12" s="121" customFormat="1" ht="15">
      <c r="A773" s="362"/>
      <c r="B773" s="616"/>
      <c r="C773" s="367" t="s">
        <v>9</v>
      </c>
      <c r="D773" s="492"/>
      <c r="E773" s="516">
        <v>1119.69</v>
      </c>
      <c r="F773" s="488">
        <v>911</v>
      </c>
      <c r="G773" s="488">
        <v>1417.9</v>
      </c>
      <c r="H773" s="84">
        <v>1699.89</v>
      </c>
      <c r="I773" s="84"/>
      <c r="J773" s="125">
        <f t="shared" ref="J773" si="106">MEDIAN(E773:I773)</f>
        <v>1268.7950000000001</v>
      </c>
      <c r="K773" s="125">
        <f t="shared" ref="K773" si="107">J773*1.3</f>
        <v>1649.4335000000001</v>
      </c>
      <c r="L773" s="125">
        <f t="shared" ref="L773" si="108">J773*0.7</f>
        <v>888.15650000000005</v>
      </c>
    </row>
    <row r="774" spans="1:12" s="121" customFormat="1" ht="15">
      <c r="A774" s="362"/>
      <c r="B774" s="616"/>
      <c r="C774" s="367" t="s">
        <v>8</v>
      </c>
      <c r="D774" s="492"/>
      <c r="E774" s="487" t="s">
        <v>17083</v>
      </c>
      <c r="F774" s="487" t="s">
        <v>17218</v>
      </c>
      <c r="G774" s="487" t="s">
        <v>15187</v>
      </c>
      <c r="H774" s="487"/>
      <c r="I774" s="487"/>
      <c r="J774" s="125"/>
      <c r="K774" s="125"/>
      <c r="L774" s="125"/>
    </row>
    <row r="775" spans="1:12" s="121" customFormat="1" ht="15">
      <c r="A775" s="362"/>
      <c r="B775" s="616"/>
      <c r="C775" s="367" t="s">
        <v>7</v>
      </c>
      <c r="D775" s="492"/>
      <c r="E775" s="489" t="s">
        <v>17084</v>
      </c>
      <c r="F775" s="489" t="s">
        <v>17219</v>
      </c>
      <c r="G775" s="489" t="s">
        <v>17371</v>
      </c>
      <c r="H775" s="489"/>
      <c r="I775" s="489"/>
      <c r="J775" s="125"/>
      <c r="K775" s="125"/>
      <c r="L775" s="125"/>
    </row>
    <row r="776" spans="1:12" s="121" customFormat="1" ht="15">
      <c r="A776" s="362"/>
      <c r="B776" s="616"/>
      <c r="C776" s="367" t="s">
        <v>6</v>
      </c>
      <c r="D776" s="493"/>
      <c r="E776" s="490">
        <v>44299</v>
      </c>
      <c r="F776" s="490">
        <v>44301</v>
      </c>
      <c r="G776" s="490">
        <v>44309</v>
      </c>
      <c r="H776" s="490">
        <v>44075</v>
      </c>
      <c r="I776" s="490"/>
      <c r="J776" s="125"/>
      <c r="K776" s="125"/>
      <c r="L776" s="125"/>
    </row>
    <row r="777" spans="1:12" s="121" customFormat="1" ht="15">
      <c r="A777" s="363"/>
      <c r="B777" s="617"/>
      <c r="C777" s="367" t="s">
        <v>8993</v>
      </c>
      <c r="D777" s="493"/>
      <c r="E777" s="490" t="s">
        <v>15294</v>
      </c>
      <c r="F777" s="490" t="s">
        <v>15294</v>
      </c>
      <c r="G777" s="490" t="s">
        <v>17372</v>
      </c>
      <c r="H777" s="490" t="s">
        <v>18220</v>
      </c>
      <c r="I777" s="490"/>
      <c r="J777" s="125"/>
      <c r="K777" s="125"/>
      <c r="L777" s="125"/>
    </row>
    <row r="778" spans="1:12" s="121" customFormat="1" ht="11.25">
      <c r="A778" s="2"/>
      <c r="B778" s="622"/>
      <c r="C778" s="491"/>
      <c r="D778" s="491"/>
      <c r="E778" s="491"/>
      <c r="F778" s="491"/>
      <c r="G778" s="491"/>
      <c r="H778" s="491"/>
      <c r="I778" s="491"/>
      <c r="J778" s="124"/>
      <c r="K778" s="124"/>
      <c r="L778" s="124"/>
    </row>
    <row r="779" spans="1:12" s="121" customFormat="1" ht="22.5">
      <c r="A779" s="366" t="s">
        <v>14392</v>
      </c>
      <c r="B779" s="626" t="s">
        <v>15774</v>
      </c>
      <c r="C779" s="369">
        <f t="shared" ref="C779" si="109">MIN(E781:I781)</f>
        <v>1.3383</v>
      </c>
      <c r="D779" s="370" t="s">
        <v>5</v>
      </c>
      <c r="E779" s="486" t="s">
        <v>16930</v>
      </c>
      <c r="F779" s="486" t="s">
        <v>16928</v>
      </c>
      <c r="G779" s="486" t="s">
        <v>16931</v>
      </c>
      <c r="H779" s="486" t="s">
        <v>18219</v>
      </c>
      <c r="I779" s="486"/>
      <c r="J779" s="125" t="s">
        <v>207</v>
      </c>
      <c r="K779" s="125"/>
      <c r="L779" s="125"/>
    </row>
    <row r="780" spans="1:12" s="121" customFormat="1" ht="22.5">
      <c r="A780" s="361"/>
      <c r="B780" s="615"/>
      <c r="C780" s="367" t="s">
        <v>284</v>
      </c>
      <c r="D780" s="554"/>
      <c r="E780" s="487" t="s">
        <v>16932</v>
      </c>
      <c r="F780" s="487" t="s">
        <v>15002</v>
      </c>
      <c r="G780" s="487" t="s">
        <v>16933</v>
      </c>
      <c r="H780" s="675" t="s">
        <v>18248</v>
      </c>
      <c r="I780" s="487"/>
      <c r="J780" s="125" t="s">
        <v>283</v>
      </c>
      <c r="K780" s="125" t="s">
        <v>280</v>
      </c>
      <c r="L780" s="125" t="s">
        <v>281</v>
      </c>
    </row>
    <row r="781" spans="1:12" s="121" customFormat="1" ht="15">
      <c r="A781" s="362"/>
      <c r="B781" s="616"/>
      <c r="C781" s="367" t="s">
        <v>9</v>
      </c>
      <c r="D781" s="492"/>
      <c r="E781" s="84">
        <v>1.3383</v>
      </c>
      <c r="F781" s="488">
        <v>1.6340000000000001</v>
      </c>
      <c r="G781" s="488">
        <v>2.35</v>
      </c>
      <c r="H781" s="84">
        <v>2.9</v>
      </c>
      <c r="I781" s="84"/>
      <c r="J781" s="125">
        <f t="shared" ref="J781" si="110">MEDIAN(E781:I781)</f>
        <v>1.992</v>
      </c>
      <c r="K781" s="125">
        <f t="shared" ref="K781" si="111">J781*1.3</f>
        <v>2.5895999999999999</v>
      </c>
      <c r="L781" s="125">
        <f t="shared" ref="L781" si="112">J781*0.7</f>
        <v>1.3943999999999999</v>
      </c>
    </row>
    <row r="782" spans="1:12" s="121" customFormat="1" ht="15">
      <c r="A782" s="362"/>
      <c r="B782" s="616"/>
      <c r="C782" s="367" t="s">
        <v>8</v>
      </c>
      <c r="D782" s="492"/>
      <c r="E782" s="487" t="s">
        <v>15187</v>
      </c>
      <c r="F782" s="487" t="s">
        <v>14758</v>
      </c>
      <c r="G782" s="487" t="s">
        <v>16934</v>
      </c>
      <c r="H782" s="487"/>
      <c r="I782" s="487"/>
      <c r="J782" s="125"/>
      <c r="K782" s="125"/>
      <c r="L782" s="125"/>
    </row>
    <row r="783" spans="1:12" s="121" customFormat="1" ht="15">
      <c r="A783" s="362"/>
      <c r="B783" s="616"/>
      <c r="C783" s="367" t="s">
        <v>7</v>
      </c>
      <c r="D783" s="492"/>
      <c r="E783" s="489" t="s">
        <v>16935</v>
      </c>
      <c r="F783" s="489" t="s">
        <v>14759</v>
      </c>
      <c r="G783" s="489" t="s">
        <v>16936</v>
      </c>
      <c r="H783" s="489"/>
      <c r="I783" s="489"/>
      <c r="J783" s="125"/>
      <c r="K783" s="125"/>
      <c r="L783" s="125"/>
    </row>
    <row r="784" spans="1:12" s="121" customFormat="1" ht="15">
      <c r="A784" s="362"/>
      <c r="B784" s="616"/>
      <c r="C784" s="367" t="s">
        <v>6</v>
      </c>
      <c r="D784" s="493"/>
      <c r="E784" s="490">
        <v>44295</v>
      </c>
      <c r="F784" s="490">
        <v>44295</v>
      </c>
      <c r="G784" s="490">
        <v>44295</v>
      </c>
      <c r="H784" s="490">
        <v>44082</v>
      </c>
      <c r="I784" s="490"/>
      <c r="J784" s="125"/>
      <c r="K784" s="125"/>
      <c r="L784" s="125"/>
    </row>
    <row r="785" spans="1:12" s="121" customFormat="1" ht="15">
      <c r="A785" s="363"/>
      <c r="B785" s="617"/>
      <c r="C785" s="367" t="s">
        <v>8993</v>
      </c>
      <c r="D785" s="493"/>
      <c r="E785" s="490" t="s">
        <v>15335</v>
      </c>
      <c r="F785" s="490" t="s">
        <v>15335</v>
      </c>
      <c r="G785" s="490" t="s">
        <v>15335</v>
      </c>
      <c r="H785" s="490" t="s">
        <v>18220</v>
      </c>
      <c r="I785" s="490"/>
      <c r="J785" s="125"/>
      <c r="K785" s="125"/>
      <c r="L785" s="125"/>
    </row>
    <row r="786" spans="1:12" s="121" customFormat="1" ht="11.25">
      <c r="A786" s="2"/>
      <c r="B786" s="622"/>
      <c r="C786" s="491"/>
      <c r="D786" s="491"/>
      <c r="E786" s="491"/>
      <c r="F786" s="491"/>
      <c r="G786" s="491"/>
      <c r="H786" s="491"/>
      <c r="I786" s="491"/>
      <c r="J786" s="124"/>
      <c r="K786" s="124"/>
      <c r="L786" s="124"/>
    </row>
    <row r="787" spans="1:12" s="121" customFormat="1" ht="56.25">
      <c r="A787" s="366" t="s">
        <v>18446</v>
      </c>
      <c r="B787" s="626" t="s">
        <v>18447</v>
      </c>
      <c r="C787" s="369">
        <f t="shared" ref="C787" si="113">MIN(E789:I789)</f>
        <v>2450</v>
      </c>
      <c r="D787" s="370" t="s">
        <v>109</v>
      </c>
      <c r="E787" s="486" t="s">
        <v>14766</v>
      </c>
      <c r="F787" s="486" t="s">
        <v>18566</v>
      </c>
      <c r="G787" s="486" t="s">
        <v>18571</v>
      </c>
      <c r="H787" s="486"/>
      <c r="I787" s="486"/>
      <c r="J787" s="125" t="s">
        <v>207</v>
      </c>
      <c r="K787" s="125"/>
      <c r="L787" s="125"/>
    </row>
    <row r="788" spans="1:12" s="121" customFormat="1" ht="22.5">
      <c r="A788" s="361"/>
      <c r="B788" s="615"/>
      <c r="C788" s="367" t="s">
        <v>284</v>
      </c>
      <c r="D788" s="696"/>
      <c r="E788" s="487" t="s">
        <v>18565</v>
      </c>
      <c r="F788" s="487" t="s">
        <v>18567</v>
      </c>
      <c r="G788" s="487" t="s">
        <v>18570</v>
      </c>
      <c r="H788" s="675"/>
      <c r="I788" s="487"/>
      <c r="J788" s="125" t="s">
        <v>283</v>
      </c>
      <c r="K788" s="125" t="s">
        <v>280</v>
      </c>
      <c r="L788" s="125" t="s">
        <v>281</v>
      </c>
    </row>
    <row r="789" spans="1:12" s="121" customFormat="1" ht="15">
      <c r="A789" s="362"/>
      <c r="B789" s="616"/>
      <c r="C789" s="367" t="s">
        <v>9</v>
      </c>
      <c r="D789" s="492"/>
      <c r="E789" s="516">
        <v>2450</v>
      </c>
      <c r="F789" s="488">
        <v>2650.1</v>
      </c>
      <c r="G789" s="488">
        <v>2859.5</v>
      </c>
      <c r="H789" s="84"/>
      <c r="I789" s="84"/>
      <c r="J789" s="125">
        <f t="shared" ref="J789" si="114">MEDIAN(E789:I789)</f>
        <v>2650.1</v>
      </c>
      <c r="K789" s="125">
        <f t="shared" ref="K789" si="115">J789*1.3</f>
        <v>3445.13</v>
      </c>
      <c r="L789" s="125">
        <f t="shared" ref="L789" si="116">J789*0.7</f>
        <v>1855.0699999999997</v>
      </c>
    </row>
    <row r="790" spans="1:12" s="121" customFormat="1" ht="15">
      <c r="A790" s="362"/>
      <c r="B790" s="616"/>
      <c r="C790" s="367" t="s">
        <v>8</v>
      </c>
      <c r="D790" s="492"/>
      <c r="E790" s="487" t="s">
        <v>14758</v>
      </c>
      <c r="F790" s="487" t="s">
        <v>18569</v>
      </c>
      <c r="G790" s="487" t="s">
        <v>18572</v>
      </c>
      <c r="H790" s="487"/>
      <c r="I790" s="487"/>
      <c r="J790" s="125"/>
      <c r="K790" s="125"/>
      <c r="L790" s="125"/>
    </row>
    <row r="791" spans="1:12" s="121" customFormat="1" ht="15">
      <c r="A791" s="362"/>
      <c r="B791" s="616"/>
      <c r="C791" s="367" t="s">
        <v>7</v>
      </c>
      <c r="D791" s="492"/>
      <c r="E791" s="489" t="s">
        <v>14768</v>
      </c>
      <c r="F791" s="489" t="s">
        <v>18568</v>
      </c>
      <c r="G791" s="489" t="s">
        <v>18573</v>
      </c>
      <c r="H791" s="489"/>
      <c r="I791" s="489"/>
      <c r="J791" s="125"/>
      <c r="K791" s="125"/>
      <c r="L791" s="125"/>
    </row>
    <row r="792" spans="1:12" s="121" customFormat="1" ht="15">
      <c r="A792" s="362"/>
      <c r="B792" s="616"/>
      <c r="C792" s="367" t="s">
        <v>6</v>
      </c>
      <c r="D792" s="493"/>
      <c r="E792" s="490">
        <v>44362</v>
      </c>
      <c r="F792" s="490">
        <v>44362</v>
      </c>
      <c r="G792" s="490">
        <v>44362</v>
      </c>
      <c r="H792" s="490"/>
      <c r="I792" s="490"/>
      <c r="J792" s="125"/>
      <c r="K792" s="125"/>
      <c r="L792" s="125"/>
    </row>
    <row r="793" spans="1:12" s="121" customFormat="1" ht="15">
      <c r="A793" s="363"/>
      <c r="B793" s="617"/>
      <c r="C793" s="367" t="s">
        <v>8993</v>
      </c>
      <c r="D793" s="493"/>
      <c r="E793" s="490" t="s">
        <v>18564</v>
      </c>
      <c r="F793" s="490" t="s">
        <v>18564</v>
      </c>
      <c r="G793" s="490" t="s">
        <v>18564</v>
      </c>
      <c r="H793" s="490"/>
      <c r="I793" s="490"/>
      <c r="J793" s="125"/>
      <c r="K793" s="125"/>
      <c r="L793" s="125"/>
    </row>
    <row r="794" spans="1:12" s="121" customFormat="1" ht="11.25">
      <c r="A794" s="2"/>
      <c r="B794" s="622"/>
      <c r="C794" s="491"/>
      <c r="D794" s="491"/>
      <c r="E794" s="491"/>
      <c r="F794" s="491"/>
      <c r="G794" s="491"/>
      <c r="H794" s="491"/>
      <c r="I794" s="491"/>
      <c r="J794" s="124"/>
      <c r="K794" s="124"/>
      <c r="L794" s="124"/>
    </row>
    <row r="795" spans="1:12" s="121" customFormat="1" ht="11.25">
      <c r="A795" s="366" t="s">
        <v>14405</v>
      </c>
      <c r="B795" s="626" t="s">
        <v>15775</v>
      </c>
      <c r="C795" s="369">
        <f t="shared" ref="C795" si="117">MIN(E797:I797)</f>
        <v>3496.1</v>
      </c>
      <c r="D795" s="370" t="s">
        <v>109</v>
      </c>
      <c r="E795" s="486" t="s">
        <v>16941</v>
      </c>
      <c r="F795" s="486" t="s">
        <v>16937</v>
      </c>
      <c r="G795" s="486" t="s">
        <v>15001</v>
      </c>
      <c r="H795" s="486"/>
      <c r="I795" s="486"/>
      <c r="J795" s="125" t="s">
        <v>207</v>
      </c>
      <c r="K795" s="125"/>
      <c r="L795" s="125"/>
    </row>
    <row r="796" spans="1:12" s="121" customFormat="1" ht="22.5">
      <c r="A796" s="361"/>
      <c r="B796" s="615"/>
      <c r="C796" s="367" t="s">
        <v>284</v>
      </c>
      <c r="D796" s="554"/>
      <c r="E796" s="487" t="s">
        <v>16942</v>
      </c>
      <c r="F796" s="487" t="s">
        <v>16938</v>
      </c>
      <c r="G796" s="487" t="s">
        <v>16943</v>
      </c>
      <c r="H796" s="675"/>
      <c r="I796" s="487"/>
      <c r="J796" s="125" t="s">
        <v>283</v>
      </c>
      <c r="K796" s="125" t="s">
        <v>280</v>
      </c>
      <c r="L796" s="125" t="s">
        <v>281</v>
      </c>
    </row>
    <row r="797" spans="1:12" s="121" customFormat="1" ht="15">
      <c r="A797" s="362"/>
      <c r="B797" s="616"/>
      <c r="C797" s="367" t="s">
        <v>9</v>
      </c>
      <c r="D797" s="492"/>
      <c r="E797" s="84">
        <v>3588</v>
      </c>
      <c r="F797" s="488">
        <v>3637</v>
      </c>
      <c r="G797" s="488">
        <v>3496.1</v>
      </c>
      <c r="H797" s="84"/>
      <c r="I797" s="84"/>
      <c r="J797" s="125">
        <f t="shared" ref="J797" si="118">MEDIAN(E797:I797)</f>
        <v>3588</v>
      </c>
      <c r="K797" s="125">
        <f t="shared" ref="K797" si="119">J797*1.3</f>
        <v>4664.4000000000005</v>
      </c>
      <c r="L797" s="125">
        <f t="shared" ref="L797" si="120">J797*0.7</f>
        <v>2511.6</v>
      </c>
    </row>
    <row r="798" spans="1:12" s="121" customFormat="1" ht="15">
      <c r="A798" s="362"/>
      <c r="B798" s="616"/>
      <c r="C798" s="367" t="s">
        <v>8</v>
      </c>
      <c r="D798" s="492"/>
      <c r="E798" s="487" t="s">
        <v>16944</v>
      </c>
      <c r="F798" s="487" t="s">
        <v>16939</v>
      </c>
      <c r="G798" s="487" t="s">
        <v>15004</v>
      </c>
      <c r="H798" s="487"/>
      <c r="I798" s="487"/>
      <c r="J798" s="125"/>
      <c r="K798" s="125"/>
      <c r="L798" s="125"/>
    </row>
    <row r="799" spans="1:12" s="121" customFormat="1" ht="15">
      <c r="A799" s="362"/>
      <c r="B799" s="616"/>
      <c r="C799" s="367" t="s">
        <v>7</v>
      </c>
      <c r="D799" s="492"/>
      <c r="E799" s="489" t="s">
        <v>16945</v>
      </c>
      <c r="F799" s="489" t="s">
        <v>16940</v>
      </c>
      <c r="G799" s="489" t="s">
        <v>16946</v>
      </c>
      <c r="H799" s="489"/>
      <c r="I799" s="489"/>
      <c r="J799" s="125"/>
      <c r="K799" s="125"/>
      <c r="L799" s="125"/>
    </row>
    <row r="800" spans="1:12" s="121" customFormat="1" ht="15">
      <c r="A800" s="362"/>
      <c r="B800" s="616"/>
      <c r="C800" s="367" t="s">
        <v>6</v>
      </c>
      <c r="D800" s="493"/>
      <c r="E800" s="490">
        <v>44295</v>
      </c>
      <c r="F800" s="490">
        <v>44295</v>
      </c>
      <c r="G800" s="490">
        <v>44295</v>
      </c>
      <c r="H800" s="490"/>
      <c r="I800" s="490"/>
      <c r="J800" s="125"/>
      <c r="K800" s="125"/>
      <c r="L800" s="125"/>
    </row>
    <row r="801" spans="1:12" s="121" customFormat="1" ht="15">
      <c r="A801" s="363"/>
      <c r="B801" s="617"/>
      <c r="C801" s="367" t="s">
        <v>8993</v>
      </c>
      <c r="D801" s="493"/>
      <c r="E801" s="490" t="s">
        <v>15323</v>
      </c>
      <c r="F801" s="490" t="s">
        <v>15323</v>
      </c>
      <c r="G801" s="490" t="s">
        <v>15323</v>
      </c>
      <c r="H801" s="490"/>
      <c r="I801" s="490"/>
      <c r="J801" s="125"/>
      <c r="K801" s="125"/>
      <c r="L801" s="125"/>
    </row>
    <row r="802" spans="1:12" s="121" customFormat="1" ht="11.25">
      <c r="A802" s="2"/>
      <c r="B802" s="622"/>
      <c r="C802" s="491"/>
      <c r="D802" s="491"/>
      <c r="E802" s="491"/>
      <c r="F802" s="491"/>
      <c r="G802" s="491"/>
      <c r="H802" s="491"/>
      <c r="I802" s="491"/>
      <c r="J802" s="124"/>
      <c r="K802" s="124"/>
      <c r="L802" s="124"/>
    </row>
    <row r="803" spans="1:12" s="121" customFormat="1" ht="22.5">
      <c r="A803" s="366" t="s">
        <v>14406</v>
      </c>
      <c r="B803" s="626" t="s">
        <v>15776</v>
      </c>
      <c r="C803" s="369">
        <f t="shared" ref="C803" si="121">MIN(E805:I805)</f>
        <v>389</v>
      </c>
      <c r="D803" s="370" t="s">
        <v>109</v>
      </c>
      <c r="E803" s="486" t="s">
        <v>14760</v>
      </c>
      <c r="F803" s="486" t="s">
        <v>16947</v>
      </c>
      <c r="G803" s="486" t="s">
        <v>16948</v>
      </c>
      <c r="H803" s="486" t="s">
        <v>18219</v>
      </c>
      <c r="I803" s="486"/>
      <c r="J803" s="125" t="s">
        <v>207</v>
      </c>
      <c r="K803" s="125"/>
      <c r="L803" s="125"/>
    </row>
    <row r="804" spans="1:12" s="121" customFormat="1" ht="22.5">
      <c r="A804" s="361"/>
      <c r="B804" s="615"/>
      <c r="C804" s="367" t="s">
        <v>284</v>
      </c>
      <c r="D804" s="554"/>
      <c r="E804" s="487" t="s">
        <v>15008</v>
      </c>
      <c r="F804" s="487" t="s">
        <v>16949</v>
      </c>
      <c r="G804" s="487" t="s">
        <v>16719</v>
      </c>
      <c r="H804" s="675">
        <v>14112021</v>
      </c>
      <c r="I804" s="487"/>
      <c r="J804" s="125" t="s">
        <v>283</v>
      </c>
      <c r="K804" s="125" t="s">
        <v>280</v>
      </c>
      <c r="L804" s="125" t="s">
        <v>281</v>
      </c>
    </row>
    <row r="805" spans="1:12" s="121" customFormat="1" ht="15">
      <c r="A805" s="362"/>
      <c r="B805" s="616"/>
      <c r="C805" s="367" t="s">
        <v>9</v>
      </c>
      <c r="D805" s="492"/>
      <c r="E805" s="84">
        <v>389</v>
      </c>
      <c r="F805" s="488">
        <v>552.4</v>
      </c>
      <c r="G805" s="488">
        <v>410</v>
      </c>
      <c r="H805" s="84">
        <v>538</v>
      </c>
      <c r="I805" s="84"/>
      <c r="J805" s="125">
        <f t="shared" ref="J805" si="122">MEDIAN(E805:I805)</f>
        <v>474</v>
      </c>
      <c r="K805" s="125">
        <f t="shared" ref="K805" si="123">J805*1.3</f>
        <v>616.20000000000005</v>
      </c>
      <c r="L805" s="125">
        <f t="shared" ref="L805" si="124">J805*0.7</f>
        <v>331.79999999999995</v>
      </c>
    </row>
    <row r="806" spans="1:12" s="121" customFormat="1" ht="15">
      <c r="A806" s="362"/>
      <c r="B806" s="616"/>
      <c r="C806" s="367" t="s">
        <v>8</v>
      </c>
      <c r="D806" s="492"/>
      <c r="E806" s="487" t="s">
        <v>15009</v>
      </c>
      <c r="F806" s="487" t="s">
        <v>16950</v>
      </c>
      <c r="G806" s="487" t="s">
        <v>16720</v>
      </c>
      <c r="H806" s="487"/>
      <c r="I806" s="487"/>
      <c r="J806" s="125"/>
      <c r="K806" s="125"/>
      <c r="L806" s="125"/>
    </row>
    <row r="807" spans="1:12" s="121" customFormat="1" ht="15">
      <c r="A807" s="362"/>
      <c r="B807" s="616"/>
      <c r="C807" s="367" t="s">
        <v>7</v>
      </c>
      <c r="D807" s="492"/>
      <c r="E807" s="489" t="s">
        <v>16951</v>
      </c>
      <c r="F807" s="489" t="s">
        <v>16952</v>
      </c>
      <c r="G807" s="489"/>
      <c r="H807" s="489"/>
      <c r="I807" s="489"/>
      <c r="J807" s="125"/>
      <c r="K807" s="125"/>
      <c r="L807" s="125"/>
    </row>
    <row r="808" spans="1:12" s="121" customFormat="1" ht="15">
      <c r="A808" s="362"/>
      <c r="B808" s="616"/>
      <c r="C808" s="367" t="s">
        <v>6</v>
      </c>
      <c r="D808" s="493"/>
      <c r="E808" s="490">
        <v>44295</v>
      </c>
      <c r="F808" s="490">
        <v>44295</v>
      </c>
      <c r="G808" s="490">
        <v>44295</v>
      </c>
      <c r="H808" s="490">
        <v>44322</v>
      </c>
      <c r="I808" s="490"/>
      <c r="J808" s="125"/>
      <c r="K808" s="125"/>
      <c r="L808" s="125"/>
    </row>
    <row r="809" spans="1:12" s="121" customFormat="1" ht="15">
      <c r="A809" s="363"/>
      <c r="B809" s="617"/>
      <c r="C809" s="367" t="s">
        <v>8993</v>
      </c>
      <c r="D809" s="493"/>
      <c r="E809" s="490" t="s">
        <v>16953</v>
      </c>
      <c r="F809" s="490" t="s">
        <v>16953</v>
      </c>
      <c r="G809" s="490" t="s">
        <v>16953</v>
      </c>
      <c r="H809" s="490" t="s">
        <v>18220</v>
      </c>
      <c r="I809" s="490"/>
      <c r="J809" s="125"/>
      <c r="K809" s="125"/>
      <c r="L809" s="125"/>
    </row>
    <row r="810" spans="1:12" s="121" customFormat="1" ht="11.25">
      <c r="A810" s="2"/>
      <c r="B810" s="622"/>
      <c r="C810" s="491"/>
      <c r="D810" s="491"/>
      <c r="E810" s="491"/>
      <c r="F810" s="491"/>
      <c r="G810" s="491"/>
      <c r="H810" s="491"/>
      <c r="I810" s="491"/>
      <c r="J810" s="124"/>
      <c r="K810" s="124"/>
      <c r="L810" s="124"/>
    </row>
    <row r="811" spans="1:12" s="121" customFormat="1" ht="56.25">
      <c r="A811" s="366" t="s">
        <v>14407</v>
      </c>
      <c r="B811" s="626" t="s">
        <v>14544</v>
      </c>
      <c r="C811" s="369">
        <f t="shared" ref="C811" si="125">MIN(E813:I813)</f>
        <v>38</v>
      </c>
      <c r="D811" s="370" t="s">
        <v>109</v>
      </c>
      <c r="E811" s="486" t="s">
        <v>14756</v>
      </c>
      <c r="F811" s="486" t="s">
        <v>15172</v>
      </c>
      <c r="G811" s="486" t="s">
        <v>15007</v>
      </c>
      <c r="H811" s="486" t="s">
        <v>18219</v>
      </c>
      <c r="I811" s="486"/>
      <c r="J811" s="125" t="s">
        <v>207</v>
      </c>
      <c r="K811" s="125"/>
      <c r="L811" s="125"/>
    </row>
    <row r="812" spans="1:12" s="121" customFormat="1" ht="22.5">
      <c r="A812" s="361"/>
      <c r="B812" s="615"/>
      <c r="C812" s="367" t="s">
        <v>284</v>
      </c>
      <c r="D812" s="554"/>
      <c r="E812" s="487" t="s">
        <v>14757</v>
      </c>
      <c r="F812" s="487" t="s">
        <v>15173</v>
      </c>
      <c r="G812" s="487" t="s">
        <v>15008</v>
      </c>
      <c r="H812" s="675" t="s">
        <v>18249</v>
      </c>
      <c r="I812" s="487"/>
      <c r="J812" s="125" t="s">
        <v>283</v>
      </c>
      <c r="K812" s="125" t="s">
        <v>280</v>
      </c>
      <c r="L812" s="125" t="s">
        <v>281</v>
      </c>
    </row>
    <row r="813" spans="1:12" s="121" customFormat="1" ht="15">
      <c r="A813" s="362"/>
      <c r="B813" s="616"/>
      <c r="C813" s="367" t="s">
        <v>9</v>
      </c>
      <c r="D813" s="492"/>
      <c r="E813" s="84">
        <v>48.93</v>
      </c>
      <c r="F813" s="488">
        <v>47.31</v>
      </c>
      <c r="G813" s="488">
        <v>42.76</v>
      </c>
      <c r="H813" s="84">
        <v>38</v>
      </c>
      <c r="I813" s="84"/>
      <c r="J813" s="125">
        <f t="shared" ref="J813" si="126">MEDIAN(E813:I813)</f>
        <v>45.034999999999997</v>
      </c>
      <c r="K813" s="125">
        <f t="shared" ref="K813" si="127">J813*1.3</f>
        <v>58.545499999999997</v>
      </c>
      <c r="L813" s="125">
        <f t="shared" ref="L813" si="128">J813*0.7</f>
        <v>31.524499999999996</v>
      </c>
    </row>
    <row r="814" spans="1:12" s="121" customFormat="1" ht="15">
      <c r="A814" s="362"/>
      <c r="B814" s="616"/>
      <c r="C814" s="367" t="s">
        <v>8</v>
      </c>
      <c r="D814" s="492"/>
      <c r="E814" s="472" t="s">
        <v>14758</v>
      </c>
      <c r="F814" s="487" t="s">
        <v>15174</v>
      </c>
      <c r="G814" s="487" t="s">
        <v>15009</v>
      </c>
      <c r="H814" s="487"/>
      <c r="I814" s="487"/>
      <c r="J814" s="125"/>
      <c r="K814" s="125"/>
      <c r="L814" s="125"/>
    </row>
    <row r="815" spans="1:12" s="121" customFormat="1" ht="15">
      <c r="A815" s="362"/>
      <c r="B815" s="616"/>
      <c r="C815" s="367" t="s">
        <v>7</v>
      </c>
      <c r="D815" s="492"/>
      <c r="E815" s="489" t="s">
        <v>14759</v>
      </c>
      <c r="F815" s="489" t="s">
        <v>14937</v>
      </c>
      <c r="G815" s="489" t="s">
        <v>15171</v>
      </c>
      <c r="H815" s="489"/>
      <c r="I815" s="489"/>
      <c r="J815" s="125"/>
      <c r="K815" s="125"/>
      <c r="L815" s="125"/>
    </row>
    <row r="816" spans="1:12" s="121" customFormat="1" ht="15">
      <c r="A816" s="362"/>
      <c r="B816" s="616"/>
      <c r="C816" s="367" t="s">
        <v>6</v>
      </c>
      <c r="D816" s="493"/>
      <c r="E816" s="490">
        <v>44253</v>
      </c>
      <c r="F816" s="490">
        <v>44256</v>
      </c>
      <c r="G816" s="490">
        <v>44256</v>
      </c>
      <c r="H816" s="490">
        <v>44098</v>
      </c>
      <c r="I816" s="490"/>
      <c r="J816" s="125"/>
      <c r="K816" s="125"/>
      <c r="L816" s="125"/>
    </row>
    <row r="817" spans="1:12" s="121" customFormat="1" ht="15">
      <c r="A817" s="363"/>
      <c r="B817" s="617"/>
      <c r="C817" s="367" t="s">
        <v>8993</v>
      </c>
      <c r="D817" s="493"/>
      <c r="E817" s="490" t="s">
        <v>14772</v>
      </c>
      <c r="F817" s="490" t="s">
        <v>14772</v>
      </c>
      <c r="G817" s="490" t="s">
        <v>14772</v>
      </c>
      <c r="H817" s="490" t="s">
        <v>18220</v>
      </c>
      <c r="I817" s="490"/>
      <c r="J817" s="125"/>
      <c r="K817" s="125"/>
      <c r="L817" s="125"/>
    </row>
    <row r="818" spans="1:12" s="121" customFormat="1" ht="11.25">
      <c r="A818" s="2"/>
      <c r="B818" s="622"/>
      <c r="C818" s="491"/>
      <c r="D818" s="491"/>
      <c r="E818" s="491"/>
      <c r="F818" s="491"/>
      <c r="G818" s="491"/>
      <c r="H818" s="491"/>
      <c r="I818" s="491"/>
      <c r="J818" s="124"/>
      <c r="K818" s="124"/>
      <c r="L818" s="124"/>
    </row>
    <row r="819" spans="1:12" s="121" customFormat="1" ht="11.25">
      <c r="A819" s="366" t="s">
        <v>14408</v>
      </c>
      <c r="B819" s="626" t="s">
        <v>15778</v>
      </c>
      <c r="C819" s="369">
        <f t="shared" ref="C819" si="129">MIN(E821:I821)</f>
        <v>86</v>
      </c>
      <c r="D819" s="370" t="s">
        <v>109</v>
      </c>
      <c r="E819" s="486" t="s">
        <v>16922</v>
      </c>
      <c r="F819" s="486" t="s">
        <v>14752</v>
      </c>
      <c r="G819" s="486" t="s">
        <v>16923</v>
      </c>
      <c r="H819" s="486" t="s">
        <v>18219</v>
      </c>
      <c r="I819" s="486"/>
      <c r="J819" s="125" t="s">
        <v>207</v>
      </c>
      <c r="K819" s="125"/>
      <c r="L819" s="125"/>
    </row>
    <row r="820" spans="1:12" s="121" customFormat="1" ht="11.25">
      <c r="A820" s="361"/>
      <c r="B820" s="615"/>
      <c r="C820" s="367" t="s">
        <v>284</v>
      </c>
      <c r="D820" s="554"/>
      <c r="E820" s="487"/>
      <c r="F820" s="487"/>
      <c r="G820" s="487"/>
      <c r="H820" s="675">
        <v>7521</v>
      </c>
      <c r="I820" s="487"/>
      <c r="J820" s="125" t="s">
        <v>283</v>
      </c>
      <c r="K820" s="125" t="s">
        <v>280</v>
      </c>
      <c r="L820" s="125" t="s">
        <v>281</v>
      </c>
    </row>
    <row r="821" spans="1:12" s="121" customFormat="1" ht="15">
      <c r="A821" s="362"/>
      <c r="B821" s="616"/>
      <c r="C821" s="367" t="s">
        <v>9</v>
      </c>
      <c r="D821" s="492"/>
      <c r="E821" s="84">
        <v>97.79</v>
      </c>
      <c r="F821" s="488">
        <v>89.99</v>
      </c>
      <c r="G821" s="488">
        <v>86</v>
      </c>
      <c r="H821" s="84">
        <v>113.17</v>
      </c>
      <c r="I821" s="84"/>
      <c r="J821" s="125">
        <f t="shared" ref="J821" si="130">MEDIAN(E821:I821)</f>
        <v>93.89</v>
      </c>
      <c r="K821" s="125">
        <f t="shared" ref="K821" si="131">J821*1.3</f>
        <v>122.057</v>
      </c>
      <c r="L821" s="125">
        <f t="shared" ref="L821" si="132">J821*0.7</f>
        <v>65.722999999999999</v>
      </c>
    </row>
    <row r="822" spans="1:12" s="121" customFormat="1" ht="15">
      <c r="A822" s="362"/>
      <c r="B822" s="616"/>
      <c r="C822" s="367" t="s">
        <v>8</v>
      </c>
      <c r="D822" s="492"/>
      <c r="E822" s="472" t="s">
        <v>16731</v>
      </c>
      <c r="F822" s="487" t="s">
        <v>15326</v>
      </c>
      <c r="G822" s="487" t="s">
        <v>16924</v>
      </c>
      <c r="H822" s="487"/>
      <c r="I822" s="487"/>
      <c r="J822" s="125"/>
      <c r="K822" s="125"/>
      <c r="L822" s="125"/>
    </row>
    <row r="823" spans="1:12" s="121" customFormat="1" ht="15">
      <c r="A823" s="362"/>
      <c r="B823" s="616"/>
      <c r="C823" s="367" t="s">
        <v>7</v>
      </c>
      <c r="D823" s="492"/>
      <c r="E823" s="489" t="s">
        <v>16925</v>
      </c>
      <c r="F823" s="489" t="s">
        <v>14755</v>
      </c>
      <c r="G823" s="489" t="s">
        <v>16926</v>
      </c>
      <c r="H823" s="489"/>
      <c r="I823" s="489"/>
      <c r="J823" s="125"/>
      <c r="K823" s="125"/>
      <c r="L823" s="125"/>
    </row>
    <row r="824" spans="1:12" s="121" customFormat="1" ht="15">
      <c r="A824" s="362"/>
      <c r="B824" s="616"/>
      <c r="C824" s="367" t="s">
        <v>6</v>
      </c>
      <c r="D824" s="493"/>
      <c r="E824" s="490">
        <v>44293</v>
      </c>
      <c r="F824" s="490">
        <v>44293</v>
      </c>
      <c r="G824" s="490">
        <v>44293</v>
      </c>
      <c r="H824" s="490">
        <v>44265</v>
      </c>
      <c r="I824" s="490"/>
      <c r="J824" s="125"/>
      <c r="K824" s="125"/>
      <c r="L824" s="125"/>
    </row>
    <row r="825" spans="1:12" s="121" customFormat="1" ht="15">
      <c r="A825" s="363"/>
      <c r="B825" s="617"/>
      <c r="C825" s="367" t="s">
        <v>8993</v>
      </c>
      <c r="D825" s="493"/>
      <c r="E825" s="490" t="s">
        <v>16927</v>
      </c>
      <c r="F825" s="490" t="s">
        <v>16927</v>
      </c>
      <c r="G825" s="490" t="s">
        <v>16927</v>
      </c>
      <c r="H825" s="490" t="s">
        <v>18220</v>
      </c>
      <c r="I825" s="490"/>
      <c r="J825" s="125"/>
      <c r="K825" s="125"/>
      <c r="L825" s="125"/>
    </row>
    <row r="826" spans="1:12" s="121" customFormat="1" ht="11.25">
      <c r="A826" s="2"/>
      <c r="B826" s="622"/>
      <c r="C826" s="491"/>
      <c r="D826" s="491"/>
      <c r="E826" s="491"/>
      <c r="F826" s="491"/>
      <c r="G826" s="491"/>
      <c r="H826" s="491"/>
      <c r="I826" s="491"/>
      <c r="J826" s="124"/>
      <c r="K826" s="124"/>
      <c r="L826" s="124"/>
    </row>
    <row r="827" spans="1:12" s="121" customFormat="1" ht="11.25">
      <c r="A827" s="366" t="s">
        <v>15777</v>
      </c>
      <c r="B827" s="626" t="s">
        <v>17174</v>
      </c>
      <c r="C827" s="369">
        <f t="shared" ref="C827" si="133">MIN(E829:I829)</f>
        <v>14.9</v>
      </c>
      <c r="D827" s="370" t="s">
        <v>109</v>
      </c>
      <c r="E827" s="486" t="s">
        <v>17211</v>
      </c>
      <c r="F827" s="486" t="s">
        <v>14756</v>
      </c>
      <c r="G827" s="486" t="s">
        <v>17212</v>
      </c>
      <c r="H827" s="486" t="s">
        <v>18219</v>
      </c>
      <c r="I827" s="486"/>
      <c r="J827" s="125" t="s">
        <v>207</v>
      </c>
      <c r="K827" s="125"/>
      <c r="L827" s="125"/>
    </row>
    <row r="828" spans="1:12" s="121" customFormat="1" ht="45">
      <c r="A828" s="361"/>
      <c r="B828" s="615"/>
      <c r="C828" s="367" t="s">
        <v>284</v>
      </c>
      <c r="D828" s="554"/>
      <c r="E828" s="487" t="s">
        <v>17213</v>
      </c>
      <c r="F828" s="487" t="s">
        <v>15002</v>
      </c>
      <c r="G828" s="487" t="s">
        <v>17214</v>
      </c>
      <c r="H828" s="675" t="s">
        <v>18250</v>
      </c>
      <c r="I828" s="487"/>
      <c r="J828" s="125" t="s">
        <v>283</v>
      </c>
      <c r="K828" s="125" t="s">
        <v>280</v>
      </c>
      <c r="L828" s="125" t="s">
        <v>281</v>
      </c>
    </row>
    <row r="829" spans="1:12" s="121" customFormat="1" ht="15">
      <c r="A829" s="362"/>
      <c r="B829" s="616"/>
      <c r="C829" s="367" t="s">
        <v>9</v>
      </c>
      <c r="D829" s="492"/>
      <c r="E829" s="84">
        <v>20.81</v>
      </c>
      <c r="F829" s="488">
        <v>14.9</v>
      </c>
      <c r="G829" s="488">
        <v>17.899999999999999</v>
      </c>
      <c r="H829" s="84">
        <v>14.99</v>
      </c>
      <c r="I829" s="84"/>
      <c r="J829" s="125">
        <f t="shared" ref="J829" si="134">MEDIAN(E829:I829)</f>
        <v>16.445</v>
      </c>
      <c r="K829" s="125">
        <f t="shared" ref="K829" si="135">J829*1.3</f>
        <v>21.378500000000003</v>
      </c>
      <c r="L829" s="125">
        <f t="shared" ref="L829" si="136">J829*0.7</f>
        <v>11.5115</v>
      </c>
    </row>
    <row r="830" spans="1:12" s="121" customFormat="1" ht="15">
      <c r="A830" s="362"/>
      <c r="B830" s="616"/>
      <c r="C830" s="367" t="s">
        <v>8</v>
      </c>
      <c r="D830" s="492"/>
      <c r="E830" s="487" t="s">
        <v>16944</v>
      </c>
      <c r="F830" s="487" t="s">
        <v>14758</v>
      </c>
      <c r="G830" s="487" t="s">
        <v>17032</v>
      </c>
      <c r="H830" s="487"/>
      <c r="I830" s="487"/>
      <c r="J830" s="125"/>
      <c r="K830" s="125"/>
      <c r="L830" s="125"/>
    </row>
    <row r="831" spans="1:12" s="121" customFormat="1" ht="15">
      <c r="A831" s="362"/>
      <c r="B831" s="616"/>
      <c r="C831" s="367" t="s">
        <v>7</v>
      </c>
      <c r="D831" s="492"/>
      <c r="E831" s="489" t="s">
        <v>17215</v>
      </c>
      <c r="F831" s="489" t="s">
        <v>14759</v>
      </c>
      <c r="G831" s="489" t="s">
        <v>17033</v>
      </c>
      <c r="H831" s="489"/>
      <c r="I831" s="489"/>
      <c r="J831" s="125"/>
      <c r="K831" s="125"/>
      <c r="L831" s="125"/>
    </row>
    <row r="832" spans="1:12" s="121" customFormat="1" ht="15">
      <c r="A832" s="362"/>
      <c r="B832" s="616"/>
      <c r="C832" s="367" t="s">
        <v>6</v>
      </c>
      <c r="D832" s="493"/>
      <c r="E832" s="490">
        <v>44301</v>
      </c>
      <c r="F832" s="490">
        <v>44301</v>
      </c>
      <c r="G832" s="490">
        <v>44301</v>
      </c>
      <c r="H832" s="490">
        <v>44287</v>
      </c>
      <c r="I832" s="490"/>
      <c r="J832" s="125"/>
      <c r="K832" s="125"/>
      <c r="L832" s="125"/>
    </row>
    <row r="833" spans="1:12" s="121" customFormat="1" ht="15">
      <c r="A833" s="363"/>
      <c r="B833" s="617"/>
      <c r="C833" s="367" t="s">
        <v>8993</v>
      </c>
      <c r="D833" s="493"/>
      <c r="E833" s="490" t="s">
        <v>17292</v>
      </c>
      <c r="F833" s="490" t="s">
        <v>17292</v>
      </c>
      <c r="G833" s="490" t="s">
        <v>17292</v>
      </c>
      <c r="H833" s="490" t="s">
        <v>18220</v>
      </c>
      <c r="I833" s="490"/>
      <c r="J833" s="125"/>
      <c r="K833" s="125"/>
      <c r="L833" s="125"/>
    </row>
    <row r="834" spans="1:12" s="121" customFormat="1" ht="11.25">
      <c r="A834" s="2"/>
      <c r="B834" s="622"/>
      <c r="C834" s="491"/>
      <c r="D834" s="491"/>
      <c r="E834" s="491"/>
      <c r="F834" s="491"/>
      <c r="G834" s="491"/>
      <c r="H834" s="491"/>
      <c r="I834" s="491"/>
      <c r="J834" s="124"/>
      <c r="K834" s="124"/>
      <c r="L834" s="124"/>
    </row>
    <row r="835" spans="1:12" s="121" customFormat="1" ht="22.5">
      <c r="A835" s="366" t="s">
        <v>14416</v>
      </c>
      <c r="B835" s="626" t="s">
        <v>18443</v>
      </c>
      <c r="C835" s="369">
        <f t="shared" ref="C835" si="137">MIN(E837:I837)</f>
        <v>1909.9</v>
      </c>
      <c r="D835" s="370" t="s">
        <v>109</v>
      </c>
      <c r="E835" s="486" t="s">
        <v>16734</v>
      </c>
      <c r="F835" s="486" t="s">
        <v>18579</v>
      </c>
      <c r="G835" s="486" t="s">
        <v>18583</v>
      </c>
      <c r="H835" s="486"/>
      <c r="I835" s="486"/>
      <c r="J835" s="125" t="s">
        <v>207</v>
      </c>
      <c r="K835" s="125"/>
      <c r="L835" s="125"/>
    </row>
    <row r="836" spans="1:12" s="121" customFormat="1" ht="22.5">
      <c r="A836" s="361"/>
      <c r="B836" s="615"/>
      <c r="C836" s="367" t="s">
        <v>284</v>
      </c>
      <c r="D836" s="554"/>
      <c r="E836" s="487" t="s">
        <v>18574</v>
      </c>
      <c r="F836" s="487" t="s">
        <v>18578</v>
      </c>
      <c r="G836" s="487" t="s">
        <v>18582</v>
      </c>
      <c r="H836" s="675"/>
      <c r="I836" s="487"/>
      <c r="J836" s="125" t="s">
        <v>283</v>
      </c>
      <c r="K836" s="125" t="s">
        <v>280</v>
      </c>
      <c r="L836" s="125" t="s">
        <v>281</v>
      </c>
    </row>
    <row r="837" spans="1:12" s="121" customFormat="1" ht="15">
      <c r="A837" s="362"/>
      <c r="B837" s="616"/>
      <c r="C837" s="367" t="s">
        <v>9</v>
      </c>
      <c r="D837" s="492"/>
      <c r="E837" s="84">
        <v>2283.9</v>
      </c>
      <c r="F837" s="488">
        <v>2209.2199999999998</v>
      </c>
      <c r="G837" s="488">
        <v>1909.9</v>
      </c>
      <c r="H837" s="84"/>
      <c r="I837" s="84"/>
      <c r="J837" s="125">
        <f t="shared" ref="J837" si="138">MEDIAN(E837:I837)</f>
        <v>2209.2199999999998</v>
      </c>
      <c r="K837" s="125">
        <f t="shared" ref="K837" si="139">J837*1.3</f>
        <v>2871.9859999999999</v>
      </c>
      <c r="L837" s="125">
        <f t="shared" ref="L837" si="140">J837*0.7</f>
        <v>1546.4539999999997</v>
      </c>
    </row>
    <row r="838" spans="1:12" s="121" customFormat="1" ht="15">
      <c r="A838" s="362"/>
      <c r="B838" s="616"/>
      <c r="C838" s="367" t="s">
        <v>8</v>
      </c>
      <c r="D838" s="492"/>
      <c r="E838" s="487" t="s">
        <v>18576</v>
      </c>
      <c r="F838" s="487" t="s">
        <v>18581</v>
      </c>
      <c r="G838" s="487" t="s">
        <v>18585</v>
      </c>
      <c r="H838" s="487"/>
      <c r="I838" s="487"/>
      <c r="J838" s="125"/>
      <c r="K838" s="125"/>
      <c r="L838" s="125"/>
    </row>
    <row r="839" spans="1:12" s="121" customFormat="1" ht="15">
      <c r="A839" s="362"/>
      <c r="B839" s="616"/>
      <c r="C839" s="367" t="s">
        <v>7</v>
      </c>
      <c r="D839" s="492"/>
      <c r="E839" s="489" t="s">
        <v>18577</v>
      </c>
      <c r="F839" s="489" t="s">
        <v>18580</v>
      </c>
      <c r="G839" s="489" t="s">
        <v>18584</v>
      </c>
      <c r="H839" s="489"/>
      <c r="I839" s="489"/>
      <c r="J839" s="125"/>
      <c r="K839" s="125"/>
      <c r="L839" s="125"/>
    </row>
    <row r="840" spans="1:12" s="121" customFormat="1" ht="15">
      <c r="A840" s="362"/>
      <c r="B840" s="616"/>
      <c r="C840" s="367" t="s">
        <v>6</v>
      </c>
      <c r="D840" s="493"/>
      <c r="E840" s="490">
        <v>44362</v>
      </c>
      <c r="F840" s="490">
        <v>44362</v>
      </c>
      <c r="G840" s="490">
        <v>44362</v>
      </c>
      <c r="H840" s="490"/>
      <c r="I840" s="490"/>
      <c r="J840" s="125"/>
      <c r="K840" s="125"/>
      <c r="L840" s="125"/>
    </row>
    <row r="841" spans="1:12" s="121" customFormat="1" ht="15">
      <c r="A841" s="363"/>
      <c r="B841" s="617"/>
      <c r="C841" s="367" t="s">
        <v>8993</v>
      </c>
      <c r="D841" s="493"/>
      <c r="E841" s="490" t="s">
        <v>18575</v>
      </c>
      <c r="F841" s="490" t="s">
        <v>18575</v>
      </c>
      <c r="G841" s="490" t="s">
        <v>18575</v>
      </c>
      <c r="H841" s="490"/>
      <c r="I841" s="490"/>
      <c r="J841" s="125"/>
      <c r="K841" s="125"/>
      <c r="L841" s="125"/>
    </row>
    <row r="842" spans="1:12" s="121" customFormat="1" ht="11.25">
      <c r="A842" s="2"/>
      <c r="B842" s="622"/>
      <c r="C842" s="491"/>
      <c r="D842" s="491"/>
      <c r="E842" s="491"/>
      <c r="F842" s="491"/>
      <c r="G842" s="491"/>
      <c r="H842" s="491"/>
      <c r="I842" s="491"/>
      <c r="J842" s="124"/>
      <c r="K842" s="124"/>
      <c r="L842" s="124"/>
    </row>
    <row r="843" spans="1:12" s="121" customFormat="1" ht="22.5">
      <c r="A843" s="366" t="s">
        <v>14417</v>
      </c>
      <c r="B843" s="626" t="s">
        <v>15779</v>
      </c>
      <c r="C843" s="369">
        <f t="shared" ref="C843" si="141">MIN(E845:I845)</f>
        <v>64.099999999999994</v>
      </c>
      <c r="D843" s="370" t="s">
        <v>109</v>
      </c>
      <c r="E843" s="486" t="s">
        <v>16722</v>
      </c>
      <c r="F843" s="486" t="s">
        <v>14760</v>
      </c>
      <c r="G843" s="486" t="s">
        <v>16729</v>
      </c>
      <c r="H843" s="486" t="s">
        <v>18219</v>
      </c>
      <c r="I843" s="486"/>
      <c r="J843" s="125" t="s">
        <v>207</v>
      </c>
      <c r="K843" s="125"/>
      <c r="L843" s="125"/>
    </row>
    <row r="844" spans="1:12" s="121" customFormat="1" ht="22.5">
      <c r="A844" s="361"/>
      <c r="B844" s="615"/>
      <c r="C844" s="367" t="s">
        <v>284</v>
      </c>
      <c r="D844" s="554"/>
      <c r="E844" s="487" t="s">
        <v>16725</v>
      </c>
      <c r="F844" s="487" t="s">
        <v>15008</v>
      </c>
      <c r="G844" s="487" t="s">
        <v>16730</v>
      </c>
      <c r="H844" s="675" t="s">
        <v>18251</v>
      </c>
      <c r="I844" s="487"/>
      <c r="J844" s="125" t="s">
        <v>283</v>
      </c>
      <c r="K844" s="125" t="s">
        <v>280</v>
      </c>
      <c r="L844" s="125" t="s">
        <v>281</v>
      </c>
    </row>
    <row r="845" spans="1:12" s="121" customFormat="1" ht="15">
      <c r="A845" s="362"/>
      <c r="B845" s="616"/>
      <c r="C845" s="367" t="s">
        <v>9</v>
      </c>
      <c r="D845" s="492"/>
      <c r="E845" s="84">
        <v>65.52</v>
      </c>
      <c r="F845" s="488">
        <v>88.17</v>
      </c>
      <c r="G845" s="488">
        <v>64.099999999999994</v>
      </c>
      <c r="H845" s="84">
        <v>88.2</v>
      </c>
      <c r="I845" s="84"/>
      <c r="J845" s="125">
        <f t="shared" ref="J845" si="142">MEDIAN(E845:I845)</f>
        <v>76.844999999999999</v>
      </c>
      <c r="K845" s="125">
        <f t="shared" ref="K845" si="143">J845*1.3</f>
        <v>99.898499999999999</v>
      </c>
      <c r="L845" s="125">
        <f t="shared" ref="L845" si="144">J845*0.7</f>
        <v>53.791499999999999</v>
      </c>
    </row>
    <row r="846" spans="1:12" s="121" customFormat="1" ht="15">
      <c r="A846" s="362"/>
      <c r="B846" s="616"/>
      <c r="C846" s="367" t="s">
        <v>8</v>
      </c>
      <c r="D846" s="492"/>
      <c r="E846" s="487" t="s">
        <v>14758</v>
      </c>
      <c r="F846" s="487" t="s">
        <v>15009</v>
      </c>
      <c r="G846" s="487" t="s">
        <v>16731</v>
      </c>
      <c r="H846" s="487"/>
      <c r="I846" s="487"/>
      <c r="J846" s="125"/>
      <c r="K846" s="125"/>
      <c r="L846" s="125"/>
    </row>
    <row r="847" spans="1:12" s="121" customFormat="1" ht="15">
      <c r="A847" s="362"/>
      <c r="B847" s="616"/>
      <c r="C847" s="367" t="s">
        <v>7</v>
      </c>
      <c r="D847" s="492"/>
      <c r="E847" s="489" t="s">
        <v>14759</v>
      </c>
      <c r="F847" s="489" t="s">
        <v>14761</v>
      </c>
      <c r="G847" s="489" t="s">
        <v>16732</v>
      </c>
      <c r="H847" s="489"/>
      <c r="I847" s="489"/>
      <c r="J847" s="125"/>
      <c r="K847" s="125"/>
      <c r="L847" s="125"/>
    </row>
    <row r="848" spans="1:12" s="121" customFormat="1" ht="15">
      <c r="A848" s="362"/>
      <c r="B848" s="616"/>
      <c r="C848" s="367" t="s">
        <v>6</v>
      </c>
      <c r="D848" s="493"/>
      <c r="E848" s="490" t="s">
        <v>16728</v>
      </c>
      <c r="F848" s="490" t="s">
        <v>16728</v>
      </c>
      <c r="G848" s="490" t="s">
        <v>16728</v>
      </c>
      <c r="H848" s="490">
        <v>44284</v>
      </c>
      <c r="I848" s="490"/>
      <c r="J848" s="125"/>
      <c r="K848" s="125"/>
      <c r="L848" s="125"/>
    </row>
    <row r="849" spans="1:14" s="121" customFormat="1" ht="15">
      <c r="A849" s="363"/>
      <c r="B849" s="617"/>
      <c r="C849" s="367" t="s">
        <v>8993</v>
      </c>
      <c r="D849" s="493"/>
      <c r="E849" s="490" t="s">
        <v>16733</v>
      </c>
      <c r="F849" s="490" t="s">
        <v>16733</v>
      </c>
      <c r="G849" s="490" t="s">
        <v>16733</v>
      </c>
      <c r="H849" s="490" t="s">
        <v>18220</v>
      </c>
      <c r="I849" s="490"/>
      <c r="J849" s="125"/>
      <c r="K849" s="125"/>
      <c r="L849" s="125"/>
    </row>
    <row r="850" spans="1:14" s="121" customFormat="1" ht="11.25">
      <c r="A850" s="2"/>
      <c r="B850" s="622"/>
      <c r="C850" s="491"/>
      <c r="D850" s="491"/>
      <c r="E850" s="491"/>
      <c r="F850" s="491"/>
      <c r="G850" s="491"/>
      <c r="H850" s="491"/>
      <c r="I850" s="491"/>
      <c r="J850" s="124"/>
      <c r="K850" s="124"/>
      <c r="L850" s="124"/>
    </row>
    <row r="851" spans="1:14" s="121" customFormat="1" ht="22.5">
      <c r="A851" s="366" t="s">
        <v>14418</v>
      </c>
      <c r="B851" s="626" t="s">
        <v>18586</v>
      </c>
      <c r="C851" s="369">
        <f t="shared" ref="C851" si="145">MIN(E853:I853)</f>
        <v>983.9</v>
      </c>
      <c r="D851" s="370" t="s">
        <v>109</v>
      </c>
      <c r="E851" s="486" t="s">
        <v>18589</v>
      </c>
      <c r="F851" s="486" t="s">
        <v>16723</v>
      </c>
      <c r="G851" s="486" t="s">
        <v>16724</v>
      </c>
      <c r="H851" s="486"/>
      <c r="I851" s="486"/>
      <c r="J851" s="125" t="s">
        <v>207</v>
      </c>
      <c r="K851" s="125"/>
      <c r="L851" s="125"/>
    </row>
    <row r="852" spans="1:14" s="121" customFormat="1" ht="22.5">
      <c r="A852" s="361"/>
      <c r="B852" s="615"/>
      <c r="C852" s="367" t="s">
        <v>284</v>
      </c>
      <c r="D852" s="554"/>
      <c r="E852" s="487" t="s">
        <v>18588</v>
      </c>
      <c r="F852" s="487" t="s">
        <v>15003</v>
      </c>
      <c r="G852" s="487" t="s">
        <v>15183</v>
      </c>
      <c r="H852" s="675"/>
      <c r="I852" s="487"/>
      <c r="J852" s="125" t="s">
        <v>283</v>
      </c>
      <c r="K852" s="125" t="s">
        <v>280</v>
      </c>
      <c r="L852" s="125" t="s">
        <v>281</v>
      </c>
    </row>
    <row r="853" spans="1:14" s="121" customFormat="1" ht="15">
      <c r="A853" s="362"/>
      <c r="B853" s="616"/>
      <c r="C853" s="367" t="s">
        <v>9</v>
      </c>
      <c r="D853" s="492"/>
      <c r="E853" s="84">
        <v>983.9</v>
      </c>
      <c r="F853" s="488">
        <v>1229.8800000000001</v>
      </c>
      <c r="G853" s="488">
        <v>1229.8800000000001</v>
      </c>
      <c r="H853" s="84"/>
      <c r="I853" s="84"/>
      <c r="J853" s="125">
        <f t="shared" ref="J853" si="146">MEDIAN(E853:I853)</f>
        <v>1229.8800000000001</v>
      </c>
      <c r="K853" s="125">
        <f t="shared" ref="K853" si="147">J853*1.3</f>
        <v>1598.8440000000003</v>
      </c>
      <c r="L853" s="125">
        <f t="shared" ref="L853" si="148">J853*0.7</f>
        <v>860.91600000000005</v>
      </c>
    </row>
    <row r="854" spans="1:14" s="121" customFormat="1" ht="15">
      <c r="A854" s="362"/>
      <c r="B854" s="616"/>
      <c r="C854" s="367" t="s">
        <v>8</v>
      </c>
      <c r="D854" s="492"/>
      <c r="E854" s="487" t="s">
        <v>18592</v>
      </c>
      <c r="F854" s="487" t="s">
        <v>16746</v>
      </c>
      <c r="G854" s="487" t="s">
        <v>14764</v>
      </c>
      <c r="H854" s="487"/>
      <c r="I854" s="487"/>
      <c r="J854" s="125"/>
      <c r="K854" s="125"/>
      <c r="L854" s="125"/>
    </row>
    <row r="855" spans="1:14" s="121" customFormat="1" ht="15">
      <c r="A855" s="362"/>
      <c r="B855" s="616"/>
      <c r="C855" s="367" t="s">
        <v>7</v>
      </c>
      <c r="D855" s="492"/>
      <c r="E855" s="489" t="s">
        <v>18591</v>
      </c>
      <c r="F855" s="489" t="s">
        <v>16726</v>
      </c>
      <c r="G855" s="489" t="s">
        <v>16727</v>
      </c>
      <c r="H855" s="489"/>
      <c r="I855" s="489"/>
      <c r="J855" s="125"/>
      <c r="K855" s="125"/>
      <c r="L855" s="125"/>
    </row>
    <row r="856" spans="1:14" s="121" customFormat="1" ht="15">
      <c r="A856" s="362"/>
      <c r="B856" s="616"/>
      <c r="C856" s="367" t="s">
        <v>6</v>
      </c>
      <c r="D856" s="493"/>
      <c r="E856" s="490">
        <v>44362</v>
      </c>
      <c r="F856" s="490">
        <v>44362</v>
      </c>
      <c r="G856" s="490">
        <v>44362</v>
      </c>
      <c r="H856" s="490"/>
      <c r="I856" s="490"/>
      <c r="J856" s="125"/>
      <c r="K856" s="125"/>
      <c r="L856" s="125"/>
    </row>
    <row r="857" spans="1:14" s="121" customFormat="1" ht="15">
      <c r="A857" s="363"/>
      <c r="B857" s="617"/>
      <c r="C857" s="367" t="s">
        <v>8993</v>
      </c>
      <c r="D857" s="493"/>
      <c r="E857" s="490" t="s">
        <v>18590</v>
      </c>
      <c r="F857" s="490" t="s">
        <v>18590</v>
      </c>
      <c r="G857" s="490" t="s">
        <v>18590</v>
      </c>
      <c r="H857" s="490"/>
      <c r="I857" s="490"/>
      <c r="J857" s="125"/>
      <c r="K857" s="125"/>
      <c r="L857" s="125"/>
    </row>
    <row r="858" spans="1:14" s="121" customFormat="1" ht="11.25">
      <c r="A858" s="2"/>
      <c r="B858" s="622"/>
      <c r="C858" s="491"/>
      <c r="D858" s="491"/>
      <c r="E858" s="491"/>
      <c r="F858" s="491"/>
      <c r="G858" s="491"/>
      <c r="H858" s="491"/>
      <c r="I858" s="491"/>
      <c r="J858" s="124"/>
      <c r="K858" s="124"/>
      <c r="L858" s="124"/>
    </row>
    <row r="859" spans="1:14" s="121" customFormat="1" ht="22.5">
      <c r="A859" s="366" t="s">
        <v>14419</v>
      </c>
      <c r="B859" s="626" t="s">
        <v>15781</v>
      </c>
      <c r="C859" s="369">
        <f t="shared" ref="C859" si="149">MIN(E861:I861)</f>
        <v>141.06</v>
      </c>
      <c r="D859" s="370" t="s">
        <v>109</v>
      </c>
      <c r="E859" s="486" t="s">
        <v>16722</v>
      </c>
      <c r="F859" s="486" t="s">
        <v>16734</v>
      </c>
      <c r="G859" s="486" t="s">
        <v>16724</v>
      </c>
      <c r="H859" s="486" t="s">
        <v>18219</v>
      </c>
      <c r="I859" s="486"/>
      <c r="J859" s="125" t="s">
        <v>207</v>
      </c>
      <c r="K859" s="125"/>
      <c r="L859" s="125"/>
      <c r="N859" s="121" t="s">
        <v>15782</v>
      </c>
    </row>
    <row r="860" spans="1:14" s="121" customFormat="1" ht="22.5">
      <c r="A860" s="361"/>
      <c r="B860" s="615"/>
      <c r="C860" s="367" t="s">
        <v>284</v>
      </c>
      <c r="D860" s="554"/>
      <c r="E860" s="487" t="s">
        <v>16725</v>
      </c>
      <c r="F860" s="487" t="s">
        <v>16735</v>
      </c>
      <c r="G860" s="487" t="s">
        <v>15183</v>
      </c>
      <c r="H860" s="675" t="s">
        <v>18252</v>
      </c>
      <c r="I860" s="487"/>
      <c r="J860" s="125" t="s">
        <v>283</v>
      </c>
      <c r="K860" s="125" t="s">
        <v>280</v>
      </c>
      <c r="L860" s="125" t="s">
        <v>281</v>
      </c>
    </row>
    <row r="861" spans="1:14" s="121" customFormat="1" ht="15">
      <c r="A861" s="362"/>
      <c r="B861" s="616"/>
      <c r="C861" s="367" t="s">
        <v>9</v>
      </c>
      <c r="D861" s="492"/>
      <c r="E861" s="84">
        <v>189.99</v>
      </c>
      <c r="F861" s="488">
        <v>141.06</v>
      </c>
      <c r="G861" s="488">
        <v>157.19</v>
      </c>
      <c r="H861" s="84">
        <v>380</v>
      </c>
      <c r="I861" s="84"/>
      <c r="J861" s="125">
        <f t="shared" ref="J861" si="150">MEDIAN(E861:I861)</f>
        <v>173.59</v>
      </c>
      <c r="K861" s="125">
        <f t="shared" ref="K861" si="151">J861*1.3</f>
        <v>225.667</v>
      </c>
      <c r="L861" s="125">
        <f t="shared" ref="L861" si="152">J861*0.7</f>
        <v>121.51299999999999</v>
      </c>
    </row>
    <row r="862" spans="1:14" s="121" customFormat="1" ht="15">
      <c r="A862" s="362"/>
      <c r="B862" s="616"/>
      <c r="C862" s="367" t="s">
        <v>8</v>
      </c>
      <c r="D862" s="492"/>
      <c r="E862" s="487" t="s">
        <v>14758</v>
      </c>
      <c r="F862" s="487" t="s">
        <v>16736</v>
      </c>
      <c r="G862" s="487" t="s">
        <v>14764</v>
      </c>
      <c r="H862" s="487"/>
      <c r="I862" s="487"/>
      <c r="J862" s="125"/>
      <c r="K862" s="125"/>
      <c r="L862" s="125"/>
    </row>
    <row r="863" spans="1:14" s="121" customFormat="1" ht="15">
      <c r="A863" s="362"/>
      <c r="B863" s="616"/>
      <c r="C863" s="367" t="s">
        <v>7</v>
      </c>
      <c r="D863" s="492"/>
      <c r="E863" s="489" t="s">
        <v>14759</v>
      </c>
      <c r="F863" s="489" t="s">
        <v>16737</v>
      </c>
      <c r="G863" s="489" t="s">
        <v>16727</v>
      </c>
      <c r="H863" s="489"/>
      <c r="I863" s="489"/>
      <c r="J863" s="125"/>
      <c r="K863" s="125"/>
      <c r="L863" s="125"/>
    </row>
    <row r="864" spans="1:14" s="121" customFormat="1" ht="15">
      <c r="A864" s="362"/>
      <c r="B864" s="616"/>
      <c r="C864" s="367" t="s">
        <v>6</v>
      </c>
      <c r="D864" s="493"/>
      <c r="E864" s="490" t="s">
        <v>16728</v>
      </c>
      <c r="F864" s="490" t="s">
        <v>16728</v>
      </c>
      <c r="G864" s="490" t="s">
        <v>16728</v>
      </c>
      <c r="H864" s="490">
        <v>44183</v>
      </c>
      <c r="I864" s="490"/>
      <c r="J864" s="125"/>
      <c r="K864" s="125"/>
      <c r="L864" s="125"/>
    </row>
    <row r="865" spans="1:15" s="121" customFormat="1" ht="15">
      <c r="A865" s="363"/>
      <c r="B865" s="617"/>
      <c r="C865" s="367" t="s">
        <v>8993</v>
      </c>
      <c r="D865" s="493"/>
      <c r="E865" s="490" t="s">
        <v>16740</v>
      </c>
      <c r="F865" s="490" t="s">
        <v>16740</v>
      </c>
      <c r="G865" s="490" t="s">
        <v>16740</v>
      </c>
      <c r="H865" s="490" t="s">
        <v>18220</v>
      </c>
      <c r="I865" s="490"/>
      <c r="J865" s="125"/>
      <c r="K865" s="125"/>
      <c r="L865" s="125"/>
    </row>
    <row r="866" spans="1:15" s="121" customFormat="1" ht="11.25">
      <c r="A866" s="2"/>
      <c r="B866" s="622"/>
      <c r="C866" s="491"/>
      <c r="D866" s="491"/>
      <c r="E866" s="491"/>
      <c r="F866" s="491"/>
      <c r="G866" s="491"/>
      <c r="H866" s="491"/>
      <c r="I866" s="491"/>
      <c r="J866" s="124"/>
      <c r="K866" s="124"/>
      <c r="L866" s="124"/>
    </row>
    <row r="867" spans="1:15" s="121" customFormat="1" ht="22.5">
      <c r="A867" s="366" t="s">
        <v>14420</v>
      </c>
      <c r="B867" s="626" t="s">
        <v>18445</v>
      </c>
      <c r="C867" s="369">
        <f t="shared" ref="C867" si="153">MIN(E869:I869)</f>
        <v>34.32</v>
      </c>
      <c r="D867" s="370" t="s">
        <v>109</v>
      </c>
      <c r="E867" s="486" t="s">
        <v>16777</v>
      </c>
      <c r="F867" s="486" t="s">
        <v>17015</v>
      </c>
      <c r="G867" s="486" t="s">
        <v>18595</v>
      </c>
      <c r="H867" s="486"/>
      <c r="I867" s="486"/>
      <c r="J867" s="125" t="s">
        <v>207</v>
      </c>
      <c r="K867" s="125"/>
      <c r="L867" s="125"/>
      <c r="O867" s="121" t="s">
        <v>15780</v>
      </c>
    </row>
    <row r="868" spans="1:15" s="121" customFormat="1" ht="22.5">
      <c r="A868" s="361"/>
      <c r="B868" s="615"/>
      <c r="C868" s="367" t="s">
        <v>284</v>
      </c>
      <c r="D868" s="554"/>
      <c r="E868" s="487" t="s">
        <v>15173</v>
      </c>
      <c r="F868" s="487" t="s">
        <v>17014</v>
      </c>
      <c r="G868" s="487" t="s">
        <v>18594</v>
      </c>
      <c r="H868" s="675"/>
      <c r="I868" s="487"/>
      <c r="J868" s="125" t="s">
        <v>283</v>
      </c>
      <c r="K868" s="125" t="s">
        <v>280</v>
      </c>
      <c r="L868" s="125" t="s">
        <v>281</v>
      </c>
    </row>
    <row r="869" spans="1:15" s="121" customFormat="1" ht="15">
      <c r="A869" s="362"/>
      <c r="B869" s="616"/>
      <c r="C869" s="367" t="s">
        <v>9</v>
      </c>
      <c r="D869" s="492"/>
      <c r="E869" s="516">
        <v>35.01</v>
      </c>
      <c r="F869" s="488">
        <v>43.43</v>
      </c>
      <c r="G869" s="488">
        <v>34.32</v>
      </c>
      <c r="H869" s="84"/>
      <c r="I869" s="84"/>
      <c r="J869" s="125">
        <f t="shared" ref="J869" si="154">MEDIAN(E869:I869)</f>
        <v>35.01</v>
      </c>
      <c r="K869" s="125">
        <f t="shared" ref="K869" si="155">J869*1.3</f>
        <v>45.512999999999998</v>
      </c>
      <c r="L869" s="125">
        <f t="shared" ref="L869" si="156">J869*0.7</f>
        <v>24.506999999999998</v>
      </c>
    </row>
    <row r="870" spans="1:15" s="121" customFormat="1" ht="15">
      <c r="A870" s="362"/>
      <c r="B870" s="616"/>
      <c r="C870" s="367" t="s">
        <v>8</v>
      </c>
      <c r="D870" s="492"/>
      <c r="E870" s="487" t="s">
        <v>14758</v>
      </c>
      <c r="F870" s="487" t="s">
        <v>17018</v>
      </c>
      <c r="G870" s="487" t="s">
        <v>15187</v>
      </c>
      <c r="H870" s="487"/>
      <c r="I870" s="487"/>
      <c r="J870" s="125"/>
      <c r="K870" s="125"/>
      <c r="L870" s="125"/>
    </row>
    <row r="871" spans="1:15" s="121" customFormat="1" ht="15">
      <c r="A871" s="362"/>
      <c r="B871" s="616"/>
      <c r="C871" s="367" t="s">
        <v>7</v>
      </c>
      <c r="D871" s="492"/>
      <c r="E871" s="489" t="s">
        <v>18491</v>
      </c>
      <c r="F871" s="489" t="s">
        <v>17017</v>
      </c>
      <c r="G871" s="489" t="s">
        <v>18596</v>
      </c>
      <c r="H871" s="489"/>
      <c r="I871" s="489"/>
      <c r="J871" s="125"/>
      <c r="K871" s="125"/>
      <c r="L871" s="125"/>
    </row>
    <row r="872" spans="1:15" s="121" customFormat="1" ht="15">
      <c r="A872" s="362"/>
      <c r="B872" s="616"/>
      <c r="C872" s="367" t="s">
        <v>6</v>
      </c>
      <c r="D872" s="493"/>
      <c r="E872" s="490">
        <v>44362</v>
      </c>
      <c r="F872" s="490">
        <v>44362</v>
      </c>
      <c r="G872" s="490">
        <v>44362</v>
      </c>
      <c r="H872" s="490"/>
      <c r="I872" s="490"/>
      <c r="J872" s="125"/>
      <c r="K872" s="125"/>
      <c r="L872" s="125"/>
    </row>
    <row r="873" spans="1:15" s="121" customFormat="1" ht="15">
      <c r="A873" s="363"/>
      <c r="B873" s="617"/>
      <c r="C873" s="367" t="s">
        <v>8993</v>
      </c>
      <c r="D873" s="493"/>
      <c r="E873" s="490" t="s">
        <v>18593</v>
      </c>
      <c r="F873" s="490" t="s">
        <v>18593</v>
      </c>
      <c r="G873" s="490" t="s">
        <v>18593</v>
      </c>
      <c r="H873" s="490"/>
      <c r="I873" s="490"/>
      <c r="J873" s="125"/>
      <c r="K873" s="125"/>
      <c r="L873" s="125"/>
    </row>
    <row r="874" spans="1:15" s="121" customFormat="1" ht="11.25">
      <c r="A874" s="2"/>
      <c r="B874" s="622"/>
      <c r="C874" s="491"/>
      <c r="D874" s="491"/>
      <c r="E874" s="491"/>
      <c r="F874" s="491"/>
      <c r="G874" s="491"/>
      <c r="H874" s="491"/>
      <c r="I874" s="491"/>
      <c r="J874" s="124"/>
      <c r="K874" s="124"/>
      <c r="L874" s="124"/>
    </row>
    <row r="875" spans="1:15" s="121" customFormat="1" ht="22.5">
      <c r="A875" s="366" t="s">
        <v>14421</v>
      </c>
      <c r="B875" s="626" t="s">
        <v>15783</v>
      </c>
      <c r="C875" s="369">
        <f t="shared" ref="C875" si="157">MIN(E877:I877)</f>
        <v>17.956666666666667</v>
      </c>
      <c r="D875" s="370" t="s">
        <v>5</v>
      </c>
      <c r="E875" s="486" t="s">
        <v>16907</v>
      </c>
      <c r="F875" s="486" t="s">
        <v>14746</v>
      </c>
      <c r="G875" s="486" t="s">
        <v>15242</v>
      </c>
      <c r="H875" s="486" t="s">
        <v>15243</v>
      </c>
      <c r="I875" s="486" t="s">
        <v>18219</v>
      </c>
      <c r="J875" s="125" t="s">
        <v>207</v>
      </c>
      <c r="K875" s="125"/>
      <c r="L875" s="125"/>
    </row>
    <row r="876" spans="1:15" s="121" customFormat="1" ht="33.75">
      <c r="A876" s="361"/>
      <c r="B876" s="615"/>
      <c r="C876" s="367" t="s">
        <v>284</v>
      </c>
      <c r="D876" s="554"/>
      <c r="E876" s="487" t="s">
        <v>16909</v>
      </c>
      <c r="F876" s="487" t="s">
        <v>17062</v>
      </c>
      <c r="G876" s="487" t="s">
        <v>17063</v>
      </c>
      <c r="H876" s="487" t="s">
        <v>15245</v>
      </c>
      <c r="I876" s="675">
        <v>19065</v>
      </c>
      <c r="J876" s="125" t="s">
        <v>283</v>
      </c>
      <c r="K876" s="125" t="s">
        <v>280</v>
      </c>
      <c r="L876" s="125" t="s">
        <v>281</v>
      </c>
    </row>
    <row r="877" spans="1:15" s="121" customFormat="1" ht="15">
      <c r="A877" s="362"/>
      <c r="B877" s="616"/>
      <c r="C877" s="367" t="s">
        <v>9</v>
      </c>
      <c r="D877" s="492"/>
      <c r="E877" s="84">
        <f>66.79/3</f>
        <v>22.263333333333335</v>
      </c>
      <c r="F877" s="488">
        <f>137.11/3</f>
        <v>45.70333333333334</v>
      </c>
      <c r="G877" s="488">
        <f>67.77/3</f>
        <v>22.59</v>
      </c>
      <c r="H877" s="84">
        <f>58.14/3</f>
        <v>19.38</v>
      </c>
      <c r="I877" s="84">
        <f>53.87/3</f>
        <v>17.956666666666667</v>
      </c>
      <c r="J877" s="125">
        <f t="shared" ref="J877" si="158">MEDIAN(E877:I877)</f>
        <v>22.263333333333335</v>
      </c>
      <c r="K877" s="125">
        <f t="shared" ref="K877" si="159">J877*1.3</f>
        <v>28.942333333333337</v>
      </c>
      <c r="L877" s="125">
        <f t="shared" ref="L877" si="160">J877*0.7</f>
        <v>15.584333333333333</v>
      </c>
    </row>
    <row r="878" spans="1:15" s="121" customFormat="1" ht="15">
      <c r="A878" s="362"/>
      <c r="B878" s="616"/>
      <c r="C878" s="367" t="s">
        <v>8</v>
      </c>
      <c r="D878" s="492"/>
      <c r="E878" s="487" t="s">
        <v>16911</v>
      </c>
      <c r="F878" s="487" t="s">
        <v>14748</v>
      </c>
      <c r="G878" s="487" t="s">
        <v>15246</v>
      </c>
      <c r="H878" s="487" t="s">
        <v>15247</v>
      </c>
      <c r="I878" s="487"/>
      <c r="J878" s="125"/>
      <c r="K878" s="125"/>
      <c r="L878" s="125"/>
    </row>
    <row r="879" spans="1:15" s="121" customFormat="1" ht="15">
      <c r="A879" s="362"/>
      <c r="B879" s="616"/>
      <c r="C879" s="367" t="s">
        <v>7</v>
      </c>
      <c r="D879" s="492"/>
      <c r="E879" s="489" t="s">
        <v>16913</v>
      </c>
      <c r="F879" s="489" t="s">
        <v>17064</v>
      </c>
      <c r="G879" s="489" t="s">
        <v>17065</v>
      </c>
      <c r="H879" s="489" t="s">
        <v>15249</v>
      </c>
      <c r="I879" s="489"/>
      <c r="J879" s="125"/>
      <c r="K879" s="125"/>
      <c r="L879" s="125"/>
    </row>
    <row r="880" spans="1:15" s="121" customFormat="1" ht="15">
      <c r="A880" s="362"/>
      <c r="B880" s="616"/>
      <c r="C880" s="367" t="s">
        <v>6</v>
      </c>
      <c r="D880" s="493"/>
      <c r="E880" s="490">
        <v>44295</v>
      </c>
      <c r="F880" s="490">
        <v>44293</v>
      </c>
      <c r="G880" s="490">
        <v>44298</v>
      </c>
      <c r="H880" s="490">
        <v>44295</v>
      </c>
      <c r="I880" s="490">
        <v>44252</v>
      </c>
      <c r="J880" s="125"/>
      <c r="K880" s="125"/>
      <c r="L880" s="125"/>
    </row>
    <row r="881" spans="1:12" s="121" customFormat="1" ht="15">
      <c r="A881" s="363"/>
      <c r="B881" s="617"/>
      <c r="C881" s="367" t="s">
        <v>8993</v>
      </c>
      <c r="D881" s="493"/>
      <c r="E881" s="490" t="s">
        <v>16915</v>
      </c>
      <c r="F881" s="490" t="s">
        <v>17066</v>
      </c>
      <c r="G881" s="490" t="s">
        <v>17067</v>
      </c>
      <c r="H881" s="490" t="s">
        <v>15006</v>
      </c>
      <c r="I881" s="490" t="s">
        <v>18220</v>
      </c>
      <c r="J881" s="125"/>
      <c r="K881" s="125"/>
      <c r="L881" s="125"/>
    </row>
    <row r="882" spans="1:12" s="121" customFormat="1" ht="11.25">
      <c r="A882" s="2"/>
      <c r="B882" s="622"/>
      <c r="C882" s="491"/>
      <c r="D882" s="491"/>
      <c r="E882" s="491"/>
      <c r="F882" s="491"/>
      <c r="G882" s="491"/>
      <c r="H882" s="491"/>
      <c r="I882" s="491"/>
      <c r="J882" s="124"/>
      <c r="K882" s="124"/>
      <c r="L882" s="124"/>
    </row>
    <row r="883" spans="1:12" s="121" customFormat="1" ht="22.5">
      <c r="A883" s="366" t="s">
        <v>14422</v>
      </c>
      <c r="B883" s="626" t="s">
        <v>15784</v>
      </c>
      <c r="C883" s="369">
        <f t="shared" ref="C883" si="161">MIN(E885:I885)</f>
        <v>14.536666666666667</v>
      </c>
      <c r="D883" s="370" t="s">
        <v>5</v>
      </c>
      <c r="E883" s="486" t="s">
        <v>16907</v>
      </c>
      <c r="F883" s="486" t="s">
        <v>14746</v>
      </c>
      <c r="G883" s="486" t="s">
        <v>15242</v>
      </c>
      <c r="H883" s="486" t="s">
        <v>15243</v>
      </c>
      <c r="I883" s="486"/>
      <c r="J883" s="125" t="s">
        <v>207</v>
      </c>
      <c r="K883" s="125"/>
      <c r="L883" s="125"/>
    </row>
    <row r="884" spans="1:12" s="121" customFormat="1" ht="33.75">
      <c r="A884" s="361"/>
      <c r="B884" s="615"/>
      <c r="C884" s="367" t="s">
        <v>284</v>
      </c>
      <c r="D884" s="554"/>
      <c r="E884" s="487" t="s">
        <v>16909</v>
      </c>
      <c r="F884" s="487" t="s">
        <v>17062</v>
      </c>
      <c r="G884" s="487" t="s">
        <v>17063</v>
      </c>
      <c r="H884" s="487" t="s">
        <v>15245</v>
      </c>
      <c r="I884" s="675"/>
      <c r="J884" s="125" t="s">
        <v>283</v>
      </c>
      <c r="K884" s="125" t="s">
        <v>280</v>
      </c>
      <c r="L884" s="125" t="s">
        <v>281</v>
      </c>
    </row>
    <row r="885" spans="1:12" s="121" customFormat="1" ht="15">
      <c r="A885" s="362"/>
      <c r="B885" s="616"/>
      <c r="C885" s="367" t="s">
        <v>9</v>
      </c>
      <c r="D885" s="492"/>
      <c r="E885" s="84">
        <f>50.1/3</f>
        <v>16.7</v>
      </c>
      <c r="F885" s="488">
        <f>102.83/3</f>
        <v>34.276666666666664</v>
      </c>
      <c r="G885" s="488">
        <f>50.82/3</f>
        <v>16.940000000000001</v>
      </c>
      <c r="H885" s="84">
        <f>43.61/3</f>
        <v>14.536666666666667</v>
      </c>
      <c r="I885" s="84"/>
      <c r="J885" s="125">
        <f t="shared" ref="J885" si="162">MEDIAN(E885:I885)</f>
        <v>16.82</v>
      </c>
      <c r="K885" s="125">
        <f t="shared" ref="K885" si="163">J885*1.3</f>
        <v>21.866</v>
      </c>
      <c r="L885" s="125">
        <f t="shared" ref="L885" si="164">J885*0.7</f>
        <v>11.773999999999999</v>
      </c>
    </row>
    <row r="886" spans="1:12" s="121" customFormat="1" ht="15">
      <c r="A886" s="362"/>
      <c r="B886" s="616"/>
      <c r="C886" s="367" t="s">
        <v>8</v>
      </c>
      <c r="D886" s="492"/>
      <c r="E886" s="487" t="s">
        <v>16911</v>
      </c>
      <c r="F886" s="487" t="s">
        <v>14748</v>
      </c>
      <c r="G886" s="487" t="s">
        <v>15246</v>
      </c>
      <c r="H886" s="487" t="s">
        <v>15247</v>
      </c>
      <c r="I886" s="487"/>
      <c r="J886" s="125"/>
      <c r="K886" s="125"/>
      <c r="L886" s="125"/>
    </row>
    <row r="887" spans="1:12" s="121" customFormat="1" ht="15">
      <c r="A887" s="362"/>
      <c r="B887" s="616"/>
      <c r="C887" s="367" t="s">
        <v>7</v>
      </c>
      <c r="D887" s="492"/>
      <c r="E887" s="489" t="s">
        <v>16913</v>
      </c>
      <c r="F887" s="489" t="s">
        <v>17064</v>
      </c>
      <c r="G887" s="489" t="s">
        <v>17065</v>
      </c>
      <c r="H887" s="489" t="s">
        <v>15249</v>
      </c>
      <c r="I887" s="489"/>
      <c r="J887" s="125"/>
      <c r="K887" s="125"/>
      <c r="L887" s="125"/>
    </row>
    <row r="888" spans="1:12" s="121" customFormat="1" ht="15">
      <c r="A888" s="362"/>
      <c r="B888" s="616"/>
      <c r="C888" s="367" t="s">
        <v>6</v>
      </c>
      <c r="D888" s="493"/>
      <c r="E888" s="490">
        <v>44295</v>
      </c>
      <c r="F888" s="490">
        <v>44293</v>
      </c>
      <c r="G888" s="490">
        <v>44298</v>
      </c>
      <c r="H888" s="490">
        <v>44295</v>
      </c>
      <c r="I888" s="490"/>
      <c r="J888" s="125"/>
      <c r="K888" s="125"/>
      <c r="L888" s="125"/>
    </row>
    <row r="889" spans="1:12" s="121" customFormat="1" ht="15">
      <c r="A889" s="363"/>
      <c r="B889" s="617"/>
      <c r="C889" s="367" t="s">
        <v>8993</v>
      </c>
      <c r="D889" s="493"/>
      <c r="E889" s="490" t="s">
        <v>16915</v>
      </c>
      <c r="F889" s="490" t="s">
        <v>17066</v>
      </c>
      <c r="G889" s="490" t="s">
        <v>17067</v>
      </c>
      <c r="H889" s="490" t="s">
        <v>15006</v>
      </c>
      <c r="I889" s="490"/>
      <c r="J889" s="125"/>
      <c r="K889" s="125"/>
      <c r="L889" s="125"/>
    </row>
    <row r="890" spans="1:12" s="121" customFormat="1" ht="11.25">
      <c r="A890" s="2"/>
      <c r="B890" s="622"/>
      <c r="C890" s="491"/>
      <c r="D890" s="491"/>
      <c r="E890" s="491"/>
      <c r="F890" s="491"/>
      <c r="G890" s="491"/>
      <c r="H890" s="491"/>
      <c r="I890" s="491"/>
      <c r="J890" s="124"/>
      <c r="K890" s="124"/>
      <c r="L890" s="124"/>
    </row>
    <row r="891" spans="1:12" s="121" customFormat="1" ht="22.5">
      <c r="A891" s="366" t="s">
        <v>14423</v>
      </c>
      <c r="B891" s="626" t="s">
        <v>15785</v>
      </c>
      <c r="C891" s="369">
        <f t="shared" ref="C891" si="165">MIN(E893:I893)</f>
        <v>5.04</v>
      </c>
      <c r="D891" s="370" t="s">
        <v>109</v>
      </c>
      <c r="E891" s="486" t="s">
        <v>16907</v>
      </c>
      <c r="F891" s="486" t="s">
        <v>14746</v>
      </c>
      <c r="G891" s="486" t="s">
        <v>15242</v>
      </c>
      <c r="H891" s="486" t="s">
        <v>15243</v>
      </c>
      <c r="I891" s="486"/>
      <c r="J891" s="125" t="s">
        <v>207</v>
      </c>
      <c r="K891" s="125"/>
      <c r="L891" s="125"/>
    </row>
    <row r="892" spans="1:12" s="121" customFormat="1" ht="33.75">
      <c r="A892" s="361"/>
      <c r="B892" s="615"/>
      <c r="C892" s="367" t="s">
        <v>284</v>
      </c>
      <c r="D892" s="554"/>
      <c r="E892" s="487" t="s">
        <v>16909</v>
      </c>
      <c r="F892" s="487" t="s">
        <v>17062</v>
      </c>
      <c r="G892" s="487" t="s">
        <v>17063</v>
      </c>
      <c r="H892" s="487" t="s">
        <v>15245</v>
      </c>
      <c r="I892" s="487"/>
      <c r="J892" s="125" t="s">
        <v>283</v>
      </c>
      <c r="K892" s="125" t="s">
        <v>280</v>
      </c>
      <c r="L892" s="125" t="s">
        <v>281</v>
      </c>
    </row>
    <row r="893" spans="1:12" s="121" customFormat="1" ht="15">
      <c r="A893" s="362"/>
      <c r="B893" s="616"/>
      <c r="C893" s="367" t="s">
        <v>9</v>
      </c>
      <c r="D893" s="492"/>
      <c r="E893" s="84">
        <v>5.04</v>
      </c>
      <c r="F893" s="488">
        <v>15.09</v>
      </c>
      <c r="G893" s="488">
        <v>12.24</v>
      </c>
      <c r="H893" s="84">
        <v>13.82</v>
      </c>
      <c r="I893" s="84"/>
      <c r="J893" s="125">
        <f t="shared" ref="J893" si="166">MEDIAN(E893:I893)</f>
        <v>13.030000000000001</v>
      </c>
      <c r="K893" s="125">
        <f t="shared" ref="K893" si="167">J893*1.3</f>
        <v>16.939000000000004</v>
      </c>
      <c r="L893" s="125">
        <f t="shared" ref="L893" si="168">J893*0.7</f>
        <v>9.1210000000000004</v>
      </c>
    </row>
    <row r="894" spans="1:12" s="121" customFormat="1" ht="15">
      <c r="A894" s="362"/>
      <c r="B894" s="616"/>
      <c r="C894" s="367" t="s">
        <v>8</v>
      </c>
      <c r="D894" s="492"/>
      <c r="E894" s="487" t="s">
        <v>16911</v>
      </c>
      <c r="F894" s="487" t="s">
        <v>14748</v>
      </c>
      <c r="G894" s="487" t="s">
        <v>15246</v>
      </c>
      <c r="H894" s="487" t="s">
        <v>15247</v>
      </c>
      <c r="I894" s="487"/>
      <c r="J894" s="125"/>
      <c r="K894" s="125"/>
      <c r="L894" s="125"/>
    </row>
    <row r="895" spans="1:12" s="121" customFormat="1" ht="15">
      <c r="A895" s="362"/>
      <c r="B895" s="616"/>
      <c r="C895" s="367" t="s">
        <v>7</v>
      </c>
      <c r="D895" s="492"/>
      <c r="E895" s="489" t="s">
        <v>16913</v>
      </c>
      <c r="F895" s="489" t="s">
        <v>17064</v>
      </c>
      <c r="G895" s="489" t="s">
        <v>17065</v>
      </c>
      <c r="H895" s="489" t="s">
        <v>15249</v>
      </c>
      <c r="I895" s="489"/>
      <c r="J895" s="125"/>
      <c r="K895" s="125"/>
      <c r="L895" s="125"/>
    </row>
    <row r="896" spans="1:12" s="121" customFormat="1" ht="15">
      <c r="A896" s="362"/>
      <c r="B896" s="616"/>
      <c r="C896" s="367" t="s">
        <v>6</v>
      </c>
      <c r="D896" s="493"/>
      <c r="E896" s="490">
        <v>44295</v>
      </c>
      <c r="F896" s="490">
        <v>44293</v>
      </c>
      <c r="G896" s="490">
        <v>44298</v>
      </c>
      <c r="H896" s="490">
        <v>44295</v>
      </c>
      <c r="I896" s="490"/>
      <c r="J896" s="125"/>
      <c r="K896" s="125"/>
      <c r="L896" s="125"/>
    </row>
    <row r="897" spans="1:12" s="121" customFormat="1" ht="15">
      <c r="A897" s="363"/>
      <c r="B897" s="617"/>
      <c r="C897" s="367" t="s">
        <v>8993</v>
      </c>
      <c r="D897" s="493"/>
      <c r="E897" s="490" t="s">
        <v>16915</v>
      </c>
      <c r="F897" s="490" t="s">
        <v>17066</v>
      </c>
      <c r="G897" s="490" t="s">
        <v>17067</v>
      </c>
      <c r="H897" s="490" t="s">
        <v>15006</v>
      </c>
      <c r="I897" s="490"/>
      <c r="J897" s="125"/>
      <c r="K897" s="125"/>
      <c r="L897" s="125"/>
    </row>
    <row r="898" spans="1:12" s="121" customFormat="1" ht="11.25">
      <c r="A898" s="2"/>
      <c r="B898" s="622"/>
      <c r="C898" s="491"/>
      <c r="D898" s="491"/>
      <c r="E898" s="491"/>
      <c r="F898" s="491"/>
      <c r="G898" s="491"/>
      <c r="H898" s="491"/>
      <c r="I898" s="491"/>
      <c r="J898" s="124"/>
      <c r="K898" s="124"/>
      <c r="L898" s="124"/>
    </row>
    <row r="899" spans="1:12" s="121" customFormat="1" ht="22.5">
      <c r="A899" s="366" t="s">
        <v>14538</v>
      </c>
      <c r="B899" s="626" t="s">
        <v>15786</v>
      </c>
      <c r="C899" s="369">
        <f t="shared" ref="C899" si="169">MIN(E901:I901)</f>
        <v>6.51</v>
      </c>
      <c r="D899" s="370" t="s">
        <v>109</v>
      </c>
      <c r="E899" s="486" t="s">
        <v>16907</v>
      </c>
      <c r="F899" s="486" t="s">
        <v>14746</v>
      </c>
      <c r="G899" s="486" t="s">
        <v>15242</v>
      </c>
      <c r="H899" s="486" t="s">
        <v>15243</v>
      </c>
      <c r="I899" s="486" t="s">
        <v>16916</v>
      </c>
      <c r="J899" s="125" t="s">
        <v>207</v>
      </c>
      <c r="K899" s="125"/>
      <c r="L899" s="125"/>
    </row>
    <row r="900" spans="1:12" s="121" customFormat="1" ht="33.75">
      <c r="A900" s="361"/>
      <c r="B900" s="615"/>
      <c r="C900" s="367" t="s">
        <v>284</v>
      </c>
      <c r="D900" s="554"/>
      <c r="E900" s="487" t="s">
        <v>16909</v>
      </c>
      <c r="F900" s="487" t="s">
        <v>17062</v>
      </c>
      <c r="G900" s="487" t="s">
        <v>17063</v>
      </c>
      <c r="H900" s="487" t="s">
        <v>15245</v>
      </c>
      <c r="I900" s="487" t="s">
        <v>16917</v>
      </c>
      <c r="J900" s="125" t="s">
        <v>283</v>
      </c>
      <c r="K900" s="125" t="s">
        <v>280</v>
      </c>
      <c r="L900" s="125" t="s">
        <v>281</v>
      </c>
    </row>
    <row r="901" spans="1:12" s="121" customFormat="1" ht="15">
      <c r="A901" s="362"/>
      <c r="B901" s="616"/>
      <c r="C901" s="367" t="s">
        <v>9</v>
      </c>
      <c r="D901" s="492"/>
      <c r="E901" s="84">
        <v>10.55</v>
      </c>
      <c r="F901" s="488">
        <v>13.76</v>
      </c>
      <c r="G901" s="488">
        <v>6.51</v>
      </c>
      <c r="H901" s="84">
        <v>7.34</v>
      </c>
      <c r="I901" s="84">
        <v>21.5</v>
      </c>
      <c r="J901" s="125">
        <f t="shared" ref="J901" si="170">MEDIAN(E901:I901)</f>
        <v>10.55</v>
      </c>
      <c r="K901" s="125">
        <f t="shared" ref="K901" si="171">J901*1.3</f>
        <v>13.715000000000002</v>
      </c>
      <c r="L901" s="125">
        <f t="shared" ref="L901" si="172">J901*0.7</f>
        <v>7.3849999999999998</v>
      </c>
    </row>
    <row r="902" spans="1:12" s="121" customFormat="1" ht="15">
      <c r="A902" s="362"/>
      <c r="B902" s="616"/>
      <c r="C902" s="367" t="s">
        <v>8</v>
      </c>
      <c r="D902" s="492"/>
      <c r="E902" s="487" t="s">
        <v>16911</v>
      </c>
      <c r="F902" s="487" t="s">
        <v>14748</v>
      </c>
      <c r="G902" s="487" t="s">
        <v>15246</v>
      </c>
      <c r="H902" s="487" t="s">
        <v>15247</v>
      </c>
      <c r="I902" s="487" t="s">
        <v>16918</v>
      </c>
      <c r="J902" s="125"/>
      <c r="K902" s="125"/>
      <c r="L902" s="125"/>
    </row>
    <row r="903" spans="1:12" s="121" customFormat="1" ht="15">
      <c r="A903" s="362"/>
      <c r="B903" s="616"/>
      <c r="C903" s="367" t="s">
        <v>7</v>
      </c>
      <c r="D903" s="492"/>
      <c r="E903" s="489" t="s">
        <v>16913</v>
      </c>
      <c r="F903" s="489" t="s">
        <v>17064</v>
      </c>
      <c r="G903" s="489" t="s">
        <v>17065</v>
      </c>
      <c r="H903" s="489" t="s">
        <v>15249</v>
      </c>
      <c r="I903" s="489" t="s">
        <v>16919</v>
      </c>
      <c r="J903" s="125"/>
      <c r="K903" s="125"/>
      <c r="L903" s="125"/>
    </row>
    <row r="904" spans="1:12" s="121" customFormat="1" ht="15">
      <c r="A904" s="362"/>
      <c r="B904" s="616"/>
      <c r="C904" s="367" t="s">
        <v>6</v>
      </c>
      <c r="D904" s="493"/>
      <c r="E904" s="490">
        <v>44295</v>
      </c>
      <c r="F904" s="490">
        <v>44293</v>
      </c>
      <c r="G904" s="490">
        <v>44298</v>
      </c>
      <c r="H904" s="490">
        <v>44295</v>
      </c>
      <c r="I904" s="490">
        <v>44295</v>
      </c>
      <c r="J904" s="125"/>
      <c r="K904" s="125"/>
      <c r="L904" s="125"/>
    </row>
    <row r="905" spans="1:12" s="121" customFormat="1" ht="15">
      <c r="A905" s="363"/>
      <c r="B905" s="617"/>
      <c r="C905" s="367" t="s">
        <v>8993</v>
      </c>
      <c r="D905" s="493"/>
      <c r="E905" s="490" t="s">
        <v>16915</v>
      </c>
      <c r="F905" s="490" t="s">
        <v>17066</v>
      </c>
      <c r="G905" s="490" t="s">
        <v>17067</v>
      </c>
      <c r="H905" s="490" t="s">
        <v>15006</v>
      </c>
      <c r="I905" s="490" t="s">
        <v>16920</v>
      </c>
      <c r="J905" s="125"/>
      <c r="K905" s="125"/>
      <c r="L905" s="125"/>
    </row>
    <row r="906" spans="1:12" s="121" customFormat="1" ht="11.25">
      <c r="A906" s="2"/>
      <c r="B906" s="622"/>
      <c r="C906" s="491"/>
      <c r="D906" s="491"/>
      <c r="E906" s="491"/>
      <c r="F906" s="491"/>
      <c r="G906" s="491"/>
      <c r="H906" s="491"/>
      <c r="I906" s="491"/>
      <c r="J906" s="124"/>
      <c r="K906" s="124"/>
      <c r="L906" s="124"/>
    </row>
    <row r="907" spans="1:12" s="121" customFormat="1" ht="22.5">
      <c r="A907" s="366" t="s">
        <v>14539</v>
      </c>
      <c r="B907" s="626" t="s">
        <v>18382</v>
      </c>
      <c r="C907" s="369">
        <f t="shared" ref="C907" si="173">MIN(E909:I909)</f>
        <v>22.75</v>
      </c>
      <c r="D907" s="370" t="s">
        <v>109</v>
      </c>
      <c r="E907" s="486" t="s">
        <v>16907</v>
      </c>
      <c r="F907" s="486" t="s">
        <v>14746</v>
      </c>
      <c r="G907" s="486" t="s">
        <v>15242</v>
      </c>
      <c r="H907" s="486" t="s">
        <v>15243</v>
      </c>
      <c r="I907" s="486" t="s">
        <v>16916</v>
      </c>
      <c r="J907" s="125" t="s">
        <v>207</v>
      </c>
      <c r="K907" s="125"/>
      <c r="L907" s="125"/>
    </row>
    <row r="908" spans="1:12" s="121" customFormat="1" ht="33.75">
      <c r="A908" s="361"/>
      <c r="B908" s="615"/>
      <c r="C908" s="367" t="s">
        <v>284</v>
      </c>
      <c r="D908" s="554"/>
      <c r="E908" s="487" t="s">
        <v>16909</v>
      </c>
      <c r="F908" s="487" t="s">
        <v>17062</v>
      </c>
      <c r="G908" s="487" t="s">
        <v>17063</v>
      </c>
      <c r="H908" s="487" t="s">
        <v>15245</v>
      </c>
      <c r="I908" s="487" t="s">
        <v>16917</v>
      </c>
      <c r="J908" s="125" t="s">
        <v>283</v>
      </c>
      <c r="K908" s="125" t="s">
        <v>280</v>
      </c>
      <c r="L908" s="125" t="s">
        <v>281</v>
      </c>
    </row>
    <row r="909" spans="1:12" s="121" customFormat="1" ht="15">
      <c r="A909" s="362"/>
      <c r="B909" s="616"/>
      <c r="C909" s="367" t="s">
        <v>9</v>
      </c>
      <c r="D909" s="492"/>
      <c r="E909" s="84">
        <v>22.75</v>
      </c>
      <c r="F909" s="488">
        <v>36.83</v>
      </c>
      <c r="G909" s="488">
        <v>25.59</v>
      </c>
      <c r="H909" s="84">
        <v>26.76</v>
      </c>
      <c r="I909" s="84">
        <v>45</v>
      </c>
      <c r="J909" s="125">
        <f t="shared" ref="J909" si="174">MEDIAN(E909:I909)</f>
        <v>26.76</v>
      </c>
      <c r="K909" s="125">
        <f t="shared" ref="K909" si="175">J909*1.3</f>
        <v>34.788000000000004</v>
      </c>
      <c r="L909" s="125">
        <f t="shared" ref="L909" si="176">J909*0.7</f>
        <v>18.731999999999999</v>
      </c>
    </row>
    <row r="910" spans="1:12" s="121" customFormat="1" ht="15">
      <c r="A910" s="362"/>
      <c r="B910" s="616"/>
      <c r="C910" s="367" t="s">
        <v>8</v>
      </c>
      <c r="D910" s="492"/>
      <c r="E910" s="487" t="s">
        <v>16911</v>
      </c>
      <c r="F910" s="487" t="s">
        <v>14748</v>
      </c>
      <c r="G910" s="487" t="s">
        <v>15246</v>
      </c>
      <c r="H910" s="487" t="s">
        <v>15247</v>
      </c>
      <c r="I910" s="487" t="s">
        <v>16918</v>
      </c>
      <c r="J910" s="125"/>
      <c r="K910" s="125"/>
      <c r="L910" s="125"/>
    </row>
    <row r="911" spans="1:12" s="121" customFormat="1" ht="15">
      <c r="A911" s="362"/>
      <c r="B911" s="616"/>
      <c r="C911" s="367" t="s">
        <v>7</v>
      </c>
      <c r="D911" s="492"/>
      <c r="E911" s="489" t="s">
        <v>16913</v>
      </c>
      <c r="F911" s="489" t="s">
        <v>17064</v>
      </c>
      <c r="G911" s="489" t="s">
        <v>17065</v>
      </c>
      <c r="H911" s="489" t="s">
        <v>15249</v>
      </c>
      <c r="I911" s="489" t="s">
        <v>16919</v>
      </c>
      <c r="J911" s="125"/>
      <c r="K911" s="125"/>
      <c r="L911" s="125"/>
    </row>
    <row r="912" spans="1:12" s="121" customFormat="1" ht="15">
      <c r="A912" s="362"/>
      <c r="B912" s="616"/>
      <c r="C912" s="367" t="s">
        <v>6</v>
      </c>
      <c r="D912" s="493"/>
      <c r="E912" s="490">
        <v>44295</v>
      </c>
      <c r="F912" s="490">
        <v>44293</v>
      </c>
      <c r="G912" s="490">
        <v>44298</v>
      </c>
      <c r="H912" s="490">
        <v>44295</v>
      </c>
      <c r="I912" s="490">
        <v>44295</v>
      </c>
      <c r="J912" s="125"/>
      <c r="K912" s="125"/>
      <c r="L912" s="125"/>
    </row>
    <row r="913" spans="1:12" s="121" customFormat="1" ht="15">
      <c r="A913" s="363"/>
      <c r="B913" s="617"/>
      <c r="C913" s="367" t="s">
        <v>8993</v>
      </c>
      <c r="D913" s="493"/>
      <c r="E913" s="490" t="s">
        <v>16915</v>
      </c>
      <c r="F913" s="490" t="s">
        <v>17066</v>
      </c>
      <c r="G913" s="490" t="s">
        <v>17067</v>
      </c>
      <c r="H913" s="490" t="s">
        <v>15006</v>
      </c>
      <c r="I913" s="490" t="s">
        <v>16920</v>
      </c>
      <c r="J913" s="125"/>
      <c r="K913" s="125"/>
      <c r="L913" s="125"/>
    </row>
    <row r="914" spans="1:12" s="121" customFormat="1" ht="11.25">
      <c r="A914" s="2"/>
      <c r="B914" s="622"/>
      <c r="C914" s="491"/>
      <c r="D914" s="491"/>
      <c r="E914" s="491"/>
      <c r="F914" s="491"/>
      <c r="G914" s="491"/>
      <c r="H914" s="491"/>
      <c r="I914" s="491"/>
      <c r="J914" s="124"/>
      <c r="K914" s="124"/>
      <c r="L914" s="124"/>
    </row>
    <row r="915" spans="1:12" s="121" customFormat="1" ht="22.5">
      <c r="A915" s="366" t="s">
        <v>14540</v>
      </c>
      <c r="B915" s="626" t="s">
        <v>15787</v>
      </c>
      <c r="C915" s="369">
        <f t="shared" ref="C915" si="177">MIN(E917:I917)</f>
        <v>11.98</v>
      </c>
      <c r="D915" s="370" t="s">
        <v>109</v>
      </c>
      <c r="E915" s="486" t="s">
        <v>16907</v>
      </c>
      <c r="F915" s="486" t="s">
        <v>14746</v>
      </c>
      <c r="G915" s="486" t="s">
        <v>15242</v>
      </c>
      <c r="H915" s="486" t="s">
        <v>15243</v>
      </c>
      <c r="I915" s="486" t="s">
        <v>16916</v>
      </c>
      <c r="J915" s="125" t="s">
        <v>207</v>
      </c>
      <c r="K915" s="125"/>
      <c r="L915" s="125"/>
    </row>
    <row r="916" spans="1:12" s="121" customFormat="1" ht="33.75">
      <c r="A916" s="361"/>
      <c r="B916" s="615"/>
      <c r="C916" s="367" t="s">
        <v>284</v>
      </c>
      <c r="D916" s="554"/>
      <c r="E916" s="487" t="s">
        <v>16909</v>
      </c>
      <c r="F916" s="487" t="s">
        <v>17062</v>
      </c>
      <c r="G916" s="487" t="s">
        <v>17063</v>
      </c>
      <c r="H916" s="487" t="s">
        <v>15245</v>
      </c>
      <c r="I916" s="487" t="s">
        <v>16917</v>
      </c>
      <c r="J916" s="125" t="s">
        <v>283</v>
      </c>
      <c r="K916" s="125" t="s">
        <v>280</v>
      </c>
      <c r="L916" s="125" t="s">
        <v>281</v>
      </c>
    </row>
    <row r="917" spans="1:12" s="121" customFormat="1" ht="15">
      <c r="A917" s="362"/>
      <c r="B917" s="616"/>
      <c r="C917" s="367" t="s">
        <v>9</v>
      </c>
      <c r="D917" s="492"/>
      <c r="E917" s="84">
        <v>11.98</v>
      </c>
      <c r="F917" s="488">
        <v>26.18</v>
      </c>
      <c r="G917" s="488">
        <v>15.1</v>
      </c>
      <c r="H917" s="84">
        <v>14.61</v>
      </c>
      <c r="I917" s="84">
        <v>34</v>
      </c>
      <c r="J917" s="125">
        <f t="shared" ref="J917" si="178">MEDIAN(E917:I917)</f>
        <v>15.1</v>
      </c>
      <c r="K917" s="125">
        <f t="shared" ref="K917" si="179">J917*1.3</f>
        <v>19.63</v>
      </c>
      <c r="L917" s="125">
        <f t="shared" ref="L917" si="180">J917*0.7</f>
        <v>10.569999999999999</v>
      </c>
    </row>
    <row r="918" spans="1:12" s="121" customFormat="1" ht="15">
      <c r="A918" s="362"/>
      <c r="B918" s="616"/>
      <c r="C918" s="367" t="s">
        <v>8</v>
      </c>
      <c r="D918" s="492"/>
      <c r="E918" s="487" t="s">
        <v>16911</v>
      </c>
      <c r="F918" s="487" t="s">
        <v>14748</v>
      </c>
      <c r="G918" s="487" t="s">
        <v>15246</v>
      </c>
      <c r="H918" s="487" t="s">
        <v>15247</v>
      </c>
      <c r="I918" s="487" t="s">
        <v>16918</v>
      </c>
      <c r="J918" s="125"/>
      <c r="K918" s="125"/>
      <c r="L918" s="125"/>
    </row>
    <row r="919" spans="1:12" s="121" customFormat="1" ht="15">
      <c r="A919" s="362"/>
      <c r="B919" s="616"/>
      <c r="C919" s="367" t="s">
        <v>7</v>
      </c>
      <c r="D919" s="492"/>
      <c r="E919" s="489" t="s">
        <v>16913</v>
      </c>
      <c r="F919" s="489" t="s">
        <v>17064</v>
      </c>
      <c r="G919" s="489" t="s">
        <v>17065</v>
      </c>
      <c r="H919" s="489" t="s">
        <v>15249</v>
      </c>
      <c r="I919" s="489" t="s">
        <v>16919</v>
      </c>
      <c r="J919" s="125"/>
      <c r="K919" s="125"/>
      <c r="L919" s="125"/>
    </row>
    <row r="920" spans="1:12" s="121" customFormat="1" ht="15">
      <c r="A920" s="362"/>
      <c r="B920" s="616"/>
      <c r="C920" s="367" t="s">
        <v>6</v>
      </c>
      <c r="D920" s="493"/>
      <c r="E920" s="490">
        <v>44295</v>
      </c>
      <c r="F920" s="490">
        <v>44293</v>
      </c>
      <c r="G920" s="490">
        <v>44298</v>
      </c>
      <c r="H920" s="490">
        <v>44295</v>
      </c>
      <c r="I920" s="490">
        <v>44295</v>
      </c>
      <c r="J920" s="125"/>
      <c r="K920" s="125"/>
      <c r="L920" s="125"/>
    </row>
    <row r="921" spans="1:12" s="121" customFormat="1" ht="15">
      <c r="A921" s="363"/>
      <c r="B921" s="617"/>
      <c r="C921" s="367" t="s">
        <v>8993</v>
      </c>
      <c r="D921" s="493"/>
      <c r="E921" s="490" t="s">
        <v>16915</v>
      </c>
      <c r="F921" s="490" t="s">
        <v>17066</v>
      </c>
      <c r="G921" s="490" t="s">
        <v>17067</v>
      </c>
      <c r="H921" s="490" t="s">
        <v>15006</v>
      </c>
      <c r="I921" s="490" t="s">
        <v>16920</v>
      </c>
      <c r="J921" s="125"/>
      <c r="K921" s="125"/>
      <c r="L921" s="125"/>
    </row>
    <row r="922" spans="1:12" s="121" customFormat="1" ht="11.25">
      <c r="A922" s="2"/>
      <c r="B922" s="622"/>
      <c r="C922" s="491"/>
      <c r="D922" s="491"/>
      <c r="E922" s="491"/>
      <c r="F922" s="491"/>
      <c r="G922" s="491"/>
      <c r="H922" s="491"/>
      <c r="I922" s="491"/>
      <c r="J922" s="124"/>
      <c r="K922" s="124"/>
      <c r="L922" s="124"/>
    </row>
    <row r="923" spans="1:12" s="121" customFormat="1" ht="56.25">
      <c r="A923" s="366" t="s">
        <v>14541</v>
      </c>
      <c r="B923" s="626" t="s">
        <v>16714</v>
      </c>
      <c r="C923" s="515">
        <f t="shared" ref="C923" si="181">MIN(E925:I925)</f>
        <v>92800</v>
      </c>
      <c r="D923" s="370" t="s">
        <v>109</v>
      </c>
      <c r="E923" s="486" t="s">
        <v>17224</v>
      </c>
      <c r="F923" s="486" t="s">
        <v>17245</v>
      </c>
      <c r="G923" s="486" t="s">
        <v>17293</v>
      </c>
      <c r="H923" s="486"/>
      <c r="I923" s="486"/>
      <c r="J923" s="125" t="s">
        <v>207</v>
      </c>
      <c r="K923" s="125"/>
      <c r="L923" s="125"/>
    </row>
    <row r="924" spans="1:12" s="121" customFormat="1" ht="22.5">
      <c r="A924" s="361"/>
      <c r="B924" s="615"/>
      <c r="C924" s="367" t="s">
        <v>284</v>
      </c>
      <c r="D924" s="554"/>
      <c r="E924" s="487" t="s">
        <v>17225</v>
      </c>
      <c r="F924" s="487" t="s">
        <v>17246</v>
      </c>
      <c r="G924" s="487" t="s">
        <v>17294</v>
      </c>
      <c r="H924" s="487"/>
      <c r="I924" s="487"/>
      <c r="J924" s="125" t="s">
        <v>283</v>
      </c>
      <c r="K924" s="125" t="s">
        <v>280</v>
      </c>
      <c r="L924" s="125" t="s">
        <v>281</v>
      </c>
    </row>
    <row r="925" spans="1:12" s="121" customFormat="1" ht="15">
      <c r="A925" s="362"/>
      <c r="B925" s="616"/>
      <c r="C925" s="367" t="s">
        <v>9</v>
      </c>
      <c r="D925" s="492"/>
      <c r="E925" s="516">
        <v>93000</v>
      </c>
      <c r="F925" s="488">
        <v>104600</v>
      </c>
      <c r="G925" s="488">
        <v>92800</v>
      </c>
      <c r="H925" s="516"/>
      <c r="I925" s="516"/>
      <c r="J925" s="125">
        <f t="shared" ref="J925" si="182">MEDIAN(E925:I925)</f>
        <v>93000</v>
      </c>
      <c r="K925" s="125">
        <f t="shared" ref="K925" si="183">J925*1.3</f>
        <v>120900</v>
      </c>
      <c r="L925" s="125">
        <f t="shared" ref="L925" si="184">J925*0.7</f>
        <v>65099.999999999993</v>
      </c>
    </row>
    <row r="926" spans="1:12" s="121" customFormat="1" ht="15">
      <c r="A926" s="362"/>
      <c r="B926" s="616"/>
      <c r="C926" s="367" t="s">
        <v>8</v>
      </c>
      <c r="D926" s="492"/>
      <c r="E926" s="487" t="s">
        <v>17226</v>
      </c>
      <c r="F926" s="487" t="s">
        <v>17247</v>
      </c>
      <c r="G926" s="487" t="s">
        <v>17295</v>
      </c>
      <c r="H926" s="487"/>
      <c r="I926" s="487"/>
      <c r="J926" s="125"/>
      <c r="K926" s="125"/>
      <c r="L926" s="125"/>
    </row>
    <row r="927" spans="1:12" s="121" customFormat="1" ht="15">
      <c r="A927" s="362"/>
      <c r="B927" s="616"/>
      <c r="C927" s="367" t="s">
        <v>7</v>
      </c>
      <c r="D927" s="492"/>
      <c r="E927" s="489" t="s">
        <v>17227</v>
      </c>
      <c r="F927" s="489" t="s">
        <v>17248</v>
      </c>
      <c r="G927" s="489" t="s">
        <v>17296</v>
      </c>
      <c r="H927" s="489"/>
      <c r="I927" s="489"/>
      <c r="J927" s="125"/>
      <c r="K927" s="125"/>
      <c r="L927" s="125"/>
    </row>
    <row r="928" spans="1:12" s="121" customFormat="1" ht="15">
      <c r="A928" s="362"/>
      <c r="B928" s="616"/>
      <c r="C928" s="367" t="s">
        <v>6</v>
      </c>
      <c r="D928" s="493"/>
      <c r="E928" s="490">
        <v>44302</v>
      </c>
      <c r="F928" s="490">
        <v>44302</v>
      </c>
      <c r="G928" s="490">
        <v>44305</v>
      </c>
      <c r="H928" s="490"/>
      <c r="I928" s="490"/>
      <c r="J928" s="125"/>
      <c r="K928" s="125"/>
      <c r="L928" s="125"/>
    </row>
    <row r="929" spans="1:12" s="121" customFormat="1" ht="15">
      <c r="A929" s="363"/>
      <c r="B929" s="617"/>
      <c r="C929" s="367" t="s">
        <v>8993</v>
      </c>
      <c r="D929" s="493"/>
      <c r="E929" s="490" t="s">
        <v>17228</v>
      </c>
      <c r="F929" s="490" t="s">
        <v>17319</v>
      </c>
      <c r="G929" s="490" t="s">
        <v>17297</v>
      </c>
      <c r="H929" s="490"/>
      <c r="I929" s="490"/>
      <c r="J929" s="125"/>
      <c r="K929" s="125"/>
      <c r="L929" s="125"/>
    </row>
    <row r="930" spans="1:12" s="121" customFormat="1" ht="11.25">
      <c r="A930" s="2"/>
      <c r="B930" s="622"/>
      <c r="C930" s="491"/>
      <c r="D930" s="491"/>
      <c r="E930" s="491"/>
      <c r="F930" s="491"/>
      <c r="G930" s="491"/>
      <c r="H930" s="491"/>
      <c r="I930" s="491"/>
      <c r="J930" s="124"/>
      <c r="K930" s="124"/>
      <c r="L930" s="124"/>
    </row>
    <row r="931" spans="1:12" s="121" customFormat="1" ht="33.75">
      <c r="A931" s="366" t="s">
        <v>14561</v>
      </c>
      <c r="B931" s="626" t="s">
        <v>16971</v>
      </c>
      <c r="C931" s="515">
        <f t="shared" ref="C931" si="185">MIN(E933:I933)</f>
        <v>2.4300000000000002</v>
      </c>
      <c r="D931" s="370" t="s">
        <v>109</v>
      </c>
      <c r="E931" s="486" t="s">
        <v>16972</v>
      </c>
      <c r="F931" s="486" t="s">
        <v>17085</v>
      </c>
      <c r="G931" s="486" t="s">
        <v>16908</v>
      </c>
      <c r="H931" s="486"/>
      <c r="I931" s="486"/>
      <c r="J931" s="125" t="s">
        <v>207</v>
      </c>
      <c r="K931" s="125"/>
      <c r="L931" s="125"/>
    </row>
    <row r="932" spans="1:12" s="121" customFormat="1" ht="33.75">
      <c r="A932" s="361"/>
      <c r="B932" s="615"/>
      <c r="C932" s="367" t="s">
        <v>284</v>
      </c>
      <c r="D932" s="554"/>
      <c r="E932" s="487" t="s">
        <v>16973</v>
      </c>
      <c r="F932" s="487" t="s">
        <v>17086</v>
      </c>
      <c r="G932" s="487" t="s">
        <v>16910</v>
      </c>
      <c r="H932" s="487"/>
      <c r="I932" s="487"/>
      <c r="J932" s="125" t="s">
        <v>283</v>
      </c>
      <c r="K932" s="125" t="s">
        <v>280</v>
      </c>
      <c r="L932" s="125" t="s">
        <v>281</v>
      </c>
    </row>
    <row r="933" spans="1:12" s="121" customFormat="1" ht="15">
      <c r="A933" s="362"/>
      <c r="B933" s="616"/>
      <c r="C933" s="367" t="s">
        <v>9</v>
      </c>
      <c r="D933" s="492"/>
      <c r="E933" s="516">
        <v>2.9</v>
      </c>
      <c r="F933" s="488">
        <v>5.26</v>
      </c>
      <c r="G933" s="488">
        <v>2.4300000000000002</v>
      </c>
      <c r="H933" s="516"/>
      <c r="I933" s="516"/>
      <c r="J933" s="125">
        <f t="shared" ref="J933" si="186">MEDIAN(E933:I933)</f>
        <v>2.9</v>
      </c>
      <c r="K933" s="125">
        <f t="shared" ref="K933" si="187">J933*1.3</f>
        <v>3.77</v>
      </c>
      <c r="L933" s="125">
        <f t="shared" ref="L933" si="188">J933*0.7</f>
        <v>2.0299999999999998</v>
      </c>
    </row>
    <row r="934" spans="1:12" s="121" customFormat="1" ht="15">
      <c r="A934" s="362"/>
      <c r="B934" s="616"/>
      <c r="C934" s="367" t="s">
        <v>8</v>
      </c>
      <c r="D934" s="492"/>
      <c r="E934" s="487" t="s">
        <v>16975</v>
      </c>
      <c r="F934" s="487" t="s">
        <v>17087</v>
      </c>
      <c r="G934" s="487" t="s">
        <v>16912</v>
      </c>
      <c r="H934" s="487"/>
      <c r="I934" s="487"/>
      <c r="J934" s="125"/>
      <c r="K934" s="125"/>
      <c r="L934" s="125"/>
    </row>
    <row r="935" spans="1:12" s="121" customFormat="1" ht="15">
      <c r="A935" s="362"/>
      <c r="B935" s="616"/>
      <c r="C935" s="367" t="s">
        <v>7</v>
      </c>
      <c r="D935" s="492"/>
      <c r="E935" s="489" t="s">
        <v>16974</v>
      </c>
      <c r="F935" s="489" t="s">
        <v>17088</v>
      </c>
      <c r="G935" s="489" t="s">
        <v>16914</v>
      </c>
      <c r="H935" s="489"/>
      <c r="I935" s="489"/>
      <c r="J935" s="125"/>
      <c r="K935" s="125"/>
      <c r="L935" s="125"/>
    </row>
    <row r="936" spans="1:12" s="121" customFormat="1" ht="15">
      <c r="A936" s="362"/>
      <c r="B936" s="616"/>
      <c r="C936" s="367" t="s">
        <v>6</v>
      </c>
      <c r="D936" s="493"/>
      <c r="E936" s="490">
        <v>44296</v>
      </c>
      <c r="F936" s="490">
        <v>44295</v>
      </c>
      <c r="G936" s="490">
        <v>44299</v>
      </c>
      <c r="H936" s="490"/>
      <c r="I936" s="490"/>
      <c r="J936" s="125"/>
      <c r="K936" s="125"/>
      <c r="L936" s="125"/>
    </row>
    <row r="937" spans="1:12" s="121" customFormat="1" ht="15">
      <c r="A937" s="363"/>
      <c r="B937" s="617"/>
      <c r="C937" s="367" t="s">
        <v>8993</v>
      </c>
      <c r="D937" s="493"/>
      <c r="E937" s="490" t="s">
        <v>16976</v>
      </c>
      <c r="F937" s="490" t="s">
        <v>17089</v>
      </c>
      <c r="G937" s="490" t="s">
        <v>15300</v>
      </c>
      <c r="H937" s="490"/>
      <c r="I937" s="490"/>
      <c r="J937" s="125"/>
      <c r="K937" s="125"/>
      <c r="L937" s="125"/>
    </row>
    <row r="938" spans="1:12" s="121" customFormat="1" ht="11.25">
      <c r="A938" s="2"/>
      <c r="B938" s="622"/>
      <c r="C938" s="491"/>
      <c r="D938" s="491"/>
      <c r="E938" s="491"/>
      <c r="F938" s="491"/>
      <c r="G938" s="491"/>
      <c r="H938" s="491"/>
      <c r="I938" s="491"/>
      <c r="J938" s="124"/>
      <c r="K938" s="124"/>
      <c r="L938" s="124"/>
    </row>
    <row r="939" spans="1:12" s="121" customFormat="1" ht="33.75">
      <c r="A939" s="366" t="s">
        <v>14562</v>
      </c>
      <c r="B939" s="626" t="s">
        <v>16982</v>
      </c>
      <c r="C939" s="515">
        <f t="shared" ref="C939" si="189">MIN(E941:I941)</f>
        <v>1.79</v>
      </c>
      <c r="D939" s="370" t="s">
        <v>109</v>
      </c>
      <c r="E939" s="486" t="s">
        <v>16972</v>
      </c>
      <c r="F939" s="486" t="s">
        <v>17085</v>
      </c>
      <c r="G939" s="486" t="s">
        <v>16908</v>
      </c>
      <c r="H939" s="486"/>
      <c r="I939" s="486"/>
      <c r="J939" s="125" t="s">
        <v>207</v>
      </c>
      <c r="K939" s="125"/>
      <c r="L939" s="125"/>
    </row>
    <row r="940" spans="1:12" s="121" customFormat="1" ht="33.75">
      <c r="A940" s="361"/>
      <c r="B940" s="615"/>
      <c r="C940" s="367" t="s">
        <v>284</v>
      </c>
      <c r="D940" s="554"/>
      <c r="E940" s="487" t="s">
        <v>16973</v>
      </c>
      <c r="F940" s="487" t="s">
        <v>17086</v>
      </c>
      <c r="G940" s="487" t="s">
        <v>16910</v>
      </c>
      <c r="H940" s="487"/>
      <c r="I940" s="487"/>
      <c r="J940" s="125" t="s">
        <v>283</v>
      </c>
      <c r="K940" s="125" t="s">
        <v>280</v>
      </c>
      <c r="L940" s="125" t="s">
        <v>281</v>
      </c>
    </row>
    <row r="941" spans="1:12" s="121" customFormat="1" ht="15">
      <c r="A941" s="362"/>
      <c r="B941" s="616"/>
      <c r="C941" s="367" t="s">
        <v>9</v>
      </c>
      <c r="D941" s="492"/>
      <c r="E941" s="516">
        <v>2.25</v>
      </c>
      <c r="F941" s="488">
        <v>4.68</v>
      </c>
      <c r="G941" s="488">
        <v>1.79</v>
      </c>
      <c r="H941" s="516"/>
      <c r="I941" s="516"/>
      <c r="J941" s="125">
        <f t="shared" ref="J941" si="190">MEDIAN(E941:I941)</f>
        <v>2.25</v>
      </c>
      <c r="K941" s="125">
        <f t="shared" ref="K941" si="191">J941*1.3</f>
        <v>2.9250000000000003</v>
      </c>
      <c r="L941" s="125">
        <f t="shared" ref="L941" si="192">J941*0.7</f>
        <v>1.575</v>
      </c>
    </row>
    <row r="942" spans="1:12" s="121" customFormat="1" ht="15">
      <c r="A942" s="362"/>
      <c r="B942" s="616"/>
      <c r="C942" s="367" t="s">
        <v>8</v>
      </c>
      <c r="D942" s="492"/>
      <c r="E942" s="487" t="s">
        <v>16975</v>
      </c>
      <c r="F942" s="487" t="s">
        <v>17087</v>
      </c>
      <c r="G942" s="487" t="s">
        <v>16912</v>
      </c>
      <c r="H942" s="487"/>
      <c r="I942" s="487"/>
      <c r="J942" s="125"/>
      <c r="K942" s="125"/>
      <c r="L942" s="125"/>
    </row>
    <row r="943" spans="1:12" s="121" customFormat="1" ht="15">
      <c r="A943" s="362"/>
      <c r="B943" s="616"/>
      <c r="C943" s="367" t="s">
        <v>7</v>
      </c>
      <c r="D943" s="492"/>
      <c r="E943" s="489" t="s">
        <v>16974</v>
      </c>
      <c r="F943" s="489" t="s">
        <v>17088</v>
      </c>
      <c r="G943" s="489" t="s">
        <v>16914</v>
      </c>
      <c r="H943" s="489"/>
      <c r="I943" s="489"/>
      <c r="J943" s="125"/>
      <c r="K943" s="125"/>
      <c r="L943" s="125"/>
    </row>
    <row r="944" spans="1:12" s="121" customFormat="1" ht="15">
      <c r="A944" s="362"/>
      <c r="B944" s="616"/>
      <c r="C944" s="367" t="s">
        <v>6</v>
      </c>
      <c r="D944" s="493"/>
      <c r="E944" s="490">
        <v>44296</v>
      </c>
      <c r="F944" s="490">
        <v>44295</v>
      </c>
      <c r="G944" s="490">
        <v>44299</v>
      </c>
      <c r="H944" s="490"/>
      <c r="I944" s="490"/>
      <c r="J944" s="125"/>
      <c r="K944" s="125"/>
      <c r="L944" s="125"/>
    </row>
    <row r="945" spans="1:12" s="121" customFormat="1" ht="15">
      <c r="A945" s="363"/>
      <c r="B945" s="617"/>
      <c r="C945" s="367" t="s">
        <v>8993</v>
      </c>
      <c r="D945" s="493"/>
      <c r="E945" s="490" t="s">
        <v>16976</v>
      </c>
      <c r="F945" s="490" t="s">
        <v>17089</v>
      </c>
      <c r="G945" s="490" t="s">
        <v>15300</v>
      </c>
      <c r="H945" s="490"/>
      <c r="I945" s="490"/>
      <c r="J945" s="125"/>
      <c r="K945" s="125"/>
      <c r="L945" s="125"/>
    </row>
    <row r="946" spans="1:12" s="121" customFormat="1" ht="11.25">
      <c r="A946" s="2"/>
      <c r="B946" s="622"/>
      <c r="C946" s="491"/>
      <c r="D946" s="491"/>
      <c r="E946" s="491"/>
      <c r="F946" s="491"/>
      <c r="G946" s="491"/>
      <c r="H946" s="491"/>
      <c r="I946" s="491"/>
      <c r="J946" s="124"/>
      <c r="K946" s="124"/>
      <c r="L946" s="124"/>
    </row>
    <row r="947" spans="1:12" s="121" customFormat="1" ht="22.5">
      <c r="A947" s="366" t="s">
        <v>14563</v>
      </c>
      <c r="B947" s="626" t="s">
        <v>17013</v>
      </c>
      <c r="C947" s="515">
        <f t="shared" ref="C947" si="193">MIN(E949:I949)</f>
        <v>15.1</v>
      </c>
      <c r="D947" s="370" t="s">
        <v>109</v>
      </c>
      <c r="E947" s="486" t="s">
        <v>17015</v>
      </c>
      <c r="F947" s="486" t="s">
        <v>15182</v>
      </c>
      <c r="G947" s="486" t="s">
        <v>17020</v>
      </c>
      <c r="H947" s="486"/>
      <c r="I947" s="486"/>
      <c r="J947" s="125" t="s">
        <v>207</v>
      </c>
      <c r="K947" s="125"/>
      <c r="L947" s="125"/>
    </row>
    <row r="948" spans="1:12" s="121" customFormat="1" ht="22.5">
      <c r="A948" s="361"/>
      <c r="B948" s="615"/>
      <c r="C948" s="367" t="s">
        <v>284</v>
      </c>
      <c r="D948" s="554"/>
      <c r="E948" s="487" t="s">
        <v>17014</v>
      </c>
      <c r="F948" s="487" t="s">
        <v>15184</v>
      </c>
      <c r="G948" s="487" t="s">
        <v>17019</v>
      </c>
      <c r="H948" s="487"/>
      <c r="I948" s="487"/>
      <c r="J948" s="125" t="s">
        <v>283</v>
      </c>
      <c r="K948" s="125" t="s">
        <v>280</v>
      </c>
      <c r="L948" s="125" t="s">
        <v>281</v>
      </c>
    </row>
    <row r="949" spans="1:12" s="121" customFormat="1" ht="15">
      <c r="A949" s="362"/>
      <c r="B949" s="616"/>
      <c r="C949" s="367" t="s">
        <v>9</v>
      </c>
      <c r="D949" s="492"/>
      <c r="E949" s="516">
        <v>16.72</v>
      </c>
      <c r="F949" s="488">
        <v>15.1</v>
      </c>
      <c r="G949" s="488">
        <v>31.98</v>
      </c>
      <c r="H949" s="516"/>
      <c r="I949" s="516"/>
      <c r="J949" s="125">
        <f t="shared" ref="J949" si="194">MEDIAN(E949:I949)</f>
        <v>16.72</v>
      </c>
      <c r="K949" s="125">
        <f t="shared" ref="K949" si="195">J949*1.3</f>
        <v>21.736000000000001</v>
      </c>
      <c r="L949" s="125">
        <f t="shared" ref="L949" si="196">J949*0.7</f>
        <v>11.703999999999999</v>
      </c>
    </row>
    <row r="950" spans="1:12" s="121" customFormat="1" ht="15">
      <c r="A950" s="362"/>
      <c r="B950" s="616"/>
      <c r="C950" s="367" t="s">
        <v>8</v>
      </c>
      <c r="D950" s="492"/>
      <c r="E950" s="487" t="s">
        <v>17018</v>
      </c>
      <c r="F950" s="487" t="s">
        <v>15185</v>
      </c>
      <c r="G950" s="487" t="s">
        <v>17021</v>
      </c>
      <c r="H950" s="487"/>
      <c r="I950" s="487"/>
      <c r="J950" s="125"/>
      <c r="K950" s="125"/>
      <c r="L950" s="125"/>
    </row>
    <row r="951" spans="1:12" s="121" customFormat="1" ht="15">
      <c r="A951" s="362"/>
      <c r="B951" s="616"/>
      <c r="C951" s="367" t="s">
        <v>7</v>
      </c>
      <c r="D951" s="492"/>
      <c r="E951" s="489" t="s">
        <v>17017</v>
      </c>
      <c r="F951" s="489" t="s">
        <v>15186</v>
      </c>
      <c r="G951" s="489" t="s">
        <v>17022</v>
      </c>
      <c r="H951" s="489"/>
      <c r="I951" s="489"/>
      <c r="J951" s="125"/>
      <c r="K951" s="125"/>
      <c r="L951" s="125"/>
    </row>
    <row r="952" spans="1:12" s="121" customFormat="1" ht="15">
      <c r="A952" s="362"/>
      <c r="B952" s="616"/>
      <c r="C952" s="367" t="s">
        <v>6</v>
      </c>
      <c r="D952" s="493"/>
      <c r="E952" s="490">
        <v>44299</v>
      </c>
      <c r="F952" s="490">
        <v>44299</v>
      </c>
      <c r="G952" s="490">
        <v>44299</v>
      </c>
      <c r="H952" s="490"/>
      <c r="I952" s="490"/>
      <c r="J952" s="125"/>
      <c r="K952" s="125"/>
      <c r="L952" s="125"/>
    </row>
    <row r="953" spans="1:12" s="121" customFormat="1" ht="15">
      <c r="A953" s="363"/>
      <c r="B953" s="617"/>
      <c r="C953" s="367" t="s">
        <v>8993</v>
      </c>
      <c r="D953" s="493"/>
      <c r="E953" s="490" t="s">
        <v>17016</v>
      </c>
      <c r="F953" s="490" t="s">
        <v>17016</v>
      </c>
      <c r="G953" s="490" t="s">
        <v>17016</v>
      </c>
      <c r="H953" s="490"/>
      <c r="I953" s="490"/>
      <c r="J953" s="125"/>
      <c r="K953" s="125"/>
      <c r="L953" s="125"/>
    </row>
    <row r="954" spans="1:12" s="121" customFormat="1" ht="11.25">
      <c r="A954" s="2"/>
      <c r="B954" s="622"/>
      <c r="C954" s="491"/>
      <c r="D954" s="491"/>
      <c r="E954" s="491"/>
      <c r="F954" s="491"/>
      <c r="G954" s="491"/>
      <c r="H954" s="491"/>
      <c r="I954" s="491"/>
      <c r="J954" s="124"/>
      <c r="K954" s="124"/>
      <c r="L954" s="124"/>
    </row>
    <row r="955" spans="1:12" s="121" customFormat="1" ht="22.5">
      <c r="A955" s="366" t="s">
        <v>14564</v>
      </c>
      <c r="B955" s="626" t="s">
        <v>17029</v>
      </c>
      <c r="C955" s="515">
        <f t="shared" ref="C955" si="197">MIN(E957:I957)</f>
        <v>197.9</v>
      </c>
      <c r="D955" s="370" t="s">
        <v>109</v>
      </c>
      <c r="E955" s="486" t="s">
        <v>14744</v>
      </c>
      <c r="F955" s="486" t="s">
        <v>17031</v>
      </c>
      <c r="G955" s="486" t="s">
        <v>15175</v>
      </c>
      <c r="H955" s="486"/>
      <c r="I955" s="486"/>
      <c r="J955" s="125" t="s">
        <v>207</v>
      </c>
      <c r="K955" s="125"/>
      <c r="L955" s="125"/>
    </row>
    <row r="956" spans="1:12" s="121" customFormat="1" ht="22.5">
      <c r="A956" s="361"/>
      <c r="B956" s="615"/>
      <c r="C956" s="367" t="s">
        <v>284</v>
      </c>
      <c r="D956" s="554"/>
      <c r="E956" s="487" t="s">
        <v>15104</v>
      </c>
      <c r="F956" s="487" t="s">
        <v>17030</v>
      </c>
      <c r="G956" s="487" t="s">
        <v>17034</v>
      </c>
      <c r="H956" s="487"/>
      <c r="I956" s="487"/>
      <c r="J956" s="125" t="s">
        <v>283</v>
      </c>
      <c r="K956" s="125" t="s">
        <v>280</v>
      </c>
      <c r="L956" s="125" t="s">
        <v>281</v>
      </c>
    </row>
    <row r="957" spans="1:12" s="121" customFormat="1" ht="15">
      <c r="A957" s="362"/>
      <c r="B957" s="616"/>
      <c r="C957" s="367" t="s">
        <v>9</v>
      </c>
      <c r="D957" s="492"/>
      <c r="E957" s="84">
        <v>234.77</v>
      </c>
      <c r="F957" s="488">
        <v>197.9</v>
      </c>
      <c r="G957" s="488">
        <v>219.44</v>
      </c>
      <c r="H957" s="516"/>
      <c r="I957" s="516"/>
      <c r="J957" s="125">
        <f t="shared" ref="J957" si="198">MEDIAN(E957:I957)</f>
        <v>219.44</v>
      </c>
      <c r="K957" s="125">
        <f t="shared" ref="K957" si="199">J957*1.3</f>
        <v>285.27199999999999</v>
      </c>
      <c r="L957" s="125">
        <f t="shared" ref="L957" si="200">J957*0.7</f>
        <v>153.60799999999998</v>
      </c>
    </row>
    <row r="958" spans="1:12" s="121" customFormat="1" ht="15">
      <c r="A958" s="362"/>
      <c r="B958" s="616"/>
      <c r="C958" s="367" t="s">
        <v>8</v>
      </c>
      <c r="D958" s="492"/>
      <c r="E958" s="487" t="s">
        <v>15106</v>
      </c>
      <c r="F958" s="487" t="s">
        <v>17032</v>
      </c>
      <c r="G958" s="487" t="s">
        <v>15179</v>
      </c>
      <c r="H958" s="487"/>
      <c r="I958" s="487"/>
      <c r="J958" s="125"/>
      <c r="K958" s="125"/>
      <c r="L958" s="125"/>
    </row>
    <row r="959" spans="1:12" s="121" customFormat="1" ht="15">
      <c r="A959" s="362"/>
      <c r="B959" s="616"/>
      <c r="C959" s="367" t="s">
        <v>7</v>
      </c>
      <c r="D959" s="492"/>
      <c r="E959" s="489" t="s">
        <v>14745</v>
      </c>
      <c r="F959" s="489" t="s">
        <v>17033</v>
      </c>
      <c r="G959" s="489" t="s">
        <v>15181</v>
      </c>
      <c r="H959" s="489"/>
      <c r="I959" s="489"/>
      <c r="J959" s="125"/>
      <c r="K959" s="125"/>
      <c r="L959" s="125"/>
    </row>
    <row r="960" spans="1:12" s="121" customFormat="1" ht="15">
      <c r="A960" s="362"/>
      <c r="B960" s="616"/>
      <c r="C960" s="367" t="s">
        <v>6</v>
      </c>
      <c r="D960" s="493"/>
      <c r="E960" s="490">
        <v>44299</v>
      </c>
      <c r="F960" s="490">
        <v>44299</v>
      </c>
      <c r="G960" s="490">
        <v>44299</v>
      </c>
      <c r="H960" s="490"/>
      <c r="I960" s="490"/>
      <c r="J960" s="125"/>
      <c r="K960" s="125"/>
      <c r="L960" s="125"/>
    </row>
    <row r="961" spans="1:12" s="121" customFormat="1" ht="15">
      <c r="A961" s="363"/>
      <c r="B961" s="617"/>
      <c r="C961" s="367" t="s">
        <v>8993</v>
      </c>
      <c r="D961" s="493"/>
      <c r="E961" s="490" t="s">
        <v>17028</v>
      </c>
      <c r="F961" s="490" t="s">
        <v>17028</v>
      </c>
      <c r="G961" s="490" t="s">
        <v>17028</v>
      </c>
      <c r="H961" s="490"/>
      <c r="I961" s="490"/>
      <c r="J961" s="125"/>
      <c r="K961" s="125"/>
      <c r="L961" s="125"/>
    </row>
    <row r="962" spans="1:12" s="121" customFormat="1" ht="11.25">
      <c r="A962" s="2"/>
      <c r="B962" s="622"/>
      <c r="C962" s="491"/>
      <c r="D962" s="491"/>
      <c r="E962" s="491"/>
      <c r="F962" s="491"/>
      <c r="G962" s="491"/>
      <c r="H962" s="491"/>
      <c r="I962" s="491"/>
      <c r="J962" s="124"/>
      <c r="K962" s="124"/>
      <c r="L962" s="124"/>
    </row>
    <row r="963" spans="1:12" s="121" customFormat="1" ht="11.25">
      <c r="A963" s="366" t="s">
        <v>14565</v>
      </c>
      <c r="B963" s="626" t="s">
        <v>17039</v>
      </c>
      <c r="C963" s="515">
        <f t="shared" ref="C963" si="201">MIN(E965:I965)</f>
        <v>5</v>
      </c>
      <c r="D963" s="370" t="s">
        <v>109</v>
      </c>
      <c r="E963" s="486" t="s">
        <v>17031</v>
      </c>
      <c r="F963" s="486" t="s">
        <v>15182</v>
      </c>
      <c r="G963" s="486" t="s">
        <v>15175</v>
      </c>
      <c r="H963" s="486"/>
      <c r="I963" s="486"/>
      <c r="J963" s="125" t="s">
        <v>207</v>
      </c>
      <c r="K963" s="125"/>
      <c r="L963" s="125"/>
    </row>
    <row r="964" spans="1:12" s="121" customFormat="1" ht="22.5">
      <c r="A964" s="361"/>
      <c r="B964" s="615"/>
      <c r="C964" s="367" t="s">
        <v>284</v>
      </c>
      <c r="D964" s="554"/>
      <c r="E964" s="487" t="s">
        <v>17030</v>
      </c>
      <c r="F964" s="487" t="s">
        <v>15184</v>
      </c>
      <c r="G964" s="487" t="s">
        <v>17034</v>
      </c>
      <c r="H964" s="487"/>
      <c r="I964" s="487"/>
      <c r="J964" s="125" t="s">
        <v>283</v>
      </c>
      <c r="K964" s="125" t="s">
        <v>280</v>
      </c>
      <c r="L964" s="125" t="s">
        <v>281</v>
      </c>
    </row>
    <row r="965" spans="1:12" s="121" customFormat="1" ht="15">
      <c r="A965" s="362"/>
      <c r="B965" s="616"/>
      <c r="C965" s="367" t="s">
        <v>9</v>
      </c>
      <c r="D965" s="492"/>
      <c r="E965" s="488">
        <v>5.09</v>
      </c>
      <c r="F965" s="488">
        <v>5</v>
      </c>
      <c r="G965" s="488">
        <v>5.44</v>
      </c>
      <c r="H965" s="516"/>
      <c r="I965" s="516"/>
      <c r="J965" s="125">
        <f t="shared" ref="J965" si="202">MEDIAN(E965:I965)</f>
        <v>5.09</v>
      </c>
      <c r="K965" s="125">
        <f t="shared" ref="K965" si="203">J965*1.3</f>
        <v>6.617</v>
      </c>
      <c r="L965" s="125">
        <f t="shared" ref="L965" si="204">J965*0.7</f>
        <v>3.5629999999999997</v>
      </c>
    </row>
    <row r="966" spans="1:12" s="121" customFormat="1" ht="15">
      <c r="A966" s="362"/>
      <c r="B966" s="616"/>
      <c r="C966" s="367" t="s">
        <v>8</v>
      </c>
      <c r="D966" s="492"/>
      <c r="E966" s="487" t="s">
        <v>17032</v>
      </c>
      <c r="F966" s="487" t="s">
        <v>15185</v>
      </c>
      <c r="G966" s="487" t="s">
        <v>15179</v>
      </c>
      <c r="H966" s="487"/>
      <c r="I966" s="487"/>
      <c r="J966" s="125"/>
      <c r="K966" s="125"/>
      <c r="L966" s="125"/>
    </row>
    <row r="967" spans="1:12" s="121" customFormat="1" ht="15">
      <c r="A967" s="362"/>
      <c r="B967" s="616"/>
      <c r="C967" s="367" t="s">
        <v>7</v>
      </c>
      <c r="D967" s="492"/>
      <c r="E967" s="489" t="s">
        <v>17033</v>
      </c>
      <c r="F967" s="489" t="s">
        <v>15186</v>
      </c>
      <c r="G967" s="489" t="s">
        <v>15181</v>
      </c>
      <c r="H967" s="489"/>
      <c r="I967" s="489"/>
      <c r="J967" s="125"/>
      <c r="K967" s="125"/>
      <c r="L967" s="125"/>
    </row>
    <row r="968" spans="1:12" s="121" customFormat="1" ht="15">
      <c r="A968" s="362"/>
      <c r="B968" s="616"/>
      <c r="C968" s="367" t="s">
        <v>6</v>
      </c>
      <c r="D968" s="493"/>
      <c r="E968" s="490">
        <v>44299</v>
      </c>
      <c r="F968" s="490">
        <v>44299</v>
      </c>
      <c r="G968" s="490">
        <v>44299</v>
      </c>
      <c r="H968" s="490"/>
      <c r="I968" s="490"/>
      <c r="J968" s="125"/>
      <c r="K968" s="125"/>
      <c r="L968" s="125"/>
    </row>
    <row r="969" spans="1:12" s="121" customFormat="1" ht="15">
      <c r="A969" s="363"/>
      <c r="B969" s="617"/>
      <c r="C969" s="367" t="s">
        <v>8993</v>
      </c>
      <c r="D969" s="493"/>
      <c r="E969" s="490" t="s">
        <v>15350</v>
      </c>
      <c r="F969" s="490" t="s">
        <v>15350</v>
      </c>
      <c r="G969" s="490" t="s">
        <v>15350</v>
      </c>
      <c r="H969" s="490"/>
      <c r="I969" s="490"/>
      <c r="J969" s="125"/>
      <c r="K969" s="125"/>
      <c r="L969" s="125"/>
    </row>
    <row r="970" spans="1:12" s="121" customFormat="1" ht="11.25">
      <c r="A970" s="2"/>
      <c r="B970" s="622"/>
      <c r="C970" s="491"/>
      <c r="D970" s="491"/>
      <c r="E970" s="491"/>
      <c r="F970" s="491"/>
      <c r="G970" s="491"/>
      <c r="H970" s="491"/>
      <c r="I970" s="491"/>
      <c r="J970" s="124"/>
      <c r="K970" s="124"/>
      <c r="L970" s="124"/>
    </row>
    <row r="971" spans="1:12" s="121" customFormat="1" ht="22.5">
      <c r="A971" s="366" t="s">
        <v>14566</v>
      </c>
      <c r="B971" s="626" t="s">
        <v>17040</v>
      </c>
      <c r="C971" s="515">
        <f t="shared" ref="C971" si="205">MIN(E973:I973)</f>
        <v>3.74</v>
      </c>
      <c r="D971" s="370" t="s">
        <v>109</v>
      </c>
      <c r="E971" s="486" t="s">
        <v>17031</v>
      </c>
      <c r="F971" s="486" t="s">
        <v>15182</v>
      </c>
      <c r="G971" s="486" t="s">
        <v>17015</v>
      </c>
      <c r="H971" s="486"/>
      <c r="I971" s="486"/>
      <c r="J971" s="125" t="s">
        <v>207</v>
      </c>
      <c r="K971" s="125"/>
      <c r="L971" s="125"/>
    </row>
    <row r="972" spans="1:12" s="121" customFormat="1" ht="22.5">
      <c r="A972" s="361"/>
      <c r="B972" s="615"/>
      <c r="C972" s="367" t="s">
        <v>284</v>
      </c>
      <c r="D972" s="554"/>
      <c r="E972" s="487" t="s">
        <v>17030</v>
      </c>
      <c r="F972" s="487" t="s">
        <v>15184</v>
      </c>
      <c r="G972" s="487" t="s">
        <v>17014</v>
      </c>
      <c r="H972" s="487"/>
      <c r="I972" s="487"/>
      <c r="J972" s="125" t="s">
        <v>283</v>
      </c>
      <c r="K972" s="125" t="s">
        <v>280</v>
      </c>
      <c r="L972" s="125" t="s">
        <v>281</v>
      </c>
    </row>
    <row r="973" spans="1:12" s="121" customFormat="1" ht="15">
      <c r="A973" s="362"/>
      <c r="B973" s="616"/>
      <c r="C973" s="367" t="s">
        <v>9</v>
      </c>
      <c r="D973" s="492"/>
      <c r="E973" s="488">
        <v>3.79</v>
      </c>
      <c r="F973" s="488">
        <v>3.8</v>
      </c>
      <c r="G973" s="516">
        <v>3.74</v>
      </c>
      <c r="H973" s="516"/>
      <c r="I973" s="516"/>
      <c r="J973" s="125">
        <f t="shared" ref="J973" si="206">MEDIAN(E973:I973)</f>
        <v>3.79</v>
      </c>
      <c r="K973" s="125">
        <f t="shared" ref="K973" si="207">J973*1.3</f>
        <v>4.9270000000000005</v>
      </c>
      <c r="L973" s="125">
        <f t="shared" ref="L973" si="208">J973*0.7</f>
        <v>2.653</v>
      </c>
    </row>
    <row r="974" spans="1:12" s="121" customFormat="1" ht="15">
      <c r="A974" s="362"/>
      <c r="B974" s="616"/>
      <c r="C974" s="367" t="s">
        <v>8</v>
      </c>
      <c r="D974" s="492"/>
      <c r="E974" s="487" t="s">
        <v>17032</v>
      </c>
      <c r="F974" s="487" t="s">
        <v>15185</v>
      </c>
      <c r="G974" s="487" t="s">
        <v>17018</v>
      </c>
      <c r="H974" s="487"/>
      <c r="I974" s="487"/>
      <c r="J974" s="125"/>
      <c r="K974" s="125"/>
      <c r="L974" s="125"/>
    </row>
    <row r="975" spans="1:12" s="121" customFormat="1" ht="15">
      <c r="A975" s="362"/>
      <c r="B975" s="616"/>
      <c r="C975" s="367" t="s">
        <v>7</v>
      </c>
      <c r="D975" s="492"/>
      <c r="E975" s="489" t="s">
        <v>17033</v>
      </c>
      <c r="F975" s="489" t="s">
        <v>15186</v>
      </c>
      <c r="G975" s="489" t="s">
        <v>17017</v>
      </c>
      <c r="H975" s="489"/>
      <c r="I975" s="489"/>
      <c r="J975" s="125"/>
      <c r="K975" s="125"/>
      <c r="L975" s="125"/>
    </row>
    <row r="976" spans="1:12" s="121" customFormat="1" ht="15">
      <c r="A976" s="362"/>
      <c r="B976" s="616"/>
      <c r="C976" s="367" t="s">
        <v>6</v>
      </c>
      <c r="D976" s="493"/>
      <c r="E976" s="490">
        <v>44299</v>
      </c>
      <c r="F976" s="490">
        <v>44299</v>
      </c>
      <c r="G976" s="490">
        <v>44299</v>
      </c>
      <c r="H976" s="490"/>
      <c r="I976" s="490"/>
      <c r="J976" s="125"/>
      <c r="K976" s="125"/>
      <c r="L976" s="125"/>
    </row>
    <row r="977" spans="1:12" s="121" customFormat="1" ht="15">
      <c r="A977" s="363"/>
      <c r="B977" s="617"/>
      <c r="C977" s="367" t="s">
        <v>8993</v>
      </c>
      <c r="D977" s="493"/>
      <c r="E977" s="490" t="s">
        <v>15350</v>
      </c>
      <c r="F977" s="490" t="s">
        <v>15350</v>
      </c>
      <c r="G977" s="490" t="s">
        <v>15350</v>
      </c>
      <c r="H977" s="490"/>
      <c r="I977" s="490"/>
      <c r="J977" s="125"/>
      <c r="K977" s="125"/>
      <c r="L977" s="125"/>
    </row>
    <row r="978" spans="1:12" s="121" customFormat="1" ht="11.25">
      <c r="A978" s="2"/>
      <c r="B978" s="622"/>
      <c r="C978" s="491"/>
      <c r="D978" s="491"/>
      <c r="E978" s="491"/>
      <c r="F978" s="491"/>
      <c r="G978" s="491"/>
      <c r="H978" s="491"/>
      <c r="I978" s="491"/>
      <c r="J978" s="124"/>
      <c r="K978" s="124"/>
      <c r="L978" s="124"/>
    </row>
    <row r="979" spans="1:12" s="121" customFormat="1" ht="22.5">
      <c r="A979" s="366" t="s">
        <v>14567</v>
      </c>
      <c r="B979" s="626" t="s">
        <v>17113</v>
      </c>
      <c r="C979" s="515">
        <f t="shared" ref="C979" si="209">MIN(E981:I981)</f>
        <v>30.454000000000001</v>
      </c>
      <c r="D979" s="370" t="s">
        <v>109</v>
      </c>
      <c r="E979" s="486" t="s">
        <v>17031</v>
      </c>
      <c r="F979" s="486" t="s">
        <v>16742</v>
      </c>
      <c r="G979" s="486" t="s">
        <v>17115</v>
      </c>
      <c r="H979" s="486"/>
      <c r="I979" s="486"/>
      <c r="J979" s="125" t="s">
        <v>207</v>
      </c>
      <c r="K979" s="125"/>
      <c r="L979" s="125"/>
    </row>
    <row r="980" spans="1:12" s="121" customFormat="1" ht="22.5">
      <c r="A980" s="361"/>
      <c r="B980" s="615"/>
      <c r="C980" s="367" t="s">
        <v>284</v>
      </c>
      <c r="D980" s="554"/>
      <c r="E980" s="487" t="s">
        <v>17030</v>
      </c>
      <c r="F980" s="487" t="s">
        <v>16725</v>
      </c>
      <c r="G980" s="487" t="s">
        <v>17114</v>
      </c>
      <c r="H980" s="487"/>
      <c r="I980" s="487"/>
      <c r="J980" s="125" t="s">
        <v>283</v>
      </c>
      <c r="K980" s="125" t="s">
        <v>280</v>
      </c>
      <c r="L980" s="125" t="s">
        <v>281</v>
      </c>
    </row>
    <row r="981" spans="1:12" s="121" customFormat="1" ht="15">
      <c r="A981" s="362"/>
      <c r="B981" s="616"/>
      <c r="C981" s="367" t="s">
        <v>9</v>
      </c>
      <c r="D981" s="492"/>
      <c r="E981" s="488">
        <v>52.9</v>
      </c>
      <c r="F981" s="84">
        <f>152.27/5</f>
        <v>30.454000000000001</v>
      </c>
      <c r="G981" s="516">
        <v>35.9</v>
      </c>
      <c r="H981" s="516"/>
      <c r="I981" s="516"/>
      <c r="J981" s="125">
        <f t="shared" ref="J981" si="210">MEDIAN(E981:I981)</f>
        <v>35.9</v>
      </c>
      <c r="K981" s="125">
        <f t="shared" ref="K981" si="211">J981*1.3</f>
        <v>46.67</v>
      </c>
      <c r="L981" s="125">
        <f t="shared" ref="L981" si="212">J981*0.7</f>
        <v>25.13</v>
      </c>
    </row>
    <row r="982" spans="1:12" s="121" customFormat="1" ht="15">
      <c r="A982" s="362"/>
      <c r="B982" s="616"/>
      <c r="C982" s="367" t="s">
        <v>8</v>
      </c>
      <c r="D982" s="492"/>
      <c r="E982" s="487" t="s">
        <v>17032</v>
      </c>
      <c r="F982" s="487" t="s">
        <v>14758</v>
      </c>
      <c r="G982" s="487" t="s">
        <v>17117</v>
      </c>
      <c r="H982" s="487"/>
      <c r="I982" s="487"/>
      <c r="J982" s="125"/>
      <c r="K982" s="125"/>
      <c r="L982" s="125"/>
    </row>
    <row r="983" spans="1:12" s="121" customFormat="1" ht="15">
      <c r="A983" s="362"/>
      <c r="B983" s="616"/>
      <c r="C983" s="367" t="s">
        <v>7</v>
      </c>
      <c r="D983" s="492"/>
      <c r="E983" s="489" t="s">
        <v>17033</v>
      </c>
      <c r="F983" s="489" t="s">
        <v>14759</v>
      </c>
      <c r="G983" s="489" t="s">
        <v>17116</v>
      </c>
      <c r="H983" s="489"/>
      <c r="I983" s="489"/>
      <c r="J983" s="125"/>
      <c r="K983" s="125"/>
      <c r="L983" s="125"/>
    </row>
    <row r="984" spans="1:12" s="121" customFormat="1" ht="15">
      <c r="A984" s="362"/>
      <c r="B984" s="616"/>
      <c r="C984" s="367" t="s">
        <v>6</v>
      </c>
      <c r="D984" s="493"/>
      <c r="E984" s="490">
        <v>44300</v>
      </c>
      <c r="F984" s="490">
        <v>44300</v>
      </c>
      <c r="G984" s="490">
        <v>44300</v>
      </c>
      <c r="H984" s="490"/>
      <c r="I984" s="490"/>
      <c r="J984" s="125"/>
      <c r="K984" s="125"/>
      <c r="L984" s="125"/>
    </row>
    <row r="985" spans="1:12" s="121" customFormat="1" ht="15">
      <c r="A985" s="363"/>
      <c r="B985" s="617"/>
      <c r="C985" s="367" t="s">
        <v>8993</v>
      </c>
      <c r="D985" s="493"/>
      <c r="E985" s="490" t="s">
        <v>15253</v>
      </c>
      <c r="F985" s="490" t="s">
        <v>15253</v>
      </c>
      <c r="G985" s="490" t="s">
        <v>15253</v>
      </c>
      <c r="H985" s="490"/>
      <c r="I985" s="490"/>
      <c r="J985" s="125"/>
      <c r="K985" s="125"/>
      <c r="L985" s="125"/>
    </row>
    <row r="986" spans="1:12" s="121" customFormat="1" ht="11.25">
      <c r="A986" s="2"/>
      <c r="B986" s="622"/>
      <c r="C986" s="491"/>
      <c r="D986" s="491"/>
      <c r="E986" s="491"/>
      <c r="F986" s="491"/>
      <c r="G986" s="491"/>
      <c r="H986" s="491"/>
      <c r="I986" s="491"/>
      <c r="J986" s="124"/>
      <c r="K986" s="124"/>
      <c r="L986" s="124"/>
    </row>
    <row r="987" spans="1:12" s="121" customFormat="1" ht="11.25">
      <c r="A987" s="366" t="s">
        <v>14569</v>
      </c>
      <c r="B987" s="626" t="s">
        <v>17119</v>
      </c>
      <c r="C987" s="515">
        <f t="shared" ref="C987" si="213">MIN(E989:I989)</f>
        <v>2.2200000000000002</v>
      </c>
      <c r="D987" s="370" t="s">
        <v>109</v>
      </c>
      <c r="E987" s="486" t="s">
        <v>14750</v>
      </c>
      <c r="F987" s="486" t="s">
        <v>17121</v>
      </c>
      <c r="G987" s="486" t="s">
        <v>17125</v>
      </c>
      <c r="H987" s="486"/>
      <c r="I987" s="486"/>
      <c r="J987" s="125" t="s">
        <v>207</v>
      </c>
      <c r="K987" s="125"/>
      <c r="L987" s="125"/>
    </row>
    <row r="988" spans="1:12" s="121" customFormat="1" ht="22.5">
      <c r="A988" s="361"/>
      <c r="B988" s="615"/>
      <c r="C988" s="367" t="s">
        <v>284</v>
      </c>
      <c r="D988" s="554"/>
      <c r="E988" s="487" t="s">
        <v>15097</v>
      </c>
      <c r="F988" s="487" t="s">
        <v>17120</v>
      </c>
      <c r="G988" s="487" t="s">
        <v>17124</v>
      </c>
      <c r="H988" s="487"/>
      <c r="I988" s="487"/>
      <c r="J988" s="125" t="s">
        <v>283</v>
      </c>
      <c r="K988" s="125" t="s">
        <v>280</v>
      </c>
      <c r="L988" s="125" t="s">
        <v>281</v>
      </c>
    </row>
    <row r="989" spans="1:12" s="121" customFormat="1" ht="15">
      <c r="A989" s="362"/>
      <c r="B989" s="616"/>
      <c r="C989" s="367" t="s">
        <v>9</v>
      </c>
      <c r="D989" s="492"/>
      <c r="E989" s="84">
        <v>3.19</v>
      </c>
      <c r="F989" s="84">
        <v>2.2200000000000002</v>
      </c>
      <c r="G989" s="516">
        <v>2.2200000000000002</v>
      </c>
      <c r="H989" s="516"/>
      <c r="I989" s="516"/>
      <c r="J989" s="125">
        <f t="shared" ref="J989" si="214">MEDIAN(E989:I989)</f>
        <v>2.2200000000000002</v>
      </c>
      <c r="K989" s="125">
        <f t="shared" ref="K989" si="215">J989*1.3</f>
        <v>2.8860000000000006</v>
      </c>
      <c r="L989" s="125">
        <f t="shared" ref="L989" si="216">J989*0.7</f>
        <v>1.554</v>
      </c>
    </row>
    <row r="990" spans="1:12" s="121" customFormat="1" ht="15">
      <c r="A990" s="362"/>
      <c r="B990" s="616"/>
      <c r="C990" s="367" t="s">
        <v>8</v>
      </c>
      <c r="D990" s="492"/>
      <c r="E990" s="487" t="s">
        <v>14751</v>
      </c>
      <c r="F990" s="487" t="s">
        <v>17122</v>
      </c>
      <c r="G990" s="487" t="s">
        <v>15726</v>
      </c>
      <c r="H990" s="487"/>
      <c r="I990" s="487"/>
      <c r="J990" s="125"/>
      <c r="K990" s="125"/>
      <c r="L990" s="125"/>
    </row>
    <row r="991" spans="1:12" s="121" customFormat="1" ht="15">
      <c r="A991" s="362"/>
      <c r="B991" s="616"/>
      <c r="C991" s="367" t="s">
        <v>7</v>
      </c>
      <c r="D991" s="492"/>
      <c r="E991" s="489"/>
      <c r="F991" s="489" t="s">
        <v>17123</v>
      </c>
      <c r="G991" s="489"/>
      <c r="H991" s="489"/>
      <c r="I991" s="489"/>
      <c r="J991" s="125"/>
      <c r="K991" s="125"/>
      <c r="L991" s="125"/>
    </row>
    <row r="992" spans="1:12" s="121" customFormat="1" ht="15">
      <c r="A992" s="362"/>
      <c r="B992" s="616"/>
      <c r="C992" s="367" t="s">
        <v>6</v>
      </c>
      <c r="D992" s="493"/>
      <c r="E992" s="490">
        <v>44300</v>
      </c>
      <c r="F992" s="490">
        <v>44300</v>
      </c>
      <c r="G992" s="490">
        <v>44300</v>
      </c>
      <c r="H992" s="490"/>
      <c r="I992" s="490"/>
      <c r="J992" s="125"/>
      <c r="K992" s="125"/>
      <c r="L992" s="125"/>
    </row>
    <row r="993" spans="1:12" s="121" customFormat="1" ht="15">
      <c r="A993" s="363"/>
      <c r="B993" s="617"/>
      <c r="C993" s="367" t="s">
        <v>8993</v>
      </c>
      <c r="D993" s="493"/>
      <c r="E993" s="490" t="s">
        <v>15254</v>
      </c>
      <c r="F993" s="490" t="s">
        <v>15254</v>
      </c>
      <c r="G993" s="490" t="s">
        <v>15254</v>
      </c>
      <c r="H993" s="490"/>
      <c r="I993" s="490"/>
      <c r="J993" s="125"/>
      <c r="K993" s="125"/>
      <c r="L993" s="125"/>
    </row>
    <row r="994" spans="1:12" s="121" customFormat="1" ht="11.25">
      <c r="A994" s="2"/>
      <c r="B994" s="622"/>
      <c r="C994" s="491"/>
      <c r="D994" s="491"/>
      <c r="E994" s="491"/>
      <c r="F994" s="491"/>
      <c r="G994" s="491"/>
      <c r="H994" s="491"/>
      <c r="I994" s="491"/>
      <c r="J994" s="124"/>
      <c r="K994" s="124"/>
      <c r="L994" s="124"/>
    </row>
    <row r="995" spans="1:12" s="121" customFormat="1" ht="22.5">
      <c r="A995" s="366" t="s">
        <v>14570</v>
      </c>
      <c r="B995" s="626" t="s">
        <v>18437</v>
      </c>
      <c r="C995" s="369">
        <f t="shared" ref="C995" si="217">MIN(E997:I997)</f>
        <v>5.04</v>
      </c>
      <c r="D995" s="370" t="s">
        <v>109</v>
      </c>
      <c r="E995" s="486" t="s">
        <v>16907</v>
      </c>
      <c r="F995" s="486" t="s">
        <v>14746</v>
      </c>
      <c r="G995" s="486" t="s">
        <v>15242</v>
      </c>
      <c r="H995" s="486" t="s">
        <v>15243</v>
      </c>
      <c r="I995" s="486"/>
      <c r="J995" s="125" t="s">
        <v>207</v>
      </c>
      <c r="K995" s="125"/>
      <c r="L995" s="125"/>
    </row>
    <row r="996" spans="1:12" s="121" customFormat="1" ht="33.75">
      <c r="A996" s="361"/>
      <c r="B996" s="615"/>
      <c r="C996" s="367" t="s">
        <v>284</v>
      </c>
      <c r="D996" s="696"/>
      <c r="E996" s="487" t="s">
        <v>16909</v>
      </c>
      <c r="F996" s="487" t="s">
        <v>17062</v>
      </c>
      <c r="G996" s="487" t="s">
        <v>17063</v>
      </c>
      <c r="H996" s="487" t="s">
        <v>15245</v>
      </c>
      <c r="I996" s="487"/>
      <c r="J996" s="125" t="s">
        <v>283</v>
      </c>
      <c r="K996" s="125" t="s">
        <v>280</v>
      </c>
      <c r="L996" s="125" t="s">
        <v>281</v>
      </c>
    </row>
    <row r="997" spans="1:12" s="121" customFormat="1" ht="15">
      <c r="A997" s="362"/>
      <c r="B997" s="616"/>
      <c r="C997" s="367" t="s">
        <v>9</v>
      </c>
      <c r="D997" s="492"/>
      <c r="E997" s="84">
        <v>5.04</v>
      </c>
      <c r="F997" s="488">
        <v>15.09</v>
      </c>
      <c r="G997" s="488">
        <v>12.24</v>
      </c>
      <c r="H997" s="84">
        <v>13.82</v>
      </c>
      <c r="I997" s="84"/>
      <c r="J997" s="125">
        <f t="shared" ref="J997" si="218">MEDIAN(E997:I997)</f>
        <v>13.030000000000001</v>
      </c>
      <c r="K997" s="125">
        <f t="shared" ref="K997" si="219">J997*1.3</f>
        <v>16.939000000000004</v>
      </c>
      <c r="L997" s="125">
        <f t="shared" ref="L997" si="220">J997*0.7</f>
        <v>9.1210000000000004</v>
      </c>
    </row>
    <row r="998" spans="1:12" s="121" customFormat="1" ht="15">
      <c r="A998" s="362"/>
      <c r="B998" s="616"/>
      <c r="C998" s="367" t="s">
        <v>8</v>
      </c>
      <c r="D998" s="492"/>
      <c r="E998" s="487" t="s">
        <v>16911</v>
      </c>
      <c r="F998" s="487" t="s">
        <v>14748</v>
      </c>
      <c r="G998" s="487" t="s">
        <v>15246</v>
      </c>
      <c r="H998" s="487" t="s">
        <v>15247</v>
      </c>
      <c r="I998" s="487"/>
      <c r="J998" s="125"/>
      <c r="K998" s="125"/>
      <c r="L998" s="125"/>
    </row>
    <row r="999" spans="1:12" s="121" customFormat="1" ht="15">
      <c r="A999" s="362"/>
      <c r="B999" s="616"/>
      <c r="C999" s="367" t="s">
        <v>7</v>
      </c>
      <c r="D999" s="492"/>
      <c r="E999" s="489" t="s">
        <v>16913</v>
      </c>
      <c r="F999" s="489" t="s">
        <v>17064</v>
      </c>
      <c r="G999" s="489" t="s">
        <v>17065</v>
      </c>
      <c r="H999" s="489" t="s">
        <v>15249</v>
      </c>
      <c r="I999" s="489"/>
      <c r="J999" s="125"/>
      <c r="K999" s="125"/>
      <c r="L999" s="125"/>
    </row>
    <row r="1000" spans="1:12" s="121" customFormat="1" ht="15">
      <c r="A1000" s="362"/>
      <c r="B1000" s="616"/>
      <c r="C1000" s="367" t="s">
        <v>6</v>
      </c>
      <c r="D1000" s="493"/>
      <c r="E1000" s="490">
        <v>44295</v>
      </c>
      <c r="F1000" s="490">
        <v>44293</v>
      </c>
      <c r="G1000" s="490">
        <v>44298</v>
      </c>
      <c r="H1000" s="490">
        <v>44295</v>
      </c>
      <c r="I1000" s="490"/>
      <c r="J1000" s="125"/>
      <c r="K1000" s="125"/>
      <c r="L1000" s="125"/>
    </row>
    <row r="1001" spans="1:12" s="121" customFormat="1" ht="15">
      <c r="A1001" s="363"/>
      <c r="B1001" s="617"/>
      <c r="C1001" s="367" t="s">
        <v>8993</v>
      </c>
      <c r="D1001" s="493"/>
      <c r="E1001" s="490" t="s">
        <v>16915</v>
      </c>
      <c r="F1001" s="490" t="s">
        <v>17066</v>
      </c>
      <c r="G1001" s="490" t="s">
        <v>17067</v>
      </c>
      <c r="H1001" s="490" t="s">
        <v>15006</v>
      </c>
      <c r="I1001" s="490"/>
      <c r="J1001" s="125"/>
      <c r="K1001" s="125"/>
      <c r="L1001" s="125"/>
    </row>
    <row r="1002" spans="1:12" s="121" customFormat="1" ht="11.25">
      <c r="A1002" s="2"/>
      <c r="B1002" s="622"/>
      <c r="C1002" s="491"/>
      <c r="D1002" s="491"/>
      <c r="E1002" s="491"/>
      <c r="F1002" s="491"/>
      <c r="G1002" s="491"/>
      <c r="H1002" s="491"/>
      <c r="I1002" s="491"/>
      <c r="J1002" s="124"/>
      <c r="K1002" s="124"/>
      <c r="L1002" s="124"/>
    </row>
    <row r="1003" spans="1:12" s="121" customFormat="1" ht="22.5">
      <c r="A1003" s="366" t="s">
        <v>18438</v>
      </c>
      <c r="B1003" s="626" t="s">
        <v>18439</v>
      </c>
      <c r="C1003" s="369">
        <f t="shared" ref="C1003" si="221">MIN(E1005:I1005)</f>
        <v>6.51</v>
      </c>
      <c r="D1003" s="370" t="s">
        <v>109</v>
      </c>
      <c r="E1003" s="486" t="s">
        <v>16907</v>
      </c>
      <c r="F1003" s="486" t="s">
        <v>14746</v>
      </c>
      <c r="G1003" s="486" t="s">
        <v>15242</v>
      </c>
      <c r="H1003" s="486" t="s">
        <v>15243</v>
      </c>
      <c r="I1003" s="486" t="s">
        <v>16916</v>
      </c>
      <c r="J1003" s="125" t="s">
        <v>207</v>
      </c>
      <c r="K1003" s="125"/>
      <c r="L1003" s="125"/>
    </row>
    <row r="1004" spans="1:12" s="121" customFormat="1" ht="33.75">
      <c r="A1004" s="361"/>
      <c r="B1004" s="615"/>
      <c r="C1004" s="367" t="s">
        <v>284</v>
      </c>
      <c r="D1004" s="696"/>
      <c r="E1004" s="487" t="s">
        <v>16909</v>
      </c>
      <c r="F1004" s="487" t="s">
        <v>17062</v>
      </c>
      <c r="G1004" s="487" t="s">
        <v>17063</v>
      </c>
      <c r="H1004" s="487" t="s">
        <v>15245</v>
      </c>
      <c r="I1004" s="487" t="s">
        <v>16917</v>
      </c>
      <c r="J1004" s="125" t="s">
        <v>283</v>
      </c>
      <c r="K1004" s="125" t="s">
        <v>280</v>
      </c>
      <c r="L1004" s="125" t="s">
        <v>281</v>
      </c>
    </row>
    <row r="1005" spans="1:12" s="121" customFormat="1" ht="15">
      <c r="A1005" s="362"/>
      <c r="B1005" s="616"/>
      <c r="C1005" s="367" t="s">
        <v>9</v>
      </c>
      <c r="D1005" s="492"/>
      <c r="E1005" s="84">
        <v>10.55</v>
      </c>
      <c r="F1005" s="488">
        <v>13.76</v>
      </c>
      <c r="G1005" s="488">
        <v>6.51</v>
      </c>
      <c r="H1005" s="84">
        <v>7.34</v>
      </c>
      <c r="I1005" s="84">
        <v>21.5</v>
      </c>
      <c r="J1005" s="125">
        <f t="shared" ref="J1005" si="222">MEDIAN(E1005:I1005)</f>
        <v>10.55</v>
      </c>
      <c r="K1005" s="125">
        <f t="shared" ref="K1005" si="223">J1005*1.3</f>
        <v>13.715000000000002</v>
      </c>
      <c r="L1005" s="125">
        <f t="shared" ref="L1005" si="224">J1005*0.7</f>
        <v>7.3849999999999998</v>
      </c>
    </row>
    <row r="1006" spans="1:12" s="121" customFormat="1" ht="15">
      <c r="A1006" s="362"/>
      <c r="B1006" s="616"/>
      <c r="C1006" s="367" t="s">
        <v>8</v>
      </c>
      <c r="D1006" s="492"/>
      <c r="E1006" s="487" t="s">
        <v>16911</v>
      </c>
      <c r="F1006" s="487" t="s">
        <v>14748</v>
      </c>
      <c r="G1006" s="487" t="s">
        <v>15246</v>
      </c>
      <c r="H1006" s="487" t="s">
        <v>15247</v>
      </c>
      <c r="I1006" s="487" t="s">
        <v>16918</v>
      </c>
      <c r="J1006" s="125"/>
      <c r="K1006" s="125"/>
      <c r="L1006" s="125"/>
    </row>
    <row r="1007" spans="1:12" s="121" customFormat="1" ht="15">
      <c r="A1007" s="362"/>
      <c r="B1007" s="616"/>
      <c r="C1007" s="367" t="s">
        <v>7</v>
      </c>
      <c r="D1007" s="492"/>
      <c r="E1007" s="489" t="s">
        <v>16913</v>
      </c>
      <c r="F1007" s="489" t="s">
        <v>17064</v>
      </c>
      <c r="G1007" s="489" t="s">
        <v>17065</v>
      </c>
      <c r="H1007" s="489" t="s">
        <v>15249</v>
      </c>
      <c r="I1007" s="489" t="s">
        <v>16919</v>
      </c>
      <c r="J1007" s="125"/>
      <c r="K1007" s="125"/>
      <c r="L1007" s="125"/>
    </row>
    <row r="1008" spans="1:12" s="121" customFormat="1" ht="15">
      <c r="A1008" s="362"/>
      <c r="B1008" s="616"/>
      <c r="C1008" s="367" t="s">
        <v>6</v>
      </c>
      <c r="D1008" s="493"/>
      <c r="E1008" s="490">
        <v>44295</v>
      </c>
      <c r="F1008" s="490">
        <v>44293</v>
      </c>
      <c r="G1008" s="490">
        <v>44298</v>
      </c>
      <c r="H1008" s="490">
        <v>44295</v>
      </c>
      <c r="I1008" s="490">
        <v>44295</v>
      </c>
      <c r="J1008" s="125"/>
      <c r="K1008" s="125"/>
      <c r="L1008" s="125"/>
    </row>
    <row r="1009" spans="1:12" s="121" customFormat="1" ht="15">
      <c r="A1009" s="363"/>
      <c r="B1009" s="617"/>
      <c r="C1009" s="367" t="s">
        <v>8993</v>
      </c>
      <c r="D1009" s="493"/>
      <c r="E1009" s="490" t="s">
        <v>16915</v>
      </c>
      <c r="F1009" s="490" t="s">
        <v>17066</v>
      </c>
      <c r="G1009" s="490" t="s">
        <v>17067</v>
      </c>
      <c r="H1009" s="490" t="s">
        <v>15006</v>
      </c>
      <c r="I1009" s="490" t="s">
        <v>16920</v>
      </c>
      <c r="J1009" s="125"/>
      <c r="K1009" s="125"/>
      <c r="L1009" s="125"/>
    </row>
    <row r="1010" spans="1:12" s="121" customFormat="1" ht="11.25">
      <c r="A1010" s="2"/>
      <c r="B1010" s="622"/>
      <c r="C1010" s="491"/>
      <c r="D1010" s="491"/>
      <c r="E1010" s="491"/>
      <c r="F1010" s="491"/>
      <c r="G1010" s="491"/>
      <c r="H1010" s="491"/>
      <c r="I1010" s="491"/>
      <c r="J1010" s="124"/>
      <c r="K1010" s="124"/>
      <c r="L1010" s="124"/>
    </row>
    <row r="1011" spans="1:12" s="121" customFormat="1" ht="22.5">
      <c r="A1011" s="366" t="s">
        <v>14571</v>
      </c>
      <c r="B1011" s="626" t="s">
        <v>17144</v>
      </c>
      <c r="C1011" s="515">
        <f t="shared" ref="C1011" si="225">MIN(E1013:I1013)</f>
        <v>21.3</v>
      </c>
      <c r="D1011" s="370" t="s">
        <v>109</v>
      </c>
      <c r="E1011" s="486" t="s">
        <v>17146</v>
      </c>
      <c r="F1011" s="486" t="s">
        <v>17150</v>
      </c>
      <c r="G1011" s="486" t="s">
        <v>17154</v>
      </c>
      <c r="H1011" s="486"/>
      <c r="I1011" s="486"/>
      <c r="J1011" s="125" t="s">
        <v>207</v>
      </c>
      <c r="K1011" s="125"/>
      <c r="L1011" s="125"/>
    </row>
    <row r="1012" spans="1:12" s="121" customFormat="1" ht="11.25">
      <c r="A1012" s="361"/>
      <c r="B1012" s="615"/>
      <c r="C1012" s="367" t="s">
        <v>284</v>
      </c>
      <c r="D1012" s="554"/>
      <c r="E1012" s="487" t="s">
        <v>17145</v>
      </c>
      <c r="F1012" s="487" t="s">
        <v>17149</v>
      </c>
      <c r="G1012" s="487" t="s">
        <v>17153</v>
      </c>
      <c r="H1012" s="487"/>
      <c r="I1012" s="487"/>
      <c r="J1012" s="125" t="s">
        <v>283</v>
      </c>
      <c r="K1012" s="125" t="s">
        <v>280</v>
      </c>
      <c r="L1012" s="125" t="s">
        <v>281</v>
      </c>
    </row>
    <row r="1013" spans="1:12" s="121" customFormat="1" ht="15">
      <c r="A1013" s="362"/>
      <c r="B1013" s="616"/>
      <c r="C1013" s="367" t="s">
        <v>9</v>
      </c>
      <c r="D1013" s="492"/>
      <c r="E1013" s="516">
        <v>21.3</v>
      </c>
      <c r="F1013" s="488">
        <v>32.9</v>
      </c>
      <c r="G1013" s="488">
        <v>22.41</v>
      </c>
      <c r="H1013" s="516"/>
      <c r="I1013" s="516"/>
      <c r="J1013" s="125">
        <f t="shared" ref="J1013" si="226">MEDIAN(E1013:I1013)</f>
        <v>22.41</v>
      </c>
      <c r="K1013" s="125">
        <f t="shared" ref="K1013" si="227">J1013*1.3</f>
        <v>29.133000000000003</v>
      </c>
      <c r="L1013" s="125">
        <f t="shared" ref="L1013" si="228">J1013*0.7</f>
        <v>15.686999999999999</v>
      </c>
    </row>
    <row r="1014" spans="1:12" s="121" customFormat="1" ht="15">
      <c r="A1014" s="362"/>
      <c r="B1014" s="616"/>
      <c r="C1014" s="367" t="s">
        <v>8</v>
      </c>
      <c r="D1014" s="492"/>
      <c r="E1014" s="487" t="s">
        <v>17147</v>
      </c>
      <c r="F1014" s="487" t="s">
        <v>17151</v>
      </c>
      <c r="G1014" s="487" t="s">
        <v>17155</v>
      </c>
      <c r="H1014" s="487"/>
      <c r="I1014" s="487"/>
      <c r="J1014" s="125"/>
      <c r="K1014" s="125"/>
      <c r="L1014" s="125"/>
    </row>
    <row r="1015" spans="1:12" s="121" customFormat="1" ht="15">
      <c r="A1015" s="362"/>
      <c r="B1015" s="616"/>
      <c r="C1015" s="367" t="s">
        <v>7</v>
      </c>
      <c r="D1015" s="492"/>
      <c r="E1015" s="489" t="s">
        <v>17148</v>
      </c>
      <c r="F1015" s="489" t="s">
        <v>17152</v>
      </c>
      <c r="G1015" s="489"/>
      <c r="H1015" s="489"/>
      <c r="I1015" s="489"/>
      <c r="J1015" s="125"/>
      <c r="K1015" s="125"/>
      <c r="L1015" s="125"/>
    </row>
    <row r="1016" spans="1:12" s="121" customFormat="1" ht="15">
      <c r="A1016" s="362"/>
      <c r="B1016" s="616"/>
      <c r="C1016" s="367" t="s">
        <v>6</v>
      </c>
      <c r="D1016" s="493"/>
      <c r="E1016" s="490">
        <v>44300</v>
      </c>
      <c r="F1016" s="490">
        <v>44300</v>
      </c>
      <c r="G1016" s="490">
        <v>44300</v>
      </c>
      <c r="H1016" s="490"/>
      <c r="I1016" s="490"/>
      <c r="J1016" s="125"/>
      <c r="K1016" s="125"/>
      <c r="L1016" s="125"/>
    </row>
    <row r="1017" spans="1:12" s="121" customFormat="1" ht="15">
      <c r="A1017" s="363"/>
      <c r="B1017" s="617"/>
      <c r="C1017" s="367" t="s">
        <v>8993</v>
      </c>
      <c r="D1017" s="493"/>
      <c r="E1017" s="490" t="s">
        <v>15255</v>
      </c>
      <c r="F1017" s="490" t="s">
        <v>15255</v>
      </c>
      <c r="G1017" s="490" t="s">
        <v>15255</v>
      </c>
      <c r="H1017" s="490"/>
      <c r="I1017" s="490"/>
      <c r="J1017" s="125"/>
      <c r="K1017" s="125"/>
      <c r="L1017" s="125"/>
    </row>
    <row r="1018" spans="1:12" s="121" customFormat="1" ht="11.25">
      <c r="A1018" s="2"/>
      <c r="B1018" s="622"/>
      <c r="C1018" s="491"/>
      <c r="D1018" s="491"/>
      <c r="E1018" s="491"/>
      <c r="F1018" s="491"/>
      <c r="G1018" s="491"/>
      <c r="H1018" s="491"/>
      <c r="I1018" s="491"/>
      <c r="J1018" s="124"/>
      <c r="K1018" s="124"/>
      <c r="L1018" s="124"/>
    </row>
    <row r="1019" spans="1:12" s="121" customFormat="1" ht="22.5">
      <c r="A1019" s="366" t="s">
        <v>18480</v>
      </c>
      <c r="B1019" s="626" t="s">
        <v>18482</v>
      </c>
      <c r="C1019" s="515">
        <f t="shared" ref="C1019" si="229">MIN(E1021:I1021)</f>
        <v>85.66</v>
      </c>
      <c r="D1019" s="370" t="s">
        <v>109</v>
      </c>
      <c r="E1019" s="486" t="s">
        <v>15007</v>
      </c>
      <c r="F1019" s="486" t="s">
        <v>14766</v>
      </c>
      <c r="G1019" s="486" t="s">
        <v>16742</v>
      </c>
      <c r="H1019" s="486" t="s">
        <v>18219</v>
      </c>
      <c r="I1019" s="486"/>
      <c r="J1019" s="125" t="s">
        <v>207</v>
      </c>
      <c r="K1019" s="125"/>
      <c r="L1019" s="125"/>
    </row>
    <row r="1020" spans="1:12" s="121" customFormat="1" ht="22.5">
      <c r="A1020" s="361"/>
      <c r="B1020" s="615"/>
      <c r="C1020" s="367" t="s">
        <v>284</v>
      </c>
      <c r="D1020" s="699"/>
      <c r="E1020" s="487" t="s">
        <v>15008</v>
      </c>
      <c r="F1020" s="487" t="s">
        <v>16738</v>
      </c>
      <c r="G1020" s="487" t="s">
        <v>16725</v>
      </c>
      <c r="H1020" s="675" t="s">
        <v>18483</v>
      </c>
      <c r="I1020" s="487"/>
      <c r="J1020" s="125" t="s">
        <v>283</v>
      </c>
      <c r="K1020" s="125" t="s">
        <v>280</v>
      </c>
      <c r="L1020" s="125" t="s">
        <v>281</v>
      </c>
    </row>
    <row r="1021" spans="1:12" s="121" customFormat="1" ht="15">
      <c r="A1021" s="362"/>
      <c r="B1021" s="616"/>
      <c r="C1021" s="367" t="s">
        <v>9</v>
      </c>
      <c r="D1021" s="492"/>
      <c r="E1021" s="516">
        <v>89</v>
      </c>
      <c r="F1021" s="516">
        <v>89</v>
      </c>
      <c r="G1021" s="516">
        <v>89</v>
      </c>
      <c r="H1021" s="84">
        <v>85.66</v>
      </c>
      <c r="I1021" s="516"/>
      <c r="J1021" s="125">
        <f t="shared" ref="J1021" si="230">MEDIAN(E1021:I1021)</f>
        <v>89</v>
      </c>
      <c r="K1021" s="125">
        <f t="shared" ref="K1021" si="231">J1021*1.3</f>
        <v>115.7</v>
      </c>
      <c r="L1021" s="125">
        <f t="shared" ref="L1021" si="232">J1021*0.7</f>
        <v>62.3</v>
      </c>
    </row>
    <row r="1022" spans="1:12" s="121" customFormat="1" ht="15">
      <c r="A1022" s="362"/>
      <c r="B1022" s="616"/>
      <c r="C1022" s="367" t="s">
        <v>8</v>
      </c>
      <c r="D1022" s="492"/>
      <c r="E1022" s="487" t="s">
        <v>15009</v>
      </c>
      <c r="F1022" s="487" t="s">
        <v>14758</v>
      </c>
      <c r="G1022" s="487" t="s">
        <v>14758</v>
      </c>
      <c r="H1022" s="487"/>
      <c r="I1022" s="487"/>
      <c r="J1022" s="125"/>
      <c r="K1022" s="125"/>
      <c r="L1022" s="125"/>
    </row>
    <row r="1023" spans="1:12" s="121" customFormat="1" ht="15">
      <c r="A1023" s="362"/>
      <c r="B1023" s="616"/>
      <c r="C1023" s="367" t="s">
        <v>7</v>
      </c>
      <c r="D1023" s="492"/>
      <c r="E1023" s="489" t="s">
        <v>14761</v>
      </c>
      <c r="F1023" s="489" t="s">
        <v>14768</v>
      </c>
      <c r="G1023" s="489" t="s">
        <v>14759</v>
      </c>
      <c r="H1023" s="489"/>
      <c r="I1023" s="489"/>
      <c r="J1023" s="125"/>
      <c r="K1023" s="125"/>
      <c r="L1023" s="125"/>
    </row>
    <row r="1024" spans="1:12" s="121" customFormat="1" ht="15">
      <c r="A1024" s="362"/>
      <c r="B1024" s="616"/>
      <c r="C1024" s="367" t="s">
        <v>6</v>
      </c>
      <c r="D1024" s="493"/>
      <c r="E1024" s="490">
        <v>44305</v>
      </c>
      <c r="F1024" s="490">
        <v>44305</v>
      </c>
      <c r="G1024" s="490">
        <v>44305</v>
      </c>
      <c r="H1024" s="490">
        <v>43964</v>
      </c>
      <c r="I1024" s="490"/>
      <c r="J1024" s="125"/>
      <c r="K1024" s="125"/>
      <c r="L1024" s="125"/>
    </row>
    <row r="1025" spans="1:12" s="121" customFormat="1" ht="15">
      <c r="A1025" s="363"/>
      <c r="B1025" s="617"/>
      <c r="C1025" s="367" t="s">
        <v>8993</v>
      </c>
      <c r="D1025" s="493"/>
      <c r="E1025" s="490" t="s">
        <v>18484</v>
      </c>
      <c r="F1025" s="490" t="s">
        <v>18484</v>
      </c>
      <c r="G1025" s="490" t="s">
        <v>18484</v>
      </c>
      <c r="H1025" s="490" t="s">
        <v>18220</v>
      </c>
      <c r="I1025" s="490"/>
      <c r="J1025" s="125"/>
      <c r="K1025" s="125"/>
      <c r="L1025" s="125"/>
    </row>
    <row r="1026" spans="1:12" s="121" customFormat="1" ht="11.25">
      <c r="A1026" s="2"/>
      <c r="B1026" s="622"/>
      <c r="C1026" s="491"/>
      <c r="D1026" s="491"/>
      <c r="E1026" s="491"/>
      <c r="F1026" s="491"/>
      <c r="G1026" s="491"/>
      <c r="H1026" s="491"/>
      <c r="I1026" s="491"/>
      <c r="J1026" s="124"/>
      <c r="K1026" s="124"/>
      <c r="L1026" s="124"/>
    </row>
    <row r="1027" spans="1:12" s="121" customFormat="1" ht="11.25">
      <c r="A1027" s="366" t="s">
        <v>18479</v>
      </c>
      <c r="B1027" s="626" t="s">
        <v>18485</v>
      </c>
      <c r="C1027" s="515">
        <f t="shared" ref="C1027" si="233">MIN(E1029:I1029)</f>
        <v>113.91</v>
      </c>
      <c r="D1027" s="370" t="s">
        <v>109</v>
      </c>
      <c r="E1027" s="486" t="s">
        <v>16777</v>
      </c>
      <c r="F1027" s="486" t="s">
        <v>18486</v>
      </c>
      <c r="G1027" s="486" t="s">
        <v>18487</v>
      </c>
      <c r="H1027" s="486"/>
      <c r="I1027" s="486"/>
      <c r="J1027" s="125" t="s">
        <v>207</v>
      </c>
      <c r="K1027" s="125"/>
      <c r="L1027" s="125"/>
    </row>
    <row r="1028" spans="1:12" s="121" customFormat="1" ht="22.5">
      <c r="A1028" s="361"/>
      <c r="B1028" s="615"/>
      <c r="C1028" s="367" t="s">
        <v>284</v>
      </c>
      <c r="D1028" s="699"/>
      <c r="E1028" s="487" t="s">
        <v>15173</v>
      </c>
      <c r="F1028" s="487" t="s">
        <v>18488</v>
      </c>
      <c r="G1028" s="487" t="s">
        <v>18489</v>
      </c>
      <c r="H1028" s="487"/>
      <c r="I1028" s="487"/>
      <c r="J1028" s="125" t="s">
        <v>283</v>
      </c>
      <c r="K1028" s="125" t="s">
        <v>280</v>
      </c>
      <c r="L1028" s="125" t="s">
        <v>281</v>
      </c>
    </row>
    <row r="1029" spans="1:12" s="121" customFormat="1" ht="15">
      <c r="A1029" s="362"/>
      <c r="B1029" s="616"/>
      <c r="C1029" s="367" t="s">
        <v>9</v>
      </c>
      <c r="D1029" s="492"/>
      <c r="E1029" s="516">
        <v>113.91</v>
      </c>
      <c r="F1029" s="488">
        <v>142</v>
      </c>
      <c r="G1029" s="488">
        <v>166.5</v>
      </c>
      <c r="H1029" s="516"/>
      <c r="I1029" s="516"/>
      <c r="J1029" s="125">
        <f t="shared" ref="J1029" si="234">MEDIAN(E1029:I1029)</f>
        <v>142</v>
      </c>
      <c r="K1029" s="125">
        <f t="shared" ref="K1029" si="235">J1029*1.3</f>
        <v>184.6</v>
      </c>
      <c r="L1029" s="125">
        <f t="shared" ref="L1029" si="236">J1029*0.7</f>
        <v>99.399999999999991</v>
      </c>
    </row>
    <row r="1030" spans="1:12" s="121" customFormat="1" ht="15">
      <c r="A1030" s="362"/>
      <c r="B1030" s="616"/>
      <c r="C1030" s="367" t="s">
        <v>8</v>
      </c>
      <c r="D1030" s="492"/>
      <c r="E1030" s="487" t="s">
        <v>14758</v>
      </c>
      <c r="F1030" s="487" t="s">
        <v>18490</v>
      </c>
      <c r="G1030" s="487" t="s">
        <v>17302</v>
      </c>
      <c r="H1030" s="487"/>
      <c r="I1030" s="487"/>
      <c r="J1030" s="125"/>
      <c r="K1030" s="125"/>
      <c r="L1030" s="125"/>
    </row>
    <row r="1031" spans="1:12" s="121" customFormat="1" ht="15">
      <c r="A1031" s="362"/>
      <c r="B1031" s="616"/>
      <c r="C1031" s="367" t="s">
        <v>7</v>
      </c>
      <c r="D1031" s="492"/>
      <c r="E1031" s="489" t="s">
        <v>18491</v>
      </c>
      <c r="F1031" s="489" t="s">
        <v>18492</v>
      </c>
      <c r="G1031" s="489" t="s">
        <v>18493</v>
      </c>
      <c r="H1031" s="489"/>
      <c r="I1031" s="489"/>
      <c r="J1031" s="125"/>
      <c r="K1031" s="125"/>
      <c r="L1031" s="125"/>
    </row>
    <row r="1032" spans="1:12" s="121" customFormat="1" ht="15">
      <c r="A1032" s="362"/>
      <c r="B1032" s="616"/>
      <c r="C1032" s="367" t="s">
        <v>6</v>
      </c>
      <c r="D1032" s="493"/>
      <c r="E1032" s="490" t="s">
        <v>18494</v>
      </c>
      <c r="F1032" s="490" t="s">
        <v>18494</v>
      </c>
      <c r="G1032" s="490" t="s">
        <v>18494</v>
      </c>
      <c r="H1032" s="490"/>
      <c r="I1032" s="490"/>
      <c r="J1032" s="125"/>
      <c r="K1032" s="125"/>
      <c r="L1032" s="125"/>
    </row>
    <row r="1033" spans="1:12" s="121" customFormat="1" ht="15">
      <c r="A1033" s="363"/>
      <c r="B1033" s="617"/>
      <c r="C1033" s="367" t="s">
        <v>8993</v>
      </c>
      <c r="D1033" s="493"/>
      <c r="E1033" s="490" t="s">
        <v>18495</v>
      </c>
      <c r="F1033" s="490" t="s">
        <v>18496</v>
      </c>
      <c r="G1033" s="490" t="s">
        <v>18495</v>
      </c>
      <c r="H1033" s="490"/>
      <c r="I1033" s="490"/>
      <c r="J1033" s="125"/>
      <c r="K1033" s="125"/>
      <c r="L1033" s="125"/>
    </row>
    <row r="1034" spans="1:12" s="121" customFormat="1" ht="11.25">
      <c r="A1034" s="2"/>
      <c r="B1034" s="622"/>
      <c r="C1034" s="491"/>
      <c r="D1034" s="491"/>
      <c r="E1034" s="491"/>
      <c r="F1034" s="491"/>
      <c r="G1034" s="491"/>
      <c r="H1034" s="491"/>
      <c r="I1034" s="491"/>
      <c r="J1034" s="124"/>
      <c r="K1034" s="124"/>
      <c r="L1034" s="124"/>
    </row>
    <row r="1035" spans="1:12" s="121" customFormat="1" ht="22.5">
      <c r="A1035" s="366" t="s">
        <v>18478</v>
      </c>
      <c r="B1035" s="626" t="s">
        <v>18497</v>
      </c>
      <c r="C1035" s="515">
        <f t="shared" ref="C1035" si="237">MIN(E1037:I1037)</f>
        <v>76.83</v>
      </c>
      <c r="D1035" s="370" t="s">
        <v>109</v>
      </c>
      <c r="E1035" s="486" t="s">
        <v>18486</v>
      </c>
      <c r="F1035" s="486" t="s">
        <v>17068</v>
      </c>
      <c r="G1035" s="486" t="s">
        <v>18498</v>
      </c>
      <c r="H1035" s="486"/>
      <c r="I1035" s="486"/>
      <c r="J1035" s="125" t="s">
        <v>207</v>
      </c>
      <c r="K1035" s="125"/>
      <c r="L1035" s="125"/>
    </row>
    <row r="1036" spans="1:12" s="121" customFormat="1" ht="33.75">
      <c r="A1036" s="361"/>
      <c r="B1036" s="615"/>
      <c r="C1036" s="367" t="s">
        <v>284</v>
      </c>
      <c r="D1036" s="699"/>
      <c r="E1036" s="487" t="s">
        <v>18488</v>
      </c>
      <c r="F1036" s="487" t="s">
        <v>17071</v>
      </c>
      <c r="G1036" s="487" t="s">
        <v>18499</v>
      </c>
      <c r="H1036" s="487"/>
      <c r="I1036" s="487"/>
      <c r="J1036" s="125" t="s">
        <v>283</v>
      </c>
      <c r="K1036" s="125" t="s">
        <v>280</v>
      </c>
      <c r="L1036" s="125" t="s">
        <v>281</v>
      </c>
    </row>
    <row r="1037" spans="1:12" s="121" customFormat="1" ht="15">
      <c r="A1037" s="362"/>
      <c r="B1037" s="616"/>
      <c r="C1037" s="367" t="s">
        <v>9</v>
      </c>
      <c r="D1037" s="492"/>
      <c r="E1037" s="516">
        <v>99</v>
      </c>
      <c r="F1037" s="488">
        <v>76.83</v>
      </c>
      <c r="G1037" s="488">
        <v>92.4</v>
      </c>
      <c r="H1037" s="516"/>
      <c r="I1037" s="516"/>
      <c r="J1037" s="125">
        <f t="shared" ref="J1037" si="238">MEDIAN(E1037:I1037)</f>
        <v>92.4</v>
      </c>
      <c r="K1037" s="125">
        <f t="shared" ref="K1037" si="239">J1037*1.3</f>
        <v>120.12</v>
      </c>
      <c r="L1037" s="125">
        <f t="shared" ref="L1037" si="240">J1037*0.7</f>
        <v>64.680000000000007</v>
      </c>
    </row>
    <row r="1038" spans="1:12" s="121" customFormat="1" ht="15">
      <c r="A1038" s="362"/>
      <c r="B1038" s="616"/>
      <c r="C1038" s="367" t="s">
        <v>8</v>
      </c>
      <c r="D1038" s="492"/>
      <c r="E1038" s="487" t="s">
        <v>18490</v>
      </c>
      <c r="F1038" s="487" t="s">
        <v>18500</v>
      </c>
      <c r="G1038" s="487" t="s">
        <v>18501</v>
      </c>
      <c r="H1038" s="487"/>
      <c r="I1038" s="487"/>
      <c r="J1038" s="125"/>
      <c r="K1038" s="125"/>
      <c r="L1038" s="125"/>
    </row>
    <row r="1039" spans="1:12" s="121" customFormat="1" ht="15">
      <c r="A1039" s="362"/>
      <c r="B1039" s="616"/>
      <c r="C1039" s="367" t="s">
        <v>7</v>
      </c>
      <c r="D1039" s="492"/>
      <c r="E1039" s="489" t="s">
        <v>18492</v>
      </c>
      <c r="F1039" s="489" t="s">
        <v>17076</v>
      </c>
      <c r="G1039" s="489" t="s">
        <v>18502</v>
      </c>
      <c r="H1039" s="489"/>
      <c r="I1039" s="489"/>
      <c r="J1039" s="125"/>
      <c r="K1039" s="125"/>
      <c r="L1039" s="125"/>
    </row>
    <row r="1040" spans="1:12" s="121" customFormat="1" ht="15">
      <c r="A1040" s="362"/>
      <c r="B1040" s="616"/>
      <c r="C1040" s="367" t="s">
        <v>6</v>
      </c>
      <c r="D1040" s="493"/>
      <c r="E1040" s="490" t="s">
        <v>18494</v>
      </c>
      <c r="F1040" s="490" t="s">
        <v>18494</v>
      </c>
      <c r="G1040" s="490">
        <v>43550</v>
      </c>
      <c r="H1040" s="490"/>
      <c r="I1040" s="490"/>
      <c r="J1040" s="125"/>
      <c r="K1040" s="125"/>
      <c r="L1040" s="125"/>
    </row>
    <row r="1041" spans="1:12" s="121" customFormat="1" ht="15">
      <c r="A1041" s="363"/>
      <c r="B1041" s="617"/>
      <c r="C1041" s="367" t="s">
        <v>8993</v>
      </c>
      <c r="D1041" s="493"/>
      <c r="E1041" s="490" t="s">
        <v>17290</v>
      </c>
      <c r="F1041" s="490" t="s">
        <v>18503</v>
      </c>
      <c r="G1041" s="490" t="s">
        <v>18504</v>
      </c>
      <c r="H1041" s="490"/>
      <c r="I1041" s="490"/>
      <c r="J1041" s="125"/>
      <c r="K1041" s="125"/>
      <c r="L1041" s="125"/>
    </row>
    <row r="1042" spans="1:12" s="121" customFormat="1" ht="11.25">
      <c r="A1042" s="2"/>
      <c r="B1042" s="622"/>
      <c r="C1042" s="491"/>
      <c r="D1042" s="491"/>
      <c r="E1042" s="491"/>
      <c r="F1042" s="491"/>
      <c r="G1042" s="491"/>
      <c r="H1042" s="491"/>
      <c r="I1042" s="491"/>
      <c r="J1042" s="124"/>
      <c r="K1042" s="124"/>
      <c r="L1042" s="124"/>
    </row>
    <row r="1043" spans="1:12" s="121" customFormat="1" ht="22.5">
      <c r="A1043" s="366" t="s">
        <v>14577</v>
      </c>
      <c r="B1043" s="626" t="s">
        <v>17266</v>
      </c>
      <c r="C1043" s="369">
        <f>MIN(E1045:I1045)</f>
        <v>12.62</v>
      </c>
      <c r="D1043" s="370" t="s">
        <v>5</v>
      </c>
      <c r="E1043" s="486" t="s">
        <v>15360</v>
      </c>
      <c r="F1043" s="486" t="s">
        <v>17271</v>
      </c>
      <c r="G1043" s="486" t="s">
        <v>17068</v>
      </c>
      <c r="H1043" s="486"/>
      <c r="I1043" s="486"/>
      <c r="J1043" s="125" t="s">
        <v>207</v>
      </c>
      <c r="K1043" s="125"/>
      <c r="L1043" s="125"/>
    </row>
    <row r="1044" spans="1:12" s="121" customFormat="1" ht="22.5">
      <c r="A1044" s="361"/>
      <c r="B1044" s="615"/>
      <c r="C1044" s="367" t="s">
        <v>284</v>
      </c>
      <c r="D1044" s="554"/>
      <c r="E1044" s="487" t="s">
        <v>17270</v>
      </c>
      <c r="F1044" s="487" t="s">
        <v>17120</v>
      </c>
      <c r="G1044" s="487" t="s">
        <v>17272</v>
      </c>
      <c r="H1044" s="487"/>
      <c r="I1044" s="487"/>
      <c r="J1044" s="125" t="s">
        <v>283</v>
      </c>
      <c r="K1044" s="125" t="s">
        <v>280</v>
      </c>
      <c r="L1044" s="125" t="s">
        <v>281</v>
      </c>
    </row>
    <row r="1045" spans="1:12" s="121" customFormat="1" ht="15">
      <c r="A1045" s="362"/>
      <c r="B1045" s="616"/>
      <c r="C1045" s="367" t="s">
        <v>9</v>
      </c>
      <c r="D1045" s="492"/>
      <c r="E1045" s="84">
        <v>17.2</v>
      </c>
      <c r="F1045" s="488">
        <v>13</v>
      </c>
      <c r="G1045" s="488">
        <v>12.62</v>
      </c>
      <c r="H1045" s="84"/>
      <c r="I1045" s="84"/>
      <c r="J1045" s="125">
        <f t="shared" ref="J1045" si="241">MEDIAN(E1045:I1045)</f>
        <v>13</v>
      </c>
      <c r="K1045" s="125">
        <f t="shared" ref="K1045" si="242">J1045*1.3</f>
        <v>16.900000000000002</v>
      </c>
      <c r="L1045" s="125">
        <f t="shared" ref="L1045" si="243">J1045*0.7</f>
        <v>9.1</v>
      </c>
    </row>
    <row r="1046" spans="1:12" s="121" customFormat="1" ht="15">
      <c r="A1046" s="362"/>
      <c r="B1046" s="616"/>
      <c r="C1046" s="367" t="s">
        <v>8</v>
      </c>
      <c r="D1046" s="492"/>
      <c r="E1046" s="487" t="s">
        <v>15361</v>
      </c>
      <c r="F1046" s="487" t="s">
        <v>17122</v>
      </c>
      <c r="G1046" s="487" t="s">
        <v>17273</v>
      </c>
      <c r="H1046" s="487"/>
      <c r="I1046" s="487"/>
      <c r="J1046" s="125"/>
      <c r="K1046" s="125"/>
      <c r="L1046" s="125"/>
    </row>
    <row r="1047" spans="1:12" s="121" customFormat="1" ht="15">
      <c r="A1047" s="362"/>
      <c r="B1047" s="616"/>
      <c r="C1047" s="367" t="s">
        <v>7</v>
      </c>
      <c r="D1047" s="492"/>
      <c r="E1047" s="489" t="s">
        <v>15362</v>
      </c>
      <c r="F1047" s="489" t="s">
        <v>17123</v>
      </c>
      <c r="G1047" s="489" t="s">
        <v>17076</v>
      </c>
      <c r="H1047" s="489"/>
      <c r="I1047" s="489"/>
      <c r="J1047" s="125"/>
      <c r="K1047" s="125"/>
      <c r="L1047" s="125"/>
    </row>
    <row r="1048" spans="1:12" s="121" customFormat="1" ht="15">
      <c r="A1048" s="362"/>
      <c r="B1048" s="616"/>
      <c r="C1048" s="367" t="s">
        <v>6</v>
      </c>
      <c r="D1048" s="493"/>
      <c r="E1048" s="490">
        <v>44303</v>
      </c>
      <c r="F1048" s="490">
        <v>44303</v>
      </c>
      <c r="G1048" s="490">
        <v>44303</v>
      </c>
      <c r="H1048" s="490"/>
      <c r="I1048" s="490"/>
      <c r="J1048" s="125"/>
      <c r="K1048" s="125"/>
      <c r="L1048" s="125"/>
    </row>
    <row r="1049" spans="1:12" s="121" customFormat="1" ht="15">
      <c r="A1049" s="363"/>
      <c r="B1049" s="617"/>
      <c r="C1049" s="367" t="s">
        <v>8993</v>
      </c>
      <c r="D1049" s="493"/>
      <c r="E1049" s="490" t="s">
        <v>17268</v>
      </c>
      <c r="F1049" s="490" t="s">
        <v>17268</v>
      </c>
      <c r="G1049" s="490" t="s">
        <v>17268</v>
      </c>
      <c r="H1049" s="490"/>
      <c r="I1049" s="490"/>
      <c r="J1049" s="125"/>
      <c r="K1049" s="125"/>
      <c r="L1049" s="125"/>
    </row>
    <row r="1050" spans="1:12" s="121" customFormat="1" ht="11.25">
      <c r="A1050" s="2"/>
      <c r="B1050" s="622"/>
      <c r="C1050" s="491"/>
      <c r="D1050" s="491"/>
      <c r="E1050" s="491"/>
      <c r="F1050" s="491"/>
      <c r="G1050" s="491"/>
      <c r="H1050" s="491"/>
      <c r="I1050" s="491"/>
      <c r="J1050" s="124"/>
      <c r="K1050" s="124"/>
      <c r="L1050" s="124"/>
    </row>
    <row r="1051" spans="1:12" s="121" customFormat="1" ht="11.25">
      <c r="A1051" s="366" t="s">
        <v>17278</v>
      </c>
      <c r="B1051" s="626" t="s">
        <v>17280</v>
      </c>
      <c r="C1051" s="369">
        <f>MIN(E1053:I1053)</f>
        <v>0.30285000000000001</v>
      </c>
      <c r="D1051" s="370" t="s">
        <v>109</v>
      </c>
      <c r="E1051" s="486" t="s">
        <v>17303</v>
      </c>
      <c r="F1051" s="486" t="s">
        <v>17304</v>
      </c>
      <c r="G1051" s="486" t="s">
        <v>17305</v>
      </c>
      <c r="H1051" s="486" t="s">
        <v>18219</v>
      </c>
      <c r="I1051" s="486"/>
      <c r="J1051" s="125" t="s">
        <v>207</v>
      </c>
      <c r="K1051" s="125"/>
      <c r="L1051" s="125"/>
    </row>
    <row r="1052" spans="1:12" s="121" customFormat="1" ht="22.5">
      <c r="A1052" s="361"/>
      <c r="B1052" s="615"/>
      <c r="C1052" s="367" t="s">
        <v>284</v>
      </c>
      <c r="D1052" s="554"/>
      <c r="E1052" s="487" t="s">
        <v>17306</v>
      </c>
      <c r="F1052" s="487" t="s">
        <v>17307</v>
      </c>
      <c r="G1052" s="487" t="s">
        <v>17308</v>
      </c>
      <c r="H1052" s="675" t="s">
        <v>18253</v>
      </c>
      <c r="I1052" s="487"/>
      <c r="J1052" s="125" t="s">
        <v>283</v>
      </c>
      <c r="K1052" s="125" t="s">
        <v>280</v>
      </c>
      <c r="L1052" s="125" t="s">
        <v>281</v>
      </c>
    </row>
    <row r="1053" spans="1:12" s="121" customFormat="1" ht="15">
      <c r="A1053" s="362"/>
      <c r="B1053" s="616"/>
      <c r="C1053" s="367" t="s">
        <v>9</v>
      </c>
      <c r="D1053" s="492"/>
      <c r="E1053" s="84">
        <v>0.33</v>
      </c>
      <c r="F1053" s="488">
        <v>0.55000000000000004</v>
      </c>
      <c r="G1053" s="488">
        <v>0.30285000000000001</v>
      </c>
      <c r="H1053" s="84">
        <f>61.37/100</f>
        <v>0.61370000000000002</v>
      </c>
      <c r="I1053" s="84"/>
      <c r="J1053" s="125">
        <f t="shared" ref="J1053" si="244">MEDIAN(E1053:I1053)</f>
        <v>0.44000000000000006</v>
      </c>
      <c r="K1053" s="125">
        <f t="shared" ref="K1053" si="245">J1053*1.3</f>
        <v>0.57200000000000006</v>
      </c>
      <c r="L1053" s="125">
        <f t="shared" ref="L1053" si="246">J1053*0.7</f>
        <v>0.308</v>
      </c>
    </row>
    <row r="1054" spans="1:12" s="121" customFormat="1" ht="22.5">
      <c r="A1054" s="362"/>
      <c r="B1054" s="616"/>
      <c r="C1054" s="367" t="s">
        <v>8</v>
      </c>
      <c r="D1054" s="492"/>
      <c r="E1054" s="487" t="s">
        <v>17309</v>
      </c>
      <c r="F1054" s="487" t="s">
        <v>17310</v>
      </c>
      <c r="G1054" s="487" t="s">
        <v>17311</v>
      </c>
      <c r="H1054" s="487"/>
      <c r="I1054" s="487"/>
      <c r="J1054" s="125"/>
      <c r="K1054" s="125"/>
      <c r="L1054" s="125"/>
    </row>
    <row r="1055" spans="1:12" s="121" customFormat="1" ht="15">
      <c r="A1055" s="362"/>
      <c r="B1055" s="616"/>
      <c r="C1055" s="367" t="s">
        <v>7</v>
      </c>
      <c r="D1055" s="492"/>
      <c r="E1055" s="489" t="s">
        <v>17312</v>
      </c>
      <c r="F1055" s="489" t="s">
        <v>17313</v>
      </c>
      <c r="G1055" s="489" t="s">
        <v>17314</v>
      </c>
      <c r="H1055" s="489"/>
      <c r="I1055" s="489"/>
      <c r="J1055" s="125"/>
      <c r="K1055" s="125"/>
      <c r="L1055" s="125"/>
    </row>
    <row r="1056" spans="1:12" s="121" customFormat="1" ht="15">
      <c r="A1056" s="362"/>
      <c r="B1056" s="616"/>
      <c r="C1056" s="367" t="s">
        <v>6</v>
      </c>
      <c r="D1056" s="493"/>
      <c r="E1056" s="490">
        <v>44303</v>
      </c>
      <c r="F1056" s="490">
        <v>44303</v>
      </c>
      <c r="G1056" s="490">
        <v>44303</v>
      </c>
      <c r="H1056" s="490">
        <v>44306</v>
      </c>
      <c r="I1056" s="490"/>
      <c r="J1056" s="125"/>
      <c r="K1056" s="125"/>
      <c r="L1056" s="125"/>
    </row>
    <row r="1057" spans="1:12" s="121" customFormat="1" ht="15">
      <c r="A1057" s="363"/>
      <c r="B1057" s="617"/>
      <c r="C1057" s="367" t="s">
        <v>8993</v>
      </c>
      <c r="D1057" s="493"/>
      <c r="E1057" s="490" t="s">
        <v>17301</v>
      </c>
      <c r="F1057" s="490" t="s">
        <v>17301</v>
      </c>
      <c r="G1057" s="490" t="s">
        <v>17301</v>
      </c>
      <c r="H1057" s="490" t="s">
        <v>18220</v>
      </c>
      <c r="I1057" s="490"/>
      <c r="J1057" s="125"/>
      <c r="K1057" s="125"/>
      <c r="L1057" s="125"/>
    </row>
    <row r="1058" spans="1:12" s="121" customFormat="1" ht="11.25">
      <c r="A1058" s="2"/>
      <c r="B1058" s="622"/>
      <c r="C1058" s="491"/>
      <c r="D1058" s="491"/>
      <c r="E1058" s="491"/>
      <c r="F1058" s="491"/>
      <c r="G1058" s="491"/>
      <c r="H1058" s="491"/>
      <c r="I1058" s="491"/>
      <c r="J1058" s="124"/>
      <c r="K1058" s="124"/>
      <c r="L1058" s="124"/>
    </row>
    <row r="1059" spans="1:12" s="121" customFormat="1" ht="11.25">
      <c r="A1059" s="366" t="s">
        <v>17279</v>
      </c>
      <c r="B1059" s="626" t="s">
        <v>18254</v>
      </c>
      <c r="C1059" s="369">
        <f>MIN(E1061:I1061)</f>
        <v>19.899999999999999</v>
      </c>
      <c r="D1059" s="370" t="s">
        <v>109</v>
      </c>
      <c r="E1059" s="486" t="s">
        <v>17298</v>
      </c>
      <c r="F1059" s="486" t="s">
        <v>17031</v>
      </c>
      <c r="G1059" s="486" t="s">
        <v>17020</v>
      </c>
      <c r="H1059" s="486" t="s">
        <v>18219</v>
      </c>
      <c r="I1059" s="486"/>
      <c r="J1059" s="125" t="s">
        <v>207</v>
      </c>
      <c r="K1059" s="125"/>
      <c r="L1059" s="125"/>
    </row>
    <row r="1060" spans="1:12" s="121" customFormat="1" ht="22.5">
      <c r="A1060" s="361"/>
      <c r="B1060" s="615"/>
      <c r="C1060" s="367" t="s">
        <v>284</v>
      </c>
      <c r="D1060" s="554"/>
      <c r="E1060" s="487" t="s">
        <v>17299</v>
      </c>
      <c r="F1060" s="487" t="s">
        <v>17030</v>
      </c>
      <c r="G1060" s="487" t="s">
        <v>17019</v>
      </c>
      <c r="H1060" s="675" t="s">
        <v>18255</v>
      </c>
      <c r="I1060" s="487"/>
      <c r="J1060" s="125" t="s">
        <v>283</v>
      </c>
      <c r="K1060" s="125" t="s">
        <v>280</v>
      </c>
      <c r="L1060" s="125" t="s">
        <v>281</v>
      </c>
    </row>
    <row r="1061" spans="1:12" s="121" customFormat="1" ht="15">
      <c r="A1061" s="362"/>
      <c r="B1061" s="616"/>
      <c r="C1061" s="367" t="s">
        <v>9</v>
      </c>
      <c r="D1061" s="492"/>
      <c r="E1061" s="84">
        <v>19.989999999999998</v>
      </c>
      <c r="F1061" s="488">
        <v>23.9</v>
      </c>
      <c r="G1061" s="488">
        <v>20.94</v>
      </c>
      <c r="H1061" s="84">
        <v>19.899999999999999</v>
      </c>
      <c r="I1061" s="84"/>
      <c r="J1061" s="125">
        <f t="shared" ref="J1061" si="247">MEDIAN(E1061:I1061)</f>
        <v>20.465</v>
      </c>
      <c r="K1061" s="125">
        <f t="shared" ref="K1061" si="248">J1061*1.3</f>
        <v>26.604500000000002</v>
      </c>
      <c r="L1061" s="125">
        <f t="shared" ref="L1061" si="249">J1061*0.7</f>
        <v>14.325499999999998</v>
      </c>
    </row>
    <row r="1062" spans="1:12" s="121" customFormat="1" ht="15">
      <c r="A1062" s="362"/>
      <c r="B1062" s="616"/>
      <c r="C1062" s="367" t="s">
        <v>8</v>
      </c>
      <c r="D1062" s="492"/>
      <c r="E1062" s="487" t="s">
        <v>17300</v>
      </c>
      <c r="F1062" s="487" t="s">
        <v>17032</v>
      </c>
      <c r="G1062" s="487" t="s">
        <v>17021</v>
      </c>
      <c r="H1062" s="487"/>
      <c r="I1062" s="487"/>
      <c r="J1062" s="125"/>
      <c r="K1062" s="125"/>
      <c r="L1062" s="125"/>
    </row>
    <row r="1063" spans="1:12" s="121" customFormat="1" ht="15">
      <c r="A1063" s="362"/>
      <c r="B1063" s="616"/>
      <c r="C1063" s="367" t="s">
        <v>7</v>
      </c>
      <c r="D1063" s="492"/>
      <c r="E1063" s="489" t="s">
        <v>17794</v>
      </c>
      <c r="F1063" s="489" t="s">
        <v>17033</v>
      </c>
      <c r="G1063" s="489" t="s">
        <v>17022</v>
      </c>
      <c r="H1063" s="489"/>
      <c r="I1063" s="489"/>
      <c r="J1063" s="125"/>
      <c r="K1063" s="125"/>
      <c r="L1063" s="125"/>
    </row>
    <row r="1064" spans="1:12" s="121" customFormat="1" ht="15">
      <c r="A1064" s="362"/>
      <c r="B1064" s="616"/>
      <c r="C1064" s="367" t="s">
        <v>6</v>
      </c>
      <c r="D1064" s="493"/>
      <c r="E1064" s="490">
        <v>44305</v>
      </c>
      <c r="F1064" s="490">
        <v>44326</v>
      </c>
      <c r="G1064" s="490">
        <v>44326</v>
      </c>
      <c r="H1064" s="490">
        <v>44321</v>
      </c>
      <c r="I1064" s="490"/>
      <c r="J1064" s="125"/>
      <c r="K1064" s="125"/>
      <c r="L1064" s="125"/>
    </row>
    <row r="1065" spans="1:12" s="121" customFormat="1" ht="15">
      <c r="A1065" s="363"/>
      <c r="B1065" s="617"/>
      <c r="C1065" s="367" t="s">
        <v>8993</v>
      </c>
      <c r="D1065" s="493"/>
      <c r="E1065" s="490" t="s">
        <v>17301</v>
      </c>
      <c r="F1065" s="490" t="s">
        <v>17795</v>
      </c>
      <c r="G1065" s="490" t="s">
        <v>17795</v>
      </c>
      <c r="H1065" s="490" t="s">
        <v>18220</v>
      </c>
      <c r="I1065" s="490"/>
      <c r="J1065" s="125"/>
      <c r="K1065" s="125"/>
      <c r="L1065" s="125"/>
    </row>
    <row r="1066" spans="1:12" s="121" customFormat="1" ht="11.25">
      <c r="A1066" s="2"/>
      <c r="B1066" s="622"/>
      <c r="C1066" s="491"/>
      <c r="D1066" s="491"/>
      <c r="E1066" s="491"/>
      <c r="F1066" s="491"/>
      <c r="G1066" s="491"/>
      <c r="H1066" s="491"/>
      <c r="I1066" s="491"/>
      <c r="J1066" s="124"/>
      <c r="K1066" s="124"/>
      <c r="L1066" s="124"/>
    </row>
    <row r="1067" spans="1:12" s="121" customFormat="1" ht="22.5">
      <c r="A1067" s="366" t="s">
        <v>18415</v>
      </c>
      <c r="B1067" s="626" t="s">
        <v>18416</v>
      </c>
      <c r="C1067" s="369">
        <f>MIN(E1069:I1069)</f>
        <v>6.76</v>
      </c>
      <c r="D1067" s="370" t="s">
        <v>5</v>
      </c>
      <c r="E1067" s="486" t="s">
        <v>17068</v>
      </c>
      <c r="F1067" s="486" t="s">
        <v>18602</v>
      </c>
      <c r="G1067" s="486" t="s">
        <v>24841</v>
      </c>
      <c r="H1067" s="486"/>
      <c r="I1067" s="486"/>
      <c r="J1067" s="125" t="s">
        <v>207</v>
      </c>
      <c r="K1067" s="125"/>
      <c r="L1067" s="125"/>
    </row>
    <row r="1068" spans="1:12" s="121" customFormat="1" ht="33.75">
      <c r="A1068" s="361"/>
      <c r="B1068" s="615"/>
      <c r="C1068" s="367" t="s">
        <v>284</v>
      </c>
      <c r="D1068" s="695"/>
      <c r="E1068" s="487" t="s">
        <v>17272</v>
      </c>
      <c r="F1068" s="487" t="s">
        <v>18604</v>
      </c>
      <c r="G1068" s="487" t="s">
        <v>24842</v>
      </c>
      <c r="H1068" s="675"/>
      <c r="I1068" s="487"/>
      <c r="J1068" s="125" t="s">
        <v>283</v>
      </c>
      <c r="K1068" s="125" t="s">
        <v>280</v>
      </c>
      <c r="L1068" s="125" t="s">
        <v>281</v>
      </c>
    </row>
    <row r="1069" spans="1:12" s="121" customFormat="1" ht="15">
      <c r="A1069" s="362"/>
      <c r="B1069" s="616"/>
      <c r="C1069" s="367" t="s">
        <v>9</v>
      </c>
      <c r="D1069" s="492"/>
      <c r="E1069" s="84">
        <v>6.76</v>
      </c>
      <c r="F1069" s="488">
        <v>7.64</v>
      </c>
      <c r="G1069" s="488">
        <f>162.35/20</f>
        <v>8.1174999999999997</v>
      </c>
      <c r="H1069" s="84"/>
      <c r="I1069" s="84"/>
      <c r="J1069" s="125">
        <f t="shared" ref="J1069" si="250">MEDIAN(E1069:I1069)</f>
        <v>7.64</v>
      </c>
      <c r="K1069" s="125">
        <f t="shared" ref="K1069" si="251">J1069*1.3</f>
        <v>9.9320000000000004</v>
      </c>
      <c r="L1069" s="125">
        <f t="shared" ref="L1069" si="252">J1069*0.7</f>
        <v>5.3479999999999999</v>
      </c>
    </row>
    <row r="1070" spans="1:12" s="121" customFormat="1" ht="15">
      <c r="A1070" s="362"/>
      <c r="B1070" s="616"/>
      <c r="C1070" s="367" t="s">
        <v>8</v>
      </c>
      <c r="D1070" s="492"/>
      <c r="E1070" s="487" t="s">
        <v>17073</v>
      </c>
      <c r="F1070" s="487" t="s">
        <v>18605</v>
      </c>
      <c r="G1070" s="487" t="s">
        <v>24840</v>
      </c>
      <c r="H1070" s="487"/>
      <c r="I1070" s="487"/>
      <c r="J1070" s="125"/>
      <c r="K1070" s="125"/>
      <c r="L1070" s="125"/>
    </row>
    <row r="1071" spans="1:12" s="121" customFormat="1" ht="15">
      <c r="A1071" s="362"/>
      <c r="B1071" s="616"/>
      <c r="C1071" s="367" t="s">
        <v>7</v>
      </c>
      <c r="D1071" s="492"/>
      <c r="E1071" s="489" t="s">
        <v>17076</v>
      </c>
      <c r="F1071" s="489" t="s">
        <v>18603</v>
      </c>
      <c r="G1071" s="489" t="s">
        <v>24839</v>
      </c>
      <c r="H1071" s="489"/>
      <c r="I1071" s="489"/>
      <c r="J1071" s="125"/>
      <c r="K1071" s="125"/>
      <c r="L1071" s="125"/>
    </row>
    <row r="1072" spans="1:12" s="121" customFormat="1" ht="15">
      <c r="A1072" s="362"/>
      <c r="B1072" s="616"/>
      <c r="C1072" s="367" t="s">
        <v>6</v>
      </c>
      <c r="D1072" s="493"/>
      <c r="E1072" s="490">
        <v>44362</v>
      </c>
      <c r="F1072" s="490">
        <v>44362</v>
      </c>
      <c r="G1072" s="490">
        <v>44386</v>
      </c>
      <c r="H1072" s="490"/>
      <c r="I1072" s="490"/>
      <c r="J1072" s="125"/>
      <c r="K1072" s="125"/>
      <c r="L1072" s="125"/>
    </row>
    <row r="1073" spans="1:12" s="121" customFormat="1" ht="15">
      <c r="A1073" s="363"/>
      <c r="B1073" s="617"/>
      <c r="C1073" s="367" t="s">
        <v>8993</v>
      </c>
      <c r="D1073" s="493"/>
      <c r="E1073" s="490" t="s">
        <v>18601</v>
      </c>
      <c r="F1073" s="490" t="s">
        <v>18601</v>
      </c>
      <c r="G1073" s="490" t="s">
        <v>24843</v>
      </c>
      <c r="H1073" s="490"/>
      <c r="I1073" s="490"/>
      <c r="J1073" s="125"/>
      <c r="K1073" s="125"/>
      <c r="L1073" s="125"/>
    </row>
    <row r="1074" spans="1:12" s="121" customFormat="1" ht="11.25">
      <c r="A1074" s="2"/>
      <c r="B1074" s="622"/>
      <c r="C1074" s="491"/>
      <c r="D1074" s="491"/>
      <c r="E1074" s="491"/>
      <c r="F1074" s="491"/>
      <c r="G1074" s="491"/>
      <c r="H1074" s="491"/>
      <c r="I1074" s="491"/>
      <c r="J1074" s="124"/>
      <c r="K1074" s="124"/>
      <c r="L1074" s="124"/>
    </row>
    <row r="1075" spans="1:12" s="121" customFormat="1" ht="22.5">
      <c r="A1075" s="366" t="s">
        <v>18417</v>
      </c>
      <c r="B1075" s="626" t="s">
        <v>18599</v>
      </c>
      <c r="C1075" s="369">
        <f>MIN(E1077:I1077)</f>
        <v>450.2</v>
      </c>
      <c r="D1075" s="370" t="s">
        <v>109</v>
      </c>
      <c r="E1075" s="486" t="s">
        <v>17229</v>
      </c>
      <c r="F1075" s="486" t="s">
        <v>18418</v>
      </c>
      <c r="G1075" s="486" t="s">
        <v>18609</v>
      </c>
      <c r="H1075" s="486"/>
      <c r="I1075" s="486"/>
      <c r="J1075" s="125" t="s">
        <v>207</v>
      </c>
      <c r="K1075" s="125"/>
      <c r="L1075" s="125"/>
    </row>
    <row r="1076" spans="1:12" s="121" customFormat="1" ht="22.5">
      <c r="A1076" s="361"/>
      <c r="B1076" s="615"/>
      <c r="C1076" s="367" t="s">
        <v>284</v>
      </c>
      <c r="D1076" s="695"/>
      <c r="E1076" s="487" t="s">
        <v>18419</v>
      </c>
      <c r="F1076" s="487" t="s">
        <v>18420</v>
      </c>
      <c r="G1076" s="487" t="s">
        <v>18612</v>
      </c>
      <c r="H1076" s="675"/>
      <c r="I1076" s="487"/>
      <c r="J1076" s="125" t="s">
        <v>283</v>
      </c>
      <c r="K1076" s="125" t="s">
        <v>280</v>
      </c>
      <c r="L1076" s="125" t="s">
        <v>281</v>
      </c>
    </row>
    <row r="1077" spans="1:12" s="121" customFormat="1" ht="15">
      <c r="A1077" s="362"/>
      <c r="B1077" s="616"/>
      <c r="C1077" s="367" t="s">
        <v>9</v>
      </c>
      <c r="D1077" s="492"/>
      <c r="E1077" s="84">
        <v>593</v>
      </c>
      <c r="F1077" s="488">
        <v>768.81359264829678</v>
      </c>
      <c r="G1077" s="488">
        <v>450.2</v>
      </c>
      <c r="H1077" s="84"/>
      <c r="I1077" s="84"/>
      <c r="J1077" s="125">
        <f t="shared" ref="J1077" si="253">MEDIAN(E1077:I1077)</f>
        <v>593</v>
      </c>
      <c r="K1077" s="125">
        <f t="shared" ref="K1077" si="254">J1077*1.3</f>
        <v>770.9</v>
      </c>
      <c r="L1077" s="125">
        <f t="shared" ref="L1077" si="255">J1077*0.7</f>
        <v>415.09999999999997</v>
      </c>
    </row>
    <row r="1078" spans="1:12" s="121" customFormat="1" ht="15">
      <c r="A1078" s="362"/>
      <c r="B1078" s="616"/>
      <c r="C1078" s="367" t="s">
        <v>8</v>
      </c>
      <c r="D1078" s="492"/>
      <c r="E1078" s="487" t="s">
        <v>14510</v>
      </c>
      <c r="F1078" s="487"/>
      <c r="G1078" s="487" t="s">
        <v>18613</v>
      </c>
      <c r="H1078" s="487"/>
      <c r="I1078" s="487"/>
      <c r="J1078" s="125"/>
      <c r="K1078" s="125"/>
      <c r="L1078" s="125"/>
    </row>
    <row r="1079" spans="1:12" s="121" customFormat="1" ht="15">
      <c r="A1079" s="362"/>
      <c r="B1079" s="616"/>
      <c r="C1079" s="367" t="s">
        <v>7</v>
      </c>
      <c r="D1079" s="492"/>
      <c r="E1079" s="489" t="s">
        <v>18421</v>
      </c>
      <c r="F1079" s="489" t="s">
        <v>18422</v>
      </c>
      <c r="G1079" s="489" t="s">
        <v>18611</v>
      </c>
      <c r="H1079" s="489"/>
      <c r="I1079" s="489"/>
      <c r="J1079" s="125"/>
      <c r="K1079" s="125"/>
      <c r="L1079" s="125"/>
    </row>
    <row r="1080" spans="1:12" s="121" customFormat="1" ht="15">
      <c r="A1080" s="362"/>
      <c r="B1080" s="616"/>
      <c r="C1080" s="367" t="s">
        <v>6</v>
      </c>
      <c r="D1080" s="493"/>
      <c r="E1080" s="490">
        <v>44362</v>
      </c>
      <c r="F1080" s="490">
        <v>44095</v>
      </c>
      <c r="G1080" s="490">
        <v>44362</v>
      </c>
      <c r="H1080" s="490"/>
      <c r="I1080" s="490"/>
      <c r="J1080" s="125"/>
      <c r="K1080" s="125"/>
      <c r="L1080" s="125"/>
    </row>
    <row r="1081" spans="1:12" s="121" customFormat="1" ht="15">
      <c r="A1081" s="363"/>
      <c r="B1081" s="617"/>
      <c r="C1081" s="367" t="s">
        <v>8993</v>
      </c>
      <c r="D1081" s="493"/>
      <c r="E1081" s="490" t="s">
        <v>18598</v>
      </c>
      <c r="F1081" s="490"/>
      <c r="G1081" s="490" t="s">
        <v>18610</v>
      </c>
      <c r="H1081" s="490"/>
      <c r="I1081" s="490"/>
      <c r="J1081" s="125"/>
      <c r="K1081" s="125"/>
      <c r="L1081" s="125"/>
    </row>
    <row r="1082" spans="1:12" s="121" customFormat="1" ht="11.25">
      <c r="A1082" s="2"/>
      <c r="B1082" s="622"/>
      <c r="C1082" s="491"/>
      <c r="D1082" s="491"/>
      <c r="E1082" s="491"/>
      <c r="F1082" s="491"/>
      <c r="G1082" s="491"/>
      <c r="H1082" s="491"/>
      <c r="I1082" s="491"/>
      <c r="J1082" s="124"/>
      <c r="K1082" s="124"/>
      <c r="L1082" s="124"/>
    </row>
    <row r="1083" spans="1:12" s="121" customFormat="1" ht="11.25">
      <c r="A1083" s="366" t="s">
        <v>18428</v>
      </c>
      <c r="B1083" s="626" t="s">
        <v>18429</v>
      </c>
      <c r="C1083" s="369">
        <f>MIN(E1085:I1085)</f>
        <v>3.79</v>
      </c>
      <c r="D1083" s="370" t="s">
        <v>109</v>
      </c>
      <c r="E1083" s="486" t="s">
        <v>15175</v>
      </c>
      <c r="F1083" s="486" t="s">
        <v>18608</v>
      </c>
      <c r="G1083" s="486" t="s">
        <v>17015</v>
      </c>
      <c r="H1083" s="486"/>
      <c r="I1083" s="486"/>
      <c r="J1083" s="125" t="s">
        <v>207</v>
      </c>
      <c r="K1083" s="125"/>
      <c r="L1083" s="125"/>
    </row>
    <row r="1084" spans="1:12" s="121" customFormat="1" ht="22.5">
      <c r="A1084" s="361"/>
      <c r="B1084" s="615"/>
      <c r="C1084" s="367" t="s">
        <v>284</v>
      </c>
      <c r="D1084" s="695"/>
      <c r="E1084" s="487" t="s">
        <v>17034</v>
      </c>
      <c r="F1084" s="487" t="s">
        <v>18607</v>
      </c>
      <c r="G1084" s="487" t="s">
        <v>17014</v>
      </c>
      <c r="H1084" s="675"/>
      <c r="I1084" s="487"/>
      <c r="J1084" s="125" t="s">
        <v>283</v>
      </c>
      <c r="K1084" s="125" t="s">
        <v>280</v>
      </c>
      <c r="L1084" s="125" t="s">
        <v>281</v>
      </c>
    </row>
    <row r="1085" spans="1:12" s="121" customFormat="1" ht="15">
      <c r="A1085" s="362"/>
      <c r="B1085" s="616"/>
      <c r="C1085" s="367" t="s">
        <v>9</v>
      </c>
      <c r="D1085" s="492"/>
      <c r="E1085" s="84">
        <v>4.4800000000000004</v>
      </c>
      <c r="F1085" s="488">
        <v>3.79</v>
      </c>
      <c r="G1085" s="488">
        <v>5.34</v>
      </c>
      <c r="H1085" s="84"/>
      <c r="I1085" s="84"/>
      <c r="J1085" s="125">
        <f t="shared" ref="J1085" si="256">MEDIAN(E1085:I1085)</f>
        <v>4.4800000000000004</v>
      </c>
      <c r="K1085" s="125">
        <f t="shared" ref="K1085" si="257">J1085*1.3</f>
        <v>5.8240000000000007</v>
      </c>
      <c r="L1085" s="125">
        <f t="shared" ref="L1085" si="258">J1085*0.7</f>
        <v>3.1360000000000001</v>
      </c>
    </row>
    <row r="1086" spans="1:12" s="121" customFormat="1" ht="15">
      <c r="A1086" s="362"/>
      <c r="B1086" s="616"/>
      <c r="C1086" s="367" t="s">
        <v>8</v>
      </c>
      <c r="D1086" s="492"/>
      <c r="E1086" s="487" t="s">
        <v>15179</v>
      </c>
      <c r="F1086" s="487" t="s">
        <v>17428</v>
      </c>
      <c r="G1086" s="487" t="s">
        <v>17018</v>
      </c>
      <c r="H1086" s="487"/>
      <c r="I1086" s="487"/>
      <c r="J1086" s="125"/>
      <c r="K1086" s="125"/>
      <c r="L1086" s="125"/>
    </row>
    <row r="1087" spans="1:12" s="121" customFormat="1" ht="15">
      <c r="A1087" s="362"/>
      <c r="B1087" s="616"/>
      <c r="C1087" s="367" t="s">
        <v>7</v>
      </c>
      <c r="D1087" s="492"/>
      <c r="E1087" s="489" t="s">
        <v>15181</v>
      </c>
      <c r="F1087" s="489" t="s">
        <v>17429</v>
      </c>
      <c r="G1087" s="489" t="s">
        <v>17017</v>
      </c>
      <c r="H1087" s="489"/>
      <c r="I1087" s="489"/>
      <c r="J1087" s="125"/>
      <c r="K1087" s="125"/>
      <c r="L1087" s="125"/>
    </row>
    <row r="1088" spans="1:12" s="121" customFormat="1" ht="15">
      <c r="A1088" s="362"/>
      <c r="B1088" s="616"/>
      <c r="C1088" s="367" t="s">
        <v>6</v>
      </c>
      <c r="D1088" s="493"/>
      <c r="E1088" s="490">
        <v>44362</v>
      </c>
      <c r="F1088" s="490">
        <v>44362</v>
      </c>
      <c r="G1088" s="490">
        <v>44362</v>
      </c>
      <c r="H1088" s="490"/>
      <c r="I1088" s="490"/>
      <c r="J1088" s="125"/>
      <c r="K1088" s="125"/>
      <c r="L1088" s="125"/>
    </row>
    <row r="1089" spans="1:12" s="121" customFormat="1" ht="15">
      <c r="A1089" s="363"/>
      <c r="B1089" s="617"/>
      <c r="C1089" s="367" t="s">
        <v>8993</v>
      </c>
      <c r="D1089" s="493"/>
      <c r="E1089" s="490" t="s">
        <v>18606</v>
      </c>
      <c r="F1089" s="490" t="s">
        <v>18606</v>
      </c>
      <c r="G1089" s="490" t="s">
        <v>18606</v>
      </c>
      <c r="H1089" s="490"/>
      <c r="I1089" s="490"/>
      <c r="J1089" s="125"/>
      <c r="K1089" s="125"/>
      <c r="L1089" s="125"/>
    </row>
    <row r="1090" spans="1:12" s="121" customFormat="1" ht="11.25">
      <c r="A1090" s="2"/>
      <c r="B1090" s="622"/>
      <c r="C1090" s="491"/>
      <c r="D1090" s="491"/>
      <c r="E1090" s="491"/>
      <c r="F1090" s="491"/>
      <c r="G1090" s="491"/>
      <c r="H1090" s="491"/>
      <c r="I1090" s="491"/>
      <c r="J1090" s="124"/>
      <c r="K1090" s="124"/>
      <c r="L1090" s="124"/>
    </row>
    <row r="1091" spans="1:12" s="122" customFormat="1" ht="45">
      <c r="A1091" s="366" t="s">
        <v>14615</v>
      </c>
      <c r="B1091" s="626" t="s">
        <v>14616</v>
      </c>
      <c r="C1091" s="369">
        <f>MIN(E1093:I1093)</f>
        <v>6.770999999999999</v>
      </c>
      <c r="D1091" s="370" t="s">
        <v>5</v>
      </c>
      <c r="E1091" s="486" t="s">
        <v>14958</v>
      </c>
      <c r="F1091" s="486" t="s">
        <v>14959</v>
      </c>
      <c r="G1091" s="486" t="s">
        <v>14995</v>
      </c>
      <c r="H1091" s="486"/>
      <c r="I1091" s="486"/>
      <c r="J1091" s="125" t="s">
        <v>207</v>
      </c>
      <c r="K1091" s="125"/>
      <c r="L1091" s="125"/>
    </row>
    <row r="1092" spans="1:12" s="122" customFormat="1" ht="22.5">
      <c r="A1092" s="361"/>
      <c r="B1092" s="615"/>
      <c r="C1092" s="367" t="s">
        <v>284</v>
      </c>
      <c r="D1092" s="554"/>
      <c r="E1092" s="487" t="s">
        <v>14960</v>
      </c>
      <c r="F1092" s="487" t="s">
        <v>14961</v>
      </c>
      <c r="G1092" s="487" t="s">
        <v>14997</v>
      </c>
      <c r="H1092" s="487"/>
      <c r="I1092" s="487"/>
      <c r="J1092" s="125" t="s">
        <v>283</v>
      </c>
      <c r="K1092" s="125" t="s">
        <v>280</v>
      </c>
      <c r="L1092" s="125" t="s">
        <v>281</v>
      </c>
    </row>
    <row r="1093" spans="1:12" s="122" customFormat="1" ht="15">
      <c r="A1093" s="362"/>
      <c r="B1093" s="616"/>
      <c r="C1093" s="367" t="s">
        <v>9</v>
      </c>
      <c r="D1093" s="492"/>
      <c r="E1093" s="84">
        <v>6.770999999999999</v>
      </c>
      <c r="F1093" s="488">
        <v>10</v>
      </c>
      <c r="G1093" s="488">
        <v>9.9</v>
      </c>
      <c r="H1093" s="84"/>
      <c r="I1093" s="84"/>
      <c r="J1093" s="125">
        <f>MEDIAN(E1093:I1093)</f>
        <v>9.9</v>
      </c>
      <c r="K1093" s="125">
        <f>J1093*1.3</f>
        <v>12.870000000000001</v>
      </c>
      <c r="L1093" s="125">
        <f>J1093*0.7</f>
        <v>6.93</v>
      </c>
    </row>
    <row r="1094" spans="1:12" s="122" customFormat="1" ht="15">
      <c r="A1094" s="362"/>
      <c r="B1094" s="616"/>
      <c r="C1094" s="367" t="s">
        <v>8</v>
      </c>
      <c r="D1094" s="492"/>
      <c r="E1094" s="487" t="s">
        <v>14962</v>
      </c>
      <c r="F1094" s="473" t="s">
        <v>14963</v>
      </c>
      <c r="G1094" s="487" t="s">
        <v>14999</v>
      </c>
      <c r="H1094" s="487"/>
      <c r="I1094" s="487"/>
      <c r="J1094" s="125"/>
      <c r="K1094" s="125"/>
      <c r="L1094" s="125"/>
    </row>
    <row r="1095" spans="1:12" s="122" customFormat="1" ht="15">
      <c r="A1095" s="362"/>
      <c r="B1095" s="616"/>
      <c r="C1095" s="367" t="s">
        <v>7</v>
      </c>
      <c r="D1095" s="492"/>
      <c r="E1095" s="489" t="s">
        <v>14964</v>
      </c>
      <c r="F1095" s="489" t="s">
        <v>14965</v>
      </c>
      <c r="G1095" s="489" t="s">
        <v>14998</v>
      </c>
      <c r="H1095" s="489"/>
      <c r="I1095" s="489"/>
      <c r="J1095" s="125"/>
      <c r="K1095" s="125"/>
      <c r="L1095" s="125"/>
    </row>
    <row r="1096" spans="1:12" s="122" customFormat="1" ht="15">
      <c r="A1096" s="362"/>
      <c r="B1096" s="616"/>
      <c r="C1096" s="367" t="s">
        <v>6</v>
      </c>
      <c r="D1096" s="493"/>
      <c r="E1096" s="490">
        <v>44224</v>
      </c>
      <c r="F1096" s="490">
        <v>44229</v>
      </c>
      <c r="G1096" s="490">
        <v>44235</v>
      </c>
      <c r="H1096" s="490"/>
      <c r="I1096" s="490"/>
      <c r="J1096" s="125"/>
      <c r="K1096" s="125"/>
      <c r="L1096" s="125"/>
    </row>
    <row r="1097" spans="1:12" s="122" customFormat="1" ht="15">
      <c r="A1097" s="363"/>
      <c r="B1097" s="617"/>
      <c r="C1097" s="367" t="s">
        <v>8993</v>
      </c>
      <c r="D1097" s="493"/>
      <c r="E1097" s="490" t="s">
        <v>17269</v>
      </c>
      <c r="F1097" s="490" t="s">
        <v>14967</v>
      </c>
      <c r="G1097" s="490" t="s">
        <v>14996</v>
      </c>
      <c r="H1097" s="490"/>
      <c r="I1097" s="490"/>
      <c r="J1097" s="125"/>
      <c r="K1097" s="125"/>
      <c r="L1097" s="125"/>
    </row>
    <row r="1098" spans="1:12" s="121" customFormat="1" ht="11.25">
      <c r="A1098" s="2"/>
      <c r="B1098" s="622"/>
      <c r="C1098" s="491"/>
      <c r="D1098" s="491"/>
      <c r="E1098" s="491"/>
      <c r="F1098" s="491"/>
      <c r="G1098" s="491"/>
      <c r="H1098" s="491"/>
      <c r="I1098" s="491"/>
      <c r="J1098" s="124"/>
      <c r="K1098" s="124"/>
      <c r="L1098" s="124"/>
    </row>
    <row r="1099" spans="1:12" s="121" customFormat="1" ht="11.25">
      <c r="A1099" s="366" t="s">
        <v>14617</v>
      </c>
      <c r="B1099" s="626" t="s">
        <v>14618</v>
      </c>
      <c r="C1099" s="369">
        <f t="shared" ref="C1099" si="259">MIN(E1101:I1101)</f>
        <v>47.39</v>
      </c>
      <c r="D1099" s="370" t="s">
        <v>109</v>
      </c>
      <c r="E1099" s="486" t="s">
        <v>14968</v>
      </c>
      <c r="F1099" s="486" t="s">
        <v>14958</v>
      </c>
      <c r="G1099" s="486" t="s">
        <v>14978</v>
      </c>
      <c r="H1099" s="486"/>
      <c r="I1099" s="486"/>
      <c r="J1099" s="125" t="s">
        <v>207</v>
      </c>
      <c r="K1099" s="125"/>
      <c r="L1099" s="125"/>
    </row>
    <row r="1100" spans="1:12" s="121" customFormat="1" ht="22.5">
      <c r="A1100" s="361"/>
      <c r="B1100" s="615"/>
      <c r="C1100" s="367" t="s">
        <v>284</v>
      </c>
      <c r="D1100" s="554"/>
      <c r="E1100" s="487" t="s">
        <v>14969</v>
      </c>
      <c r="F1100" s="487" t="s">
        <v>14960</v>
      </c>
      <c r="G1100" s="487" t="s">
        <v>14980</v>
      </c>
      <c r="H1100" s="487"/>
      <c r="I1100" s="487"/>
      <c r="J1100" s="125" t="s">
        <v>283</v>
      </c>
      <c r="K1100" s="125" t="s">
        <v>280</v>
      </c>
      <c r="L1100" s="125" t="s">
        <v>281</v>
      </c>
    </row>
    <row r="1101" spans="1:12" s="121" customFormat="1" ht="15">
      <c r="A1101" s="362"/>
      <c r="B1101" s="616"/>
      <c r="C1101" s="367" t="s">
        <v>9</v>
      </c>
      <c r="D1101" s="492"/>
      <c r="E1101" s="84">
        <v>86.89</v>
      </c>
      <c r="F1101" s="84">
        <v>47.39</v>
      </c>
      <c r="G1101" s="488">
        <v>55</v>
      </c>
      <c r="H1101" s="84"/>
      <c r="I1101" s="84"/>
      <c r="J1101" s="125">
        <f t="shared" ref="J1101" si="260">MEDIAN(E1101:I1101)</f>
        <v>55</v>
      </c>
      <c r="K1101" s="125">
        <f t="shared" ref="K1101" si="261">J1101*1.3</f>
        <v>71.5</v>
      </c>
      <c r="L1101" s="125">
        <f t="shared" ref="L1101" si="262">J1101*0.7</f>
        <v>38.5</v>
      </c>
    </row>
    <row r="1102" spans="1:12" s="121" customFormat="1" ht="15">
      <c r="A1102" s="362"/>
      <c r="B1102" s="616"/>
      <c r="C1102" s="367" t="s">
        <v>8</v>
      </c>
      <c r="D1102" s="492"/>
      <c r="E1102" s="487" t="s">
        <v>14970</v>
      </c>
      <c r="F1102" s="487" t="s">
        <v>14962</v>
      </c>
      <c r="G1102" s="487" t="s">
        <v>14982</v>
      </c>
      <c r="H1102" s="487"/>
      <c r="I1102" s="487"/>
      <c r="J1102" s="125"/>
      <c r="K1102" s="125"/>
      <c r="L1102" s="125"/>
    </row>
    <row r="1103" spans="1:12" s="121" customFormat="1" ht="15">
      <c r="A1103" s="362"/>
      <c r="B1103" s="616"/>
      <c r="C1103" s="367" t="s">
        <v>7</v>
      </c>
      <c r="D1103" s="492"/>
      <c r="E1103" s="489" t="s">
        <v>14971</v>
      </c>
      <c r="F1103" s="489" t="s">
        <v>14964</v>
      </c>
      <c r="G1103" s="489" t="s">
        <v>14981</v>
      </c>
      <c r="H1103" s="489"/>
      <c r="I1103" s="489"/>
      <c r="J1103" s="125"/>
      <c r="K1103" s="125"/>
      <c r="L1103" s="125"/>
    </row>
    <row r="1104" spans="1:12" s="121" customFormat="1" ht="15">
      <c r="A1104" s="362"/>
      <c r="B1104" s="616"/>
      <c r="C1104" s="367" t="s">
        <v>6</v>
      </c>
      <c r="D1104" s="493"/>
      <c r="E1104" s="490">
        <v>44235</v>
      </c>
      <c r="F1104" s="490">
        <v>44224</v>
      </c>
      <c r="G1104" s="490">
        <v>44253</v>
      </c>
      <c r="H1104" s="490"/>
      <c r="I1104" s="490"/>
      <c r="J1104" s="125"/>
      <c r="K1104" s="125"/>
      <c r="L1104" s="125"/>
    </row>
    <row r="1105" spans="1:12" s="121" customFormat="1" ht="15">
      <c r="A1105" s="363"/>
      <c r="B1105" s="617"/>
      <c r="C1105" s="367" t="s">
        <v>8993</v>
      </c>
      <c r="D1105" s="493"/>
      <c r="E1105" s="490" t="s">
        <v>14972</v>
      </c>
      <c r="F1105" s="490" t="s">
        <v>14966</v>
      </c>
      <c r="G1105" s="490" t="s">
        <v>14979</v>
      </c>
      <c r="H1105" s="490"/>
      <c r="I1105" s="490"/>
      <c r="J1105" s="125"/>
      <c r="K1105" s="125"/>
      <c r="L1105" s="125"/>
    </row>
    <row r="1106" spans="1:12" s="121" customFormat="1" ht="11.25">
      <c r="A1106" s="2"/>
      <c r="B1106" s="622"/>
      <c r="C1106" s="491"/>
      <c r="D1106" s="491"/>
      <c r="E1106" s="491"/>
      <c r="F1106" s="491"/>
      <c r="G1106" s="491"/>
      <c r="H1106" s="491"/>
      <c r="I1106" s="491"/>
      <c r="J1106" s="124"/>
      <c r="K1106" s="124"/>
      <c r="L1106" s="124"/>
    </row>
    <row r="1107" spans="1:12" s="121" customFormat="1" ht="22.5">
      <c r="A1107" s="366" t="s">
        <v>14619</v>
      </c>
      <c r="B1107" s="626" t="s">
        <v>18297</v>
      </c>
      <c r="C1107" s="369">
        <f t="shared" ref="C1107" si="263">MIN(E1109:I1109)</f>
        <v>24.6</v>
      </c>
      <c r="D1107" s="370" t="s">
        <v>109</v>
      </c>
      <c r="E1107" s="486" t="s">
        <v>14968</v>
      </c>
      <c r="F1107" s="486" t="s">
        <v>14959</v>
      </c>
      <c r="G1107" s="486" t="s">
        <v>14958</v>
      </c>
      <c r="H1107" s="486" t="s">
        <v>14978</v>
      </c>
      <c r="I1107" s="486"/>
      <c r="J1107" s="125" t="s">
        <v>207</v>
      </c>
      <c r="K1107" s="125"/>
      <c r="L1107" s="125"/>
    </row>
    <row r="1108" spans="1:12" s="121" customFormat="1" ht="22.5">
      <c r="A1108" s="361"/>
      <c r="B1108" s="615"/>
      <c r="C1108" s="367" t="s">
        <v>284</v>
      </c>
      <c r="D1108" s="554"/>
      <c r="E1108" s="487" t="s">
        <v>14969</v>
      </c>
      <c r="F1108" s="487" t="s">
        <v>14961</v>
      </c>
      <c r="G1108" s="675" t="s">
        <v>18617</v>
      </c>
      <c r="H1108" s="487" t="s">
        <v>14980</v>
      </c>
      <c r="I1108" s="487"/>
      <c r="J1108" s="125" t="s">
        <v>283</v>
      </c>
      <c r="K1108" s="125" t="s">
        <v>280</v>
      </c>
      <c r="L1108" s="125" t="s">
        <v>281</v>
      </c>
    </row>
    <row r="1109" spans="1:12" s="121" customFormat="1" ht="15">
      <c r="A1109" s="362"/>
      <c r="B1109" s="616"/>
      <c r="C1109" s="367" t="s">
        <v>9</v>
      </c>
      <c r="D1109" s="492"/>
      <c r="E1109" s="84">
        <v>64.989999999999995</v>
      </c>
      <c r="F1109" s="488">
        <v>50</v>
      </c>
      <c r="G1109" s="84">
        <v>24.6</v>
      </c>
      <c r="H1109" s="488">
        <v>42</v>
      </c>
      <c r="I1109" s="84"/>
      <c r="J1109" s="125">
        <f t="shared" ref="J1109" si="264">MEDIAN(E1109:I1109)</f>
        <v>46</v>
      </c>
      <c r="K1109" s="125">
        <f t="shared" ref="K1109" si="265">J1109*1.3</f>
        <v>59.800000000000004</v>
      </c>
      <c r="L1109" s="125">
        <f t="shared" ref="L1109" si="266">J1109*0.7</f>
        <v>32.199999999999996</v>
      </c>
    </row>
    <row r="1110" spans="1:12" s="121" customFormat="1" ht="15">
      <c r="A1110" s="362"/>
      <c r="B1110" s="616"/>
      <c r="C1110" s="367" t="s">
        <v>8</v>
      </c>
      <c r="D1110" s="492"/>
      <c r="E1110" s="487" t="s">
        <v>14970</v>
      </c>
      <c r="F1110" s="473" t="s">
        <v>14963</v>
      </c>
      <c r="G1110" s="487" t="s">
        <v>14962</v>
      </c>
      <c r="H1110" s="487" t="s">
        <v>14982</v>
      </c>
      <c r="I1110" s="487"/>
      <c r="J1110" s="125"/>
      <c r="K1110" s="125"/>
      <c r="L1110" s="125"/>
    </row>
    <row r="1111" spans="1:12" s="121" customFormat="1" ht="15">
      <c r="A1111" s="362"/>
      <c r="B1111" s="616"/>
      <c r="C1111" s="367" t="s">
        <v>7</v>
      </c>
      <c r="D1111" s="492"/>
      <c r="E1111" s="489" t="s">
        <v>14971</v>
      </c>
      <c r="F1111" s="489" t="s">
        <v>14965</v>
      </c>
      <c r="G1111" s="489" t="s">
        <v>14964</v>
      </c>
      <c r="H1111" s="489" t="s">
        <v>14981</v>
      </c>
      <c r="I1111" s="489"/>
      <c r="J1111" s="125"/>
      <c r="K1111" s="125"/>
      <c r="L1111" s="125"/>
    </row>
    <row r="1112" spans="1:12" s="121" customFormat="1" ht="15">
      <c r="A1112" s="362"/>
      <c r="B1112" s="616"/>
      <c r="C1112" s="367" t="s">
        <v>6</v>
      </c>
      <c r="D1112" s="493"/>
      <c r="E1112" s="490">
        <v>44362</v>
      </c>
      <c r="F1112" s="490">
        <v>44362</v>
      </c>
      <c r="G1112" s="490">
        <v>44362</v>
      </c>
      <c r="H1112" s="490">
        <v>44253</v>
      </c>
      <c r="I1112" s="490"/>
      <c r="J1112" s="125"/>
      <c r="K1112" s="125"/>
      <c r="L1112" s="125"/>
    </row>
    <row r="1113" spans="1:12" s="121" customFormat="1" ht="15">
      <c r="A1113" s="363"/>
      <c r="B1113" s="617"/>
      <c r="C1113" s="367" t="s">
        <v>8993</v>
      </c>
      <c r="D1113" s="493"/>
      <c r="E1113" s="490" t="s">
        <v>18614</v>
      </c>
      <c r="F1113" s="490" t="s">
        <v>18616</v>
      </c>
      <c r="G1113" s="490" t="s">
        <v>18618</v>
      </c>
      <c r="H1113" s="490" t="s">
        <v>18639</v>
      </c>
      <c r="I1113" s="490"/>
      <c r="J1113" s="125"/>
      <c r="K1113" s="125"/>
      <c r="L1113" s="125"/>
    </row>
    <row r="1114" spans="1:12" s="121" customFormat="1" ht="11.25">
      <c r="A1114" s="2"/>
      <c r="B1114" s="622"/>
      <c r="C1114" s="491"/>
      <c r="D1114" s="491"/>
      <c r="E1114" s="491"/>
      <c r="F1114" s="491"/>
      <c r="G1114" s="491"/>
      <c r="H1114" s="491"/>
      <c r="I1114" s="491"/>
      <c r="J1114" s="124"/>
      <c r="K1114" s="124"/>
      <c r="L1114" s="124"/>
    </row>
    <row r="1115" spans="1:12" s="121" customFormat="1" ht="22.5">
      <c r="A1115" s="366" t="s">
        <v>14620</v>
      </c>
      <c r="B1115" s="626" t="s">
        <v>18298</v>
      </c>
      <c r="C1115" s="369">
        <f t="shared" ref="C1115" si="267">MIN(E1117:I1117)</f>
        <v>158.49</v>
      </c>
      <c r="D1115" s="370" t="s">
        <v>109</v>
      </c>
      <c r="E1115" s="486" t="s">
        <v>14958</v>
      </c>
      <c r="F1115" s="486" t="s">
        <v>14959</v>
      </c>
      <c r="G1115" s="486" t="s">
        <v>14978</v>
      </c>
      <c r="H1115" s="486"/>
      <c r="I1115" s="486"/>
      <c r="J1115" s="125" t="s">
        <v>207</v>
      </c>
      <c r="K1115" s="125"/>
      <c r="L1115" s="125"/>
    </row>
    <row r="1116" spans="1:12" s="121" customFormat="1" ht="22.5">
      <c r="A1116" s="361"/>
      <c r="B1116" s="615"/>
      <c r="C1116" s="367" t="s">
        <v>284</v>
      </c>
      <c r="D1116" s="554"/>
      <c r="E1116" s="675" t="s">
        <v>18617</v>
      </c>
      <c r="F1116" s="487" t="s">
        <v>14961</v>
      </c>
      <c r="G1116" s="487" t="s">
        <v>14980</v>
      </c>
      <c r="H1116" s="675"/>
      <c r="I1116" s="487"/>
      <c r="J1116" s="125" t="s">
        <v>283</v>
      </c>
      <c r="K1116" s="125" t="s">
        <v>280</v>
      </c>
      <c r="L1116" s="125" t="s">
        <v>281</v>
      </c>
    </row>
    <row r="1117" spans="1:12" s="121" customFormat="1" ht="15">
      <c r="A1117" s="362"/>
      <c r="B1117" s="616"/>
      <c r="C1117" s="367" t="s">
        <v>9</v>
      </c>
      <c r="D1117" s="492"/>
      <c r="E1117" s="84">
        <f>1267.92/8</f>
        <v>158.49</v>
      </c>
      <c r="F1117" s="488">
        <v>219.99</v>
      </c>
      <c r="G1117" s="488">
        <v>195</v>
      </c>
      <c r="H1117" s="84"/>
      <c r="I1117" s="84"/>
      <c r="J1117" s="125">
        <f t="shared" ref="J1117" si="268">MEDIAN(E1117:I1117)</f>
        <v>195</v>
      </c>
      <c r="K1117" s="125">
        <f t="shared" ref="K1117" si="269">J1117*1.3</f>
        <v>253.5</v>
      </c>
      <c r="L1117" s="125">
        <f t="shared" ref="L1117" si="270">J1117*0.7</f>
        <v>136.5</v>
      </c>
    </row>
    <row r="1118" spans="1:12" s="121" customFormat="1" ht="15">
      <c r="A1118" s="362"/>
      <c r="B1118" s="616"/>
      <c r="C1118" s="367" t="s">
        <v>8</v>
      </c>
      <c r="D1118" s="492"/>
      <c r="E1118" s="487" t="s">
        <v>14962</v>
      </c>
      <c r="F1118" s="473" t="s">
        <v>14963</v>
      </c>
      <c r="G1118" s="487" t="s">
        <v>14982</v>
      </c>
      <c r="H1118" s="487"/>
      <c r="I1118" s="487"/>
      <c r="J1118" s="125"/>
      <c r="K1118" s="125"/>
      <c r="L1118" s="125"/>
    </row>
    <row r="1119" spans="1:12" s="121" customFormat="1" ht="15">
      <c r="A1119" s="362"/>
      <c r="B1119" s="616"/>
      <c r="C1119" s="367" t="s">
        <v>7</v>
      </c>
      <c r="D1119" s="492"/>
      <c r="E1119" s="489" t="s">
        <v>14964</v>
      </c>
      <c r="F1119" s="489" t="s">
        <v>14965</v>
      </c>
      <c r="G1119" s="489" t="s">
        <v>14981</v>
      </c>
      <c r="H1119" s="489"/>
      <c r="I1119" s="489"/>
      <c r="J1119" s="125"/>
      <c r="K1119" s="125"/>
      <c r="L1119" s="125"/>
    </row>
    <row r="1120" spans="1:12" s="121" customFormat="1" ht="15">
      <c r="A1120" s="362"/>
      <c r="B1120" s="616"/>
      <c r="C1120" s="367" t="s">
        <v>6</v>
      </c>
      <c r="D1120" s="493"/>
      <c r="E1120" s="490">
        <v>44362</v>
      </c>
      <c r="F1120" s="490">
        <v>44362</v>
      </c>
      <c r="G1120" s="490">
        <v>44253</v>
      </c>
      <c r="H1120" s="490"/>
      <c r="I1120" s="490"/>
      <c r="J1120" s="125"/>
      <c r="K1120" s="125"/>
      <c r="L1120" s="125"/>
    </row>
    <row r="1121" spans="1:12" s="121" customFormat="1" ht="15">
      <c r="A1121" s="363"/>
      <c r="B1121" s="617"/>
      <c r="C1121" s="367" t="s">
        <v>8993</v>
      </c>
      <c r="D1121" s="493"/>
      <c r="E1121" s="490" t="s">
        <v>18618</v>
      </c>
      <c r="F1121" s="490" t="s">
        <v>18616</v>
      </c>
      <c r="G1121" s="490" t="s">
        <v>18639</v>
      </c>
      <c r="H1121" s="490"/>
      <c r="I1121" s="490"/>
      <c r="J1121" s="125"/>
      <c r="K1121" s="125"/>
      <c r="L1121" s="125"/>
    </row>
    <row r="1122" spans="1:12" s="121" customFormat="1" ht="11.25">
      <c r="A1122" s="2"/>
      <c r="B1122" s="622"/>
      <c r="C1122" s="491"/>
      <c r="D1122" s="491"/>
      <c r="E1122" s="491"/>
      <c r="F1122" s="491"/>
      <c r="G1122" s="491"/>
      <c r="H1122" s="491"/>
      <c r="I1122" s="491"/>
      <c r="J1122" s="124"/>
      <c r="K1122" s="124"/>
      <c r="L1122" s="124"/>
    </row>
    <row r="1123" spans="1:12" s="121" customFormat="1" ht="22.5">
      <c r="A1123" s="366" t="s">
        <v>14621</v>
      </c>
      <c r="B1123" s="626" t="s">
        <v>14622</v>
      </c>
      <c r="C1123" s="369">
        <f t="shared" ref="C1123" si="271">MIN(E1125:I1125)</f>
        <v>793.04</v>
      </c>
      <c r="D1123" s="370" t="s">
        <v>109</v>
      </c>
      <c r="E1123" s="474" t="s">
        <v>14973</v>
      </c>
      <c r="F1123" s="486" t="s">
        <v>14959</v>
      </c>
      <c r="G1123" s="486" t="s">
        <v>14958</v>
      </c>
      <c r="H1123" s="486" t="s">
        <v>14978</v>
      </c>
      <c r="I1123" s="486" t="s">
        <v>18219</v>
      </c>
      <c r="J1123" s="125" t="s">
        <v>207</v>
      </c>
      <c r="K1123" s="125"/>
      <c r="L1123" s="125"/>
    </row>
    <row r="1124" spans="1:12" s="121" customFormat="1" ht="45">
      <c r="A1124" s="361"/>
      <c r="B1124" s="615"/>
      <c r="C1124" s="367" t="s">
        <v>284</v>
      </c>
      <c r="D1124" s="554"/>
      <c r="E1124" s="475" t="s">
        <v>14974</v>
      </c>
      <c r="F1124" s="487" t="s">
        <v>14961</v>
      </c>
      <c r="G1124" s="487" t="s">
        <v>14960</v>
      </c>
      <c r="H1124" s="487" t="s">
        <v>14980</v>
      </c>
      <c r="I1124" s="675" t="s">
        <v>18256</v>
      </c>
      <c r="J1124" s="125" t="s">
        <v>283</v>
      </c>
      <c r="K1124" s="125" t="s">
        <v>280</v>
      </c>
      <c r="L1124" s="125" t="s">
        <v>281</v>
      </c>
    </row>
    <row r="1125" spans="1:12" s="121" customFormat="1" ht="15">
      <c r="A1125" s="362"/>
      <c r="B1125" s="616"/>
      <c r="C1125" s="367" t="s">
        <v>9</v>
      </c>
      <c r="D1125" s="492"/>
      <c r="E1125" s="84">
        <v>1299.99</v>
      </c>
      <c r="F1125" s="488">
        <v>1120</v>
      </c>
      <c r="G1125" s="84">
        <v>793.04</v>
      </c>
      <c r="H1125" s="488">
        <v>985</v>
      </c>
      <c r="I1125" s="84">
        <v>1395.29</v>
      </c>
      <c r="J1125" s="125">
        <f t="shared" ref="J1125" si="272">MEDIAN(E1125:I1125)</f>
        <v>1120</v>
      </c>
      <c r="K1125" s="125">
        <f t="shared" ref="K1125" si="273">J1125*1.3</f>
        <v>1456</v>
      </c>
      <c r="L1125" s="125">
        <f t="shared" ref="L1125" si="274">J1125*0.7</f>
        <v>784</v>
      </c>
    </row>
    <row r="1126" spans="1:12" s="121" customFormat="1" ht="15">
      <c r="A1126" s="362"/>
      <c r="B1126" s="616"/>
      <c r="C1126" s="367" t="s">
        <v>8</v>
      </c>
      <c r="D1126" s="492"/>
      <c r="E1126" s="476" t="s">
        <v>14975</v>
      </c>
      <c r="F1126" s="473" t="s">
        <v>14963</v>
      </c>
      <c r="G1126" s="487" t="s">
        <v>14962</v>
      </c>
      <c r="H1126" s="487" t="s">
        <v>14982</v>
      </c>
      <c r="I1126" s="487"/>
      <c r="J1126" s="125"/>
      <c r="K1126" s="125"/>
      <c r="L1126" s="125"/>
    </row>
    <row r="1127" spans="1:12" s="121" customFormat="1" ht="15">
      <c r="A1127" s="362"/>
      <c r="B1127" s="616"/>
      <c r="C1127" s="367" t="s">
        <v>7</v>
      </c>
      <c r="D1127" s="492"/>
      <c r="E1127" s="489" t="s">
        <v>14976</v>
      </c>
      <c r="F1127" s="489" t="s">
        <v>14965</v>
      </c>
      <c r="G1127" s="489" t="s">
        <v>14964</v>
      </c>
      <c r="H1127" s="489" t="s">
        <v>14981</v>
      </c>
      <c r="I1127" s="489"/>
      <c r="J1127" s="125"/>
      <c r="K1127" s="125"/>
      <c r="L1127" s="125"/>
    </row>
    <row r="1128" spans="1:12" s="121" customFormat="1" ht="15">
      <c r="A1128" s="362"/>
      <c r="B1128" s="616"/>
      <c r="C1128" s="367" t="s">
        <v>6</v>
      </c>
      <c r="D1128" s="493"/>
      <c r="E1128" s="490">
        <v>44235</v>
      </c>
      <c r="F1128" s="490">
        <v>44229</v>
      </c>
      <c r="G1128" s="490">
        <v>44224</v>
      </c>
      <c r="H1128" s="490">
        <v>44253</v>
      </c>
      <c r="I1128" s="490">
        <v>44166</v>
      </c>
      <c r="J1128" s="125"/>
      <c r="K1128" s="125"/>
      <c r="L1128" s="125"/>
    </row>
    <row r="1129" spans="1:12" s="121" customFormat="1" ht="15">
      <c r="A1129" s="363"/>
      <c r="B1129" s="617"/>
      <c r="C1129" s="367" t="s">
        <v>8993</v>
      </c>
      <c r="D1129" s="493"/>
      <c r="E1129" s="490" t="s">
        <v>14977</v>
      </c>
      <c r="F1129" s="490" t="s">
        <v>14967</v>
      </c>
      <c r="G1129" s="490" t="s">
        <v>17269</v>
      </c>
      <c r="H1129" s="490" t="s">
        <v>14979</v>
      </c>
      <c r="I1129" s="490" t="s">
        <v>18220</v>
      </c>
      <c r="J1129" s="125"/>
      <c r="K1129" s="125"/>
      <c r="L1129" s="125"/>
    </row>
    <row r="1130" spans="1:12" s="121" customFormat="1" ht="11.25">
      <c r="A1130" s="2"/>
      <c r="B1130" s="622"/>
      <c r="C1130" s="491"/>
      <c r="D1130" s="491"/>
      <c r="E1130" s="491"/>
      <c r="F1130" s="491"/>
      <c r="G1130" s="491"/>
      <c r="H1130" s="491"/>
      <c r="I1130" s="491"/>
      <c r="J1130" s="124"/>
      <c r="K1130" s="124"/>
      <c r="L1130" s="124"/>
    </row>
    <row r="1131" spans="1:12" s="121" customFormat="1" ht="17.25" customHeight="1">
      <c r="A1131" s="366" t="s">
        <v>18299</v>
      </c>
      <c r="B1131" s="626" t="s">
        <v>18301</v>
      </c>
      <c r="C1131" s="369">
        <f t="shared" ref="C1131" si="275">MIN(E1133:I1133)</f>
        <v>524.04</v>
      </c>
      <c r="D1131" s="370" t="s">
        <v>109</v>
      </c>
      <c r="E1131" s="486" t="s">
        <v>14958</v>
      </c>
      <c r="F1131" s="486" t="s">
        <v>14959</v>
      </c>
      <c r="G1131" s="486" t="s">
        <v>18620</v>
      </c>
      <c r="H1131" s="486" t="s">
        <v>14978</v>
      </c>
      <c r="I1131" s="486"/>
      <c r="J1131" s="125" t="s">
        <v>207</v>
      </c>
      <c r="K1131" s="125"/>
      <c r="L1131" s="125"/>
    </row>
    <row r="1132" spans="1:12" s="121" customFormat="1" ht="22.5">
      <c r="A1132" s="361"/>
      <c r="B1132" s="615"/>
      <c r="C1132" s="367" t="s">
        <v>284</v>
      </c>
      <c r="D1132" s="693"/>
      <c r="E1132" s="675" t="s">
        <v>18617</v>
      </c>
      <c r="F1132" s="487" t="s">
        <v>14961</v>
      </c>
      <c r="G1132" s="487" t="s">
        <v>18619</v>
      </c>
      <c r="H1132" s="487" t="s">
        <v>14980</v>
      </c>
      <c r="I1132" s="675"/>
      <c r="J1132" s="125" t="s">
        <v>283</v>
      </c>
      <c r="K1132" s="125" t="s">
        <v>280</v>
      </c>
      <c r="L1132" s="125" t="s">
        <v>281</v>
      </c>
    </row>
    <row r="1133" spans="1:12" s="121" customFormat="1" ht="15">
      <c r="A1133" s="362"/>
      <c r="B1133" s="616"/>
      <c r="C1133" s="367" t="s">
        <v>9</v>
      </c>
      <c r="D1133" s="492"/>
      <c r="E1133" s="84">
        <v>524.04</v>
      </c>
      <c r="F1133" s="488">
        <v>795</v>
      </c>
      <c r="G1133" s="84">
        <v>562.83000000000004</v>
      </c>
      <c r="H1133" s="488">
        <v>650</v>
      </c>
      <c r="I1133" s="84"/>
      <c r="J1133" s="125">
        <f t="shared" ref="J1133" si="276">MEDIAN(E1133:I1133)</f>
        <v>606.41499999999996</v>
      </c>
      <c r="K1133" s="125">
        <f t="shared" ref="K1133" si="277">J1133*1.3</f>
        <v>788.33949999999993</v>
      </c>
      <c r="L1133" s="125">
        <f t="shared" ref="L1133" si="278">J1133*0.7</f>
        <v>424.49049999999994</v>
      </c>
    </row>
    <row r="1134" spans="1:12" s="121" customFormat="1" ht="15">
      <c r="A1134" s="362"/>
      <c r="B1134" s="616"/>
      <c r="C1134" s="367" t="s">
        <v>8</v>
      </c>
      <c r="D1134" s="492"/>
      <c r="E1134" s="487" t="s">
        <v>14962</v>
      </c>
      <c r="F1134" s="473" t="s">
        <v>14963</v>
      </c>
      <c r="G1134" s="487" t="s">
        <v>18623</v>
      </c>
      <c r="H1134" s="487" t="s">
        <v>14982</v>
      </c>
      <c r="I1134" s="487"/>
      <c r="J1134" s="125"/>
      <c r="K1134" s="125"/>
      <c r="L1134" s="125"/>
    </row>
    <row r="1135" spans="1:12" s="121" customFormat="1" ht="15">
      <c r="A1135" s="362"/>
      <c r="B1135" s="616"/>
      <c r="C1135" s="367" t="s">
        <v>7</v>
      </c>
      <c r="D1135" s="492"/>
      <c r="E1135" s="489" t="s">
        <v>14964</v>
      </c>
      <c r="F1135" s="489" t="s">
        <v>14965</v>
      </c>
      <c r="G1135" s="489" t="s">
        <v>18622</v>
      </c>
      <c r="H1135" s="489" t="s">
        <v>14981</v>
      </c>
      <c r="I1135" s="489"/>
      <c r="J1135" s="125"/>
      <c r="K1135" s="125"/>
      <c r="L1135" s="125"/>
    </row>
    <row r="1136" spans="1:12" s="121" customFormat="1" ht="15">
      <c r="A1136" s="362"/>
      <c r="B1136" s="616"/>
      <c r="C1136" s="367" t="s">
        <v>6</v>
      </c>
      <c r="D1136" s="493"/>
      <c r="E1136" s="490">
        <v>44362</v>
      </c>
      <c r="F1136" s="490">
        <v>44362</v>
      </c>
      <c r="G1136" s="490">
        <v>44362</v>
      </c>
      <c r="H1136" s="490">
        <v>44253</v>
      </c>
      <c r="I1136" s="490"/>
      <c r="J1136" s="125"/>
      <c r="K1136" s="125"/>
      <c r="L1136" s="125"/>
    </row>
    <row r="1137" spans="1:12" s="121" customFormat="1" ht="15">
      <c r="A1137" s="363"/>
      <c r="B1137" s="617"/>
      <c r="C1137" s="367" t="s">
        <v>8993</v>
      </c>
      <c r="D1137" s="493"/>
      <c r="E1137" s="490" t="s">
        <v>18618</v>
      </c>
      <c r="F1137" s="490" t="s">
        <v>18616</v>
      </c>
      <c r="G1137" s="490" t="s">
        <v>18621</v>
      </c>
      <c r="H1137" s="490" t="s">
        <v>18639</v>
      </c>
      <c r="I1137" s="490"/>
      <c r="J1137" s="125"/>
      <c r="K1137" s="125"/>
      <c r="L1137" s="125"/>
    </row>
    <row r="1138" spans="1:12" s="121" customFormat="1" ht="11.25">
      <c r="A1138" s="2"/>
      <c r="B1138" s="622"/>
      <c r="C1138" s="491"/>
      <c r="D1138" s="491"/>
      <c r="E1138" s="491"/>
      <c r="F1138" s="491"/>
      <c r="G1138" s="491"/>
      <c r="H1138" s="491"/>
      <c r="I1138" s="491"/>
      <c r="J1138" s="124"/>
      <c r="K1138" s="124"/>
      <c r="L1138" s="124"/>
    </row>
    <row r="1139" spans="1:12" s="121" customFormat="1" ht="22.5" customHeight="1">
      <c r="A1139" s="366" t="s">
        <v>18300</v>
      </c>
      <c r="B1139" s="626" t="s">
        <v>18302</v>
      </c>
      <c r="C1139" s="369">
        <f t="shared" ref="C1139" si="279">MIN(E1141:I1141)</f>
        <v>92.01</v>
      </c>
      <c r="D1139" s="370" t="s">
        <v>109</v>
      </c>
      <c r="E1139" s="486" t="s">
        <v>14958</v>
      </c>
      <c r="F1139" s="486" t="s">
        <v>14959</v>
      </c>
      <c r="G1139" s="486" t="s">
        <v>14978</v>
      </c>
      <c r="H1139" s="486"/>
      <c r="I1139" s="486"/>
      <c r="J1139" s="125" t="s">
        <v>207</v>
      </c>
      <c r="K1139" s="125"/>
      <c r="L1139" s="125"/>
    </row>
    <row r="1140" spans="1:12" s="121" customFormat="1" ht="22.5">
      <c r="A1140" s="361"/>
      <c r="B1140" s="615"/>
      <c r="C1140" s="367" t="s">
        <v>284</v>
      </c>
      <c r="D1140" s="693"/>
      <c r="E1140" s="675" t="s">
        <v>18617</v>
      </c>
      <c r="F1140" s="487" t="s">
        <v>14961</v>
      </c>
      <c r="G1140" s="487" t="s">
        <v>14980</v>
      </c>
      <c r="H1140" s="487"/>
      <c r="I1140" s="675"/>
      <c r="J1140" s="125" t="s">
        <v>283</v>
      </c>
      <c r="K1140" s="125" t="s">
        <v>280</v>
      </c>
      <c r="L1140" s="125" t="s">
        <v>281</v>
      </c>
    </row>
    <row r="1141" spans="1:12" s="121" customFormat="1" ht="15">
      <c r="A1141" s="362"/>
      <c r="B1141" s="616"/>
      <c r="C1141" s="367" t="s">
        <v>9</v>
      </c>
      <c r="D1141" s="492"/>
      <c r="E1141" s="84">
        <v>92.01</v>
      </c>
      <c r="F1141" s="488">
        <v>124.99</v>
      </c>
      <c r="G1141" s="488">
        <v>145</v>
      </c>
      <c r="H1141" s="488"/>
      <c r="I1141" s="84"/>
      <c r="J1141" s="125">
        <f t="shared" ref="J1141" si="280">MEDIAN(E1141:I1141)</f>
        <v>124.99</v>
      </c>
      <c r="K1141" s="125">
        <f t="shared" ref="K1141" si="281">J1141*1.3</f>
        <v>162.48699999999999</v>
      </c>
      <c r="L1141" s="125">
        <f t="shared" ref="L1141" si="282">J1141*0.7</f>
        <v>87.492999999999995</v>
      </c>
    </row>
    <row r="1142" spans="1:12" s="121" customFormat="1" ht="15">
      <c r="A1142" s="362"/>
      <c r="B1142" s="616"/>
      <c r="C1142" s="367" t="s">
        <v>8</v>
      </c>
      <c r="D1142" s="492"/>
      <c r="E1142" s="487" t="s">
        <v>14962</v>
      </c>
      <c r="F1142" s="473" t="s">
        <v>14963</v>
      </c>
      <c r="G1142" s="487" t="s">
        <v>14982</v>
      </c>
      <c r="H1142" s="487"/>
      <c r="I1142" s="487"/>
      <c r="J1142" s="125"/>
      <c r="K1142" s="125"/>
      <c r="L1142" s="125"/>
    </row>
    <row r="1143" spans="1:12" s="121" customFormat="1" ht="15">
      <c r="A1143" s="362"/>
      <c r="B1143" s="616"/>
      <c r="C1143" s="367" t="s">
        <v>7</v>
      </c>
      <c r="D1143" s="492"/>
      <c r="E1143" s="489" t="s">
        <v>14964</v>
      </c>
      <c r="F1143" s="489" t="s">
        <v>14965</v>
      </c>
      <c r="G1143" s="489" t="s">
        <v>14981</v>
      </c>
      <c r="H1143" s="489"/>
      <c r="I1143" s="489"/>
      <c r="J1143" s="125"/>
      <c r="K1143" s="125"/>
      <c r="L1143" s="125"/>
    </row>
    <row r="1144" spans="1:12" s="121" customFormat="1" ht="15">
      <c r="A1144" s="362"/>
      <c r="B1144" s="616"/>
      <c r="C1144" s="367" t="s">
        <v>6</v>
      </c>
      <c r="D1144" s="493"/>
      <c r="E1144" s="490">
        <v>44362</v>
      </c>
      <c r="F1144" s="490">
        <v>44362</v>
      </c>
      <c r="G1144" s="490">
        <v>44253</v>
      </c>
      <c r="H1144" s="490"/>
      <c r="I1144" s="490"/>
      <c r="J1144" s="125"/>
      <c r="K1144" s="125"/>
      <c r="L1144" s="125"/>
    </row>
    <row r="1145" spans="1:12" s="121" customFormat="1" ht="15">
      <c r="A1145" s="363"/>
      <c r="B1145" s="617"/>
      <c r="C1145" s="367" t="s">
        <v>8993</v>
      </c>
      <c r="D1145" s="493"/>
      <c r="E1145" s="490" t="s">
        <v>18618</v>
      </c>
      <c r="F1145" s="490" t="s">
        <v>18616</v>
      </c>
      <c r="G1145" s="490" t="s">
        <v>18639</v>
      </c>
      <c r="H1145" s="490"/>
      <c r="I1145" s="490"/>
      <c r="J1145" s="125"/>
      <c r="K1145" s="125"/>
      <c r="L1145" s="125"/>
    </row>
    <row r="1146" spans="1:12" s="121" customFormat="1" ht="11.25">
      <c r="A1146" s="2"/>
      <c r="B1146" s="622"/>
      <c r="C1146" s="491"/>
      <c r="D1146" s="491"/>
      <c r="E1146" s="491"/>
      <c r="F1146" s="491"/>
      <c r="G1146" s="491"/>
      <c r="H1146" s="491"/>
      <c r="I1146" s="491"/>
      <c r="J1146" s="124"/>
      <c r="K1146" s="124"/>
      <c r="L1146" s="124"/>
    </row>
    <row r="1147" spans="1:12" s="121" customFormat="1" ht="22.5">
      <c r="A1147" s="366" t="s">
        <v>14623</v>
      </c>
      <c r="B1147" s="626" t="s">
        <v>15035</v>
      </c>
      <c r="C1147" s="369">
        <f t="shared" ref="C1147" si="283">MIN(E1149:I1149)</f>
        <v>0.83</v>
      </c>
      <c r="D1147" s="370" t="s">
        <v>5</v>
      </c>
      <c r="E1147" s="486" t="s">
        <v>15029</v>
      </c>
      <c r="F1147" s="486" t="s">
        <v>14760</v>
      </c>
      <c r="G1147" s="486" t="s">
        <v>14973</v>
      </c>
      <c r="H1147" s="486"/>
      <c r="I1147" s="486"/>
      <c r="J1147" s="125" t="s">
        <v>207</v>
      </c>
      <c r="K1147" s="125"/>
      <c r="L1147" s="125"/>
    </row>
    <row r="1148" spans="1:12" s="121" customFormat="1" ht="22.5">
      <c r="A1148" s="361"/>
      <c r="B1148" s="615"/>
      <c r="C1148" s="367" t="s">
        <v>284</v>
      </c>
      <c r="D1148" s="554"/>
      <c r="E1148" s="487" t="s">
        <v>15030</v>
      </c>
      <c r="F1148" s="487" t="s">
        <v>15031</v>
      </c>
      <c r="G1148" s="487" t="s">
        <v>15032</v>
      </c>
      <c r="H1148" s="487"/>
      <c r="I1148" s="487"/>
      <c r="J1148" s="125" t="s">
        <v>283</v>
      </c>
      <c r="K1148" s="125" t="s">
        <v>280</v>
      </c>
      <c r="L1148" s="125" t="s">
        <v>281</v>
      </c>
    </row>
    <row r="1149" spans="1:12" s="121" customFormat="1" ht="15">
      <c r="A1149" s="362"/>
      <c r="B1149" s="616"/>
      <c r="C1149" s="367" t="s">
        <v>9</v>
      </c>
      <c r="D1149" s="492"/>
      <c r="E1149" s="84">
        <v>0.83</v>
      </c>
      <c r="F1149" s="84">
        <v>0.96333333333333337</v>
      </c>
      <c r="G1149" s="84">
        <v>0.96333333333333337</v>
      </c>
      <c r="H1149" s="84"/>
      <c r="I1149" s="84"/>
      <c r="J1149" s="125">
        <f t="shared" ref="J1149" si="284">MEDIAN(E1149:I1149)</f>
        <v>0.96333333333333337</v>
      </c>
      <c r="K1149" s="125">
        <f t="shared" ref="K1149" si="285">J1149*1.3</f>
        <v>1.2523333333333335</v>
      </c>
      <c r="L1149" s="125">
        <f t="shared" ref="L1149" si="286">J1149*0.7</f>
        <v>0.67433333333333334</v>
      </c>
    </row>
    <row r="1150" spans="1:12" s="121" customFormat="1" ht="15">
      <c r="A1150" s="362"/>
      <c r="B1150" s="616"/>
      <c r="C1150" s="367" t="s">
        <v>8</v>
      </c>
      <c r="D1150" s="492"/>
      <c r="E1150" s="487" t="s">
        <v>15033</v>
      </c>
      <c r="F1150" s="487" t="s">
        <v>15009</v>
      </c>
      <c r="G1150" s="487" t="s">
        <v>14975</v>
      </c>
      <c r="H1150" s="487"/>
      <c r="I1150" s="487"/>
      <c r="J1150" s="125"/>
      <c r="K1150" s="125"/>
      <c r="L1150" s="125"/>
    </row>
    <row r="1151" spans="1:12" s="121" customFormat="1" ht="15">
      <c r="A1151" s="362"/>
      <c r="B1151" s="616"/>
      <c r="C1151" s="367" t="s">
        <v>7</v>
      </c>
      <c r="D1151" s="492"/>
      <c r="E1151" s="489" t="s">
        <v>15034</v>
      </c>
      <c r="F1151" s="489" t="s">
        <v>14761</v>
      </c>
      <c r="G1151" s="489"/>
      <c r="H1151" s="489"/>
      <c r="I1151" s="489"/>
      <c r="J1151" s="125"/>
      <c r="K1151" s="125"/>
      <c r="L1151" s="125"/>
    </row>
    <row r="1152" spans="1:12" s="121" customFormat="1" ht="15">
      <c r="A1152" s="362"/>
      <c r="B1152" s="616"/>
      <c r="C1152" s="367" t="s">
        <v>6</v>
      </c>
      <c r="D1152" s="493"/>
      <c r="E1152" s="490">
        <v>44095</v>
      </c>
      <c r="F1152" s="490">
        <v>44095</v>
      </c>
      <c r="G1152" s="490">
        <v>44095</v>
      </c>
      <c r="H1152" s="490"/>
      <c r="I1152" s="490"/>
      <c r="J1152" s="125"/>
      <c r="K1152" s="125"/>
      <c r="L1152" s="125"/>
    </row>
    <row r="1153" spans="1:12" s="121" customFormat="1" ht="14.25" customHeight="1">
      <c r="A1153" s="363"/>
      <c r="B1153" s="617"/>
      <c r="C1153" s="367" t="s">
        <v>8993</v>
      </c>
      <c r="D1153" s="493"/>
      <c r="E1153" s="490"/>
      <c r="F1153" s="490"/>
      <c r="G1153" s="490"/>
      <c r="H1153" s="490"/>
      <c r="I1153" s="490"/>
      <c r="J1153" s="125"/>
      <c r="K1153" s="125"/>
      <c r="L1153" s="125"/>
    </row>
    <row r="1154" spans="1:12" s="121" customFormat="1" ht="11.25">
      <c r="A1154" s="2"/>
      <c r="B1154" s="622"/>
      <c r="C1154" s="491"/>
      <c r="D1154" s="491"/>
      <c r="E1154" s="491"/>
      <c r="F1154" s="491"/>
      <c r="G1154" s="491"/>
      <c r="H1154" s="491"/>
      <c r="I1154" s="491"/>
      <c r="J1154" s="124"/>
      <c r="K1154" s="124"/>
      <c r="L1154" s="124"/>
    </row>
    <row r="1155" spans="1:12" s="121" customFormat="1" ht="22.5">
      <c r="A1155" s="366" t="s">
        <v>14624</v>
      </c>
      <c r="B1155" s="626" t="s">
        <v>15047</v>
      </c>
      <c r="C1155" s="369">
        <f t="shared" ref="C1155" si="287">MIN(E1157:I1157)</f>
        <v>6.3266666666666671</v>
      </c>
      <c r="D1155" s="370" t="s">
        <v>5</v>
      </c>
      <c r="E1155" s="486" t="s">
        <v>15037</v>
      </c>
      <c r="F1155" s="486" t="s">
        <v>15040</v>
      </c>
      <c r="G1155" s="486" t="s">
        <v>15044</v>
      </c>
      <c r="H1155" s="486"/>
      <c r="I1155" s="486"/>
      <c r="J1155" s="125" t="s">
        <v>207</v>
      </c>
      <c r="K1155" s="125"/>
      <c r="L1155" s="125"/>
    </row>
    <row r="1156" spans="1:12" s="121" customFormat="1" ht="22.5">
      <c r="A1156" s="361"/>
      <c r="B1156" s="615"/>
      <c r="C1156" s="367" t="s">
        <v>284</v>
      </c>
      <c r="D1156" s="554"/>
      <c r="E1156" s="487" t="s">
        <v>14900</v>
      </c>
      <c r="F1156" s="487" t="s">
        <v>15039</v>
      </c>
      <c r="G1156" s="487" t="s">
        <v>15043</v>
      </c>
      <c r="H1156" s="487"/>
      <c r="I1156" s="487"/>
      <c r="J1156" s="125" t="s">
        <v>283</v>
      </c>
      <c r="K1156" s="125" t="s">
        <v>280</v>
      </c>
      <c r="L1156" s="125" t="s">
        <v>281</v>
      </c>
    </row>
    <row r="1157" spans="1:12" s="121" customFormat="1" ht="15">
      <c r="A1157" s="362"/>
      <c r="B1157" s="616"/>
      <c r="C1157" s="367" t="s">
        <v>9</v>
      </c>
      <c r="D1157" s="492"/>
      <c r="E1157" s="84">
        <v>8.0640000000000001</v>
      </c>
      <c r="F1157" s="488">
        <v>6.3266666666666671</v>
      </c>
      <c r="G1157" s="488">
        <v>6.3266666666666671</v>
      </c>
      <c r="H1157" s="84"/>
      <c r="I1157" s="84"/>
      <c r="J1157" s="125">
        <f t="shared" ref="J1157" si="288">MEDIAN(E1157:I1157)</f>
        <v>6.3266666666666671</v>
      </c>
      <c r="K1157" s="125">
        <f t="shared" ref="K1157" si="289">J1157*1.3</f>
        <v>8.2246666666666677</v>
      </c>
      <c r="L1157" s="125">
        <f t="shared" ref="L1157" si="290">J1157*0.7</f>
        <v>4.4286666666666665</v>
      </c>
    </row>
    <row r="1158" spans="1:12" s="121" customFormat="1" ht="15">
      <c r="A1158" s="362"/>
      <c r="B1158" s="616"/>
      <c r="C1158" s="367" t="s">
        <v>8</v>
      </c>
      <c r="D1158" s="492"/>
      <c r="E1158" s="487" t="s">
        <v>14903</v>
      </c>
      <c r="F1158" s="487" t="s">
        <v>15041</v>
      </c>
      <c r="G1158" s="487" t="s">
        <v>15046</v>
      </c>
      <c r="H1158" s="487"/>
      <c r="I1158" s="487"/>
      <c r="J1158" s="125"/>
      <c r="K1158" s="125"/>
      <c r="L1158" s="125"/>
    </row>
    <row r="1159" spans="1:12" s="121" customFormat="1" ht="15">
      <c r="A1159" s="362"/>
      <c r="B1159" s="616"/>
      <c r="C1159" s="367" t="s">
        <v>7</v>
      </c>
      <c r="D1159" s="492"/>
      <c r="E1159" s="489" t="s">
        <v>14902</v>
      </c>
      <c r="F1159" s="489" t="s">
        <v>15042</v>
      </c>
      <c r="G1159" s="489" t="s">
        <v>15045</v>
      </c>
      <c r="H1159" s="489"/>
      <c r="I1159" s="489"/>
      <c r="J1159" s="125"/>
      <c r="K1159" s="125"/>
      <c r="L1159" s="125"/>
    </row>
    <row r="1160" spans="1:12" s="121" customFormat="1" ht="15">
      <c r="A1160" s="362"/>
      <c r="B1160" s="616"/>
      <c r="C1160" s="367" t="s">
        <v>6</v>
      </c>
      <c r="D1160" s="493"/>
      <c r="E1160" s="490">
        <v>44255</v>
      </c>
      <c r="F1160" s="490">
        <v>44255</v>
      </c>
      <c r="G1160" s="490">
        <v>44255</v>
      </c>
      <c r="H1160" s="490"/>
      <c r="I1160" s="490"/>
      <c r="J1160" s="125"/>
      <c r="K1160" s="125"/>
      <c r="L1160" s="125"/>
    </row>
    <row r="1161" spans="1:12" s="121" customFormat="1" ht="15">
      <c r="A1161" s="363"/>
      <c r="B1161" s="617"/>
      <c r="C1161" s="367" t="s">
        <v>8993</v>
      </c>
      <c r="D1161" s="493"/>
      <c r="E1161" s="490" t="s">
        <v>15038</v>
      </c>
      <c r="F1161" s="490" t="s">
        <v>15038</v>
      </c>
      <c r="G1161" s="490" t="s">
        <v>15038</v>
      </c>
      <c r="H1161" s="490"/>
      <c r="I1161" s="490"/>
      <c r="J1161" s="125"/>
      <c r="K1161" s="125"/>
      <c r="L1161" s="125"/>
    </row>
    <row r="1162" spans="1:12" s="121" customFormat="1" ht="11.25">
      <c r="A1162" s="2"/>
      <c r="B1162" s="622"/>
      <c r="C1162" s="491"/>
      <c r="D1162" s="491"/>
      <c r="E1162" s="491"/>
      <c r="F1162" s="491"/>
      <c r="G1162" s="491"/>
      <c r="H1162" s="491"/>
      <c r="I1162" s="491"/>
      <c r="J1162" s="124"/>
      <c r="K1162" s="124"/>
      <c r="L1162" s="124"/>
    </row>
    <row r="1163" spans="1:12" s="121" customFormat="1" ht="22.5">
      <c r="A1163" s="366" t="s">
        <v>18303</v>
      </c>
      <c r="B1163" s="626" t="s">
        <v>18305</v>
      </c>
      <c r="C1163" s="369">
        <f t="shared" ref="C1163" si="291">MIN(E1165:I1165)</f>
        <v>43.74</v>
      </c>
      <c r="D1163" s="370" t="s">
        <v>109</v>
      </c>
      <c r="E1163" s="486" t="s">
        <v>14958</v>
      </c>
      <c r="F1163" s="486" t="s">
        <v>17200</v>
      </c>
      <c r="G1163" s="486" t="s">
        <v>14959</v>
      </c>
      <c r="H1163" s="486"/>
      <c r="I1163" s="486"/>
      <c r="J1163" s="125" t="s">
        <v>207</v>
      </c>
      <c r="K1163" s="125"/>
      <c r="L1163" s="125"/>
    </row>
    <row r="1164" spans="1:12" s="121" customFormat="1" ht="22.5">
      <c r="A1164" s="361"/>
      <c r="B1164" s="615"/>
      <c r="C1164" s="367" t="s">
        <v>284</v>
      </c>
      <c r="D1164" s="693"/>
      <c r="E1164" s="675" t="s">
        <v>14960</v>
      </c>
      <c r="F1164" s="487" t="s">
        <v>18643</v>
      </c>
      <c r="G1164" s="487" t="s">
        <v>14961</v>
      </c>
      <c r="H1164" s="487"/>
      <c r="I1164" s="675"/>
      <c r="J1164" s="125" t="s">
        <v>283</v>
      </c>
      <c r="K1164" s="125" t="s">
        <v>280</v>
      </c>
      <c r="L1164" s="125" t="s">
        <v>281</v>
      </c>
    </row>
    <row r="1165" spans="1:12" s="121" customFormat="1" ht="15">
      <c r="A1165" s="362"/>
      <c r="B1165" s="616"/>
      <c r="C1165" s="367" t="s">
        <v>9</v>
      </c>
      <c r="D1165" s="492"/>
      <c r="E1165" s="84">
        <v>84.72</v>
      </c>
      <c r="F1165" s="84">
        <v>43.74</v>
      </c>
      <c r="G1165" s="488">
        <v>159.69</v>
      </c>
      <c r="H1165" s="488"/>
      <c r="I1165" s="84"/>
      <c r="J1165" s="125">
        <f t="shared" ref="J1165" si="292">MEDIAN(E1165:I1165)</f>
        <v>84.72</v>
      </c>
      <c r="K1165" s="125">
        <f t="shared" ref="K1165" si="293">J1165*1.3</f>
        <v>110.136</v>
      </c>
      <c r="L1165" s="125">
        <f t="shared" ref="L1165" si="294">J1165*0.7</f>
        <v>59.303999999999995</v>
      </c>
    </row>
    <row r="1166" spans="1:12" s="121" customFormat="1" ht="15">
      <c r="A1166" s="362"/>
      <c r="B1166" s="616"/>
      <c r="C1166" s="367" t="s">
        <v>8</v>
      </c>
      <c r="D1166" s="492"/>
      <c r="E1166" s="487" t="s">
        <v>14962</v>
      </c>
      <c r="F1166" s="487" t="s">
        <v>18642</v>
      </c>
      <c r="G1166" s="473" t="s">
        <v>14963</v>
      </c>
      <c r="H1166" s="487"/>
      <c r="I1166" s="487"/>
      <c r="J1166" s="125"/>
      <c r="K1166" s="125"/>
      <c r="L1166" s="125"/>
    </row>
    <row r="1167" spans="1:12" s="121" customFormat="1" ht="15">
      <c r="A1167" s="362"/>
      <c r="B1167" s="616"/>
      <c r="C1167" s="367" t="s">
        <v>7</v>
      </c>
      <c r="D1167" s="492"/>
      <c r="E1167" s="489" t="s">
        <v>14964</v>
      </c>
      <c r="F1167" s="489" t="s">
        <v>17203</v>
      </c>
      <c r="G1167" s="489" t="s">
        <v>14965</v>
      </c>
      <c r="H1167" s="489"/>
      <c r="I1167" s="489"/>
      <c r="J1167" s="125"/>
      <c r="K1167" s="125"/>
      <c r="L1167" s="125"/>
    </row>
    <row r="1168" spans="1:12" s="121" customFormat="1" ht="15">
      <c r="A1168" s="362"/>
      <c r="B1168" s="616"/>
      <c r="C1168" s="367" t="s">
        <v>6</v>
      </c>
      <c r="D1168" s="493"/>
      <c r="E1168" s="490">
        <v>44362</v>
      </c>
      <c r="F1168" s="490">
        <v>44362</v>
      </c>
      <c r="G1168" s="490">
        <v>44386</v>
      </c>
      <c r="H1168" s="490"/>
      <c r="I1168" s="490"/>
      <c r="J1168" s="125"/>
      <c r="K1168" s="125"/>
      <c r="L1168" s="125"/>
    </row>
    <row r="1169" spans="1:12" s="121" customFormat="1" ht="15">
      <c r="A1169" s="363"/>
      <c r="B1169" s="617"/>
      <c r="C1169" s="367" t="s">
        <v>8993</v>
      </c>
      <c r="D1169" s="493"/>
      <c r="E1169" s="490" t="s">
        <v>18615</v>
      </c>
      <c r="F1169" s="490" t="s">
        <v>18641</v>
      </c>
      <c r="G1169" s="490" t="s">
        <v>24844</v>
      </c>
      <c r="H1169" s="490"/>
      <c r="I1169" s="490"/>
      <c r="J1169" s="125"/>
      <c r="K1169" s="125"/>
      <c r="L1169" s="125"/>
    </row>
    <row r="1170" spans="1:12" s="121" customFormat="1" ht="11.25">
      <c r="A1170" s="2"/>
      <c r="B1170" s="622"/>
      <c r="C1170" s="491"/>
      <c r="D1170" s="491"/>
      <c r="E1170" s="491"/>
      <c r="F1170" s="491"/>
      <c r="G1170" s="491"/>
      <c r="H1170" s="491"/>
      <c r="I1170" s="491"/>
      <c r="J1170" s="124"/>
      <c r="K1170" s="124"/>
      <c r="L1170" s="124"/>
    </row>
    <row r="1171" spans="1:12" s="121" customFormat="1" ht="22.5">
      <c r="A1171" s="366" t="s">
        <v>18304</v>
      </c>
      <c r="B1171" s="626" t="s">
        <v>18306</v>
      </c>
      <c r="C1171" s="369">
        <f t="shared" ref="C1171" si="295">MIN(E1173:I1173)</f>
        <v>39.58</v>
      </c>
      <c r="D1171" s="370" t="s">
        <v>109</v>
      </c>
      <c r="E1171" s="486" t="s">
        <v>14959</v>
      </c>
      <c r="F1171" s="486" t="s">
        <v>18625</v>
      </c>
      <c r="G1171" s="486" t="s">
        <v>17230</v>
      </c>
      <c r="H1171" s="486" t="s">
        <v>14978</v>
      </c>
      <c r="I1171" s="486"/>
      <c r="J1171" s="125" t="s">
        <v>207</v>
      </c>
      <c r="K1171" s="125"/>
      <c r="L1171" s="125"/>
    </row>
    <row r="1172" spans="1:12" s="121" customFormat="1" ht="22.5">
      <c r="A1172" s="361"/>
      <c r="B1172" s="615"/>
      <c r="C1172" s="367" t="s">
        <v>284</v>
      </c>
      <c r="D1172" s="693"/>
      <c r="E1172" s="487" t="s">
        <v>14961</v>
      </c>
      <c r="F1172" s="675" t="s">
        <v>18624</v>
      </c>
      <c r="G1172" s="487" t="s">
        <v>14753</v>
      </c>
      <c r="H1172" s="487" t="s">
        <v>14980</v>
      </c>
      <c r="I1172" s="675"/>
      <c r="J1172" s="125" t="s">
        <v>283</v>
      </c>
      <c r="K1172" s="125" t="s">
        <v>280</v>
      </c>
      <c r="L1172" s="125" t="s">
        <v>281</v>
      </c>
    </row>
    <row r="1173" spans="1:12" s="121" customFormat="1" ht="15">
      <c r="A1173" s="362"/>
      <c r="B1173" s="616"/>
      <c r="C1173" s="367" t="s">
        <v>9</v>
      </c>
      <c r="D1173" s="492"/>
      <c r="E1173" s="488">
        <v>54.99</v>
      </c>
      <c r="F1173" s="84">
        <v>60</v>
      </c>
      <c r="G1173" s="84">
        <v>39.58</v>
      </c>
      <c r="H1173" s="488">
        <v>55</v>
      </c>
      <c r="I1173" s="84"/>
      <c r="J1173" s="125">
        <f t="shared" ref="J1173" si="296">MEDIAN(E1173:I1173)</f>
        <v>54.995000000000005</v>
      </c>
      <c r="K1173" s="125">
        <f t="shared" ref="K1173" si="297">J1173*1.3</f>
        <v>71.493500000000012</v>
      </c>
      <c r="L1173" s="125">
        <f t="shared" ref="L1173" si="298">J1173*0.7</f>
        <v>38.496499999999997</v>
      </c>
    </row>
    <row r="1174" spans="1:12" s="121" customFormat="1" ht="15">
      <c r="A1174" s="362"/>
      <c r="B1174" s="616"/>
      <c r="C1174" s="367" t="s">
        <v>8</v>
      </c>
      <c r="D1174" s="492"/>
      <c r="E1174" s="473" t="s">
        <v>14963</v>
      </c>
      <c r="F1174" s="487" t="s">
        <v>18628</v>
      </c>
      <c r="G1174" s="487" t="s">
        <v>17232</v>
      </c>
      <c r="H1174" s="487" t="s">
        <v>14982</v>
      </c>
      <c r="I1174" s="487"/>
      <c r="J1174" s="125"/>
      <c r="K1174" s="125"/>
      <c r="L1174" s="125"/>
    </row>
    <row r="1175" spans="1:12" s="121" customFormat="1" ht="15">
      <c r="A1175" s="362"/>
      <c r="B1175" s="616"/>
      <c r="C1175" s="367" t="s">
        <v>7</v>
      </c>
      <c r="D1175" s="492"/>
      <c r="E1175" s="489" t="s">
        <v>14965</v>
      </c>
      <c r="F1175" s="489" t="s">
        <v>18627</v>
      </c>
      <c r="G1175" s="489" t="s">
        <v>17233</v>
      </c>
      <c r="H1175" s="489" t="s">
        <v>14981</v>
      </c>
      <c r="I1175" s="489"/>
      <c r="J1175" s="125"/>
      <c r="K1175" s="125"/>
      <c r="L1175" s="125"/>
    </row>
    <row r="1176" spans="1:12" s="121" customFormat="1" ht="15">
      <c r="A1176" s="362"/>
      <c r="B1176" s="616"/>
      <c r="C1176" s="367" t="s">
        <v>6</v>
      </c>
      <c r="D1176" s="493"/>
      <c r="E1176" s="490">
        <v>44362</v>
      </c>
      <c r="F1176" s="490">
        <v>44362</v>
      </c>
      <c r="G1176" s="490">
        <v>44362</v>
      </c>
      <c r="H1176" s="490">
        <v>44253</v>
      </c>
      <c r="I1176" s="490"/>
      <c r="J1176" s="125"/>
      <c r="K1176" s="125"/>
      <c r="L1176" s="125"/>
    </row>
    <row r="1177" spans="1:12" s="121" customFormat="1" ht="15">
      <c r="A1177" s="363"/>
      <c r="B1177" s="617"/>
      <c r="C1177" s="367" t="s">
        <v>8993</v>
      </c>
      <c r="D1177" s="493"/>
      <c r="E1177" s="490" t="s">
        <v>18616</v>
      </c>
      <c r="F1177" s="490" t="s">
        <v>18626</v>
      </c>
      <c r="G1177" s="490" t="s">
        <v>18626</v>
      </c>
      <c r="H1177" s="490" t="s">
        <v>18639</v>
      </c>
      <c r="I1177" s="490"/>
      <c r="J1177" s="125"/>
      <c r="K1177" s="125"/>
      <c r="L1177" s="125"/>
    </row>
    <row r="1178" spans="1:12" s="121" customFormat="1" ht="11.25">
      <c r="A1178" s="2"/>
      <c r="B1178" s="622"/>
      <c r="C1178" s="491"/>
      <c r="D1178" s="491"/>
      <c r="E1178" s="491"/>
      <c r="F1178" s="491"/>
      <c r="G1178" s="491"/>
      <c r="H1178" s="491"/>
      <c r="I1178" s="491"/>
      <c r="J1178" s="124"/>
      <c r="K1178" s="124"/>
      <c r="L1178" s="124"/>
    </row>
    <row r="1179" spans="1:12" s="121" customFormat="1" ht="22.5">
      <c r="A1179" s="366" t="s">
        <v>14625</v>
      </c>
      <c r="B1179" s="626" t="s">
        <v>15728</v>
      </c>
      <c r="C1179" s="369">
        <f t="shared" ref="C1179" si="299">MIN(E1181:I1181)</f>
        <v>489.6</v>
      </c>
      <c r="D1179" s="370" t="s">
        <v>109</v>
      </c>
      <c r="E1179" s="486" t="s">
        <v>16742</v>
      </c>
      <c r="F1179" s="486" t="s">
        <v>14760</v>
      </c>
      <c r="G1179" s="486" t="s">
        <v>14766</v>
      </c>
      <c r="H1179" s="486" t="s">
        <v>18219</v>
      </c>
      <c r="I1179" s="486"/>
      <c r="J1179" s="125" t="s">
        <v>207</v>
      </c>
      <c r="K1179" s="125"/>
      <c r="L1179" s="125"/>
    </row>
    <row r="1180" spans="1:12" s="121" customFormat="1" ht="33.75">
      <c r="A1180" s="361"/>
      <c r="B1180" s="615"/>
      <c r="C1180" s="367" t="s">
        <v>284</v>
      </c>
      <c r="D1180" s="554"/>
      <c r="E1180" s="487" t="s">
        <v>16725</v>
      </c>
      <c r="F1180" s="487" t="s">
        <v>15031</v>
      </c>
      <c r="G1180" s="487" t="s">
        <v>16738</v>
      </c>
      <c r="H1180" s="675" t="s">
        <v>18257</v>
      </c>
      <c r="I1180" s="487"/>
      <c r="J1180" s="125" t="s">
        <v>283</v>
      </c>
      <c r="K1180" s="125" t="s">
        <v>280</v>
      </c>
      <c r="L1180" s="125" t="s">
        <v>281</v>
      </c>
    </row>
    <row r="1181" spans="1:12" s="121" customFormat="1" ht="15">
      <c r="A1181" s="362"/>
      <c r="B1181" s="616"/>
      <c r="C1181" s="367" t="s">
        <v>9</v>
      </c>
      <c r="D1181" s="492"/>
      <c r="E1181" s="84">
        <v>514.91999999999996</v>
      </c>
      <c r="F1181" s="488">
        <v>489.6</v>
      </c>
      <c r="G1181" s="488">
        <v>542.03</v>
      </c>
      <c r="H1181" s="84">
        <v>950</v>
      </c>
      <c r="I1181" s="84"/>
      <c r="J1181" s="125">
        <f t="shared" ref="J1181" si="300">MEDIAN(E1181:I1181)</f>
        <v>528.47499999999991</v>
      </c>
      <c r="K1181" s="125">
        <f t="shared" ref="K1181" si="301">J1181*1.3</f>
        <v>687.01749999999993</v>
      </c>
      <c r="L1181" s="125">
        <f t="shared" ref="L1181" si="302">J1181*0.7</f>
        <v>369.93249999999989</v>
      </c>
    </row>
    <row r="1182" spans="1:12" s="121" customFormat="1" ht="15">
      <c r="A1182" s="362"/>
      <c r="B1182" s="616"/>
      <c r="C1182" s="367" t="s">
        <v>8</v>
      </c>
      <c r="D1182" s="492"/>
      <c r="E1182" s="487" t="s">
        <v>14758</v>
      </c>
      <c r="F1182" s="487" t="s">
        <v>15009</v>
      </c>
      <c r="G1182" s="487" t="s">
        <v>16739</v>
      </c>
      <c r="H1182" s="487"/>
      <c r="I1182" s="487"/>
      <c r="J1182" s="125"/>
      <c r="K1182" s="125"/>
      <c r="L1182" s="125"/>
    </row>
    <row r="1183" spans="1:12" s="121" customFormat="1" ht="15">
      <c r="A1183" s="362"/>
      <c r="B1183" s="616"/>
      <c r="C1183" s="367" t="s">
        <v>7</v>
      </c>
      <c r="D1183" s="492"/>
      <c r="E1183" s="489" t="s">
        <v>14759</v>
      </c>
      <c r="F1183" s="489" t="s">
        <v>14761</v>
      </c>
      <c r="G1183" s="489" t="s">
        <v>14768</v>
      </c>
      <c r="H1183" s="489"/>
      <c r="I1183" s="489"/>
      <c r="J1183" s="125"/>
      <c r="K1183" s="125"/>
      <c r="L1183" s="125"/>
    </row>
    <row r="1184" spans="1:12" s="121" customFormat="1" ht="15">
      <c r="A1184" s="362"/>
      <c r="B1184" s="616"/>
      <c r="C1184" s="367" t="s">
        <v>6</v>
      </c>
      <c r="D1184" s="493"/>
      <c r="E1184" s="490">
        <v>44294</v>
      </c>
      <c r="F1184" s="490">
        <v>44095</v>
      </c>
      <c r="G1184" s="490" t="s">
        <v>16728</v>
      </c>
      <c r="H1184" s="490">
        <v>44228</v>
      </c>
      <c r="I1184" s="490"/>
      <c r="J1184" s="125"/>
      <c r="K1184" s="125"/>
      <c r="L1184" s="125"/>
    </row>
    <row r="1185" spans="1:12" s="121" customFormat="1" ht="15">
      <c r="A1185" s="363"/>
      <c r="B1185" s="617"/>
      <c r="C1185" s="367" t="s">
        <v>8993</v>
      </c>
      <c r="D1185" s="493"/>
      <c r="E1185" s="490" t="s">
        <v>16743</v>
      </c>
      <c r="F1185" s="490" t="s">
        <v>16743</v>
      </c>
      <c r="G1185" s="490" t="s">
        <v>16743</v>
      </c>
      <c r="H1185" s="490" t="s">
        <v>18220</v>
      </c>
      <c r="I1185" s="490"/>
      <c r="J1185" s="125"/>
      <c r="K1185" s="125"/>
      <c r="L1185" s="125"/>
    </row>
    <row r="1186" spans="1:12" s="121" customFormat="1" ht="11.25">
      <c r="A1186" s="2"/>
      <c r="B1186" s="622"/>
      <c r="C1186" s="491"/>
      <c r="D1186" s="491"/>
      <c r="E1186" s="491"/>
      <c r="F1186" s="491"/>
      <c r="G1186" s="491"/>
      <c r="H1186" s="491"/>
      <c r="I1186" s="491"/>
      <c r="J1186" s="124"/>
      <c r="K1186" s="124"/>
      <c r="L1186" s="124"/>
    </row>
    <row r="1187" spans="1:12" s="121" customFormat="1" ht="22.5">
      <c r="A1187" s="366" t="s">
        <v>14626</v>
      </c>
      <c r="B1187" s="626" t="s">
        <v>15729</v>
      </c>
      <c r="C1187" s="369">
        <f t="shared" ref="C1187" si="303">MIN(E1189:I1189)</f>
        <v>358.9</v>
      </c>
      <c r="D1187" s="370" t="s">
        <v>109</v>
      </c>
      <c r="E1187" s="486" t="s">
        <v>16742</v>
      </c>
      <c r="F1187" s="486" t="s">
        <v>16723</v>
      </c>
      <c r="G1187" s="486" t="s">
        <v>16744</v>
      </c>
      <c r="H1187" s="486"/>
      <c r="I1187" s="486"/>
      <c r="J1187" s="125" t="s">
        <v>207</v>
      </c>
      <c r="K1187" s="125"/>
      <c r="L1187" s="125"/>
    </row>
    <row r="1188" spans="1:12" s="121" customFormat="1" ht="22.5">
      <c r="A1188" s="361"/>
      <c r="B1188" s="615"/>
      <c r="C1188" s="367" t="s">
        <v>284</v>
      </c>
      <c r="D1188" s="554"/>
      <c r="E1188" s="487" t="s">
        <v>16725</v>
      </c>
      <c r="F1188" s="487" t="s">
        <v>15003</v>
      </c>
      <c r="G1188" s="487" t="s">
        <v>16745</v>
      </c>
      <c r="H1188" s="487"/>
      <c r="I1188" s="487"/>
      <c r="J1188" s="125" t="s">
        <v>283</v>
      </c>
      <c r="K1188" s="125" t="s">
        <v>280</v>
      </c>
      <c r="L1188" s="125" t="s">
        <v>281</v>
      </c>
    </row>
    <row r="1189" spans="1:12" s="121" customFormat="1" ht="15">
      <c r="A1189" s="362"/>
      <c r="B1189" s="616"/>
      <c r="C1189" s="367" t="s">
        <v>9</v>
      </c>
      <c r="D1189" s="492"/>
      <c r="E1189" s="84">
        <v>370.45</v>
      </c>
      <c r="F1189" s="488">
        <v>358.9</v>
      </c>
      <c r="G1189" s="488">
        <v>369.9</v>
      </c>
      <c r="H1189" s="84"/>
      <c r="I1189" s="84"/>
      <c r="J1189" s="125">
        <f t="shared" ref="J1189" si="304">MEDIAN(E1189:I1189)</f>
        <v>369.9</v>
      </c>
      <c r="K1189" s="125">
        <f t="shared" ref="K1189" si="305">J1189*1.3</f>
        <v>480.87</v>
      </c>
      <c r="L1189" s="125">
        <f t="shared" ref="L1189" si="306">J1189*0.7</f>
        <v>258.92999999999995</v>
      </c>
    </row>
    <row r="1190" spans="1:12" s="121" customFormat="1" ht="15">
      <c r="A1190" s="362"/>
      <c r="B1190" s="616"/>
      <c r="C1190" s="367" t="s">
        <v>8</v>
      </c>
      <c r="D1190" s="492"/>
      <c r="E1190" s="487" t="s">
        <v>14758</v>
      </c>
      <c r="F1190" s="487" t="s">
        <v>16746</v>
      </c>
      <c r="G1190" s="487" t="s">
        <v>14898</v>
      </c>
      <c r="H1190" s="487"/>
      <c r="I1190" s="487"/>
      <c r="J1190" s="125"/>
      <c r="K1190" s="125"/>
      <c r="L1190" s="125"/>
    </row>
    <row r="1191" spans="1:12" s="121" customFormat="1" ht="15">
      <c r="A1191" s="362"/>
      <c r="B1191" s="616"/>
      <c r="C1191" s="367" t="s">
        <v>7</v>
      </c>
      <c r="D1191" s="492"/>
      <c r="E1191" s="489" t="s">
        <v>14759</v>
      </c>
      <c r="F1191" s="489" t="s">
        <v>16726</v>
      </c>
      <c r="G1191" s="489" t="s">
        <v>14899</v>
      </c>
      <c r="H1191" s="489"/>
      <c r="I1191" s="489"/>
      <c r="J1191" s="125"/>
      <c r="K1191" s="125"/>
      <c r="L1191" s="125"/>
    </row>
    <row r="1192" spans="1:12" s="121" customFormat="1" ht="15">
      <c r="A1192" s="362"/>
      <c r="B1192" s="616"/>
      <c r="C1192" s="367" t="s">
        <v>6</v>
      </c>
      <c r="D1192" s="493"/>
      <c r="E1192" s="490">
        <v>44294</v>
      </c>
      <c r="F1192" s="490">
        <v>44294</v>
      </c>
      <c r="G1192" s="490">
        <v>44294</v>
      </c>
      <c r="H1192" s="490"/>
      <c r="I1192" s="490"/>
      <c r="J1192" s="125"/>
      <c r="K1192" s="125"/>
      <c r="L1192" s="125"/>
    </row>
    <row r="1193" spans="1:12" s="121" customFormat="1" ht="15">
      <c r="A1193" s="363"/>
      <c r="B1193" s="617"/>
      <c r="C1193" s="367" t="s">
        <v>8993</v>
      </c>
      <c r="D1193" s="493"/>
      <c r="E1193" s="490" t="s">
        <v>16747</v>
      </c>
      <c r="F1193" s="490" t="s">
        <v>16747</v>
      </c>
      <c r="G1193" s="490" t="s">
        <v>16747</v>
      </c>
      <c r="H1193" s="490"/>
      <c r="I1193" s="490"/>
      <c r="J1193" s="125"/>
      <c r="K1193" s="125"/>
      <c r="L1193" s="125"/>
    </row>
    <row r="1194" spans="1:12" s="121" customFormat="1" ht="11.25">
      <c r="A1194" s="2"/>
      <c r="B1194" s="622"/>
      <c r="C1194" s="491"/>
      <c r="D1194" s="491"/>
      <c r="E1194" s="491"/>
      <c r="F1194" s="491"/>
      <c r="G1194" s="491"/>
      <c r="H1194" s="491"/>
      <c r="I1194" s="491"/>
      <c r="J1194" s="124"/>
      <c r="K1194" s="124"/>
      <c r="L1194" s="124"/>
    </row>
    <row r="1195" spans="1:12" s="121" customFormat="1" ht="11.25">
      <c r="A1195" s="366" t="s">
        <v>14627</v>
      </c>
      <c r="B1195" s="626" t="s">
        <v>15730</v>
      </c>
      <c r="C1195" s="369">
        <f t="shared" ref="C1195" si="307">MIN(E1197:I1197)</f>
        <v>462.24</v>
      </c>
      <c r="D1195" s="370" t="s">
        <v>109</v>
      </c>
      <c r="E1195" s="486" t="s">
        <v>17337</v>
      </c>
      <c r="F1195" s="486" t="s">
        <v>17823</v>
      </c>
      <c r="G1195" s="486" t="s">
        <v>18168</v>
      </c>
      <c r="H1195" s="486" t="s">
        <v>18169</v>
      </c>
      <c r="I1195" s="486"/>
      <c r="J1195" s="125" t="s">
        <v>207</v>
      </c>
      <c r="K1195" s="125"/>
      <c r="L1195" s="125"/>
    </row>
    <row r="1196" spans="1:12" s="121" customFormat="1" ht="22.5">
      <c r="A1196" s="361"/>
      <c r="B1196" s="615"/>
      <c r="C1196" s="367" t="s">
        <v>284</v>
      </c>
      <c r="D1196" s="554"/>
      <c r="E1196" s="487" t="s">
        <v>17338</v>
      </c>
      <c r="F1196" s="487" t="s">
        <v>15340</v>
      </c>
      <c r="G1196" s="487" t="s">
        <v>18170</v>
      </c>
      <c r="H1196" s="487" t="s">
        <v>16759</v>
      </c>
      <c r="I1196" s="487"/>
      <c r="J1196" s="125" t="s">
        <v>283</v>
      </c>
      <c r="K1196" s="125" t="s">
        <v>280</v>
      </c>
      <c r="L1196" s="125" t="s">
        <v>281</v>
      </c>
    </row>
    <row r="1197" spans="1:12" s="121" customFormat="1" ht="15">
      <c r="A1197" s="362"/>
      <c r="B1197" s="616"/>
      <c r="C1197" s="367" t="s">
        <v>9</v>
      </c>
      <c r="D1197" s="492"/>
      <c r="E1197" s="84">
        <v>537.79999999999995</v>
      </c>
      <c r="F1197" s="488">
        <v>462.24</v>
      </c>
      <c r="G1197" s="488">
        <v>575.65</v>
      </c>
      <c r="H1197" s="488">
        <v>529</v>
      </c>
      <c r="I1197" s="84"/>
      <c r="J1197" s="125">
        <f t="shared" ref="J1197" si="308">MEDIAN(E1197:I1197)</f>
        <v>533.4</v>
      </c>
      <c r="K1197" s="125">
        <f t="shared" ref="K1197" si="309">J1197*1.3</f>
        <v>693.42</v>
      </c>
      <c r="L1197" s="125">
        <f t="shared" ref="L1197" si="310">J1197*0.7</f>
        <v>373.37999999999994</v>
      </c>
    </row>
    <row r="1198" spans="1:12" s="121" customFormat="1" ht="15">
      <c r="A1198" s="362"/>
      <c r="B1198" s="616"/>
      <c r="C1198" s="367" t="s">
        <v>8</v>
      </c>
      <c r="D1198" s="492"/>
      <c r="E1198" s="487" t="s">
        <v>17339</v>
      </c>
      <c r="F1198" s="487" t="s">
        <v>17824</v>
      </c>
      <c r="G1198" s="487" t="s">
        <v>18171</v>
      </c>
      <c r="H1198" s="487" t="s">
        <v>18172</v>
      </c>
      <c r="I1198" s="487"/>
      <c r="J1198" s="125"/>
      <c r="K1198" s="125"/>
      <c r="L1198" s="125"/>
    </row>
    <row r="1199" spans="1:12" s="121" customFormat="1" ht="15">
      <c r="A1199" s="362"/>
      <c r="B1199" s="616"/>
      <c r="C1199" s="367" t="s">
        <v>7</v>
      </c>
      <c r="D1199" s="492"/>
      <c r="E1199" s="489" t="s">
        <v>17340</v>
      </c>
      <c r="F1199" s="489" t="s">
        <v>17825</v>
      </c>
      <c r="G1199" s="489" t="s">
        <v>18173</v>
      </c>
      <c r="H1199" s="489" t="s">
        <v>18174</v>
      </c>
      <c r="I1199" s="489"/>
      <c r="J1199" s="125"/>
      <c r="K1199" s="125"/>
      <c r="L1199" s="125"/>
    </row>
    <row r="1200" spans="1:12" s="121" customFormat="1" ht="15">
      <c r="A1200" s="362"/>
      <c r="B1200" s="616"/>
      <c r="C1200" s="367" t="s">
        <v>6</v>
      </c>
      <c r="D1200" s="493"/>
      <c r="E1200" s="490">
        <v>44308</v>
      </c>
      <c r="F1200" s="490">
        <v>44326</v>
      </c>
      <c r="G1200" s="490">
        <v>44328</v>
      </c>
      <c r="H1200" s="490">
        <v>44328</v>
      </c>
      <c r="I1200" s="490"/>
      <c r="J1200" s="125"/>
      <c r="K1200" s="125"/>
      <c r="L1200" s="125"/>
    </row>
    <row r="1201" spans="1:12" s="121" customFormat="1" ht="19.5" customHeight="1">
      <c r="A1201" s="363"/>
      <c r="B1201" s="617"/>
      <c r="C1201" s="367" t="s">
        <v>8993</v>
      </c>
      <c r="D1201" s="493"/>
      <c r="E1201" s="490" t="s">
        <v>17341</v>
      </c>
      <c r="F1201" s="490" t="s">
        <v>17826</v>
      </c>
      <c r="G1201" s="490" t="s">
        <v>18091</v>
      </c>
      <c r="H1201" s="490" t="s">
        <v>18218</v>
      </c>
      <c r="I1201" s="490"/>
      <c r="J1201" s="125"/>
      <c r="K1201" s="125"/>
      <c r="L1201" s="125"/>
    </row>
    <row r="1202" spans="1:12" s="121" customFormat="1" ht="11.25">
      <c r="A1202" s="2"/>
      <c r="B1202" s="622"/>
      <c r="C1202" s="491"/>
      <c r="D1202" s="491"/>
      <c r="E1202" s="491"/>
      <c r="F1202" s="491"/>
      <c r="G1202" s="491"/>
      <c r="H1202" s="491"/>
      <c r="I1202" s="491"/>
      <c r="J1202" s="124"/>
      <c r="K1202" s="124"/>
      <c r="L1202" s="124"/>
    </row>
    <row r="1203" spans="1:12" s="121" customFormat="1" ht="13.5" customHeight="1">
      <c r="A1203" s="366" t="s">
        <v>15727</v>
      </c>
      <c r="B1203" s="626" t="s">
        <v>16795</v>
      </c>
      <c r="C1203" s="369">
        <f t="shared" ref="C1203" si="311">MIN(E1205:I1205)</f>
        <v>71.960000000000008</v>
      </c>
      <c r="D1203" s="370" t="s">
        <v>5</v>
      </c>
      <c r="E1203" s="486" t="s">
        <v>17146</v>
      </c>
      <c r="F1203" s="486" t="s">
        <v>14865</v>
      </c>
      <c r="G1203" s="486" t="s">
        <v>17205</v>
      </c>
      <c r="H1203" s="486" t="s">
        <v>17229</v>
      </c>
      <c r="I1203" s="486" t="s">
        <v>17230</v>
      </c>
      <c r="J1203" s="125" t="s">
        <v>207</v>
      </c>
      <c r="K1203" s="125"/>
      <c r="L1203" s="125"/>
    </row>
    <row r="1204" spans="1:12" s="121" customFormat="1" ht="22.5">
      <c r="A1204" s="361"/>
      <c r="B1204" s="615"/>
      <c r="C1204" s="367" t="s">
        <v>284</v>
      </c>
      <c r="D1204" s="554"/>
      <c r="E1204" s="487" t="s">
        <v>17206</v>
      </c>
      <c r="F1204" s="487" t="s">
        <v>14864</v>
      </c>
      <c r="G1204" s="487" t="s">
        <v>17207</v>
      </c>
      <c r="H1204" s="487" t="s">
        <v>17231</v>
      </c>
      <c r="I1204" s="487" t="s">
        <v>14753</v>
      </c>
      <c r="J1204" s="125" t="s">
        <v>283</v>
      </c>
      <c r="K1204" s="125" t="s">
        <v>280</v>
      </c>
      <c r="L1204" s="125" t="s">
        <v>281</v>
      </c>
    </row>
    <row r="1205" spans="1:12" s="121" customFormat="1" ht="15">
      <c r="A1205" s="362"/>
      <c r="B1205" s="616"/>
      <c r="C1205" s="367" t="s">
        <v>9</v>
      </c>
      <c r="D1205" s="492"/>
      <c r="E1205" s="84">
        <v>99.94</v>
      </c>
      <c r="F1205" s="488">
        <v>78.710000000000008</v>
      </c>
      <c r="G1205" s="488">
        <v>85.391999999999996</v>
      </c>
      <c r="H1205" s="84">
        <v>101.16</v>
      </c>
      <c r="I1205" s="84">
        <v>71.960000000000008</v>
      </c>
      <c r="J1205" s="125">
        <f t="shared" ref="J1205" si="312">MEDIAN(E1205:I1205)</f>
        <v>85.391999999999996</v>
      </c>
      <c r="K1205" s="125">
        <f t="shared" ref="K1205" si="313">J1205*1.3</f>
        <v>111.00959999999999</v>
      </c>
      <c r="L1205" s="125">
        <f t="shared" ref="L1205" si="314">J1205*0.7</f>
        <v>59.774399999999993</v>
      </c>
    </row>
    <row r="1206" spans="1:12" s="121" customFormat="1" ht="15">
      <c r="A1206" s="362"/>
      <c r="B1206" s="616"/>
      <c r="C1206" s="367" t="s">
        <v>8</v>
      </c>
      <c r="D1206" s="492"/>
      <c r="E1206" s="487" t="s">
        <v>17147</v>
      </c>
      <c r="F1206" s="487" t="s">
        <v>14867</v>
      </c>
      <c r="G1206" s="487" t="s">
        <v>17208</v>
      </c>
      <c r="H1206" s="487" t="s">
        <v>14510</v>
      </c>
      <c r="I1206" s="487" t="s">
        <v>17232</v>
      </c>
      <c r="J1206" s="125"/>
      <c r="K1206" s="125"/>
      <c r="L1206" s="125"/>
    </row>
    <row r="1207" spans="1:12" s="121" customFormat="1" ht="15">
      <c r="A1207" s="362"/>
      <c r="B1207" s="616"/>
      <c r="C1207" s="367" t="s">
        <v>7</v>
      </c>
      <c r="D1207" s="492"/>
      <c r="E1207" s="489" t="s">
        <v>17209</v>
      </c>
      <c r="F1207" s="489" t="s">
        <v>14866</v>
      </c>
      <c r="G1207" s="489" t="s">
        <v>17210</v>
      </c>
      <c r="H1207" s="489" t="s">
        <v>15149</v>
      </c>
      <c r="I1207" s="489" t="s">
        <v>17233</v>
      </c>
      <c r="J1207" s="125"/>
      <c r="K1207" s="125"/>
      <c r="L1207" s="125"/>
    </row>
    <row r="1208" spans="1:12" s="121" customFormat="1" ht="15">
      <c r="A1208" s="362"/>
      <c r="B1208" s="616"/>
      <c r="C1208" s="367" t="s">
        <v>6</v>
      </c>
      <c r="D1208" s="493"/>
      <c r="E1208" s="490">
        <v>44301</v>
      </c>
      <c r="F1208" s="490">
        <v>44301</v>
      </c>
      <c r="G1208" s="490">
        <v>44301</v>
      </c>
      <c r="H1208" s="490">
        <v>44302</v>
      </c>
      <c r="I1208" s="490">
        <v>44302</v>
      </c>
      <c r="J1208" s="125"/>
      <c r="K1208" s="125"/>
      <c r="L1208" s="125"/>
    </row>
    <row r="1209" spans="1:12" s="121" customFormat="1" ht="15">
      <c r="A1209" s="363"/>
      <c r="B1209" s="617"/>
      <c r="C1209" s="367" t="s">
        <v>8993</v>
      </c>
      <c r="D1209" s="493"/>
      <c r="E1209" s="490" t="s">
        <v>15281</v>
      </c>
      <c r="F1209" s="490" t="s">
        <v>15281</v>
      </c>
      <c r="G1209" s="490" t="s">
        <v>15281</v>
      </c>
      <c r="H1209" s="490" t="s">
        <v>15720</v>
      </c>
      <c r="I1209" s="490" t="s">
        <v>15720</v>
      </c>
      <c r="J1209" s="125"/>
      <c r="K1209" s="125"/>
      <c r="L1209" s="125"/>
    </row>
    <row r="1210" spans="1:12" s="121" customFormat="1" ht="11.25">
      <c r="A1210" s="2"/>
      <c r="B1210" s="622"/>
      <c r="C1210" s="491"/>
      <c r="D1210" s="491"/>
      <c r="E1210" s="491"/>
      <c r="F1210" s="491"/>
      <c r="G1210" s="491"/>
      <c r="H1210" s="491"/>
      <c r="I1210" s="491"/>
      <c r="J1210" s="124"/>
      <c r="K1210" s="124"/>
      <c r="L1210" s="124"/>
    </row>
    <row r="1211" spans="1:12" s="121" customFormat="1" ht="11.25">
      <c r="A1211" s="366" t="s">
        <v>14628</v>
      </c>
      <c r="B1211" s="626" t="s">
        <v>14629</v>
      </c>
      <c r="C1211" s="369">
        <f t="shared" ref="C1211" si="315">MIN(E1213:I1213)</f>
        <v>37.94</v>
      </c>
      <c r="D1211" s="370" t="s">
        <v>109</v>
      </c>
      <c r="E1211" s="486" t="s">
        <v>15164</v>
      </c>
      <c r="F1211" s="486" t="s">
        <v>15168</v>
      </c>
      <c r="G1211" s="486" t="s">
        <v>14865</v>
      </c>
      <c r="H1211" s="486"/>
      <c r="I1211" s="486"/>
      <c r="J1211" s="125" t="s">
        <v>207</v>
      </c>
      <c r="K1211" s="125"/>
      <c r="L1211" s="125"/>
    </row>
    <row r="1212" spans="1:12" s="121" customFormat="1" ht="22.5">
      <c r="A1212" s="361"/>
      <c r="B1212" s="615"/>
      <c r="C1212" s="367" t="s">
        <v>284</v>
      </c>
      <c r="D1212" s="554"/>
      <c r="E1212" s="487" t="s">
        <v>15163</v>
      </c>
      <c r="F1212" s="487" t="s">
        <v>15021</v>
      </c>
      <c r="G1212" s="487" t="s">
        <v>14864</v>
      </c>
      <c r="H1212" s="487"/>
      <c r="I1212" s="487"/>
      <c r="J1212" s="125" t="s">
        <v>283</v>
      </c>
      <c r="K1212" s="125" t="s">
        <v>280</v>
      </c>
      <c r="L1212" s="125" t="s">
        <v>281</v>
      </c>
    </row>
    <row r="1213" spans="1:12" s="121" customFormat="1" ht="15">
      <c r="A1213" s="362"/>
      <c r="B1213" s="616"/>
      <c r="C1213" s="367" t="s">
        <v>9</v>
      </c>
      <c r="D1213" s="492"/>
      <c r="E1213" s="84">
        <v>58.9</v>
      </c>
      <c r="F1213" s="488">
        <v>37.94</v>
      </c>
      <c r="G1213" s="488">
        <v>60.85</v>
      </c>
      <c r="H1213" s="84"/>
      <c r="I1213" s="84"/>
      <c r="J1213" s="125">
        <f t="shared" ref="J1213" si="316">MEDIAN(E1213:I1213)</f>
        <v>58.9</v>
      </c>
      <c r="K1213" s="125">
        <f t="shared" ref="K1213" si="317">J1213*1.3</f>
        <v>76.570000000000007</v>
      </c>
      <c r="L1213" s="125">
        <f t="shared" ref="L1213" si="318">J1213*0.7</f>
        <v>41.23</v>
      </c>
    </row>
    <row r="1214" spans="1:12" s="121" customFormat="1" ht="15">
      <c r="A1214" s="362"/>
      <c r="B1214" s="616"/>
      <c r="C1214" s="367" t="s">
        <v>8</v>
      </c>
      <c r="D1214" s="492"/>
      <c r="E1214" s="487" t="s">
        <v>15166</v>
      </c>
      <c r="F1214" s="487" t="s">
        <v>15024</v>
      </c>
      <c r="G1214" s="487" t="s">
        <v>14867</v>
      </c>
      <c r="H1214" s="487"/>
      <c r="I1214" s="487"/>
      <c r="J1214" s="125"/>
      <c r="K1214" s="125"/>
      <c r="L1214" s="125"/>
    </row>
    <row r="1215" spans="1:12" s="121" customFormat="1" ht="15">
      <c r="A1215" s="362"/>
      <c r="B1215" s="616"/>
      <c r="C1215" s="367" t="s">
        <v>7</v>
      </c>
      <c r="D1215" s="492"/>
      <c r="E1215" s="489" t="s">
        <v>15167</v>
      </c>
      <c r="F1215" s="489" t="s">
        <v>15023</v>
      </c>
      <c r="G1215" s="489" t="s">
        <v>14866</v>
      </c>
      <c r="H1215" s="489"/>
      <c r="I1215" s="489"/>
      <c r="J1215" s="125"/>
      <c r="K1215" s="125"/>
      <c r="L1215" s="125"/>
    </row>
    <row r="1216" spans="1:12" s="121" customFormat="1" ht="15">
      <c r="A1216" s="362"/>
      <c r="B1216" s="616"/>
      <c r="C1216" s="367" t="s">
        <v>6</v>
      </c>
      <c r="D1216" s="493"/>
      <c r="E1216" s="490">
        <v>44256</v>
      </c>
      <c r="F1216" s="490">
        <v>44256</v>
      </c>
      <c r="G1216" s="490">
        <v>44256</v>
      </c>
      <c r="H1216" s="490"/>
      <c r="I1216" s="490"/>
      <c r="J1216" s="125"/>
      <c r="K1216" s="125"/>
      <c r="L1216" s="125"/>
    </row>
    <row r="1217" spans="1:12" s="121" customFormat="1" ht="15">
      <c r="A1217" s="363"/>
      <c r="B1217" s="617"/>
      <c r="C1217" s="367" t="s">
        <v>8993</v>
      </c>
      <c r="D1217" s="493"/>
      <c r="E1217" s="490" t="s">
        <v>15165</v>
      </c>
      <c r="F1217" s="490" t="s">
        <v>15165</v>
      </c>
      <c r="G1217" s="490" t="s">
        <v>15165</v>
      </c>
      <c r="H1217" s="490"/>
      <c r="I1217" s="490"/>
      <c r="J1217" s="125"/>
      <c r="K1217" s="125"/>
      <c r="L1217" s="125"/>
    </row>
    <row r="1218" spans="1:12" s="121" customFormat="1" ht="11.25">
      <c r="A1218" s="2"/>
      <c r="B1218" s="622"/>
      <c r="C1218" s="491"/>
      <c r="D1218" s="491"/>
      <c r="E1218" s="491"/>
      <c r="F1218" s="491"/>
      <c r="G1218" s="491"/>
      <c r="H1218" s="491"/>
      <c r="I1218" s="491"/>
      <c r="J1218" s="124"/>
      <c r="K1218" s="124"/>
      <c r="L1218" s="124"/>
    </row>
    <row r="1219" spans="1:12" s="121" customFormat="1" ht="11.25">
      <c r="A1219" s="366" t="s">
        <v>14630</v>
      </c>
      <c r="B1219" s="626" t="s">
        <v>14631</v>
      </c>
      <c r="C1219" s="369">
        <f t="shared" ref="C1219" si="319">MIN(E1221:I1221)</f>
        <v>158.85</v>
      </c>
      <c r="D1219" s="370" t="s">
        <v>109</v>
      </c>
      <c r="E1219" s="486" t="s">
        <v>15198</v>
      </c>
      <c r="F1219" s="486" t="s">
        <v>15201</v>
      </c>
      <c r="G1219" s="486" t="s">
        <v>15007</v>
      </c>
      <c r="H1219" s="486" t="s">
        <v>18219</v>
      </c>
      <c r="I1219" s="486"/>
      <c r="J1219" s="125" t="s">
        <v>207</v>
      </c>
      <c r="K1219" s="125"/>
      <c r="L1219" s="125"/>
    </row>
    <row r="1220" spans="1:12" s="121" customFormat="1" ht="33.75">
      <c r="A1220" s="361"/>
      <c r="B1220" s="615"/>
      <c r="C1220" s="367" t="s">
        <v>284</v>
      </c>
      <c r="D1220" s="554"/>
      <c r="E1220" s="487" t="s">
        <v>15197</v>
      </c>
      <c r="F1220" s="487" t="s">
        <v>14920</v>
      </c>
      <c r="G1220" s="487" t="s">
        <v>15008</v>
      </c>
      <c r="H1220" s="675" t="s">
        <v>18258</v>
      </c>
      <c r="I1220" s="487"/>
      <c r="J1220" s="125" t="s">
        <v>283</v>
      </c>
      <c r="K1220" s="125" t="s">
        <v>280</v>
      </c>
      <c r="L1220" s="125" t="s">
        <v>281</v>
      </c>
    </row>
    <row r="1221" spans="1:12" s="121" customFormat="1" ht="15">
      <c r="A1221" s="362"/>
      <c r="B1221" s="616"/>
      <c r="C1221" s="367" t="s">
        <v>9</v>
      </c>
      <c r="D1221" s="492"/>
      <c r="E1221" s="84">
        <v>158.85</v>
      </c>
      <c r="F1221" s="488">
        <v>189.81</v>
      </c>
      <c r="G1221" s="488">
        <v>210.9</v>
      </c>
      <c r="H1221" s="84">
        <v>168.9</v>
      </c>
      <c r="I1221" s="84"/>
      <c r="J1221" s="125">
        <f t="shared" ref="J1221" si="320">MEDIAN(E1221:I1221)</f>
        <v>179.35500000000002</v>
      </c>
      <c r="K1221" s="125">
        <f t="shared" ref="K1221" si="321">J1221*1.3</f>
        <v>233.16150000000002</v>
      </c>
      <c r="L1221" s="125">
        <f t="shared" ref="L1221" si="322">J1221*0.7</f>
        <v>125.5485</v>
      </c>
    </row>
    <row r="1222" spans="1:12" s="121" customFormat="1" ht="15">
      <c r="A1222" s="362"/>
      <c r="B1222" s="616"/>
      <c r="C1222" s="367" t="s">
        <v>8</v>
      </c>
      <c r="D1222" s="492"/>
      <c r="E1222" s="487" t="s">
        <v>15200</v>
      </c>
      <c r="F1222" s="487" t="s">
        <v>14922</v>
      </c>
      <c r="G1222" s="487" t="s">
        <v>15009</v>
      </c>
      <c r="H1222" s="487"/>
      <c r="I1222" s="487"/>
      <c r="J1222" s="125"/>
      <c r="K1222" s="125"/>
      <c r="L1222" s="125"/>
    </row>
    <row r="1223" spans="1:12" s="121" customFormat="1" ht="15">
      <c r="A1223" s="362"/>
      <c r="B1223" s="616"/>
      <c r="C1223" s="367" t="s">
        <v>7</v>
      </c>
      <c r="D1223" s="492"/>
      <c r="E1223" s="489" t="s">
        <v>15199</v>
      </c>
      <c r="F1223" s="489"/>
      <c r="G1223" s="489"/>
      <c r="H1223" s="489"/>
      <c r="I1223" s="489"/>
      <c r="J1223" s="125"/>
      <c r="K1223" s="125"/>
      <c r="L1223" s="125"/>
    </row>
    <row r="1224" spans="1:12" s="121" customFormat="1" ht="15">
      <c r="A1224" s="362"/>
      <c r="B1224" s="616"/>
      <c r="C1224" s="367" t="s">
        <v>6</v>
      </c>
      <c r="D1224" s="493"/>
      <c r="E1224" s="490">
        <v>44256</v>
      </c>
      <c r="F1224" s="490">
        <v>44256</v>
      </c>
      <c r="G1224" s="490">
        <v>44256</v>
      </c>
      <c r="H1224" s="490">
        <v>44012</v>
      </c>
      <c r="I1224" s="490"/>
      <c r="J1224" s="125"/>
      <c r="K1224" s="125"/>
      <c r="L1224" s="125"/>
    </row>
    <row r="1225" spans="1:12" s="121" customFormat="1" ht="15">
      <c r="A1225" s="363"/>
      <c r="B1225" s="617"/>
      <c r="C1225" s="367" t="s">
        <v>8993</v>
      </c>
      <c r="D1225" s="493"/>
      <c r="E1225" s="490" t="s">
        <v>15196</v>
      </c>
      <c r="F1225" s="490" t="s">
        <v>15196</v>
      </c>
      <c r="G1225" s="490" t="s">
        <v>15196</v>
      </c>
      <c r="H1225" s="490" t="s">
        <v>18220</v>
      </c>
      <c r="I1225" s="490"/>
      <c r="J1225" s="125"/>
      <c r="K1225" s="125"/>
      <c r="L1225" s="125"/>
    </row>
    <row r="1226" spans="1:12" s="121" customFormat="1" ht="11.25">
      <c r="A1226" s="2"/>
      <c r="B1226" s="491"/>
      <c r="C1226" s="491"/>
      <c r="D1226" s="491"/>
      <c r="E1226" s="491"/>
      <c r="F1226" s="491"/>
      <c r="G1226" s="491"/>
      <c r="H1226" s="491"/>
      <c r="I1226" s="491"/>
      <c r="J1226" s="124"/>
      <c r="K1226" s="124"/>
      <c r="L1226" s="124"/>
    </row>
    <row r="1227" spans="1:12" s="121" customFormat="1" ht="22.5">
      <c r="A1227" s="366" t="s">
        <v>18188</v>
      </c>
      <c r="B1227" s="679" t="s">
        <v>18189</v>
      </c>
      <c r="C1227" s="515">
        <f t="shared" ref="C1227" si="323">MIN(E1229:I1229)</f>
        <v>27.9</v>
      </c>
      <c r="D1227" s="370" t="s">
        <v>109</v>
      </c>
      <c r="E1227" s="486" t="s">
        <v>18190</v>
      </c>
      <c r="F1227" s="486" t="s">
        <v>18191</v>
      </c>
      <c r="G1227" s="486" t="s">
        <v>18192</v>
      </c>
      <c r="H1227" s="486"/>
      <c r="I1227" s="661"/>
      <c r="J1227" s="125" t="s">
        <v>207</v>
      </c>
      <c r="K1227" s="125"/>
      <c r="L1227" s="125"/>
    </row>
    <row r="1228" spans="1:12" s="121" customFormat="1" ht="22.5">
      <c r="A1228" s="361"/>
      <c r="B1228" s="662"/>
      <c r="C1228" s="367" t="s">
        <v>284</v>
      </c>
      <c r="D1228" s="663"/>
      <c r="E1228" s="487" t="s">
        <v>18193</v>
      </c>
      <c r="F1228" s="487" t="s">
        <v>18194</v>
      </c>
      <c r="G1228" s="487" t="s">
        <v>18195</v>
      </c>
      <c r="H1228" s="675"/>
      <c r="I1228" s="487"/>
      <c r="J1228" s="125" t="s">
        <v>283</v>
      </c>
      <c r="K1228" s="125" t="s">
        <v>280</v>
      </c>
      <c r="L1228" s="125" t="s">
        <v>281</v>
      </c>
    </row>
    <row r="1229" spans="1:12" s="121" customFormat="1" ht="15">
      <c r="A1229" s="362"/>
      <c r="B1229" s="664"/>
      <c r="C1229" s="367" t="s">
        <v>9</v>
      </c>
      <c r="D1229" s="665"/>
      <c r="E1229" s="516">
        <v>29.53</v>
      </c>
      <c r="F1229" s="488">
        <v>28.4</v>
      </c>
      <c r="G1229" s="488">
        <v>27.9</v>
      </c>
      <c r="H1229" s="84"/>
      <c r="I1229" s="516"/>
      <c r="J1229" s="125">
        <f t="shared" ref="J1229" si="324">MEDIAN(E1229:I1229)</f>
        <v>28.4</v>
      </c>
      <c r="K1229" s="125">
        <f t="shared" ref="K1229" si="325">J1229*1.3</f>
        <v>36.92</v>
      </c>
      <c r="L1229" s="125">
        <f t="shared" ref="L1229" si="326">J1229*0.7</f>
        <v>19.88</v>
      </c>
    </row>
    <row r="1230" spans="1:12" s="121" customFormat="1" ht="15">
      <c r="A1230" s="362"/>
      <c r="B1230" s="664"/>
      <c r="C1230" s="367" t="s">
        <v>8</v>
      </c>
      <c r="D1230" s="665"/>
      <c r="E1230" s="487" t="s">
        <v>18196</v>
      </c>
      <c r="F1230" s="487" t="s">
        <v>17969</v>
      </c>
      <c r="G1230" s="487" t="s">
        <v>18197</v>
      </c>
      <c r="H1230" s="487"/>
      <c r="I1230" s="487"/>
      <c r="J1230" s="125"/>
      <c r="K1230" s="125"/>
      <c r="L1230" s="125"/>
    </row>
    <row r="1231" spans="1:12" s="121" customFormat="1" ht="15">
      <c r="A1231" s="362"/>
      <c r="B1231" s="664"/>
      <c r="C1231" s="367" t="s">
        <v>7</v>
      </c>
      <c r="D1231" s="665"/>
      <c r="E1231" s="489" t="s">
        <v>18198</v>
      </c>
      <c r="F1231" s="489" t="s">
        <v>18199</v>
      </c>
      <c r="G1231" s="489" t="s">
        <v>18200</v>
      </c>
      <c r="H1231" s="489"/>
      <c r="I1231" s="489"/>
      <c r="J1231" s="125"/>
      <c r="K1231" s="125"/>
      <c r="L1231" s="125"/>
    </row>
    <row r="1232" spans="1:12" s="121" customFormat="1" ht="15">
      <c r="A1232" s="362"/>
      <c r="B1232" s="664"/>
      <c r="C1232" s="367" t="s">
        <v>6</v>
      </c>
      <c r="D1232" s="666"/>
      <c r="E1232" s="490">
        <v>44255</v>
      </c>
      <c r="F1232" s="490">
        <v>44255</v>
      </c>
      <c r="G1232" s="490">
        <v>44255</v>
      </c>
      <c r="H1232" s="490"/>
      <c r="I1232" s="490"/>
      <c r="J1232" s="125"/>
      <c r="K1232" s="125"/>
      <c r="L1232" s="125"/>
    </row>
    <row r="1233" spans="1:12" s="121" customFormat="1" ht="15">
      <c r="A1233" s="363"/>
      <c r="B1233" s="667"/>
      <c r="C1233" s="367" t="s">
        <v>8993</v>
      </c>
      <c r="D1233" s="666"/>
      <c r="E1233" s="490" t="s">
        <v>18201</v>
      </c>
      <c r="F1233" s="490" t="s">
        <v>18201</v>
      </c>
      <c r="G1233" s="490" t="s">
        <v>18201</v>
      </c>
      <c r="H1233" s="490"/>
      <c r="I1233" s="490"/>
      <c r="J1233" s="125"/>
      <c r="K1233" s="125"/>
      <c r="L1233" s="125"/>
    </row>
    <row r="1234" spans="1:12" s="121" customFormat="1" ht="11.25">
      <c r="A1234" s="2"/>
      <c r="B1234" s="622"/>
      <c r="C1234" s="491"/>
      <c r="D1234" s="491"/>
      <c r="E1234" s="491"/>
      <c r="F1234" s="491"/>
      <c r="G1234" s="491"/>
      <c r="H1234" s="491"/>
      <c r="I1234" s="491"/>
      <c r="J1234" s="124"/>
      <c r="K1234" s="124"/>
      <c r="L1234" s="124"/>
    </row>
    <row r="1235" spans="1:12" s="122" customFormat="1" ht="45">
      <c r="A1235" s="366" t="s">
        <v>18339</v>
      </c>
      <c r="B1235" s="679" t="s">
        <v>18340</v>
      </c>
      <c r="C1235" s="369">
        <f>MIN(E1237:I1237)</f>
        <v>4.9420000000000002</v>
      </c>
      <c r="D1235" s="370" t="s">
        <v>5</v>
      </c>
      <c r="E1235" s="486" t="s">
        <v>14968</v>
      </c>
      <c r="F1235" s="486" t="s">
        <v>14958</v>
      </c>
      <c r="G1235" s="486" t="s">
        <v>18630</v>
      </c>
      <c r="H1235" s="486" t="s">
        <v>18635</v>
      </c>
      <c r="I1235" s="486"/>
      <c r="J1235" s="125" t="s">
        <v>207</v>
      </c>
      <c r="K1235" s="125"/>
      <c r="L1235" s="125"/>
    </row>
    <row r="1236" spans="1:12" s="122" customFormat="1" ht="22.5">
      <c r="A1236" s="361"/>
      <c r="B1236" s="615"/>
      <c r="C1236" s="367" t="s">
        <v>284</v>
      </c>
      <c r="D1236" s="694"/>
      <c r="E1236" s="487" t="s">
        <v>14969</v>
      </c>
      <c r="F1236" s="675" t="s">
        <v>18617</v>
      </c>
      <c r="G1236" s="487" t="s">
        <v>18629</v>
      </c>
      <c r="H1236" s="487" t="s">
        <v>18634</v>
      </c>
      <c r="I1236" s="487"/>
      <c r="J1236" s="125" t="s">
        <v>283</v>
      </c>
      <c r="K1236" s="125" t="s">
        <v>280</v>
      </c>
      <c r="L1236" s="125" t="s">
        <v>281</v>
      </c>
    </row>
    <row r="1237" spans="1:12" s="122" customFormat="1" ht="15">
      <c r="A1237" s="362"/>
      <c r="B1237" s="616"/>
      <c r="C1237" s="367" t="s">
        <v>9</v>
      </c>
      <c r="D1237" s="492"/>
      <c r="E1237" s="84">
        <f>204.49/10</f>
        <v>20.449000000000002</v>
      </c>
      <c r="F1237" s="84">
        <f>49.42/10</f>
        <v>4.9420000000000002</v>
      </c>
      <c r="G1237" s="488">
        <f>110.87/10</f>
        <v>11.087</v>
      </c>
      <c r="H1237" s="84">
        <v>12.9</v>
      </c>
      <c r="I1237" s="84"/>
      <c r="J1237" s="125">
        <f>MEDIAN(E1237:I1237)</f>
        <v>11.993500000000001</v>
      </c>
      <c r="K1237" s="125">
        <f>J1237*1.3</f>
        <v>15.591550000000002</v>
      </c>
      <c r="L1237" s="125">
        <f>J1237*0.7</f>
        <v>8.3954500000000003</v>
      </c>
    </row>
    <row r="1238" spans="1:12" s="122" customFormat="1" ht="15">
      <c r="A1238" s="362"/>
      <c r="B1238" s="616"/>
      <c r="C1238" s="367" t="s">
        <v>8</v>
      </c>
      <c r="D1238" s="492"/>
      <c r="E1238" s="487" t="s">
        <v>14970</v>
      </c>
      <c r="F1238" s="487" t="s">
        <v>14962</v>
      </c>
      <c r="G1238" s="487" t="s">
        <v>18633</v>
      </c>
      <c r="H1238" s="487" t="s">
        <v>18636</v>
      </c>
      <c r="I1238" s="487"/>
      <c r="J1238" s="125"/>
      <c r="K1238" s="125"/>
      <c r="L1238" s="125"/>
    </row>
    <row r="1239" spans="1:12" s="122" customFormat="1" ht="15">
      <c r="A1239" s="362"/>
      <c r="B1239" s="616"/>
      <c r="C1239" s="367" t="s">
        <v>7</v>
      </c>
      <c r="D1239" s="492"/>
      <c r="E1239" s="489" t="s">
        <v>14971</v>
      </c>
      <c r="F1239" s="489" t="s">
        <v>14964</v>
      </c>
      <c r="G1239" s="489" t="s">
        <v>18632</v>
      </c>
      <c r="H1239" s="489" t="s">
        <v>18637</v>
      </c>
      <c r="I1239" s="489"/>
      <c r="J1239" s="125"/>
      <c r="K1239" s="125"/>
      <c r="L1239" s="125"/>
    </row>
    <row r="1240" spans="1:12" s="122" customFormat="1" ht="15">
      <c r="A1240" s="362"/>
      <c r="B1240" s="616"/>
      <c r="C1240" s="367" t="s">
        <v>6</v>
      </c>
      <c r="D1240" s="493"/>
      <c r="E1240" s="490">
        <v>44362</v>
      </c>
      <c r="F1240" s="490">
        <v>44362</v>
      </c>
      <c r="G1240" s="490">
        <v>44362</v>
      </c>
      <c r="H1240" s="490">
        <v>44362</v>
      </c>
      <c r="I1240" s="490"/>
      <c r="J1240" s="125"/>
      <c r="K1240" s="125"/>
      <c r="L1240" s="125"/>
    </row>
    <row r="1241" spans="1:12" s="122" customFormat="1" ht="15">
      <c r="A1241" s="363"/>
      <c r="B1241" s="617"/>
      <c r="C1241" s="367" t="s">
        <v>8993</v>
      </c>
      <c r="D1241" s="493"/>
      <c r="E1241" s="490" t="s">
        <v>18614</v>
      </c>
      <c r="F1241" s="490" t="s">
        <v>18618</v>
      </c>
      <c r="G1241" s="490" t="s">
        <v>18631</v>
      </c>
      <c r="H1241" s="490" t="s">
        <v>18631</v>
      </c>
      <c r="I1241" s="490"/>
      <c r="J1241" s="125"/>
      <c r="K1241" s="125"/>
      <c r="L1241" s="125"/>
    </row>
    <row r="1242" spans="1:12" s="121" customFormat="1" ht="16.5" customHeight="1">
      <c r="A1242" s="2"/>
      <c r="B1242" s="622"/>
      <c r="C1242" s="491"/>
      <c r="D1242" s="491"/>
      <c r="E1242" s="491"/>
      <c r="F1242" s="491"/>
      <c r="G1242" s="491"/>
      <c r="H1242" s="491"/>
      <c r="I1242" s="491"/>
      <c r="J1242" s="124"/>
      <c r="K1242" s="124"/>
      <c r="L1242" s="124"/>
    </row>
    <row r="1243" spans="1:12" s="121" customFormat="1" ht="15.75" customHeight="1">
      <c r="A1243" s="366" t="s">
        <v>14632</v>
      </c>
      <c r="B1243" s="626" t="s">
        <v>15211</v>
      </c>
      <c r="C1243" s="369">
        <f t="shared" ref="C1243" si="327">MIN(E1245:I1245)</f>
        <v>39.4</v>
      </c>
      <c r="D1243" s="370" t="s">
        <v>109</v>
      </c>
      <c r="E1243" s="486" t="s">
        <v>14973</v>
      </c>
      <c r="F1243" s="486" t="s">
        <v>14760</v>
      </c>
      <c r="G1243" s="486" t="s">
        <v>15209</v>
      </c>
      <c r="H1243" s="486" t="s">
        <v>18219</v>
      </c>
      <c r="I1243" s="486"/>
      <c r="J1243" s="125" t="s">
        <v>207</v>
      </c>
      <c r="K1243" s="125"/>
      <c r="L1243" s="125"/>
    </row>
    <row r="1244" spans="1:12" s="121" customFormat="1" ht="22.5">
      <c r="A1244" s="361"/>
      <c r="B1244" s="615"/>
      <c r="C1244" s="367" t="s">
        <v>284</v>
      </c>
      <c r="D1244" s="554"/>
      <c r="E1244" s="487" t="s">
        <v>14983</v>
      </c>
      <c r="F1244" s="487" t="s">
        <v>15207</v>
      </c>
      <c r="G1244" s="487" t="s">
        <v>15208</v>
      </c>
      <c r="H1244" s="675" t="s">
        <v>18259</v>
      </c>
      <c r="I1244" s="487"/>
      <c r="J1244" s="125" t="s">
        <v>283</v>
      </c>
      <c r="K1244" s="125" t="s">
        <v>280</v>
      </c>
      <c r="L1244" s="125" t="s">
        <v>281</v>
      </c>
    </row>
    <row r="1245" spans="1:12" s="121" customFormat="1" ht="15">
      <c r="A1245" s="362"/>
      <c r="B1245" s="616"/>
      <c r="C1245" s="367" t="s">
        <v>9</v>
      </c>
      <c r="D1245" s="492"/>
      <c r="E1245" s="84">
        <v>40.229999999999997</v>
      </c>
      <c r="F1245" s="488">
        <v>40.229999999999997</v>
      </c>
      <c r="G1245" s="488">
        <v>40.229999999999997</v>
      </c>
      <c r="H1245" s="84">
        <v>39.4</v>
      </c>
      <c r="I1245" s="84"/>
      <c r="J1245" s="125">
        <f t="shared" ref="J1245" si="328">MEDIAN(E1245:I1245)</f>
        <v>40.229999999999997</v>
      </c>
      <c r="K1245" s="125">
        <f t="shared" ref="K1245" si="329">J1245*1.3</f>
        <v>52.298999999999999</v>
      </c>
      <c r="L1245" s="125">
        <f t="shared" ref="L1245" si="330">J1245*0.7</f>
        <v>28.160999999999994</v>
      </c>
    </row>
    <row r="1246" spans="1:12" s="121" customFormat="1" ht="15">
      <c r="A1246" s="362"/>
      <c r="B1246" s="616"/>
      <c r="C1246" s="367" t="s">
        <v>8</v>
      </c>
      <c r="D1246" s="492"/>
      <c r="E1246" s="487" t="s">
        <v>14975</v>
      </c>
      <c r="F1246" s="487" t="s">
        <v>15009</v>
      </c>
      <c r="G1246" s="487" t="s">
        <v>15210</v>
      </c>
      <c r="H1246" s="487"/>
      <c r="I1246" s="487"/>
      <c r="J1246" s="125"/>
      <c r="K1246" s="125"/>
      <c r="L1246" s="125"/>
    </row>
    <row r="1247" spans="1:12" s="121" customFormat="1" ht="15">
      <c r="A1247" s="362"/>
      <c r="B1247" s="616"/>
      <c r="C1247" s="367" t="s">
        <v>7</v>
      </c>
      <c r="D1247" s="492"/>
      <c r="E1247" s="489"/>
      <c r="F1247" s="489" t="s">
        <v>14761</v>
      </c>
      <c r="G1247" s="489"/>
      <c r="H1247" s="489"/>
      <c r="I1247" s="489"/>
      <c r="J1247" s="125"/>
      <c r="K1247" s="125"/>
      <c r="L1247" s="125"/>
    </row>
    <row r="1248" spans="1:12" s="121" customFormat="1" ht="15">
      <c r="A1248" s="362"/>
      <c r="B1248" s="616"/>
      <c r="C1248" s="367" t="s">
        <v>6</v>
      </c>
      <c r="D1248" s="493"/>
      <c r="E1248" s="490">
        <v>44257</v>
      </c>
      <c r="F1248" s="490">
        <v>44257</v>
      </c>
      <c r="G1248" s="490">
        <v>44257</v>
      </c>
      <c r="H1248" s="490">
        <v>44089</v>
      </c>
      <c r="I1248" s="490"/>
      <c r="J1248" s="125"/>
      <c r="K1248" s="125"/>
      <c r="L1248" s="125"/>
    </row>
    <row r="1249" spans="1:12" s="121" customFormat="1" ht="15">
      <c r="A1249" s="363"/>
      <c r="B1249" s="617"/>
      <c r="C1249" s="367" t="s">
        <v>8993</v>
      </c>
      <c r="D1249" s="493"/>
      <c r="E1249" s="490" t="s">
        <v>15206</v>
      </c>
      <c r="F1249" s="490" t="s">
        <v>15206</v>
      </c>
      <c r="G1249" s="490" t="s">
        <v>15206</v>
      </c>
      <c r="H1249" s="490" t="s">
        <v>18220</v>
      </c>
      <c r="I1249" s="490"/>
      <c r="J1249" s="125"/>
      <c r="K1249" s="125"/>
      <c r="L1249" s="125"/>
    </row>
    <row r="1250" spans="1:12" s="121" customFormat="1" ht="11.25">
      <c r="A1250" s="2"/>
      <c r="B1250" s="622"/>
      <c r="C1250" s="491"/>
      <c r="D1250" s="491"/>
      <c r="E1250" s="491"/>
      <c r="F1250" s="491"/>
      <c r="G1250" s="491"/>
      <c r="H1250" s="491"/>
      <c r="I1250" s="491"/>
      <c r="J1250" s="124"/>
      <c r="K1250" s="124"/>
      <c r="L1250" s="124"/>
    </row>
    <row r="1251" spans="1:12" s="121" customFormat="1" ht="33.75">
      <c r="A1251" s="366" t="s">
        <v>15731</v>
      </c>
      <c r="B1251" s="626" t="s">
        <v>18328</v>
      </c>
      <c r="C1251" s="369">
        <f t="shared" ref="C1251" si="331">MIN(E1253:I1253)</f>
        <v>277</v>
      </c>
      <c r="D1251" s="370" t="s">
        <v>109</v>
      </c>
      <c r="E1251" s="486" t="s">
        <v>17090</v>
      </c>
      <c r="F1251" s="486" t="s">
        <v>17091</v>
      </c>
      <c r="G1251" s="486" t="s">
        <v>17092</v>
      </c>
      <c r="H1251" s="486"/>
      <c r="I1251" s="486"/>
      <c r="J1251" s="125" t="s">
        <v>207</v>
      </c>
      <c r="K1251" s="125"/>
      <c r="L1251" s="125"/>
    </row>
    <row r="1252" spans="1:12" s="121" customFormat="1" ht="33.75">
      <c r="A1252" s="361"/>
      <c r="B1252" s="615"/>
      <c r="C1252" s="367" t="s">
        <v>284</v>
      </c>
      <c r="D1252" s="554"/>
      <c r="E1252" s="487" t="s">
        <v>17093</v>
      </c>
      <c r="F1252" s="487" t="s">
        <v>17094</v>
      </c>
      <c r="G1252" s="487" t="s">
        <v>17095</v>
      </c>
      <c r="H1252" s="487"/>
      <c r="I1252" s="487"/>
      <c r="J1252" s="125" t="s">
        <v>283</v>
      </c>
      <c r="K1252" s="125" t="s">
        <v>280</v>
      </c>
      <c r="L1252" s="125" t="s">
        <v>281</v>
      </c>
    </row>
    <row r="1253" spans="1:12" s="121" customFormat="1" ht="15">
      <c r="A1253" s="362"/>
      <c r="B1253" s="616"/>
      <c r="C1253" s="367" t="s">
        <v>9</v>
      </c>
      <c r="D1253" s="492"/>
      <c r="E1253" s="84">
        <v>290</v>
      </c>
      <c r="F1253" s="488">
        <v>277</v>
      </c>
      <c r="G1253" s="488">
        <v>415</v>
      </c>
      <c r="H1253" s="84"/>
      <c r="I1253" s="84"/>
      <c r="J1253" s="125">
        <f t="shared" ref="J1253" si="332">MEDIAN(E1253:I1253)</f>
        <v>290</v>
      </c>
      <c r="K1253" s="125">
        <f t="shared" ref="K1253" si="333">J1253*1.3</f>
        <v>377</v>
      </c>
      <c r="L1253" s="125">
        <f t="shared" ref="L1253" si="334">J1253*0.7</f>
        <v>203</v>
      </c>
    </row>
    <row r="1254" spans="1:12" s="121" customFormat="1" ht="15">
      <c r="A1254" s="362"/>
      <c r="B1254" s="616"/>
      <c r="C1254" s="367" t="s">
        <v>8</v>
      </c>
      <c r="D1254" s="492"/>
      <c r="E1254" s="487" t="s">
        <v>17096</v>
      </c>
      <c r="F1254" s="487" t="s">
        <v>17097</v>
      </c>
      <c r="G1254" s="487" t="s">
        <v>17098</v>
      </c>
      <c r="H1254" s="487"/>
      <c r="I1254" s="487"/>
      <c r="J1254" s="125"/>
      <c r="K1254" s="125"/>
      <c r="L1254" s="125"/>
    </row>
    <row r="1255" spans="1:12" s="121" customFormat="1" ht="15">
      <c r="A1255" s="362"/>
      <c r="B1255" s="616"/>
      <c r="C1255" s="367" t="s">
        <v>7</v>
      </c>
      <c r="D1255" s="492"/>
      <c r="E1255" s="489" t="s">
        <v>17099</v>
      </c>
      <c r="F1255" s="489" t="s">
        <v>17100</v>
      </c>
      <c r="G1255" s="489" t="s">
        <v>17101</v>
      </c>
      <c r="H1255" s="489"/>
      <c r="I1255" s="489"/>
      <c r="J1255" s="125"/>
      <c r="K1255" s="125"/>
      <c r="L1255" s="125"/>
    </row>
    <row r="1256" spans="1:12" s="121" customFormat="1" ht="15">
      <c r="A1256" s="362"/>
      <c r="B1256" s="616"/>
      <c r="C1256" s="367" t="s">
        <v>6</v>
      </c>
      <c r="D1256" s="493"/>
      <c r="E1256" s="490">
        <v>44298</v>
      </c>
      <c r="F1256" s="490">
        <v>44298</v>
      </c>
      <c r="G1256" s="490">
        <v>44298</v>
      </c>
      <c r="H1256" s="490"/>
      <c r="I1256" s="490"/>
      <c r="J1256" s="125"/>
      <c r="K1256" s="125"/>
      <c r="L1256" s="125"/>
    </row>
    <row r="1257" spans="1:12" s="121" customFormat="1" ht="15">
      <c r="A1257" s="363"/>
      <c r="B1257" s="617"/>
      <c r="C1257" s="367" t="s">
        <v>8993</v>
      </c>
      <c r="D1257" s="493"/>
      <c r="E1257" s="490" t="s">
        <v>17102</v>
      </c>
      <c r="F1257" s="490" t="s">
        <v>17102</v>
      </c>
      <c r="G1257" s="490" t="s">
        <v>17103</v>
      </c>
      <c r="H1257" s="490"/>
      <c r="I1257" s="490"/>
      <c r="J1257" s="125"/>
      <c r="K1257" s="125"/>
      <c r="L1257" s="125"/>
    </row>
    <row r="1258" spans="1:12" s="121" customFormat="1" ht="11.25">
      <c r="A1258" s="2"/>
      <c r="B1258" s="622"/>
      <c r="C1258" s="491"/>
      <c r="D1258" s="491"/>
      <c r="E1258" s="491"/>
      <c r="F1258" s="491"/>
      <c r="G1258" s="491"/>
      <c r="H1258" s="491"/>
      <c r="I1258" s="491"/>
      <c r="J1258" s="124"/>
      <c r="K1258" s="124"/>
      <c r="L1258" s="124"/>
    </row>
    <row r="1259" spans="1:12" s="121" customFormat="1" ht="22.5">
      <c r="A1259" s="366" t="s">
        <v>14633</v>
      </c>
      <c r="B1259" s="626" t="s">
        <v>15732</v>
      </c>
      <c r="C1259" s="369">
        <f t="shared" ref="C1259" si="335">MIN(E1261:I1261)</f>
        <v>89.9</v>
      </c>
      <c r="D1259" s="370" t="s">
        <v>109</v>
      </c>
      <c r="E1259" s="486" t="s">
        <v>16748</v>
      </c>
      <c r="F1259" s="486" t="s">
        <v>16749</v>
      </c>
      <c r="G1259" s="486" t="s">
        <v>14973</v>
      </c>
      <c r="H1259" s="486" t="s">
        <v>14760</v>
      </c>
      <c r="I1259" s="486" t="s">
        <v>18219</v>
      </c>
      <c r="J1259" s="125" t="s">
        <v>207</v>
      </c>
      <c r="K1259" s="125"/>
      <c r="L1259" s="125"/>
    </row>
    <row r="1260" spans="1:12" s="121" customFormat="1" ht="45">
      <c r="A1260" s="361"/>
      <c r="B1260" s="615"/>
      <c r="C1260" s="367" t="s">
        <v>284</v>
      </c>
      <c r="D1260" s="554"/>
      <c r="E1260" s="487" t="s">
        <v>16750</v>
      </c>
      <c r="F1260" s="487" t="s">
        <v>16751</v>
      </c>
      <c r="G1260" s="487" t="s">
        <v>14974</v>
      </c>
      <c r="H1260" s="487" t="s">
        <v>15008</v>
      </c>
      <c r="I1260" s="675" t="s">
        <v>18260</v>
      </c>
      <c r="J1260" s="125" t="s">
        <v>283</v>
      </c>
      <c r="K1260" s="125" t="s">
        <v>280</v>
      </c>
      <c r="L1260" s="125" t="s">
        <v>281</v>
      </c>
    </row>
    <row r="1261" spans="1:12" s="121" customFormat="1" ht="15">
      <c r="A1261" s="362"/>
      <c r="B1261" s="616"/>
      <c r="C1261" s="367" t="s">
        <v>9</v>
      </c>
      <c r="D1261" s="492"/>
      <c r="E1261" s="84">
        <v>99.9</v>
      </c>
      <c r="F1261" s="488">
        <v>89.9</v>
      </c>
      <c r="G1261" s="488">
        <v>180</v>
      </c>
      <c r="H1261" s="84">
        <v>180</v>
      </c>
      <c r="I1261" s="84">
        <v>450</v>
      </c>
      <c r="J1261" s="125">
        <f t="shared" ref="J1261" si="336">MEDIAN(E1261:I1261)</f>
        <v>180</v>
      </c>
      <c r="K1261" s="125">
        <f t="shared" ref="K1261" si="337">J1261*1.3</f>
        <v>234</v>
      </c>
      <c r="L1261" s="125">
        <f t="shared" ref="L1261" si="338">J1261*0.7</f>
        <v>125.99999999999999</v>
      </c>
    </row>
    <row r="1262" spans="1:12" s="121" customFormat="1" ht="15">
      <c r="A1262" s="362"/>
      <c r="B1262" s="616"/>
      <c r="C1262" s="367" t="s">
        <v>8</v>
      </c>
      <c r="D1262" s="492"/>
      <c r="E1262" s="487" t="s">
        <v>16752</v>
      </c>
      <c r="F1262" s="487" t="s">
        <v>16753</v>
      </c>
      <c r="G1262" s="487" t="s">
        <v>14975</v>
      </c>
      <c r="H1262" s="487" t="s">
        <v>15009</v>
      </c>
      <c r="I1262" s="487"/>
      <c r="J1262" s="125"/>
      <c r="K1262" s="125"/>
      <c r="L1262" s="125"/>
    </row>
    <row r="1263" spans="1:12" s="121" customFormat="1" ht="15">
      <c r="A1263" s="362"/>
      <c r="B1263" s="616"/>
      <c r="C1263" s="367" t="s">
        <v>7</v>
      </c>
      <c r="D1263" s="492"/>
      <c r="E1263" s="489" t="s">
        <v>16754</v>
      </c>
      <c r="F1263" s="489" t="s">
        <v>16755</v>
      </c>
      <c r="G1263" s="489" t="s">
        <v>16756</v>
      </c>
      <c r="H1263" s="489" t="s">
        <v>16757</v>
      </c>
      <c r="I1263" s="489"/>
      <c r="J1263" s="125"/>
      <c r="K1263" s="125"/>
      <c r="L1263" s="125"/>
    </row>
    <row r="1264" spans="1:12" s="121" customFormat="1" ht="15">
      <c r="A1264" s="362"/>
      <c r="B1264" s="616"/>
      <c r="C1264" s="367" t="s">
        <v>6</v>
      </c>
      <c r="D1264" s="493"/>
      <c r="E1264" s="490">
        <v>44294</v>
      </c>
      <c r="F1264" s="490">
        <v>44294</v>
      </c>
      <c r="G1264" s="490">
        <v>44294</v>
      </c>
      <c r="H1264" s="490">
        <v>44294</v>
      </c>
      <c r="I1264" s="490">
        <v>43983</v>
      </c>
      <c r="J1264" s="125"/>
      <c r="K1264" s="125"/>
      <c r="L1264" s="125"/>
    </row>
    <row r="1265" spans="1:12" s="121" customFormat="1" ht="15">
      <c r="A1265" s="363"/>
      <c r="B1265" s="617"/>
      <c r="C1265" s="367" t="s">
        <v>8993</v>
      </c>
      <c r="D1265" s="493"/>
      <c r="E1265" s="490" t="s">
        <v>14678</v>
      </c>
      <c r="F1265" s="490" t="s">
        <v>14678</v>
      </c>
      <c r="G1265" s="490" t="s">
        <v>14678</v>
      </c>
      <c r="H1265" s="490" t="s">
        <v>14678</v>
      </c>
      <c r="I1265" s="490" t="s">
        <v>18220</v>
      </c>
      <c r="J1265" s="125"/>
      <c r="K1265" s="125"/>
      <c r="L1265" s="125"/>
    </row>
    <row r="1266" spans="1:12" s="121" customFormat="1" ht="11.25">
      <c r="A1266" s="2"/>
      <c r="B1266" s="622"/>
      <c r="C1266" s="491"/>
      <c r="D1266" s="491"/>
      <c r="E1266" s="491"/>
      <c r="F1266" s="491"/>
      <c r="G1266" s="491"/>
      <c r="H1266" s="491"/>
      <c r="I1266" s="491"/>
      <c r="J1266" s="124"/>
      <c r="K1266" s="124"/>
      <c r="L1266" s="124"/>
    </row>
    <row r="1267" spans="1:12" s="121" customFormat="1" ht="22.5">
      <c r="A1267" s="366" t="s">
        <v>14837</v>
      </c>
      <c r="B1267" s="626" t="s">
        <v>18307</v>
      </c>
      <c r="C1267" s="369">
        <f t="shared" ref="C1267" si="339">MIN(E1269:I1269)</f>
        <v>100.23</v>
      </c>
      <c r="D1267" s="370" t="s">
        <v>109</v>
      </c>
      <c r="E1267" s="486" t="s">
        <v>17796</v>
      </c>
      <c r="F1267" s="486" t="s">
        <v>17200</v>
      </c>
      <c r="G1267" s="486" t="s">
        <v>18644</v>
      </c>
      <c r="H1267" s="486"/>
      <c r="I1267" s="486"/>
      <c r="J1267" s="125" t="s">
        <v>207</v>
      </c>
      <c r="K1267" s="125"/>
      <c r="L1267" s="125"/>
    </row>
    <row r="1268" spans="1:12" s="121" customFormat="1" ht="22.5">
      <c r="A1268" s="361"/>
      <c r="B1268" s="615"/>
      <c r="C1268" s="367" t="s">
        <v>284</v>
      </c>
      <c r="D1268" s="554"/>
      <c r="E1268" s="487" t="s">
        <v>17797</v>
      </c>
      <c r="F1268" s="487" t="s">
        <v>18643</v>
      </c>
      <c r="G1268" s="487" t="s">
        <v>18647</v>
      </c>
      <c r="H1268" s="487"/>
      <c r="I1268" s="487"/>
      <c r="J1268" s="125" t="s">
        <v>283</v>
      </c>
      <c r="K1268" s="125" t="s">
        <v>280</v>
      </c>
      <c r="L1268" s="125" t="s">
        <v>281</v>
      </c>
    </row>
    <row r="1269" spans="1:12" s="121" customFormat="1" ht="15">
      <c r="A1269" s="362"/>
      <c r="B1269" s="616"/>
      <c r="C1269" s="367" t="s">
        <v>9</v>
      </c>
      <c r="D1269" s="492"/>
      <c r="E1269" s="84">
        <v>133.19</v>
      </c>
      <c r="F1269" s="84">
        <v>100.23</v>
      </c>
      <c r="G1269" s="84">
        <v>175</v>
      </c>
      <c r="H1269" s="84"/>
      <c r="I1269" s="84"/>
      <c r="J1269" s="125">
        <f t="shared" ref="J1269" si="340">MEDIAN(E1269:I1269)</f>
        <v>133.19</v>
      </c>
      <c r="K1269" s="125">
        <f t="shared" ref="K1269" si="341">J1269*1.3</f>
        <v>173.14699999999999</v>
      </c>
      <c r="L1269" s="125">
        <f t="shared" ref="L1269" si="342">J1269*0.7</f>
        <v>93.23299999999999</v>
      </c>
    </row>
    <row r="1270" spans="1:12" s="121" customFormat="1" ht="15">
      <c r="A1270" s="362"/>
      <c r="B1270" s="616"/>
      <c r="C1270" s="367" t="s">
        <v>8</v>
      </c>
      <c r="D1270" s="492"/>
      <c r="E1270" s="487" t="s">
        <v>17798</v>
      </c>
      <c r="F1270" s="487" t="s">
        <v>18642</v>
      </c>
      <c r="G1270" s="487" t="s">
        <v>18648</v>
      </c>
      <c r="H1270" s="487"/>
      <c r="I1270" s="487"/>
      <c r="J1270" s="125"/>
      <c r="K1270" s="125"/>
      <c r="L1270" s="125"/>
    </row>
    <row r="1271" spans="1:12" s="121" customFormat="1" ht="15">
      <c r="A1271" s="362"/>
      <c r="B1271" s="616"/>
      <c r="C1271" s="367" t="s">
        <v>7</v>
      </c>
      <c r="D1271" s="492"/>
      <c r="E1271" s="489" t="s">
        <v>17799</v>
      </c>
      <c r="F1271" s="489" t="s">
        <v>17203</v>
      </c>
      <c r="G1271" s="489" t="s">
        <v>18646</v>
      </c>
      <c r="H1271" s="489"/>
      <c r="I1271" s="489"/>
      <c r="J1271" s="125"/>
      <c r="K1271" s="125"/>
      <c r="L1271" s="125"/>
    </row>
    <row r="1272" spans="1:12" s="121" customFormat="1" ht="15">
      <c r="A1272" s="362"/>
      <c r="B1272" s="616"/>
      <c r="C1272" s="367" t="s">
        <v>6</v>
      </c>
      <c r="D1272" s="493"/>
      <c r="E1272" s="490">
        <v>44362</v>
      </c>
      <c r="F1272" s="490">
        <v>44362</v>
      </c>
      <c r="G1272" s="490">
        <v>44362</v>
      </c>
      <c r="H1272" s="490"/>
      <c r="I1272" s="490"/>
      <c r="J1272" s="125"/>
      <c r="K1272" s="125"/>
      <c r="L1272" s="125"/>
    </row>
    <row r="1273" spans="1:12" s="121" customFormat="1" ht="15">
      <c r="A1273" s="363"/>
      <c r="B1273" s="617"/>
      <c r="C1273" s="367" t="s">
        <v>8993</v>
      </c>
      <c r="D1273" s="493"/>
      <c r="E1273" s="490" t="s">
        <v>18638</v>
      </c>
      <c r="F1273" s="490" t="s">
        <v>18641</v>
      </c>
      <c r="G1273" s="490" t="s">
        <v>18645</v>
      </c>
      <c r="H1273" s="490"/>
      <c r="I1273" s="490"/>
      <c r="J1273" s="125"/>
      <c r="K1273" s="125"/>
      <c r="L1273" s="125"/>
    </row>
    <row r="1274" spans="1:12" s="121" customFormat="1" ht="11.25">
      <c r="A1274" s="2"/>
      <c r="B1274" s="622"/>
      <c r="C1274" s="491"/>
      <c r="D1274" s="491"/>
      <c r="E1274" s="491"/>
      <c r="F1274" s="491"/>
      <c r="G1274" s="491"/>
      <c r="H1274" s="491"/>
      <c r="I1274" s="491"/>
      <c r="J1274" s="124"/>
      <c r="K1274" s="124"/>
      <c r="L1274" s="124"/>
    </row>
    <row r="1275" spans="1:12" s="121" customFormat="1" ht="11.25">
      <c r="A1275" s="366" t="s">
        <v>14840</v>
      </c>
      <c r="B1275" s="626" t="s">
        <v>14854</v>
      </c>
      <c r="C1275" s="369">
        <f t="shared" ref="C1275" si="343">MIN(E1277:I1277)</f>
        <v>4.2</v>
      </c>
      <c r="D1275" s="370" t="s">
        <v>109</v>
      </c>
      <c r="E1275" s="486" t="s">
        <v>14857</v>
      </c>
      <c r="F1275" s="486" t="s">
        <v>14861</v>
      </c>
      <c r="G1275" s="486" t="s">
        <v>14865</v>
      </c>
      <c r="H1275" s="486"/>
      <c r="I1275" s="486"/>
      <c r="J1275" s="125" t="s">
        <v>207</v>
      </c>
      <c r="K1275" s="125"/>
      <c r="L1275" s="125"/>
    </row>
    <row r="1276" spans="1:12" s="121" customFormat="1" ht="22.5">
      <c r="A1276" s="361"/>
      <c r="B1276" s="615"/>
      <c r="C1276" s="367" t="s">
        <v>284</v>
      </c>
      <c r="D1276" s="554"/>
      <c r="E1276" s="487" t="s">
        <v>14855</v>
      </c>
      <c r="F1276" s="487" t="s">
        <v>14860</v>
      </c>
      <c r="G1276" s="487" t="s">
        <v>14864</v>
      </c>
      <c r="H1276" s="487"/>
      <c r="I1276" s="487"/>
      <c r="J1276" s="125" t="s">
        <v>283</v>
      </c>
      <c r="K1276" s="125" t="s">
        <v>280</v>
      </c>
      <c r="L1276" s="125" t="s">
        <v>281</v>
      </c>
    </row>
    <row r="1277" spans="1:12" s="121" customFormat="1" ht="15">
      <c r="A1277" s="362"/>
      <c r="B1277" s="616"/>
      <c r="C1277" s="367" t="s">
        <v>9</v>
      </c>
      <c r="D1277" s="492"/>
      <c r="E1277" s="84">
        <v>4.78</v>
      </c>
      <c r="F1277" s="84">
        <v>8.09</v>
      </c>
      <c r="G1277" s="488">
        <v>4.2</v>
      </c>
      <c r="H1277" s="84"/>
      <c r="I1277" s="84"/>
      <c r="J1277" s="125">
        <f t="shared" ref="J1277" si="344">MEDIAN(E1277:I1277)</f>
        <v>4.78</v>
      </c>
      <c r="K1277" s="125">
        <f t="shared" ref="K1277" si="345">J1277*1.3</f>
        <v>6.2140000000000004</v>
      </c>
      <c r="L1277" s="125">
        <f t="shared" ref="L1277" si="346">J1277*0.7</f>
        <v>3.3460000000000001</v>
      </c>
    </row>
    <row r="1278" spans="1:12" s="121" customFormat="1" ht="15">
      <c r="A1278" s="362"/>
      <c r="B1278" s="616"/>
      <c r="C1278" s="367" t="s">
        <v>8</v>
      </c>
      <c r="D1278" s="492"/>
      <c r="E1278" s="487" t="s">
        <v>14858</v>
      </c>
      <c r="F1278" s="487" t="s">
        <v>14862</v>
      </c>
      <c r="G1278" s="487" t="s">
        <v>14867</v>
      </c>
      <c r="H1278" s="487"/>
      <c r="I1278" s="487"/>
      <c r="J1278" s="125"/>
      <c r="K1278" s="125"/>
      <c r="L1278" s="125"/>
    </row>
    <row r="1279" spans="1:12" s="121" customFormat="1" ht="15">
      <c r="A1279" s="362"/>
      <c r="B1279" s="616"/>
      <c r="C1279" s="367" t="s">
        <v>7</v>
      </c>
      <c r="D1279" s="492"/>
      <c r="E1279" s="489" t="s">
        <v>14859</v>
      </c>
      <c r="F1279" s="489" t="s">
        <v>14863</v>
      </c>
      <c r="G1279" s="489" t="s">
        <v>14866</v>
      </c>
      <c r="H1279" s="489"/>
      <c r="I1279" s="489"/>
      <c r="J1279" s="125"/>
      <c r="K1279" s="125"/>
      <c r="L1279" s="125"/>
    </row>
    <row r="1280" spans="1:12" s="121" customFormat="1" ht="15">
      <c r="A1280" s="362"/>
      <c r="B1280" s="616"/>
      <c r="C1280" s="367" t="s">
        <v>6</v>
      </c>
      <c r="D1280" s="493"/>
      <c r="E1280" s="490">
        <v>44254</v>
      </c>
      <c r="F1280" s="490">
        <v>44254</v>
      </c>
      <c r="G1280" s="490">
        <v>44254</v>
      </c>
      <c r="H1280" s="490"/>
      <c r="I1280" s="490"/>
      <c r="J1280" s="125"/>
      <c r="K1280" s="125"/>
      <c r="L1280" s="125"/>
    </row>
    <row r="1281" spans="1:12" s="121" customFormat="1" ht="15">
      <c r="A1281" s="363"/>
      <c r="B1281" s="617"/>
      <c r="C1281" s="367" t="s">
        <v>8993</v>
      </c>
      <c r="D1281" s="493"/>
      <c r="E1281" s="490" t="s">
        <v>14856</v>
      </c>
      <c r="F1281" s="490" t="s">
        <v>14856</v>
      </c>
      <c r="G1281" s="490" t="s">
        <v>14856</v>
      </c>
      <c r="H1281" s="490"/>
      <c r="I1281" s="490"/>
      <c r="J1281" s="125"/>
      <c r="K1281" s="125"/>
      <c r="L1281" s="125"/>
    </row>
    <row r="1282" spans="1:12" s="121" customFormat="1" ht="11.25">
      <c r="A1282" s="2"/>
      <c r="B1282" s="622"/>
      <c r="C1282" s="491"/>
      <c r="D1282" s="491"/>
      <c r="E1282" s="491"/>
      <c r="F1282" s="491"/>
      <c r="G1282" s="491"/>
      <c r="H1282" s="491"/>
      <c r="I1282" s="491"/>
      <c r="J1282" s="124"/>
      <c r="K1282" s="124"/>
      <c r="L1282" s="124"/>
    </row>
    <row r="1283" spans="1:12" s="121" customFormat="1" ht="11.25">
      <c r="A1283" s="366" t="s">
        <v>14841</v>
      </c>
      <c r="B1283" s="626" t="s">
        <v>15016</v>
      </c>
      <c r="C1283" s="369">
        <f t="shared" ref="C1283" si="347">MIN(E1285:I1285)</f>
        <v>17.82</v>
      </c>
      <c r="D1283" s="370" t="s">
        <v>109</v>
      </c>
      <c r="E1283" s="486" t="s">
        <v>15018</v>
      </c>
      <c r="F1283" s="486" t="s">
        <v>15022</v>
      </c>
      <c r="G1283" s="486" t="s">
        <v>15026</v>
      </c>
      <c r="H1283" s="486" t="s">
        <v>18219</v>
      </c>
      <c r="I1283" s="486"/>
      <c r="J1283" s="125" t="s">
        <v>207</v>
      </c>
      <c r="K1283" s="125"/>
      <c r="L1283" s="125"/>
    </row>
    <row r="1284" spans="1:12" s="121" customFormat="1" ht="22.5">
      <c r="A1284" s="361"/>
      <c r="B1284" s="615"/>
      <c r="C1284" s="367" t="s">
        <v>284</v>
      </c>
      <c r="D1284" s="554"/>
      <c r="E1284" s="487" t="s">
        <v>15017</v>
      </c>
      <c r="F1284" s="487" t="s">
        <v>15021</v>
      </c>
      <c r="G1284" s="487" t="s">
        <v>15025</v>
      </c>
      <c r="H1284" s="675" t="s">
        <v>18261</v>
      </c>
      <c r="I1284" s="487"/>
      <c r="J1284" s="125" t="s">
        <v>283</v>
      </c>
      <c r="K1284" s="125" t="s">
        <v>280</v>
      </c>
      <c r="L1284" s="125" t="s">
        <v>281</v>
      </c>
    </row>
    <row r="1285" spans="1:12" s="121" customFormat="1" ht="15">
      <c r="A1285" s="362"/>
      <c r="B1285" s="616"/>
      <c r="C1285" s="367" t="s">
        <v>9</v>
      </c>
      <c r="D1285" s="492"/>
      <c r="E1285" s="84">
        <v>22.35</v>
      </c>
      <c r="F1285" s="488">
        <v>17.82</v>
      </c>
      <c r="G1285" s="488">
        <v>18</v>
      </c>
      <c r="H1285" s="84">
        <v>17.920000000000002</v>
      </c>
      <c r="I1285" s="84"/>
      <c r="J1285" s="125">
        <f t="shared" ref="J1285" si="348">MEDIAN(E1285:I1285)</f>
        <v>17.96</v>
      </c>
      <c r="K1285" s="125">
        <f t="shared" ref="K1285" si="349">J1285*1.3</f>
        <v>23.348000000000003</v>
      </c>
      <c r="L1285" s="125">
        <f t="shared" ref="L1285" si="350">J1285*0.7</f>
        <v>12.571999999999999</v>
      </c>
    </row>
    <row r="1286" spans="1:12" s="121" customFormat="1" ht="15">
      <c r="A1286" s="362"/>
      <c r="B1286" s="616"/>
      <c r="C1286" s="367" t="s">
        <v>8</v>
      </c>
      <c r="D1286" s="492"/>
      <c r="E1286" s="487" t="s">
        <v>15019</v>
      </c>
      <c r="F1286" s="487" t="s">
        <v>15024</v>
      </c>
      <c r="G1286" s="487" t="s">
        <v>15027</v>
      </c>
      <c r="H1286" s="487"/>
      <c r="I1286" s="487"/>
      <c r="J1286" s="125"/>
      <c r="K1286" s="125"/>
      <c r="L1286" s="125"/>
    </row>
    <row r="1287" spans="1:12" s="121" customFormat="1" ht="15">
      <c r="A1287" s="362"/>
      <c r="B1287" s="616"/>
      <c r="C1287" s="367" t="s">
        <v>7</v>
      </c>
      <c r="D1287" s="492"/>
      <c r="E1287" s="489" t="s">
        <v>15020</v>
      </c>
      <c r="F1287" s="489" t="s">
        <v>15023</v>
      </c>
      <c r="G1287" s="489" t="s">
        <v>15028</v>
      </c>
      <c r="H1287" s="489"/>
      <c r="I1287" s="489"/>
      <c r="J1287" s="125"/>
      <c r="K1287" s="125"/>
      <c r="L1287" s="125"/>
    </row>
    <row r="1288" spans="1:12" s="121" customFormat="1" ht="15">
      <c r="A1288" s="362"/>
      <c r="B1288" s="616"/>
      <c r="C1288" s="367" t="s">
        <v>6</v>
      </c>
      <c r="D1288" s="493"/>
      <c r="E1288" s="490">
        <v>44255</v>
      </c>
      <c r="F1288" s="490">
        <v>44255</v>
      </c>
      <c r="G1288" s="490">
        <v>44255</v>
      </c>
      <c r="H1288" s="490">
        <v>44056</v>
      </c>
      <c r="I1288" s="490"/>
      <c r="J1288" s="125"/>
      <c r="K1288" s="125"/>
      <c r="L1288" s="125"/>
    </row>
    <row r="1289" spans="1:12" s="121" customFormat="1" ht="15">
      <c r="A1289" s="363"/>
      <c r="B1289" s="617"/>
      <c r="C1289" s="367" t="s">
        <v>8993</v>
      </c>
      <c r="D1289" s="493"/>
      <c r="E1289" s="490" t="s">
        <v>14871</v>
      </c>
      <c r="F1289" s="490" t="s">
        <v>14871</v>
      </c>
      <c r="G1289" s="490" t="s">
        <v>14871</v>
      </c>
      <c r="H1289" s="490" t="s">
        <v>18220</v>
      </c>
      <c r="I1289" s="490"/>
      <c r="J1289" s="125"/>
      <c r="K1289" s="125"/>
      <c r="L1289" s="125"/>
    </row>
    <row r="1290" spans="1:12" s="121" customFormat="1" ht="11.25">
      <c r="A1290" s="2"/>
      <c r="B1290" s="622"/>
      <c r="C1290" s="491"/>
      <c r="D1290" s="491"/>
      <c r="E1290" s="491"/>
      <c r="F1290" s="491"/>
      <c r="G1290" s="491"/>
      <c r="H1290" s="491"/>
      <c r="I1290" s="491"/>
      <c r="J1290" s="124"/>
      <c r="K1290" s="124"/>
      <c r="L1290" s="124"/>
    </row>
    <row r="1291" spans="1:12" s="121" customFormat="1" ht="22.5">
      <c r="A1291" s="366" t="s">
        <v>14885</v>
      </c>
      <c r="B1291" s="626" t="s">
        <v>14887</v>
      </c>
      <c r="C1291" s="369">
        <f t="shared" ref="C1291" si="351">MIN(E1293:I1293)</f>
        <v>7.18</v>
      </c>
      <c r="D1291" s="370" t="s">
        <v>109</v>
      </c>
      <c r="E1291" s="486" t="s">
        <v>14872</v>
      </c>
      <c r="F1291" s="486" t="s">
        <v>14878</v>
      </c>
      <c r="G1291" s="486" t="s">
        <v>14880</v>
      </c>
      <c r="H1291" s="486"/>
      <c r="I1291" s="486"/>
      <c r="J1291" s="125" t="s">
        <v>207</v>
      </c>
      <c r="K1291" s="125"/>
      <c r="L1291" s="125"/>
    </row>
    <row r="1292" spans="1:12" s="121" customFormat="1" ht="22.5">
      <c r="A1292" s="361"/>
      <c r="B1292" s="615"/>
      <c r="C1292" s="367" t="s">
        <v>284</v>
      </c>
      <c r="D1292" s="554"/>
      <c r="E1292" s="487" t="s">
        <v>14870</v>
      </c>
      <c r="F1292" s="487" t="s">
        <v>14875</v>
      </c>
      <c r="G1292" s="487" t="s">
        <v>14879</v>
      </c>
      <c r="H1292" s="487"/>
      <c r="I1292" s="487"/>
      <c r="J1292" s="125" t="s">
        <v>283</v>
      </c>
      <c r="K1292" s="125" t="s">
        <v>280</v>
      </c>
      <c r="L1292" s="125" t="s">
        <v>281</v>
      </c>
    </row>
    <row r="1293" spans="1:12" s="121" customFormat="1" ht="15">
      <c r="A1293" s="362"/>
      <c r="B1293" s="616"/>
      <c r="C1293" s="367" t="s">
        <v>9</v>
      </c>
      <c r="D1293" s="492"/>
      <c r="E1293" s="84">
        <v>10.9</v>
      </c>
      <c r="F1293" s="488">
        <v>7.2</v>
      </c>
      <c r="G1293" s="488">
        <v>7.18</v>
      </c>
      <c r="H1293" s="84"/>
      <c r="I1293" s="84"/>
      <c r="J1293" s="125">
        <f t="shared" ref="J1293" si="352">MEDIAN(E1293:I1293)</f>
        <v>7.2</v>
      </c>
      <c r="K1293" s="125">
        <f t="shared" ref="K1293" si="353">J1293*1.3</f>
        <v>9.3600000000000012</v>
      </c>
      <c r="L1293" s="125">
        <f t="shared" ref="L1293" si="354">J1293*0.7</f>
        <v>5.04</v>
      </c>
    </row>
    <row r="1294" spans="1:12" s="121" customFormat="1" ht="15">
      <c r="A1294" s="362"/>
      <c r="B1294" s="616"/>
      <c r="C1294" s="367" t="s">
        <v>8</v>
      </c>
      <c r="D1294" s="492"/>
      <c r="E1294" s="487" t="s">
        <v>14874</v>
      </c>
      <c r="F1294" s="487" t="s">
        <v>14876</v>
      </c>
      <c r="G1294" s="487" t="s">
        <v>14881</v>
      </c>
      <c r="H1294" s="487"/>
      <c r="I1294" s="487"/>
      <c r="J1294" s="125"/>
      <c r="K1294" s="125"/>
      <c r="L1294" s="125"/>
    </row>
    <row r="1295" spans="1:12" s="121" customFormat="1" ht="15">
      <c r="A1295" s="362"/>
      <c r="B1295" s="616"/>
      <c r="C1295" s="367" t="s">
        <v>7</v>
      </c>
      <c r="D1295" s="492"/>
      <c r="E1295" s="489" t="s">
        <v>14873</v>
      </c>
      <c r="F1295" s="489" t="s">
        <v>14877</v>
      </c>
      <c r="G1295" s="489" t="s">
        <v>14882</v>
      </c>
      <c r="H1295" s="489"/>
      <c r="I1295" s="489"/>
      <c r="J1295" s="125"/>
      <c r="K1295" s="125"/>
      <c r="L1295" s="125"/>
    </row>
    <row r="1296" spans="1:12" s="121" customFormat="1" ht="15">
      <c r="A1296" s="362"/>
      <c r="B1296" s="616"/>
      <c r="C1296" s="367" t="s">
        <v>6</v>
      </c>
      <c r="D1296" s="493"/>
      <c r="E1296" s="490">
        <v>44254</v>
      </c>
      <c r="F1296" s="490">
        <v>44254</v>
      </c>
      <c r="G1296" s="490">
        <v>44254</v>
      </c>
      <c r="H1296" s="490"/>
      <c r="I1296" s="490"/>
      <c r="J1296" s="125"/>
      <c r="K1296" s="125"/>
      <c r="L1296" s="125"/>
    </row>
    <row r="1297" spans="1:12" s="121" customFormat="1" ht="15">
      <c r="A1297" s="363"/>
      <c r="B1297" s="617"/>
      <c r="C1297" s="367" t="s">
        <v>8993</v>
      </c>
      <c r="D1297" s="493"/>
      <c r="E1297" s="490" t="s">
        <v>14886</v>
      </c>
      <c r="F1297" s="490" t="s">
        <v>14886</v>
      </c>
      <c r="G1297" s="490" t="s">
        <v>14886</v>
      </c>
      <c r="H1297" s="490"/>
      <c r="I1297" s="490"/>
      <c r="J1297" s="125"/>
      <c r="K1297" s="125"/>
      <c r="L1297" s="125"/>
    </row>
    <row r="1298" spans="1:12" s="121" customFormat="1" ht="11.25">
      <c r="A1298" s="2"/>
      <c r="B1298" s="622"/>
      <c r="C1298" s="491"/>
      <c r="D1298" s="491"/>
      <c r="E1298" s="491"/>
      <c r="F1298" s="491"/>
      <c r="G1298" s="491"/>
      <c r="H1298" s="491"/>
      <c r="I1298" s="491"/>
      <c r="J1298" s="124"/>
      <c r="K1298" s="124"/>
      <c r="L1298" s="124"/>
    </row>
    <row r="1299" spans="1:12" s="121" customFormat="1" ht="22.5">
      <c r="A1299" s="366" t="s">
        <v>14892</v>
      </c>
      <c r="B1299" s="626" t="s">
        <v>14894</v>
      </c>
      <c r="C1299" s="369">
        <f t="shared" ref="C1299" si="355">MIN(E1301:I1301)</f>
        <v>6.79</v>
      </c>
      <c r="D1299" s="370" t="s">
        <v>109</v>
      </c>
      <c r="E1299" s="486" t="s">
        <v>14897</v>
      </c>
      <c r="F1299" s="486" t="s">
        <v>14901</v>
      </c>
      <c r="G1299" s="486" t="s">
        <v>14905</v>
      </c>
      <c r="H1299" s="486" t="s">
        <v>18219</v>
      </c>
      <c r="I1299" s="486"/>
      <c r="J1299" s="125" t="s">
        <v>207</v>
      </c>
      <c r="K1299" s="125"/>
      <c r="L1299" s="125"/>
    </row>
    <row r="1300" spans="1:12" s="121" customFormat="1" ht="22.5">
      <c r="A1300" s="361"/>
      <c r="B1300" s="615"/>
      <c r="C1300" s="367" t="s">
        <v>284</v>
      </c>
      <c r="D1300" s="554"/>
      <c r="E1300" s="487" t="s">
        <v>14896</v>
      </c>
      <c r="F1300" s="487" t="s">
        <v>14900</v>
      </c>
      <c r="G1300" s="487" t="s">
        <v>14904</v>
      </c>
      <c r="H1300" s="675" t="s">
        <v>18262</v>
      </c>
      <c r="I1300" s="487"/>
      <c r="J1300" s="125" t="s">
        <v>283</v>
      </c>
      <c r="K1300" s="125" t="s">
        <v>280</v>
      </c>
      <c r="L1300" s="125" t="s">
        <v>281</v>
      </c>
    </row>
    <row r="1301" spans="1:12" s="121" customFormat="1" ht="15">
      <c r="A1301" s="362"/>
      <c r="B1301" s="616"/>
      <c r="C1301" s="367" t="s">
        <v>9</v>
      </c>
      <c r="D1301" s="492"/>
      <c r="E1301" s="84">
        <v>6.79</v>
      </c>
      <c r="F1301" s="488">
        <v>11.59</v>
      </c>
      <c r="G1301" s="488">
        <v>9.9499999999999993</v>
      </c>
      <c r="H1301" s="84">
        <v>9.16</v>
      </c>
      <c r="I1301" s="84"/>
      <c r="J1301" s="125">
        <f t="shared" ref="J1301" si="356">MEDIAN(E1301:I1301)</f>
        <v>9.5549999999999997</v>
      </c>
      <c r="K1301" s="125">
        <f t="shared" ref="K1301" si="357">J1301*1.3</f>
        <v>12.4215</v>
      </c>
      <c r="L1301" s="125">
        <f t="shared" ref="L1301" si="358">J1301*0.7</f>
        <v>6.6884999999999994</v>
      </c>
    </row>
    <row r="1302" spans="1:12" s="121" customFormat="1" ht="15">
      <c r="A1302" s="362"/>
      <c r="B1302" s="616"/>
      <c r="C1302" s="367" t="s">
        <v>8</v>
      </c>
      <c r="D1302" s="492"/>
      <c r="E1302" s="487" t="s">
        <v>14898</v>
      </c>
      <c r="F1302" s="487" t="s">
        <v>14903</v>
      </c>
      <c r="G1302" s="487" t="s">
        <v>14906</v>
      </c>
      <c r="H1302" s="487"/>
      <c r="I1302" s="487"/>
      <c r="J1302" s="125"/>
      <c r="K1302" s="125"/>
      <c r="L1302" s="125"/>
    </row>
    <row r="1303" spans="1:12" s="121" customFormat="1" ht="15">
      <c r="A1303" s="362"/>
      <c r="B1303" s="616"/>
      <c r="C1303" s="367" t="s">
        <v>7</v>
      </c>
      <c r="D1303" s="492"/>
      <c r="E1303" s="489" t="s">
        <v>14899</v>
      </c>
      <c r="F1303" s="489" t="s">
        <v>14902</v>
      </c>
      <c r="G1303" s="489" t="s">
        <v>14907</v>
      </c>
      <c r="H1303" s="489"/>
      <c r="I1303" s="489"/>
      <c r="J1303" s="125"/>
      <c r="K1303" s="125"/>
      <c r="L1303" s="125"/>
    </row>
    <row r="1304" spans="1:12" s="121" customFormat="1" ht="15">
      <c r="A1304" s="362"/>
      <c r="B1304" s="616"/>
      <c r="C1304" s="367" t="s">
        <v>6</v>
      </c>
      <c r="D1304" s="493"/>
      <c r="E1304" s="490">
        <v>44254</v>
      </c>
      <c r="F1304" s="490">
        <v>44254</v>
      </c>
      <c r="G1304" s="490">
        <v>44254</v>
      </c>
      <c r="H1304" s="490">
        <v>44151</v>
      </c>
      <c r="I1304" s="490"/>
      <c r="J1304" s="125"/>
      <c r="K1304" s="125"/>
      <c r="L1304" s="125"/>
    </row>
    <row r="1305" spans="1:12" s="121" customFormat="1" ht="15">
      <c r="A1305" s="363"/>
      <c r="B1305" s="617"/>
      <c r="C1305" s="367" t="s">
        <v>8993</v>
      </c>
      <c r="D1305" s="493"/>
      <c r="E1305" s="490" t="s">
        <v>14895</v>
      </c>
      <c r="F1305" s="490" t="s">
        <v>14895</v>
      </c>
      <c r="G1305" s="490" t="s">
        <v>14895</v>
      </c>
      <c r="H1305" s="490" t="s">
        <v>18220</v>
      </c>
      <c r="I1305" s="490"/>
      <c r="J1305" s="125"/>
      <c r="K1305" s="125"/>
      <c r="L1305" s="125"/>
    </row>
    <row r="1306" spans="1:12" s="121" customFormat="1" ht="11.25">
      <c r="A1306" s="2"/>
      <c r="B1306" s="622"/>
      <c r="C1306" s="491"/>
      <c r="D1306" s="491"/>
      <c r="E1306" s="491"/>
      <c r="F1306" s="491"/>
      <c r="G1306" s="491"/>
      <c r="H1306" s="491"/>
      <c r="I1306" s="491"/>
      <c r="J1306" s="124"/>
      <c r="K1306" s="124"/>
      <c r="L1306" s="124"/>
    </row>
    <row r="1307" spans="1:12" s="121" customFormat="1" ht="11.25">
      <c r="A1307" s="366" t="s">
        <v>14908</v>
      </c>
      <c r="B1307" s="626" t="s">
        <v>14909</v>
      </c>
      <c r="C1307" s="369">
        <f t="shared" ref="C1307" si="359">MIN(E1309:I1309)</f>
        <v>10.8</v>
      </c>
      <c r="D1307" s="370" t="s">
        <v>109</v>
      </c>
      <c r="E1307" s="486" t="s">
        <v>14901</v>
      </c>
      <c r="F1307" s="486" t="s">
        <v>14911</v>
      </c>
      <c r="G1307" s="486" t="s">
        <v>15188</v>
      </c>
      <c r="H1307" s="486"/>
      <c r="I1307" s="486"/>
      <c r="J1307" s="125" t="s">
        <v>207</v>
      </c>
      <c r="K1307" s="125"/>
      <c r="L1307" s="125"/>
    </row>
    <row r="1308" spans="1:12" s="121" customFormat="1" ht="22.5">
      <c r="A1308" s="361"/>
      <c r="B1308" s="615"/>
      <c r="C1308" s="367" t="s">
        <v>284</v>
      </c>
      <c r="D1308" s="554"/>
      <c r="E1308" s="487" t="s">
        <v>14900</v>
      </c>
      <c r="F1308" s="487" t="s">
        <v>14910</v>
      </c>
      <c r="G1308" s="487" t="s">
        <v>15189</v>
      </c>
      <c r="H1308" s="487"/>
      <c r="I1308" s="487"/>
      <c r="J1308" s="125" t="s">
        <v>283</v>
      </c>
      <c r="K1308" s="125" t="s">
        <v>280</v>
      </c>
      <c r="L1308" s="125" t="s">
        <v>281</v>
      </c>
    </row>
    <row r="1309" spans="1:12" s="121" customFormat="1" ht="15">
      <c r="A1309" s="362"/>
      <c r="B1309" s="616"/>
      <c r="C1309" s="367" t="s">
        <v>9</v>
      </c>
      <c r="D1309" s="492"/>
      <c r="E1309" s="488">
        <v>15.99</v>
      </c>
      <c r="F1309" s="488">
        <v>12.81</v>
      </c>
      <c r="G1309" s="488">
        <v>10.8</v>
      </c>
      <c r="H1309" s="84"/>
      <c r="I1309" s="84"/>
      <c r="J1309" s="125">
        <f t="shared" ref="J1309" si="360">MEDIAN(E1309:I1309)</f>
        <v>12.81</v>
      </c>
      <c r="K1309" s="125">
        <f t="shared" ref="K1309" si="361">J1309*1.3</f>
        <v>16.653000000000002</v>
      </c>
      <c r="L1309" s="125">
        <f t="shared" ref="L1309" si="362">J1309*0.7</f>
        <v>8.9670000000000005</v>
      </c>
    </row>
    <row r="1310" spans="1:12" s="121" customFormat="1" ht="15">
      <c r="A1310" s="362"/>
      <c r="B1310" s="616"/>
      <c r="C1310" s="367" t="s">
        <v>8</v>
      </c>
      <c r="D1310" s="492"/>
      <c r="E1310" s="487" t="s">
        <v>14903</v>
      </c>
      <c r="F1310" s="487" t="s">
        <v>14913</v>
      </c>
      <c r="G1310" s="487" t="s">
        <v>15190</v>
      </c>
      <c r="H1310" s="487"/>
      <c r="I1310" s="487"/>
      <c r="J1310" s="125"/>
      <c r="K1310" s="125"/>
      <c r="L1310" s="125"/>
    </row>
    <row r="1311" spans="1:12" s="121" customFormat="1" ht="15">
      <c r="A1311" s="362"/>
      <c r="B1311" s="616"/>
      <c r="C1311" s="367" t="s">
        <v>7</v>
      </c>
      <c r="D1311" s="492"/>
      <c r="E1311" s="489" t="s">
        <v>14902</v>
      </c>
      <c r="F1311" s="489" t="s">
        <v>14912</v>
      </c>
      <c r="G1311" s="489" t="s">
        <v>15191</v>
      </c>
      <c r="H1311" s="489"/>
      <c r="I1311" s="489"/>
      <c r="J1311" s="125"/>
      <c r="K1311" s="125"/>
      <c r="L1311" s="125"/>
    </row>
    <row r="1312" spans="1:12" s="121" customFormat="1" ht="15">
      <c r="A1312" s="362"/>
      <c r="B1312" s="616"/>
      <c r="C1312" s="367" t="s">
        <v>6</v>
      </c>
      <c r="D1312" s="493"/>
      <c r="E1312" s="490">
        <v>44254</v>
      </c>
      <c r="F1312" s="490">
        <v>44254</v>
      </c>
      <c r="G1312" s="490">
        <v>44256</v>
      </c>
      <c r="H1312" s="490"/>
      <c r="I1312" s="490"/>
      <c r="J1312" s="125"/>
      <c r="K1312" s="125"/>
      <c r="L1312" s="125"/>
    </row>
    <row r="1313" spans="1:12" s="121" customFormat="1" ht="15">
      <c r="A1313" s="363"/>
      <c r="B1313" s="617"/>
      <c r="C1313" s="367" t="s">
        <v>8993</v>
      </c>
      <c r="D1313" s="493"/>
      <c r="E1313" s="490" t="s">
        <v>15011</v>
      </c>
      <c r="F1313" s="490" t="s">
        <v>15011</v>
      </c>
      <c r="G1313" s="490" t="s">
        <v>15011</v>
      </c>
      <c r="H1313" s="490"/>
      <c r="I1313" s="490"/>
      <c r="J1313" s="125"/>
      <c r="K1313" s="125"/>
      <c r="L1313" s="125"/>
    </row>
    <row r="1314" spans="1:12" s="121" customFormat="1" ht="11.25">
      <c r="A1314" s="2"/>
      <c r="B1314" s="622"/>
      <c r="C1314" s="491"/>
      <c r="D1314" s="491"/>
      <c r="E1314" s="491"/>
      <c r="F1314" s="491"/>
      <c r="G1314" s="491"/>
      <c r="H1314" s="491"/>
      <c r="I1314" s="491"/>
      <c r="J1314" s="124"/>
      <c r="K1314" s="124"/>
      <c r="L1314" s="124"/>
    </row>
    <row r="1315" spans="1:12" s="121" customFormat="1" ht="11.25">
      <c r="A1315" s="366" t="s">
        <v>14915</v>
      </c>
      <c r="B1315" s="626" t="s">
        <v>14919</v>
      </c>
      <c r="C1315" s="369">
        <f t="shared" ref="C1315" si="363">MIN(E1317:I1317)</f>
        <v>14.4</v>
      </c>
      <c r="D1315" s="370" t="s">
        <v>109</v>
      </c>
      <c r="E1315" s="486" t="s">
        <v>14921</v>
      </c>
      <c r="F1315" s="486" t="s">
        <v>14925</v>
      </c>
      <c r="G1315" s="486" t="s">
        <v>14929</v>
      </c>
      <c r="H1315" s="486" t="s">
        <v>18219</v>
      </c>
      <c r="I1315" s="486"/>
      <c r="J1315" s="125" t="s">
        <v>207</v>
      </c>
      <c r="K1315" s="125"/>
      <c r="L1315" s="125"/>
    </row>
    <row r="1316" spans="1:12" s="121" customFormat="1" ht="45">
      <c r="A1316" s="361"/>
      <c r="B1316" s="615"/>
      <c r="C1316" s="367" t="s">
        <v>284</v>
      </c>
      <c r="D1316" s="554"/>
      <c r="E1316" s="487" t="s">
        <v>14920</v>
      </c>
      <c r="F1316" s="487" t="s">
        <v>14924</v>
      </c>
      <c r="G1316" s="487" t="s">
        <v>14928</v>
      </c>
      <c r="H1316" s="675" t="s">
        <v>18263</v>
      </c>
      <c r="I1316" s="487"/>
      <c r="J1316" s="125" t="s">
        <v>283</v>
      </c>
      <c r="K1316" s="125" t="s">
        <v>280</v>
      </c>
      <c r="L1316" s="125" t="s">
        <v>281</v>
      </c>
    </row>
    <row r="1317" spans="1:12" s="121" customFormat="1" ht="15">
      <c r="A1317" s="362"/>
      <c r="B1317" s="616"/>
      <c r="C1317" s="367" t="s">
        <v>9</v>
      </c>
      <c r="D1317" s="492"/>
      <c r="E1317" s="488">
        <v>14.4</v>
      </c>
      <c r="F1317" s="488">
        <v>14.97</v>
      </c>
      <c r="G1317" s="488">
        <v>19.59</v>
      </c>
      <c r="H1317" s="84">
        <v>41</v>
      </c>
      <c r="I1317" s="84"/>
      <c r="J1317" s="125">
        <f t="shared" ref="J1317" si="364">MEDIAN(E1317:I1317)</f>
        <v>17.28</v>
      </c>
      <c r="K1317" s="125">
        <f t="shared" ref="K1317" si="365">J1317*1.3</f>
        <v>22.464000000000002</v>
      </c>
      <c r="L1317" s="125">
        <f t="shared" ref="L1317" si="366">J1317*0.7</f>
        <v>12.096</v>
      </c>
    </row>
    <row r="1318" spans="1:12" s="121" customFormat="1" ht="15">
      <c r="A1318" s="362"/>
      <c r="B1318" s="616"/>
      <c r="C1318" s="367" t="s">
        <v>8</v>
      </c>
      <c r="D1318" s="492"/>
      <c r="E1318" s="487" t="s">
        <v>14922</v>
      </c>
      <c r="F1318" s="487" t="s">
        <v>14926</v>
      </c>
      <c r="G1318" s="487" t="s">
        <v>14931</v>
      </c>
      <c r="H1318" s="487"/>
      <c r="I1318" s="487"/>
      <c r="J1318" s="125"/>
      <c r="K1318" s="125"/>
      <c r="L1318" s="125"/>
    </row>
    <row r="1319" spans="1:12" s="121" customFormat="1" ht="15">
      <c r="A1319" s="362"/>
      <c r="B1319" s="616"/>
      <c r="C1319" s="367" t="s">
        <v>7</v>
      </c>
      <c r="D1319" s="492"/>
      <c r="E1319" s="489" t="s">
        <v>14923</v>
      </c>
      <c r="F1319" s="489" t="s">
        <v>14927</v>
      </c>
      <c r="G1319" s="489" t="s">
        <v>14930</v>
      </c>
      <c r="H1319" s="489"/>
      <c r="I1319" s="489"/>
      <c r="J1319" s="125"/>
      <c r="K1319" s="125"/>
      <c r="L1319" s="125"/>
    </row>
    <row r="1320" spans="1:12" s="121" customFormat="1" ht="15">
      <c r="A1320" s="362"/>
      <c r="B1320" s="616"/>
      <c r="C1320" s="367" t="s">
        <v>6</v>
      </c>
      <c r="D1320" s="493"/>
      <c r="E1320" s="490">
        <v>44254</v>
      </c>
      <c r="F1320" s="490">
        <v>44254</v>
      </c>
      <c r="G1320" s="490">
        <v>44254</v>
      </c>
      <c r="H1320" s="490">
        <v>44105</v>
      </c>
      <c r="I1320" s="490"/>
      <c r="J1320" s="125"/>
      <c r="K1320" s="125"/>
      <c r="L1320" s="125"/>
    </row>
    <row r="1321" spans="1:12" s="121" customFormat="1" ht="15">
      <c r="A1321" s="363"/>
      <c r="B1321" s="617"/>
      <c r="C1321" s="367" t="s">
        <v>8993</v>
      </c>
      <c r="D1321" s="493"/>
      <c r="E1321" s="490" t="s">
        <v>14916</v>
      </c>
      <c r="F1321" s="490" t="s">
        <v>14916</v>
      </c>
      <c r="G1321" s="490" t="s">
        <v>14916</v>
      </c>
      <c r="H1321" s="490" t="s">
        <v>18220</v>
      </c>
      <c r="I1321" s="490"/>
      <c r="J1321" s="125"/>
      <c r="K1321" s="125"/>
      <c r="L1321" s="125"/>
    </row>
    <row r="1322" spans="1:12" s="121" customFormat="1" ht="11.25">
      <c r="A1322" s="2"/>
      <c r="B1322" s="622"/>
      <c r="C1322" s="491"/>
      <c r="D1322" s="491"/>
      <c r="E1322" s="491"/>
      <c r="F1322" s="491"/>
      <c r="G1322" s="491"/>
      <c r="H1322" s="491"/>
      <c r="I1322" s="491"/>
      <c r="J1322" s="124"/>
      <c r="K1322" s="124"/>
      <c r="L1322" s="124"/>
    </row>
    <row r="1323" spans="1:12" s="121" customFormat="1" ht="11.25">
      <c r="A1323" s="366" t="s">
        <v>14932</v>
      </c>
      <c r="B1323" s="626" t="s">
        <v>14933</v>
      </c>
      <c r="C1323" s="369">
        <f t="shared" ref="C1323" si="367">MIN(E1325:I1325)</f>
        <v>94.41</v>
      </c>
      <c r="D1323" s="370" t="s">
        <v>109</v>
      </c>
      <c r="E1323" s="486" t="s">
        <v>14921</v>
      </c>
      <c r="F1323" s="486" t="s">
        <v>14936</v>
      </c>
      <c r="G1323" s="486" t="s">
        <v>14756</v>
      </c>
      <c r="H1323" s="486" t="s">
        <v>18219</v>
      </c>
      <c r="I1323" s="486"/>
      <c r="J1323" s="125" t="s">
        <v>207</v>
      </c>
      <c r="K1323" s="125"/>
      <c r="L1323" s="125"/>
    </row>
    <row r="1324" spans="1:12" s="121" customFormat="1" ht="22.5">
      <c r="A1324" s="361"/>
      <c r="B1324" s="615"/>
      <c r="C1324" s="367" t="s">
        <v>284</v>
      </c>
      <c r="D1324" s="554"/>
      <c r="E1324" s="487" t="s">
        <v>14920</v>
      </c>
      <c r="F1324" s="487" t="s">
        <v>14935</v>
      </c>
      <c r="G1324" s="487" t="s">
        <v>14917</v>
      </c>
      <c r="H1324" s="675">
        <v>2242020</v>
      </c>
      <c r="I1324" s="487"/>
      <c r="J1324" s="125" t="s">
        <v>283</v>
      </c>
      <c r="K1324" s="125" t="s">
        <v>280</v>
      </c>
      <c r="L1324" s="125" t="s">
        <v>281</v>
      </c>
    </row>
    <row r="1325" spans="1:12" s="121" customFormat="1" ht="15">
      <c r="A1325" s="362"/>
      <c r="B1325" s="616"/>
      <c r="C1325" s="367" t="s">
        <v>9</v>
      </c>
      <c r="D1325" s="492"/>
      <c r="E1325" s="488">
        <v>94.41</v>
      </c>
      <c r="F1325" s="488">
        <v>167.72</v>
      </c>
      <c r="G1325" s="488">
        <v>164.19</v>
      </c>
      <c r="H1325" s="84">
        <v>126.14</v>
      </c>
      <c r="I1325" s="84"/>
      <c r="J1325" s="125">
        <f t="shared" ref="J1325" si="368">MEDIAN(E1325:I1325)</f>
        <v>145.16499999999999</v>
      </c>
      <c r="K1325" s="125">
        <f t="shared" ref="K1325" si="369">J1325*1.3</f>
        <v>188.71449999999999</v>
      </c>
      <c r="L1325" s="125">
        <f t="shared" ref="L1325" si="370">J1325*0.7</f>
        <v>101.61549999999998</v>
      </c>
    </row>
    <row r="1326" spans="1:12" s="121" customFormat="1" ht="15">
      <c r="A1326" s="362"/>
      <c r="B1326" s="616"/>
      <c r="C1326" s="367" t="s">
        <v>8</v>
      </c>
      <c r="D1326" s="492"/>
      <c r="E1326" s="487" t="s">
        <v>14922</v>
      </c>
      <c r="F1326" s="487" t="s">
        <v>14758</v>
      </c>
      <c r="G1326" s="487" t="s">
        <v>14758</v>
      </c>
      <c r="H1326" s="487"/>
      <c r="I1326" s="487"/>
      <c r="J1326" s="125"/>
      <c r="K1326" s="125"/>
      <c r="L1326" s="125"/>
    </row>
    <row r="1327" spans="1:12" s="121" customFormat="1" ht="15">
      <c r="A1327" s="362"/>
      <c r="B1327" s="616"/>
      <c r="C1327" s="367" t="s">
        <v>7</v>
      </c>
      <c r="D1327" s="492"/>
      <c r="E1327" s="489" t="s">
        <v>14923</v>
      </c>
      <c r="F1327" s="489" t="s">
        <v>14937</v>
      </c>
      <c r="G1327" s="489"/>
      <c r="H1327" s="489"/>
      <c r="I1327" s="489"/>
      <c r="J1327" s="125"/>
      <c r="K1327" s="125"/>
      <c r="L1327" s="125"/>
    </row>
    <row r="1328" spans="1:12" s="121" customFormat="1" ht="15">
      <c r="A1328" s="362"/>
      <c r="B1328" s="616"/>
      <c r="C1328" s="367" t="s">
        <v>6</v>
      </c>
      <c r="D1328" s="493"/>
      <c r="E1328" s="490">
        <v>44254</v>
      </c>
      <c r="F1328" s="490">
        <v>44254</v>
      </c>
      <c r="G1328" s="490">
        <v>44254</v>
      </c>
      <c r="H1328" s="490">
        <v>44049</v>
      </c>
      <c r="I1328" s="490"/>
      <c r="J1328" s="125"/>
      <c r="K1328" s="125"/>
      <c r="L1328" s="125"/>
    </row>
    <row r="1329" spans="1:12" s="121" customFormat="1" ht="15">
      <c r="A1329" s="363"/>
      <c r="B1329" s="617"/>
      <c r="C1329" s="367" t="s">
        <v>8993</v>
      </c>
      <c r="D1329" s="493"/>
      <c r="E1329" s="490" t="s">
        <v>14934</v>
      </c>
      <c r="F1329" s="490" t="s">
        <v>14934</v>
      </c>
      <c r="G1329" s="490" t="s">
        <v>14934</v>
      </c>
      <c r="H1329" s="490" t="s">
        <v>18220</v>
      </c>
      <c r="I1329" s="490"/>
      <c r="J1329" s="125"/>
      <c r="K1329" s="125"/>
      <c r="L1329" s="125"/>
    </row>
    <row r="1330" spans="1:12" s="121" customFormat="1" ht="11.25">
      <c r="A1330" s="2"/>
      <c r="B1330" s="622"/>
      <c r="C1330" s="491"/>
      <c r="D1330" s="491"/>
      <c r="E1330" s="491"/>
      <c r="F1330" s="491"/>
      <c r="G1330" s="491"/>
      <c r="H1330" s="491"/>
      <c r="I1330" s="491"/>
      <c r="J1330" s="124"/>
      <c r="K1330" s="124"/>
      <c r="L1330" s="124"/>
    </row>
    <row r="1331" spans="1:12" s="121" customFormat="1" ht="11.25">
      <c r="A1331" s="366" t="s">
        <v>14941</v>
      </c>
      <c r="B1331" s="626" t="s">
        <v>14943</v>
      </c>
      <c r="C1331" s="369">
        <f t="shared" ref="C1331" si="371">MIN(E1333:I1333)</f>
        <v>70</v>
      </c>
      <c r="D1331" s="370" t="s">
        <v>109</v>
      </c>
      <c r="E1331" s="486" t="s">
        <v>14925</v>
      </c>
      <c r="F1331" s="486" t="s">
        <v>14946</v>
      </c>
      <c r="G1331" s="486" t="s">
        <v>14950</v>
      </c>
      <c r="H1331" s="486" t="s">
        <v>18219</v>
      </c>
      <c r="I1331" s="486"/>
      <c r="J1331" s="125" t="s">
        <v>207</v>
      </c>
      <c r="K1331" s="125"/>
      <c r="L1331" s="125"/>
    </row>
    <row r="1332" spans="1:12" s="121" customFormat="1" ht="22.5">
      <c r="A1332" s="361"/>
      <c r="B1332" s="615"/>
      <c r="C1332" s="367" t="s">
        <v>284</v>
      </c>
      <c r="D1332" s="554"/>
      <c r="E1332" s="487" t="s">
        <v>14924</v>
      </c>
      <c r="F1332" s="487" t="s">
        <v>14945</v>
      </c>
      <c r="G1332" s="487" t="s">
        <v>14949</v>
      </c>
      <c r="H1332" s="675" t="s">
        <v>18264</v>
      </c>
      <c r="I1332" s="487"/>
      <c r="J1332" s="125" t="s">
        <v>283</v>
      </c>
      <c r="K1332" s="125" t="s">
        <v>280</v>
      </c>
      <c r="L1332" s="125" t="s">
        <v>281</v>
      </c>
    </row>
    <row r="1333" spans="1:12" s="121" customFormat="1" ht="15">
      <c r="A1333" s="362"/>
      <c r="B1333" s="616"/>
      <c r="C1333" s="367" t="s">
        <v>9</v>
      </c>
      <c r="D1333" s="492"/>
      <c r="E1333" s="488">
        <v>75.66</v>
      </c>
      <c r="F1333" s="488">
        <v>70</v>
      </c>
      <c r="G1333" s="488">
        <v>89.6</v>
      </c>
      <c r="H1333" s="84">
        <v>70.66</v>
      </c>
      <c r="I1333" s="84"/>
      <c r="J1333" s="125">
        <f t="shared" ref="J1333" si="372">MEDIAN(E1333:I1333)</f>
        <v>73.16</v>
      </c>
      <c r="K1333" s="125">
        <f t="shared" ref="K1333" si="373">J1333*1.3</f>
        <v>95.108000000000004</v>
      </c>
      <c r="L1333" s="125">
        <f t="shared" ref="L1333" si="374">J1333*0.7</f>
        <v>51.211999999999996</v>
      </c>
    </row>
    <row r="1334" spans="1:12" s="121" customFormat="1" ht="15">
      <c r="A1334" s="362"/>
      <c r="B1334" s="616"/>
      <c r="C1334" s="367" t="s">
        <v>8</v>
      </c>
      <c r="D1334" s="492"/>
      <c r="E1334" s="487" t="s">
        <v>14926</v>
      </c>
      <c r="F1334" s="487" t="s">
        <v>14948</v>
      </c>
      <c r="G1334" s="487" t="s">
        <v>14952</v>
      </c>
      <c r="H1334" s="487"/>
      <c r="I1334" s="487"/>
      <c r="J1334" s="125"/>
      <c r="K1334" s="125"/>
      <c r="L1334" s="125"/>
    </row>
    <row r="1335" spans="1:12" s="121" customFormat="1" ht="15">
      <c r="A1335" s="362"/>
      <c r="B1335" s="616"/>
      <c r="C1335" s="367" t="s">
        <v>7</v>
      </c>
      <c r="D1335" s="492"/>
      <c r="E1335" s="489" t="s">
        <v>14927</v>
      </c>
      <c r="F1335" s="489" t="s">
        <v>14947</v>
      </c>
      <c r="G1335" s="489" t="s">
        <v>14951</v>
      </c>
      <c r="H1335" s="489"/>
      <c r="I1335" s="489"/>
      <c r="J1335" s="125"/>
      <c r="K1335" s="125"/>
      <c r="L1335" s="125"/>
    </row>
    <row r="1336" spans="1:12" s="121" customFormat="1" ht="15">
      <c r="A1336" s="362"/>
      <c r="B1336" s="616"/>
      <c r="C1336" s="367" t="s">
        <v>6</v>
      </c>
      <c r="D1336" s="493"/>
      <c r="E1336" s="490">
        <v>44254</v>
      </c>
      <c r="F1336" s="490">
        <v>44254</v>
      </c>
      <c r="G1336" s="490">
        <v>44254</v>
      </c>
      <c r="H1336" s="490">
        <v>44168</v>
      </c>
      <c r="I1336" s="490"/>
      <c r="J1336" s="125"/>
      <c r="K1336" s="125"/>
      <c r="L1336" s="125"/>
    </row>
    <row r="1337" spans="1:12" s="121" customFormat="1" ht="15">
      <c r="A1337" s="363"/>
      <c r="B1337" s="617"/>
      <c r="C1337" s="367" t="s">
        <v>8993</v>
      </c>
      <c r="D1337" s="493"/>
      <c r="E1337" s="490" t="s">
        <v>14944</v>
      </c>
      <c r="F1337" s="490" t="s">
        <v>14944</v>
      </c>
      <c r="G1337" s="490" t="s">
        <v>14944</v>
      </c>
      <c r="H1337" s="490" t="s">
        <v>18220</v>
      </c>
      <c r="I1337" s="490"/>
      <c r="J1337" s="125"/>
      <c r="K1337" s="125"/>
      <c r="L1337" s="125"/>
    </row>
    <row r="1338" spans="1:12" s="121" customFormat="1" ht="11.25">
      <c r="A1338" s="2"/>
      <c r="B1338" s="622"/>
      <c r="C1338" s="491"/>
      <c r="D1338" s="491"/>
      <c r="E1338" s="491"/>
      <c r="F1338" s="491"/>
      <c r="G1338" s="491"/>
      <c r="H1338" s="491"/>
      <c r="I1338" s="491"/>
      <c r="J1338" s="124"/>
      <c r="K1338" s="124"/>
      <c r="L1338" s="124"/>
    </row>
    <row r="1339" spans="1:12" s="121" customFormat="1" ht="33.75">
      <c r="A1339" s="366" t="s">
        <v>14942</v>
      </c>
      <c r="B1339" s="626" t="s">
        <v>14986</v>
      </c>
      <c r="C1339" s="369">
        <f t="shared" ref="C1339" si="375">MIN(E1341:I1341)</f>
        <v>1281.42</v>
      </c>
      <c r="D1339" s="370" t="s">
        <v>109</v>
      </c>
      <c r="E1339" s="486" t="s">
        <v>14921</v>
      </c>
      <c r="F1339" s="486" t="s">
        <v>14973</v>
      </c>
      <c r="G1339" s="486" t="s">
        <v>14756</v>
      </c>
      <c r="H1339" s="486"/>
      <c r="I1339" s="486"/>
      <c r="J1339" s="125" t="s">
        <v>207</v>
      </c>
      <c r="K1339" s="125"/>
      <c r="L1339" s="125"/>
    </row>
    <row r="1340" spans="1:12" s="121" customFormat="1" ht="22.5">
      <c r="A1340" s="361"/>
      <c r="B1340" s="615"/>
      <c r="C1340" s="367" t="s">
        <v>284</v>
      </c>
      <c r="D1340" s="554"/>
      <c r="E1340" s="487" t="s">
        <v>14920</v>
      </c>
      <c r="F1340" s="487" t="s">
        <v>14983</v>
      </c>
      <c r="G1340" s="487" t="s">
        <v>14917</v>
      </c>
      <c r="H1340" s="487"/>
      <c r="I1340" s="487"/>
      <c r="J1340" s="125" t="s">
        <v>283</v>
      </c>
      <c r="K1340" s="125" t="s">
        <v>280</v>
      </c>
      <c r="L1340" s="125" t="s">
        <v>281</v>
      </c>
    </row>
    <row r="1341" spans="1:12" s="121" customFormat="1" ht="15">
      <c r="A1341" s="362"/>
      <c r="B1341" s="616"/>
      <c r="C1341" s="367" t="s">
        <v>9</v>
      </c>
      <c r="D1341" s="492"/>
      <c r="E1341" s="488">
        <v>1281.42</v>
      </c>
      <c r="F1341" s="488">
        <v>1434.8</v>
      </c>
      <c r="G1341" s="488">
        <v>1581.66</v>
      </c>
      <c r="H1341" s="84"/>
      <c r="I1341" s="84"/>
      <c r="J1341" s="125">
        <f t="shared" ref="J1341" si="376">MEDIAN(E1341:I1341)</f>
        <v>1434.8</v>
      </c>
      <c r="K1341" s="125">
        <f t="shared" ref="K1341" si="377">J1341*1.3</f>
        <v>1865.24</v>
      </c>
      <c r="L1341" s="125">
        <f t="shared" ref="L1341" si="378">J1341*0.7</f>
        <v>1004.3599999999999</v>
      </c>
    </row>
    <row r="1342" spans="1:12" s="121" customFormat="1" ht="15">
      <c r="A1342" s="362"/>
      <c r="B1342" s="616"/>
      <c r="C1342" s="367" t="s">
        <v>8</v>
      </c>
      <c r="D1342" s="492"/>
      <c r="E1342" s="487" t="s">
        <v>14922</v>
      </c>
      <c r="F1342" s="487" t="s">
        <v>14975</v>
      </c>
      <c r="G1342" s="487" t="s">
        <v>14758</v>
      </c>
      <c r="H1342" s="487"/>
      <c r="I1342" s="487"/>
      <c r="J1342" s="125"/>
      <c r="K1342" s="125"/>
      <c r="L1342" s="125"/>
    </row>
    <row r="1343" spans="1:12" s="121" customFormat="1" ht="15">
      <c r="A1343" s="362"/>
      <c r="B1343" s="616"/>
      <c r="C1343" s="367" t="s">
        <v>7</v>
      </c>
      <c r="D1343" s="492"/>
      <c r="E1343" s="489" t="s">
        <v>14923</v>
      </c>
      <c r="F1343" s="489"/>
      <c r="G1343" s="489"/>
      <c r="H1343" s="489"/>
      <c r="I1343" s="489"/>
      <c r="J1343" s="125"/>
      <c r="K1343" s="125"/>
      <c r="L1343" s="125"/>
    </row>
    <row r="1344" spans="1:12" s="121" customFormat="1" ht="15">
      <c r="A1344" s="362"/>
      <c r="B1344" s="616"/>
      <c r="C1344" s="367" t="s">
        <v>6</v>
      </c>
      <c r="D1344" s="493"/>
      <c r="E1344" s="490">
        <v>44254</v>
      </c>
      <c r="F1344" s="490">
        <v>44254</v>
      </c>
      <c r="G1344" s="490">
        <v>44254</v>
      </c>
      <c r="H1344" s="490"/>
      <c r="I1344" s="490"/>
      <c r="J1344" s="125"/>
      <c r="K1344" s="125"/>
      <c r="L1344" s="125"/>
    </row>
    <row r="1345" spans="1:20" s="121" customFormat="1" ht="15">
      <c r="A1345" s="363"/>
      <c r="B1345" s="617"/>
      <c r="C1345" s="367" t="s">
        <v>8993</v>
      </c>
      <c r="D1345" s="493"/>
      <c r="E1345" s="490" t="s">
        <v>14953</v>
      </c>
      <c r="F1345" s="490" t="s">
        <v>14984</v>
      </c>
      <c r="G1345" s="490" t="s">
        <v>14985</v>
      </c>
      <c r="H1345" s="490"/>
      <c r="I1345" s="490"/>
      <c r="J1345" s="125"/>
      <c r="K1345" s="125"/>
      <c r="L1345" s="125"/>
    </row>
    <row r="1346" spans="1:20" s="121" customFormat="1" ht="11.25">
      <c r="A1346" s="2"/>
      <c r="B1346" s="622"/>
      <c r="C1346" s="491"/>
      <c r="D1346" s="491"/>
      <c r="E1346" s="491"/>
      <c r="F1346" s="491"/>
      <c r="G1346" s="491"/>
      <c r="H1346" s="491"/>
      <c r="I1346" s="491"/>
      <c r="J1346" s="124"/>
      <c r="K1346" s="124"/>
      <c r="L1346" s="124"/>
    </row>
    <row r="1347" spans="1:20" s="121" customFormat="1" ht="22.5">
      <c r="A1347" s="366" t="s">
        <v>15734</v>
      </c>
      <c r="B1347" s="626" t="s">
        <v>15742</v>
      </c>
      <c r="C1347" s="369">
        <f t="shared" ref="C1347" si="379">MIN(E1349:I1349)</f>
        <v>6378.84</v>
      </c>
      <c r="D1347" s="370" t="s">
        <v>109</v>
      </c>
      <c r="E1347" s="486" t="s">
        <v>16758</v>
      </c>
      <c r="F1347" s="486" t="s">
        <v>17800</v>
      </c>
      <c r="G1347" s="486" t="s">
        <v>16777</v>
      </c>
      <c r="H1347" s="486"/>
      <c r="I1347" s="486"/>
      <c r="J1347" s="125" t="s">
        <v>207</v>
      </c>
      <c r="K1347" s="125"/>
      <c r="L1347" s="125"/>
    </row>
    <row r="1348" spans="1:20" s="121" customFormat="1" ht="22.5">
      <c r="A1348" s="361"/>
      <c r="B1348" s="615"/>
      <c r="C1348" s="367" t="s">
        <v>284</v>
      </c>
      <c r="D1348" s="554"/>
      <c r="E1348" s="487" t="s">
        <v>16759</v>
      </c>
      <c r="F1348" s="487" t="s">
        <v>17801</v>
      </c>
      <c r="G1348" s="487" t="s">
        <v>14935</v>
      </c>
      <c r="H1348" s="487"/>
      <c r="I1348" s="487"/>
      <c r="J1348" s="125" t="s">
        <v>283</v>
      </c>
      <c r="K1348" s="125" t="s">
        <v>280</v>
      </c>
      <c r="L1348" s="125" t="s">
        <v>281</v>
      </c>
    </row>
    <row r="1349" spans="1:20" s="121" customFormat="1" ht="15">
      <c r="A1349" s="362"/>
      <c r="B1349" s="616"/>
      <c r="C1349" s="367" t="s">
        <v>9</v>
      </c>
      <c r="D1349" s="492"/>
      <c r="E1349" s="84">
        <v>6900</v>
      </c>
      <c r="F1349" s="84">
        <v>6500</v>
      </c>
      <c r="G1349" s="84">
        <v>6378.84</v>
      </c>
      <c r="H1349" s="84"/>
      <c r="I1349" s="84"/>
      <c r="J1349" s="125">
        <f t="shared" ref="J1349" si="380">MEDIAN(E1349:I1349)</f>
        <v>6500</v>
      </c>
      <c r="K1349" s="125">
        <f t="shared" ref="K1349" si="381">J1349*1.3</f>
        <v>8450</v>
      </c>
      <c r="L1349" s="125">
        <f t="shared" ref="L1349" si="382">J1349*0.7</f>
        <v>4550</v>
      </c>
    </row>
    <row r="1350" spans="1:20" s="121" customFormat="1" ht="15">
      <c r="A1350" s="362"/>
      <c r="B1350" s="616"/>
      <c r="C1350" s="367" t="s">
        <v>8</v>
      </c>
      <c r="D1350" s="492"/>
      <c r="E1350" s="487" t="s">
        <v>16760</v>
      </c>
      <c r="F1350" s="487" t="s">
        <v>17802</v>
      </c>
      <c r="G1350" s="487" t="s">
        <v>14758</v>
      </c>
      <c r="H1350" s="487"/>
      <c r="I1350" s="487"/>
      <c r="J1350" s="125"/>
      <c r="K1350" s="125"/>
      <c r="L1350" s="125"/>
    </row>
    <row r="1351" spans="1:20" s="121" customFormat="1" ht="15">
      <c r="A1351" s="362"/>
      <c r="B1351" s="616"/>
      <c r="C1351" s="367" t="s">
        <v>7</v>
      </c>
      <c r="D1351" s="492"/>
      <c r="E1351" s="489" t="s">
        <v>16761</v>
      </c>
      <c r="F1351" s="489" t="s">
        <v>17803</v>
      </c>
      <c r="G1351" s="489" t="s">
        <v>14935</v>
      </c>
      <c r="H1351" s="489"/>
      <c r="I1351" s="489"/>
      <c r="J1351" s="125"/>
      <c r="K1351" s="125"/>
      <c r="L1351" s="125"/>
    </row>
    <row r="1352" spans="1:20" s="121" customFormat="1" ht="15">
      <c r="A1352" s="362"/>
      <c r="B1352" s="616"/>
      <c r="C1352" s="367" t="s">
        <v>6</v>
      </c>
      <c r="D1352" s="493"/>
      <c r="E1352" s="490">
        <v>44294</v>
      </c>
      <c r="F1352" s="490">
        <v>44326</v>
      </c>
      <c r="G1352" s="490">
        <v>44326</v>
      </c>
      <c r="H1352" s="490"/>
      <c r="I1352" s="490"/>
      <c r="J1352" s="125"/>
      <c r="K1352" s="125"/>
      <c r="L1352" s="125"/>
    </row>
    <row r="1353" spans="1:20" s="121" customFormat="1" ht="15">
      <c r="A1353" s="363"/>
      <c r="B1353" s="617"/>
      <c r="C1353" s="367" t="s">
        <v>8993</v>
      </c>
      <c r="D1353" s="493"/>
      <c r="E1353" s="490" t="s">
        <v>16762</v>
      </c>
      <c r="F1353" s="490" t="s">
        <v>17804</v>
      </c>
      <c r="G1353" s="490" t="s">
        <v>17804</v>
      </c>
      <c r="H1353" s="490"/>
      <c r="I1353" s="490"/>
      <c r="J1353" s="125"/>
      <c r="K1353" s="125"/>
      <c r="L1353" s="125"/>
    </row>
    <row r="1354" spans="1:20" s="121" customFormat="1" ht="11.25">
      <c r="A1354" s="2"/>
      <c r="B1354" s="622"/>
      <c r="C1354" s="491"/>
      <c r="D1354" s="491"/>
      <c r="E1354" s="491"/>
      <c r="F1354" s="491"/>
      <c r="G1354" s="491"/>
      <c r="H1354" s="491"/>
      <c r="I1354" s="491"/>
      <c r="J1354" s="124"/>
      <c r="K1354" s="124"/>
      <c r="L1354" s="124"/>
    </row>
    <row r="1355" spans="1:20" s="121" customFormat="1" ht="45">
      <c r="A1355" s="366" t="s">
        <v>15735</v>
      </c>
      <c r="B1355" s="626" t="s">
        <v>18290</v>
      </c>
      <c r="C1355" s="369">
        <f t="shared" ref="C1355" si="383">MIN(E1357:I1357)</f>
        <v>19233.614339374588</v>
      </c>
      <c r="D1355" s="370" t="s">
        <v>109</v>
      </c>
      <c r="E1355" s="486" t="s">
        <v>17739</v>
      </c>
      <c r="F1355" s="486" t="s">
        <v>14959</v>
      </c>
      <c r="G1355" s="486" t="s">
        <v>24845</v>
      </c>
      <c r="H1355" s="486"/>
      <c r="I1355" s="486"/>
      <c r="J1355" s="125" t="s">
        <v>207</v>
      </c>
      <c r="K1355" s="125"/>
      <c r="L1355" s="125"/>
      <c r="O1355" s="124">
        <f>4.5*1.7</f>
        <v>7.6499999999999995</v>
      </c>
      <c r="P1355" s="124" t="s">
        <v>193</v>
      </c>
      <c r="Q1355" s="124">
        <f>4.63*1.84</f>
        <v>8.5191999999999997</v>
      </c>
      <c r="R1355" s="121" t="s">
        <v>15735</v>
      </c>
      <c r="T1355" s="754" t="s">
        <v>24849</v>
      </c>
    </row>
    <row r="1356" spans="1:20" s="121" customFormat="1" ht="22.5">
      <c r="A1356" s="361"/>
      <c r="B1356" s="615"/>
      <c r="C1356" s="367" t="s">
        <v>284</v>
      </c>
      <c r="D1356" s="554"/>
      <c r="E1356" s="487" t="s">
        <v>17742</v>
      </c>
      <c r="F1356" s="487" t="s">
        <v>14961</v>
      </c>
      <c r="G1356" s="487" t="s">
        <v>15264</v>
      </c>
      <c r="H1356" s="487"/>
      <c r="I1356" s="487"/>
      <c r="J1356" s="125" t="s">
        <v>283</v>
      </c>
      <c r="K1356" s="125" t="s">
        <v>280</v>
      </c>
      <c r="L1356" s="125" t="s">
        <v>281</v>
      </c>
      <c r="O1356" s="124"/>
      <c r="Q1356" s="121" t="s">
        <v>14959</v>
      </c>
      <c r="R1356" s="121" t="s">
        <v>24845</v>
      </c>
    </row>
    <row r="1357" spans="1:20" s="121" customFormat="1" ht="15">
      <c r="A1357" s="362"/>
      <c r="B1357" s="616"/>
      <c r="C1357" s="367" t="s">
        <v>9</v>
      </c>
      <c r="D1357" s="492"/>
      <c r="E1357" s="488">
        <f>19700+(19700*4200/55500)</f>
        <v>21190.81081081081</v>
      </c>
      <c r="F1357" s="488">
        <f>Q1357*O1355</f>
        <v>19233.614339374588</v>
      </c>
      <c r="G1357" s="488">
        <f>R1357*O1355</f>
        <v>37047.256784674617</v>
      </c>
      <c r="H1357" s="84"/>
      <c r="I1357" s="84"/>
      <c r="J1357" s="125">
        <f t="shared" ref="J1357" si="384">MEDIAN(E1357:I1357)</f>
        <v>21190.81081081081</v>
      </c>
      <c r="K1357" s="125">
        <f t="shared" ref="K1357" si="385">J1357*1.3</f>
        <v>27548.054054054053</v>
      </c>
      <c r="L1357" s="125">
        <f t="shared" ref="L1357" si="386">J1357*0.7</f>
        <v>14833.567567567567</v>
      </c>
      <c r="O1357" s="124"/>
      <c r="Q1357" s="121">
        <f>21418.9552/Q1355</f>
        <v>2514.1979528594234</v>
      </c>
      <c r="R1357" s="121">
        <f>41256.6/Q1355</f>
        <v>4842.7786646633485</v>
      </c>
    </row>
    <row r="1358" spans="1:20" s="121" customFormat="1" ht="15">
      <c r="A1358" s="362"/>
      <c r="B1358" s="616"/>
      <c r="C1358" s="367" t="s">
        <v>8</v>
      </c>
      <c r="D1358" s="492"/>
      <c r="E1358" s="487" t="s">
        <v>17740</v>
      </c>
      <c r="F1358" s="487" t="s">
        <v>14963</v>
      </c>
      <c r="G1358" s="487" t="s">
        <v>24846</v>
      </c>
      <c r="H1358" s="487"/>
      <c r="I1358" s="487"/>
      <c r="J1358" s="125"/>
      <c r="K1358" s="125"/>
      <c r="L1358" s="125"/>
      <c r="O1358" s="124"/>
    </row>
    <row r="1359" spans="1:20" s="121" customFormat="1" ht="15">
      <c r="A1359" s="362"/>
      <c r="B1359" s="616"/>
      <c r="C1359" s="367" t="s">
        <v>7</v>
      </c>
      <c r="D1359" s="492"/>
      <c r="E1359" s="489" t="s">
        <v>17741</v>
      </c>
      <c r="F1359" s="489" t="s">
        <v>17104</v>
      </c>
      <c r="G1359" s="489" t="s">
        <v>24847</v>
      </c>
      <c r="H1359" s="489"/>
      <c r="I1359" s="489"/>
      <c r="J1359" s="125"/>
      <c r="K1359" s="125"/>
      <c r="L1359" s="125"/>
      <c r="O1359" s="124"/>
    </row>
    <row r="1360" spans="1:20" s="121" customFormat="1" ht="15">
      <c r="A1360" s="362"/>
      <c r="B1360" s="616"/>
      <c r="C1360" s="367" t="s">
        <v>6</v>
      </c>
      <c r="D1360" s="493"/>
      <c r="E1360" s="490">
        <v>44364</v>
      </c>
      <c r="F1360" s="490">
        <v>44298</v>
      </c>
      <c r="G1360" s="490">
        <v>44330</v>
      </c>
      <c r="H1360" s="490"/>
      <c r="I1360" s="490"/>
      <c r="J1360" s="125"/>
      <c r="K1360" s="125"/>
      <c r="L1360" s="125"/>
    </row>
    <row r="1361" spans="1:20" s="121" customFormat="1" ht="15">
      <c r="A1361" s="363"/>
      <c r="B1361" s="617"/>
      <c r="C1361" s="367" t="s">
        <v>8993</v>
      </c>
      <c r="D1361" s="493"/>
      <c r="E1361" s="490" t="s">
        <v>18653</v>
      </c>
      <c r="F1361" s="490" t="s">
        <v>15310</v>
      </c>
      <c r="G1361" s="490" t="s">
        <v>24848</v>
      </c>
      <c r="H1361" s="490"/>
      <c r="I1361" s="490"/>
      <c r="J1361" s="125"/>
      <c r="K1361" s="125"/>
      <c r="L1361" s="125"/>
    </row>
    <row r="1362" spans="1:20" s="121" customFormat="1" ht="14.25" customHeight="1">
      <c r="A1362" s="2"/>
      <c r="B1362" s="622"/>
      <c r="C1362" s="491"/>
      <c r="D1362" s="491"/>
      <c r="E1362" s="491"/>
      <c r="F1362" s="491"/>
      <c r="G1362" s="491"/>
      <c r="H1362" s="491"/>
      <c r="I1362" s="491"/>
      <c r="J1362" s="124"/>
      <c r="K1362" s="124"/>
      <c r="L1362" s="124"/>
    </row>
    <row r="1363" spans="1:20" s="121" customFormat="1" ht="45">
      <c r="A1363" s="366" t="s">
        <v>15736</v>
      </c>
      <c r="B1363" s="626" t="s">
        <v>18291</v>
      </c>
      <c r="C1363" s="369">
        <f t="shared" ref="C1363" si="387">MIN(E1365:I1365)</f>
        <v>25243.578594873688</v>
      </c>
      <c r="D1363" s="370" t="s">
        <v>109</v>
      </c>
      <c r="E1363" s="486" t="s">
        <v>17739</v>
      </c>
      <c r="F1363" s="486" t="s">
        <v>14959</v>
      </c>
      <c r="G1363" s="486" t="s">
        <v>24845</v>
      </c>
      <c r="H1363" s="486"/>
      <c r="I1363" s="486"/>
      <c r="J1363" s="125" t="s">
        <v>207</v>
      </c>
      <c r="K1363" s="125"/>
      <c r="L1363" s="125"/>
      <c r="O1363" s="124">
        <f>6.1*1.7</f>
        <v>10.37</v>
      </c>
      <c r="P1363" s="124" t="s">
        <v>193</v>
      </c>
      <c r="Q1363" s="124">
        <f>4.93*1.87</f>
        <v>9.2190999999999992</v>
      </c>
      <c r="R1363" s="121" t="s">
        <v>15736</v>
      </c>
      <c r="T1363" s="754" t="s">
        <v>24849</v>
      </c>
    </row>
    <row r="1364" spans="1:20" s="121" customFormat="1" ht="22.5">
      <c r="A1364" s="361"/>
      <c r="B1364" s="615"/>
      <c r="C1364" s="367" t="s">
        <v>284</v>
      </c>
      <c r="D1364" s="554"/>
      <c r="E1364" s="487" t="s">
        <v>17742</v>
      </c>
      <c r="F1364" s="487" t="s">
        <v>14961</v>
      </c>
      <c r="G1364" s="487" t="s">
        <v>15264</v>
      </c>
      <c r="H1364" s="487"/>
      <c r="I1364" s="487"/>
      <c r="J1364" s="125" t="s">
        <v>283</v>
      </c>
      <c r="K1364" s="125" t="s">
        <v>280</v>
      </c>
      <c r="L1364" s="125" t="s">
        <v>281</v>
      </c>
      <c r="O1364" s="124"/>
      <c r="Q1364" s="121" t="s">
        <v>14959</v>
      </c>
      <c r="R1364" s="121" t="s">
        <v>24845</v>
      </c>
    </row>
    <row r="1365" spans="1:20" s="121" customFormat="1" ht="15">
      <c r="A1365" s="362"/>
      <c r="B1365" s="616"/>
      <c r="C1365" s="367" t="s">
        <v>9</v>
      </c>
      <c r="D1365" s="492"/>
      <c r="E1365" s="488">
        <f>24000+(24000*4200/55500)</f>
        <v>25816.216216216217</v>
      </c>
      <c r="F1365" s="488">
        <f>Q1365*O1363</f>
        <v>25243.578594873688</v>
      </c>
      <c r="G1365" s="488">
        <f>R1365*O1363</f>
        <v>49893.343167988205</v>
      </c>
      <c r="H1365" s="84"/>
      <c r="I1365" s="84"/>
      <c r="J1365" s="125">
        <f t="shared" ref="J1365" si="388">MEDIAN(E1365:I1365)</f>
        <v>25816.216216216217</v>
      </c>
      <c r="K1365" s="125">
        <f t="shared" ref="K1365" si="389">J1365*1.3</f>
        <v>33561.08108108108</v>
      </c>
      <c r="L1365" s="125">
        <f t="shared" ref="L1365" si="390">J1365*0.7</f>
        <v>18071.35135135135</v>
      </c>
      <c r="O1365" s="124"/>
      <c r="Q1365" s="121">
        <f>22441.9552/Q1363</f>
        <v>2434.2891605471254</v>
      </c>
      <c r="R1365" s="121">
        <f>44356/Q1363</f>
        <v>4811.3156381859408</v>
      </c>
    </row>
    <row r="1366" spans="1:20" s="121" customFormat="1" ht="15">
      <c r="A1366" s="362"/>
      <c r="B1366" s="616"/>
      <c r="C1366" s="367" t="s">
        <v>8</v>
      </c>
      <c r="D1366" s="492"/>
      <c r="E1366" s="487" t="s">
        <v>17740</v>
      </c>
      <c r="F1366" s="487" t="s">
        <v>14963</v>
      </c>
      <c r="G1366" s="487" t="s">
        <v>24846</v>
      </c>
      <c r="H1366" s="487"/>
      <c r="I1366" s="487"/>
      <c r="J1366" s="125"/>
      <c r="K1366" s="125"/>
      <c r="L1366" s="125"/>
      <c r="O1366" s="124"/>
    </row>
    <row r="1367" spans="1:20" s="121" customFormat="1" ht="15">
      <c r="A1367" s="362"/>
      <c r="B1367" s="616"/>
      <c r="C1367" s="367" t="s">
        <v>7</v>
      </c>
      <c r="D1367" s="492"/>
      <c r="E1367" s="489" t="s">
        <v>17741</v>
      </c>
      <c r="F1367" s="489" t="s">
        <v>17104</v>
      </c>
      <c r="G1367" s="489" t="s">
        <v>24847</v>
      </c>
      <c r="H1367" s="489"/>
      <c r="I1367" s="489"/>
      <c r="J1367" s="125"/>
      <c r="K1367" s="125"/>
      <c r="L1367" s="125"/>
      <c r="O1367" s="124"/>
    </row>
    <row r="1368" spans="1:20" s="121" customFormat="1" ht="15">
      <c r="A1368" s="362"/>
      <c r="B1368" s="616"/>
      <c r="C1368" s="367" t="s">
        <v>6</v>
      </c>
      <c r="D1368" s="493"/>
      <c r="E1368" s="490">
        <v>44364</v>
      </c>
      <c r="F1368" s="490">
        <v>44298</v>
      </c>
      <c r="G1368" s="490">
        <v>44330</v>
      </c>
      <c r="H1368" s="490"/>
      <c r="I1368" s="490"/>
      <c r="J1368" s="125"/>
      <c r="K1368" s="125"/>
      <c r="L1368" s="125"/>
    </row>
    <row r="1369" spans="1:20" s="121" customFormat="1" ht="15">
      <c r="A1369" s="363"/>
      <c r="B1369" s="617"/>
      <c r="C1369" s="367" t="s">
        <v>8993</v>
      </c>
      <c r="D1369" s="493"/>
      <c r="E1369" s="490" t="s">
        <v>18653</v>
      </c>
      <c r="F1369" s="490" t="s">
        <v>15310</v>
      </c>
      <c r="G1369" s="490" t="s">
        <v>24848</v>
      </c>
      <c r="H1369" s="490"/>
      <c r="I1369" s="490"/>
      <c r="J1369" s="125"/>
      <c r="K1369" s="125"/>
      <c r="L1369" s="125"/>
    </row>
    <row r="1370" spans="1:20" s="121" customFormat="1" ht="11.25">
      <c r="A1370" s="2"/>
      <c r="B1370" s="622"/>
      <c r="C1370" s="491"/>
      <c r="D1370" s="491"/>
      <c r="E1370" s="491"/>
      <c r="F1370" s="491"/>
      <c r="G1370" s="491"/>
      <c r="H1370" s="491"/>
      <c r="I1370" s="491"/>
      <c r="J1370" s="124"/>
      <c r="K1370" s="124"/>
      <c r="L1370" s="124"/>
    </row>
    <row r="1371" spans="1:20" s="121" customFormat="1" ht="45">
      <c r="A1371" s="366" t="s">
        <v>15737</v>
      </c>
      <c r="B1371" s="626" t="s">
        <v>18292</v>
      </c>
      <c r="C1371" s="369">
        <f t="shared" ref="C1371" si="391">MIN(E1373:I1373)</f>
        <v>10541.621621621622</v>
      </c>
      <c r="D1371" s="370" t="s">
        <v>109</v>
      </c>
      <c r="E1371" s="486" t="s">
        <v>17739</v>
      </c>
      <c r="F1371" s="486" t="s">
        <v>14959</v>
      </c>
      <c r="G1371" s="486" t="s">
        <v>24845</v>
      </c>
      <c r="H1371" s="486"/>
      <c r="I1371" s="486"/>
      <c r="J1371" s="125" t="s">
        <v>207</v>
      </c>
      <c r="K1371" s="125"/>
      <c r="L1371" s="125"/>
      <c r="O1371" s="124">
        <f>1.3*1.7</f>
        <v>2.21</v>
      </c>
      <c r="P1371" s="124" t="s">
        <v>193</v>
      </c>
      <c r="Q1371" s="124">
        <f>1.87*1.1</f>
        <v>2.0570000000000004</v>
      </c>
      <c r="R1371" s="121" t="s">
        <v>15737</v>
      </c>
      <c r="T1371" s="754" t="s">
        <v>24849</v>
      </c>
    </row>
    <row r="1372" spans="1:20" s="121" customFormat="1" ht="22.5">
      <c r="A1372" s="361"/>
      <c r="B1372" s="615"/>
      <c r="C1372" s="367" t="s">
        <v>284</v>
      </c>
      <c r="D1372" s="554"/>
      <c r="E1372" s="487" t="s">
        <v>17742</v>
      </c>
      <c r="F1372" s="487" t="s">
        <v>14961</v>
      </c>
      <c r="G1372" s="487" t="s">
        <v>15264</v>
      </c>
      <c r="H1372" s="487"/>
      <c r="I1372" s="487"/>
      <c r="J1372" s="125" t="s">
        <v>283</v>
      </c>
      <c r="K1372" s="125" t="s">
        <v>280</v>
      </c>
      <c r="L1372" s="125" t="s">
        <v>281</v>
      </c>
      <c r="O1372" s="124"/>
      <c r="Q1372" s="121" t="s">
        <v>14959</v>
      </c>
      <c r="R1372" s="121" t="s">
        <v>24845</v>
      </c>
    </row>
    <row r="1373" spans="1:20" s="121" customFormat="1" ht="15">
      <c r="A1373" s="362"/>
      <c r="B1373" s="616"/>
      <c r="C1373" s="367" t="s">
        <v>9</v>
      </c>
      <c r="D1373" s="492"/>
      <c r="E1373" s="488">
        <f>9800+(9800*4200/55500)</f>
        <v>10541.621621621622</v>
      </c>
      <c r="F1373" s="488">
        <f>Q1373*$O$1371</f>
        <v>11618.29897520661</v>
      </c>
      <c r="G1373" s="488">
        <f>R1373*$O$1371</f>
        <v>16975.249586776856</v>
      </c>
      <c r="H1373" s="84"/>
      <c r="I1373" s="84"/>
      <c r="J1373" s="125">
        <f t="shared" ref="J1373" si="392">MEDIAN(E1373:I1373)</f>
        <v>11618.29897520661</v>
      </c>
      <c r="K1373" s="125">
        <f t="shared" ref="K1373" si="393">J1373*1.3</f>
        <v>15103.788667768593</v>
      </c>
      <c r="L1373" s="125">
        <f t="shared" ref="L1373" si="394">J1373*0.7</f>
        <v>8132.8092826446264</v>
      </c>
      <c r="O1373" s="124"/>
      <c r="Q1373" s="121">
        <f>10813.9552/Q1371</f>
        <v>5257.1488575595522</v>
      </c>
      <c r="R1373" s="121">
        <f>15800.04/Q1371</f>
        <v>7681.1084103062703</v>
      </c>
    </row>
    <row r="1374" spans="1:20" s="121" customFormat="1" ht="15">
      <c r="A1374" s="362"/>
      <c r="B1374" s="616"/>
      <c r="C1374" s="367" t="s">
        <v>8</v>
      </c>
      <c r="D1374" s="492"/>
      <c r="E1374" s="487" t="s">
        <v>17740</v>
      </c>
      <c r="F1374" s="487" t="s">
        <v>14963</v>
      </c>
      <c r="G1374" s="487" t="s">
        <v>24846</v>
      </c>
      <c r="H1374" s="487"/>
      <c r="I1374" s="487"/>
      <c r="J1374" s="125"/>
      <c r="K1374" s="125"/>
      <c r="L1374" s="125"/>
      <c r="O1374" s="124"/>
    </row>
    <row r="1375" spans="1:20" s="121" customFormat="1" ht="15">
      <c r="A1375" s="362"/>
      <c r="B1375" s="616"/>
      <c r="C1375" s="367" t="s">
        <v>7</v>
      </c>
      <c r="D1375" s="492"/>
      <c r="E1375" s="489" t="s">
        <v>17741</v>
      </c>
      <c r="F1375" s="489" t="s">
        <v>17104</v>
      </c>
      <c r="G1375" s="489" t="s">
        <v>24847</v>
      </c>
      <c r="H1375" s="489"/>
      <c r="I1375" s="489"/>
      <c r="J1375" s="125"/>
      <c r="K1375" s="125"/>
      <c r="L1375" s="125"/>
      <c r="O1375" s="124"/>
    </row>
    <row r="1376" spans="1:20" s="121" customFormat="1" ht="15">
      <c r="A1376" s="362"/>
      <c r="B1376" s="616"/>
      <c r="C1376" s="367" t="s">
        <v>6</v>
      </c>
      <c r="D1376" s="493"/>
      <c r="E1376" s="490">
        <v>44364</v>
      </c>
      <c r="F1376" s="490">
        <v>44298</v>
      </c>
      <c r="G1376" s="490">
        <v>44330</v>
      </c>
      <c r="H1376" s="490"/>
      <c r="I1376" s="490"/>
      <c r="J1376" s="125"/>
      <c r="K1376" s="125"/>
      <c r="L1376" s="125"/>
    </row>
    <row r="1377" spans="1:20" s="121" customFormat="1" ht="15">
      <c r="A1377" s="363"/>
      <c r="B1377" s="617"/>
      <c r="C1377" s="367" t="s">
        <v>8993</v>
      </c>
      <c r="D1377" s="493"/>
      <c r="E1377" s="490" t="s">
        <v>18653</v>
      </c>
      <c r="F1377" s="490" t="s">
        <v>15310</v>
      </c>
      <c r="G1377" s="490" t="s">
        <v>24848</v>
      </c>
      <c r="H1377" s="490"/>
      <c r="I1377" s="490"/>
      <c r="J1377" s="125"/>
      <c r="K1377" s="125"/>
      <c r="L1377" s="125"/>
    </row>
    <row r="1378" spans="1:20" s="121" customFormat="1" ht="11.25">
      <c r="A1378" s="2"/>
      <c r="B1378" s="622"/>
      <c r="C1378" s="491"/>
      <c r="D1378" s="491"/>
      <c r="E1378" s="491"/>
      <c r="F1378" s="491"/>
      <c r="G1378" s="491"/>
      <c r="H1378" s="491"/>
      <c r="I1378" s="491"/>
      <c r="J1378" s="124"/>
      <c r="K1378" s="124"/>
      <c r="L1378" s="124"/>
    </row>
    <row r="1379" spans="1:20" s="121" customFormat="1" ht="45">
      <c r="A1379" s="366" t="s">
        <v>15738</v>
      </c>
      <c r="B1379" s="626" t="s">
        <v>18293</v>
      </c>
      <c r="C1379" s="369">
        <f t="shared" ref="C1379" si="395">MIN(E1381:I1381)</f>
        <v>2151.3513513513512</v>
      </c>
      <c r="D1379" s="370" t="s">
        <v>109</v>
      </c>
      <c r="E1379" s="486" t="s">
        <v>17739</v>
      </c>
      <c r="F1379" s="486" t="s">
        <v>14959</v>
      </c>
      <c r="G1379" s="486" t="s">
        <v>24845</v>
      </c>
      <c r="H1379" s="486"/>
      <c r="I1379" s="486"/>
      <c r="J1379" s="125" t="s">
        <v>207</v>
      </c>
      <c r="K1379" s="125"/>
      <c r="L1379" s="125"/>
      <c r="O1379" s="124">
        <f>0.8*0.3</f>
        <v>0.24</v>
      </c>
      <c r="P1379" s="124" t="s">
        <v>193</v>
      </c>
      <c r="Q1379" s="124">
        <f>1.65*0.4</f>
        <v>0.66</v>
      </c>
      <c r="R1379" s="121" t="s">
        <v>15738</v>
      </c>
      <c r="T1379" s="754" t="s">
        <v>24849</v>
      </c>
    </row>
    <row r="1380" spans="1:20" s="121" customFormat="1" ht="22.5">
      <c r="A1380" s="361"/>
      <c r="B1380" s="615"/>
      <c r="C1380" s="367" t="s">
        <v>284</v>
      </c>
      <c r="D1380" s="554"/>
      <c r="E1380" s="487" t="s">
        <v>17742</v>
      </c>
      <c r="F1380" s="487" t="s">
        <v>14961</v>
      </c>
      <c r="G1380" s="487" t="s">
        <v>15264</v>
      </c>
      <c r="H1380" s="487"/>
      <c r="I1380" s="487"/>
      <c r="J1380" s="125" t="s">
        <v>283</v>
      </c>
      <c r="K1380" s="125" t="s">
        <v>280</v>
      </c>
      <c r="L1380" s="125" t="s">
        <v>281</v>
      </c>
      <c r="O1380" s="124"/>
      <c r="Q1380" s="121" t="s">
        <v>14959</v>
      </c>
      <c r="R1380" s="121" t="s">
        <v>24845</v>
      </c>
    </row>
    <row r="1381" spans="1:20" s="121" customFormat="1" ht="15">
      <c r="A1381" s="362"/>
      <c r="B1381" s="616"/>
      <c r="C1381" s="367" t="s">
        <v>9</v>
      </c>
      <c r="D1381" s="492"/>
      <c r="E1381" s="488">
        <f>2000+(2000*4200/55500)</f>
        <v>2151.3513513513512</v>
      </c>
      <c r="F1381" s="488">
        <f>Q1381*$O$1379</f>
        <v>2467.9837090909091</v>
      </c>
      <c r="G1381" s="488">
        <f>R1381*$O$1379</f>
        <v>3591</v>
      </c>
      <c r="H1381" s="84"/>
      <c r="I1381" s="84"/>
      <c r="J1381" s="125">
        <f t="shared" ref="J1381" si="396">MEDIAN(E1381:I1381)</f>
        <v>2467.9837090909091</v>
      </c>
      <c r="K1381" s="125">
        <f t="shared" ref="K1381" si="397">J1381*1.3</f>
        <v>3208.3788218181821</v>
      </c>
      <c r="L1381" s="125">
        <f t="shared" ref="L1381" si="398">J1381*0.7</f>
        <v>1727.5885963636363</v>
      </c>
      <c r="O1381" s="124"/>
      <c r="Q1381" s="121">
        <f>6786.9552/Q1379</f>
        <v>10283.265454545455</v>
      </c>
      <c r="R1381" s="121">
        <f>9875.25/Q1379</f>
        <v>14962.5</v>
      </c>
    </row>
    <row r="1382" spans="1:20" s="121" customFormat="1" ht="15">
      <c r="A1382" s="362"/>
      <c r="B1382" s="616"/>
      <c r="C1382" s="367" t="s">
        <v>8</v>
      </c>
      <c r="D1382" s="492"/>
      <c r="E1382" s="487" t="s">
        <v>17740</v>
      </c>
      <c r="F1382" s="487" t="s">
        <v>14963</v>
      </c>
      <c r="G1382" s="487" t="s">
        <v>24846</v>
      </c>
      <c r="H1382" s="487"/>
      <c r="I1382" s="487"/>
      <c r="J1382" s="125"/>
      <c r="K1382" s="125"/>
      <c r="L1382" s="125"/>
      <c r="O1382" s="124"/>
    </row>
    <row r="1383" spans="1:20" s="121" customFormat="1" ht="15">
      <c r="A1383" s="362"/>
      <c r="B1383" s="616"/>
      <c r="C1383" s="367" t="s">
        <v>7</v>
      </c>
      <c r="D1383" s="492"/>
      <c r="E1383" s="489" t="s">
        <v>17741</v>
      </c>
      <c r="F1383" s="489" t="s">
        <v>17104</v>
      </c>
      <c r="G1383" s="489" t="s">
        <v>24847</v>
      </c>
      <c r="H1383" s="489"/>
      <c r="I1383" s="489"/>
      <c r="J1383" s="125"/>
      <c r="K1383" s="125"/>
      <c r="L1383" s="125"/>
      <c r="O1383" s="124"/>
    </row>
    <row r="1384" spans="1:20" s="121" customFormat="1" ht="15">
      <c r="A1384" s="362"/>
      <c r="B1384" s="616"/>
      <c r="C1384" s="367" t="s">
        <v>6</v>
      </c>
      <c r="D1384" s="493"/>
      <c r="E1384" s="490">
        <v>44364</v>
      </c>
      <c r="F1384" s="490">
        <v>44298</v>
      </c>
      <c r="G1384" s="490">
        <v>44330</v>
      </c>
      <c r="H1384" s="490"/>
      <c r="I1384" s="490"/>
      <c r="J1384" s="125"/>
      <c r="K1384" s="125"/>
      <c r="L1384" s="125"/>
    </row>
    <row r="1385" spans="1:20" s="121" customFormat="1" ht="15">
      <c r="A1385" s="363"/>
      <c r="B1385" s="617"/>
      <c r="C1385" s="367" t="s">
        <v>8993</v>
      </c>
      <c r="D1385" s="493"/>
      <c r="E1385" s="490" t="s">
        <v>18653</v>
      </c>
      <c r="F1385" s="490" t="s">
        <v>15310</v>
      </c>
      <c r="G1385" s="490" t="s">
        <v>24848</v>
      </c>
      <c r="H1385" s="490"/>
      <c r="I1385" s="490"/>
      <c r="J1385" s="125"/>
      <c r="K1385" s="125"/>
      <c r="L1385" s="125"/>
    </row>
    <row r="1386" spans="1:20" s="121" customFormat="1" ht="11.25">
      <c r="A1386" s="2"/>
      <c r="B1386" s="622"/>
      <c r="C1386" s="491"/>
      <c r="D1386" s="491"/>
      <c r="E1386" s="491"/>
      <c r="F1386" s="491"/>
      <c r="G1386" s="491"/>
      <c r="H1386" s="491"/>
      <c r="I1386" s="491"/>
      <c r="J1386" s="124"/>
      <c r="K1386" s="124"/>
      <c r="L1386" s="124"/>
    </row>
    <row r="1387" spans="1:20" s="121" customFormat="1" ht="33.75">
      <c r="A1387" s="366" t="s">
        <v>15739</v>
      </c>
      <c r="B1387" s="626" t="s">
        <v>18294</v>
      </c>
      <c r="C1387" s="369">
        <f t="shared" ref="C1387" si="399">MIN(E1389:I1389)</f>
        <v>1680.7142857142858</v>
      </c>
      <c r="D1387" s="370" t="s">
        <v>109</v>
      </c>
      <c r="E1387" s="486" t="s">
        <v>17200</v>
      </c>
      <c r="F1387" s="486" t="s">
        <v>14959</v>
      </c>
      <c r="G1387" s="486" t="s">
        <v>17354</v>
      </c>
      <c r="H1387" s="486"/>
      <c r="I1387" s="486"/>
      <c r="J1387" s="125" t="s">
        <v>207</v>
      </c>
      <c r="K1387" s="125"/>
      <c r="L1387" s="125"/>
    </row>
    <row r="1388" spans="1:20" s="121" customFormat="1" ht="22.5">
      <c r="A1388" s="361"/>
      <c r="B1388" s="615"/>
      <c r="C1388" s="367" t="s">
        <v>284</v>
      </c>
      <c r="D1388" s="554"/>
      <c r="E1388" s="487" t="s">
        <v>17201</v>
      </c>
      <c r="F1388" s="487" t="s">
        <v>14961</v>
      </c>
      <c r="G1388" s="487" t="s">
        <v>17355</v>
      </c>
      <c r="H1388" s="487"/>
      <c r="I1388" s="487"/>
      <c r="J1388" s="125" t="s">
        <v>283</v>
      </c>
      <c r="K1388" s="125" t="s">
        <v>280</v>
      </c>
      <c r="L1388" s="125" t="s">
        <v>281</v>
      </c>
      <c r="O1388" s="124">
        <f>1.3*0.5</f>
        <v>0.65</v>
      </c>
      <c r="P1388" s="124" t="s">
        <v>193</v>
      </c>
      <c r="Q1388" s="124">
        <f>1.4*0.5</f>
        <v>0.7</v>
      </c>
      <c r="R1388" s="121" t="s">
        <v>15739</v>
      </c>
      <c r="T1388" s="754" t="s">
        <v>24849</v>
      </c>
    </row>
    <row r="1389" spans="1:20" s="121" customFormat="1" ht="15">
      <c r="A1389" s="362"/>
      <c r="B1389" s="616"/>
      <c r="C1389" s="367" t="s">
        <v>9</v>
      </c>
      <c r="D1389" s="492"/>
      <c r="E1389" s="488">
        <v>2105.98</v>
      </c>
      <c r="F1389" s="488">
        <f>Q1389*$O$1388</f>
        <v>2021.899285714286</v>
      </c>
      <c r="G1389" s="488">
        <f>R1389*$O$1388</f>
        <v>1680.7142857142858</v>
      </c>
      <c r="H1389" s="84"/>
      <c r="I1389" s="84"/>
      <c r="J1389" s="125">
        <f t="shared" ref="J1389" si="400">MEDIAN(E1389:I1389)</f>
        <v>2021.899285714286</v>
      </c>
      <c r="K1389" s="125">
        <f t="shared" ref="K1389" si="401">J1389*1.3</f>
        <v>2628.4690714285716</v>
      </c>
      <c r="L1389" s="125">
        <f t="shared" ref="L1389" si="402">J1389*0.7</f>
        <v>1415.3295000000001</v>
      </c>
      <c r="Q1389" s="121">
        <f>2177.43/Q1388</f>
        <v>3110.6142857142859</v>
      </c>
      <c r="R1389" s="121">
        <f>1810/Q1388</f>
        <v>2585.7142857142858</v>
      </c>
    </row>
    <row r="1390" spans="1:20" s="121" customFormat="1" ht="15">
      <c r="A1390" s="362"/>
      <c r="B1390" s="616"/>
      <c r="C1390" s="367" t="s">
        <v>8</v>
      </c>
      <c r="D1390" s="492"/>
      <c r="E1390" s="487" t="s">
        <v>17202</v>
      </c>
      <c r="F1390" s="487" t="s">
        <v>14963</v>
      </c>
      <c r="G1390" s="487" t="s">
        <v>17356</v>
      </c>
      <c r="H1390" s="487"/>
      <c r="I1390" s="487"/>
      <c r="J1390" s="125"/>
      <c r="K1390" s="125"/>
      <c r="L1390" s="125"/>
    </row>
    <row r="1391" spans="1:20" s="121" customFormat="1" ht="15">
      <c r="A1391" s="362"/>
      <c r="B1391" s="616"/>
      <c r="C1391" s="367" t="s">
        <v>7</v>
      </c>
      <c r="D1391" s="492"/>
      <c r="E1391" s="489" t="s">
        <v>17203</v>
      </c>
      <c r="F1391" s="489" t="s">
        <v>17104</v>
      </c>
      <c r="G1391" s="489" t="s">
        <v>17357</v>
      </c>
      <c r="H1391" s="489"/>
      <c r="I1391" s="489"/>
      <c r="J1391" s="125"/>
      <c r="K1391" s="125"/>
      <c r="L1391" s="125"/>
    </row>
    <row r="1392" spans="1:20" s="121" customFormat="1" ht="15">
      <c r="A1392" s="362"/>
      <c r="B1392" s="616"/>
      <c r="C1392" s="367" t="s">
        <v>6</v>
      </c>
      <c r="D1392" s="493"/>
      <c r="E1392" s="490">
        <v>44363</v>
      </c>
      <c r="F1392" s="490">
        <v>44298</v>
      </c>
      <c r="G1392" s="490">
        <v>44302</v>
      </c>
      <c r="H1392" s="490"/>
      <c r="I1392" s="490"/>
      <c r="J1392" s="125"/>
      <c r="K1392" s="125"/>
      <c r="L1392" s="125"/>
    </row>
    <row r="1393" spans="1:20" s="121" customFormat="1" ht="15">
      <c r="A1393" s="363"/>
      <c r="B1393" s="617"/>
      <c r="C1393" s="367" t="s">
        <v>8993</v>
      </c>
      <c r="D1393" s="493"/>
      <c r="E1393" s="490" t="s">
        <v>18652</v>
      </c>
      <c r="F1393" s="490" t="s">
        <v>15310</v>
      </c>
      <c r="G1393" s="490" t="s">
        <v>17358</v>
      </c>
      <c r="H1393" s="490"/>
      <c r="I1393" s="490"/>
      <c r="J1393" s="125"/>
      <c r="K1393" s="125"/>
      <c r="L1393" s="125"/>
    </row>
    <row r="1394" spans="1:20" s="121" customFormat="1" ht="11.25">
      <c r="A1394" s="2"/>
      <c r="B1394" s="622"/>
      <c r="C1394" s="491"/>
      <c r="D1394" s="491"/>
      <c r="E1394" s="491"/>
      <c r="F1394" s="491"/>
      <c r="G1394" s="491"/>
      <c r="H1394" s="491"/>
      <c r="I1394" s="491"/>
      <c r="J1394" s="124"/>
      <c r="K1394" s="124"/>
      <c r="L1394" s="124"/>
    </row>
    <row r="1395" spans="1:20" s="121" customFormat="1" ht="33.75">
      <c r="A1395" s="366" t="s">
        <v>15740</v>
      </c>
      <c r="B1395" s="626" t="s">
        <v>18295</v>
      </c>
      <c r="C1395" s="369">
        <f t="shared" ref="C1395" si="403">MIN(E1397:I1397)</f>
        <v>1736.61</v>
      </c>
      <c r="D1395" s="370" t="s">
        <v>109</v>
      </c>
      <c r="E1395" s="486" t="s">
        <v>17200</v>
      </c>
      <c r="F1395" s="486" t="s">
        <v>14959</v>
      </c>
      <c r="G1395" s="486" t="s">
        <v>17354</v>
      </c>
      <c r="H1395" s="486"/>
      <c r="I1395" s="486"/>
      <c r="J1395" s="125" t="s">
        <v>207</v>
      </c>
      <c r="K1395" s="125"/>
      <c r="L1395" s="125"/>
    </row>
    <row r="1396" spans="1:20" s="121" customFormat="1" ht="22.5">
      <c r="A1396" s="361"/>
      <c r="B1396" s="615"/>
      <c r="C1396" s="367" t="s">
        <v>284</v>
      </c>
      <c r="D1396" s="554"/>
      <c r="E1396" s="487" t="s">
        <v>17201</v>
      </c>
      <c r="F1396" s="487" t="s">
        <v>14961</v>
      </c>
      <c r="G1396" s="487" t="s">
        <v>17355</v>
      </c>
      <c r="H1396" s="487"/>
      <c r="I1396" s="487"/>
      <c r="J1396" s="125" t="s">
        <v>283</v>
      </c>
      <c r="K1396" s="125" t="s">
        <v>280</v>
      </c>
      <c r="L1396" s="125" t="s">
        <v>281</v>
      </c>
      <c r="O1396" s="124">
        <f>0.7*0.7</f>
        <v>0.48999999999999994</v>
      </c>
      <c r="P1396" s="124" t="s">
        <v>193</v>
      </c>
      <c r="Q1396" s="124">
        <f>0.35*0.8</f>
        <v>0.27999999999999997</v>
      </c>
      <c r="R1396" s="121" t="s">
        <v>15740</v>
      </c>
      <c r="T1396" s="754" t="s">
        <v>24849</v>
      </c>
    </row>
    <row r="1397" spans="1:20" s="121" customFormat="1" ht="15">
      <c r="A1397" s="362"/>
      <c r="B1397" s="616"/>
      <c r="C1397" s="367" t="s">
        <v>9</v>
      </c>
      <c r="D1397" s="492"/>
      <c r="E1397" s="488">
        <v>1736.61</v>
      </c>
      <c r="F1397" s="488">
        <f>Q1397*$O$1396</f>
        <v>2432.5</v>
      </c>
      <c r="G1397" s="488">
        <f>R1397*$O$1396</f>
        <v>1909.25</v>
      </c>
      <c r="H1397" s="84"/>
      <c r="I1397" s="84"/>
      <c r="J1397" s="125">
        <f t="shared" ref="J1397" si="404">MEDIAN(E1397:I1397)</f>
        <v>1909.25</v>
      </c>
      <c r="K1397" s="125">
        <f t="shared" ref="K1397" si="405">J1397*1.3</f>
        <v>2482.0250000000001</v>
      </c>
      <c r="L1397" s="125">
        <f t="shared" ref="L1397" si="406">J1397*0.7</f>
        <v>1336.4749999999999</v>
      </c>
      <c r="Q1397" s="121">
        <f>1390/Q1396</f>
        <v>4964.2857142857147</v>
      </c>
      <c r="R1397" s="121">
        <f>1091/Q1396</f>
        <v>3896.428571428572</v>
      </c>
    </row>
    <row r="1398" spans="1:20" s="121" customFormat="1" ht="15">
      <c r="A1398" s="362"/>
      <c r="B1398" s="616"/>
      <c r="C1398" s="367" t="s">
        <v>8</v>
      </c>
      <c r="D1398" s="492"/>
      <c r="E1398" s="487" t="s">
        <v>17202</v>
      </c>
      <c r="F1398" s="487" t="s">
        <v>14963</v>
      </c>
      <c r="G1398" s="487" t="s">
        <v>17356</v>
      </c>
      <c r="H1398" s="487"/>
      <c r="I1398" s="487"/>
      <c r="J1398" s="125"/>
      <c r="K1398" s="125"/>
      <c r="L1398" s="125"/>
    </row>
    <row r="1399" spans="1:20" s="121" customFormat="1" ht="15">
      <c r="A1399" s="362"/>
      <c r="B1399" s="616"/>
      <c r="C1399" s="367" t="s">
        <v>7</v>
      </c>
      <c r="D1399" s="492"/>
      <c r="E1399" s="489" t="s">
        <v>17203</v>
      </c>
      <c r="F1399" s="489" t="s">
        <v>17104</v>
      </c>
      <c r="G1399" s="489" t="s">
        <v>17357</v>
      </c>
      <c r="H1399" s="489"/>
      <c r="I1399" s="489"/>
      <c r="J1399" s="125"/>
      <c r="K1399" s="125"/>
      <c r="L1399" s="125"/>
    </row>
    <row r="1400" spans="1:20" s="121" customFormat="1" ht="15">
      <c r="A1400" s="362"/>
      <c r="B1400" s="616"/>
      <c r="C1400" s="367" t="s">
        <v>6</v>
      </c>
      <c r="D1400" s="493"/>
      <c r="E1400" s="490">
        <v>44363</v>
      </c>
      <c r="F1400" s="490">
        <v>44298</v>
      </c>
      <c r="G1400" s="490">
        <v>44302</v>
      </c>
      <c r="H1400" s="490"/>
      <c r="I1400" s="490"/>
      <c r="J1400" s="125"/>
      <c r="K1400" s="125"/>
      <c r="L1400" s="125"/>
    </row>
    <row r="1401" spans="1:20" s="121" customFormat="1" ht="15">
      <c r="A1401" s="363"/>
      <c r="B1401" s="617"/>
      <c r="C1401" s="367" t="s">
        <v>8993</v>
      </c>
      <c r="D1401" s="493"/>
      <c r="E1401" s="490" t="s">
        <v>18652</v>
      </c>
      <c r="F1401" s="490" t="s">
        <v>15310</v>
      </c>
      <c r="G1401" s="490" t="s">
        <v>17358</v>
      </c>
      <c r="H1401" s="490"/>
      <c r="I1401" s="490"/>
      <c r="J1401" s="125"/>
      <c r="K1401" s="125"/>
      <c r="L1401" s="125"/>
    </row>
    <row r="1402" spans="1:20" s="121" customFormat="1" ht="11.25">
      <c r="A1402" s="2"/>
      <c r="B1402" s="622"/>
      <c r="C1402" s="491"/>
      <c r="D1402" s="491"/>
      <c r="E1402" s="491"/>
      <c r="F1402" s="491"/>
      <c r="G1402" s="491"/>
      <c r="H1402" s="491"/>
      <c r="I1402" s="491"/>
      <c r="J1402" s="124"/>
      <c r="K1402" s="124"/>
      <c r="L1402" s="124"/>
    </row>
    <row r="1403" spans="1:20" s="121" customFormat="1" ht="33.75">
      <c r="A1403" s="366" t="s">
        <v>15741</v>
      </c>
      <c r="B1403" s="626" t="s">
        <v>18296</v>
      </c>
      <c r="C1403" s="369">
        <f t="shared" ref="C1403" si="407">MIN(E1405:I1405)</f>
        <v>1708.89</v>
      </c>
      <c r="D1403" s="370" t="s">
        <v>109</v>
      </c>
      <c r="E1403" s="486" t="s">
        <v>17200</v>
      </c>
      <c r="F1403" s="486" t="s">
        <v>14959</v>
      </c>
      <c r="G1403" s="486" t="s">
        <v>17354</v>
      </c>
      <c r="H1403" s="486"/>
      <c r="I1403" s="486"/>
      <c r="J1403" s="125" t="s">
        <v>207</v>
      </c>
      <c r="K1403" s="125"/>
      <c r="L1403" s="125"/>
    </row>
    <row r="1404" spans="1:20" s="121" customFormat="1" ht="22.5">
      <c r="A1404" s="361"/>
      <c r="B1404" s="615"/>
      <c r="C1404" s="367" t="s">
        <v>284</v>
      </c>
      <c r="D1404" s="554"/>
      <c r="E1404" s="487" t="s">
        <v>17201</v>
      </c>
      <c r="F1404" s="487" t="s">
        <v>14961</v>
      </c>
      <c r="G1404" s="487" t="s">
        <v>17355</v>
      </c>
      <c r="H1404" s="487"/>
      <c r="I1404" s="487"/>
      <c r="J1404" s="125" t="s">
        <v>283</v>
      </c>
      <c r="K1404" s="125" t="s">
        <v>280</v>
      </c>
      <c r="L1404" s="125" t="s">
        <v>281</v>
      </c>
      <c r="O1404" s="124">
        <f>0.9*0.5</f>
        <v>0.45</v>
      </c>
      <c r="P1404" s="124" t="s">
        <v>193</v>
      </c>
      <c r="Q1404" s="124">
        <f>0.35*0.8</f>
        <v>0.27999999999999997</v>
      </c>
      <c r="R1404" s="121" t="s">
        <v>15740</v>
      </c>
      <c r="T1404" s="754" t="s">
        <v>24849</v>
      </c>
    </row>
    <row r="1405" spans="1:20" s="121" customFormat="1" ht="15">
      <c r="A1405" s="362"/>
      <c r="B1405" s="616"/>
      <c r="C1405" s="367" t="s">
        <v>9</v>
      </c>
      <c r="D1405" s="492"/>
      <c r="E1405" s="488">
        <v>1708.89</v>
      </c>
      <c r="F1405" s="488">
        <f>Q1405*$O$1404</f>
        <v>2233.9285714285716</v>
      </c>
      <c r="G1405" s="488">
        <f>R1405*$O$1404</f>
        <v>1753.3928571428573</v>
      </c>
      <c r="H1405" s="84"/>
      <c r="I1405" s="84"/>
      <c r="J1405" s="125">
        <f t="shared" ref="J1405" si="408">MEDIAN(E1405:I1405)</f>
        <v>1753.3928571428573</v>
      </c>
      <c r="K1405" s="125">
        <f t="shared" ref="K1405" si="409">J1405*1.3</f>
        <v>2279.4107142857147</v>
      </c>
      <c r="L1405" s="125">
        <f t="shared" ref="L1405" si="410">J1405*0.7</f>
        <v>1227.375</v>
      </c>
      <c r="Q1405" s="121">
        <f>1390/Q1404</f>
        <v>4964.2857142857147</v>
      </c>
      <c r="R1405" s="121">
        <f>1091/Q1404</f>
        <v>3896.428571428572</v>
      </c>
    </row>
    <row r="1406" spans="1:20" s="121" customFormat="1" ht="15">
      <c r="A1406" s="362"/>
      <c r="B1406" s="616"/>
      <c r="C1406" s="367" t="s">
        <v>8</v>
      </c>
      <c r="D1406" s="492"/>
      <c r="E1406" s="487" t="s">
        <v>17202</v>
      </c>
      <c r="F1406" s="487" t="s">
        <v>14963</v>
      </c>
      <c r="G1406" s="487" t="s">
        <v>17356</v>
      </c>
      <c r="H1406" s="487"/>
      <c r="I1406" s="487"/>
      <c r="J1406" s="125"/>
      <c r="K1406" s="125"/>
      <c r="L1406" s="125"/>
      <c r="N1406" s="121" t="s">
        <v>11574</v>
      </c>
    </row>
    <row r="1407" spans="1:20" s="121" customFormat="1" ht="15">
      <c r="A1407" s="362"/>
      <c r="B1407" s="616"/>
      <c r="C1407" s="367" t="s">
        <v>7</v>
      </c>
      <c r="D1407" s="492"/>
      <c r="E1407" s="489" t="s">
        <v>17203</v>
      </c>
      <c r="F1407" s="489" t="s">
        <v>17104</v>
      </c>
      <c r="G1407" s="489" t="s">
        <v>17357</v>
      </c>
      <c r="H1407" s="489"/>
      <c r="I1407" s="489"/>
      <c r="J1407" s="125"/>
      <c r="K1407" s="125"/>
      <c r="L1407" s="125"/>
    </row>
    <row r="1408" spans="1:20" s="121" customFormat="1" ht="15">
      <c r="A1408" s="362"/>
      <c r="B1408" s="616"/>
      <c r="C1408" s="367" t="s">
        <v>6</v>
      </c>
      <c r="D1408" s="493"/>
      <c r="E1408" s="490">
        <v>44363</v>
      </c>
      <c r="F1408" s="490">
        <v>44298</v>
      </c>
      <c r="G1408" s="490">
        <v>44302</v>
      </c>
      <c r="H1408" s="490"/>
      <c r="I1408" s="490"/>
      <c r="J1408" s="125"/>
      <c r="K1408" s="125"/>
      <c r="L1408" s="125"/>
    </row>
    <row r="1409" spans="1:17" s="121" customFormat="1" ht="15">
      <c r="A1409" s="363"/>
      <c r="B1409" s="617"/>
      <c r="C1409" s="367" t="s">
        <v>8993</v>
      </c>
      <c r="D1409" s="493"/>
      <c r="E1409" s="490" t="s">
        <v>18652</v>
      </c>
      <c r="F1409" s="490" t="s">
        <v>15310</v>
      </c>
      <c r="G1409" s="490" t="s">
        <v>17358</v>
      </c>
      <c r="H1409" s="490"/>
      <c r="I1409" s="490"/>
      <c r="J1409" s="125"/>
      <c r="K1409" s="125"/>
      <c r="L1409" s="125"/>
    </row>
    <row r="1410" spans="1:17" s="121" customFormat="1" ht="11.25">
      <c r="A1410" s="2"/>
      <c r="B1410" s="622"/>
      <c r="C1410" s="491"/>
      <c r="D1410" s="491"/>
      <c r="E1410" s="491"/>
      <c r="F1410" s="491"/>
      <c r="G1410" s="491"/>
      <c r="H1410" s="491"/>
      <c r="I1410" s="491"/>
      <c r="J1410" s="124"/>
      <c r="K1410" s="124"/>
      <c r="L1410" s="124"/>
    </row>
    <row r="1411" spans="1:17" s="121" customFormat="1" ht="22.5">
      <c r="A1411" s="366" t="s">
        <v>15743</v>
      </c>
      <c r="B1411" s="626" t="s">
        <v>18654</v>
      </c>
      <c r="C1411" s="369">
        <f t="shared" ref="C1411" si="411">MIN(E1413:I1413)</f>
        <v>3933.9453774999997</v>
      </c>
      <c r="D1411" s="370" t="s">
        <v>109</v>
      </c>
      <c r="E1411" s="486" t="s">
        <v>17320</v>
      </c>
      <c r="F1411" s="486" t="s">
        <v>17508</v>
      </c>
      <c r="G1411" s="486" t="s">
        <v>18175</v>
      </c>
      <c r="H1411" s="486"/>
      <c r="I1411" s="486"/>
      <c r="J1411" s="125" t="s">
        <v>207</v>
      </c>
      <c r="K1411" s="125"/>
      <c r="L1411" s="125"/>
      <c r="O1411" s="124" t="s">
        <v>17836</v>
      </c>
      <c r="P1411" s="124" t="s">
        <v>17841</v>
      </c>
      <c r="Q1411" s="124" t="s">
        <v>17842</v>
      </c>
    </row>
    <row r="1412" spans="1:17" s="121" customFormat="1" ht="22.5">
      <c r="A1412" s="361"/>
      <c r="B1412" s="615"/>
      <c r="C1412" s="367" t="s">
        <v>284</v>
      </c>
      <c r="D1412" s="705"/>
      <c r="E1412" s="487" t="s">
        <v>17321</v>
      </c>
      <c r="F1412" s="487" t="s">
        <v>17509</v>
      </c>
      <c r="G1412" s="487" t="s">
        <v>17832</v>
      </c>
      <c r="H1412" s="487"/>
      <c r="I1412" s="487"/>
      <c r="J1412" s="125" t="s">
        <v>283</v>
      </c>
      <c r="K1412" s="125" t="s">
        <v>280</v>
      </c>
      <c r="L1412" s="125" t="s">
        <v>281</v>
      </c>
      <c r="N1412" s="121" t="s">
        <v>17837</v>
      </c>
      <c r="O1412" s="124">
        <f>(1.92727*1033)</f>
        <v>1990.8699100000001</v>
      </c>
      <c r="P1412" s="124"/>
      <c r="Q1412" s="124">
        <f>(1.92727*2113)</f>
        <v>4072.3215100000002</v>
      </c>
    </row>
    <row r="1413" spans="1:17" s="121" customFormat="1" ht="15">
      <c r="A1413" s="362"/>
      <c r="B1413" s="616"/>
      <c r="C1413" s="367" t="s">
        <v>9</v>
      </c>
      <c r="D1413" s="492"/>
      <c r="E1413" s="84">
        <f>7525+(O1415/4)</f>
        <v>8108.5824775000001</v>
      </c>
      <c r="F1413" s="488">
        <f>4150+(P1415/4)</f>
        <v>4150</v>
      </c>
      <c r="G1413" s="488">
        <f>2801.45+(Q1415/4)</f>
        <v>3933.9453774999997</v>
      </c>
      <c r="H1413" s="84"/>
      <c r="I1413" s="84"/>
      <c r="J1413" s="125">
        <f t="shared" ref="J1413" si="412">MEDIAN(E1413:I1413)</f>
        <v>4150</v>
      </c>
      <c r="K1413" s="125">
        <f t="shared" ref="K1413" si="413">J1413*1.3</f>
        <v>5395</v>
      </c>
      <c r="L1413" s="125">
        <f t="shared" ref="L1413" si="414">J1413*0.7</f>
        <v>2905</v>
      </c>
      <c r="N1413" s="121" t="s">
        <v>17838</v>
      </c>
      <c r="O1413" s="124">
        <v>253.6</v>
      </c>
      <c r="P1413" s="124"/>
      <c r="Q1413" s="124">
        <v>367.8</v>
      </c>
    </row>
    <row r="1414" spans="1:17" s="121" customFormat="1" ht="15">
      <c r="A1414" s="362"/>
      <c r="B1414" s="616"/>
      <c r="C1414" s="367" t="s">
        <v>8</v>
      </c>
      <c r="D1414" s="492"/>
      <c r="E1414" s="487" t="s">
        <v>17322</v>
      </c>
      <c r="F1414" s="487" t="s">
        <v>17510</v>
      </c>
      <c r="G1414" s="487" t="s">
        <v>17833</v>
      </c>
      <c r="H1414" s="487"/>
      <c r="I1414" s="487"/>
      <c r="J1414" s="125"/>
      <c r="K1414" s="125"/>
      <c r="L1414" s="125"/>
      <c r="N1414" s="121" t="s">
        <v>17839</v>
      </c>
      <c r="O1414" s="124">
        <v>89.86</v>
      </c>
      <c r="P1414" s="124"/>
      <c r="Q1414" s="124">
        <v>89.86</v>
      </c>
    </row>
    <row r="1415" spans="1:17" s="121" customFormat="1" ht="15">
      <c r="A1415" s="362"/>
      <c r="B1415" s="616"/>
      <c r="C1415" s="367" t="s">
        <v>7</v>
      </c>
      <c r="D1415" s="492"/>
      <c r="E1415" s="489" t="s">
        <v>17323</v>
      </c>
      <c r="F1415" s="489" t="s">
        <v>17511</v>
      </c>
      <c r="G1415" s="489" t="s">
        <v>17834</v>
      </c>
      <c r="H1415" s="489"/>
      <c r="I1415" s="489"/>
      <c r="J1415" s="125"/>
      <c r="K1415" s="125"/>
      <c r="L1415" s="125"/>
      <c r="N1415" s="121" t="s">
        <v>9690</v>
      </c>
      <c r="O1415" s="124">
        <f>SUM(O1412:O1414)</f>
        <v>2334.3299100000004</v>
      </c>
      <c r="P1415" s="124"/>
      <c r="Q1415" s="124">
        <f>SUM(Q1412:Q1414)</f>
        <v>4529.9815099999996</v>
      </c>
    </row>
    <row r="1416" spans="1:17" s="121" customFormat="1" ht="15">
      <c r="A1416" s="362"/>
      <c r="B1416" s="616"/>
      <c r="C1416" s="367" t="s">
        <v>6</v>
      </c>
      <c r="D1416" s="493"/>
      <c r="E1416" s="490">
        <v>44308</v>
      </c>
      <c r="F1416" s="490">
        <v>44319</v>
      </c>
      <c r="G1416" s="490">
        <v>44327</v>
      </c>
      <c r="H1416" s="490"/>
      <c r="I1416" s="490"/>
      <c r="J1416" s="125"/>
      <c r="K1416" s="125"/>
      <c r="L1416" s="125"/>
    </row>
    <row r="1417" spans="1:17" s="121" customFormat="1" ht="15">
      <c r="A1417" s="363"/>
      <c r="B1417" s="617"/>
      <c r="C1417" s="367" t="s">
        <v>8993</v>
      </c>
      <c r="D1417" s="493"/>
      <c r="E1417" s="490" t="s">
        <v>17324</v>
      </c>
      <c r="F1417" s="490" t="s">
        <v>17512</v>
      </c>
      <c r="G1417" s="490" t="s">
        <v>17835</v>
      </c>
      <c r="H1417" s="490"/>
      <c r="I1417" s="490"/>
      <c r="J1417" s="125"/>
      <c r="K1417" s="125"/>
      <c r="L1417" s="125"/>
    </row>
    <row r="1418" spans="1:17" s="121" customFormat="1" ht="11.25">
      <c r="A1418" s="2"/>
      <c r="B1418" s="622"/>
      <c r="C1418" s="491"/>
      <c r="D1418" s="491"/>
      <c r="E1418" s="491"/>
      <c r="F1418" s="491"/>
      <c r="G1418" s="491"/>
      <c r="H1418" s="491"/>
      <c r="I1418" s="491"/>
      <c r="J1418" s="124"/>
      <c r="K1418" s="124"/>
      <c r="L1418" s="124"/>
    </row>
    <row r="1419" spans="1:17" s="121" customFormat="1" ht="22.5">
      <c r="A1419" s="366" t="s">
        <v>15744</v>
      </c>
      <c r="B1419" s="626" t="s">
        <v>15746</v>
      </c>
      <c r="C1419" s="369">
        <f t="shared" ref="C1419" si="415">MIN(E1421:I1421)</f>
        <v>4166</v>
      </c>
      <c r="D1419" s="370" t="s">
        <v>109</v>
      </c>
      <c r="E1419" s="486" t="s">
        <v>17320</v>
      </c>
      <c r="F1419" s="486" t="s">
        <v>17508</v>
      </c>
      <c r="G1419" s="486" t="s">
        <v>18175</v>
      </c>
      <c r="H1419" s="486"/>
      <c r="I1419" s="486"/>
      <c r="J1419" s="125" t="s">
        <v>207</v>
      </c>
      <c r="K1419" s="125"/>
      <c r="L1419" s="125"/>
      <c r="O1419" s="124" t="s">
        <v>17836</v>
      </c>
      <c r="P1419" s="124" t="s">
        <v>17841</v>
      </c>
      <c r="Q1419" s="124" t="s">
        <v>17842</v>
      </c>
    </row>
    <row r="1420" spans="1:17" s="121" customFormat="1" ht="22.5">
      <c r="A1420" s="361"/>
      <c r="B1420" s="615"/>
      <c r="C1420" s="367" t="s">
        <v>284</v>
      </c>
      <c r="D1420" s="554"/>
      <c r="E1420" s="487" t="s">
        <v>17321</v>
      </c>
      <c r="F1420" s="487" t="s">
        <v>17509</v>
      </c>
      <c r="G1420" s="487" t="s">
        <v>17832</v>
      </c>
      <c r="H1420" s="487"/>
      <c r="I1420" s="487"/>
      <c r="J1420" s="125" t="s">
        <v>283</v>
      </c>
      <c r="K1420" s="125" t="s">
        <v>280</v>
      </c>
      <c r="L1420" s="125" t="s">
        <v>281</v>
      </c>
      <c r="N1420" s="121" t="s">
        <v>17837</v>
      </c>
      <c r="O1420" s="124">
        <f>(1.92727*1033)</f>
        <v>1990.8699100000001</v>
      </c>
      <c r="P1420" s="124"/>
      <c r="Q1420" s="124">
        <f>(1.92727*2113)</f>
        <v>4072.3215100000002</v>
      </c>
    </row>
    <row r="1421" spans="1:17" s="121" customFormat="1" ht="15">
      <c r="A1421" s="362"/>
      <c r="B1421" s="616"/>
      <c r="C1421" s="367" t="s">
        <v>9</v>
      </c>
      <c r="D1421" s="492"/>
      <c r="E1421" s="84">
        <f>9640+(O1423/4)</f>
        <v>10223.5824775</v>
      </c>
      <c r="F1421" s="488">
        <f>4166+(P1423/4)</f>
        <v>4166</v>
      </c>
      <c r="G1421" s="488">
        <f>5243.63+(Q1423/4)</f>
        <v>6376.1253775000005</v>
      </c>
      <c r="H1421" s="84"/>
      <c r="I1421" s="84"/>
      <c r="J1421" s="125">
        <f t="shared" ref="J1421" si="416">MEDIAN(E1421:I1421)</f>
        <v>6376.1253775000005</v>
      </c>
      <c r="K1421" s="125">
        <f t="shared" ref="K1421" si="417">J1421*1.3</f>
        <v>8288.9629907500002</v>
      </c>
      <c r="L1421" s="125">
        <f t="shared" ref="L1421" si="418">J1421*0.7</f>
        <v>4463.2877642499998</v>
      </c>
      <c r="N1421" s="121" t="s">
        <v>17838</v>
      </c>
      <c r="O1421" s="124">
        <v>253.6</v>
      </c>
      <c r="P1421" s="124"/>
      <c r="Q1421" s="124">
        <v>367.8</v>
      </c>
    </row>
    <row r="1422" spans="1:17" s="121" customFormat="1" ht="15">
      <c r="A1422" s="362"/>
      <c r="B1422" s="616"/>
      <c r="C1422" s="367" t="s">
        <v>8</v>
      </c>
      <c r="D1422" s="492"/>
      <c r="E1422" s="487" t="s">
        <v>17322</v>
      </c>
      <c r="F1422" s="487" t="s">
        <v>17510</v>
      </c>
      <c r="G1422" s="487" t="s">
        <v>17833</v>
      </c>
      <c r="H1422" s="487"/>
      <c r="I1422" s="487"/>
      <c r="J1422" s="125"/>
      <c r="K1422" s="125"/>
      <c r="L1422" s="125"/>
      <c r="N1422" s="121" t="s">
        <v>17839</v>
      </c>
      <c r="O1422" s="124">
        <v>89.86</v>
      </c>
      <c r="P1422" s="124"/>
      <c r="Q1422" s="124">
        <v>89.86</v>
      </c>
    </row>
    <row r="1423" spans="1:17" s="121" customFormat="1" ht="15">
      <c r="A1423" s="362"/>
      <c r="B1423" s="616"/>
      <c r="C1423" s="367" t="s">
        <v>7</v>
      </c>
      <c r="D1423" s="492"/>
      <c r="E1423" s="489" t="s">
        <v>17323</v>
      </c>
      <c r="F1423" s="489" t="s">
        <v>17511</v>
      </c>
      <c r="G1423" s="489" t="s">
        <v>17834</v>
      </c>
      <c r="H1423" s="489"/>
      <c r="I1423" s="489"/>
      <c r="J1423" s="125"/>
      <c r="K1423" s="125"/>
      <c r="L1423" s="125"/>
      <c r="N1423" s="121" t="s">
        <v>9690</v>
      </c>
      <c r="O1423" s="124">
        <f>SUM(O1420:O1422)</f>
        <v>2334.3299100000004</v>
      </c>
      <c r="P1423" s="124"/>
      <c r="Q1423" s="124">
        <f>SUM(Q1420:Q1422)</f>
        <v>4529.9815099999996</v>
      </c>
    </row>
    <row r="1424" spans="1:17" s="121" customFormat="1" ht="15">
      <c r="A1424" s="362"/>
      <c r="B1424" s="616"/>
      <c r="C1424" s="367" t="s">
        <v>6</v>
      </c>
      <c r="D1424" s="493"/>
      <c r="E1424" s="490">
        <v>44308</v>
      </c>
      <c r="F1424" s="490">
        <v>44319</v>
      </c>
      <c r="G1424" s="490">
        <v>44327</v>
      </c>
      <c r="H1424" s="490"/>
      <c r="I1424" s="490"/>
      <c r="J1424" s="125"/>
      <c r="K1424" s="125"/>
      <c r="L1424" s="125"/>
    </row>
    <row r="1425" spans="1:17" s="121" customFormat="1" ht="15">
      <c r="A1425" s="363"/>
      <c r="B1425" s="617"/>
      <c r="C1425" s="367" t="s">
        <v>8993</v>
      </c>
      <c r="D1425" s="493"/>
      <c r="E1425" s="490" t="s">
        <v>17324</v>
      </c>
      <c r="F1425" s="490" t="s">
        <v>17512</v>
      </c>
      <c r="G1425" s="490" t="s">
        <v>17835</v>
      </c>
      <c r="H1425" s="490"/>
      <c r="I1425" s="490"/>
      <c r="J1425" s="125"/>
      <c r="K1425" s="125"/>
      <c r="L1425" s="125"/>
    </row>
    <row r="1426" spans="1:17" s="121" customFormat="1" ht="11.25">
      <c r="A1426" s="2"/>
      <c r="B1426" s="622"/>
      <c r="C1426" s="491"/>
      <c r="D1426" s="491"/>
      <c r="E1426" s="491"/>
      <c r="F1426" s="491"/>
      <c r="G1426" s="491"/>
      <c r="H1426" s="491"/>
      <c r="I1426" s="491"/>
      <c r="J1426" s="124"/>
      <c r="K1426" s="124"/>
      <c r="L1426" s="124"/>
    </row>
    <row r="1427" spans="1:17" s="121" customFormat="1" ht="22.5">
      <c r="A1427" s="366" t="s">
        <v>15745</v>
      </c>
      <c r="B1427" s="626" t="s">
        <v>18650</v>
      </c>
      <c r="C1427" s="369">
        <f t="shared" ref="C1427" si="419">MIN(E1429:I1429)</f>
        <v>23672</v>
      </c>
      <c r="D1427" s="370" t="s">
        <v>109</v>
      </c>
      <c r="E1427" s="486" t="s">
        <v>17508</v>
      </c>
      <c r="F1427" s="486" t="s">
        <v>24732</v>
      </c>
      <c r="G1427" s="486"/>
      <c r="H1427" s="486"/>
      <c r="I1427" s="486"/>
      <c r="J1427" s="125" t="s">
        <v>207</v>
      </c>
      <c r="K1427" s="125"/>
      <c r="L1427" s="125"/>
      <c r="O1427" s="124"/>
      <c r="P1427" s="124"/>
      <c r="Q1427" s="124"/>
    </row>
    <row r="1428" spans="1:17" s="121" customFormat="1" ht="22.5">
      <c r="A1428" s="361"/>
      <c r="B1428" s="615"/>
      <c r="C1428" s="367" t="s">
        <v>284</v>
      </c>
      <c r="D1428" s="554"/>
      <c r="E1428" s="487" t="s">
        <v>17509</v>
      </c>
      <c r="F1428" s="487" t="s">
        <v>14980</v>
      </c>
      <c r="G1428" s="487"/>
      <c r="H1428" s="487"/>
      <c r="I1428" s="487"/>
      <c r="J1428" s="125" t="s">
        <v>283</v>
      </c>
      <c r="K1428" s="125" t="s">
        <v>280</v>
      </c>
      <c r="L1428" s="125" t="s">
        <v>281</v>
      </c>
      <c r="O1428" s="124"/>
      <c r="P1428" s="124"/>
      <c r="Q1428" s="124"/>
    </row>
    <row r="1429" spans="1:17" s="121" customFormat="1" ht="15">
      <c r="A1429" s="362"/>
      <c r="B1429" s="616"/>
      <c r="C1429" s="367" t="s">
        <v>9</v>
      </c>
      <c r="D1429" s="492"/>
      <c r="E1429" s="488">
        <v>23672</v>
      </c>
      <c r="F1429" s="488" t="s">
        <v>24735</v>
      </c>
      <c r="G1429" s="488"/>
      <c r="H1429" s="84"/>
      <c r="I1429" s="84"/>
      <c r="J1429" s="125">
        <f t="shared" ref="J1429" si="420">MEDIAN(E1429:I1429)</f>
        <v>23672</v>
      </c>
      <c r="K1429" s="125">
        <f t="shared" ref="K1429" si="421">J1429*1.3</f>
        <v>30773.600000000002</v>
      </c>
      <c r="L1429" s="125">
        <f t="shared" ref="L1429" si="422">J1429*0.7</f>
        <v>16570.399999999998</v>
      </c>
      <c r="O1429" s="124"/>
      <c r="P1429" s="124"/>
      <c r="Q1429" s="124"/>
    </row>
    <row r="1430" spans="1:17" s="121" customFormat="1" ht="15">
      <c r="A1430" s="362"/>
      <c r="B1430" s="616"/>
      <c r="C1430" s="367" t="s">
        <v>8</v>
      </c>
      <c r="D1430" s="492"/>
      <c r="E1430" s="487" t="s">
        <v>17510</v>
      </c>
      <c r="F1430" s="487" t="s">
        <v>14982</v>
      </c>
      <c r="G1430" s="487"/>
      <c r="H1430" s="487"/>
      <c r="I1430" s="487"/>
      <c r="J1430" s="125"/>
      <c r="K1430" s="125"/>
      <c r="L1430" s="125"/>
      <c r="O1430" s="124"/>
      <c r="P1430" s="124"/>
      <c r="Q1430" s="124"/>
    </row>
    <row r="1431" spans="1:17" s="121" customFormat="1" ht="15">
      <c r="A1431" s="362"/>
      <c r="B1431" s="616"/>
      <c r="C1431" s="367" t="s">
        <v>7</v>
      </c>
      <c r="D1431" s="492"/>
      <c r="E1431" s="489" t="s">
        <v>17511</v>
      </c>
      <c r="F1431" s="489" t="s">
        <v>24734</v>
      </c>
      <c r="G1431" s="489"/>
      <c r="H1431" s="489"/>
      <c r="I1431" s="489"/>
      <c r="J1431" s="125"/>
      <c r="K1431" s="125"/>
      <c r="L1431" s="125"/>
      <c r="O1431" s="124"/>
      <c r="P1431" s="124"/>
      <c r="Q1431" s="124"/>
    </row>
    <row r="1432" spans="1:17" s="121" customFormat="1" ht="15">
      <c r="A1432" s="362"/>
      <c r="B1432" s="616"/>
      <c r="C1432" s="367" t="s">
        <v>6</v>
      </c>
      <c r="D1432" s="493"/>
      <c r="E1432" s="490">
        <v>44363</v>
      </c>
      <c r="F1432" s="490">
        <v>44382</v>
      </c>
      <c r="G1432" s="490"/>
      <c r="H1432" s="490"/>
      <c r="I1432" s="490"/>
      <c r="J1432" s="125"/>
      <c r="K1432" s="125"/>
      <c r="L1432" s="125"/>
    </row>
    <row r="1433" spans="1:17" s="121" customFormat="1" ht="15">
      <c r="A1433" s="363"/>
      <c r="B1433" s="617"/>
      <c r="C1433" s="367" t="s">
        <v>8993</v>
      </c>
      <c r="D1433" s="493"/>
      <c r="E1433" s="490" t="s">
        <v>18649</v>
      </c>
      <c r="F1433" s="490" t="s">
        <v>24733</v>
      </c>
      <c r="G1433" s="490"/>
      <c r="H1433" s="490"/>
      <c r="I1433" s="490"/>
      <c r="J1433" s="125"/>
      <c r="K1433" s="125"/>
      <c r="L1433" s="125"/>
    </row>
    <row r="1434" spans="1:17" s="121" customFormat="1" ht="11.25">
      <c r="A1434" s="2"/>
      <c r="B1434" s="622"/>
      <c r="C1434" s="491"/>
      <c r="D1434" s="491"/>
      <c r="E1434" s="491"/>
      <c r="F1434" s="491"/>
      <c r="G1434" s="491"/>
      <c r="H1434" s="491"/>
      <c r="I1434" s="491"/>
      <c r="J1434" s="124"/>
      <c r="K1434" s="124"/>
      <c r="L1434" s="124"/>
    </row>
    <row r="1435" spans="1:17" s="121" customFormat="1" ht="22.5">
      <c r="A1435" s="366" t="s">
        <v>15747</v>
      </c>
      <c r="B1435" s="626" t="s">
        <v>18651</v>
      </c>
      <c r="C1435" s="369">
        <f t="shared" ref="C1435" si="423">MIN(E1437:I1437)</f>
        <v>4997</v>
      </c>
      <c r="D1435" s="370" t="s">
        <v>109</v>
      </c>
      <c r="E1435" s="486" t="s">
        <v>17508</v>
      </c>
      <c r="F1435" s="486" t="s">
        <v>24732</v>
      </c>
      <c r="G1435" s="486"/>
      <c r="H1435" s="486"/>
      <c r="I1435" s="486"/>
      <c r="J1435" s="125" t="s">
        <v>207</v>
      </c>
      <c r="K1435" s="125"/>
      <c r="L1435" s="125"/>
      <c r="O1435" s="124"/>
      <c r="P1435" s="124"/>
      <c r="Q1435" s="124"/>
    </row>
    <row r="1436" spans="1:17" s="121" customFormat="1" ht="22.5">
      <c r="A1436" s="361"/>
      <c r="B1436" s="615"/>
      <c r="C1436" s="367" t="s">
        <v>284</v>
      </c>
      <c r="D1436" s="554"/>
      <c r="E1436" s="487" t="s">
        <v>17509</v>
      </c>
      <c r="F1436" s="487" t="s">
        <v>14980</v>
      </c>
      <c r="G1436" s="487"/>
      <c r="H1436" s="487"/>
      <c r="I1436" s="487"/>
      <c r="J1436" s="125" t="s">
        <v>283</v>
      </c>
      <c r="K1436" s="125" t="s">
        <v>280</v>
      </c>
      <c r="L1436" s="125" t="s">
        <v>281</v>
      </c>
      <c r="O1436" s="124"/>
      <c r="P1436" s="124"/>
      <c r="Q1436" s="124"/>
    </row>
    <row r="1437" spans="1:17" s="121" customFormat="1" ht="15">
      <c r="A1437" s="362"/>
      <c r="B1437" s="616"/>
      <c r="C1437" s="367" t="s">
        <v>9</v>
      </c>
      <c r="D1437" s="492"/>
      <c r="E1437" s="488">
        <v>7441</v>
      </c>
      <c r="F1437" s="488">
        <v>4997</v>
      </c>
      <c r="G1437" s="488"/>
      <c r="H1437" s="84"/>
      <c r="I1437" s="84"/>
      <c r="J1437" s="125">
        <f t="shared" ref="J1437" si="424">MEDIAN(E1437:I1437)</f>
        <v>6219</v>
      </c>
      <c r="K1437" s="125">
        <f t="shared" ref="K1437" si="425">J1437*1.3</f>
        <v>8084.7000000000007</v>
      </c>
      <c r="L1437" s="125">
        <f t="shared" ref="L1437" si="426">J1437*0.7</f>
        <v>4353.2999999999993</v>
      </c>
      <c r="O1437" s="124"/>
      <c r="P1437" s="124"/>
      <c r="Q1437" s="124"/>
    </row>
    <row r="1438" spans="1:17" s="121" customFormat="1" ht="15">
      <c r="A1438" s="362"/>
      <c r="B1438" s="616"/>
      <c r="C1438" s="367" t="s">
        <v>8</v>
      </c>
      <c r="D1438" s="492"/>
      <c r="E1438" s="487" t="s">
        <v>17510</v>
      </c>
      <c r="F1438" s="487" t="s">
        <v>14982</v>
      </c>
      <c r="G1438" s="487"/>
      <c r="H1438" s="487"/>
      <c r="I1438" s="487"/>
      <c r="J1438" s="125"/>
      <c r="K1438" s="125"/>
      <c r="L1438" s="125"/>
      <c r="O1438" s="124"/>
      <c r="P1438" s="124"/>
      <c r="Q1438" s="124"/>
    </row>
    <row r="1439" spans="1:17" s="121" customFormat="1" ht="15">
      <c r="A1439" s="362"/>
      <c r="B1439" s="616"/>
      <c r="C1439" s="367" t="s">
        <v>7</v>
      </c>
      <c r="D1439" s="492"/>
      <c r="E1439" s="489" t="s">
        <v>17511</v>
      </c>
      <c r="F1439" s="489" t="s">
        <v>24734</v>
      </c>
      <c r="G1439" s="489"/>
      <c r="H1439" s="489"/>
      <c r="I1439" s="489"/>
      <c r="J1439" s="125"/>
      <c r="K1439" s="125"/>
      <c r="L1439" s="125"/>
      <c r="O1439" s="124"/>
      <c r="P1439" s="124"/>
      <c r="Q1439" s="124"/>
    </row>
    <row r="1440" spans="1:17" s="121" customFormat="1" ht="15">
      <c r="A1440" s="362"/>
      <c r="B1440" s="616"/>
      <c r="C1440" s="367" t="s">
        <v>6</v>
      </c>
      <c r="D1440" s="493"/>
      <c r="E1440" s="490">
        <v>44363</v>
      </c>
      <c r="F1440" s="490">
        <v>44382</v>
      </c>
      <c r="G1440" s="490"/>
      <c r="H1440" s="490"/>
      <c r="I1440" s="490"/>
      <c r="J1440" s="125"/>
      <c r="K1440" s="125"/>
      <c r="L1440" s="125"/>
    </row>
    <row r="1441" spans="1:12" s="121" customFormat="1" ht="15">
      <c r="A1441" s="363"/>
      <c r="B1441" s="617"/>
      <c r="C1441" s="367" t="s">
        <v>8993</v>
      </c>
      <c r="D1441" s="493"/>
      <c r="E1441" s="490" t="s">
        <v>18649</v>
      </c>
      <c r="F1441" s="490" t="s">
        <v>24733</v>
      </c>
      <c r="G1441" s="490"/>
      <c r="H1441" s="490"/>
      <c r="I1441" s="490"/>
      <c r="J1441" s="125"/>
      <c r="K1441" s="125"/>
      <c r="L1441" s="125"/>
    </row>
    <row r="1442" spans="1:12" s="121" customFormat="1" ht="11.25">
      <c r="A1442" s="2"/>
      <c r="B1442" s="622"/>
      <c r="C1442" s="491"/>
      <c r="D1442" s="491"/>
      <c r="E1442" s="491"/>
      <c r="F1442" s="491"/>
      <c r="G1442" s="491"/>
      <c r="H1442" s="491"/>
      <c r="I1442" s="491"/>
      <c r="J1442" s="124"/>
      <c r="K1442" s="124"/>
      <c r="L1442" s="124"/>
    </row>
    <row r="1443" spans="1:12" s="121" customFormat="1" ht="33.75">
      <c r="A1443" s="366" t="s">
        <v>15748</v>
      </c>
      <c r="B1443" s="626" t="s">
        <v>15733</v>
      </c>
      <c r="C1443" s="369">
        <f t="shared" ref="C1443" si="427">MIN(E1445:I1445)</f>
        <v>453.23</v>
      </c>
      <c r="D1443" s="370" t="s">
        <v>109</v>
      </c>
      <c r="E1443" s="486" t="s">
        <v>14959</v>
      </c>
      <c r="F1443" s="486" t="s">
        <v>17200</v>
      </c>
      <c r="G1443" s="486" t="s">
        <v>17354</v>
      </c>
      <c r="H1443" s="486"/>
      <c r="I1443" s="486"/>
      <c r="J1443" s="125" t="s">
        <v>207</v>
      </c>
      <c r="K1443" s="125"/>
      <c r="L1443" s="125"/>
    </row>
    <row r="1444" spans="1:12" s="121" customFormat="1" ht="22.5">
      <c r="A1444" s="361"/>
      <c r="B1444" s="615"/>
      <c r="C1444" s="367" t="s">
        <v>284</v>
      </c>
      <c r="D1444" s="554"/>
      <c r="E1444" s="487" t="s">
        <v>14961</v>
      </c>
      <c r="F1444" s="487" t="s">
        <v>17201</v>
      </c>
      <c r="G1444" s="487" t="s">
        <v>17355</v>
      </c>
      <c r="H1444" s="487"/>
      <c r="I1444" s="487"/>
      <c r="J1444" s="125" t="s">
        <v>283</v>
      </c>
      <c r="K1444" s="125" t="s">
        <v>280</v>
      </c>
      <c r="L1444" s="125" t="s">
        <v>281</v>
      </c>
    </row>
    <row r="1445" spans="1:12" s="121" customFormat="1" ht="15">
      <c r="A1445" s="362"/>
      <c r="B1445" s="616"/>
      <c r="C1445" s="367" t="s">
        <v>9</v>
      </c>
      <c r="D1445" s="492"/>
      <c r="E1445" s="84">
        <v>590</v>
      </c>
      <c r="F1445" s="488">
        <v>453.23</v>
      </c>
      <c r="G1445" s="488">
        <v>556.96</v>
      </c>
      <c r="H1445" s="84"/>
      <c r="I1445" s="84"/>
      <c r="J1445" s="125">
        <f t="shared" ref="J1445" si="428">MEDIAN(E1445:I1445)</f>
        <v>556.96</v>
      </c>
      <c r="K1445" s="125">
        <f t="shared" ref="K1445" si="429">J1445*1.3</f>
        <v>724.04800000000012</v>
      </c>
      <c r="L1445" s="125">
        <f t="shared" ref="L1445" si="430">J1445*0.7</f>
        <v>389.87200000000001</v>
      </c>
    </row>
    <row r="1446" spans="1:12" s="121" customFormat="1" ht="15">
      <c r="A1446" s="362"/>
      <c r="B1446" s="616"/>
      <c r="C1446" s="367" t="s">
        <v>8</v>
      </c>
      <c r="D1446" s="492"/>
      <c r="E1446" s="487" t="s">
        <v>14963</v>
      </c>
      <c r="F1446" s="487" t="s">
        <v>17202</v>
      </c>
      <c r="G1446" s="487" t="s">
        <v>17356</v>
      </c>
      <c r="H1446" s="487"/>
      <c r="I1446" s="487"/>
      <c r="J1446" s="125"/>
      <c r="K1446" s="125"/>
      <c r="L1446" s="125"/>
    </row>
    <row r="1447" spans="1:12" s="121" customFormat="1" ht="15">
      <c r="A1447" s="362"/>
      <c r="B1447" s="616"/>
      <c r="C1447" s="367" t="s">
        <v>7</v>
      </c>
      <c r="D1447" s="492"/>
      <c r="E1447" s="489" t="s">
        <v>17104</v>
      </c>
      <c r="F1447" s="489" t="s">
        <v>17203</v>
      </c>
      <c r="G1447" s="489" t="s">
        <v>17357</v>
      </c>
      <c r="H1447" s="489"/>
      <c r="I1447" s="489"/>
      <c r="J1447" s="125"/>
      <c r="K1447" s="125"/>
      <c r="L1447" s="125"/>
    </row>
    <row r="1448" spans="1:12" s="121" customFormat="1" ht="15">
      <c r="A1448" s="362"/>
      <c r="B1448" s="616"/>
      <c r="C1448" s="367" t="s">
        <v>6</v>
      </c>
      <c r="D1448" s="493"/>
      <c r="E1448" s="490">
        <v>44298</v>
      </c>
      <c r="F1448" s="490">
        <v>44301</v>
      </c>
      <c r="G1448" s="490">
        <v>44302</v>
      </c>
      <c r="H1448" s="490"/>
      <c r="I1448" s="490"/>
      <c r="J1448" s="125"/>
      <c r="K1448" s="125"/>
      <c r="L1448" s="125"/>
    </row>
    <row r="1449" spans="1:12" s="121" customFormat="1" ht="15">
      <c r="A1449" s="363"/>
      <c r="B1449" s="617"/>
      <c r="C1449" s="367" t="s">
        <v>8993</v>
      </c>
      <c r="D1449" s="493"/>
      <c r="E1449" s="490" t="s">
        <v>15310</v>
      </c>
      <c r="F1449" s="490" t="s">
        <v>17204</v>
      </c>
      <c r="G1449" s="490" t="s">
        <v>17358</v>
      </c>
      <c r="H1449" s="490"/>
      <c r="I1449" s="490"/>
      <c r="J1449" s="125"/>
      <c r="K1449" s="125"/>
      <c r="L1449" s="125"/>
    </row>
    <row r="1450" spans="1:12" s="121" customFormat="1" ht="11.25">
      <c r="A1450" s="2"/>
      <c r="B1450" s="622"/>
      <c r="C1450" s="491"/>
      <c r="D1450" s="491"/>
      <c r="E1450" s="491"/>
      <c r="F1450" s="491"/>
      <c r="G1450" s="491"/>
      <c r="H1450" s="491"/>
      <c r="I1450" s="491"/>
      <c r="J1450" s="124"/>
      <c r="K1450" s="124"/>
      <c r="L1450" s="124"/>
    </row>
    <row r="1451" spans="1:12" s="121" customFormat="1" ht="11.25">
      <c r="A1451" s="366" t="s">
        <v>16775</v>
      </c>
      <c r="B1451" s="626" t="s">
        <v>16781</v>
      </c>
      <c r="C1451" s="369">
        <f t="shared" ref="C1451" si="431">MIN(E1453:I1453)</f>
        <v>7.1820000000000004</v>
      </c>
      <c r="D1451" s="370" t="s">
        <v>5</v>
      </c>
      <c r="E1451" s="486" t="s">
        <v>14756</v>
      </c>
      <c r="F1451" s="486" t="s">
        <v>14760</v>
      </c>
      <c r="G1451" s="486" t="s">
        <v>16777</v>
      </c>
      <c r="H1451" s="486"/>
      <c r="I1451" s="486"/>
      <c r="J1451" s="125" t="s">
        <v>207</v>
      </c>
      <c r="K1451" s="125"/>
      <c r="L1451" s="125"/>
    </row>
    <row r="1452" spans="1:12" s="121" customFormat="1" ht="22.5">
      <c r="A1452" s="361"/>
      <c r="B1452" s="615"/>
      <c r="C1452" s="367" t="s">
        <v>284</v>
      </c>
      <c r="D1452" s="554"/>
      <c r="E1452" s="487" t="s">
        <v>15002</v>
      </c>
      <c r="F1452" s="487" t="s">
        <v>15207</v>
      </c>
      <c r="G1452" s="487" t="s">
        <v>14935</v>
      </c>
      <c r="H1452" s="487"/>
      <c r="I1452" s="487"/>
      <c r="J1452" s="125" t="s">
        <v>283</v>
      </c>
      <c r="K1452" s="125" t="s">
        <v>280</v>
      </c>
      <c r="L1452" s="125" t="s">
        <v>281</v>
      </c>
    </row>
    <row r="1453" spans="1:12" s="121" customFormat="1" ht="15">
      <c r="A1453" s="362"/>
      <c r="B1453" s="616"/>
      <c r="C1453" s="367" t="s">
        <v>9</v>
      </c>
      <c r="D1453" s="492"/>
      <c r="E1453" s="84">
        <v>7.1820000000000004</v>
      </c>
      <c r="F1453" s="488">
        <v>8.4990000000000006</v>
      </c>
      <c r="G1453" s="488">
        <v>8.4115000000000002</v>
      </c>
      <c r="H1453" s="84"/>
      <c r="I1453" s="84"/>
      <c r="J1453" s="125">
        <f t="shared" ref="J1453" si="432">MEDIAN(E1453:I1453)</f>
        <v>8.4115000000000002</v>
      </c>
      <c r="K1453" s="125">
        <f t="shared" ref="K1453" si="433">J1453*1.3</f>
        <v>10.934950000000001</v>
      </c>
      <c r="L1453" s="125">
        <f t="shared" ref="L1453" si="434">J1453*0.7</f>
        <v>5.8880499999999998</v>
      </c>
    </row>
    <row r="1454" spans="1:12" s="121" customFormat="1" ht="15">
      <c r="A1454" s="362"/>
      <c r="B1454" s="616"/>
      <c r="C1454" s="367" t="s">
        <v>8</v>
      </c>
      <c r="D1454" s="492"/>
      <c r="E1454" s="487" t="s">
        <v>14758</v>
      </c>
      <c r="F1454" s="487" t="s">
        <v>16778</v>
      </c>
      <c r="G1454" s="487" t="s">
        <v>14758</v>
      </c>
      <c r="H1454" s="487"/>
      <c r="I1454" s="487"/>
      <c r="J1454" s="125"/>
      <c r="K1454" s="125"/>
      <c r="L1454" s="125"/>
    </row>
    <row r="1455" spans="1:12" s="121" customFormat="1" ht="15">
      <c r="A1455" s="362"/>
      <c r="B1455" s="616"/>
      <c r="C1455" s="367" t="s">
        <v>7</v>
      </c>
      <c r="D1455" s="492"/>
      <c r="E1455" s="489" t="s">
        <v>16779</v>
      </c>
      <c r="F1455" s="489" t="s">
        <v>16780</v>
      </c>
      <c r="G1455" s="489" t="s">
        <v>14935</v>
      </c>
      <c r="H1455" s="489"/>
      <c r="I1455" s="489"/>
      <c r="J1455" s="125"/>
      <c r="K1455" s="125"/>
      <c r="L1455" s="125"/>
    </row>
    <row r="1456" spans="1:12" s="121" customFormat="1" ht="15">
      <c r="A1456" s="362"/>
      <c r="B1456" s="616"/>
      <c r="C1456" s="367" t="s">
        <v>6</v>
      </c>
      <c r="D1456" s="493"/>
      <c r="E1456" s="490">
        <v>44252</v>
      </c>
      <c r="F1456" s="490">
        <v>44253</v>
      </c>
      <c r="G1456" s="490">
        <v>44253</v>
      </c>
      <c r="H1456" s="490"/>
      <c r="I1456" s="490"/>
      <c r="J1456" s="125"/>
      <c r="K1456" s="125"/>
      <c r="L1456" s="125"/>
    </row>
    <row r="1457" spans="1:12" s="121" customFormat="1" ht="15">
      <c r="A1457" s="363"/>
      <c r="B1457" s="617"/>
      <c r="C1457" s="367" t="s">
        <v>8993</v>
      </c>
      <c r="D1457" s="493"/>
      <c r="E1457" s="490" t="s">
        <v>17805</v>
      </c>
      <c r="F1457" s="490" t="s">
        <v>17805</v>
      </c>
      <c r="G1457" s="490" t="s">
        <v>17805</v>
      </c>
      <c r="H1457" s="490"/>
      <c r="I1457" s="490"/>
      <c r="J1457" s="125"/>
      <c r="K1457" s="125"/>
      <c r="L1457" s="125"/>
    </row>
    <row r="1458" spans="1:12" s="121" customFormat="1" ht="11.25">
      <c r="A1458" s="2"/>
      <c r="B1458" s="622"/>
      <c r="C1458" s="491"/>
      <c r="D1458" s="491"/>
      <c r="E1458" s="491"/>
      <c r="F1458" s="491"/>
      <c r="G1458" s="491"/>
      <c r="H1458" s="491"/>
      <c r="I1458" s="491"/>
      <c r="J1458" s="124"/>
      <c r="K1458" s="124"/>
      <c r="L1458" s="124"/>
    </row>
    <row r="1459" spans="1:12" s="121" customFormat="1" ht="11.25">
      <c r="A1459" s="366" t="s">
        <v>16776</v>
      </c>
      <c r="B1459" s="626" t="s">
        <v>16782</v>
      </c>
      <c r="C1459" s="369">
        <f t="shared" ref="C1459" si="435">MIN(E1461:I1461)</f>
        <v>9.2170000000000005</v>
      </c>
      <c r="D1459" s="370" t="s">
        <v>5</v>
      </c>
      <c r="E1459" s="486" t="s">
        <v>14756</v>
      </c>
      <c r="F1459" s="486" t="s">
        <v>14760</v>
      </c>
      <c r="G1459" s="486" t="s">
        <v>16777</v>
      </c>
      <c r="H1459" s="486"/>
      <c r="I1459" s="486"/>
      <c r="J1459" s="125" t="s">
        <v>207</v>
      </c>
      <c r="K1459" s="125"/>
      <c r="L1459" s="125"/>
    </row>
    <row r="1460" spans="1:12" s="121" customFormat="1" ht="22.5">
      <c r="A1460" s="361"/>
      <c r="B1460" s="615"/>
      <c r="C1460" s="367" t="s">
        <v>284</v>
      </c>
      <c r="D1460" s="554"/>
      <c r="E1460" s="487" t="s">
        <v>15002</v>
      </c>
      <c r="F1460" s="487" t="s">
        <v>15207</v>
      </c>
      <c r="G1460" s="487" t="s">
        <v>14935</v>
      </c>
      <c r="H1460" s="487"/>
      <c r="I1460" s="487"/>
      <c r="J1460" s="125" t="s">
        <v>283</v>
      </c>
      <c r="K1460" s="125" t="s">
        <v>280</v>
      </c>
      <c r="L1460" s="125" t="s">
        <v>281</v>
      </c>
    </row>
    <row r="1461" spans="1:12" s="121" customFormat="1" ht="15">
      <c r="A1461" s="362"/>
      <c r="B1461" s="616"/>
      <c r="C1461" s="367" t="s">
        <v>9</v>
      </c>
      <c r="D1461" s="492"/>
      <c r="E1461" s="84">
        <v>9.2170000000000005</v>
      </c>
      <c r="F1461" s="488">
        <v>12.428800000000001</v>
      </c>
      <c r="G1461" s="488">
        <v>10.6051</v>
      </c>
      <c r="H1461" s="84"/>
      <c r="I1461" s="84"/>
      <c r="J1461" s="125">
        <f t="shared" ref="J1461" si="436">MEDIAN(E1461:I1461)</f>
        <v>10.6051</v>
      </c>
      <c r="K1461" s="125">
        <f t="shared" ref="K1461" si="437">J1461*1.3</f>
        <v>13.786630000000001</v>
      </c>
      <c r="L1461" s="125">
        <f t="shared" ref="L1461" si="438">J1461*0.7</f>
        <v>7.4235699999999998</v>
      </c>
    </row>
    <row r="1462" spans="1:12" s="121" customFormat="1" ht="15">
      <c r="A1462" s="362"/>
      <c r="B1462" s="616"/>
      <c r="C1462" s="367" t="s">
        <v>8</v>
      </c>
      <c r="D1462" s="492"/>
      <c r="E1462" s="487" t="s">
        <v>14758</v>
      </c>
      <c r="F1462" s="487" t="s">
        <v>16778</v>
      </c>
      <c r="G1462" s="487" t="s">
        <v>14758</v>
      </c>
      <c r="H1462" s="487"/>
      <c r="I1462" s="487"/>
      <c r="J1462" s="125"/>
      <c r="K1462" s="125"/>
      <c r="L1462" s="125"/>
    </row>
    <row r="1463" spans="1:12" s="121" customFormat="1" ht="15">
      <c r="A1463" s="362"/>
      <c r="B1463" s="616"/>
      <c r="C1463" s="367" t="s">
        <v>7</v>
      </c>
      <c r="D1463" s="492"/>
      <c r="E1463" s="489" t="s">
        <v>16779</v>
      </c>
      <c r="F1463" s="489" t="s">
        <v>16780</v>
      </c>
      <c r="G1463" s="489" t="s">
        <v>14935</v>
      </c>
      <c r="H1463" s="489"/>
      <c r="I1463" s="489"/>
      <c r="J1463" s="125"/>
      <c r="K1463" s="125"/>
      <c r="L1463" s="125"/>
    </row>
    <row r="1464" spans="1:12" s="121" customFormat="1" ht="15">
      <c r="A1464" s="362"/>
      <c r="B1464" s="616"/>
      <c r="C1464" s="367" t="s">
        <v>6</v>
      </c>
      <c r="D1464" s="493"/>
      <c r="E1464" s="490">
        <v>44256</v>
      </c>
      <c r="F1464" s="490">
        <v>44256</v>
      </c>
      <c r="G1464" s="490">
        <v>44256</v>
      </c>
      <c r="H1464" s="490"/>
      <c r="I1464" s="490"/>
      <c r="J1464" s="125"/>
      <c r="K1464" s="125"/>
      <c r="L1464" s="125"/>
    </row>
    <row r="1465" spans="1:12" s="121" customFormat="1" ht="15">
      <c r="A1465" s="363"/>
      <c r="B1465" s="617"/>
      <c r="C1465" s="367" t="s">
        <v>8993</v>
      </c>
      <c r="D1465" s="493"/>
      <c r="E1465" s="490" t="s">
        <v>17806</v>
      </c>
      <c r="F1465" s="490" t="s">
        <v>17806</v>
      </c>
      <c r="G1465" s="490" t="s">
        <v>17806</v>
      </c>
      <c r="H1465" s="490"/>
      <c r="I1465" s="490"/>
      <c r="J1465" s="125"/>
      <c r="K1465" s="125"/>
      <c r="L1465" s="125"/>
    </row>
    <row r="1466" spans="1:12" s="121" customFormat="1" ht="11.25">
      <c r="A1466" s="2"/>
      <c r="B1466" s="622"/>
      <c r="C1466" s="491"/>
      <c r="D1466" s="491"/>
      <c r="E1466" s="491"/>
      <c r="F1466" s="491"/>
      <c r="G1466" s="491"/>
      <c r="H1466" s="491"/>
      <c r="I1466" s="491"/>
      <c r="J1466" s="124"/>
      <c r="K1466" s="124"/>
      <c r="L1466" s="124"/>
    </row>
    <row r="1467" spans="1:12" s="121" customFormat="1" ht="22.5">
      <c r="A1467" s="366" t="s">
        <v>16792</v>
      </c>
      <c r="B1467" s="626" t="s">
        <v>16797</v>
      </c>
      <c r="C1467" s="369">
        <f t="shared" ref="C1467" si="439">MIN(E1469:I1469)</f>
        <v>3.42</v>
      </c>
      <c r="D1467" s="370" t="s">
        <v>5</v>
      </c>
      <c r="E1467" s="486" t="s">
        <v>14911</v>
      </c>
      <c r="F1467" s="486" t="s">
        <v>16803</v>
      </c>
      <c r="G1467" s="486" t="s">
        <v>17177</v>
      </c>
      <c r="H1467" s="486"/>
      <c r="I1467" s="486"/>
      <c r="J1467" s="125" t="s">
        <v>207</v>
      </c>
      <c r="K1467" s="125"/>
      <c r="L1467" s="125"/>
    </row>
    <row r="1468" spans="1:12" s="121" customFormat="1" ht="22.5">
      <c r="A1468" s="361"/>
      <c r="B1468" s="615"/>
      <c r="C1468" s="367" t="s">
        <v>284</v>
      </c>
      <c r="D1468" s="554"/>
      <c r="E1468" s="487" t="s">
        <v>14910</v>
      </c>
      <c r="F1468" s="487" t="s">
        <v>16802</v>
      </c>
      <c r="G1468" s="487" t="s">
        <v>17178</v>
      </c>
      <c r="H1468" s="487"/>
      <c r="I1468" s="487"/>
      <c r="J1468" s="125" t="s">
        <v>283</v>
      </c>
      <c r="K1468" s="125" t="s">
        <v>280</v>
      </c>
      <c r="L1468" s="125" t="s">
        <v>281</v>
      </c>
    </row>
    <row r="1469" spans="1:12" s="121" customFormat="1" ht="15">
      <c r="A1469" s="362"/>
      <c r="B1469" s="616"/>
      <c r="C1469" s="367" t="s">
        <v>9</v>
      </c>
      <c r="D1469" s="492"/>
      <c r="E1469" s="84">
        <v>4.2</v>
      </c>
      <c r="F1469" s="488">
        <v>3.42</v>
      </c>
      <c r="G1469" s="488">
        <v>5.17</v>
      </c>
      <c r="H1469" s="84"/>
      <c r="I1469" s="84"/>
      <c r="J1469" s="125">
        <f t="shared" ref="J1469" si="440">MEDIAN(E1469:I1469)</f>
        <v>4.2</v>
      </c>
      <c r="K1469" s="125">
        <f t="shared" ref="K1469" si="441">J1469*1.3</f>
        <v>5.4600000000000009</v>
      </c>
      <c r="L1469" s="125">
        <f t="shared" ref="L1469" si="442">J1469*0.7</f>
        <v>2.94</v>
      </c>
    </row>
    <row r="1470" spans="1:12" s="121" customFormat="1" ht="15">
      <c r="A1470" s="362"/>
      <c r="B1470" s="616"/>
      <c r="C1470" s="367" t="s">
        <v>8</v>
      </c>
      <c r="D1470" s="492"/>
      <c r="E1470" s="487" t="s">
        <v>14913</v>
      </c>
      <c r="F1470" s="487"/>
      <c r="G1470" s="487" t="s">
        <v>17179</v>
      </c>
      <c r="H1470" s="487"/>
      <c r="I1470" s="487"/>
      <c r="J1470" s="125"/>
      <c r="K1470" s="125"/>
      <c r="L1470" s="125"/>
    </row>
    <row r="1471" spans="1:12" s="121" customFormat="1" ht="15">
      <c r="A1471" s="362"/>
      <c r="B1471" s="616"/>
      <c r="C1471" s="367" t="s">
        <v>7</v>
      </c>
      <c r="D1471" s="492"/>
      <c r="E1471" s="489" t="s">
        <v>16800</v>
      </c>
      <c r="F1471" s="489" t="s">
        <v>16804</v>
      </c>
      <c r="G1471" s="489" t="s">
        <v>17180</v>
      </c>
      <c r="H1471" s="489"/>
      <c r="I1471" s="489"/>
      <c r="J1471" s="125"/>
      <c r="K1471" s="125"/>
      <c r="L1471" s="125"/>
    </row>
    <row r="1472" spans="1:12" s="121" customFormat="1" ht="15">
      <c r="A1472" s="362"/>
      <c r="B1472" s="616"/>
      <c r="C1472" s="367" t="s">
        <v>6</v>
      </c>
      <c r="D1472" s="493"/>
      <c r="E1472" s="490" t="s">
        <v>16799</v>
      </c>
      <c r="F1472" s="490" t="s">
        <v>16799</v>
      </c>
      <c r="G1472" s="490">
        <v>44300</v>
      </c>
      <c r="H1472" s="490"/>
      <c r="I1472" s="490"/>
      <c r="J1472" s="125"/>
      <c r="K1472" s="125"/>
      <c r="L1472" s="125"/>
    </row>
    <row r="1473" spans="1:12" s="121" customFormat="1" ht="15">
      <c r="A1473" s="363"/>
      <c r="B1473" s="617"/>
      <c r="C1473" s="367" t="s">
        <v>8993</v>
      </c>
      <c r="D1473" s="493"/>
      <c r="E1473" s="490" t="s">
        <v>16798</v>
      </c>
      <c r="F1473" s="490" t="s">
        <v>16801</v>
      </c>
      <c r="G1473" s="490" t="s">
        <v>17181</v>
      </c>
      <c r="H1473" s="490"/>
      <c r="I1473" s="490"/>
      <c r="J1473" s="125"/>
      <c r="K1473" s="125"/>
      <c r="L1473" s="125"/>
    </row>
    <row r="1474" spans="1:12" s="121" customFormat="1" ht="15">
      <c r="A1474" s="363"/>
      <c r="B1474" s="617"/>
      <c r="C1474" s="367" t="s">
        <v>8993</v>
      </c>
      <c r="D1474" s="493"/>
      <c r="E1474" s="490" t="s">
        <v>17807</v>
      </c>
      <c r="F1474" s="490" t="s">
        <v>17807</v>
      </c>
      <c r="G1474" s="490"/>
      <c r="H1474" s="490"/>
      <c r="I1474" s="490"/>
      <c r="J1474" s="125"/>
      <c r="K1474" s="125"/>
      <c r="L1474" s="125"/>
    </row>
    <row r="1475" spans="1:12" s="121" customFormat="1" ht="14.25" customHeight="1">
      <c r="A1475" s="2"/>
      <c r="B1475" s="622"/>
      <c r="C1475" s="491"/>
      <c r="D1475" s="491"/>
      <c r="E1475" s="491"/>
      <c r="F1475" s="491"/>
      <c r="G1475" s="491"/>
      <c r="H1475" s="491"/>
      <c r="I1475" s="491"/>
      <c r="J1475" s="124"/>
      <c r="K1475" s="124"/>
      <c r="L1475" s="124"/>
    </row>
    <row r="1476" spans="1:12" s="121" customFormat="1" ht="27.75" customHeight="1">
      <c r="A1476" s="366" t="s">
        <v>16796</v>
      </c>
      <c r="B1476" s="626" t="s">
        <v>16805</v>
      </c>
      <c r="C1476" s="369">
        <f t="shared" ref="C1476" si="443">MIN(E1478:I1478)</f>
        <v>5.165</v>
      </c>
      <c r="D1476" s="370" t="s">
        <v>5</v>
      </c>
      <c r="E1476" s="486" t="s">
        <v>14911</v>
      </c>
      <c r="F1476" s="486" t="s">
        <v>14901</v>
      </c>
      <c r="G1476" s="486" t="s">
        <v>17177</v>
      </c>
      <c r="H1476" s="486"/>
      <c r="I1476" s="486"/>
      <c r="J1476" s="125" t="s">
        <v>207</v>
      </c>
      <c r="K1476" s="125"/>
      <c r="L1476" s="125"/>
    </row>
    <row r="1477" spans="1:12" s="121" customFormat="1" ht="14.25" customHeight="1">
      <c r="A1477" s="361"/>
      <c r="B1477" s="615"/>
      <c r="C1477" s="367" t="s">
        <v>284</v>
      </c>
      <c r="D1477" s="554"/>
      <c r="E1477" s="487" t="s">
        <v>14910</v>
      </c>
      <c r="F1477" s="487" t="s">
        <v>14900</v>
      </c>
      <c r="G1477" s="487" t="s">
        <v>17178</v>
      </c>
      <c r="H1477" s="487"/>
      <c r="I1477" s="487"/>
      <c r="J1477" s="125" t="s">
        <v>283</v>
      </c>
      <c r="K1477" s="125" t="s">
        <v>280</v>
      </c>
      <c r="L1477" s="125" t="s">
        <v>281</v>
      </c>
    </row>
    <row r="1478" spans="1:12" s="121" customFormat="1" ht="14.25" customHeight="1">
      <c r="A1478" s="362"/>
      <c r="B1478" s="616"/>
      <c r="C1478" s="367" t="s">
        <v>9</v>
      </c>
      <c r="D1478" s="492"/>
      <c r="E1478" s="84">
        <f>10.33/2</f>
        <v>5.165</v>
      </c>
      <c r="F1478" s="84">
        <f>12.7/2</f>
        <v>6.35</v>
      </c>
      <c r="G1478" s="488">
        <v>5.27</v>
      </c>
      <c r="H1478" s="84"/>
      <c r="I1478" s="84"/>
      <c r="J1478" s="125">
        <f t="shared" ref="J1478" si="444">MEDIAN(E1478:I1478)</f>
        <v>5.27</v>
      </c>
      <c r="K1478" s="125">
        <f t="shared" ref="K1478" si="445">J1478*1.3</f>
        <v>6.851</v>
      </c>
      <c r="L1478" s="125">
        <f t="shared" ref="L1478" si="446">J1478*0.7</f>
        <v>3.6889999999999996</v>
      </c>
    </row>
    <row r="1479" spans="1:12" s="121" customFormat="1" ht="14.25" customHeight="1">
      <c r="A1479" s="362"/>
      <c r="B1479" s="616"/>
      <c r="C1479" s="367" t="s">
        <v>8</v>
      </c>
      <c r="D1479" s="492"/>
      <c r="E1479" s="487" t="s">
        <v>14913</v>
      </c>
      <c r="F1479" s="487" t="s">
        <v>16741</v>
      </c>
      <c r="G1479" s="487" t="s">
        <v>17179</v>
      </c>
      <c r="H1479" s="487"/>
      <c r="I1479" s="487"/>
      <c r="J1479" s="125"/>
      <c r="K1479" s="125"/>
      <c r="L1479" s="125"/>
    </row>
    <row r="1480" spans="1:12" s="121" customFormat="1" ht="14.25" customHeight="1">
      <c r="A1480" s="362"/>
      <c r="B1480" s="616"/>
      <c r="C1480" s="367" t="s">
        <v>7</v>
      </c>
      <c r="D1480" s="492"/>
      <c r="E1480" s="489" t="s">
        <v>16800</v>
      </c>
      <c r="F1480" s="489" t="s">
        <v>14902</v>
      </c>
      <c r="G1480" s="489" t="s">
        <v>17180</v>
      </c>
      <c r="H1480" s="489"/>
      <c r="I1480" s="489"/>
      <c r="J1480" s="125"/>
      <c r="K1480" s="125"/>
      <c r="L1480" s="125"/>
    </row>
    <row r="1481" spans="1:12" s="121" customFormat="1" ht="14.25" customHeight="1">
      <c r="A1481" s="362"/>
      <c r="B1481" s="616"/>
      <c r="C1481" s="367" t="s">
        <v>6</v>
      </c>
      <c r="D1481" s="493"/>
      <c r="E1481" s="490" t="s">
        <v>16799</v>
      </c>
      <c r="F1481" s="490">
        <v>44235</v>
      </c>
      <c r="G1481" s="490">
        <v>44300</v>
      </c>
      <c r="H1481" s="490"/>
      <c r="I1481" s="490"/>
      <c r="J1481" s="125"/>
      <c r="K1481" s="125"/>
      <c r="L1481" s="125"/>
    </row>
    <row r="1482" spans="1:12" s="121" customFormat="1" ht="14.25" customHeight="1">
      <c r="A1482" s="363"/>
      <c r="B1482" s="617"/>
      <c r="C1482" s="367" t="s">
        <v>8993</v>
      </c>
      <c r="D1482" s="493"/>
      <c r="E1482" s="490" t="s">
        <v>16798</v>
      </c>
      <c r="F1482" s="490" t="s">
        <v>16801</v>
      </c>
      <c r="G1482" s="490" t="s">
        <v>17181</v>
      </c>
      <c r="H1482" s="490"/>
      <c r="I1482" s="490"/>
      <c r="J1482" s="125"/>
      <c r="K1482" s="125"/>
      <c r="L1482" s="125"/>
    </row>
    <row r="1483" spans="1:12" s="121" customFormat="1" ht="14.25" customHeight="1">
      <c r="A1483" s="2"/>
      <c r="B1483" s="622"/>
      <c r="C1483" s="491"/>
      <c r="D1483" s="491"/>
      <c r="E1483" s="491"/>
      <c r="F1483" s="491"/>
      <c r="G1483" s="491"/>
      <c r="H1483" s="491"/>
      <c r="I1483" s="491"/>
      <c r="J1483" s="124"/>
      <c r="K1483" s="124"/>
      <c r="L1483" s="124"/>
    </row>
    <row r="1484" spans="1:12" s="121" customFormat="1" ht="22.5">
      <c r="A1484" s="366" t="s">
        <v>16807</v>
      </c>
      <c r="B1484" s="626" t="s">
        <v>16808</v>
      </c>
      <c r="C1484" s="369">
        <f t="shared" ref="C1484" si="447">MIN(E1486:I1486)</f>
        <v>4.4000000000000004</v>
      </c>
      <c r="D1484" s="370" t="s">
        <v>109</v>
      </c>
      <c r="E1484" s="486" t="s">
        <v>14756</v>
      </c>
      <c r="F1484" s="486" t="s">
        <v>16809</v>
      </c>
      <c r="G1484" s="486" t="s">
        <v>16810</v>
      </c>
      <c r="H1484" s="486"/>
      <c r="I1484" s="486"/>
      <c r="J1484" s="125" t="s">
        <v>207</v>
      </c>
      <c r="K1484" s="125"/>
      <c r="L1484" s="125"/>
    </row>
    <row r="1485" spans="1:12" s="121" customFormat="1" ht="14.25" customHeight="1">
      <c r="A1485" s="361"/>
      <c r="B1485" s="615"/>
      <c r="C1485" s="367" t="s">
        <v>284</v>
      </c>
      <c r="D1485" s="554"/>
      <c r="E1485" s="487" t="s">
        <v>15002</v>
      </c>
      <c r="F1485" s="487" t="s">
        <v>16811</v>
      </c>
      <c r="G1485" s="487" t="s">
        <v>16812</v>
      </c>
      <c r="H1485" s="487"/>
      <c r="I1485" s="487"/>
      <c r="J1485" s="125" t="s">
        <v>283</v>
      </c>
      <c r="K1485" s="125" t="s">
        <v>280</v>
      </c>
      <c r="L1485" s="125" t="s">
        <v>281</v>
      </c>
    </row>
    <row r="1486" spans="1:12" s="121" customFormat="1" ht="14.25" customHeight="1">
      <c r="A1486" s="362"/>
      <c r="B1486" s="616"/>
      <c r="C1486" s="367" t="s">
        <v>9</v>
      </c>
      <c r="D1486" s="492"/>
      <c r="E1486" s="84">
        <v>4.4000000000000004</v>
      </c>
      <c r="F1486" s="488">
        <v>4.9000000000000004</v>
      </c>
      <c r="G1486" s="488">
        <v>5.68</v>
      </c>
      <c r="H1486" s="84"/>
      <c r="I1486" s="84"/>
      <c r="J1486" s="125">
        <f t="shared" ref="J1486" si="448">MEDIAN(E1486:I1486)</f>
        <v>4.9000000000000004</v>
      </c>
      <c r="K1486" s="125">
        <f t="shared" ref="K1486" si="449">J1486*1.3</f>
        <v>6.370000000000001</v>
      </c>
      <c r="L1486" s="125">
        <f t="shared" ref="L1486" si="450">J1486*0.7</f>
        <v>3.43</v>
      </c>
    </row>
    <row r="1487" spans="1:12" s="121" customFormat="1" ht="14.25" customHeight="1">
      <c r="A1487" s="362"/>
      <c r="B1487" s="616"/>
      <c r="C1487" s="367" t="s">
        <v>8</v>
      </c>
      <c r="D1487" s="492"/>
      <c r="E1487" s="487" t="s">
        <v>14758</v>
      </c>
      <c r="F1487" s="487" t="s">
        <v>17813</v>
      </c>
      <c r="G1487" s="487"/>
      <c r="H1487" s="487"/>
      <c r="I1487" s="487"/>
      <c r="J1487" s="125"/>
      <c r="K1487" s="125"/>
      <c r="L1487" s="125"/>
    </row>
    <row r="1488" spans="1:12" s="121" customFormat="1" ht="14.25" customHeight="1">
      <c r="A1488" s="362"/>
      <c r="B1488" s="616"/>
      <c r="C1488" s="367" t="s">
        <v>7</v>
      </c>
      <c r="D1488" s="492"/>
      <c r="E1488" s="489" t="s">
        <v>16779</v>
      </c>
      <c r="F1488" s="489" t="s">
        <v>16813</v>
      </c>
      <c r="G1488" s="489"/>
      <c r="H1488" s="489"/>
      <c r="I1488" s="489"/>
      <c r="J1488" s="125"/>
      <c r="K1488" s="125"/>
      <c r="L1488" s="125"/>
    </row>
    <row r="1489" spans="1:19" s="121" customFormat="1" ht="14.25" customHeight="1">
      <c r="A1489" s="362"/>
      <c r="B1489" s="616"/>
      <c r="C1489" s="367" t="s">
        <v>6</v>
      </c>
      <c r="D1489" s="493"/>
      <c r="E1489" s="490">
        <v>44256</v>
      </c>
      <c r="F1489" s="490">
        <v>44256</v>
      </c>
      <c r="G1489" s="490">
        <v>44257</v>
      </c>
      <c r="H1489" s="490"/>
      <c r="I1489" s="490"/>
      <c r="J1489" s="125"/>
      <c r="K1489" s="125"/>
      <c r="L1489" s="125"/>
    </row>
    <row r="1490" spans="1:19" s="121" customFormat="1" ht="14.25" customHeight="1">
      <c r="A1490" s="363"/>
      <c r="B1490" s="617"/>
      <c r="C1490" s="367" t="s">
        <v>8993</v>
      </c>
      <c r="D1490" s="493"/>
      <c r="E1490" s="490" t="s">
        <v>17808</v>
      </c>
      <c r="F1490" s="490" t="s">
        <v>17808</v>
      </c>
      <c r="G1490" s="490" t="s">
        <v>17808</v>
      </c>
      <c r="H1490" s="490"/>
      <c r="I1490" s="490"/>
      <c r="J1490" s="125"/>
      <c r="K1490" s="125"/>
      <c r="L1490" s="125"/>
    </row>
    <row r="1491" spans="1:19" s="121" customFormat="1" ht="14.25" customHeight="1">
      <c r="A1491" s="2"/>
      <c r="B1491" s="622"/>
      <c r="C1491" s="491"/>
      <c r="D1491" s="491"/>
      <c r="E1491" s="491"/>
      <c r="F1491" s="491"/>
      <c r="G1491" s="491"/>
      <c r="H1491" s="491"/>
      <c r="I1491" s="491"/>
      <c r="J1491" s="124"/>
      <c r="K1491" s="124"/>
      <c r="L1491" s="124"/>
    </row>
    <row r="1492" spans="1:19" s="121" customFormat="1" ht="213.75">
      <c r="A1492" s="366" t="s">
        <v>16815</v>
      </c>
      <c r="B1492" s="626" t="s">
        <v>18314</v>
      </c>
      <c r="C1492" s="369">
        <f t="shared" ref="C1492" si="451">MIN(E1494:I1494)</f>
        <v>23650</v>
      </c>
      <c r="D1492" s="370" t="s">
        <v>109</v>
      </c>
      <c r="E1492" s="486" t="s">
        <v>24715</v>
      </c>
      <c r="F1492" s="486" t="s">
        <v>24716</v>
      </c>
      <c r="G1492" s="486" t="s">
        <v>24850</v>
      </c>
      <c r="H1492" s="486"/>
      <c r="I1492" s="486"/>
      <c r="J1492" s="125" t="s">
        <v>207</v>
      </c>
      <c r="K1492" s="125"/>
      <c r="L1492" s="125"/>
    </row>
    <row r="1493" spans="1:19" s="121" customFormat="1" ht="14.25" customHeight="1">
      <c r="A1493" s="361"/>
      <c r="B1493" s="615"/>
      <c r="C1493" s="367" t="s">
        <v>284</v>
      </c>
      <c r="D1493" s="554"/>
      <c r="E1493" s="487"/>
      <c r="F1493" s="487" t="s">
        <v>24725</v>
      </c>
      <c r="G1493" s="487" t="s">
        <v>24851</v>
      </c>
      <c r="H1493" s="487"/>
      <c r="I1493" s="487"/>
      <c r="J1493" s="125" t="s">
        <v>283</v>
      </c>
      <c r="K1493" s="125" t="s">
        <v>280</v>
      </c>
      <c r="L1493" s="125" t="s">
        <v>281</v>
      </c>
    </row>
    <row r="1494" spans="1:19" s="121" customFormat="1" ht="14.25" customHeight="1">
      <c r="A1494" s="362"/>
      <c r="B1494" s="616"/>
      <c r="C1494" s="367" t="s">
        <v>9</v>
      </c>
      <c r="D1494" s="492"/>
      <c r="E1494" s="84">
        <v>34761.35</v>
      </c>
      <c r="F1494" s="488">
        <f>21350+1500+800</f>
        <v>23650</v>
      </c>
      <c r="G1494" s="488">
        <f>Q1494*12.15</f>
        <v>27151.1213592233</v>
      </c>
      <c r="H1494" s="84"/>
      <c r="I1494" s="84"/>
      <c r="J1494" s="125">
        <f t="shared" ref="J1494" si="452">MEDIAN(E1494:I1494)</f>
        <v>27151.1213592233</v>
      </c>
      <c r="K1494" s="125">
        <f t="shared" ref="K1494" si="453">J1494*1.3</f>
        <v>35296.457766990294</v>
      </c>
      <c r="L1494" s="125">
        <f t="shared" ref="L1494" si="454">J1494*0.7</f>
        <v>19005.784951456309</v>
      </c>
      <c r="Q1494" s="121">
        <f>23017/R1494</f>
        <v>2234.6601941747572</v>
      </c>
      <c r="R1494" s="121">
        <v>10.3</v>
      </c>
      <c r="S1494" s="121" t="s">
        <v>193</v>
      </c>
    </row>
    <row r="1495" spans="1:19" s="121" customFormat="1" ht="14.25" customHeight="1">
      <c r="A1495" s="362"/>
      <c r="B1495" s="616"/>
      <c r="C1495" s="367" t="s">
        <v>8</v>
      </c>
      <c r="D1495" s="492"/>
      <c r="E1495" s="487" t="s">
        <v>17243</v>
      </c>
      <c r="F1495" s="487" t="s">
        <v>17242</v>
      </c>
      <c r="G1495" s="487" t="s">
        <v>24852</v>
      </c>
      <c r="H1495" s="487"/>
      <c r="I1495" s="487"/>
      <c r="J1495" s="125"/>
      <c r="K1495" s="125"/>
      <c r="L1495" s="125"/>
    </row>
    <row r="1496" spans="1:19" s="121" customFormat="1" ht="14.25" customHeight="1">
      <c r="A1496" s="362"/>
      <c r="B1496" s="616"/>
      <c r="C1496" s="367" t="s">
        <v>7</v>
      </c>
      <c r="D1496" s="492"/>
      <c r="E1496" s="489" t="s">
        <v>24717</v>
      </c>
      <c r="F1496" s="489" t="s">
        <v>24718</v>
      </c>
      <c r="G1496" s="489" t="s">
        <v>24853</v>
      </c>
      <c r="H1496" s="489"/>
      <c r="I1496" s="489"/>
      <c r="J1496" s="125"/>
      <c r="K1496" s="125"/>
      <c r="L1496" s="125"/>
    </row>
    <row r="1497" spans="1:19" s="121" customFormat="1" ht="14.25" customHeight="1">
      <c r="A1497" s="362"/>
      <c r="B1497" s="616"/>
      <c r="C1497" s="367" t="s">
        <v>6</v>
      </c>
      <c r="D1497" s="493"/>
      <c r="E1497" s="490">
        <v>44370</v>
      </c>
      <c r="F1497" s="490">
        <v>44354</v>
      </c>
      <c r="G1497" s="490">
        <v>44314</v>
      </c>
      <c r="H1497" s="490"/>
      <c r="I1497" s="490"/>
      <c r="J1497" s="125"/>
      <c r="K1497" s="125"/>
      <c r="L1497" s="125"/>
    </row>
    <row r="1498" spans="1:19" s="121" customFormat="1" ht="14.25" customHeight="1">
      <c r="A1498" s="363"/>
      <c r="B1498" s="617"/>
      <c r="C1498" s="367" t="s">
        <v>8993</v>
      </c>
      <c r="D1498" s="493"/>
      <c r="E1498" s="490" t="s">
        <v>17244</v>
      </c>
      <c r="F1498" s="490" t="s">
        <v>15349</v>
      </c>
      <c r="G1498" s="490" t="s">
        <v>24854</v>
      </c>
      <c r="H1498" s="490"/>
      <c r="I1498" s="490"/>
      <c r="J1498" s="125"/>
      <c r="K1498" s="125"/>
      <c r="L1498" s="125"/>
    </row>
    <row r="1499" spans="1:19" s="121" customFormat="1" ht="14.25" customHeight="1">
      <c r="A1499" s="2"/>
      <c r="B1499" s="622"/>
      <c r="C1499" s="491"/>
      <c r="D1499" s="491"/>
      <c r="E1499" s="491"/>
      <c r="F1499" s="491"/>
      <c r="G1499" s="491"/>
      <c r="H1499" s="491"/>
      <c r="I1499" s="491"/>
      <c r="J1499" s="124"/>
      <c r="K1499" s="124"/>
      <c r="L1499" s="124"/>
    </row>
    <row r="1500" spans="1:19" s="121" customFormat="1" ht="213.75">
      <c r="A1500" s="366" t="s">
        <v>16816</v>
      </c>
      <c r="B1500" s="626" t="s">
        <v>18315</v>
      </c>
      <c r="C1500" s="369">
        <f t="shared" ref="C1500" si="455">MIN(E1502:I1502)</f>
        <v>25800</v>
      </c>
      <c r="D1500" s="370" t="s">
        <v>109</v>
      </c>
      <c r="E1500" s="486" t="s">
        <v>24715</v>
      </c>
      <c r="F1500" s="486" t="s">
        <v>24716</v>
      </c>
      <c r="G1500" s="486" t="s">
        <v>24850</v>
      </c>
      <c r="H1500" s="486"/>
      <c r="I1500" s="486"/>
      <c r="J1500" s="125" t="s">
        <v>207</v>
      </c>
      <c r="K1500" s="125"/>
      <c r="L1500" s="125"/>
    </row>
    <row r="1501" spans="1:19" s="121" customFormat="1" ht="14.25" customHeight="1">
      <c r="A1501" s="361"/>
      <c r="B1501" s="615"/>
      <c r="C1501" s="367" t="s">
        <v>284</v>
      </c>
      <c r="D1501" s="554"/>
      <c r="E1501" s="487"/>
      <c r="F1501" s="487" t="s">
        <v>24725</v>
      </c>
      <c r="G1501" s="487" t="s">
        <v>24851</v>
      </c>
      <c r="H1501" s="487"/>
      <c r="I1501" s="487"/>
      <c r="J1501" s="125" t="s">
        <v>283</v>
      </c>
      <c r="K1501" s="125" t="s">
        <v>280</v>
      </c>
      <c r="L1501" s="125" t="s">
        <v>281</v>
      </c>
    </row>
    <row r="1502" spans="1:19" s="121" customFormat="1" ht="14.25" customHeight="1">
      <c r="A1502" s="362"/>
      <c r="B1502" s="616"/>
      <c r="C1502" s="367" t="s">
        <v>9</v>
      </c>
      <c r="D1502" s="492"/>
      <c r="E1502" s="84">
        <v>40090.49</v>
      </c>
      <c r="F1502" s="488">
        <f>23500+1500+800</f>
        <v>25800</v>
      </c>
      <c r="G1502" s="488">
        <f>Q1502*12.57</f>
        <v>40938.165991902832</v>
      </c>
      <c r="H1502" s="84"/>
      <c r="I1502" s="84"/>
      <c r="J1502" s="125">
        <f t="shared" ref="J1502" si="456">MEDIAN(E1502:I1502)</f>
        <v>40090.49</v>
      </c>
      <c r="K1502" s="125">
        <f t="shared" ref="K1502" si="457">J1502*1.3</f>
        <v>52117.637000000002</v>
      </c>
      <c r="L1502" s="125">
        <f t="shared" ref="L1502" si="458">J1502*0.7</f>
        <v>28063.342999999997</v>
      </c>
      <c r="Q1502" s="121">
        <f>24133/R1502</f>
        <v>3256.8151147098515</v>
      </c>
      <c r="R1502" s="121">
        <v>7.41</v>
      </c>
      <c r="S1502" s="121" t="s">
        <v>193</v>
      </c>
    </row>
    <row r="1503" spans="1:19" s="121" customFormat="1" ht="14.25" customHeight="1">
      <c r="A1503" s="362"/>
      <c r="B1503" s="616"/>
      <c r="C1503" s="367" t="s">
        <v>8</v>
      </c>
      <c r="D1503" s="492"/>
      <c r="E1503" s="487" t="s">
        <v>17243</v>
      </c>
      <c r="F1503" s="487" t="s">
        <v>17242</v>
      </c>
      <c r="G1503" s="487" t="s">
        <v>24852</v>
      </c>
      <c r="H1503" s="487"/>
      <c r="I1503" s="487"/>
      <c r="J1503" s="125"/>
      <c r="K1503" s="125"/>
      <c r="L1503" s="125"/>
    </row>
    <row r="1504" spans="1:19" s="121" customFormat="1" ht="14.25" customHeight="1">
      <c r="A1504" s="362"/>
      <c r="B1504" s="616"/>
      <c r="C1504" s="367" t="s">
        <v>7</v>
      </c>
      <c r="D1504" s="492"/>
      <c r="E1504" s="489" t="s">
        <v>24717</v>
      </c>
      <c r="F1504" s="489" t="s">
        <v>24718</v>
      </c>
      <c r="G1504" s="489" t="s">
        <v>24853</v>
      </c>
      <c r="H1504" s="489"/>
      <c r="I1504" s="489"/>
      <c r="J1504" s="125"/>
      <c r="K1504" s="125"/>
      <c r="L1504" s="125"/>
    </row>
    <row r="1505" spans="1:12" s="121" customFormat="1" ht="14.25" customHeight="1">
      <c r="A1505" s="362"/>
      <c r="B1505" s="616"/>
      <c r="C1505" s="367" t="s">
        <v>6</v>
      </c>
      <c r="D1505" s="493"/>
      <c r="E1505" s="490">
        <v>44370</v>
      </c>
      <c r="F1505" s="490">
        <v>44354</v>
      </c>
      <c r="G1505" s="490">
        <v>44314</v>
      </c>
      <c r="H1505" s="490"/>
      <c r="I1505" s="490"/>
      <c r="J1505" s="125"/>
      <c r="K1505" s="125"/>
      <c r="L1505" s="125"/>
    </row>
    <row r="1506" spans="1:12" s="121" customFormat="1" ht="14.25" customHeight="1">
      <c r="A1506" s="363"/>
      <c r="B1506" s="617"/>
      <c r="C1506" s="367" t="s">
        <v>8993</v>
      </c>
      <c r="D1506" s="493"/>
      <c r="E1506" s="490" t="s">
        <v>17244</v>
      </c>
      <c r="F1506" s="490" t="s">
        <v>15349</v>
      </c>
      <c r="G1506" s="490" t="s">
        <v>24854</v>
      </c>
      <c r="H1506" s="490"/>
      <c r="I1506" s="490"/>
      <c r="J1506" s="125"/>
      <c r="K1506" s="125"/>
      <c r="L1506" s="125"/>
    </row>
    <row r="1507" spans="1:12" s="121" customFormat="1" ht="14.25" customHeight="1">
      <c r="A1507" s="2"/>
      <c r="B1507" s="622"/>
      <c r="C1507" s="491"/>
      <c r="D1507" s="491"/>
      <c r="E1507" s="491"/>
      <c r="F1507" s="491"/>
      <c r="G1507" s="491"/>
      <c r="H1507" s="491"/>
      <c r="I1507" s="491"/>
      <c r="J1507" s="124"/>
      <c r="K1507" s="124"/>
      <c r="L1507" s="124"/>
    </row>
    <row r="1508" spans="1:12" s="121" customFormat="1" ht="22.5">
      <c r="A1508" s="366" t="s">
        <v>16832</v>
      </c>
      <c r="B1508" s="626" t="s">
        <v>16831</v>
      </c>
      <c r="C1508" s="369">
        <f t="shared" ref="C1508" si="459">MIN(E1510:I1510)</f>
        <v>4.2699999999999996</v>
      </c>
      <c r="D1508" s="370" t="s">
        <v>109</v>
      </c>
      <c r="E1508" s="486" t="s">
        <v>17809</v>
      </c>
      <c r="F1508" s="486" t="s">
        <v>14901</v>
      </c>
      <c r="G1508" s="486" t="s">
        <v>17810</v>
      </c>
      <c r="H1508" s="486"/>
      <c r="I1508" s="486"/>
      <c r="J1508" s="125" t="s">
        <v>207</v>
      </c>
      <c r="K1508" s="125"/>
      <c r="L1508" s="125"/>
    </row>
    <row r="1509" spans="1:12" s="121" customFormat="1" ht="14.25" customHeight="1">
      <c r="A1509" s="361"/>
      <c r="B1509" s="615"/>
      <c r="C1509" s="367" t="s">
        <v>284</v>
      </c>
      <c r="D1509" s="554"/>
      <c r="E1509" s="487" t="s">
        <v>17811</v>
      </c>
      <c r="F1509" s="487" t="s">
        <v>14900</v>
      </c>
      <c r="G1509" s="487" t="s">
        <v>17812</v>
      </c>
      <c r="H1509" s="487"/>
      <c r="I1509" s="487"/>
      <c r="J1509" s="125" t="s">
        <v>283</v>
      </c>
      <c r="K1509" s="125" t="s">
        <v>280</v>
      </c>
      <c r="L1509" s="125" t="s">
        <v>281</v>
      </c>
    </row>
    <row r="1510" spans="1:12" s="121" customFormat="1" ht="14.25" customHeight="1">
      <c r="A1510" s="362"/>
      <c r="B1510" s="616"/>
      <c r="C1510" s="367" t="s">
        <v>9</v>
      </c>
      <c r="D1510" s="492"/>
      <c r="E1510" s="84">
        <v>4.2699999999999996</v>
      </c>
      <c r="F1510" s="488">
        <v>4.84</v>
      </c>
      <c r="G1510" s="488">
        <f>21.76/4</f>
        <v>5.44</v>
      </c>
      <c r="H1510" s="84"/>
      <c r="I1510" s="84"/>
      <c r="J1510" s="125">
        <f t="shared" ref="J1510" si="460">MEDIAN(E1510:I1510)</f>
        <v>4.84</v>
      </c>
      <c r="K1510" s="125">
        <f t="shared" ref="K1510" si="461">J1510*1.3</f>
        <v>6.2919999999999998</v>
      </c>
      <c r="L1510" s="125">
        <f t="shared" ref="L1510" si="462">J1510*0.7</f>
        <v>3.3879999999999999</v>
      </c>
    </row>
    <row r="1511" spans="1:12" s="121" customFormat="1" ht="14.25" customHeight="1">
      <c r="A1511" s="362"/>
      <c r="B1511" s="616"/>
      <c r="C1511" s="367" t="s">
        <v>8</v>
      </c>
      <c r="D1511" s="492"/>
      <c r="E1511" s="487" t="s">
        <v>17813</v>
      </c>
      <c r="F1511" s="487" t="s">
        <v>14903</v>
      </c>
      <c r="G1511" s="487" t="s">
        <v>17814</v>
      </c>
      <c r="H1511" s="487"/>
      <c r="I1511" s="487"/>
      <c r="J1511" s="125"/>
      <c r="K1511" s="125"/>
      <c r="L1511" s="125"/>
    </row>
    <row r="1512" spans="1:12" s="121" customFormat="1" ht="14.25" customHeight="1">
      <c r="A1512" s="362"/>
      <c r="B1512" s="616"/>
      <c r="C1512" s="367" t="s">
        <v>7</v>
      </c>
      <c r="D1512" s="492"/>
      <c r="E1512" s="489" t="s">
        <v>16813</v>
      </c>
      <c r="F1512" s="489" t="s">
        <v>17815</v>
      </c>
      <c r="G1512" s="489" t="s">
        <v>17816</v>
      </c>
      <c r="H1512" s="489"/>
      <c r="I1512" s="489"/>
      <c r="J1512" s="125"/>
      <c r="K1512" s="125"/>
      <c r="L1512" s="125"/>
    </row>
    <row r="1513" spans="1:12" s="121" customFormat="1" ht="14.25" customHeight="1">
      <c r="A1513" s="362"/>
      <c r="B1513" s="616"/>
      <c r="C1513" s="367" t="s">
        <v>6</v>
      </c>
      <c r="D1513" s="493"/>
      <c r="E1513" s="490">
        <v>44326</v>
      </c>
      <c r="F1513" s="490">
        <v>44326</v>
      </c>
      <c r="G1513" s="490">
        <v>44326</v>
      </c>
      <c r="H1513" s="490"/>
      <c r="I1513" s="490"/>
      <c r="J1513" s="125"/>
      <c r="K1513" s="125"/>
      <c r="L1513" s="125"/>
    </row>
    <row r="1514" spans="1:12" s="121" customFormat="1" ht="14.25" customHeight="1">
      <c r="A1514" s="363"/>
      <c r="B1514" s="617"/>
      <c r="C1514" s="367" t="s">
        <v>8993</v>
      </c>
      <c r="D1514" s="493"/>
      <c r="E1514" s="490" t="s">
        <v>17817</v>
      </c>
      <c r="F1514" s="490" t="s">
        <v>17817</v>
      </c>
      <c r="G1514" s="490" t="s">
        <v>17817</v>
      </c>
      <c r="H1514" s="490"/>
      <c r="I1514" s="490"/>
      <c r="J1514" s="125"/>
      <c r="K1514" s="125"/>
      <c r="L1514" s="125"/>
    </row>
    <row r="1515" spans="1:12" s="121" customFormat="1" ht="14.25" customHeight="1">
      <c r="A1515" s="2"/>
      <c r="B1515" s="622"/>
      <c r="C1515" s="491"/>
      <c r="D1515" s="491"/>
      <c r="E1515" s="491"/>
      <c r="F1515" s="491"/>
      <c r="G1515" s="491"/>
      <c r="H1515" s="491"/>
      <c r="I1515" s="491"/>
      <c r="J1515" s="124"/>
      <c r="K1515" s="124"/>
      <c r="L1515" s="124"/>
    </row>
    <row r="1516" spans="1:12" s="121" customFormat="1" ht="11.25">
      <c r="A1516" s="366" t="s">
        <v>16894</v>
      </c>
      <c r="B1516" s="626" t="s">
        <v>16895</v>
      </c>
      <c r="C1516" s="369">
        <f t="shared" ref="C1516" si="463">MIN(E1518:I1518)</f>
        <v>15.93</v>
      </c>
      <c r="D1516" s="370" t="s">
        <v>109</v>
      </c>
      <c r="E1516" s="486" t="s">
        <v>16897</v>
      </c>
      <c r="F1516" s="486" t="s">
        <v>17196</v>
      </c>
      <c r="G1516" s="486" t="s">
        <v>14762</v>
      </c>
      <c r="H1516" s="486"/>
      <c r="I1516" s="486"/>
      <c r="J1516" s="125" t="s">
        <v>207</v>
      </c>
      <c r="K1516" s="125"/>
      <c r="L1516" s="125"/>
    </row>
    <row r="1517" spans="1:12" s="121" customFormat="1" ht="14.25" customHeight="1">
      <c r="A1517" s="361"/>
      <c r="B1517" s="615"/>
      <c r="C1517" s="367" t="s">
        <v>284</v>
      </c>
      <c r="D1517" s="554"/>
      <c r="E1517" s="487" t="s">
        <v>15021</v>
      </c>
      <c r="F1517" s="487" t="s">
        <v>17197</v>
      </c>
      <c r="G1517" s="487" t="s">
        <v>15183</v>
      </c>
      <c r="H1517" s="487"/>
      <c r="I1517" s="487"/>
      <c r="J1517" s="125" t="s">
        <v>283</v>
      </c>
      <c r="K1517" s="125" t="s">
        <v>280</v>
      </c>
      <c r="L1517" s="125" t="s">
        <v>281</v>
      </c>
    </row>
    <row r="1518" spans="1:12" s="121" customFormat="1" ht="14.25" customHeight="1">
      <c r="A1518" s="362"/>
      <c r="B1518" s="616"/>
      <c r="C1518" s="367" t="s">
        <v>9</v>
      </c>
      <c r="D1518" s="492"/>
      <c r="E1518" s="84">
        <v>15.93</v>
      </c>
      <c r="F1518" s="488">
        <v>22.05</v>
      </c>
      <c r="G1518" s="488">
        <v>17.75</v>
      </c>
      <c r="H1518" s="84"/>
      <c r="I1518" s="84"/>
      <c r="J1518" s="125">
        <f t="shared" ref="J1518" si="464">MEDIAN(E1518:I1518)</f>
        <v>17.75</v>
      </c>
      <c r="K1518" s="125">
        <f t="shared" ref="K1518" si="465">J1518*1.3</f>
        <v>23.074999999999999</v>
      </c>
      <c r="L1518" s="125">
        <f t="shared" ref="L1518" si="466">J1518*0.7</f>
        <v>12.424999999999999</v>
      </c>
    </row>
    <row r="1519" spans="1:12" s="121" customFormat="1" ht="14.25" customHeight="1">
      <c r="A1519" s="362"/>
      <c r="B1519" s="616"/>
      <c r="C1519" s="367" t="s">
        <v>8</v>
      </c>
      <c r="D1519" s="492"/>
      <c r="E1519" s="487" t="s">
        <v>15024</v>
      </c>
      <c r="F1519" s="487" t="s">
        <v>15027</v>
      </c>
      <c r="G1519" s="487" t="s">
        <v>17198</v>
      </c>
      <c r="H1519" s="487"/>
      <c r="I1519" s="487"/>
      <c r="J1519" s="125"/>
      <c r="K1519" s="125"/>
      <c r="L1519" s="125"/>
    </row>
    <row r="1520" spans="1:12" s="121" customFormat="1" ht="14.25" customHeight="1">
      <c r="A1520" s="362"/>
      <c r="B1520" s="616"/>
      <c r="C1520" s="367" t="s">
        <v>7</v>
      </c>
      <c r="D1520" s="492"/>
      <c r="E1520" s="489" t="s">
        <v>15023</v>
      </c>
      <c r="F1520" s="489" t="s">
        <v>17199</v>
      </c>
      <c r="G1520" s="489" t="s">
        <v>14765</v>
      </c>
      <c r="H1520" s="489"/>
      <c r="I1520" s="489"/>
      <c r="J1520" s="125"/>
      <c r="K1520" s="125"/>
      <c r="L1520" s="125"/>
    </row>
    <row r="1521" spans="1:19" s="121" customFormat="1" ht="14.25" customHeight="1">
      <c r="A1521" s="362"/>
      <c r="B1521" s="616"/>
      <c r="C1521" s="367" t="s">
        <v>6</v>
      </c>
      <c r="D1521" s="493"/>
      <c r="E1521" s="490">
        <v>44295</v>
      </c>
      <c r="F1521" s="490">
        <v>44301</v>
      </c>
      <c r="G1521" s="490">
        <v>44301</v>
      </c>
      <c r="H1521" s="490"/>
      <c r="I1521" s="490"/>
      <c r="J1521" s="125"/>
      <c r="K1521" s="125"/>
      <c r="L1521" s="125"/>
    </row>
    <row r="1522" spans="1:19" s="121" customFormat="1" ht="14.25" customHeight="1">
      <c r="A1522" s="363"/>
      <c r="B1522" s="617"/>
      <c r="C1522" s="367" t="s">
        <v>8993</v>
      </c>
      <c r="D1522" s="493"/>
      <c r="E1522" s="490" t="s">
        <v>16896</v>
      </c>
      <c r="F1522" s="490" t="s">
        <v>15103</v>
      </c>
      <c r="G1522" s="490" t="s">
        <v>15103</v>
      </c>
      <c r="H1522" s="490"/>
      <c r="I1522" s="490"/>
      <c r="J1522" s="125"/>
      <c r="K1522" s="125"/>
      <c r="L1522" s="125"/>
    </row>
    <row r="1523" spans="1:19" s="121" customFormat="1" ht="11.25">
      <c r="A1523" s="173"/>
      <c r="B1523" s="613"/>
      <c r="C1523" s="180"/>
      <c r="D1523" s="180"/>
      <c r="E1523" s="180"/>
      <c r="F1523" s="180"/>
      <c r="G1523" s="180"/>
      <c r="H1523" s="180"/>
      <c r="I1523" s="180"/>
      <c r="J1523" s="124"/>
      <c r="K1523" s="124"/>
      <c r="L1523" s="124"/>
    </row>
    <row r="1524" spans="1:19" s="121" customFormat="1" ht="22.5">
      <c r="A1524" s="366" t="s">
        <v>17843</v>
      </c>
      <c r="B1524" s="626" t="s">
        <v>17840</v>
      </c>
      <c r="C1524" s="369">
        <f>MIN(E1526:I1526)</f>
        <v>43753.601350000004</v>
      </c>
      <c r="D1524" s="370" t="s">
        <v>109</v>
      </c>
      <c r="E1524" s="486" t="s">
        <v>17418</v>
      </c>
      <c r="F1524" s="486" t="s">
        <v>18278</v>
      </c>
      <c r="G1524" s="486" t="s">
        <v>17342</v>
      </c>
      <c r="H1524" s="486" t="s">
        <v>18286</v>
      </c>
      <c r="I1524" s="486"/>
      <c r="J1524" s="125" t="s">
        <v>207</v>
      </c>
      <c r="K1524" s="125"/>
      <c r="L1524" s="125"/>
      <c r="O1524" s="124" t="s">
        <v>17836</v>
      </c>
      <c r="P1524" s="124" t="s">
        <v>17836</v>
      </c>
      <c r="Q1524" s="124"/>
      <c r="R1524" s="124"/>
      <c r="S1524" s="124"/>
    </row>
    <row r="1525" spans="1:19" s="121" customFormat="1" ht="11.25">
      <c r="A1525" s="361"/>
      <c r="B1525" s="615"/>
      <c r="C1525" s="367" t="s">
        <v>284</v>
      </c>
      <c r="D1525" s="848"/>
      <c r="E1525" s="487" t="s">
        <v>18284</v>
      </c>
      <c r="F1525" s="487" t="s">
        <v>18279</v>
      </c>
      <c r="G1525" s="487"/>
      <c r="H1525" s="487"/>
      <c r="I1525" s="487"/>
      <c r="J1525" s="125" t="s">
        <v>283</v>
      </c>
      <c r="K1525" s="125" t="s">
        <v>280</v>
      </c>
      <c r="L1525" s="125" t="s">
        <v>281</v>
      </c>
      <c r="N1525" s="121" t="s">
        <v>17837</v>
      </c>
      <c r="O1525" s="124">
        <f>(1.92727*1010)</f>
        <v>1946.5427</v>
      </c>
      <c r="P1525" s="124">
        <f>(1.92727*2113)</f>
        <v>4072.3215100000002</v>
      </c>
      <c r="Q1525" s="124"/>
      <c r="R1525" s="124"/>
      <c r="S1525" s="124"/>
    </row>
    <row r="1526" spans="1:19" s="121" customFormat="1" ht="11.25">
      <c r="A1526" s="362"/>
      <c r="B1526" s="616"/>
      <c r="C1526" s="367" t="s">
        <v>9</v>
      </c>
      <c r="D1526" s="849"/>
      <c r="E1526" s="488">
        <f>42606.4+(O1528/2)</f>
        <v>43753.601350000004</v>
      </c>
      <c r="F1526" s="488">
        <f>(90681+P1528)/2</f>
        <v>47605.490754999999</v>
      </c>
      <c r="G1526" s="488" t="s">
        <v>18090</v>
      </c>
      <c r="H1526" s="488" t="s">
        <v>18090</v>
      </c>
      <c r="I1526" s="84"/>
      <c r="J1526" s="125">
        <f>MEDIAN(E1526:I1526)</f>
        <v>45679.546052500002</v>
      </c>
      <c r="K1526" s="125">
        <f>J1526*1.3</f>
        <v>59383.409868250004</v>
      </c>
      <c r="L1526" s="125">
        <f>J1526*0.7</f>
        <v>31975.682236749999</v>
      </c>
      <c r="N1526" s="121" t="s">
        <v>17838</v>
      </c>
      <c r="O1526" s="124">
        <v>258</v>
      </c>
      <c r="P1526" s="124">
        <v>367.8</v>
      </c>
      <c r="Q1526" s="124"/>
      <c r="R1526" s="124"/>
      <c r="S1526" s="124"/>
    </row>
    <row r="1527" spans="1:19" s="121" customFormat="1" ht="11.25">
      <c r="A1527" s="362"/>
      <c r="B1527" s="616"/>
      <c r="C1527" s="367" t="s">
        <v>8</v>
      </c>
      <c r="D1527" s="849"/>
      <c r="E1527" s="487" t="s">
        <v>17419</v>
      </c>
      <c r="F1527" s="487" t="s">
        <v>18282</v>
      </c>
      <c r="G1527" s="487" t="s">
        <v>17345</v>
      </c>
      <c r="H1527" s="487" t="s">
        <v>18287</v>
      </c>
      <c r="I1527" s="487"/>
      <c r="J1527" s="125"/>
      <c r="K1527" s="125"/>
      <c r="L1527" s="125"/>
      <c r="N1527" s="121" t="s">
        <v>17839</v>
      </c>
      <c r="O1527" s="124">
        <v>89.86</v>
      </c>
      <c r="P1527" s="124">
        <v>89.86</v>
      </c>
      <c r="Q1527" s="124"/>
      <c r="R1527" s="124"/>
      <c r="S1527" s="124"/>
    </row>
    <row r="1528" spans="1:19" s="121" customFormat="1" ht="11.25">
      <c r="A1528" s="362"/>
      <c r="B1528" s="616"/>
      <c r="C1528" s="367" t="s">
        <v>7</v>
      </c>
      <c r="D1528" s="849"/>
      <c r="E1528" s="489" t="s">
        <v>17420</v>
      </c>
      <c r="F1528" s="489" t="s">
        <v>18281</v>
      </c>
      <c r="G1528" s="489" t="s">
        <v>18283</v>
      </c>
      <c r="H1528" s="489" t="s">
        <v>18285</v>
      </c>
      <c r="I1528" s="489"/>
      <c r="J1528" s="125"/>
      <c r="K1528" s="125"/>
      <c r="L1528" s="125"/>
      <c r="N1528" s="121" t="s">
        <v>9690</v>
      </c>
      <c r="O1528" s="124">
        <f>SUM(O1525:O1527)</f>
        <v>2294.4027000000001</v>
      </c>
      <c r="P1528" s="124">
        <f>SUM(P1525:P1527)</f>
        <v>4529.9815099999996</v>
      </c>
      <c r="Q1528" s="124"/>
      <c r="R1528" s="124"/>
      <c r="S1528" s="124"/>
    </row>
    <row r="1529" spans="1:19" s="121" customFormat="1" ht="11.25">
      <c r="A1529" s="362"/>
      <c r="B1529" s="616"/>
      <c r="C1529" s="367" t="s">
        <v>6</v>
      </c>
      <c r="D1529" s="849"/>
      <c r="E1529" s="490">
        <v>44313</v>
      </c>
      <c r="F1529" s="490">
        <v>44333</v>
      </c>
      <c r="G1529" s="490">
        <v>44309</v>
      </c>
      <c r="H1529" s="490">
        <v>44309</v>
      </c>
      <c r="I1529" s="490"/>
      <c r="J1529" s="125"/>
      <c r="K1529" s="125"/>
      <c r="L1529" s="125"/>
      <c r="O1529" s="124"/>
      <c r="P1529" s="124"/>
      <c r="Q1529" s="124"/>
      <c r="R1529" s="124"/>
      <c r="S1529" s="124"/>
    </row>
    <row r="1530" spans="1:19" s="121" customFormat="1" ht="11.25">
      <c r="A1530" s="363"/>
      <c r="B1530" s="617"/>
      <c r="C1530" s="367" t="s">
        <v>8993</v>
      </c>
      <c r="D1530" s="850"/>
      <c r="E1530" s="490" t="s">
        <v>17421</v>
      </c>
      <c r="F1530" s="490" t="s">
        <v>18280</v>
      </c>
      <c r="G1530" s="490"/>
      <c r="H1530" s="490"/>
      <c r="I1530" s="490"/>
      <c r="J1530" s="125"/>
      <c r="K1530" s="125"/>
      <c r="L1530" s="125"/>
      <c r="O1530" s="124"/>
      <c r="P1530" s="124"/>
      <c r="Q1530" s="124"/>
      <c r="R1530" s="124"/>
      <c r="S1530" s="124"/>
    </row>
    <row r="1531" spans="1:19" s="121" customFormat="1" ht="14.25" customHeight="1">
      <c r="A1531" s="2"/>
      <c r="B1531" s="622"/>
      <c r="C1531" s="491"/>
      <c r="D1531" s="491"/>
      <c r="E1531" s="491"/>
      <c r="F1531" s="491"/>
      <c r="G1531" s="491"/>
      <c r="H1531" s="491"/>
      <c r="I1531" s="491"/>
      <c r="J1531" s="124"/>
      <c r="K1531" s="124"/>
      <c r="L1531" s="124"/>
    </row>
    <row r="1532" spans="1:19" s="121" customFormat="1" ht="22.5">
      <c r="A1532" s="366" t="s">
        <v>18308</v>
      </c>
      <c r="B1532" s="626" t="s">
        <v>18311</v>
      </c>
      <c r="C1532" s="369">
        <f t="shared" ref="C1532" si="467">MIN(E1534:I1534)</f>
        <v>109</v>
      </c>
      <c r="D1532" s="370" t="s">
        <v>109</v>
      </c>
      <c r="E1532" s="486" t="s">
        <v>14959</v>
      </c>
      <c r="F1532" s="486" t="s">
        <v>24719</v>
      </c>
      <c r="G1532" s="486"/>
      <c r="H1532" s="486"/>
      <c r="I1532" s="486"/>
      <c r="J1532" s="125" t="s">
        <v>207</v>
      </c>
      <c r="K1532" s="125"/>
      <c r="L1532" s="125"/>
    </row>
    <row r="1533" spans="1:19" s="121" customFormat="1" ht="14.25" customHeight="1">
      <c r="A1533" s="361"/>
      <c r="B1533" s="615"/>
      <c r="C1533" s="367" t="s">
        <v>284</v>
      </c>
      <c r="D1533" s="693"/>
      <c r="E1533" s="487" t="s">
        <v>14961</v>
      </c>
      <c r="F1533" s="487" t="s">
        <v>24720</v>
      </c>
      <c r="G1533" s="487"/>
      <c r="H1533" s="487"/>
      <c r="I1533" s="487"/>
      <c r="J1533" s="125" t="s">
        <v>283</v>
      </c>
      <c r="K1533" s="125" t="s">
        <v>280</v>
      </c>
      <c r="L1533" s="125" t="s">
        <v>281</v>
      </c>
    </row>
    <row r="1534" spans="1:19" s="121" customFormat="1" ht="14.25" customHeight="1">
      <c r="A1534" s="362"/>
      <c r="B1534" s="616"/>
      <c r="C1534" s="367" t="s">
        <v>9</v>
      </c>
      <c r="D1534" s="492"/>
      <c r="E1534" s="488">
        <v>290</v>
      </c>
      <c r="F1534" s="488">
        <v>109</v>
      </c>
      <c r="G1534" s="488"/>
      <c r="H1534" s="84"/>
      <c r="I1534" s="84"/>
      <c r="J1534" s="125">
        <f t="shared" ref="J1534" si="468">MEDIAN(E1534:I1534)</f>
        <v>199.5</v>
      </c>
      <c r="K1534" s="125">
        <f t="shared" ref="K1534" si="469">J1534*1.3</f>
        <v>259.35000000000002</v>
      </c>
      <c r="L1534" s="125">
        <f t="shared" ref="L1534" si="470">J1534*0.7</f>
        <v>139.64999999999998</v>
      </c>
    </row>
    <row r="1535" spans="1:19" s="121" customFormat="1" ht="14.25" customHeight="1">
      <c r="A1535" s="362"/>
      <c r="B1535" s="616"/>
      <c r="C1535" s="367" t="s">
        <v>8</v>
      </c>
      <c r="D1535" s="492"/>
      <c r="E1535" s="473" t="s">
        <v>14963</v>
      </c>
      <c r="F1535" s="487" t="s">
        <v>24721</v>
      </c>
      <c r="G1535" s="487"/>
      <c r="H1535" s="487"/>
      <c r="I1535" s="487"/>
      <c r="J1535" s="125"/>
      <c r="K1535" s="125"/>
      <c r="L1535" s="125"/>
    </row>
    <row r="1536" spans="1:19" s="121" customFormat="1" ht="14.25" customHeight="1">
      <c r="A1536" s="362"/>
      <c r="B1536" s="616"/>
      <c r="C1536" s="367" t="s">
        <v>7</v>
      </c>
      <c r="D1536" s="492"/>
      <c r="E1536" s="489" t="s">
        <v>14965</v>
      </c>
      <c r="F1536" s="489" t="s">
        <v>24722</v>
      </c>
      <c r="G1536" s="489"/>
      <c r="H1536" s="489"/>
      <c r="I1536" s="489"/>
      <c r="J1536" s="125"/>
      <c r="K1536" s="125"/>
      <c r="L1536" s="125"/>
    </row>
    <row r="1537" spans="1:17" s="121" customFormat="1" ht="14.25" customHeight="1">
      <c r="A1537" s="362"/>
      <c r="B1537" s="616"/>
      <c r="C1537" s="367" t="s">
        <v>6</v>
      </c>
      <c r="D1537" s="493"/>
      <c r="E1537" s="490">
        <v>44362</v>
      </c>
      <c r="F1537" s="490">
        <v>44376</v>
      </c>
      <c r="G1537" s="490"/>
      <c r="H1537" s="490"/>
      <c r="I1537" s="490"/>
      <c r="J1537" s="125"/>
      <c r="K1537" s="125"/>
      <c r="L1537" s="125"/>
    </row>
    <row r="1538" spans="1:17" s="121" customFormat="1" ht="14.25" customHeight="1">
      <c r="A1538" s="363"/>
      <c r="B1538" s="617"/>
      <c r="C1538" s="367" t="s">
        <v>8993</v>
      </c>
      <c r="D1538" s="493"/>
      <c r="E1538" s="490" t="s">
        <v>18640</v>
      </c>
      <c r="F1538" s="490" t="s">
        <v>24723</v>
      </c>
      <c r="G1538" s="490"/>
      <c r="H1538" s="490"/>
      <c r="I1538" s="490"/>
      <c r="J1538" s="125"/>
      <c r="K1538" s="125"/>
      <c r="L1538" s="125"/>
    </row>
    <row r="1539" spans="1:17" s="121" customFormat="1" ht="14.25" customHeight="1">
      <c r="A1539" s="2"/>
      <c r="B1539" s="622"/>
      <c r="C1539" s="491"/>
      <c r="D1539" s="491"/>
      <c r="E1539" s="491"/>
      <c r="F1539" s="491"/>
      <c r="G1539" s="491"/>
      <c r="H1539" s="491"/>
      <c r="I1539" s="491"/>
      <c r="J1539" s="124"/>
      <c r="K1539" s="124"/>
      <c r="L1539" s="124"/>
    </row>
    <row r="1540" spans="1:17" s="121" customFormat="1" ht="22.5">
      <c r="A1540" s="366" t="s">
        <v>18309</v>
      </c>
      <c r="B1540" s="626" t="s">
        <v>18312</v>
      </c>
      <c r="C1540" s="369">
        <f t="shared" ref="C1540" si="471">MIN(E1542:I1542)</f>
        <v>246.39</v>
      </c>
      <c r="D1540" s="370" t="s">
        <v>109</v>
      </c>
      <c r="E1540" s="486" t="s">
        <v>14959</v>
      </c>
      <c r="F1540" s="486" t="s">
        <v>24719</v>
      </c>
      <c r="G1540" s="486"/>
      <c r="H1540" s="486"/>
      <c r="I1540" s="486"/>
      <c r="J1540" s="125" t="s">
        <v>207</v>
      </c>
      <c r="K1540" s="125"/>
      <c r="L1540" s="125"/>
    </row>
    <row r="1541" spans="1:17" s="121" customFormat="1" ht="14.25" customHeight="1">
      <c r="A1541" s="361"/>
      <c r="B1541" s="615"/>
      <c r="C1541" s="367" t="s">
        <v>284</v>
      </c>
      <c r="D1541" s="693"/>
      <c r="E1541" s="487" t="s">
        <v>14961</v>
      </c>
      <c r="F1541" s="487" t="s">
        <v>24720</v>
      </c>
      <c r="G1541" s="487"/>
      <c r="H1541" s="487"/>
      <c r="I1541" s="487"/>
      <c r="J1541" s="125" t="s">
        <v>283</v>
      </c>
      <c r="K1541" s="125" t="s">
        <v>280</v>
      </c>
      <c r="L1541" s="125" t="s">
        <v>281</v>
      </c>
    </row>
    <row r="1542" spans="1:17" s="121" customFormat="1" ht="14.25" customHeight="1">
      <c r="A1542" s="362"/>
      <c r="B1542" s="616"/>
      <c r="C1542" s="367" t="s">
        <v>9</v>
      </c>
      <c r="D1542" s="492"/>
      <c r="E1542" s="488">
        <v>425</v>
      </c>
      <c r="F1542" s="488">
        <v>246.39</v>
      </c>
      <c r="G1542" s="488"/>
      <c r="H1542" s="84"/>
      <c r="I1542" s="84"/>
      <c r="J1542" s="125">
        <f t="shared" ref="J1542" si="472">MEDIAN(E1542:I1542)</f>
        <v>335.69499999999999</v>
      </c>
      <c r="K1542" s="125">
        <f t="shared" ref="K1542" si="473">J1542*1.3</f>
        <v>436.40350000000001</v>
      </c>
      <c r="L1542" s="125">
        <f t="shared" ref="L1542" si="474">J1542*0.7</f>
        <v>234.98649999999998</v>
      </c>
    </row>
    <row r="1543" spans="1:17" s="121" customFormat="1" ht="14.25" customHeight="1">
      <c r="A1543" s="362"/>
      <c r="B1543" s="616"/>
      <c r="C1543" s="367" t="s">
        <v>8</v>
      </c>
      <c r="D1543" s="492"/>
      <c r="E1543" s="473" t="s">
        <v>14963</v>
      </c>
      <c r="F1543" s="487" t="s">
        <v>24721</v>
      </c>
      <c r="G1543" s="487"/>
      <c r="H1543" s="487"/>
      <c r="I1543" s="487"/>
      <c r="J1543" s="125"/>
      <c r="K1543" s="125"/>
      <c r="L1543" s="125"/>
    </row>
    <row r="1544" spans="1:17" s="121" customFormat="1" ht="14.25" customHeight="1">
      <c r="A1544" s="362"/>
      <c r="B1544" s="616"/>
      <c r="C1544" s="367" t="s">
        <v>7</v>
      </c>
      <c r="D1544" s="492"/>
      <c r="E1544" s="489" t="s">
        <v>14965</v>
      </c>
      <c r="F1544" s="489" t="s">
        <v>24722</v>
      </c>
      <c r="G1544" s="489"/>
      <c r="H1544" s="489"/>
      <c r="I1544" s="489"/>
      <c r="J1544" s="125"/>
      <c r="K1544" s="125"/>
      <c r="L1544" s="125"/>
    </row>
    <row r="1545" spans="1:17" s="121" customFormat="1" ht="14.25" customHeight="1">
      <c r="A1545" s="362"/>
      <c r="B1545" s="616"/>
      <c r="C1545" s="367" t="s">
        <v>6</v>
      </c>
      <c r="D1545" s="493"/>
      <c r="E1545" s="490">
        <v>44362</v>
      </c>
      <c r="F1545" s="490">
        <v>44376</v>
      </c>
      <c r="G1545" s="490"/>
      <c r="H1545" s="490"/>
      <c r="I1545" s="490"/>
      <c r="J1545" s="125"/>
      <c r="K1545" s="125"/>
      <c r="L1545" s="125"/>
    </row>
    <row r="1546" spans="1:17" s="121" customFormat="1" ht="14.25" customHeight="1">
      <c r="A1546" s="363"/>
      <c r="B1546" s="617"/>
      <c r="C1546" s="367" t="s">
        <v>8993</v>
      </c>
      <c r="D1546" s="493"/>
      <c r="E1546" s="490" t="s">
        <v>18640</v>
      </c>
      <c r="F1546" s="490" t="s">
        <v>24724</v>
      </c>
      <c r="G1546" s="490"/>
      <c r="H1546" s="490"/>
      <c r="I1546" s="490"/>
      <c r="J1546" s="125"/>
      <c r="K1546" s="125"/>
      <c r="L1546" s="125"/>
    </row>
    <row r="1547" spans="1:17" s="121" customFormat="1" ht="14.25" customHeight="1">
      <c r="A1547" s="2"/>
      <c r="B1547" s="622"/>
      <c r="C1547" s="491"/>
      <c r="D1547" s="491"/>
      <c r="E1547" s="491"/>
      <c r="F1547" s="491"/>
      <c r="G1547" s="491"/>
      <c r="H1547" s="491"/>
      <c r="I1547" s="491"/>
      <c r="J1547" s="124"/>
      <c r="K1547" s="124"/>
      <c r="L1547" s="124"/>
    </row>
    <row r="1548" spans="1:17" s="121" customFormat="1" ht="22.5">
      <c r="A1548" s="366" t="s">
        <v>18310</v>
      </c>
      <c r="B1548" s="626" t="s">
        <v>18313</v>
      </c>
      <c r="C1548" s="369">
        <f t="shared" ref="C1548" si="475">MIN(E1550:I1550)</f>
        <v>394.22399999999999</v>
      </c>
      <c r="D1548" s="370" t="s">
        <v>109</v>
      </c>
      <c r="E1548" s="486" t="s">
        <v>14959</v>
      </c>
      <c r="F1548" s="486" t="s">
        <v>24719</v>
      </c>
      <c r="G1548" s="486"/>
      <c r="H1548" s="486"/>
      <c r="I1548" s="486"/>
      <c r="J1548" s="125" t="s">
        <v>207</v>
      </c>
      <c r="K1548" s="125"/>
      <c r="L1548" s="125"/>
      <c r="O1548" s="704"/>
    </row>
    <row r="1549" spans="1:17" s="121" customFormat="1" ht="14.25" customHeight="1">
      <c r="A1549" s="361"/>
      <c r="B1549" s="615"/>
      <c r="C1549" s="367" t="s">
        <v>284</v>
      </c>
      <c r="D1549" s="693"/>
      <c r="E1549" s="487" t="s">
        <v>14961</v>
      </c>
      <c r="F1549" s="487" t="s">
        <v>24720</v>
      </c>
      <c r="G1549" s="487"/>
      <c r="H1549" s="487"/>
      <c r="I1549" s="487"/>
      <c r="J1549" s="125" t="s">
        <v>283</v>
      </c>
      <c r="K1549" s="125" t="s">
        <v>280</v>
      </c>
      <c r="L1549" s="125" t="s">
        <v>281</v>
      </c>
      <c r="O1549" s="704">
        <v>500</v>
      </c>
      <c r="P1549" s="121">
        <v>425</v>
      </c>
      <c r="Q1549" s="121">
        <v>246.39</v>
      </c>
    </row>
    <row r="1550" spans="1:17" s="121" customFormat="1" ht="14.25" customHeight="1">
      <c r="A1550" s="362"/>
      <c r="B1550" s="616"/>
      <c r="C1550" s="367" t="s">
        <v>9</v>
      </c>
      <c r="D1550" s="492"/>
      <c r="E1550" s="488">
        <f>P1551</f>
        <v>680</v>
      </c>
      <c r="F1550" s="488">
        <f>Q1551</f>
        <v>394.22399999999999</v>
      </c>
      <c r="G1550" s="488"/>
      <c r="H1550" s="84"/>
      <c r="I1550" s="84"/>
      <c r="J1550" s="125">
        <f t="shared" ref="J1550" si="476">MEDIAN(E1550:I1550)</f>
        <v>537.11199999999997</v>
      </c>
      <c r="K1550" s="125">
        <f t="shared" ref="K1550" si="477">J1550*1.3</f>
        <v>698.24559999999997</v>
      </c>
      <c r="L1550" s="125">
        <f t="shared" ref="L1550" si="478">J1550*0.7</f>
        <v>375.97839999999997</v>
      </c>
      <c r="O1550" s="704">
        <v>800</v>
      </c>
    </row>
    <row r="1551" spans="1:17" s="121" customFormat="1" ht="14.25" customHeight="1">
      <c r="A1551" s="362"/>
      <c r="B1551" s="616"/>
      <c r="C1551" s="367" t="s">
        <v>8</v>
      </c>
      <c r="D1551" s="492"/>
      <c r="E1551" s="473" t="s">
        <v>14963</v>
      </c>
      <c r="F1551" s="487" t="s">
        <v>24721</v>
      </c>
      <c r="G1551" s="487"/>
      <c r="H1551" s="487"/>
      <c r="I1551" s="487"/>
      <c r="J1551" s="125"/>
      <c r="K1551" s="125"/>
      <c r="L1551" s="125"/>
      <c r="O1551" s="704">
        <v>800</v>
      </c>
      <c r="P1551" s="121">
        <f>O1550*P1549/O1549</f>
        <v>680</v>
      </c>
      <c r="Q1551" s="121">
        <f>O1550*Q1549/O1549</f>
        <v>394.22399999999999</v>
      </c>
    </row>
    <row r="1552" spans="1:17" s="121" customFormat="1" ht="14.25" customHeight="1">
      <c r="A1552" s="362"/>
      <c r="B1552" s="616"/>
      <c r="C1552" s="367" t="s">
        <v>7</v>
      </c>
      <c r="D1552" s="492"/>
      <c r="E1552" s="489" t="s">
        <v>14965</v>
      </c>
      <c r="F1552" s="489" t="s">
        <v>24722</v>
      </c>
      <c r="G1552" s="489"/>
      <c r="H1552" s="489"/>
      <c r="I1552" s="489"/>
      <c r="J1552" s="125"/>
      <c r="K1552" s="125"/>
      <c r="L1552" s="125"/>
    </row>
    <row r="1553" spans="1:24" s="121" customFormat="1" ht="14.25" customHeight="1">
      <c r="A1553" s="362"/>
      <c r="B1553" s="616"/>
      <c r="C1553" s="367" t="s">
        <v>6</v>
      </c>
      <c r="D1553" s="493"/>
      <c r="E1553" s="490">
        <v>44362</v>
      </c>
      <c r="F1553" s="490">
        <v>44376</v>
      </c>
      <c r="G1553" s="490"/>
      <c r="H1553" s="490"/>
      <c r="I1553" s="490"/>
      <c r="J1553" s="125"/>
      <c r="K1553" s="125"/>
      <c r="L1553" s="125"/>
    </row>
    <row r="1554" spans="1:24" s="121" customFormat="1" ht="14.25" customHeight="1">
      <c r="A1554" s="363"/>
      <c r="B1554" s="617"/>
      <c r="C1554" s="367" t="s">
        <v>8993</v>
      </c>
      <c r="D1554" s="493"/>
      <c r="E1554" s="490" t="s">
        <v>18640</v>
      </c>
      <c r="F1554" s="490" t="s">
        <v>24724</v>
      </c>
      <c r="G1554" s="490"/>
      <c r="H1554" s="490"/>
      <c r="I1554" s="490"/>
      <c r="J1554" s="125"/>
      <c r="K1554" s="125"/>
      <c r="L1554" s="125"/>
    </row>
    <row r="1555" spans="1:24" s="121" customFormat="1">
      <c r="A1555" s="607"/>
      <c r="B1555" s="621"/>
      <c r="C1555" s="608"/>
      <c r="D1555" s="573"/>
      <c r="E1555" s="573"/>
      <c r="F1555" s="573"/>
      <c r="G1555" s="573"/>
      <c r="H1555" s="573"/>
      <c r="I1555" s="573"/>
      <c r="J1555" s="124"/>
      <c r="K1555" s="124"/>
      <c r="L1555" s="124"/>
    </row>
    <row r="1556" spans="1:24" s="559" customFormat="1" ht="11.25">
      <c r="A1556" s="677" t="s">
        <v>14634</v>
      </c>
      <c r="B1556" s="626" t="s">
        <v>17918</v>
      </c>
      <c r="C1556" s="369">
        <f t="shared" ref="C1556" si="479">MIN(E1558:I1558)</f>
        <v>94.99</v>
      </c>
      <c r="D1556" s="678" t="s">
        <v>109</v>
      </c>
      <c r="E1556" s="474" t="s">
        <v>14744</v>
      </c>
      <c r="F1556" s="474" t="s">
        <v>17919</v>
      </c>
      <c r="G1556" s="474" t="s">
        <v>17920</v>
      </c>
      <c r="H1556" s="486" t="s">
        <v>18219</v>
      </c>
      <c r="I1556" s="474"/>
      <c r="J1556" s="125" t="s">
        <v>207</v>
      </c>
      <c r="K1556" s="125"/>
      <c r="L1556" s="125"/>
      <c r="M1556" s="121"/>
      <c r="N1556" s="121"/>
      <c r="O1556" s="121"/>
      <c r="P1556" s="121"/>
      <c r="Q1556" s="121"/>
      <c r="R1556" s="121"/>
      <c r="S1556" s="121"/>
      <c r="T1556" s="121"/>
      <c r="U1556" s="121"/>
      <c r="V1556" s="121"/>
      <c r="W1556" s="121"/>
      <c r="X1556" s="121"/>
    </row>
    <row r="1557" spans="1:24" s="121" customFormat="1" ht="22.5">
      <c r="A1557" s="562"/>
      <c r="B1557" s="618"/>
      <c r="C1557" s="563" t="s">
        <v>284</v>
      </c>
      <c r="D1557" s="609"/>
      <c r="E1557" s="564" t="s">
        <v>15104</v>
      </c>
      <c r="F1557" s="564" t="s">
        <v>17921</v>
      </c>
      <c r="G1557" s="564" t="s">
        <v>17922</v>
      </c>
      <c r="H1557" s="675" t="s">
        <v>18265</v>
      </c>
      <c r="I1557" s="564"/>
      <c r="J1557" s="125" t="s">
        <v>283</v>
      </c>
      <c r="K1557" s="125" t="s">
        <v>280</v>
      </c>
      <c r="L1557" s="125" t="s">
        <v>281</v>
      </c>
    </row>
    <row r="1558" spans="1:24" s="121" customFormat="1" ht="15">
      <c r="A1558" s="566"/>
      <c r="B1558" s="619"/>
      <c r="C1558" s="563" t="s">
        <v>9</v>
      </c>
      <c r="D1558" s="610"/>
      <c r="E1558" s="84">
        <v>111.19</v>
      </c>
      <c r="F1558" s="488">
        <v>109.18</v>
      </c>
      <c r="G1558" s="488">
        <v>94.99</v>
      </c>
      <c r="H1558" s="84">
        <v>122.5</v>
      </c>
      <c r="I1558" s="84"/>
      <c r="J1558" s="125">
        <f t="shared" ref="J1558" si="480">MEDIAN(E1558:I1558)</f>
        <v>110.185</v>
      </c>
      <c r="K1558" s="125">
        <f t="shared" ref="K1558" si="481">J1558*1.3</f>
        <v>143.2405</v>
      </c>
      <c r="L1558" s="125">
        <f t="shared" ref="L1558" si="482">J1558*0.7</f>
        <v>77.129499999999993</v>
      </c>
    </row>
    <row r="1559" spans="1:24" s="121" customFormat="1" ht="15">
      <c r="A1559" s="566"/>
      <c r="B1559" s="619"/>
      <c r="C1559" s="563" t="s">
        <v>8</v>
      </c>
      <c r="D1559" s="610"/>
      <c r="E1559" s="564" t="s">
        <v>15106</v>
      </c>
      <c r="F1559" s="564" t="s">
        <v>17923</v>
      </c>
      <c r="G1559" s="564" t="s">
        <v>17924</v>
      </c>
      <c r="H1559" s="487"/>
      <c r="I1559" s="564"/>
      <c r="J1559" s="125"/>
      <c r="K1559" s="125"/>
      <c r="L1559" s="125"/>
    </row>
    <row r="1560" spans="1:24" s="121" customFormat="1" ht="15">
      <c r="A1560" s="566"/>
      <c r="B1560" s="619"/>
      <c r="C1560" s="563" t="s">
        <v>7</v>
      </c>
      <c r="D1560" s="610"/>
      <c r="E1560" s="567" t="s">
        <v>14745</v>
      </c>
      <c r="F1560" s="567"/>
      <c r="G1560" s="567"/>
      <c r="H1560" s="489"/>
      <c r="I1560" s="567"/>
      <c r="J1560" s="125"/>
      <c r="K1560" s="125"/>
      <c r="L1560" s="125"/>
    </row>
    <row r="1561" spans="1:24" s="121" customFormat="1" ht="15">
      <c r="A1561" s="566"/>
      <c r="B1561" s="619"/>
      <c r="C1561" s="563" t="s">
        <v>6</v>
      </c>
      <c r="D1561" s="611"/>
      <c r="E1561" s="473">
        <v>44255</v>
      </c>
      <c r="F1561" s="473">
        <v>44255</v>
      </c>
      <c r="G1561" s="473">
        <v>44255</v>
      </c>
      <c r="H1561" s="490">
        <v>44165</v>
      </c>
      <c r="I1561" s="473"/>
      <c r="J1561" s="125"/>
      <c r="K1561" s="125"/>
      <c r="L1561" s="125"/>
    </row>
    <row r="1562" spans="1:24" s="121" customFormat="1" ht="15">
      <c r="A1562" s="568"/>
      <c r="B1562" s="620"/>
      <c r="C1562" s="563" t="s">
        <v>8993</v>
      </c>
      <c r="D1562" s="611"/>
      <c r="E1562" s="473" t="s">
        <v>18176</v>
      </c>
      <c r="F1562" s="473" t="s">
        <v>18176</v>
      </c>
      <c r="G1562" s="473" t="s">
        <v>18176</v>
      </c>
      <c r="H1562" s="490" t="s">
        <v>18220</v>
      </c>
      <c r="I1562" s="473"/>
      <c r="J1562" s="125"/>
      <c r="K1562" s="125"/>
      <c r="L1562" s="125"/>
    </row>
    <row r="1563" spans="1:24" s="121" customFormat="1">
      <c r="A1563" s="607"/>
      <c r="B1563" s="621"/>
      <c r="C1563" s="608"/>
      <c r="D1563" s="573"/>
      <c r="E1563" s="573"/>
      <c r="F1563" s="573"/>
      <c r="G1563" s="573"/>
      <c r="H1563" s="573"/>
      <c r="I1563" s="573"/>
      <c r="J1563" s="124"/>
      <c r="K1563" s="124"/>
      <c r="L1563" s="124"/>
    </row>
    <row r="1564" spans="1:24" s="559" customFormat="1" ht="11.25">
      <c r="A1564" s="677" t="s">
        <v>14635</v>
      </c>
      <c r="B1564" s="614" t="s">
        <v>17925</v>
      </c>
      <c r="C1564" s="369">
        <f>MIN(E1566:I1566)</f>
        <v>70</v>
      </c>
      <c r="D1564" s="678" t="s">
        <v>109</v>
      </c>
      <c r="E1564" s="474" t="s">
        <v>17926</v>
      </c>
      <c r="F1564" s="474" t="s">
        <v>17927</v>
      </c>
      <c r="G1564" s="474" t="s">
        <v>17920</v>
      </c>
      <c r="H1564" s="474"/>
      <c r="I1564" s="474"/>
      <c r="J1564" s="125" t="s">
        <v>207</v>
      </c>
      <c r="K1564" s="125"/>
      <c r="L1564" s="125"/>
      <c r="M1564" s="121"/>
      <c r="N1564" s="121"/>
      <c r="O1564" s="121"/>
      <c r="P1564" s="121"/>
      <c r="Q1564" s="121"/>
      <c r="R1564" s="121"/>
      <c r="S1564" s="121"/>
      <c r="T1564" s="121"/>
      <c r="U1564" s="121"/>
      <c r="V1564" s="121"/>
      <c r="W1564" s="121"/>
      <c r="X1564" s="121"/>
    </row>
    <row r="1565" spans="1:24" s="121" customFormat="1" ht="22.5">
      <c r="A1565" s="562"/>
      <c r="B1565" s="618"/>
      <c r="C1565" s="563" t="s">
        <v>284</v>
      </c>
      <c r="D1565" s="851"/>
      <c r="E1565" s="564" t="s">
        <v>17928</v>
      </c>
      <c r="F1565" s="564" t="s">
        <v>17929</v>
      </c>
      <c r="G1565" s="564" t="s">
        <v>17922</v>
      </c>
      <c r="H1565" s="564"/>
      <c r="I1565" s="564"/>
      <c r="J1565" s="125" t="s">
        <v>283</v>
      </c>
      <c r="K1565" s="125" t="s">
        <v>280</v>
      </c>
      <c r="L1565" s="125" t="s">
        <v>281</v>
      </c>
    </row>
    <row r="1566" spans="1:24" s="121" customFormat="1" ht="11.25">
      <c r="A1566" s="566"/>
      <c r="B1566" s="619"/>
      <c r="C1566" s="563" t="s">
        <v>9</v>
      </c>
      <c r="D1566" s="852"/>
      <c r="E1566" s="488">
        <v>74.06</v>
      </c>
      <c r="F1566" s="488">
        <v>70</v>
      </c>
      <c r="G1566" s="488">
        <v>79.989999999999995</v>
      </c>
      <c r="H1566" s="84"/>
      <c r="I1566" s="84"/>
      <c r="J1566" s="125">
        <f t="shared" ref="J1566" si="483">MEDIAN(E1566:I1566)</f>
        <v>74.06</v>
      </c>
      <c r="K1566" s="125">
        <f t="shared" ref="K1566" si="484">J1566*1.3</f>
        <v>96.278000000000006</v>
      </c>
      <c r="L1566" s="125">
        <f t="shared" ref="L1566" si="485">J1566*0.7</f>
        <v>51.841999999999999</v>
      </c>
    </row>
    <row r="1567" spans="1:24" s="121" customFormat="1" ht="11.25">
      <c r="A1567" s="566"/>
      <c r="B1567" s="619"/>
      <c r="C1567" s="563" t="s">
        <v>8</v>
      </c>
      <c r="D1567" s="852"/>
      <c r="E1567" s="564" t="s">
        <v>14858</v>
      </c>
      <c r="F1567" s="564"/>
      <c r="G1567" s="564" t="s">
        <v>17924</v>
      </c>
      <c r="H1567" s="564"/>
      <c r="I1567" s="564"/>
      <c r="J1567" s="125"/>
      <c r="K1567" s="125"/>
      <c r="L1567" s="125"/>
    </row>
    <row r="1568" spans="1:24" s="121" customFormat="1" ht="11.25">
      <c r="A1568" s="566"/>
      <c r="B1568" s="619"/>
      <c r="C1568" s="563" t="s">
        <v>7</v>
      </c>
      <c r="D1568" s="852"/>
      <c r="E1568" s="567" t="s">
        <v>14859</v>
      </c>
      <c r="F1568" s="567" t="s">
        <v>17930</v>
      </c>
      <c r="G1568" s="567"/>
      <c r="H1568" s="567"/>
      <c r="I1568" s="567"/>
      <c r="J1568" s="125"/>
      <c r="K1568" s="125"/>
      <c r="L1568" s="125"/>
    </row>
    <row r="1569" spans="1:24" s="121" customFormat="1" ht="11.25">
      <c r="A1569" s="566"/>
      <c r="B1569" s="619"/>
      <c r="C1569" s="563" t="s">
        <v>6</v>
      </c>
      <c r="D1569" s="852"/>
      <c r="E1569" s="473">
        <v>44327</v>
      </c>
      <c r="F1569" s="473">
        <v>44327</v>
      </c>
      <c r="G1569" s="473">
        <v>44327</v>
      </c>
      <c r="H1569" s="473"/>
      <c r="I1569" s="473"/>
      <c r="J1569" s="125"/>
      <c r="K1569" s="125"/>
      <c r="L1569" s="125"/>
    </row>
    <row r="1570" spans="1:24" s="121" customFormat="1" ht="11.25">
      <c r="A1570" s="568"/>
      <c r="B1570" s="620"/>
      <c r="C1570" s="563" t="s">
        <v>8993</v>
      </c>
      <c r="D1570" s="853"/>
      <c r="E1570" s="473"/>
      <c r="F1570" s="473"/>
      <c r="G1570" s="473"/>
      <c r="H1570" s="473"/>
      <c r="I1570" s="473"/>
      <c r="J1570" s="125"/>
      <c r="K1570" s="125"/>
      <c r="L1570" s="125"/>
    </row>
    <row r="1571" spans="1:24" s="121" customFormat="1">
      <c r="A1571" s="607"/>
      <c r="B1571" s="621"/>
      <c r="C1571" s="608"/>
      <c r="D1571" s="573"/>
      <c r="E1571" s="573"/>
      <c r="F1571" s="573"/>
      <c r="G1571" s="573"/>
      <c r="H1571" s="573"/>
      <c r="I1571" s="573"/>
      <c r="J1571" s="124"/>
      <c r="K1571" s="124"/>
      <c r="L1571" s="124"/>
    </row>
    <row r="1572" spans="1:24" s="559" customFormat="1" ht="11.25">
      <c r="A1572" s="677" t="s">
        <v>14636</v>
      </c>
      <c r="B1572" s="626" t="s">
        <v>17931</v>
      </c>
      <c r="C1572" s="369">
        <f t="shared" ref="C1572" si="486">MIN(E1574:I1574)</f>
        <v>40.81</v>
      </c>
      <c r="D1572" s="678" t="s">
        <v>109</v>
      </c>
      <c r="E1572" s="474" t="s">
        <v>14756</v>
      </c>
      <c r="F1572" s="474" t="s">
        <v>15007</v>
      </c>
      <c r="G1572" s="474" t="s">
        <v>17932</v>
      </c>
      <c r="H1572" s="474"/>
      <c r="I1572" s="474"/>
      <c r="J1572" s="125" t="s">
        <v>207</v>
      </c>
      <c r="K1572" s="125"/>
      <c r="L1572" s="125"/>
      <c r="M1572" s="121"/>
      <c r="N1572" s="121"/>
      <c r="O1572" s="121"/>
      <c r="P1572" s="121"/>
      <c r="Q1572" s="121"/>
      <c r="R1572" s="121"/>
      <c r="S1572" s="121"/>
      <c r="T1572" s="121"/>
      <c r="U1572" s="121"/>
      <c r="V1572" s="121"/>
      <c r="W1572" s="121"/>
      <c r="X1572" s="121"/>
    </row>
    <row r="1573" spans="1:24" s="121" customFormat="1" ht="22.5">
      <c r="A1573" s="562"/>
      <c r="B1573" s="618"/>
      <c r="C1573" s="563" t="s">
        <v>284</v>
      </c>
      <c r="D1573" s="609"/>
      <c r="E1573" s="564" t="s">
        <v>15002</v>
      </c>
      <c r="F1573" s="564" t="s">
        <v>15008</v>
      </c>
      <c r="G1573" s="564" t="s">
        <v>17933</v>
      </c>
      <c r="H1573" s="564"/>
      <c r="I1573" s="564"/>
      <c r="J1573" s="125" t="s">
        <v>283</v>
      </c>
      <c r="K1573" s="125" t="s">
        <v>280</v>
      </c>
      <c r="L1573" s="125" t="s">
        <v>281</v>
      </c>
    </row>
    <row r="1574" spans="1:24" s="121" customFormat="1" ht="15">
      <c r="A1574" s="566"/>
      <c r="B1574" s="619"/>
      <c r="C1574" s="563" t="s">
        <v>9</v>
      </c>
      <c r="D1574" s="610"/>
      <c r="E1574" s="84">
        <v>60.94</v>
      </c>
      <c r="F1574" s="488">
        <v>65.849999999999994</v>
      </c>
      <c r="G1574" s="488">
        <v>40.81</v>
      </c>
      <c r="H1574" s="84"/>
      <c r="I1574" s="84"/>
      <c r="J1574" s="125">
        <f t="shared" ref="J1574" si="487">MEDIAN(E1574:I1574)</f>
        <v>60.94</v>
      </c>
      <c r="K1574" s="125">
        <f t="shared" ref="K1574" si="488">J1574*1.3</f>
        <v>79.221999999999994</v>
      </c>
      <c r="L1574" s="125">
        <f t="shared" ref="L1574" si="489">J1574*0.7</f>
        <v>42.657999999999994</v>
      </c>
    </row>
    <row r="1575" spans="1:24" s="121" customFormat="1" ht="15">
      <c r="A1575" s="566"/>
      <c r="B1575" s="619"/>
      <c r="C1575" s="563" t="s">
        <v>8</v>
      </c>
      <c r="D1575" s="610"/>
      <c r="E1575" s="564" t="s">
        <v>14758</v>
      </c>
      <c r="F1575" s="564" t="s">
        <v>15009</v>
      </c>
      <c r="G1575" s="564" t="s">
        <v>17934</v>
      </c>
      <c r="H1575" s="564"/>
      <c r="I1575" s="564"/>
      <c r="J1575" s="125"/>
      <c r="K1575" s="125"/>
      <c r="L1575" s="125"/>
    </row>
    <row r="1576" spans="1:24" s="121" customFormat="1" ht="15">
      <c r="A1576" s="566"/>
      <c r="B1576" s="619"/>
      <c r="C1576" s="563" t="s">
        <v>7</v>
      </c>
      <c r="D1576" s="610"/>
      <c r="E1576" s="567"/>
      <c r="F1576" s="567"/>
      <c r="G1576" s="567" t="s">
        <v>17935</v>
      </c>
      <c r="H1576" s="567"/>
      <c r="I1576" s="567"/>
      <c r="J1576" s="125"/>
      <c r="K1576" s="125"/>
      <c r="L1576" s="125"/>
    </row>
    <row r="1577" spans="1:24" s="121" customFormat="1" ht="15">
      <c r="A1577" s="566"/>
      <c r="B1577" s="619"/>
      <c r="C1577" s="563" t="s">
        <v>6</v>
      </c>
      <c r="D1577" s="611"/>
      <c r="E1577" s="473">
        <v>44255</v>
      </c>
      <c r="F1577" s="473">
        <v>44255</v>
      </c>
      <c r="G1577" s="473">
        <v>44255</v>
      </c>
      <c r="H1577" s="473"/>
      <c r="I1577" s="473"/>
      <c r="J1577" s="125"/>
      <c r="K1577" s="125"/>
      <c r="L1577" s="125"/>
    </row>
    <row r="1578" spans="1:24" s="121" customFormat="1" ht="15">
      <c r="A1578" s="568"/>
      <c r="B1578" s="620"/>
      <c r="C1578" s="563" t="s">
        <v>8993</v>
      </c>
      <c r="D1578" s="611"/>
      <c r="E1578" s="473" t="s">
        <v>18177</v>
      </c>
      <c r="F1578" s="473" t="s">
        <v>18177</v>
      </c>
      <c r="G1578" s="473" t="s">
        <v>18177</v>
      </c>
      <c r="H1578" s="473"/>
      <c r="I1578" s="473"/>
      <c r="J1578" s="125"/>
      <c r="K1578" s="125"/>
      <c r="L1578" s="125"/>
    </row>
    <row r="1579" spans="1:24" s="121" customFormat="1">
      <c r="A1579" s="607"/>
      <c r="B1579" s="621"/>
      <c r="C1579" s="608"/>
      <c r="D1579" s="573"/>
      <c r="E1579" s="573"/>
      <c r="F1579" s="573"/>
      <c r="G1579" s="573"/>
      <c r="H1579" s="573"/>
      <c r="I1579" s="573"/>
      <c r="J1579" s="124"/>
      <c r="K1579" s="124"/>
      <c r="L1579" s="124"/>
    </row>
    <row r="1580" spans="1:24" s="559" customFormat="1" ht="11.25">
      <c r="A1580" s="677" t="s">
        <v>17911</v>
      </c>
      <c r="B1580" s="626" t="s">
        <v>17936</v>
      </c>
      <c r="C1580" s="369">
        <f t="shared" ref="C1580" si="490">MIN(E1582:I1582)</f>
        <v>241.47</v>
      </c>
      <c r="D1580" s="678" t="s">
        <v>109</v>
      </c>
      <c r="E1580" s="474" t="s">
        <v>14756</v>
      </c>
      <c r="F1580" s="474" t="s">
        <v>14973</v>
      </c>
      <c r="G1580" s="474" t="s">
        <v>14762</v>
      </c>
      <c r="H1580" s="474"/>
      <c r="I1580" s="474"/>
      <c r="J1580" s="125" t="s">
        <v>207</v>
      </c>
      <c r="K1580" s="125"/>
      <c r="L1580" s="125"/>
      <c r="M1580" s="121"/>
      <c r="N1580" s="121"/>
      <c r="O1580" s="121"/>
      <c r="P1580" s="121"/>
      <c r="Q1580" s="121"/>
      <c r="R1580" s="121"/>
      <c r="S1580" s="121"/>
      <c r="T1580" s="121"/>
      <c r="U1580" s="121"/>
      <c r="V1580" s="121"/>
      <c r="W1580" s="121"/>
      <c r="X1580" s="121"/>
    </row>
    <row r="1581" spans="1:24" s="121" customFormat="1" ht="22.5">
      <c r="A1581" s="562"/>
      <c r="B1581" s="618"/>
      <c r="C1581" s="563" t="s">
        <v>284</v>
      </c>
      <c r="D1581" s="609"/>
      <c r="E1581" s="564" t="s">
        <v>15002</v>
      </c>
      <c r="F1581" s="564" t="s">
        <v>14983</v>
      </c>
      <c r="G1581" s="564" t="s">
        <v>14763</v>
      </c>
      <c r="H1581" s="564"/>
      <c r="I1581" s="564"/>
      <c r="J1581" s="125" t="s">
        <v>283</v>
      </c>
      <c r="K1581" s="125" t="s">
        <v>280</v>
      </c>
      <c r="L1581" s="125" t="s">
        <v>281</v>
      </c>
    </row>
    <row r="1582" spans="1:24" s="121" customFormat="1" ht="15">
      <c r="A1582" s="566"/>
      <c r="B1582" s="619"/>
      <c r="C1582" s="563" t="s">
        <v>9</v>
      </c>
      <c r="D1582" s="610"/>
      <c r="E1582" s="84">
        <v>251.51</v>
      </c>
      <c r="F1582" s="488">
        <v>241.47</v>
      </c>
      <c r="G1582" s="84">
        <v>270.45</v>
      </c>
      <c r="H1582" s="84"/>
      <c r="I1582" s="84"/>
      <c r="J1582" s="125">
        <f t="shared" ref="J1582" si="491">MEDIAN(E1582:I1582)</f>
        <v>251.51</v>
      </c>
      <c r="K1582" s="125">
        <f t="shared" ref="K1582" si="492">J1582*1.3</f>
        <v>326.96300000000002</v>
      </c>
      <c r="L1582" s="125">
        <f t="shared" ref="L1582" si="493">J1582*0.7</f>
        <v>176.05699999999999</v>
      </c>
    </row>
    <row r="1583" spans="1:24" s="121" customFormat="1" ht="15">
      <c r="A1583" s="566"/>
      <c r="B1583" s="619"/>
      <c r="C1583" s="563" t="s">
        <v>8</v>
      </c>
      <c r="D1583" s="610"/>
      <c r="E1583" s="564" t="s">
        <v>14758</v>
      </c>
      <c r="F1583" s="564" t="s">
        <v>14975</v>
      </c>
      <c r="G1583" s="564" t="s">
        <v>14764</v>
      </c>
      <c r="H1583" s="564"/>
      <c r="I1583" s="564"/>
      <c r="J1583" s="125"/>
      <c r="K1583" s="125"/>
      <c r="L1583" s="125"/>
    </row>
    <row r="1584" spans="1:24" s="121" customFormat="1" ht="15">
      <c r="A1584" s="566"/>
      <c r="B1584" s="619"/>
      <c r="C1584" s="563" t="s">
        <v>7</v>
      </c>
      <c r="D1584" s="610"/>
      <c r="E1584" s="567"/>
      <c r="F1584" s="567"/>
      <c r="G1584" s="567" t="s">
        <v>14765</v>
      </c>
      <c r="H1584" s="567"/>
      <c r="I1584" s="567"/>
      <c r="J1584" s="125"/>
      <c r="K1584" s="125"/>
      <c r="L1584" s="125"/>
    </row>
    <row r="1585" spans="1:23" s="121" customFormat="1" ht="15">
      <c r="A1585" s="566"/>
      <c r="B1585" s="619"/>
      <c r="C1585" s="563" t="s">
        <v>6</v>
      </c>
      <c r="D1585" s="611"/>
      <c r="E1585" s="473">
        <v>44256</v>
      </c>
      <c r="F1585" s="473">
        <v>44256</v>
      </c>
      <c r="G1585" s="473">
        <v>44256</v>
      </c>
      <c r="H1585" s="473"/>
      <c r="I1585" s="473"/>
      <c r="J1585" s="125"/>
      <c r="K1585" s="125"/>
      <c r="L1585" s="125"/>
    </row>
    <row r="1586" spans="1:23" s="121" customFormat="1" ht="15">
      <c r="A1586" s="568"/>
      <c r="B1586" s="620"/>
      <c r="C1586" s="563" t="s">
        <v>8993</v>
      </c>
      <c r="D1586" s="611"/>
      <c r="E1586" s="473" t="s">
        <v>18178</v>
      </c>
      <c r="F1586" s="473" t="s">
        <v>18178</v>
      </c>
      <c r="G1586" s="473" t="s">
        <v>18178</v>
      </c>
      <c r="H1586" s="473"/>
      <c r="I1586" s="473"/>
      <c r="J1586" s="125"/>
      <c r="K1586" s="125"/>
      <c r="L1586" s="125"/>
    </row>
    <row r="1587" spans="1:23" s="121" customFormat="1">
      <c r="A1587" s="607"/>
      <c r="B1587" s="621"/>
      <c r="C1587" s="608"/>
      <c r="D1587" s="573"/>
      <c r="E1587" s="573"/>
      <c r="F1587" s="573"/>
      <c r="G1587" s="573"/>
      <c r="H1587" s="573"/>
      <c r="I1587" s="573"/>
      <c r="J1587" s="124"/>
      <c r="K1587" s="124"/>
      <c r="L1587" s="124"/>
    </row>
    <row r="1588" spans="1:23" s="559" customFormat="1" ht="11.25">
      <c r="A1588" s="677" t="s">
        <v>14637</v>
      </c>
      <c r="B1588" s="626" t="s">
        <v>17937</v>
      </c>
      <c r="C1588" s="369">
        <f t="shared" ref="C1588" si="494">MIN(E1590:I1590)</f>
        <v>72.540000000000006</v>
      </c>
      <c r="D1588" s="678" t="s">
        <v>109</v>
      </c>
      <c r="E1588" s="474" t="s">
        <v>14750</v>
      </c>
      <c r="F1588" s="474" t="s">
        <v>14865</v>
      </c>
      <c r="G1588" s="474" t="s">
        <v>17938</v>
      </c>
      <c r="H1588" s="474"/>
      <c r="I1588" s="474"/>
      <c r="J1588" s="125" t="s">
        <v>207</v>
      </c>
      <c r="K1588" s="125"/>
      <c r="L1588" s="125"/>
      <c r="M1588" s="121"/>
      <c r="N1588" s="121"/>
      <c r="O1588" s="121"/>
      <c r="P1588" s="121"/>
      <c r="Q1588" s="121"/>
      <c r="R1588" s="121"/>
      <c r="S1588" s="121"/>
      <c r="T1588" s="121"/>
      <c r="U1588" s="121"/>
      <c r="V1588" s="121"/>
      <c r="W1588" s="121"/>
    </row>
    <row r="1589" spans="1:23" s="121" customFormat="1" ht="22.5">
      <c r="A1589" s="562"/>
      <c r="B1589" s="618"/>
      <c r="C1589" s="563" t="s">
        <v>284</v>
      </c>
      <c r="D1589" s="609"/>
      <c r="E1589" s="564" t="s">
        <v>15097</v>
      </c>
      <c r="F1589" s="564" t="s">
        <v>14864</v>
      </c>
      <c r="G1589" s="564" t="s">
        <v>17939</v>
      </c>
      <c r="H1589" s="564"/>
      <c r="I1589" s="564"/>
      <c r="J1589" s="125" t="s">
        <v>283</v>
      </c>
      <c r="K1589" s="125" t="s">
        <v>280</v>
      </c>
      <c r="L1589" s="125" t="s">
        <v>281</v>
      </c>
    </row>
    <row r="1590" spans="1:23" s="121" customFormat="1" ht="15">
      <c r="A1590" s="566"/>
      <c r="B1590" s="619"/>
      <c r="C1590" s="563" t="s">
        <v>9</v>
      </c>
      <c r="D1590" s="610"/>
      <c r="E1590" s="84">
        <v>83.85</v>
      </c>
      <c r="F1590" s="488">
        <v>72.540000000000006</v>
      </c>
      <c r="G1590" s="488">
        <v>76.95</v>
      </c>
      <c r="H1590" s="84"/>
      <c r="I1590" s="84"/>
      <c r="J1590" s="125">
        <f t="shared" ref="J1590" si="495">MEDIAN(E1590:I1590)</f>
        <v>76.95</v>
      </c>
      <c r="K1590" s="125">
        <f t="shared" ref="K1590" si="496">J1590*1.3</f>
        <v>100.03500000000001</v>
      </c>
      <c r="L1590" s="125">
        <f t="shared" ref="L1590" si="497">J1590*0.7</f>
        <v>53.865000000000002</v>
      </c>
    </row>
    <row r="1591" spans="1:23" s="121" customFormat="1" ht="15">
      <c r="A1591" s="566"/>
      <c r="B1591" s="619"/>
      <c r="C1591" s="563" t="s">
        <v>8</v>
      </c>
      <c r="D1591" s="610"/>
      <c r="E1591" s="564" t="s">
        <v>14751</v>
      </c>
      <c r="F1591" s="564" t="s">
        <v>14867</v>
      </c>
      <c r="G1591" s="564" t="s">
        <v>17940</v>
      </c>
      <c r="H1591" s="564"/>
      <c r="I1591" s="564"/>
      <c r="J1591" s="125"/>
      <c r="K1591" s="125"/>
      <c r="L1591" s="125"/>
    </row>
    <row r="1592" spans="1:23" s="121" customFormat="1" ht="15">
      <c r="A1592" s="566"/>
      <c r="B1592" s="619"/>
      <c r="C1592" s="563" t="s">
        <v>7</v>
      </c>
      <c r="D1592" s="610"/>
      <c r="E1592" s="567"/>
      <c r="F1592" s="567" t="s">
        <v>14866</v>
      </c>
      <c r="G1592" s="567" t="s">
        <v>17941</v>
      </c>
      <c r="H1592" s="567"/>
      <c r="I1592" s="567"/>
      <c r="J1592" s="125"/>
      <c r="K1592" s="125"/>
      <c r="L1592" s="125"/>
    </row>
    <row r="1593" spans="1:23" s="121" customFormat="1" ht="15">
      <c r="A1593" s="566"/>
      <c r="B1593" s="619"/>
      <c r="C1593" s="563" t="s">
        <v>6</v>
      </c>
      <c r="D1593" s="611"/>
      <c r="E1593" s="473">
        <v>44255</v>
      </c>
      <c r="F1593" s="473">
        <v>44255</v>
      </c>
      <c r="G1593" s="473">
        <v>44255</v>
      </c>
      <c r="H1593" s="473"/>
      <c r="I1593" s="473"/>
      <c r="J1593" s="125"/>
      <c r="K1593" s="125"/>
      <c r="L1593" s="125"/>
    </row>
    <row r="1594" spans="1:23" s="121" customFormat="1" ht="15">
      <c r="A1594" s="568"/>
      <c r="B1594" s="620"/>
      <c r="C1594" s="563" t="s">
        <v>8993</v>
      </c>
      <c r="D1594" s="611"/>
      <c r="E1594" s="473" t="s">
        <v>18179</v>
      </c>
      <c r="F1594" s="473" t="s">
        <v>18179</v>
      </c>
      <c r="G1594" s="473" t="s">
        <v>18179</v>
      </c>
      <c r="H1594" s="473"/>
      <c r="I1594" s="473"/>
      <c r="J1594" s="125"/>
      <c r="K1594" s="125"/>
      <c r="L1594" s="125"/>
    </row>
    <row r="1595" spans="1:23" s="121" customFormat="1">
      <c r="A1595" s="607"/>
      <c r="B1595" s="621"/>
      <c r="C1595" s="608"/>
      <c r="D1595" s="573"/>
      <c r="E1595" s="573"/>
      <c r="F1595" s="573"/>
      <c r="G1595" s="573"/>
      <c r="H1595" s="573"/>
      <c r="I1595" s="573"/>
      <c r="J1595" s="124"/>
      <c r="K1595" s="124"/>
      <c r="L1595" s="124"/>
    </row>
    <row r="1596" spans="1:23" s="559" customFormat="1" ht="22.5">
      <c r="A1596" s="677" t="s">
        <v>17913</v>
      </c>
      <c r="B1596" s="614" t="s">
        <v>17942</v>
      </c>
      <c r="C1596" s="369">
        <f>MIN(E1598:I1598)</f>
        <v>3158</v>
      </c>
      <c r="D1596" s="678" t="s">
        <v>109</v>
      </c>
      <c r="E1596" s="474" t="s">
        <v>17943</v>
      </c>
      <c r="F1596" s="474" t="s">
        <v>17944</v>
      </c>
      <c r="G1596" s="474" t="s">
        <v>17945</v>
      </c>
      <c r="H1596" s="474"/>
      <c r="I1596" s="474"/>
      <c r="J1596" s="125" t="s">
        <v>207</v>
      </c>
      <c r="K1596" s="125"/>
      <c r="L1596" s="125"/>
      <c r="M1596" s="121"/>
      <c r="N1596" s="121"/>
      <c r="O1596" s="121"/>
      <c r="P1596" s="121"/>
      <c r="Q1596" s="121"/>
      <c r="R1596" s="121"/>
      <c r="S1596" s="121"/>
      <c r="T1596" s="121"/>
      <c r="U1596" s="121"/>
      <c r="V1596" s="121"/>
      <c r="W1596" s="121"/>
    </row>
    <row r="1597" spans="1:23" s="121" customFormat="1" ht="22.5">
      <c r="A1597" s="562"/>
      <c r="B1597" s="618"/>
      <c r="C1597" s="563" t="s">
        <v>284</v>
      </c>
      <c r="D1597" s="851"/>
      <c r="E1597" s="564" t="s">
        <v>17946</v>
      </c>
      <c r="F1597" s="564" t="s">
        <v>17947</v>
      </c>
      <c r="G1597" s="564" t="s">
        <v>17948</v>
      </c>
      <c r="H1597" s="564"/>
      <c r="I1597" s="564"/>
      <c r="J1597" s="125" t="s">
        <v>283</v>
      </c>
      <c r="K1597" s="125" t="s">
        <v>280</v>
      </c>
      <c r="L1597" s="125" t="s">
        <v>281</v>
      </c>
    </row>
    <row r="1598" spans="1:23" s="121" customFormat="1" ht="11.25">
      <c r="A1598" s="566"/>
      <c r="B1598" s="619"/>
      <c r="C1598" s="563" t="s">
        <v>9</v>
      </c>
      <c r="D1598" s="852"/>
      <c r="E1598" s="488">
        <v>4689</v>
      </c>
      <c r="F1598" s="488">
        <v>4161.1400000000003</v>
      </c>
      <c r="G1598" s="84">
        <v>3158</v>
      </c>
      <c r="H1598" s="84"/>
      <c r="I1598" s="84"/>
      <c r="J1598" s="125">
        <f t="shared" ref="J1598" si="498">MEDIAN(E1598:I1598)</f>
        <v>4161.1400000000003</v>
      </c>
      <c r="K1598" s="125">
        <f t="shared" ref="K1598" si="499">J1598*1.3</f>
        <v>5409.4820000000009</v>
      </c>
      <c r="L1598" s="125">
        <f t="shared" ref="L1598" si="500">J1598*0.7</f>
        <v>2912.7980000000002</v>
      </c>
    </row>
    <row r="1599" spans="1:23" s="121" customFormat="1" ht="11.25">
      <c r="A1599" s="566"/>
      <c r="B1599" s="619"/>
      <c r="C1599" s="563" t="s">
        <v>8</v>
      </c>
      <c r="D1599" s="852"/>
      <c r="E1599" s="564" t="s">
        <v>17949</v>
      </c>
      <c r="F1599" s="564" t="s">
        <v>17950</v>
      </c>
      <c r="G1599" s="472" t="s">
        <v>17951</v>
      </c>
      <c r="H1599" s="564"/>
      <c r="I1599" s="564"/>
      <c r="J1599" s="125"/>
      <c r="K1599" s="125"/>
      <c r="L1599" s="125"/>
    </row>
    <row r="1600" spans="1:23" s="121" customFormat="1" ht="33.75">
      <c r="A1600" s="566"/>
      <c r="B1600" s="619"/>
      <c r="C1600" s="563" t="s">
        <v>7</v>
      </c>
      <c r="D1600" s="852"/>
      <c r="E1600" s="567"/>
      <c r="F1600" s="567" t="s">
        <v>17952</v>
      </c>
      <c r="G1600" s="567" t="s">
        <v>17953</v>
      </c>
      <c r="H1600" s="567"/>
      <c r="I1600" s="567"/>
      <c r="J1600" s="125"/>
      <c r="K1600" s="125"/>
      <c r="L1600" s="125"/>
    </row>
    <row r="1601" spans="1:23" s="121" customFormat="1" ht="11.25">
      <c r="A1601" s="566"/>
      <c r="B1601" s="619"/>
      <c r="C1601" s="563" t="s">
        <v>6</v>
      </c>
      <c r="D1601" s="852"/>
      <c r="E1601" s="473">
        <v>44327</v>
      </c>
      <c r="F1601" s="473">
        <v>44327</v>
      </c>
      <c r="G1601" s="473">
        <v>44327</v>
      </c>
      <c r="H1601" s="473"/>
      <c r="I1601" s="473"/>
      <c r="J1601" s="125"/>
      <c r="K1601" s="125"/>
      <c r="L1601" s="125"/>
    </row>
    <row r="1602" spans="1:23" s="121" customFormat="1" ht="11.25">
      <c r="A1602" s="568"/>
      <c r="B1602" s="620"/>
      <c r="C1602" s="563" t="s">
        <v>8993</v>
      </c>
      <c r="D1602" s="853"/>
      <c r="E1602" s="473" t="s">
        <v>18186</v>
      </c>
      <c r="F1602" s="473" t="s">
        <v>18186</v>
      </c>
      <c r="G1602" s="473" t="s">
        <v>18186</v>
      </c>
      <c r="H1602" s="473"/>
      <c r="I1602" s="473"/>
      <c r="J1602" s="125"/>
      <c r="K1602" s="125"/>
      <c r="L1602" s="125"/>
    </row>
    <row r="1603" spans="1:23" s="121" customFormat="1">
      <c r="A1603" s="607"/>
      <c r="B1603" s="621"/>
      <c r="C1603" s="608"/>
      <c r="D1603" s="573"/>
      <c r="E1603" s="573"/>
      <c r="F1603" s="573"/>
      <c r="G1603" s="573"/>
      <c r="H1603" s="573"/>
      <c r="I1603" s="573"/>
      <c r="J1603" s="124"/>
      <c r="K1603" s="124"/>
      <c r="L1603" s="124"/>
    </row>
    <row r="1604" spans="1:23" s="559" customFormat="1" ht="22.5">
      <c r="A1604" s="677" t="s">
        <v>14638</v>
      </c>
      <c r="B1604" s="626" t="s">
        <v>17954</v>
      </c>
      <c r="C1604" s="369">
        <f>MIN(E1606:I1606)</f>
        <v>144.84</v>
      </c>
      <c r="D1604" s="678" t="s">
        <v>109</v>
      </c>
      <c r="E1604" s="474" t="s">
        <v>17955</v>
      </c>
      <c r="F1604" s="474" t="s">
        <v>17956</v>
      </c>
      <c r="G1604" s="474" t="s">
        <v>14756</v>
      </c>
      <c r="H1604" s="486" t="s">
        <v>18219</v>
      </c>
      <c r="I1604" s="474"/>
      <c r="J1604" s="125" t="s">
        <v>207</v>
      </c>
      <c r="K1604" s="125"/>
      <c r="L1604" s="125"/>
      <c r="M1604" s="121"/>
      <c r="N1604" s="121"/>
      <c r="O1604" s="121"/>
      <c r="P1604" s="121"/>
      <c r="Q1604" s="121"/>
      <c r="R1604" s="121"/>
      <c r="S1604" s="121"/>
      <c r="T1604" s="121"/>
      <c r="U1604" s="121"/>
      <c r="V1604" s="121"/>
      <c r="W1604" s="121"/>
    </row>
    <row r="1605" spans="1:23" s="121" customFormat="1" ht="33.75">
      <c r="A1605" s="562"/>
      <c r="B1605" s="618"/>
      <c r="C1605" s="563" t="s">
        <v>284</v>
      </c>
      <c r="D1605" s="851"/>
      <c r="E1605" s="564" t="s">
        <v>17957</v>
      </c>
      <c r="F1605" s="564" t="s">
        <v>17958</v>
      </c>
      <c r="G1605" s="564" t="s">
        <v>17959</v>
      </c>
      <c r="H1605" s="675" t="s">
        <v>18266</v>
      </c>
      <c r="I1605" s="564"/>
      <c r="J1605" s="125" t="s">
        <v>283</v>
      </c>
      <c r="K1605" s="125" t="s">
        <v>280</v>
      </c>
      <c r="L1605" s="125" t="s">
        <v>281</v>
      </c>
    </row>
    <row r="1606" spans="1:23" s="121" customFormat="1" ht="11.25">
      <c r="A1606" s="566"/>
      <c r="B1606" s="619"/>
      <c r="C1606" s="563" t="s">
        <v>9</v>
      </c>
      <c r="D1606" s="852"/>
      <c r="E1606" s="488">
        <v>199.99</v>
      </c>
      <c r="F1606" s="488">
        <v>144.84</v>
      </c>
      <c r="G1606" s="84">
        <v>201.94</v>
      </c>
      <c r="H1606" s="84">
        <v>165</v>
      </c>
      <c r="I1606" s="84"/>
      <c r="J1606" s="125">
        <f t="shared" ref="J1606" si="501">MEDIAN(E1606:I1606)</f>
        <v>182.495</v>
      </c>
      <c r="K1606" s="125">
        <f t="shared" ref="K1606" si="502">J1606*1.3</f>
        <v>237.24350000000001</v>
      </c>
      <c r="L1606" s="125">
        <f t="shared" ref="L1606" si="503">J1606*0.7</f>
        <v>127.7465</v>
      </c>
    </row>
    <row r="1607" spans="1:23" s="121" customFormat="1" ht="11.25">
      <c r="A1607" s="566"/>
      <c r="B1607" s="619"/>
      <c r="C1607" s="563" t="s">
        <v>8</v>
      </c>
      <c r="D1607" s="852"/>
      <c r="E1607" s="564" t="s">
        <v>17924</v>
      </c>
      <c r="F1607" s="564"/>
      <c r="G1607" s="472"/>
      <c r="H1607" s="487"/>
      <c r="I1607" s="564"/>
      <c r="J1607" s="125"/>
      <c r="K1607" s="125"/>
      <c r="L1607" s="125"/>
    </row>
    <row r="1608" spans="1:23" s="121" customFormat="1" ht="11.25">
      <c r="A1608" s="566"/>
      <c r="B1608" s="619"/>
      <c r="C1608" s="563" t="s">
        <v>7</v>
      </c>
      <c r="D1608" s="852"/>
      <c r="E1608" s="567" t="s">
        <v>17960</v>
      </c>
      <c r="F1608" s="567" t="s">
        <v>17961</v>
      </c>
      <c r="G1608" s="567" t="s">
        <v>14759</v>
      </c>
      <c r="H1608" s="489"/>
      <c r="I1608" s="567"/>
      <c r="J1608" s="125"/>
      <c r="K1608" s="125"/>
      <c r="L1608" s="125"/>
    </row>
    <row r="1609" spans="1:23" s="121" customFormat="1" ht="11.25">
      <c r="A1609" s="566"/>
      <c r="B1609" s="619"/>
      <c r="C1609" s="563" t="s">
        <v>6</v>
      </c>
      <c r="D1609" s="852"/>
      <c r="E1609" s="473">
        <v>44327</v>
      </c>
      <c r="F1609" s="473">
        <v>44327</v>
      </c>
      <c r="G1609" s="473">
        <v>44327</v>
      </c>
      <c r="H1609" s="490">
        <v>44287</v>
      </c>
      <c r="I1609" s="473"/>
      <c r="J1609" s="125"/>
      <c r="K1609" s="125"/>
      <c r="L1609" s="125"/>
    </row>
    <row r="1610" spans="1:23" s="121" customFormat="1" ht="11.25">
      <c r="A1610" s="568"/>
      <c r="B1610" s="620"/>
      <c r="C1610" s="563" t="s">
        <v>8993</v>
      </c>
      <c r="D1610" s="853"/>
      <c r="E1610" s="473" t="s">
        <v>18158</v>
      </c>
      <c r="F1610" s="473" t="s">
        <v>18158</v>
      </c>
      <c r="G1610" s="473" t="s">
        <v>18158</v>
      </c>
      <c r="H1610" s="490" t="s">
        <v>18220</v>
      </c>
      <c r="I1610" s="473"/>
      <c r="J1610" s="125"/>
      <c r="K1610" s="125"/>
      <c r="L1610" s="125"/>
    </row>
    <row r="1611" spans="1:23" s="121" customFormat="1">
      <c r="A1611" s="607"/>
      <c r="B1611" s="621"/>
      <c r="C1611" s="608"/>
      <c r="D1611" s="573"/>
      <c r="E1611" s="573"/>
      <c r="F1611" s="573"/>
      <c r="G1611" s="573"/>
      <c r="H1611" s="573"/>
      <c r="I1611" s="573"/>
      <c r="J1611" s="124"/>
      <c r="K1611" s="124"/>
      <c r="L1611" s="124"/>
    </row>
    <row r="1612" spans="1:23" s="559" customFormat="1" ht="22.5">
      <c r="A1612" s="677" t="s">
        <v>15085</v>
      </c>
      <c r="B1612" s="626" t="s">
        <v>17962</v>
      </c>
      <c r="C1612" s="369">
        <f>MIN(E1614:I1614)</f>
        <v>9</v>
      </c>
      <c r="D1612" s="678" t="s">
        <v>109</v>
      </c>
      <c r="E1612" s="474" t="s">
        <v>17963</v>
      </c>
      <c r="F1612" s="474" t="s">
        <v>17964</v>
      </c>
      <c r="G1612" s="474" t="s">
        <v>17965</v>
      </c>
      <c r="H1612" s="474"/>
      <c r="I1612" s="474"/>
      <c r="J1612" s="125" t="s">
        <v>207</v>
      </c>
      <c r="K1612" s="125"/>
      <c r="L1612" s="125"/>
      <c r="M1612" s="121"/>
      <c r="N1612" s="121"/>
      <c r="O1612" s="121"/>
      <c r="P1612" s="121"/>
      <c r="Q1612" s="121"/>
      <c r="R1612" s="121"/>
      <c r="S1612" s="121"/>
      <c r="T1612" s="121"/>
      <c r="U1612" s="121"/>
      <c r="V1612" s="121"/>
      <c r="W1612" s="121"/>
    </row>
    <row r="1613" spans="1:23" s="121" customFormat="1" ht="22.5">
      <c r="A1613" s="562"/>
      <c r="B1613" s="618"/>
      <c r="C1613" s="563" t="s">
        <v>284</v>
      </c>
      <c r="D1613" s="851"/>
      <c r="E1613" s="564" t="s">
        <v>17966</v>
      </c>
      <c r="F1613" s="564" t="s">
        <v>17967</v>
      </c>
      <c r="G1613" s="564" t="s">
        <v>17968</v>
      </c>
      <c r="H1613" s="564"/>
      <c r="I1613" s="564"/>
      <c r="J1613" s="125" t="s">
        <v>283</v>
      </c>
      <c r="K1613" s="125" t="s">
        <v>280</v>
      </c>
      <c r="L1613" s="125" t="s">
        <v>281</v>
      </c>
    </row>
    <row r="1614" spans="1:23" s="121" customFormat="1" ht="11.25">
      <c r="A1614" s="566"/>
      <c r="B1614" s="619"/>
      <c r="C1614" s="563" t="s">
        <v>9</v>
      </c>
      <c r="D1614" s="852"/>
      <c r="E1614" s="488">
        <v>9</v>
      </c>
      <c r="F1614" s="488">
        <v>9.9</v>
      </c>
      <c r="G1614" s="84">
        <v>12.2</v>
      </c>
      <c r="H1614" s="84"/>
      <c r="I1614" s="84"/>
      <c r="J1614" s="125">
        <f t="shared" ref="J1614" si="504">MEDIAN(E1614:I1614)</f>
        <v>9.9</v>
      </c>
      <c r="K1614" s="125">
        <f t="shared" ref="K1614" si="505">J1614*1.3</f>
        <v>12.870000000000001</v>
      </c>
      <c r="L1614" s="125">
        <f t="shared" ref="L1614" si="506">J1614*0.7</f>
        <v>6.93</v>
      </c>
    </row>
    <row r="1615" spans="1:23" s="121" customFormat="1" ht="11.25">
      <c r="A1615" s="566"/>
      <c r="B1615" s="619"/>
      <c r="C1615" s="563" t="s">
        <v>8</v>
      </c>
      <c r="D1615" s="852"/>
      <c r="E1615" s="564" t="s">
        <v>17969</v>
      </c>
      <c r="F1615" s="564" t="s">
        <v>17970</v>
      </c>
      <c r="G1615" s="472" t="s">
        <v>17971</v>
      </c>
      <c r="H1615" s="564"/>
      <c r="I1615" s="564"/>
      <c r="J1615" s="125"/>
      <c r="K1615" s="125"/>
      <c r="L1615" s="125"/>
    </row>
    <row r="1616" spans="1:23" s="121" customFormat="1" ht="11.25">
      <c r="A1616" s="566"/>
      <c r="B1616" s="619"/>
      <c r="C1616" s="563" t="s">
        <v>7</v>
      </c>
      <c r="D1616" s="852"/>
      <c r="E1616" s="567" t="s">
        <v>17972</v>
      </c>
      <c r="F1616" s="567">
        <v>555137242500</v>
      </c>
      <c r="G1616" s="567"/>
      <c r="H1616" s="567"/>
      <c r="I1616" s="567"/>
      <c r="J1616" s="125"/>
      <c r="K1616" s="125"/>
      <c r="L1616" s="125"/>
    </row>
    <row r="1617" spans="1:23" s="121" customFormat="1" ht="11.25">
      <c r="A1617" s="566"/>
      <c r="B1617" s="619"/>
      <c r="C1617" s="563" t="s">
        <v>6</v>
      </c>
      <c r="D1617" s="852"/>
      <c r="E1617" s="473">
        <v>44327</v>
      </c>
      <c r="F1617" s="473">
        <v>44327</v>
      </c>
      <c r="G1617" s="473">
        <v>44327</v>
      </c>
      <c r="H1617" s="473"/>
      <c r="I1617" s="473"/>
      <c r="J1617" s="125"/>
      <c r="K1617" s="125"/>
      <c r="L1617" s="125"/>
    </row>
    <row r="1618" spans="1:23" s="121" customFormat="1" ht="11.25">
      <c r="A1618" s="568"/>
      <c r="B1618" s="620"/>
      <c r="C1618" s="563" t="s">
        <v>8993</v>
      </c>
      <c r="D1618" s="853"/>
      <c r="E1618" s="473" t="s">
        <v>18187</v>
      </c>
      <c r="F1618" s="473" t="s">
        <v>18187</v>
      </c>
      <c r="G1618" s="473" t="s">
        <v>18187</v>
      </c>
      <c r="H1618" s="473"/>
      <c r="I1618" s="473"/>
      <c r="J1618" s="125"/>
      <c r="K1618" s="125"/>
      <c r="L1618" s="125"/>
    </row>
    <row r="1619" spans="1:23" s="121" customFormat="1">
      <c r="A1619" s="607"/>
      <c r="B1619" s="621"/>
      <c r="C1619" s="608"/>
      <c r="D1619" s="573"/>
      <c r="E1619" s="573"/>
      <c r="F1619" s="573"/>
      <c r="G1619" s="573"/>
      <c r="H1619" s="573"/>
      <c r="I1619" s="573"/>
      <c r="J1619" s="124"/>
      <c r="K1619" s="124"/>
      <c r="L1619" s="124"/>
    </row>
    <row r="1620" spans="1:23" s="569" customFormat="1" ht="33.75">
      <c r="A1620" s="677" t="s">
        <v>15088</v>
      </c>
      <c r="B1620" s="626" t="s">
        <v>17973</v>
      </c>
      <c r="C1620" s="369">
        <f t="shared" ref="C1620" si="507">MIN(E1622:I1622)</f>
        <v>1310.43</v>
      </c>
      <c r="D1620" s="678" t="s">
        <v>109</v>
      </c>
      <c r="E1620" s="474" t="s">
        <v>14756</v>
      </c>
      <c r="F1620" s="474" t="s">
        <v>15001</v>
      </c>
      <c r="G1620" s="474" t="s">
        <v>17974</v>
      </c>
      <c r="H1620" s="486" t="s">
        <v>18219</v>
      </c>
      <c r="I1620" s="474"/>
      <c r="J1620" s="125" t="s">
        <v>207</v>
      </c>
      <c r="K1620" s="125"/>
      <c r="L1620" s="125"/>
      <c r="M1620" s="121"/>
      <c r="N1620" s="121"/>
      <c r="O1620" s="121"/>
      <c r="P1620" s="121"/>
      <c r="Q1620" s="121"/>
      <c r="R1620" s="121"/>
      <c r="S1620" s="121"/>
      <c r="T1620" s="121"/>
      <c r="U1620" s="121"/>
      <c r="V1620" s="121"/>
      <c r="W1620" s="121"/>
    </row>
    <row r="1621" spans="1:23" s="122" customFormat="1" ht="33.75">
      <c r="A1621" s="562"/>
      <c r="B1621" s="618"/>
      <c r="C1621" s="563" t="s">
        <v>284</v>
      </c>
      <c r="D1621" s="609"/>
      <c r="E1621" s="564" t="s">
        <v>15002</v>
      </c>
      <c r="F1621" s="564" t="s">
        <v>17975</v>
      </c>
      <c r="G1621" s="564" t="s">
        <v>15003</v>
      </c>
      <c r="H1621" s="675" t="s">
        <v>18267</v>
      </c>
      <c r="I1621" s="564"/>
      <c r="J1621" s="125" t="s">
        <v>283</v>
      </c>
      <c r="K1621" s="125" t="s">
        <v>280</v>
      </c>
      <c r="L1621" s="125" t="s">
        <v>281</v>
      </c>
      <c r="M1621" s="121"/>
      <c r="N1621" s="121"/>
      <c r="O1621" s="121"/>
      <c r="P1621" s="121"/>
      <c r="Q1621" s="121"/>
      <c r="R1621" s="121"/>
      <c r="S1621" s="121"/>
      <c r="T1621" s="121"/>
      <c r="U1621" s="121"/>
      <c r="V1621" s="121"/>
      <c r="W1621" s="121"/>
    </row>
    <row r="1622" spans="1:23" s="122" customFormat="1" ht="15">
      <c r="A1622" s="566"/>
      <c r="B1622" s="619"/>
      <c r="C1622" s="563" t="s">
        <v>9</v>
      </c>
      <c r="D1622" s="610"/>
      <c r="E1622" s="84">
        <v>1322.47</v>
      </c>
      <c r="F1622" s="488">
        <v>1310.43</v>
      </c>
      <c r="G1622" s="488">
        <v>1549.65</v>
      </c>
      <c r="H1622" s="84">
        <v>1445.5</v>
      </c>
      <c r="I1622" s="84"/>
      <c r="J1622" s="125">
        <f t="shared" ref="J1622" si="508">MEDIAN(E1622:I1622)</f>
        <v>1383.9850000000001</v>
      </c>
      <c r="K1622" s="125">
        <f t="shared" ref="K1622" si="509">J1622*1.3</f>
        <v>1799.1805000000002</v>
      </c>
      <c r="L1622" s="125">
        <f t="shared" ref="L1622" si="510">J1622*0.7</f>
        <v>968.78949999999998</v>
      </c>
      <c r="M1622" s="121"/>
      <c r="N1622" s="121"/>
      <c r="O1622" s="121"/>
      <c r="P1622" s="121"/>
      <c r="Q1622" s="121"/>
      <c r="R1622" s="121"/>
      <c r="S1622" s="121"/>
      <c r="T1622" s="121"/>
      <c r="U1622" s="121"/>
      <c r="V1622" s="121"/>
      <c r="W1622" s="121"/>
    </row>
    <row r="1623" spans="1:23" s="122" customFormat="1" ht="15">
      <c r="A1623" s="566"/>
      <c r="B1623" s="619"/>
      <c r="C1623" s="563" t="s">
        <v>8</v>
      </c>
      <c r="D1623" s="610"/>
      <c r="E1623" s="564" t="s">
        <v>14758</v>
      </c>
      <c r="F1623" s="564" t="s">
        <v>15004</v>
      </c>
      <c r="G1623" s="564" t="s">
        <v>14764</v>
      </c>
      <c r="H1623" s="487"/>
      <c r="I1623" s="564"/>
      <c r="J1623" s="125"/>
      <c r="K1623" s="125"/>
      <c r="L1623" s="125"/>
      <c r="M1623" s="121"/>
      <c r="N1623" s="121"/>
      <c r="O1623" s="121"/>
      <c r="P1623" s="121"/>
      <c r="Q1623" s="121"/>
      <c r="R1623" s="121"/>
      <c r="S1623" s="121"/>
      <c r="T1623" s="121"/>
      <c r="U1623" s="121"/>
      <c r="V1623" s="121"/>
      <c r="W1623" s="121"/>
    </row>
    <row r="1624" spans="1:23" s="122" customFormat="1" ht="15">
      <c r="A1624" s="566"/>
      <c r="B1624" s="619"/>
      <c r="C1624" s="563" t="s">
        <v>7</v>
      </c>
      <c r="D1624" s="610"/>
      <c r="E1624" s="567"/>
      <c r="F1624" s="567"/>
      <c r="G1624" s="567"/>
      <c r="H1624" s="489"/>
      <c r="I1624" s="567"/>
      <c r="J1624" s="125"/>
      <c r="K1624" s="125"/>
      <c r="L1624" s="125"/>
      <c r="M1624" s="121"/>
      <c r="N1624" s="121"/>
      <c r="O1624" s="121"/>
      <c r="P1624" s="121"/>
      <c r="Q1624" s="121"/>
      <c r="R1624" s="121"/>
      <c r="S1624" s="121"/>
      <c r="T1624" s="121"/>
      <c r="U1624" s="121"/>
      <c r="V1624" s="121"/>
      <c r="W1624" s="121"/>
    </row>
    <row r="1625" spans="1:23" s="122" customFormat="1" ht="15">
      <c r="A1625" s="566"/>
      <c r="B1625" s="619"/>
      <c r="C1625" s="563" t="s">
        <v>6</v>
      </c>
      <c r="D1625" s="611"/>
      <c r="E1625" s="473">
        <v>44254</v>
      </c>
      <c r="F1625" s="473">
        <v>44254</v>
      </c>
      <c r="G1625" s="473">
        <v>44254</v>
      </c>
      <c r="H1625" s="490">
        <v>44256</v>
      </c>
      <c r="I1625" s="473"/>
      <c r="J1625" s="125"/>
      <c r="K1625" s="125"/>
      <c r="L1625" s="125"/>
      <c r="M1625" s="121"/>
      <c r="N1625" s="121"/>
      <c r="O1625" s="121"/>
      <c r="P1625" s="121"/>
      <c r="Q1625" s="121"/>
      <c r="R1625" s="121"/>
      <c r="S1625" s="121"/>
      <c r="T1625" s="121"/>
      <c r="U1625" s="121"/>
      <c r="V1625" s="121"/>
      <c r="W1625" s="121"/>
    </row>
    <row r="1626" spans="1:23" s="122" customFormat="1" ht="15">
      <c r="A1626" s="568"/>
      <c r="B1626" s="620"/>
      <c r="C1626" s="563" t="s">
        <v>8993</v>
      </c>
      <c r="D1626" s="611"/>
      <c r="E1626" s="473" t="s">
        <v>18180</v>
      </c>
      <c r="F1626" s="473" t="s">
        <v>18181</v>
      </c>
      <c r="G1626" s="473" t="s">
        <v>18182</v>
      </c>
      <c r="H1626" s="490" t="s">
        <v>18220</v>
      </c>
      <c r="I1626" s="473"/>
      <c r="J1626" s="125"/>
      <c r="K1626" s="125"/>
      <c r="L1626" s="125"/>
      <c r="M1626" s="121"/>
      <c r="N1626" s="121"/>
      <c r="O1626" s="121"/>
      <c r="P1626" s="121"/>
      <c r="Q1626" s="121"/>
      <c r="R1626" s="121"/>
      <c r="S1626" s="121"/>
      <c r="T1626" s="121"/>
      <c r="U1626" s="121"/>
      <c r="V1626" s="121"/>
      <c r="W1626" s="121"/>
    </row>
    <row r="1627" spans="1:23" s="121" customFormat="1" ht="11.25">
      <c r="A1627" s="570"/>
      <c r="B1627" s="623"/>
      <c r="C1627" s="571"/>
      <c r="D1627" s="571"/>
      <c r="E1627" s="571"/>
      <c r="F1627" s="571"/>
      <c r="G1627" s="571"/>
      <c r="H1627" s="571"/>
      <c r="I1627" s="571"/>
      <c r="J1627" s="124"/>
      <c r="K1627" s="124"/>
      <c r="L1627" s="124"/>
    </row>
    <row r="1628" spans="1:23" s="569" customFormat="1" ht="22.5">
      <c r="A1628" s="677" t="s">
        <v>15102</v>
      </c>
      <c r="B1628" s="626" t="s">
        <v>17976</v>
      </c>
      <c r="C1628" s="369">
        <f t="shared" ref="C1628" si="511">MIN(E1630:I1630)</f>
        <v>86.88</v>
      </c>
      <c r="D1628" s="678" t="s">
        <v>109</v>
      </c>
      <c r="E1628" s="474" t="s">
        <v>14973</v>
      </c>
      <c r="F1628" s="474" t="s">
        <v>17977</v>
      </c>
      <c r="G1628" s="474" t="s">
        <v>17974</v>
      </c>
      <c r="H1628" s="486" t="s">
        <v>18219</v>
      </c>
      <c r="I1628" s="474"/>
      <c r="J1628" s="125" t="s">
        <v>207</v>
      </c>
      <c r="K1628" s="125"/>
      <c r="L1628" s="125"/>
      <c r="M1628" s="121"/>
      <c r="N1628" s="121"/>
      <c r="O1628" s="121"/>
      <c r="P1628" s="121"/>
      <c r="Q1628" s="121"/>
      <c r="R1628" s="121"/>
      <c r="S1628" s="121"/>
      <c r="T1628" s="121"/>
      <c r="U1628" s="121"/>
      <c r="V1628" s="121"/>
      <c r="W1628" s="121"/>
    </row>
    <row r="1629" spans="1:23" s="122" customFormat="1" ht="45">
      <c r="A1629" s="562"/>
      <c r="B1629" s="618"/>
      <c r="C1629" s="563" t="s">
        <v>284</v>
      </c>
      <c r="D1629" s="609"/>
      <c r="E1629" s="564" t="s">
        <v>14974</v>
      </c>
      <c r="F1629" s="564" t="s">
        <v>17978</v>
      </c>
      <c r="G1629" s="564" t="s">
        <v>15003</v>
      </c>
      <c r="H1629" s="675" t="s">
        <v>18268</v>
      </c>
      <c r="I1629" s="564"/>
      <c r="J1629" s="125" t="s">
        <v>283</v>
      </c>
      <c r="K1629" s="125" t="s">
        <v>280</v>
      </c>
      <c r="L1629" s="125" t="s">
        <v>281</v>
      </c>
      <c r="M1629" s="121"/>
      <c r="N1629" s="121"/>
      <c r="O1629" s="121"/>
      <c r="P1629" s="121"/>
      <c r="Q1629" s="121"/>
      <c r="R1629" s="121"/>
      <c r="S1629" s="121"/>
      <c r="T1629" s="121"/>
      <c r="U1629" s="121"/>
      <c r="V1629" s="121"/>
      <c r="W1629" s="121"/>
    </row>
    <row r="1630" spans="1:23" s="122" customFormat="1" ht="15">
      <c r="A1630" s="566"/>
      <c r="B1630" s="619"/>
      <c r="C1630" s="563" t="s">
        <v>9</v>
      </c>
      <c r="D1630" s="610"/>
      <c r="E1630" s="84">
        <v>99.8</v>
      </c>
      <c r="F1630" s="488">
        <v>86.88</v>
      </c>
      <c r="G1630" s="488">
        <v>99.8</v>
      </c>
      <c r="H1630" s="84">
        <v>98</v>
      </c>
      <c r="I1630" s="84"/>
      <c r="J1630" s="125">
        <f t="shared" ref="J1630" si="512">MEDIAN(E1630:I1630)</f>
        <v>98.9</v>
      </c>
      <c r="K1630" s="125">
        <f t="shared" ref="K1630" si="513">J1630*1.3</f>
        <v>128.57000000000002</v>
      </c>
      <c r="L1630" s="125">
        <f t="shared" ref="L1630" si="514">J1630*0.7</f>
        <v>69.23</v>
      </c>
      <c r="M1630" s="121"/>
      <c r="N1630" s="121"/>
      <c r="O1630" s="121"/>
      <c r="P1630" s="121"/>
      <c r="Q1630" s="121"/>
      <c r="R1630" s="121"/>
      <c r="S1630" s="121"/>
      <c r="T1630" s="121"/>
      <c r="U1630" s="121"/>
      <c r="V1630" s="121"/>
      <c r="W1630" s="121"/>
    </row>
    <row r="1631" spans="1:23" s="122" customFormat="1" ht="15">
      <c r="A1631" s="566"/>
      <c r="B1631" s="619"/>
      <c r="C1631" s="563" t="s">
        <v>8</v>
      </c>
      <c r="D1631" s="610"/>
      <c r="E1631" s="564" t="s">
        <v>14975</v>
      </c>
      <c r="F1631" s="564" t="s">
        <v>17979</v>
      </c>
      <c r="G1631" s="564" t="s">
        <v>14764</v>
      </c>
      <c r="H1631" s="487"/>
      <c r="I1631" s="564"/>
      <c r="J1631" s="125"/>
      <c r="K1631" s="125"/>
      <c r="L1631" s="125"/>
      <c r="M1631" s="121"/>
      <c r="N1631" s="121"/>
      <c r="O1631" s="121"/>
      <c r="P1631" s="121"/>
      <c r="Q1631" s="121"/>
      <c r="R1631" s="121"/>
      <c r="S1631" s="121"/>
      <c r="T1631" s="121"/>
      <c r="U1631" s="121"/>
      <c r="V1631" s="121"/>
      <c r="W1631" s="121"/>
    </row>
    <row r="1632" spans="1:23" s="122" customFormat="1" ht="15">
      <c r="A1632" s="566"/>
      <c r="B1632" s="619"/>
      <c r="C1632" s="563" t="s">
        <v>7</v>
      </c>
      <c r="D1632" s="610"/>
      <c r="E1632" s="567"/>
      <c r="F1632" s="567"/>
      <c r="G1632" s="567"/>
      <c r="H1632" s="489"/>
      <c r="I1632" s="567"/>
      <c r="J1632" s="125"/>
      <c r="K1632" s="125"/>
      <c r="L1632" s="125"/>
      <c r="M1632" s="121"/>
      <c r="N1632" s="121"/>
      <c r="O1632" s="121"/>
      <c r="P1632" s="121"/>
      <c r="Q1632" s="121"/>
      <c r="R1632" s="121"/>
      <c r="S1632" s="121"/>
      <c r="T1632" s="121"/>
      <c r="U1632" s="121"/>
      <c r="V1632" s="121"/>
      <c r="W1632" s="121"/>
    </row>
    <row r="1633" spans="1:23" s="122" customFormat="1" ht="15">
      <c r="A1633" s="566"/>
      <c r="B1633" s="619"/>
      <c r="C1633" s="563" t="s">
        <v>6</v>
      </c>
      <c r="D1633" s="611"/>
      <c r="E1633" s="473">
        <v>44254</v>
      </c>
      <c r="F1633" s="473">
        <v>44254</v>
      </c>
      <c r="G1633" s="473">
        <v>44254</v>
      </c>
      <c r="H1633" s="490">
        <v>44287</v>
      </c>
      <c r="I1633" s="473"/>
      <c r="J1633" s="125"/>
      <c r="K1633" s="125"/>
      <c r="L1633" s="125"/>
      <c r="M1633" s="121"/>
      <c r="N1633" s="121"/>
      <c r="O1633" s="121"/>
      <c r="P1633" s="121"/>
      <c r="Q1633" s="121"/>
      <c r="R1633" s="121"/>
      <c r="S1633" s="121"/>
      <c r="T1633" s="121"/>
      <c r="U1633" s="121"/>
      <c r="V1633" s="121"/>
      <c r="W1633" s="121"/>
    </row>
    <row r="1634" spans="1:23" s="122" customFormat="1" ht="15">
      <c r="A1634" s="568"/>
      <c r="B1634" s="620"/>
      <c r="C1634" s="563" t="s">
        <v>8993</v>
      </c>
      <c r="D1634" s="611"/>
      <c r="E1634" s="473" t="s">
        <v>18184</v>
      </c>
      <c r="F1634" s="473" t="s">
        <v>18184</v>
      </c>
      <c r="G1634" s="473" t="s">
        <v>18184</v>
      </c>
      <c r="H1634" s="490" t="s">
        <v>18220</v>
      </c>
      <c r="I1634" s="473"/>
      <c r="J1634" s="125"/>
      <c r="K1634" s="125"/>
      <c r="L1634" s="125"/>
      <c r="M1634" s="121"/>
      <c r="N1634" s="121"/>
      <c r="O1634" s="121"/>
      <c r="P1634" s="121"/>
      <c r="Q1634" s="121"/>
      <c r="R1634" s="121"/>
      <c r="S1634" s="121"/>
      <c r="T1634" s="121"/>
      <c r="U1634" s="121"/>
      <c r="V1634" s="121"/>
      <c r="W1634" s="121"/>
    </row>
    <row r="1635" spans="1:23" s="121" customFormat="1" ht="11.25">
      <c r="A1635" s="570"/>
      <c r="B1635" s="623"/>
      <c r="C1635" s="571"/>
      <c r="D1635" s="571"/>
      <c r="E1635" s="571"/>
      <c r="F1635" s="571"/>
      <c r="G1635" s="571"/>
      <c r="H1635" s="571"/>
      <c r="I1635" s="571"/>
      <c r="J1635" s="124"/>
      <c r="K1635" s="124"/>
      <c r="L1635" s="124"/>
    </row>
    <row r="1636" spans="1:23" s="569" customFormat="1" ht="22.5">
      <c r="A1636" s="677" t="s">
        <v>15136</v>
      </c>
      <c r="B1636" s="626" t="s">
        <v>17980</v>
      </c>
      <c r="C1636" s="369">
        <f t="shared" ref="C1636" si="515">MIN(E1638:I1638)</f>
        <v>111.52</v>
      </c>
      <c r="D1636" s="678" t="s">
        <v>109</v>
      </c>
      <c r="E1636" s="474" t="s">
        <v>14756</v>
      </c>
      <c r="F1636" s="474" t="s">
        <v>17981</v>
      </c>
      <c r="G1636" s="474" t="s">
        <v>17977</v>
      </c>
      <c r="H1636" s="486" t="s">
        <v>18219</v>
      </c>
      <c r="I1636" s="474"/>
      <c r="J1636" s="125" t="s">
        <v>207</v>
      </c>
      <c r="K1636" s="125"/>
      <c r="L1636" s="125"/>
      <c r="M1636" s="121"/>
      <c r="N1636" s="121"/>
      <c r="O1636" s="121"/>
      <c r="P1636" s="121"/>
      <c r="Q1636" s="121"/>
      <c r="R1636" s="121"/>
      <c r="S1636" s="121"/>
      <c r="T1636" s="121"/>
      <c r="U1636" s="121"/>
      <c r="V1636" s="121"/>
      <c r="W1636" s="121"/>
    </row>
    <row r="1637" spans="1:23" s="122" customFormat="1" ht="22.5">
      <c r="A1637" s="562"/>
      <c r="B1637" s="618"/>
      <c r="C1637" s="563" t="s">
        <v>284</v>
      </c>
      <c r="D1637" s="609"/>
      <c r="E1637" s="564" t="s">
        <v>15002</v>
      </c>
      <c r="F1637" s="564" t="s">
        <v>17982</v>
      </c>
      <c r="G1637" s="564" t="s">
        <v>17978</v>
      </c>
      <c r="H1637" s="675" t="s">
        <v>18269</v>
      </c>
      <c r="I1637" s="564"/>
      <c r="J1637" s="125" t="s">
        <v>283</v>
      </c>
      <c r="K1637" s="125" t="s">
        <v>280</v>
      </c>
      <c r="L1637" s="125" t="s">
        <v>281</v>
      </c>
      <c r="M1637" s="121"/>
      <c r="N1637" s="121"/>
      <c r="O1637" s="121"/>
      <c r="P1637" s="121"/>
      <c r="Q1637" s="121"/>
      <c r="R1637" s="121"/>
      <c r="S1637" s="121"/>
      <c r="T1637" s="121"/>
      <c r="U1637" s="121"/>
      <c r="V1637" s="121"/>
      <c r="W1637" s="121"/>
    </row>
    <row r="1638" spans="1:23" s="122" customFormat="1" ht="15">
      <c r="A1638" s="566"/>
      <c r="B1638" s="619"/>
      <c r="C1638" s="563" t="s">
        <v>9</v>
      </c>
      <c r="D1638" s="610"/>
      <c r="E1638" s="84">
        <v>174.6</v>
      </c>
      <c r="F1638" s="488">
        <v>198.9</v>
      </c>
      <c r="G1638" s="488">
        <v>175.21</v>
      </c>
      <c r="H1638" s="84">
        <v>111.52</v>
      </c>
      <c r="I1638" s="84"/>
      <c r="J1638" s="125">
        <f t="shared" ref="J1638" si="516">MEDIAN(E1638:I1638)</f>
        <v>174.905</v>
      </c>
      <c r="K1638" s="125">
        <f t="shared" ref="K1638" si="517">J1638*1.3</f>
        <v>227.37650000000002</v>
      </c>
      <c r="L1638" s="125">
        <f t="shared" ref="L1638" si="518">J1638*0.7</f>
        <v>122.4335</v>
      </c>
      <c r="M1638" s="121"/>
      <c r="N1638" s="121"/>
      <c r="O1638" s="121"/>
      <c r="P1638" s="121"/>
      <c r="Q1638" s="121"/>
      <c r="R1638" s="121"/>
      <c r="S1638" s="121"/>
      <c r="T1638" s="121"/>
      <c r="U1638" s="121"/>
      <c r="V1638" s="121"/>
      <c r="W1638" s="121"/>
    </row>
    <row r="1639" spans="1:23" s="122" customFormat="1" ht="15">
      <c r="A1639" s="566"/>
      <c r="B1639" s="619"/>
      <c r="C1639" s="563" t="s">
        <v>8</v>
      </c>
      <c r="D1639" s="610"/>
      <c r="E1639" s="564" t="s">
        <v>14758</v>
      </c>
      <c r="F1639" s="564" t="s">
        <v>17983</v>
      </c>
      <c r="G1639" s="564" t="s">
        <v>17979</v>
      </c>
      <c r="H1639" s="487"/>
      <c r="I1639" s="564"/>
      <c r="J1639" s="125"/>
      <c r="K1639" s="125"/>
      <c r="L1639" s="125"/>
      <c r="M1639" s="121"/>
      <c r="N1639" s="121"/>
      <c r="O1639" s="121"/>
      <c r="P1639" s="121"/>
      <c r="Q1639" s="121"/>
      <c r="R1639" s="121"/>
      <c r="S1639" s="121"/>
      <c r="T1639" s="121"/>
      <c r="U1639" s="121"/>
      <c r="V1639" s="121"/>
      <c r="W1639" s="121"/>
    </row>
    <row r="1640" spans="1:23" s="122" customFormat="1" ht="15">
      <c r="A1640" s="566"/>
      <c r="B1640" s="619"/>
      <c r="C1640" s="563" t="s">
        <v>7</v>
      </c>
      <c r="D1640" s="610"/>
      <c r="E1640" s="567"/>
      <c r="F1640" s="567"/>
      <c r="G1640" s="567"/>
      <c r="H1640" s="489"/>
      <c r="I1640" s="567"/>
      <c r="J1640" s="125"/>
      <c r="K1640" s="125"/>
      <c r="L1640" s="125"/>
      <c r="M1640" s="121"/>
      <c r="N1640" s="121"/>
      <c r="O1640" s="121"/>
      <c r="P1640" s="121"/>
      <c r="Q1640" s="121"/>
      <c r="R1640" s="121"/>
      <c r="S1640" s="121"/>
      <c r="T1640" s="121"/>
      <c r="U1640" s="121"/>
      <c r="V1640" s="121"/>
      <c r="W1640" s="121"/>
    </row>
    <row r="1641" spans="1:23" s="122" customFormat="1" ht="15">
      <c r="A1641" s="566"/>
      <c r="B1641" s="619"/>
      <c r="C1641" s="563" t="s">
        <v>6</v>
      </c>
      <c r="D1641" s="611"/>
      <c r="E1641" s="473">
        <v>44254</v>
      </c>
      <c r="F1641" s="473">
        <v>44254</v>
      </c>
      <c r="G1641" s="473">
        <v>44254</v>
      </c>
      <c r="H1641" s="490">
        <v>44315</v>
      </c>
      <c r="I1641" s="473"/>
      <c r="J1641" s="125"/>
      <c r="K1641" s="125"/>
      <c r="L1641" s="125"/>
      <c r="M1641" s="121"/>
      <c r="N1641" s="121"/>
      <c r="O1641" s="121"/>
      <c r="P1641" s="121"/>
      <c r="Q1641" s="121"/>
      <c r="R1641" s="121"/>
      <c r="S1641" s="121"/>
      <c r="T1641" s="121"/>
      <c r="U1641" s="121"/>
      <c r="V1641" s="121"/>
      <c r="W1641" s="121"/>
    </row>
    <row r="1642" spans="1:23" s="122" customFormat="1" ht="15">
      <c r="A1642" s="568"/>
      <c r="B1642" s="620"/>
      <c r="C1642" s="563" t="s">
        <v>8993</v>
      </c>
      <c r="D1642" s="611"/>
      <c r="E1642" s="473" t="s">
        <v>18183</v>
      </c>
      <c r="F1642" s="473" t="s">
        <v>18183</v>
      </c>
      <c r="G1642" s="473" t="s">
        <v>18183</v>
      </c>
      <c r="H1642" s="490" t="s">
        <v>18220</v>
      </c>
      <c r="I1642" s="473"/>
      <c r="J1642" s="125"/>
      <c r="K1642" s="125"/>
      <c r="L1642" s="125"/>
      <c r="M1642" s="121"/>
      <c r="N1642" s="121"/>
      <c r="O1642" s="121"/>
      <c r="P1642" s="121"/>
      <c r="Q1642" s="121"/>
      <c r="R1642" s="121"/>
      <c r="S1642" s="121"/>
      <c r="T1642" s="121"/>
      <c r="U1642" s="121"/>
      <c r="V1642" s="121"/>
      <c r="W1642" s="121"/>
    </row>
    <row r="1643" spans="1:23">
      <c r="A1643" s="607"/>
      <c r="B1643" s="621"/>
      <c r="C1643" s="608"/>
      <c r="D1643" s="573"/>
      <c r="E1643" s="573"/>
      <c r="F1643" s="573"/>
      <c r="G1643" s="573"/>
      <c r="H1643" s="573"/>
      <c r="I1643" s="573"/>
      <c r="J1643" s="124"/>
      <c r="K1643" s="124"/>
      <c r="L1643" s="124"/>
      <c r="M1643" s="121"/>
      <c r="N1643" s="121"/>
      <c r="O1643" s="121"/>
      <c r="P1643" s="121"/>
      <c r="Q1643" s="121"/>
      <c r="R1643" s="121"/>
      <c r="S1643" s="121"/>
      <c r="T1643" s="121"/>
      <c r="U1643" s="121"/>
      <c r="V1643" s="121"/>
      <c r="W1643" s="121"/>
    </row>
    <row r="1644" spans="1:23" s="572" customFormat="1" ht="22.5">
      <c r="A1644" s="677" t="s">
        <v>15145</v>
      </c>
      <c r="B1644" s="626" t="s">
        <v>17984</v>
      </c>
      <c r="C1644" s="369">
        <f t="shared" ref="C1644" si="519">MIN(E1646:I1646)</f>
        <v>3.59</v>
      </c>
      <c r="D1644" s="678" t="s">
        <v>5</v>
      </c>
      <c r="E1644" s="474" t="s">
        <v>15202</v>
      </c>
      <c r="F1644" s="474" t="s">
        <v>17985</v>
      </c>
      <c r="G1644" s="474" t="s">
        <v>15204</v>
      </c>
      <c r="H1644" s="474"/>
      <c r="I1644" s="474"/>
      <c r="J1644" s="125" t="s">
        <v>207</v>
      </c>
      <c r="K1644" s="125"/>
      <c r="L1644" s="125"/>
      <c r="M1644" s="121"/>
      <c r="N1644" s="121"/>
      <c r="O1644" s="121"/>
      <c r="P1644" s="121"/>
      <c r="Q1644" s="121"/>
      <c r="R1644" s="121"/>
      <c r="S1644" s="121"/>
      <c r="T1644" s="121"/>
      <c r="U1644" s="121"/>
      <c r="V1644" s="121"/>
      <c r="W1644" s="121"/>
    </row>
    <row r="1645" spans="1:23" s="70" customFormat="1" ht="33.75">
      <c r="A1645" s="562"/>
      <c r="B1645" s="618"/>
      <c r="C1645" s="563" t="s">
        <v>284</v>
      </c>
      <c r="D1645" s="609"/>
      <c r="E1645" s="564" t="s">
        <v>17986</v>
      </c>
      <c r="F1645" s="564" t="s">
        <v>17987</v>
      </c>
      <c r="G1645" s="564" t="s">
        <v>15203</v>
      </c>
      <c r="H1645" s="564"/>
      <c r="I1645" s="564"/>
      <c r="J1645" s="125" t="s">
        <v>283</v>
      </c>
      <c r="K1645" s="125" t="s">
        <v>280</v>
      </c>
      <c r="L1645" s="125" t="s">
        <v>281</v>
      </c>
      <c r="M1645" s="121"/>
      <c r="N1645" s="121"/>
      <c r="O1645" s="121"/>
      <c r="P1645" s="121"/>
      <c r="Q1645" s="121"/>
      <c r="R1645" s="121"/>
      <c r="S1645" s="121"/>
      <c r="T1645" s="121"/>
      <c r="U1645" s="121"/>
      <c r="V1645" s="121"/>
      <c r="W1645" s="121"/>
    </row>
    <row r="1646" spans="1:23" s="70" customFormat="1" ht="15">
      <c r="A1646" s="566"/>
      <c r="B1646" s="619"/>
      <c r="C1646" s="563" t="s">
        <v>9</v>
      </c>
      <c r="D1646" s="610"/>
      <c r="E1646" s="84">
        <f>366.28/100</f>
        <v>3.6627999999999998</v>
      </c>
      <c r="F1646" s="488">
        <f>359/100</f>
        <v>3.59</v>
      </c>
      <c r="G1646" s="488">
        <v>4.2</v>
      </c>
      <c r="H1646" s="84"/>
      <c r="I1646" s="84"/>
      <c r="J1646" s="125">
        <f t="shared" ref="J1646" si="520">MEDIAN(E1646:I1646)</f>
        <v>3.6627999999999998</v>
      </c>
      <c r="K1646" s="125">
        <f t="shared" ref="K1646" si="521">J1646*1.3</f>
        <v>4.7616399999999999</v>
      </c>
      <c r="L1646" s="125">
        <f t="shared" ref="L1646" si="522">J1646*0.7</f>
        <v>2.5639599999999998</v>
      </c>
      <c r="M1646" s="121"/>
      <c r="N1646" s="121"/>
      <c r="O1646" s="121"/>
      <c r="P1646" s="121"/>
      <c r="Q1646" s="121"/>
      <c r="R1646" s="121"/>
      <c r="S1646" s="121"/>
      <c r="T1646" s="121"/>
      <c r="U1646" s="121"/>
      <c r="V1646" s="121"/>
      <c r="W1646" s="121"/>
    </row>
    <row r="1647" spans="1:23" ht="15">
      <c r="A1647" s="566"/>
      <c r="B1647" s="619"/>
      <c r="C1647" s="563" t="s">
        <v>8</v>
      </c>
      <c r="D1647" s="610"/>
      <c r="E1647" s="564" t="s">
        <v>17988</v>
      </c>
      <c r="F1647" s="564" t="s">
        <v>17989</v>
      </c>
      <c r="G1647" s="564" t="s">
        <v>17990</v>
      </c>
      <c r="H1647" s="564"/>
      <c r="I1647" s="564"/>
      <c r="J1647" s="125"/>
      <c r="K1647" s="125"/>
      <c r="L1647" s="125"/>
      <c r="M1647" s="121"/>
      <c r="N1647" s="121"/>
      <c r="O1647" s="121"/>
      <c r="P1647" s="121"/>
      <c r="Q1647" s="121"/>
      <c r="R1647" s="121"/>
      <c r="S1647" s="121"/>
      <c r="T1647" s="121"/>
      <c r="U1647" s="121"/>
      <c r="V1647" s="121"/>
      <c r="W1647" s="121"/>
    </row>
    <row r="1648" spans="1:23" ht="15">
      <c r="A1648" s="566"/>
      <c r="B1648" s="619"/>
      <c r="C1648" s="563" t="s">
        <v>7</v>
      </c>
      <c r="D1648" s="610"/>
      <c r="E1648" s="567" t="s">
        <v>14759</v>
      </c>
      <c r="F1648" s="567" t="s">
        <v>17991</v>
      </c>
      <c r="G1648" s="567" t="s">
        <v>15205</v>
      </c>
      <c r="H1648" s="567"/>
      <c r="I1648" s="567"/>
      <c r="J1648" s="125"/>
      <c r="K1648" s="125"/>
      <c r="L1648" s="125"/>
      <c r="M1648" s="121"/>
      <c r="N1648" s="121"/>
      <c r="O1648" s="121"/>
      <c r="P1648" s="121"/>
      <c r="Q1648" s="121"/>
      <c r="R1648" s="121"/>
      <c r="S1648" s="121"/>
      <c r="T1648" s="121"/>
      <c r="U1648" s="121"/>
      <c r="V1648" s="121"/>
      <c r="W1648" s="121"/>
    </row>
    <row r="1649" spans="1:23" ht="15">
      <c r="A1649" s="566"/>
      <c r="B1649" s="619"/>
      <c r="C1649" s="563" t="s">
        <v>6</v>
      </c>
      <c r="D1649" s="611"/>
      <c r="E1649" s="473">
        <v>44256</v>
      </c>
      <c r="F1649" s="473">
        <v>44256</v>
      </c>
      <c r="G1649" s="473">
        <v>44256</v>
      </c>
      <c r="H1649" s="473"/>
      <c r="I1649" s="473"/>
      <c r="J1649" s="125"/>
      <c r="K1649" s="125"/>
      <c r="L1649" s="125"/>
      <c r="M1649" s="121"/>
      <c r="N1649" s="121"/>
      <c r="O1649" s="121"/>
      <c r="P1649" s="121"/>
      <c r="Q1649" s="121"/>
      <c r="R1649" s="121"/>
      <c r="S1649" s="121"/>
      <c r="T1649" s="121"/>
      <c r="U1649" s="121"/>
      <c r="V1649" s="121"/>
      <c r="W1649" s="121"/>
    </row>
    <row r="1650" spans="1:23" ht="15">
      <c r="A1650" s="568"/>
      <c r="B1650" s="620"/>
      <c r="C1650" s="563" t="s">
        <v>8993</v>
      </c>
      <c r="D1650" s="611"/>
      <c r="E1650" s="473" t="s">
        <v>18185</v>
      </c>
      <c r="F1650" s="473" t="s">
        <v>18185</v>
      </c>
      <c r="G1650" s="473" t="s">
        <v>18185</v>
      </c>
      <c r="H1650" s="473"/>
      <c r="I1650" s="473"/>
      <c r="J1650" s="125"/>
      <c r="K1650" s="125"/>
      <c r="L1650" s="125"/>
      <c r="M1650" s="121"/>
      <c r="N1650" s="121"/>
      <c r="O1650" s="121"/>
      <c r="P1650" s="121"/>
      <c r="Q1650" s="121"/>
      <c r="R1650" s="121"/>
      <c r="S1650" s="121"/>
      <c r="T1650" s="121"/>
      <c r="U1650" s="121"/>
      <c r="V1650" s="121"/>
      <c r="W1650" s="121"/>
    </row>
    <row r="1651" spans="1:23" s="121" customFormat="1" ht="11.25">
      <c r="A1651" s="2"/>
      <c r="B1651" s="622"/>
      <c r="C1651" s="491"/>
      <c r="D1651" s="491"/>
      <c r="E1651" s="491"/>
      <c r="F1651" s="491"/>
      <c r="G1651" s="491"/>
      <c r="H1651" s="491"/>
      <c r="I1651" s="491"/>
      <c r="J1651" s="124"/>
      <c r="K1651" s="124"/>
      <c r="L1651" s="124"/>
    </row>
    <row r="1652" spans="1:23" s="122" customFormat="1" ht="31.5" customHeight="1">
      <c r="A1652" s="366" t="s">
        <v>9673</v>
      </c>
      <c r="B1652" s="626" t="s">
        <v>15265</v>
      </c>
      <c r="C1652" s="369">
        <f>MIN(E1654:I1654)</f>
        <v>320</v>
      </c>
      <c r="D1652" s="370" t="s">
        <v>109</v>
      </c>
      <c r="E1652" s="486" t="s">
        <v>15256</v>
      </c>
      <c r="F1652" s="486" t="s">
        <v>15260</v>
      </c>
      <c r="G1652" s="486" t="s">
        <v>15263</v>
      </c>
      <c r="H1652" s="486"/>
      <c r="I1652" s="486"/>
      <c r="J1652" s="125" t="s">
        <v>207</v>
      </c>
      <c r="K1652" s="125"/>
      <c r="L1652" s="125"/>
    </row>
    <row r="1653" spans="1:23" s="122" customFormat="1" ht="11.25">
      <c r="A1653" s="361"/>
      <c r="B1653" s="615"/>
      <c r="C1653" s="367" t="s">
        <v>284</v>
      </c>
      <c r="D1653" s="554"/>
      <c r="E1653" s="487" t="s">
        <v>15257</v>
      </c>
      <c r="F1653" s="487" t="s">
        <v>15261</v>
      </c>
      <c r="G1653" s="487" t="s">
        <v>15264</v>
      </c>
      <c r="H1653" s="487"/>
      <c r="I1653" s="487"/>
      <c r="J1653" s="125" t="s">
        <v>283</v>
      </c>
      <c r="K1653" s="125" t="s">
        <v>280</v>
      </c>
      <c r="L1653" s="125" t="s">
        <v>281</v>
      </c>
    </row>
    <row r="1654" spans="1:23" s="122" customFormat="1" ht="15">
      <c r="A1654" s="362"/>
      <c r="B1654" s="616"/>
      <c r="C1654" s="367" t="s">
        <v>9</v>
      </c>
      <c r="D1654" s="492"/>
      <c r="E1654" s="488">
        <v>350</v>
      </c>
      <c r="F1654" s="488">
        <v>320</v>
      </c>
      <c r="G1654" s="488">
        <v>350</v>
      </c>
      <c r="H1654" s="488"/>
      <c r="I1654" s="84"/>
      <c r="J1654" s="125">
        <f>MEDIAN(E1654:I1654)</f>
        <v>350</v>
      </c>
      <c r="K1654" s="125">
        <f>J1654*1.3</f>
        <v>455</v>
      </c>
      <c r="L1654" s="125">
        <f>J1654*0.7</f>
        <v>244.99999999999997</v>
      </c>
    </row>
    <row r="1655" spans="1:23" s="122" customFormat="1" ht="15">
      <c r="A1655" s="362"/>
      <c r="B1655" s="616"/>
      <c r="C1655" s="367" t="s">
        <v>8</v>
      </c>
      <c r="D1655" s="492"/>
      <c r="E1655" s="487" t="s">
        <v>15258</v>
      </c>
      <c r="F1655" s="487"/>
      <c r="G1655" s="487"/>
      <c r="H1655" s="487"/>
      <c r="I1655" s="487"/>
      <c r="J1655" s="125"/>
      <c r="K1655" s="125"/>
      <c r="L1655" s="125"/>
    </row>
    <row r="1656" spans="1:23" s="122" customFormat="1" ht="15">
      <c r="A1656" s="362"/>
      <c r="B1656" s="616"/>
      <c r="C1656" s="367" t="s">
        <v>7</v>
      </c>
      <c r="D1656" s="492"/>
      <c r="E1656" s="489" t="s">
        <v>15259</v>
      </c>
      <c r="F1656" s="489" t="s">
        <v>15262</v>
      </c>
      <c r="G1656" s="489">
        <v>117943</v>
      </c>
      <c r="H1656" s="489"/>
      <c r="I1656" s="489"/>
      <c r="J1656" s="125"/>
      <c r="K1656" s="125"/>
      <c r="L1656" s="125"/>
    </row>
    <row r="1657" spans="1:23" s="122" customFormat="1" ht="15">
      <c r="A1657" s="362"/>
      <c r="B1657" s="616"/>
      <c r="C1657" s="367" t="s">
        <v>6</v>
      </c>
      <c r="D1657" s="493"/>
      <c r="E1657" s="490">
        <v>44054</v>
      </c>
      <c r="F1657" s="490">
        <v>44054</v>
      </c>
      <c r="G1657" s="490">
        <v>44054</v>
      </c>
      <c r="H1657" s="490"/>
      <c r="I1657" s="490"/>
      <c r="J1657" s="125"/>
      <c r="K1657" s="125"/>
      <c r="L1657" s="125"/>
    </row>
    <row r="1658" spans="1:23" s="122" customFormat="1" ht="15">
      <c r="A1658" s="363"/>
      <c r="B1658" s="617"/>
      <c r="C1658" s="367" t="s">
        <v>8993</v>
      </c>
      <c r="D1658" s="493"/>
      <c r="E1658" s="490"/>
      <c r="F1658" s="490"/>
      <c r="G1658" s="490"/>
      <c r="H1658" s="490"/>
      <c r="I1658" s="490"/>
      <c r="J1658" s="125"/>
      <c r="K1658" s="125"/>
      <c r="L1658" s="125"/>
    </row>
    <row r="1659" spans="1:23" s="121" customFormat="1" ht="11.25">
      <c r="A1659" s="2"/>
      <c r="B1659" s="622"/>
      <c r="C1659" s="491"/>
      <c r="D1659" s="491"/>
      <c r="E1659" s="491"/>
      <c r="F1659" s="491"/>
      <c r="G1659" s="491"/>
      <c r="H1659" s="491"/>
      <c r="I1659" s="491"/>
      <c r="J1659" s="124"/>
      <c r="K1659" s="124"/>
      <c r="L1659" s="124"/>
    </row>
    <row r="1660" spans="1:23" s="122" customFormat="1" ht="11.25">
      <c r="A1660" s="366" t="s">
        <v>9674</v>
      </c>
      <c r="B1660" s="614" t="s">
        <v>299</v>
      </c>
      <c r="C1660" s="369">
        <f>MIN(E1662:I1662)</f>
        <v>9.6</v>
      </c>
      <c r="D1660" s="370" t="s">
        <v>109</v>
      </c>
      <c r="E1660" s="486" t="s">
        <v>15212</v>
      </c>
      <c r="F1660" s="486" t="s">
        <v>15213</v>
      </c>
      <c r="G1660" s="486" t="s">
        <v>9025</v>
      </c>
      <c r="H1660" s="486"/>
      <c r="I1660" s="486"/>
      <c r="J1660" s="125" t="s">
        <v>207</v>
      </c>
      <c r="K1660" s="125"/>
      <c r="L1660" s="125"/>
    </row>
    <row r="1661" spans="1:23" s="122" customFormat="1" ht="22.5">
      <c r="A1661" s="361"/>
      <c r="B1661" s="615"/>
      <c r="C1661" s="367" t="s">
        <v>284</v>
      </c>
      <c r="D1661" s="554"/>
      <c r="E1661" s="487" t="s">
        <v>9026</v>
      </c>
      <c r="F1661" s="487" t="s">
        <v>15214</v>
      </c>
      <c r="G1661" s="487" t="s">
        <v>9027</v>
      </c>
      <c r="H1661" s="487"/>
      <c r="I1661" s="487"/>
      <c r="J1661" s="125" t="s">
        <v>283</v>
      </c>
      <c r="K1661" s="125" t="s">
        <v>280</v>
      </c>
      <c r="L1661" s="125" t="s">
        <v>281</v>
      </c>
    </row>
    <row r="1662" spans="1:23" s="122" customFormat="1" ht="15">
      <c r="A1662" s="362"/>
      <c r="B1662" s="616"/>
      <c r="C1662" s="367" t="s">
        <v>9</v>
      </c>
      <c r="D1662" s="492"/>
      <c r="E1662" s="488">
        <v>9.6</v>
      </c>
      <c r="F1662" s="488">
        <v>9.65</v>
      </c>
      <c r="G1662" s="488">
        <v>10.98</v>
      </c>
      <c r="H1662" s="84"/>
      <c r="I1662" s="84"/>
      <c r="J1662" s="125">
        <f>MEDIAN(E1662:I1662)</f>
        <v>9.65</v>
      </c>
      <c r="K1662" s="125">
        <f>J1662*1.3</f>
        <v>12.545000000000002</v>
      </c>
      <c r="L1662" s="125">
        <f>J1662*0.7</f>
        <v>6.7549999999999999</v>
      </c>
    </row>
    <row r="1663" spans="1:23" s="122" customFormat="1" ht="15">
      <c r="A1663" s="362"/>
      <c r="B1663" s="616"/>
      <c r="C1663" s="367" t="s">
        <v>8</v>
      </c>
      <c r="D1663" s="492"/>
      <c r="E1663" s="487" t="s">
        <v>9028</v>
      </c>
      <c r="F1663" s="487" t="s">
        <v>15215</v>
      </c>
      <c r="G1663" s="487" t="s">
        <v>15216</v>
      </c>
      <c r="H1663" s="487"/>
      <c r="I1663" s="487"/>
      <c r="J1663" s="125"/>
      <c r="K1663" s="125"/>
      <c r="L1663" s="125"/>
    </row>
    <row r="1664" spans="1:23" s="122" customFormat="1" ht="15">
      <c r="A1664" s="362"/>
      <c r="B1664" s="616"/>
      <c r="C1664" s="367" t="s">
        <v>7</v>
      </c>
      <c r="D1664" s="492"/>
      <c r="E1664" s="489" t="s">
        <v>15217</v>
      </c>
      <c r="F1664" s="489" t="s">
        <v>15218</v>
      </c>
      <c r="G1664" s="489" t="s">
        <v>15219</v>
      </c>
      <c r="H1664" s="489"/>
      <c r="I1664" s="489"/>
      <c r="J1664" s="125"/>
      <c r="K1664" s="125"/>
      <c r="L1664" s="125"/>
    </row>
    <row r="1665" spans="1:12" s="122" customFormat="1" ht="15">
      <c r="A1665" s="362"/>
      <c r="B1665" s="616"/>
      <c r="C1665" s="367" t="s">
        <v>6</v>
      </c>
      <c r="D1665" s="493"/>
      <c r="E1665" s="490">
        <v>44125</v>
      </c>
      <c r="F1665" s="490">
        <v>44125</v>
      </c>
      <c r="G1665" s="490">
        <v>44125</v>
      </c>
      <c r="H1665" s="490"/>
      <c r="I1665" s="490"/>
      <c r="J1665" s="125"/>
      <c r="K1665" s="125"/>
      <c r="L1665" s="125"/>
    </row>
    <row r="1666" spans="1:12" s="122" customFormat="1" ht="15">
      <c r="A1666" s="363"/>
      <c r="B1666" s="617"/>
      <c r="C1666" s="367" t="s">
        <v>8993</v>
      </c>
      <c r="D1666" s="493"/>
      <c r="E1666" s="490"/>
      <c r="F1666" s="490"/>
      <c r="G1666" s="490"/>
      <c r="H1666" s="490"/>
      <c r="I1666" s="490"/>
      <c r="J1666" s="125"/>
      <c r="K1666" s="125"/>
      <c r="L1666" s="125"/>
    </row>
    <row r="1667" spans="1:12" s="121" customFormat="1" ht="11.25">
      <c r="A1667" s="2"/>
      <c r="B1667" s="622"/>
      <c r="C1667" s="491"/>
      <c r="D1667" s="491"/>
      <c r="E1667" s="491"/>
      <c r="F1667" s="491"/>
      <c r="G1667" s="491"/>
      <c r="H1667" s="491"/>
      <c r="I1667" s="491"/>
      <c r="J1667" s="124"/>
      <c r="K1667" s="124"/>
      <c r="L1667" s="124"/>
    </row>
    <row r="1668" spans="1:12" s="122" customFormat="1" ht="22.5">
      <c r="A1668" s="366" t="s">
        <v>15266</v>
      </c>
      <c r="B1668" s="626" t="s">
        <v>15268</v>
      </c>
      <c r="C1668" s="369">
        <f>MIN(E1670:I1670)</f>
        <v>7000</v>
      </c>
      <c r="D1668" s="370" t="s">
        <v>109</v>
      </c>
      <c r="E1668" s="486" t="s">
        <v>15269</v>
      </c>
      <c r="F1668" s="486" t="s">
        <v>15273</v>
      </c>
      <c r="G1668" s="486" t="s">
        <v>15277</v>
      </c>
      <c r="H1668" s="486"/>
      <c r="I1668" s="486"/>
      <c r="J1668" s="125" t="s">
        <v>207</v>
      </c>
      <c r="K1668" s="125"/>
      <c r="L1668" s="125"/>
    </row>
    <row r="1669" spans="1:12" s="122" customFormat="1" ht="11.25">
      <c r="A1669" s="361"/>
      <c r="B1669" s="615"/>
      <c r="C1669" s="367" t="s">
        <v>284</v>
      </c>
      <c r="D1669" s="554"/>
      <c r="E1669" s="487" t="s">
        <v>15270</v>
      </c>
      <c r="F1669" s="487" t="s">
        <v>15274</v>
      </c>
      <c r="G1669" s="487" t="s">
        <v>15278</v>
      </c>
      <c r="H1669" s="487"/>
      <c r="I1669" s="487"/>
      <c r="J1669" s="125" t="s">
        <v>283</v>
      </c>
      <c r="K1669" s="125" t="s">
        <v>280</v>
      </c>
      <c r="L1669" s="125" t="s">
        <v>281</v>
      </c>
    </row>
    <row r="1670" spans="1:12" s="122" customFormat="1" ht="15">
      <c r="A1670" s="362"/>
      <c r="B1670" s="616"/>
      <c r="C1670" s="367" t="s">
        <v>9</v>
      </c>
      <c r="D1670" s="492"/>
      <c r="E1670" s="488">
        <v>7000</v>
      </c>
      <c r="F1670" s="488">
        <v>10719.33</v>
      </c>
      <c r="G1670" s="488">
        <f>(34000/4)+1500+2000</f>
        <v>12000</v>
      </c>
      <c r="H1670" s="84"/>
      <c r="I1670" s="84"/>
      <c r="J1670" s="125">
        <f>MEDIAN(E1670:I1670)</f>
        <v>10719.33</v>
      </c>
      <c r="K1670" s="125">
        <f>J1670*1.3</f>
        <v>13935.129000000001</v>
      </c>
      <c r="L1670" s="125">
        <f>J1670*0.7</f>
        <v>7503.530999999999</v>
      </c>
    </row>
    <row r="1671" spans="1:12" s="122" customFormat="1" ht="15">
      <c r="A1671" s="362"/>
      <c r="B1671" s="616"/>
      <c r="C1671" s="367" t="s">
        <v>8</v>
      </c>
      <c r="D1671" s="492"/>
      <c r="E1671" s="487" t="s">
        <v>15271</v>
      </c>
      <c r="F1671" s="487" t="s">
        <v>15275</v>
      </c>
      <c r="G1671" s="487" t="s">
        <v>15282</v>
      </c>
      <c r="H1671" s="487"/>
      <c r="I1671" s="487"/>
      <c r="J1671" s="125"/>
      <c r="K1671" s="125"/>
      <c r="L1671" s="125"/>
    </row>
    <row r="1672" spans="1:12" s="122" customFormat="1" ht="15">
      <c r="A1672" s="362"/>
      <c r="B1672" s="616"/>
      <c r="C1672" s="367" t="s">
        <v>7</v>
      </c>
      <c r="D1672" s="492"/>
      <c r="E1672" s="489" t="s">
        <v>15272</v>
      </c>
      <c r="F1672" s="489" t="s">
        <v>15276</v>
      </c>
      <c r="G1672" s="489"/>
      <c r="H1672" s="489"/>
      <c r="I1672" s="489"/>
      <c r="J1672" s="125"/>
      <c r="K1672" s="125"/>
      <c r="L1672" s="125"/>
    </row>
    <row r="1673" spans="1:12" s="122" customFormat="1" ht="15">
      <c r="A1673" s="362"/>
      <c r="B1673" s="616"/>
      <c r="C1673" s="367" t="s">
        <v>6</v>
      </c>
      <c r="D1673" s="493"/>
      <c r="E1673" s="490">
        <v>44064</v>
      </c>
      <c r="F1673" s="490">
        <v>44064</v>
      </c>
      <c r="G1673" s="490">
        <v>44064</v>
      </c>
      <c r="H1673" s="490"/>
      <c r="I1673" s="490"/>
      <c r="J1673" s="125"/>
      <c r="K1673" s="125"/>
      <c r="L1673" s="125"/>
    </row>
    <row r="1674" spans="1:12" s="122" customFormat="1" ht="15">
      <c r="A1674" s="363"/>
      <c r="B1674" s="617"/>
      <c r="C1674" s="367" t="s">
        <v>8993</v>
      </c>
      <c r="D1674" s="493"/>
      <c r="E1674" s="490" t="s">
        <v>18092</v>
      </c>
      <c r="F1674" s="490" t="s">
        <v>18093</v>
      </c>
      <c r="G1674" s="490" t="s">
        <v>18094</v>
      </c>
      <c r="H1674" s="490"/>
      <c r="I1674" s="490"/>
      <c r="J1674" s="125"/>
      <c r="K1674" s="125"/>
      <c r="L1674" s="125"/>
    </row>
    <row r="1675" spans="1:12" ht="15">
      <c r="A1675" s="85"/>
      <c r="B1675" s="624"/>
      <c r="C1675" s="85"/>
      <c r="D1675" s="85"/>
      <c r="E1675" s="85"/>
      <c r="F1675" s="85"/>
      <c r="G1675" s="85"/>
      <c r="H1675" s="85"/>
      <c r="I1675" s="85"/>
    </row>
    <row r="1676" spans="1:12" s="70" customFormat="1" ht="58.15" customHeight="1">
      <c r="A1676" s="808" t="str">
        <f>'018.02-21-IMPLANTAÇÃO'!B440</f>
        <v>ENG. GABRIEL DA CUNHA ARAUJO
CREA 23300/D-DF
ART: 0720210046394
MAT.: 973.175-X</v>
      </c>
      <c r="B1676" s="808"/>
      <c r="C1676" s="808"/>
      <c r="D1676" s="808"/>
      <c r="E1676" s="808"/>
      <c r="F1676" s="808"/>
      <c r="G1676" s="808"/>
      <c r="H1676" s="808"/>
      <c r="I1676" s="808"/>
      <c r="J1676" s="128"/>
      <c r="K1676" s="128"/>
      <c r="L1676" s="128"/>
    </row>
    <row r="1677" spans="1:12" s="70" customFormat="1" ht="58.15" customHeight="1">
      <c r="A1677" s="808" t="str">
        <f>'018.02-21-IMPLANTAÇÃO'!B441</f>
        <v>ENG. GILMAR DA MOTA FERNANDES
CREA 23785/D-DF
ART: 0720210047629
MAT.: 973.113-X</v>
      </c>
      <c r="B1677" s="808"/>
      <c r="C1677" s="808"/>
      <c r="D1677" s="808"/>
      <c r="E1677" s="808"/>
      <c r="F1677" s="808"/>
      <c r="G1677" s="808"/>
      <c r="H1677" s="808"/>
      <c r="I1677" s="808"/>
      <c r="J1677" s="128"/>
      <c r="K1677" s="128"/>
      <c r="L1677" s="128"/>
    </row>
    <row r="1678" spans="1:12" s="70" customFormat="1" ht="58.15" customHeight="1">
      <c r="A1678" s="808" t="str">
        <f>'018.02-21-IMPLANTAÇÃO'!B442</f>
        <v>ENG. TIAGO DE SOUZA OLIVEIRA
CREA 24935/D-DF
ART: 0720210047000
MAT.: 973.315-9</v>
      </c>
      <c r="B1678" s="808"/>
      <c r="C1678" s="808"/>
      <c r="D1678" s="808"/>
      <c r="E1678" s="808"/>
      <c r="F1678" s="808"/>
      <c r="G1678" s="808"/>
      <c r="H1678" s="808"/>
      <c r="I1678" s="808"/>
      <c r="J1678" s="128"/>
      <c r="K1678" s="128"/>
      <c r="L1678" s="128"/>
    </row>
  </sheetData>
  <autoFilter ref="A9:I1678"/>
  <mergeCells count="63">
    <mergeCell ref="D172:D177"/>
    <mergeCell ref="D180:D185"/>
    <mergeCell ref="D196:D201"/>
    <mergeCell ref="D204:D209"/>
    <mergeCell ref="D212:D217"/>
    <mergeCell ref="D148:D153"/>
    <mergeCell ref="D156:D161"/>
    <mergeCell ref="D140:D145"/>
    <mergeCell ref="D132:D137"/>
    <mergeCell ref="D164:D169"/>
    <mergeCell ref="B6:E6"/>
    <mergeCell ref="A1676:I1676"/>
    <mergeCell ref="D452:D457"/>
    <mergeCell ref="D284:D289"/>
    <mergeCell ref="D236:D241"/>
    <mergeCell ref="D20:D25"/>
    <mergeCell ref="D100:D105"/>
    <mergeCell ref="D116:D121"/>
    <mergeCell ref="D36:D41"/>
    <mergeCell ref="D188:D193"/>
    <mergeCell ref="D92:D97"/>
    <mergeCell ref="D44:D49"/>
    <mergeCell ref="D52:D57"/>
    <mergeCell ref="D60:D65"/>
    <mergeCell ref="D68:D73"/>
    <mergeCell ref="D76:D81"/>
    <mergeCell ref="A1:I1"/>
    <mergeCell ref="A2:I2"/>
    <mergeCell ref="A3:I3"/>
    <mergeCell ref="A4:I4"/>
    <mergeCell ref="A5:I5"/>
    <mergeCell ref="D108:D113"/>
    <mergeCell ref="D340:D345"/>
    <mergeCell ref="D348:D353"/>
    <mergeCell ref="A1677:I1677"/>
    <mergeCell ref="A1678:I1678"/>
    <mergeCell ref="D468:D473"/>
    <mergeCell ref="D476:D481"/>
    <mergeCell ref="D1525:D1530"/>
    <mergeCell ref="D1613:D1618"/>
    <mergeCell ref="D1565:D1570"/>
    <mergeCell ref="D1597:D1602"/>
    <mergeCell ref="D1605:D1610"/>
    <mergeCell ref="D356:D361"/>
    <mergeCell ref="D460:D465"/>
    <mergeCell ref="D124:D129"/>
    <mergeCell ref="D244:D249"/>
    <mergeCell ref="D28:D33"/>
    <mergeCell ref="B7:E7"/>
    <mergeCell ref="D324:D329"/>
    <mergeCell ref="D332:D337"/>
    <mergeCell ref="D220:D225"/>
    <mergeCell ref="D228:D233"/>
    <mergeCell ref="D316:D321"/>
    <mergeCell ref="D252:D257"/>
    <mergeCell ref="D308:D313"/>
    <mergeCell ref="D300:D305"/>
    <mergeCell ref="D260:D265"/>
    <mergeCell ref="D268:D273"/>
    <mergeCell ref="D276:D281"/>
    <mergeCell ref="D292:D297"/>
    <mergeCell ref="D12:D17"/>
    <mergeCell ref="D84:D89"/>
  </mergeCells>
  <hyperlinks>
    <hyperlink ref="G100" r:id="rId1"/>
    <hyperlink ref="E100" r:id="rId2"/>
    <hyperlink ref="F100" r:id="rId3"/>
    <hyperlink ref="E188" r:id="rId4"/>
    <hyperlink ref="F188" r:id="rId5"/>
    <hyperlink ref="G188" r:id="rId6"/>
    <hyperlink ref="E156" r:id="rId7"/>
    <hyperlink ref="F156" r:id="rId8"/>
    <hyperlink ref="G156" r:id="rId9"/>
    <hyperlink ref="F252" r:id="rId10"/>
    <hyperlink ref="G252" r:id="rId11"/>
    <hyperlink ref="E252" r:id="rId12"/>
    <hyperlink ref="E116" r:id="rId13"/>
    <hyperlink ref="F116" r:id="rId14"/>
    <hyperlink ref="E92" r:id="rId15"/>
    <hyperlink ref="F92" r:id="rId16"/>
    <hyperlink ref="G92" r:id="rId17"/>
    <hyperlink ref="E20" r:id="rId18"/>
    <hyperlink ref="F20" r:id="rId19"/>
    <hyperlink ref="G20" r:id="rId20"/>
    <hyperlink ref="E36" r:id="rId21"/>
    <hyperlink ref="F36" r:id="rId22"/>
    <hyperlink ref="E44" r:id="rId23"/>
    <hyperlink ref="F44" r:id="rId24"/>
    <hyperlink ref="E52" r:id="rId25"/>
    <hyperlink ref="F52" r:id="rId26"/>
    <hyperlink ref="E60" r:id="rId27"/>
    <hyperlink ref="F60" r:id="rId28"/>
    <hyperlink ref="E68" r:id="rId29"/>
    <hyperlink ref="F68" r:id="rId30"/>
    <hyperlink ref="E76" r:id="rId31"/>
    <hyperlink ref="F76" r:id="rId32"/>
    <hyperlink ref="E84" r:id="rId33"/>
    <hyperlink ref="E108" r:id="rId34"/>
    <hyperlink ref="E124" r:id="rId35"/>
    <hyperlink ref="F124" r:id="rId36"/>
    <hyperlink ref="G124" r:id="rId37"/>
    <hyperlink ref="E132" r:id="rId38"/>
    <hyperlink ref="E140" r:id="rId39"/>
    <hyperlink ref="F132" r:id="rId40"/>
    <hyperlink ref="F140" r:id="rId41"/>
    <hyperlink ref="H124" r:id="rId42"/>
    <hyperlink ref="G132" r:id="rId43"/>
    <hyperlink ref="G140" r:id="rId44"/>
    <hyperlink ref="E148" r:id="rId45"/>
    <hyperlink ref="F148" r:id="rId46"/>
    <hyperlink ref="E164" r:id="rId47"/>
    <hyperlink ref="F164" r:id="rId48"/>
    <hyperlink ref="G164" r:id="rId49"/>
    <hyperlink ref="E172" r:id="rId50"/>
    <hyperlink ref="F172" r:id="rId51"/>
    <hyperlink ref="G172" r:id="rId52"/>
    <hyperlink ref="E180" r:id="rId53"/>
    <hyperlink ref="F180" r:id="rId54"/>
    <hyperlink ref="G180" r:id="rId55"/>
    <hyperlink ref="E196" r:id="rId56"/>
    <hyperlink ref="F196" r:id="rId57"/>
    <hyperlink ref="E204" r:id="rId58"/>
    <hyperlink ref="F204" r:id="rId59"/>
    <hyperlink ref="G204" r:id="rId60"/>
    <hyperlink ref="F212" r:id="rId61"/>
    <hyperlink ref="G212" r:id="rId62"/>
    <hyperlink ref="G220" r:id="rId63"/>
    <hyperlink ref="E228" r:id="rId64"/>
    <hyperlink ref="F228" r:id="rId65"/>
    <hyperlink ref="G228" r:id="rId66"/>
    <hyperlink ref="E236" r:id="rId67"/>
    <hyperlink ref="G236" r:id="rId68"/>
    <hyperlink ref="F236" r:id="rId69"/>
    <hyperlink ref="F244" r:id="rId70"/>
    <hyperlink ref="G244" r:id="rId71"/>
    <hyperlink ref="E572" r:id="rId72"/>
    <hyperlink ref="E580" r:id="rId73"/>
    <hyperlink ref="E1092" r:id="rId74"/>
    <hyperlink ref="F1092" r:id="rId75"/>
    <hyperlink ref="E1100" r:id="rId76"/>
    <hyperlink ref="F1100" r:id="rId77"/>
    <hyperlink ref="E1108" r:id="rId78"/>
    <hyperlink ref="F1108" r:id="rId79"/>
    <hyperlink ref="F1124" r:id="rId80"/>
    <hyperlink ref="G1124" r:id="rId81"/>
    <hyperlink ref="G1100" r:id="rId82"/>
    <hyperlink ref="H1124" r:id="rId83"/>
    <hyperlink ref="E1148" r:id="rId84" display="www.seton.com.br"/>
    <hyperlink ref="F1148" r:id="rId85" display="comercial@hidroja.com "/>
    <hyperlink ref="G1148" r:id="rId86" display="www.magazineluiza.com.br/"/>
    <hyperlink ref="G1308" r:id="rId87"/>
    <hyperlink ref="G1220" r:id="rId88"/>
    <hyperlink ref="E636" r:id="rId89"/>
    <hyperlink ref="G639" r:id="rId90" tooltip="WHATSAPP" display="https://api.whatsapp.com/send?text=https://www.santil.com.br/produto/saida-lateral-34-comape/2897032/&amp;phone=551139983000"/>
    <hyperlink ref="E812" r:id="rId91"/>
    <hyperlink ref="F951" r:id="rId92" tooltip="WHATSAPP" display="https://api.whatsapp.com/send?text=https://www.santil.com.br/produto/saida-lateral-34-comape/2897032/&amp;phone=551139983000"/>
    <hyperlink ref="F967" r:id="rId93" tooltip="WHATSAPP" display="https://api.whatsapp.com/send?text=https://www.santil.com.br/produto/saida-lateral-34-comape/2897032/&amp;phone=551139983000"/>
    <hyperlink ref="F975" r:id="rId94" tooltip="WHATSAPP" display="https://api.whatsapp.com/send?text=https://www.santil.com.br/produto/saida-lateral-34-comape/2897032/&amp;phone=551139983000"/>
    <hyperlink ref="E1254" r:id="rId95" display="http://cnpj.info/19344083000164"/>
    <hyperlink ref="E1573" r:id="rId96"/>
    <hyperlink ref="F1573" r:id="rId97"/>
    <hyperlink ref="E1581" r:id="rId98"/>
    <hyperlink ref="G1581" r:id="rId99"/>
    <hyperlink ref="E1621" r:id="rId100"/>
    <hyperlink ref="F1621" r:id="rId101"/>
    <hyperlink ref="G1621" r:id="rId102"/>
    <hyperlink ref="G1629" r:id="rId103"/>
    <hyperlink ref="F1629" r:id="rId104"/>
    <hyperlink ref="E1629" r:id="rId105"/>
    <hyperlink ref="E1637" r:id="rId106"/>
    <hyperlink ref="F1637" r:id="rId107"/>
    <hyperlink ref="G1637" r:id="rId108"/>
    <hyperlink ref="F84" r:id="rId109"/>
    <hyperlink ref="G84" r:id="rId110"/>
    <hyperlink ref="F108" r:id="rId111"/>
    <hyperlink ref="E756" r:id="rId112"/>
    <hyperlink ref="F1068" r:id="rId113"/>
    <hyperlink ref="E1236" r:id="rId114"/>
    <hyperlink ref="E1164" r:id="rId115"/>
    <hyperlink ref="E1172" r:id="rId116"/>
    <hyperlink ref="F1116" r:id="rId117"/>
    <hyperlink ref="F1140" r:id="rId118"/>
    <hyperlink ref="F1132" r:id="rId119"/>
    <hyperlink ref="H1108" r:id="rId120"/>
    <hyperlink ref="G1116" r:id="rId121"/>
    <hyperlink ref="G1140" r:id="rId122"/>
    <hyperlink ref="H1132" r:id="rId123"/>
    <hyperlink ref="H1172" r:id="rId124"/>
    <hyperlink ref="E1533" r:id="rId125"/>
    <hyperlink ref="E1541" r:id="rId126"/>
    <hyperlink ref="E1549" r:id="rId127"/>
    <hyperlink ref="G1164" r:id="rId128"/>
  </hyperlinks>
  <printOptions horizontalCentered="1"/>
  <pageMargins left="0.31496062992125984" right="0.27559055118110237" top="0.35433070866141736" bottom="0.35433070866141736" header="0.11811023622047245" footer="0.15748031496062992"/>
  <pageSetup paperSize="9" scale="60" fitToHeight="43" orientation="portrait" r:id="rId129"/>
  <headerFooter>
    <oddHeader>&amp;C&amp;F</oddHeader>
    <oddFooter>Página &amp;P de &amp;N</oddFooter>
  </headerFooter>
  <drawing r:id="rId130"/>
  <legacyDrawing r:id="rId131"/>
</worksheet>
</file>

<file path=xl/worksheets/sheet12.xml><?xml version="1.0" encoding="utf-8"?>
<worksheet xmlns="http://schemas.openxmlformats.org/spreadsheetml/2006/main" xmlns:r="http://schemas.openxmlformats.org/officeDocument/2006/relationships">
  <dimension ref="A1:M6891"/>
  <sheetViews>
    <sheetView workbookViewId="0">
      <selection activeCell="F10" sqref="F10"/>
    </sheetView>
  </sheetViews>
  <sheetFormatPr defaultRowHeight="12.75"/>
  <cols>
    <col min="1" max="1" width="17.140625" style="263" customWidth="1"/>
    <col min="2" max="2" width="101.28515625" style="263" customWidth="1"/>
    <col min="3" max="3" width="11" style="263" customWidth="1"/>
    <col min="4" max="4" width="13.7109375" style="263" bestFit="1" customWidth="1"/>
    <col min="5" max="5" width="7.85546875" style="499" bestFit="1" customWidth="1"/>
    <col min="6" max="6" width="48.7109375" style="146" customWidth="1"/>
    <col min="7" max="7" width="24.5703125" style="146" customWidth="1"/>
    <col min="8" max="8" width="48.7109375" style="146" customWidth="1"/>
    <col min="9" max="9" width="8.140625" style="146" customWidth="1"/>
    <col min="10" max="10" width="38.7109375" style="146" customWidth="1"/>
    <col min="11" max="11" width="21.140625" style="146" customWidth="1"/>
    <col min="12" max="12" width="82" style="146" customWidth="1"/>
    <col min="13" max="256" width="9.140625" style="146"/>
    <col min="257" max="257" width="11.140625" style="146" customWidth="1"/>
    <col min="258" max="258" width="77.28515625" style="146" customWidth="1"/>
    <col min="259" max="259" width="8.5703125" style="146" customWidth="1"/>
    <col min="260" max="260" width="17.5703125" style="146" customWidth="1"/>
    <col min="261" max="261" width="15.28515625" style="146" customWidth="1"/>
    <col min="262" max="262" width="48.7109375" style="146" customWidth="1"/>
    <col min="263" max="263" width="24.5703125" style="146" customWidth="1"/>
    <col min="264" max="264" width="48.7109375" style="146" customWidth="1"/>
    <col min="265" max="265" width="8.140625" style="146" customWidth="1"/>
    <col min="266" max="266" width="38.7109375" style="146" customWidth="1"/>
    <col min="267" max="267" width="21.140625" style="146" customWidth="1"/>
    <col min="268" max="268" width="82" style="146" customWidth="1"/>
    <col min="269" max="512" width="9.140625" style="146"/>
    <col min="513" max="513" width="11.140625" style="146" customWidth="1"/>
    <col min="514" max="514" width="77.28515625" style="146" customWidth="1"/>
    <col min="515" max="515" width="8.5703125" style="146" customWidth="1"/>
    <col min="516" max="516" width="17.5703125" style="146" customWidth="1"/>
    <col min="517" max="517" width="15.28515625" style="146" customWidth="1"/>
    <col min="518" max="518" width="48.7109375" style="146" customWidth="1"/>
    <col min="519" max="519" width="24.5703125" style="146" customWidth="1"/>
    <col min="520" max="520" width="48.7109375" style="146" customWidth="1"/>
    <col min="521" max="521" width="8.140625" style="146" customWidth="1"/>
    <col min="522" max="522" width="38.7109375" style="146" customWidth="1"/>
    <col min="523" max="523" width="21.140625" style="146" customWidth="1"/>
    <col min="524" max="524" width="82" style="146" customWidth="1"/>
    <col min="525" max="768" width="9.140625" style="146"/>
    <col min="769" max="769" width="11.140625" style="146" customWidth="1"/>
    <col min="770" max="770" width="77.28515625" style="146" customWidth="1"/>
    <col min="771" max="771" width="8.5703125" style="146" customWidth="1"/>
    <col min="772" max="772" width="17.5703125" style="146" customWidth="1"/>
    <col min="773" max="773" width="15.28515625" style="146" customWidth="1"/>
    <col min="774" max="774" width="48.7109375" style="146" customWidth="1"/>
    <col min="775" max="775" width="24.5703125" style="146" customWidth="1"/>
    <col min="776" max="776" width="48.7109375" style="146" customWidth="1"/>
    <col min="777" max="777" width="8.140625" style="146" customWidth="1"/>
    <col min="778" max="778" width="38.7109375" style="146" customWidth="1"/>
    <col min="779" max="779" width="21.140625" style="146" customWidth="1"/>
    <col min="780" max="780" width="82" style="146" customWidth="1"/>
    <col min="781" max="1024" width="9.140625" style="146"/>
    <col min="1025" max="1025" width="11.140625" style="146" customWidth="1"/>
    <col min="1026" max="1026" width="77.28515625" style="146" customWidth="1"/>
    <col min="1027" max="1027" width="8.5703125" style="146" customWidth="1"/>
    <col min="1028" max="1028" width="17.5703125" style="146" customWidth="1"/>
    <col min="1029" max="1029" width="15.28515625" style="146" customWidth="1"/>
    <col min="1030" max="1030" width="48.7109375" style="146" customWidth="1"/>
    <col min="1031" max="1031" width="24.5703125" style="146" customWidth="1"/>
    <col min="1032" max="1032" width="48.7109375" style="146" customWidth="1"/>
    <col min="1033" max="1033" width="8.140625" style="146" customWidth="1"/>
    <col min="1034" max="1034" width="38.7109375" style="146" customWidth="1"/>
    <col min="1035" max="1035" width="21.140625" style="146" customWidth="1"/>
    <col min="1036" max="1036" width="82" style="146" customWidth="1"/>
    <col min="1037" max="1280" width="9.140625" style="146"/>
    <col min="1281" max="1281" width="11.140625" style="146" customWidth="1"/>
    <col min="1282" max="1282" width="77.28515625" style="146" customWidth="1"/>
    <col min="1283" max="1283" width="8.5703125" style="146" customWidth="1"/>
    <col min="1284" max="1284" width="17.5703125" style="146" customWidth="1"/>
    <col min="1285" max="1285" width="15.28515625" style="146" customWidth="1"/>
    <col min="1286" max="1286" width="48.7109375" style="146" customWidth="1"/>
    <col min="1287" max="1287" width="24.5703125" style="146" customWidth="1"/>
    <col min="1288" max="1288" width="48.7109375" style="146" customWidth="1"/>
    <col min="1289" max="1289" width="8.140625" style="146" customWidth="1"/>
    <col min="1290" max="1290" width="38.7109375" style="146" customWidth="1"/>
    <col min="1291" max="1291" width="21.140625" style="146" customWidth="1"/>
    <col min="1292" max="1292" width="82" style="146" customWidth="1"/>
    <col min="1293" max="1536" width="9.140625" style="146"/>
    <col min="1537" max="1537" width="11.140625" style="146" customWidth="1"/>
    <col min="1538" max="1538" width="77.28515625" style="146" customWidth="1"/>
    <col min="1539" max="1539" width="8.5703125" style="146" customWidth="1"/>
    <col min="1540" max="1540" width="17.5703125" style="146" customWidth="1"/>
    <col min="1541" max="1541" width="15.28515625" style="146" customWidth="1"/>
    <col min="1542" max="1542" width="48.7109375" style="146" customWidth="1"/>
    <col min="1543" max="1543" width="24.5703125" style="146" customWidth="1"/>
    <col min="1544" max="1544" width="48.7109375" style="146" customWidth="1"/>
    <col min="1545" max="1545" width="8.140625" style="146" customWidth="1"/>
    <col min="1546" max="1546" width="38.7109375" style="146" customWidth="1"/>
    <col min="1547" max="1547" width="21.140625" style="146" customWidth="1"/>
    <col min="1548" max="1548" width="82" style="146" customWidth="1"/>
    <col min="1549" max="1792" width="9.140625" style="146"/>
    <col min="1793" max="1793" width="11.140625" style="146" customWidth="1"/>
    <col min="1794" max="1794" width="77.28515625" style="146" customWidth="1"/>
    <col min="1795" max="1795" width="8.5703125" style="146" customWidth="1"/>
    <col min="1796" max="1796" width="17.5703125" style="146" customWidth="1"/>
    <col min="1797" max="1797" width="15.28515625" style="146" customWidth="1"/>
    <col min="1798" max="1798" width="48.7109375" style="146" customWidth="1"/>
    <col min="1799" max="1799" width="24.5703125" style="146" customWidth="1"/>
    <col min="1800" max="1800" width="48.7109375" style="146" customWidth="1"/>
    <col min="1801" max="1801" width="8.140625" style="146" customWidth="1"/>
    <col min="1802" max="1802" width="38.7109375" style="146" customWidth="1"/>
    <col min="1803" max="1803" width="21.140625" style="146" customWidth="1"/>
    <col min="1804" max="1804" width="82" style="146" customWidth="1"/>
    <col min="1805" max="2048" width="9.140625" style="146"/>
    <col min="2049" max="2049" width="11.140625" style="146" customWidth="1"/>
    <col min="2050" max="2050" width="77.28515625" style="146" customWidth="1"/>
    <col min="2051" max="2051" width="8.5703125" style="146" customWidth="1"/>
    <col min="2052" max="2052" width="17.5703125" style="146" customWidth="1"/>
    <col min="2053" max="2053" width="15.28515625" style="146" customWidth="1"/>
    <col min="2054" max="2054" width="48.7109375" style="146" customWidth="1"/>
    <col min="2055" max="2055" width="24.5703125" style="146" customWidth="1"/>
    <col min="2056" max="2056" width="48.7109375" style="146" customWidth="1"/>
    <col min="2057" max="2057" width="8.140625" style="146" customWidth="1"/>
    <col min="2058" max="2058" width="38.7109375" style="146" customWidth="1"/>
    <col min="2059" max="2059" width="21.140625" style="146" customWidth="1"/>
    <col min="2060" max="2060" width="82" style="146" customWidth="1"/>
    <col min="2061" max="2304" width="9.140625" style="146"/>
    <col min="2305" max="2305" width="11.140625" style="146" customWidth="1"/>
    <col min="2306" max="2306" width="77.28515625" style="146" customWidth="1"/>
    <col min="2307" max="2307" width="8.5703125" style="146" customWidth="1"/>
    <col min="2308" max="2308" width="17.5703125" style="146" customWidth="1"/>
    <col min="2309" max="2309" width="15.28515625" style="146" customWidth="1"/>
    <col min="2310" max="2310" width="48.7109375" style="146" customWidth="1"/>
    <col min="2311" max="2311" width="24.5703125" style="146" customWidth="1"/>
    <col min="2312" max="2312" width="48.7109375" style="146" customWidth="1"/>
    <col min="2313" max="2313" width="8.140625" style="146" customWidth="1"/>
    <col min="2314" max="2314" width="38.7109375" style="146" customWidth="1"/>
    <col min="2315" max="2315" width="21.140625" style="146" customWidth="1"/>
    <col min="2316" max="2316" width="82" style="146" customWidth="1"/>
    <col min="2317" max="2560" width="9.140625" style="146"/>
    <col min="2561" max="2561" width="11.140625" style="146" customWidth="1"/>
    <col min="2562" max="2562" width="77.28515625" style="146" customWidth="1"/>
    <col min="2563" max="2563" width="8.5703125" style="146" customWidth="1"/>
    <col min="2564" max="2564" width="17.5703125" style="146" customWidth="1"/>
    <col min="2565" max="2565" width="15.28515625" style="146" customWidth="1"/>
    <col min="2566" max="2566" width="48.7109375" style="146" customWidth="1"/>
    <col min="2567" max="2567" width="24.5703125" style="146" customWidth="1"/>
    <col min="2568" max="2568" width="48.7109375" style="146" customWidth="1"/>
    <col min="2569" max="2569" width="8.140625" style="146" customWidth="1"/>
    <col min="2570" max="2570" width="38.7109375" style="146" customWidth="1"/>
    <col min="2571" max="2571" width="21.140625" style="146" customWidth="1"/>
    <col min="2572" max="2572" width="82" style="146" customWidth="1"/>
    <col min="2573" max="2816" width="9.140625" style="146"/>
    <col min="2817" max="2817" width="11.140625" style="146" customWidth="1"/>
    <col min="2818" max="2818" width="77.28515625" style="146" customWidth="1"/>
    <col min="2819" max="2819" width="8.5703125" style="146" customWidth="1"/>
    <col min="2820" max="2820" width="17.5703125" style="146" customWidth="1"/>
    <col min="2821" max="2821" width="15.28515625" style="146" customWidth="1"/>
    <col min="2822" max="2822" width="48.7109375" style="146" customWidth="1"/>
    <col min="2823" max="2823" width="24.5703125" style="146" customWidth="1"/>
    <col min="2824" max="2824" width="48.7109375" style="146" customWidth="1"/>
    <col min="2825" max="2825" width="8.140625" style="146" customWidth="1"/>
    <col min="2826" max="2826" width="38.7109375" style="146" customWidth="1"/>
    <col min="2827" max="2827" width="21.140625" style="146" customWidth="1"/>
    <col min="2828" max="2828" width="82" style="146" customWidth="1"/>
    <col min="2829" max="3072" width="9.140625" style="146"/>
    <col min="3073" max="3073" width="11.140625" style="146" customWidth="1"/>
    <col min="3074" max="3074" width="77.28515625" style="146" customWidth="1"/>
    <col min="3075" max="3075" width="8.5703125" style="146" customWidth="1"/>
    <col min="3076" max="3076" width="17.5703125" style="146" customWidth="1"/>
    <col min="3077" max="3077" width="15.28515625" style="146" customWidth="1"/>
    <col min="3078" max="3078" width="48.7109375" style="146" customWidth="1"/>
    <col min="3079" max="3079" width="24.5703125" style="146" customWidth="1"/>
    <col min="3080" max="3080" width="48.7109375" style="146" customWidth="1"/>
    <col min="3081" max="3081" width="8.140625" style="146" customWidth="1"/>
    <col min="3082" max="3082" width="38.7109375" style="146" customWidth="1"/>
    <col min="3083" max="3083" width="21.140625" style="146" customWidth="1"/>
    <col min="3084" max="3084" width="82" style="146" customWidth="1"/>
    <col min="3085" max="3328" width="9.140625" style="146"/>
    <col min="3329" max="3329" width="11.140625" style="146" customWidth="1"/>
    <col min="3330" max="3330" width="77.28515625" style="146" customWidth="1"/>
    <col min="3331" max="3331" width="8.5703125" style="146" customWidth="1"/>
    <col min="3332" max="3332" width="17.5703125" style="146" customWidth="1"/>
    <col min="3333" max="3333" width="15.28515625" style="146" customWidth="1"/>
    <col min="3334" max="3334" width="48.7109375" style="146" customWidth="1"/>
    <col min="3335" max="3335" width="24.5703125" style="146" customWidth="1"/>
    <col min="3336" max="3336" width="48.7109375" style="146" customWidth="1"/>
    <col min="3337" max="3337" width="8.140625" style="146" customWidth="1"/>
    <col min="3338" max="3338" width="38.7109375" style="146" customWidth="1"/>
    <col min="3339" max="3339" width="21.140625" style="146" customWidth="1"/>
    <col min="3340" max="3340" width="82" style="146" customWidth="1"/>
    <col min="3341" max="3584" width="9.140625" style="146"/>
    <col min="3585" max="3585" width="11.140625" style="146" customWidth="1"/>
    <col min="3586" max="3586" width="77.28515625" style="146" customWidth="1"/>
    <col min="3587" max="3587" width="8.5703125" style="146" customWidth="1"/>
    <col min="3588" max="3588" width="17.5703125" style="146" customWidth="1"/>
    <col min="3589" max="3589" width="15.28515625" style="146" customWidth="1"/>
    <col min="3590" max="3590" width="48.7109375" style="146" customWidth="1"/>
    <col min="3591" max="3591" width="24.5703125" style="146" customWidth="1"/>
    <col min="3592" max="3592" width="48.7109375" style="146" customWidth="1"/>
    <col min="3593" max="3593" width="8.140625" style="146" customWidth="1"/>
    <col min="3594" max="3594" width="38.7109375" style="146" customWidth="1"/>
    <col min="3595" max="3595" width="21.140625" style="146" customWidth="1"/>
    <col min="3596" max="3596" width="82" style="146" customWidth="1"/>
    <col min="3597" max="3840" width="9.140625" style="146"/>
    <col min="3841" max="3841" width="11.140625" style="146" customWidth="1"/>
    <col min="3842" max="3842" width="77.28515625" style="146" customWidth="1"/>
    <col min="3843" max="3843" width="8.5703125" style="146" customWidth="1"/>
    <col min="3844" max="3844" width="17.5703125" style="146" customWidth="1"/>
    <col min="3845" max="3845" width="15.28515625" style="146" customWidth="1"/>
    <col min="3846" max="3846" width="48.7109375" style="146" customWidth="1"/>
    <col min="3847" max="3847" width="24.5703125" style="146" customWidth="1"/>
    <col min="3848" max="3848" width="48.7109375" style="146" customWidth="1"/>
    <col min="3849" max="3849" width="8.140625" style="146" customWidth="1"/>
    <col min="3850" max="3850" width="38.7109375" style="146" customWidth="1"/>
    <col min="3851" max="3851" width="21.140625" style="146" customWidth="1"/>
    <col min="3852" max="3852" width="82" style="146" customWidth="1"/>
    <col min="3853" max="4096" width="9.140625" style="146"/>
    <col min="4097" max="4097" width="11.140625" style="146" customWidth="1"/>
    <col min="4098" max="4098" width="77.28515625" style="146" customWidth="1"/>
    <col min="4099" max="4099" width="8.5703125" style="146" customWidth="1"/>
    <col min="4100" max="4100" width="17.5703125" style="146" customWidth="1"/>
    <col min="4101" max="4101" width="15.28515625" style="146" customWidth="1"/>
    <col min="4102" max="4102" width="48.7109375" style="146" customWidth="1"/>
    <col min="4103" max="4103" width="24.5703125" style="146" customWidth="1"/>
    <col min="4104" max="4104" width="48.7109375" style="146" customWidth="1"/>
    <col min="4105" max="4105" width="8.140625" style="146" customWidth="1"/>
    <col min="4106" max="4106" width="38.7109375" style="146" customWidth="1"/>
    <col min="4107" max="4107" width="21.140625" style="146" customWidth="1"/>
    <col min="4108" max="4108" width="82" style="146" customWidth="1"/>
    <col min="4109" max="4352" width="9.140625" style="146"/>
    <col min="4353" max="4353" width="11.140625" style="146" customWidth="1"/>
    <col min="4354" max="4354" width="77.28515625" style="146" customWidth="1"/>
    <col min="4355" max="4355" width="8.5703125" style="146" customWidth="1"/>
    <col min="4356" max="4356" width="17.5703125" style="146" customWidth="1"/>
    <col min="4357" max="4357" width="15.28515625" style="146" customWidth="1"/>
    <col min="4358" max="4358" width="48.7109375" style="146" customWidth="1"/>
    <col min="4359" max="4359" width="24.5703125" style="146" customWidth="1"/>
    <col min="4360" max="4360" width="48.7109375" style="146" customWidth="1"/>
    <col min="4361" max="4361" width="8.140625" style="146" customWidth="1"/>
    <col min="4362" max="4362" width="38.7109375" style="146" customWidth="1"/>
    <col min="4363" max="4363" width="21.140625" style="146" customWidth="1"/>
    <col min="4364" max="4364" width="82" style="146" customWidth="1"/>
    <col min="4365" max="4608" width="9.140625" style="146"/>
    <col min="4609" max="4609" width="11.140625" style="146" customWidth="1"/>
    <col min="4610" max="4610" width="77.28515625" style="146" customWidth="1"/>
    <col min="4611" max="4611" width="8.5703125" style="146" customWidth="1"/>
    <col min="4612" max="4612" width="17.5703125" style="146" customWidth="1"/>
    <col min="4613" max="4613" width="15.28515625" style="146" customWidth="1"/>
    <col min="4614" max="4614" width="48.7109375" style="146" customWidth="1"/>
    <col min="4615" max="4615" width="24.5703125" style="146" customWidth="1"/>
    <col min="4616" max="4616" width="48.7109375" style="146" customWidth="1"/>
    <col min="4617" max="4617" width="8.140625" style="146" customWidth="1"/>
    <col min="4618" max="4618" width="38.7109375" style="146" customWidth="1"/>
    <col min="4619" max="4619" width="21.140625" style="146" customWidth="1"/>
    <col min="4620" max="4620" width="82" style="146" customWidth="1"/>
    <col min="4621" max="4864" width="9.140625" style="146"/>
    <col min="4865" max="4865" width="11.140625" style="146" customWidth="1"/>
    <col min="4866" max="4866" width="77.28515625" style="146" customWidth="1"/>
    <col min="4867" max="4867" width="8.5703125" style="146" customWidth="1"/>
    <col min="4868" max="4868" width="17.5703125" style="146" customWidth="1"/>
    <col min="4869" max="4869" width="15.28515625" style="146" customWidth="1"/>
    <col min="4870" max="4870" width="48.7109375" style="146" customWidth="1"/>
    <col min="4871" max="4871" width="24.5703125" style="146" customWidth="1"/>
    <col min="4872" max="4872" width="48.7109375" style="146" customWidth="1"/>
    <col min="4873" max="4873" width="8.140625" style="146" customWidth="1"/>
    <col min="4874" max="4874" width="38.7109375" style="146" customWidth="1"/>
    <col min="4875" max="4875" width="21.140625" style="146" customWidth="1"/>
    <col min="4876" max="4876" width="82" style="146" customWidth="1"/>
    <col min="4877" max="5120" width="9.140625" style="146"/>
    <col min="5121" max="5121" width="11.140625" style="146" customWidth="1"/>
    <col min="5122" max="5122" width="77.28515625" style="146" customWidth="1"/>
    <col min="5123" max="5123" width="8.5703125" style="146" customWidth="1"/>
    <col min="5124" max="5124" width="17.5703125" style="146" customWidth="1"/>
    <col min="5125" max="5125" width="15.28515625" style="146" customWidth="1"/>
    <col min="5126" max="5126" width="48.7109375" style="146" customWidth="1"/>
    <col min="5127" max="5127" width="24.5703125" style="146" customWidth="1"/>
    <col min="5128" max="5128" width="48.7109375" style="146" customWidth="1"/>
    <col min="5129" max="5129" width="8.140625" style="146" customWidth="1"/>
    <col min="5130" max="5130" width="38.7109375" style="146" customWidth="1"/>
    <col min="5131" max="5131" width="21.140625" style="146" customWidth="1"/>
    <col min="5132" max="5132" width="82" style="146" customWidth="1"/>
    <col min="5133" max="5376" width="9.140625" style="146"/>
    <col min="5377" max="5377" width="11.140625" style="146" customWidth="1"/>
    <col min="5378" max="5378" width="77.28515625" style="146" customWidth="1"/>
    <col min="5379" max="5379" width="8.5703125" style="146" customWidth="1"/>
    <col min="5380" max="5380" width="17.5703125" style="146" customWidth="1"/>
    <col min="5381" max="5381" width="15.28515625" style="146" customWidth="1"/>
    <col min="5382" max="5382" width="48.7109375" style="146" customWidth="1"/>
    <col min="5383" max="5383" width="24.5703125" style="146" customWidth="1"/>
    <col min="5384" max="5384" width="48.7109375" style="146" customWidth="1"/>
    <col min="5385" max="5385" width="8.140625" style="146" customWidth="1"/>
    <col min="5386" max="5386" width="38.7109375" style="146" customWidth="1"/>
    <col min="5387" max="5387" width="21.140625" style="146" customWidth="1"/>
    <col min="5388" max="5388" width="82" style="146" customWidth="1"/>
    <col min="5389" max="5632" width="9.140625" style="146"/>
    <col min="5633" max="5633" width="11.140625" style="146" customWidth="1"/>
    <col min="5634" max="5634" width="77.28515625" style="146" customWidth="1"/>
    <col min="5635" max="5635" width="8.5703125" style="146" customWidth="1"/>
    <col min="5636" max="5636" width="17.5703125" style="146" customWidth="1"/>
    <col min="5637" max="5637" width="15.28515625" style="146" customWidth="1"/>
    <col min="5638" max="5638" width="48.7109375" style="146" customWidth="1"/>
    <col min="5639" max="5639" width="24.5703125" style="146" customWidth="1"/>
    <col min="5640" max="5640" width="48.7109375" style="146" customWidth="1"/>
    <col min="5641" max="5641" width="8.140625" style="146" customWidth="1"/>
    <col min="5642" max="5642" width="38.7109375" style="146" customWidth="1"/>
    <col min="5643" max="5643" width="21.140625" style="146" customWidth="1"/>
    <col min="5644" max="5644" width="82" style="146" customWidth="1"/>
    <col min="5645" max="5888" width="9.140625" style="146"/>
    <col min="5889" max="5889" width="11.140625" style="146" customWidth="1"/>
    <col min="5890" max="5890" width="77.28515625" style="146" customWidth="1"/>
    <col min="5891" max="5891" width="8.5703125" style="146" customWidth="1"/>
    <col min="5892" max="5892" width="17.5703125" style="146" customWidth="1"/>
    <col min="5893" max="5893" width="15.28515625" style="146" customWidth="1"/>
    <col min="5894" max="5894" width="48.7109375" style="146" customWidth="1"/>
    <col min="5895" max="5895" width="24.5703125" style="146" customWidth="1"/>
    <col min="5896" max="5896" width="48.7109375" style="146" customWidth="1"/>
    <col min="5897" max="5897" width="8.140625" style="146" customWidth="1"/>
    <col min="5898" max="5898" width="38.7109375" style="146" customWidth="1"/>
    <col min="5899" max="5899" width="21.140625" style="146" customWidth="1"/>
    <col min="5900" max="5900" width="82" style="146" customWidth="1"/>
    <col min="5901" max="6144" width="9.140625" style="146"/>
    <col min="6145" max="6145" width="11.140625" style="146" customWidth="1"/>
    <col min="6146" max="6146" width="77.28515625" style="146" customWidth="1"/>
    <col min="6147" max="6147" width="8.5703125" style="146" customWidth="1"/>
    <col min="6148" max="6148" width="17.5703125" style="146" customWidth="1"/>
    <col min="6149" max="6149" width="15.28515625" style="146" customWidth="1"/>
    <col min="6150" max="6150" width="48.7109375" style="146" customWidth="1"/>
    <col min="6151" max="6151" width="24.5703125" style="146" customWidth="1"/>
    <col min="6152" max="6152" width="48.7109375" style="146" customWidth="1"/>
    <col min="6153" max="6153" width="8.140625" style="146" customWidth="1"/>
    <col min="6154" max="6154" width="38.7109375" style="146" customWidth="1"/>
    <col min="6155" max="6155" width="21.140625" style="146" customWidth="1"/>
    <col min="6156" max="6156" width="82" style="146" customWidth="1"/>
    <col min="6157" max="6400" width="9.140625" style="146"/>
    <col min="6401" max="6401" width="11.140625" style="146" customWidth="1"/>
    <col min="6402" max="6402" width="77.28515625" style="146" customWidth="1"/>
    <col min="6403" max="6403" width="8.5703125" style="146" customWidth="1"/>
    <col min="6404" max="6404" width="17.5703125" style="146" customWidth="1"/>
    <col min="6405" max="6405" width="15.28515625" style="146" customWidth="1"/>
    <col min="6406" max="6406" width="48.7109375" style="146" customWidth="1"/>
    <col min="6407" max="6407" width="24.5703125" style="146" customWidth="1"/>
    <col min="6408" max="6408" width="48.7109375" style="146" customWidth="1"/>
    <col min="6409" max="6409" width="8.140625" style="146" customWidth="1"/>
    <col min="6410" max="6410" width="38.7109375" style="146" customWidth="1"/>
    <col min="6411" max="6411" width="21.140625" style="146" customWidth="1"/>
    <col min="6412" max="6412" width="82" style="146" customWidth="1"/>
    <col min="6413" max="6656" width="9.140625" style="146"/>
    <col min="6657" max="6657" width="11.140625" style="146" customWidth="1"/>
    <col min="6658" max="6658" width="77.28515625" style="146" customWidth="1"/>
    <col min="6659" max="6659" width="8.5703125" style="146" customWidth="1"/>
    <col min="6660" max="6660" width="17.5703125" style="146" customWidth="1"/>
    <col min="6661" max="6661" width="15.28515625" style="146" customWidth="1"/>
    <col min="6662" max="6662" width="48.7109375" style="146" customWidth="1"/>
    <col min="6663" max="6663" width="24.5703125" style="146" customWidth="1"/>
    <col min="6664" max="6664" width="48.7109375" style="146" customWidth="1"/>
    <col min="6665" max="6665" width="8.140625" style="146" customWidth="1"/>
    <col min="6666" max="6666" width="38.7109375" style="146" customWidth="1"/>
    <col min="6667" max="6667" width="21.140625" style="146" customWidth="1"/>
    <col min="6668" max="6668" width="82" style="146" customWidth="1"/>
    <col min="6669" max="6912" width="9.140625" style="146"/>
    <col min="6913" max="6913" width="11.140625" style="146" customWidth="1"/>
    <col min="6914" max="6914" width="77.28515625" style="146" customWidth="1"/>
    <col min="6915" max="6915" width="8.5703125" style="146" customWidth="1"/>
    <col min="6916" max="6916" width="17.5703125" style="146" customWidth="1"/>
    <col min="6917" max="6917" width="15.28515625" style="146" customWidth="1"/>
    <col min="6918" max="6918" width="48.7109375" style="146" customWidth="1"/>
    <col min="6919" max="6919" width="24.5703125" style="146" customWidth="1"/>
    <col min="6920" max="6920" width="48.7109375" style="146" customWidth="1"/>
    <col min="6921" max="6921" width="8.140625" style="146" customWidth="1"/>
    <col min="6922" max="6922" width="38.7109375" style="146" customWidth="1"/>
    <col min="6923" max="6923" width="21.140625" style="146" customWidth="1"/>
    <col min="6924" max="6924" width="82" style="146" customWidth="1"/>
    <col min="6925" max="7168" width="9.140625" style="146"/>
    <col min="7169" max="7169" width="11.140625" style="146" customWidth="1"/>
    <col min="7170" max="7170" width="77.28515625" style="146" customWidth="1"/>
    <col min="7171" max="7171" width="8.5703125" style="146" customWidth="1"/>
    <col min="7172" max="7172" width="17.5703125" style="146" customWidth="1"/>
    <col min="7173" max="7173" width="15.28515625" style="146" customWidth="1"/>
    <col min="7174" max="7174" width="48.7109375" style="146" customWidth="1"/>
    <col min="7175" max="7175" width="24.5703125" style="146" customWidth="1"/>
    <col min="7176" max="7176" width="48.7109375" style="146" customWidth="1"/>
    <col min="7177" max="7177" width="8.140625" style="146" customWidth="1"/>
    <col min="7178" max="7178" width="38.7109375" style="146" customWidth="1"/>
    <col min="7179" max="7179" width="21.140625" style="146" customWidth="1"/>
    <col min="7180" max="7180" width="82" style="146" customWidth="1"/>
    <col min="7181" max="7424" width="9.140625" style="146"/>
    <col min="7425" max="7425" width="11.140625" style="146" customWidth="1"/>
    <col min="7426" max="7426" width="77.28515625" style="146" customWidth="1"/>
    <col min="7427" max="7427" width="8.5703125" style="146" customWidth="1"/>
    <col min="7428" max="7428" width="17.5703125" style="146" customWidth="1"/>
    <col min="7429" max="7429" width="15.28515625" style="146" customWidth="1"/>
    <col min="7430" max="7430" width="48.7109375" style="146" customWidth="1"/>
    <col min="7431" max="7431" width="24.5703125" style="146" customWidth="1"/>
    <col min="7432" max="7432" width="48.7109375" style="146" customWidth="1"/>
    <col min="7433" max="7433" width="8.140625" style="146" customWidth="1"/>
    <col min="7434" max="7434" width="38.7109375" style="146" customWidth="1"/>
    <col min="7435" max="7435" width="21.140625" style="146" customWidth="1"/>
    <col min="7436" max="7436" width="82" style="146" customWidth="1"/>
    <col min="7437" max="7680" width="9.140625" style="146"/>
    <col min="7681" max="7681" width="11.140625" style="146" customWidth="1"/>
    <col min="7682" max="7682" width="77.28515625" style="146" customWidth="1"/>
    <col min="7683" max="7683" width="8.5703125" style="146" customWidth="1"/>
    <col min="7684" max="7684" width="17.5703125" style="146" customWidth="1"/>
    <col min="7685" max="7685" width="15.28515625" style="146" customWidth="1"/>
    <col min="7686" max="7686" width="48.7109375" style="146" customWidth="1"/>
    <col min="7687" max="7687" width="24.5703125" style="146" customWidth="1"/>
    <col min="7688" max="7688" width="48.7109375" style="146" customWidth="1"/>
    <col min="7689" max="7689" width="8.140625" style="146" customWidth="1"/>
    <col min="7690" max="7690" width="38.7109375" style="146" customWidth="1"/>
    <col min="7691" max="7691" width="21.140625" style="146" customWidth="1"/>
    <col min="7692" max="7692" width="82" style="146" customWidth="1"/>
    <col min="7693" max="7936" width="9.140625" style="146"/>
    <col min="7937" max="7937" width="11.140625" style="146" customWidth="1"/>
    <col min="7938" max="7938" width="77.28515625" style="146" customWidth="1"/>
    <col min="7939" max="7939" width="8.5703125" style="146" customWidth="1"/>
    <col min="7940" max="7940" width="17.5703125" style="146" customWidth="1"/>
    <col min="7941" max="7941" width="15.28515625" style="146" customWidth="1"/>
    <col min="7942" max="7942" width="48.7109375" style="146" customWidth="1"/>
    <col min="7943" max="7943" width="24.5703125" style="146" customWidth="1"/>
    <col min="7944" max="7944" width="48.7109375" style="146" customWidth="1"/>
    <col min="7945" max="7945" width="8.140625" style="146" customWidth="1"/>
    <col min="7946" max="7946" width="38.7109375" style="146" customWidth="1"/>
    <col min="7947" max="7947" width="21.140625" style="146" customWidth="1"/>
    <col min="7948" max="7948" width="82" style="146" customWidth="1"/>
    <col min="7949" max="8192" width="9.140625" style="146"/>
    <col min="8193" max="8193" width="11.140625" style="146" customWidth="1"/>
    <col min="8194" max="8194" width="77.28515625" style="146" customWidth="1"/>
    <col min="8195" max="8195" width="8.5703125" style="146" customWidth="1"/>
    <col min="8196" max="8196" width="17.5703125" style="146" customWidth="1"/>
    <col min="8197" max="8197" width="15.28515625" style="146" customWidth="1"/>
    <col min="8198" max="8198" width="48.7109375" style="146" customWidth="1"/>
    <col min="8199" max="8199" width="24.5703125" style="146" customWidth="1"/>
    <col min="8200" max="8200" width="48.7109375" style="146" customWidth="1"/>
    <col min="8201" max="8201" width="8.140625" style="146" customWidth="1"/>
    <col min="8202" max="8202" width="38.7109375" style="146" customWidth="1"/>
    <col min="8203" max="8203" width="21.140625" style="146" customWidth="1"/>
    <col min="8204" max="8204" width="82" style="146" customWidth="1"/>
    <col min="8205" max="8448" width="9.140625" style="146"/>
    <col min="8449" max="8449" width="11.140625" style="146" customWidth="1"/>
    <col min="8450" max="8450" width="77.28515625" style="146" customWidth="1"/>
    <col min="8451" max="8451" width="8.5703125" style="146" customWidth="1"/>
    <col min="8452" max="8452" width="17.5703125" style="146" customWidth="1"/>
    <col min="8453" max="8453" width="15.28515625" style="146" customWidth="1"/>
    <col min="8454" max="8454" width="48.7109375" style="146" customWidth="1"/>
    <col min="8455" max="8455" width="24.5703125" style="146" customWidth="1"/>
    <col min="8456" max="8456" width="48.7109375" style="146" customWidth="1"/>
    <col min="8457" max="8457" width="8.140625" style="146" customWidth="1"/>
    <col min="8458" max="8458" width="38.7109375" style="146" customWidth="1"/>
    <col min="8459" max="8459" width="21.140625" style="146" customWidth="1"/>
    <col min="8460" max="8460" width="82" style="146" customWidth="1"/>
    <col min="8461" max="8704" width="9.140625" style="146"/>
    <col min="8705" max="8705" width="11.140625" style="146" customWidth="1"/>
    <col min="8706" max="8706" width="77.28515625" style="146" customWidth="1"/>
    <col min="8707" max="8707" width="8.5703125" style="146" customWidth="1"/>
    <col min="8708" max="8708" width="17.5703125" style="146" customWidth="1"/>
    <col min="8709" max="8709" width="15.28515625" style="146" customWidth="1"/>
    <col min="8710" max="8710" width="48.7109375" style="146" customWidth="1"/>
    <col min="8711" max="8711" width="24.5703125" style="146" customWidth="1"/>
    <col min="8712" max="8712" width="48.7109375" style="146" customWidth="1"/>
    <col min="8713" max="8713" width="8.140625" style="146" customWidth="1"/>
    <col min="8714" max="8714" width="38.7109375" style="146" customWidth="1"/>
    <col min="8715" max="8715" width="21.140625" style="146" customWidth="1"/>
    <col min="8716" max="8716" width="82" style="146" customWidth="1"/>
    <col min="8717" max="8960" width="9.140625" style="146"/>
    <col min="8961" max="8961" width="11.140625" style="146" customWidth="1"/>
    <col min="8962" max="8962" width="77.28515625" style="146" customWidth="1"/>
    <col min="8963" max="8963" width="8.5703125" style="146" customWidth="1"/>
    <col min="8964" max="8964" width="17.5703125" style="146" customWidth="1"/>
    <col min="8965" max="8965" width="15.28515625" style="146" customWidth="1"/>
    <col min="8966" max="8966" width="48.7109375" style="146" customWidth="1"/>
    <col min="8967" max="8967" width="24.5703125" style="146" customWidth="1"/>
    <col min="8968" max="8968" width="48.7109375" style="146" customWidth="1"/>
    <col min="8969" max="8969" width="8.140625" style="146" customWidth="1"/>
    <col min="8970" max="8970" width="38.7109375" style="146" customWidth="1"/>
    <col min="8971" max="8971" width="21.140625" style="146" customWidth="1"/>
    <col min="8972" max="8972" width="82" style="146" customWidth="1"/>
    <col min="8973" max="9216" width="9.140625" style="146"/>
    <col min="9217" max="9217" width="11.140625" style="146" customWidth="1"/>
    <col min="9218" max="9218" width="77.28515625" style="146" customWidth="1"/>
    <col min="9219" max="9219" width="8.5703125" style="146" customWidth="1"/>
    <col min="9220" max="9220" width="17.5703125" style="146" customWidth="1"/>
    <col min="9221" max="9221" width="15.28515625" style="146" customWidth="1"/>
    <col min="9222" max="9222" width="48.7109375" style="146" customWidth="1"/>
    <col min="9223" max="9223" width="24.5703125" style="146" customWidth="1"/>
    <col min="9224" max="9224" width="48.7109375" style="146" customWidth="1"/>
    <col min="9225" max="9225" width="8.140625" style="146" customWidth="1"/>
    <col min="9226" max="9226" width="38.7109375" style="146" customWidth="1"/>
    <col min="9227" max="9227" width="21.140625" style="146" customWidth="1"/>
    <col min="9228" max="9228" width="82" style="146" customWidth="1"/>
    <col min="9229" max="9472" width="9.140625" style="146"/>
    <col min="9473" max="9473" width="11.140625" style="146" customWidth="1"/>
    <col min="9474" max="9474" width="77.28515625" style="146" customWidth="1"/>
    <col min="9475" max="9475" width="8.5703125" style="146" customWidth="1"/>
    <col min="9476" max="9476" width="17.5703125" style="146" customWidth="1"/>
    <col min="9477" max="9477" width="15.28515625" style="146" customWidth="1"/>
    <col min="9478" max="9478" width="48.7109375" style="146" customWidth="1"/>
    <col min="9479" max="9479" width="24.5703125" style="146" customWidth="1"/>
    <col min="9480" max="9480" width="48.7109375" style="146" customWidth="1"/>
    <col min="9481" max="9481" width="8.140625" style="146" customWidth="1"/>
    <col min="9482" max="9482" width="38.7109375" style="146" customWidth="1"/>
    <col min="9483" max="9483" width="21.140625" style="146" customWidth="1"/>
    <col min="9484" max="9484" width="82" style="146" customWidth="1"/>
    <col min="9485" max="9728" width="9.140625" style="146"/>
    <col min="9729" max="9729" width="11.140625" style="146" customWidth="1"/>
    <col min="9730" max="9730" width="77.28515625" style="146" customWidth="1"/>
    <col min="9731" max="9731" width="8.5703125" style="146" customWidth="1"/>
    <col min="9732" max="9732" width="17.5703125" style="146" customWidth="1"/>
    <col min="9733" max="9733" width="15.28515625" style="146" customWidth="1"/>
    <col min="9734" max="9734" width="48.7109375" style="146" customWidth="1"/>
    <col min="9735" max="9735" width="24.5703125" style="146" customWidth="1"/>
    <col min="9736" max="9736" width="48.7109375" style="146" customWidth="1"/>
    <col min="9737" max="9737" width="8.140625" style="146" customWidth="1"/>
    <col min="9738" max="9738" width="38.7109375" style="146" customWidth="1"/>
    <col min="9739" max="9739" width="21.140625" style="146" customWidth="1"/>
    <col min="9740" max="9740" width="82" style="146" customWidth="1"/>
    <col min="9741" max="9984" width="9.140625" style="146"/>
    <col min="9985" max="9985" width="11.140625" style="146" customWidth="1"/>
    <col min="9986" max="9986" width="77.28515625" style="146" customWidth="1"/>
    <col min="9987" max="9987" width="8.5703125" style="146" customWidth="1"/>
    <col min="9988" max="9988" width="17.5703125" style="146" customWidth="1"/>
    <col min="9989" max="9989" width="15.28515625" style="146" customWidth="1"/>
    <col min="9990" max="9990" width="48.7109375" style="146" customWidth="1"/>
    <col min="9991" max="9991" width="24.5703125" style="146" customWidth="1"/>
    <col min="9992" max="9992" width="48.7109375" style="146" customWidth="1"/>
    <col min="9993" max="9993" width="8.140625" style="146" customWidth="1"/>
    <col min="9994" max="9994" width="38.7109375" style="146" customWidth="1"/>
    <col min="9995" max="9995" width="21.140625" style="146" customWidth="1"/>
    <col min="9996" max="9996" width="82" style="146" customWidth="1"/>
    <col min="9997" max="10240" width="9.140625" style="146"/>
    <col min="10241" max="10241" width="11.140625" style="146" customWidth="1"/>
    <col min="10242" max="10242" width="77.28515625" style="146" customWidth="1"/>
    <col min="10243" max="10243" width="8.5703125" style="146" customWidth="1"/>
    <col min="10244" max="10244" width="17.5703125" style="146" customWidth="1"/>
    <col min="10245" max="10245" width="15.28515625" style="146" customWidth="1"/>
    <col min="10246" max="10246" width="48.7109375" style="146" customWidth="1"/>
    <col min="10247" max="10247" width="24.5703125" style="146" customWidth="1"/>
    <col min="10248" max="10248" width="48.7109375" style="146" customWidth="1"/>
    <col min="10249" max="10249" width="8.140625" style="146" customWidth="1"/>
    <col min="10250" max="10250" width="38.7109375" style="146" customWidth="1"/>
    <col min="10251" max="10251" width="21.140625" style="146" customWidth="1"/>
    <col min="10252" max="10252" width="82" style="146" customWidth="1"/>
    <col min="10253" max="10496" width="9.140625" style="146"/>
    <col min="10497" max="10497" width="11.140625" style="146" customWidth="1"/>
    <col min="10498" max="10498" width="77.28515625" style="146" customWidth="1"/>
    <col min="10499" max="10499" width="8.5703125" style="146" customWidth="1"/>
    <col min="10500" max="10500" width="17.5703125" style="146" customWidth="1"/>
    <col min="10501" max="10501" width="15.28515625" style="146" customWidth="1"/>
    <col min="10502" max="10502" width="48.7109375" style="146" customWidth="1"/>
    <col min="10503" max="10503" width="24.5703125" style="146" customWidth="1"/>
    <col min="10504" max="10504" width="48.7109375" style="146" customWidth="1"/>
    <col min="10505" max="10505" width="8.140625" style="146" customWidth="1"/>
    <col min="10506" max="10506" width="38.7109375" style="146" customWidth="1"/>
    <col min="10507" max="10507" width="21.140625" style="146" customWidth="1"/>
    <col min="10508" max="10508" width="82" style="146" customWidth="1"/>
    <col min="10509" max="10752" width="9.140625" style="146"/>
    <col min="10753" max="10753" width="11.140625" style="146" customWidth="1"/>
    <col min="10754" max="10754" width="77.28515625" style="146" customWidth="1"/>
    <col min="10755" max="10755" width="8.5703125" style="146" customWidth="1"/>
    <col min="10756" max="10756" width="17.5703125" style="146" customWidth="1"/>
    <col min="10757" max="10757" width="15.28515625" style="146" customWidth="1"/>
    <col min="10758" max="10758" width="48.7109375" style="146" customWidth="1"/>
    <col min="10759" max="10759" width="24.5703125" style="146" customWidth="1"/>
    <col min="10760" max="10760" width="48.7109375" style="146" customWidth="1"/>
    <col min="10761" max="10761" width="8.140625" style="146" customWidth="1"/>
    <col min="10762" max="10762" width="38.7109375" style="146" customWidth="1"/>
    <col min="10763" max="10763" width="21.140625" style="146" customWidth="1"/>
    <col min="10764" max="10764" width="82" style="146" customWidth="1"/>
    <col min="10765" max="11008" width="9.140625" style="146"/>
    <col min="11009" max="11009" width="11.140625" style="146" customWidth="1"/>
    <col min="11010" max="11010" width="77.28515625" style="146" customWidth="1"/>
    <col min="11011" max="11011" width="8.5703125" style="146" customWidth="1"/>
    <col min="11012" max="11012" width="17.5703125" style="146" customWidth="1"/>
    <col min="11013" max="11013" width="15.28515625" style="146" customWidth="1"/>
    <col min="11014" max="11014" width="48.7109375" style="146" customWidth="1"/>
    <col min="11015" max="11015" width="24.5703125" style="146" customWidth="1"/>
    <col min="11016" max="11016" width="48.7109375" style="146" customWidth="1"/>
    <col min="11017" max="11017" width="8.140625" style="146" customWidth="1"/>
    <col min="11018" max="11018" width="38.7109375" style="146" customWidth="1"/>
    <col min="11019" max="11019" width="21.140625" style="146" customWidth="1"/>
    <col min="11020" max="11020" width="82" style="146" customWidth="1"/>
    <col min="11021" max="11264" width="9.140625" style="146"/>
    <col min="11265" max="11265" width="11.140625" style="146" customWidth="1"/>
    <col min="11266" max="11266" width="77.28515625" style="146" customWidth="1"/>
    <col min="11267" max="11267" width="8.5703125" style="146" customWidth="1"/>
    <col min="11268" max="11268" width="17.5703125" style="146" customWidth="1"/>
    <col min="11269" max="11269" width="15.28515625" style="146" customWidth="1"/>
    <col min="11270" max="11270" width="48.7109375" style="146" customWidth="1"/>
    <col min="11271" max="11271" width="24.5703125" style="146" customWidth="1"/>
    <col min="11272" max="11272" width="48.7109375" style="146" customWidth="1"/>
    <col min="11273" max="11273" width="8.140625" style="146" customWidth="1"/>
    <col min="11274" max="11274" width="38.7109375" style="146" customWidth="1"/>
    <col min="11275" max="11275" width="21.140625" style="146" customWidth="1"/>
    <col min="11276" max="11276" width="82" style="146" customWidth="1"/>
    <col min="11277" max="11520" width="9.140625" style="146"/>
    <col min="11521" max="11521" width="11.140625" style="146" customWidth="1"/>
    <col min="11522" max="11522" width="77.28515625" style="146" customWidth="1"/>
    <col min="11523" max="11523" width="8.5703125" style="146" customWidth="1"/>
    <col min="11524" max="11524" width="17.5703125" style="146" customWidth="1"/>
    <col min="11525" max="11525" width="15.28515625" style="146" customWidth="1"/>
    <col min="11526" max="11526" width="48.7109375" style="146" customWidth="1"/>
    <col min="11527" max="11527" width="24.5703125" style="146" customWidth="1"/>
    <col min="11528" max="11528" width="48.7109375" style="146" customWidth="1"/>
    <col min="11529" max="11529" width="8.140625" style="146" customWidth="1"/>
    <col min="11530" max="11530" width="38.7109375" style="146" customWidth="1"/>
    <col min="11531" max="11531" width="21.140625" style="146" customWidth="1"/>
    <col min="11532" max="11532" width="82" style="146" customWidth="1"/>
    <col min="11533" max="11776" width="9.140625" style="146"/>
    <col min="11777" max="11777" width="11.140625" style="146" customWidth="1"/>
    <col min="11778" max="11778" width="77.28515625" style="146" customWidth="1"/>
    <col min="11779" max="11779" width="8.5703125" style="146" customWidth="1"/>
    <col min="11780" max="11780" width="17.5703125" style="146" customWidth="1"/>
    <col min="11781" max="11781" width="15.28515625" style="146" customWidth="1"/>
    <col min="11782" max="11782" width="48.7109375" style="146" customWidth="1"/>
    <col min="11783" max="11783" width="24.5703125" style="146" customWidth="1"/>
    <col min="11784" max="11784" width="48.7109375" style="146" customWidth="1"/>
    <col min="11785" max="11785" width="8.140625" style="146" customWidth="1"/>
    <col min="11786" max="11786" width="38.7109375" style="146" customWidth="1"/>
    <col min="11787" max="11787" width="21.140625" style="146" customWidth="1"/>
    <col min="11788" max="11788" width="82" style="146" customWidth="1"/>
    <col min="11789" max="12032" width="9.140625" style="146"/>
    <col min="12033" max="12033" width="11.140625" style="146" customWidth="1"/>
    <col min="12034" max="12034" width="77.28515625" style="146" customWidth="1"/>
    <col min="12035" max="12035" width="8.5703125" style="146" customWidth="1"/>
    <col min="12036" max="12036" width="17.5703125" style="146" customWidth="1"/>
    <col min="12037" max="12037" width="15.28515625" style="146" customWidth="1"/>
    <col min="12038" max="12038" width="48.7109375" style="146" customWidth="1"/>
    <col min="12039" max="12039" width="24.5703125" style="146" customWidth="1"/>
    <col min="12040" max="12040" width="48.7109375" style="146" customWidth="1"/>
    <col min="12041" max="12041" width="8.140625" style="146" customWidth="1"/>
    <col min="12042" max="12042" width="38.7109375" style="146" customWidth="1"/>
    <col min="12043" max="12043" width="21.140625" style="146" customWidth="1"/>
    <col min="12044" max="12044" width="82" style="146" customWidth="1"/>
    <col min="12045" max="12288" width="9.140625" style="146"/>
    <col min="12289" max="12289" width="11.140625" style="146" customWidth="1"/>
    <col min="12290" max="12290" width="77.28515625" style="146" customWidth="1"/>
    <col min="12291" max="12291" width="8.5703125" style="146" customWidth="1"/>
    <col min="12292" max="12292" width="17.5703125" style="146" customWidth="1"/>
    <col min="12293" max="12293" width="15.28515625" style="146" customWidth="1"/>
    <col min="12294" max="12294" width="48.7109375" style="146" customWidth="1"/>
    <col min="12295" max="12295" width="24.5703125" style="146" customWidth="1"/>
    <col min="12296" max="12296" width="48.7109375" style="146" customWidth="1"/>
    <col min="12297" max="12297" width="8.140625" style="146" customWidth="1"/>
    <col min="12298" max="12298" width="38.7109375" style="146" customWidth="1"/>
    <col min="12299" max="12299" width="21.140625" style="146" customWidth="1"/>
    <col min="12300" max="12300" width="82" style="146" customWidth="1"/>
    <col min="12301" max="12544" width="9.140625" style="146"/>
    <col min="12545" max="12545" width="11.140625" style="146" customWidth="1"/>
    <col min="12546" max="12546" width="77.28515625" style="146" customWidth="1"/>
    <col min="12547" max="12547" width="8.5703125" style="146" customWidth="1"/>
    <col min="12548" max="12548" width="17.5703125" style="146" customWidth="1"/>
    <col min="12549" max="12549" width="15.28515625" style="146" customWidth="1"/>
    <col min="12550" max="12550" width="48.7109375" style="146" customWidth="1"/>
    <col min="12551" max="12551" width="24.5703125" style="146" customWidth="1"/>
    <col min="12552" max="12552" width="48.7109375" style="146" customWidth="1"/>
    <col min="12553" max="12553" width="8.140625" style="146" customWidth="1"/>
    <col min="12554" max="12554" width="38.7109375" style="146" customWidth="1"/>
    <col min="12555" max="12555" width="21.140625" style="146" customWidth="1"/>
    <col min="12556" max="12556" width="82" style="146" customWidth="1"/>
    <col min="12557" max="12800" width="9.140625" style="146"/>
    <col min="12801" max="12801" width="11.140625" style="146" customWidth="1"/>
    <col min="12802" max="12802" width="77.28515625" style="146" customWidth="1"/>
    <col min="12803" max="12803" width="8.5703125" style="146" customWidth="1"/>
    <col min="12804" max="12804" width="17.5703125" style="146" customWidth="1"/>
    <col min="12805" max="12805" width="15.28515625" style="146" customWidth="1"/>
    <col min="12806" max="12806" width="48.7109375" style="146" customWidth="1"/>
    <col min="12807" max="12807" width="24.5703125" style="146" customWidth="1"/>
    <col min="12808" max="12808" width="48.7109375" style="146" customWidth="1"/>
    <col min="12809" max="12809" width="8.140625" style="146" customWidth="1"/>
    <col min="12810" max="12810" width="38.7109375" style="146" customWidth="1"/>
    <col min="12811" max="12811" width="21.140625" style="146" customWidth="1"/>
    <col min="12812" max="12812" width="82" style="146" customWidth="1"/>
    <col min="12813" max="13056" width="9.140625" style="146"/>
    <col min="13057" max="13057" width="11.140625" style="146" customWidth="1"/>
    <col min="13058" max="13058" width="77.28515625" style="146" customWidth="1"/>
    <col min="13059" max="13059" width="8.5703125" style="146" customWidth="1"/>
    <col min="13060" max="13060" width="17.5703125" style="146" customWidth="1"/>
    <col min="13061" max="13061" width="15.28515625" style="146" customWidth="1"/>
    <col min="13062" max="13062" width="48.7109375" style="146" customWidth="1"/>
    <col min="13063" max="13063" width="24.5703125" style="146" customWidth="1"/>
    <col min="13064" max="13064" width="48.7109375" style="146" customWidth="1"/>
    <col min="13065" max="13065" width="8.140625" style="146" customWidth="1"/>
    <col min="13066" max="13066" width="38.7109375" style="146" customWidth="1"/>
    <col min="13067" max="13067" width="21.140625" style="146" customWidth="1"/>
    <col min="13068" max="13068" width="82" style="146" customWidth="1"/>
    <col min="13069" max="13312" width="9.140625" style="146"/>
    <col min="13313" max="13313" width="11.140625" style="146" customWidth="1"/>
    <col min="13314" max="13314" width="77.28515625" style="146" customWidth="1"/>
    <col min="13315" max="13315" width="8.5703125" style="146" customWidth="1"/>
    <col min="13316" max="13316" width="17.5703125" style="146" customWidth="1"/>
    <col min="13317" max="13317" width="15.28515625" style="146" customWidth="1"/>
    <col min="13318" max="13318" width="48.7109375" style="146" customWidth="1"/>
    <col min="13319" max="13319" width="24.5703125" style="146" customWidth="1"/>
    <col min="13320" max="13320" width="48.7109375" style="146" customWidth="1"/>
    <col min="13321" max="13321" width="8.140625" style="146" customWidth="1"/>
    <col min="13322" max="13322" width="38.7109375" style="146" customWidth="1"/>
    <col min="13323" max="13323" width="21.140625" style="146" customWidth="1"/>
    <col min="13324" max="13324" width="82" style="146" customWidth="1"/>
    <col min="13325" max="13568" width="9.140625" style="146"/>
    <col min="13569" max="13569" width="11.140625" style="146" customWidth="1"/>
    <col min="13570" max="13570" width="77.28515625" style="146" customWidth="1"/>
    <col min="13571" max="13571" width="8.5703125" style="146" customWidth="1"/>
    <col min="13572" max="13572" width="17.5703125" style="146" customWidth="1"/>
    <col min="13573" max="13573" width="15.28515625" style="146" customWidth="1"/>
    <col min="13574" max="13574" width="48.7109375" style="146" customWidth="1"/>
    <col min="13575" max="13575" width="24.5703125" style="146" customWidth="1"/>
    <col min="13576" max="13576" width="48.7109375" style="146" customWidth="1"/>
    <col min="13577" max="13577" width="8.140625" style="146" customWidth="1"/>
    <col min="13578" max="13578" width="38.7109375" style="146" customWidth="1"/>
    <col min="13579" max="13579" width="21.140625" style="146" customWidth="1"/>
    <col min="13580" max="13580" width="82" style="146" customWidth="1"/>
    <col min="13581" max="13824" width="9.140625" style="146"/>
    <col min="13825" max="13825" width="11.140625" style="146" customWidth="1"/>
    <col min="13826" max="13826" width="77.28515625" style="146" customWidth="1"/>
    <col min="13827" max="13827" width="8.5703125" style="146" customWidth="1"/>
    <col min="13828" max="13828" width="17.5703125" style="146" customWidth="1"/>
    <col min="13829" max="13829" width="15.28515625" style="146" customWidth="1"/>
    <col min="13830" max="13830" width="48.7109375" style="146" customWidth="1"/>
    <col min="13831" max="13831" width="24.5703125" style="146" customWidth="1"/>
    <col min="13832" max="13832" width="48.7109375" style="146" customWidth="1"/>
    <col min="13833" max="13833" width="8.140625" style="146" customWidth="1"/>
    <col min="13834" max="13834" width="38.7109375" style="146" customWidth="1"/>
    <col min="13835" max="13835" width="21.140625" style="146" customWidth="1"/>
    <col min="13836" max="13836" width="82" style="146" customWidth="1"/>
    <col min="13837" max="14080" width="9.140625" style="146"/>
    <col min="14081" max="14081" width="11.140625" style="146" customWidth="1"/>
    <col min="14082" max="14082" width="77.28515625" style="146" customWidth="1"/>
    <col min="14083" max="14083" width="8.5703125" style="146" customWidth="1"/>
    <col min="14084" max="14084" width="17.5703125" style="146" customWidth="1"/>
    <col min="14085" max="14085" width="15.28515625" style="146" customWidth="1"/>
    <col min="14086" max="14086" width="48.7109375" style="146" customWidth="1"/>
    <col min="14087" max="14087" width="24.5703125" style="146" customWidth="1"/>
    <col min="14088" max="14088" width="48.7109375" style="146" customWidth="1"/>
    <col min="14089" max="14089" width="8.140625" style="146" customWidth="1"/>
    <col min="14090" max="14090" width="38.7109375" style="146" customWidth="1"/>
    <col min="14091" max="14091" width="21.140625" style="146" customWidth="1"/>
    <col min="14092" max="14092" width="82" style="146" customWidth="1"/>
    <col min="14093" max="14336" width="9.140625" style="146"/>
    <col min="14337" max="14337" width="11.140625" style="146" customWidth="1"/>
    <col min="14338" max="14338" width="77.28515625" style="146" customWidth="1"/>
    <col min="14339" max="14339" width="8.5703125" style="146" customWidth="1"/>
    <col min="14340" max="14340" width="17.5703125" style="146" customWidth="1"/>
    <col min="14341" max="14341" width="15.28515625" style="146" customWidth="1"/>
    <col min="14342" max="14342" width="48.7109375" style="146" customWidth="1"/>
    <col min="14343" max="14343" width="24.5703125" style="146" customWidth="1"/>
    <col min="14344" max="14344" width="48.7109375" style="146" customWidth="1"/>
    <col min="14345" max="14345" width="8.140625" style="146" customWidth="1"/>
    <col min="14346" max="14346" width="38.7109375" style="146" customWidth="1"/>
    <col min="14347" max="14347" width="21.140625" style="146" customWidth="1"/>
    <col min="14348" max="14348" width="82" style="146" customWidth="1"/>
    <col min="14349" max="14592" width="9.140625" style="146"/>
    <col min="14593" max="14593" width="11.140625" style="146" customWidth="1"/>
    <col min="14594" max="14594" width="77.28515625" style="146" customWidth="1"/>
    <col min="14595" max="14595" width="8.5703125" style="146" customWidth="1"/>
    <col min="14596" max="14596" width="17.5703125" style="146" customWidth="1"/>
    <col min="14597" max="14597" width="15.28515625" style="146" customWidth="1"/>
    <col min="14598" max="14598" width="48.7109375" style="146" customWidth="1"/>
    <col min="14599" max="14599" width="24.5703125" style="146" customWidth="1"/>
    <col min="14600" max="14600" width="48.7109375" style="146" customWidth="1"/>
    <col min="14601" max="14601" width="8.140625" style="146" customWidth="1"/>
    <col min="14602" max="14602" width="38.7109375" style="146" customWidth="1"/>
    <col min="14603" max="14603" width="21.140625" style="146" customWidth="1"/>
    <col min="14604" max="14604" width="82" style="146" customWidth="1"/>
    <col min="14605" max="14848" width="9.140625" style="146"/>
    <col min="14849" max="14849" width="11.140625" style="146" customWidth="1"/>
    <col min="14850" max="14850" width="77.28515625" style="146" customWidth="1"/>
    <col min="14851" max="14851" width="8.5703125" style="146" customWidth="1"/>
    <col min="14852" max="14852" width="17.5703125" style="146" customWidth="1"/>
    <col min="14853" max="14853" width="15.28515625" style="146" customWidth="1"/>
    <col min="14854" max="14854" width="48.7109375" style="146" customWidth="1"/>
    <col min="14855" max="14855" width="24.5703125" style="146" customWidth="1"/>
    <col min="14856" max="14856" width="48.7109375" style="146" customWidth="1"/>
    <col min="14857" max="14857" width="8.140625" style="146" customWidth="1"/>
    <col min="14858" max="14858" width="38.7109375" style="146" customWidth="1"/>
    <col min="14859" max="14859" width="21.140625" style="146" customWidth="1"/>
    <col min="14860" max="14860" width="82" style="146" customWidth="1"/>
    <col min="14861" max="15104" width="9.140625" style="146"/>
    <col min="15105" max="15105" width="11.140625" style="146" customWidth="1"/>
    <col min="15106" max="15106" width="77.28515625" style="146" customWidth="1"/>
    <col min="15107" max="15107" width="8.5703125" style="146" customWidth="1"/>
    <col min="15108" max="15108" width="17.5703125" style="146" customWidth="1"/>
    <col min="15109" max="15109" width="15.28515625" style="146" customWidth="1"/>
    <col min="15110" max="15110" width="48.7109375" style="146" customWidth="1"/>
    <col min="15111" max="15111" width="24.5703125" style="146" customWidth="1"/>
    <col min="15112" max="15112" width="48.7109375" style="146" customWidth="1"/>
    <col min="15113" max="15113" width="8.140625" style="146" customWidth="1"/>
    <col min="15114" max="15114" width="38.7109375" style="146" customWidth="1"/>
    <col min="15115" max="15115" width="21.140625" style="146" customWidth="1"/>
    <col min="15116" max="15116" width="82" style="146" customWidth="1"/>
    <col min="15117" max="15360" width="9.140625" style="146"/>
    <col min="15361" max="15361" width="11.140625" style="146" customWidth="1"/>
    <col min="15362" max="15362" width="77.28515625" style="146" customWidth="1"/>
    <col min="15363" max="15363" width="8.5703125" style="146" customWidth="1"/>
    <col min="15364" max="15364" width="17.5703125" style="146" customWidth="1"/>
    <col min="15365" max="15365" width="15.28515625" style="146" customWidth="1"/>
    <col min="15366" max="15366" width="48.7109375" style="146" customWidth="1"/>
    <col min="15367" max="15367" width="24.5703125" style="146" customWidth="1"/>
    <col min="15368" max="15368" width="48.7109375" style="146" customWidth="1"/>
    <col min="15369" max="15369" width="8.140625" style="146" customWidth="1"/>
    <col min="15370" max="15370" width="38.7109375" style="146" customWidth="1"/>
    <col min="15371" max="15371" width="21.140625" style="146" customWidth="1"/>
    <col min="15372" max="15372" width="82" style="146" customWidth="1"/>
    <col min="15373" max="15616" width="9.140625" style="146"/>
    <col min="15617" max="15617" width="11.140625" style="146" customWidth="1"/>
    <col min="15618" max="15618" width="77.28515625" style="146" customWidth="1"/>
    <col min="15619" max="15619" width="8.5703125" style="146" customWidth="1"/>
    <col min="15620" max="15620" width="17.5703125" style="146" customWidth="1"/>
    <col min="15621" max="15621" width="15.28515625" style="146" customWidth="1"/>
    <col min="15622" max="15622" width="48.7109375" style="146" customWidth="1"/>
    <col min="15623" max="15623" width="24.5703125" style="146" customWidth="1"/>
    <col min="15624" max="15624" width="48.7109375" style="146" customWidth="1"/>
    <col min="15625" max="15625" width="8.140625" style="146" customWidth="1"/>
    <col min="15626" max="15626" width="38.7109375" style="146" customWidth="1"/>
    <col min="15627" max="15627" width="21.140625" style="146" customWidth="1"/>
    <col min="15628" max="15628" width="82" style="146" customWidth="1"/>
    <col min="15629" max="15872" width="9.140625" style="146"/>
    <col min="15873" max="15873" width="11.140625" style="146" customWidth="1"/>
    <col min="15874" max="15874" width="77.28515625" style="146" customWidth="1"/>
    <col min="15875" max="15875" width="8.5703125" style="146" customWidth="1"/>
    <col min="15876" max="15876" width="17.5703125" style="146" customWidth="1"/>
    <col min="15877" max="15877" width="15.28515625" style="146" customWidth="1"/>
    <col min="15878" max="15878" width="48.7109375" style="146" customWidth="1"/>
    <col min="15879" max="15879" width="24.5703125" style="146" customWidth="1"/>
    <col min="15880" max="15880" width="48.7109375" style="146" customWidth="1"/>
    <col min="15881" max="15881" width="8.140625" style="146" customWidth="1"/>
    <col min="15882" max="15882" width="38.7109375" style="146" customWidth="1"/>
    <col min="15883" max="15883" width="21.140625" style="146" customWidth="1"/>
    <col min="15884" max="15884" width="82" style="146" customWidth="1"/>
    <col min="15885" max="16128" width="9.140625" style="146"/>
    <col min="16129" max="16129" width="11.140625" style="146" customWidth="1"/>
    <col min="16130" max="16130" width="77.28515625" style="146" customWidth="1"/>
    <col min="16131" max="16131" width="8.5703125" style="146" customWidth="1"/>
    <col min="16132" max="16132" width="17.5703125" style="146" customWidth="1"/>
    <col min="16133" max="16133" width="15.28515625" style="146" customWidth="1"/>
    <col min="16134" max="16134" width="48.7109375" style="146" customWidth="1"/>
    <col min="16135" max="16135" width="24.5703125" style="146" customWidth="1"/>
    <col min="16136" max="16136" width="48.7109375" style="146" customWidth="1"/>
    <col min="16137" max="16137" width="8.140625" style="146" customWidth="1"/>
    <col min="16138" max="16138" width="38.7109375" style="146" customWidth="1"/>
    <col min="16139" max="16139" width="21.140625" style="146" customWidth="1"/>
    <col min="16140" max="16140" width="82" style="146" customWidth="1"/>
    <col min="16141" max="16384" width="9.140625" style="146"/>
  </cols>
  <sheetData>
    <row r="1" spans="1:13" s="514" customFormat="1" ht="15">
      <c r="A1" s="730" t="s">
        <v>21244</v>
      </c>
    </row>
    <row r="2" spans="1:13" s="514" customFormat="1" ht="15">
      <c r="A2" s="730" t="s">
        <v>14326</v>
      </c>
    </row>
    <row r="3" spans="1:13" s="514" customFormat="1" ht="15">
      <c r="A3" s="730" t="s">
        <v>21243</v>
      </c>
    </row>
    <row r="4" spans="1:13" s="145" customFormat="1" ht="15">
      <c r="A4" s="514"/>
      <c r="B4" s="514"/>
      <c r="C4" s="514"/>
      <c r="D4" s="514"/>
      <c r="E4" s="514"/>
      <c r="F4"/>
      <c r="G4"/>
      <c r="H4"/>
      <c r="I4"/>
      <c r="J4"/>
      <c r="K4"/>
      <c r="L4"/>
      <c r="M4"/>
    </row>
    <row r="5" spans="1:13" s="145" customFormat="1" ht="15">
      <c r="A5" s="731" t="s">
        <v>21241</v>
      </c>
      <c r="B5" s="731" t="s">
        <v>300</v>
      </c>
      <c r="C5" s="731" t="s">
        <v>301</v>
      </c>
      <c r="D5" s="731" t="s">
        <v>198</v>
      </c>
      <c r="E5" s="731" t="s">
        <v>21242</v>
      </c>
      <c r="F5" s="280"/>
      <c r="G5" s="280"/>
      <c r="H5" s="280"/>
      <c r="I5" s="280"/>
      <c r="J5" s="280"/>
      <c r="K5" s="280"/>
      <c r="L5" s="280"/>
      <c r="M5"/>
    </row>
    <row r="6" spans="1:13" ht="15">
      <c r="A6" s="281" t="s">
        <v>14327</v>
      </c>
      <c r="B6" s="281" t="s">
        <v>300</v>
      </c>
      <c r="C6" s="281" t="s">
        <v>301</v>
      </c>
      <c r="D6" s="281" t="s">
        <v>198</v>
      </c>
      <c r="E6" s="281" t="s">
        <v>9715</v>
      </c>
    </row>
    <row r="7" spans="1:13" ht="40.5">
      <c r="A7" s="271">
        <v>97141</v>
      </c>
      <c r="B7" s="272" t="s">
        <v>3343</v>
      </c>
      <c r="C7" s="272" t="s">
        <v>5</v>
      </c>
      <c r="D7" s="273" t="s">
        <v>9718</v>
      </c>
      <c r="E7" s="274" t="s">
        <v>229</v>
      </c>
    </row>
    <row r="8" spans="1:13" ht="40.5">
      <c r="A8" s="271">
        <v>97142</v>
      </c>
      <c r="B8" s="272" t="s">
        <v>3344</v>
      </c>
      <c r="C8" s="272" t="s">
        <v>5</v>
      </c>
      <c r="D8" s="273" t="s">
        <v>10490</v>
      </c>
      <c r="E8" s="274" t="s">
        <v>229</v>
      </c>
    </row>
    <row r="9" spans="1:13" ht="40.5">
      <c r="A9" s="271">
        <v>97143</v>
      </c>
      <c r="B9" s="272" t="s">
        <v>3345</v>
      </c>
      <c r="C9" s="272" t="s">
        <v>5</v>
      </c>
      <c r="D9" s="273" t="s">
        <v>10546</v>
      </c>
      <c r="E9" s="274" t="s">
        <v>229</v>
      </c>
    </row>
    <row r="10" spans="1:13" ht="40.5">
      <c r="A10" s="271">
        <v>97144</v>
      </c>
      <c r="B10" s="272" t="s">
        <v>3346</v>
      </c>
      <c r="C10" s="272" t="s">
        <v>5</v>
      </c>
      <c r="D10" s="273" t="s">
        <v>11536</v>
      </c>
      <c r="E10" s="274" t="s">
        <v>229</v>
      </c>
    </row>
    <row r="11" spans="1:13" ht="40.5">
      <c r="A11" s="271">
        <v>97145</v>
      </c>
      <c r="B11" s="272" t="s">
        <v>3347</v>
      </c>
      <c r="C11" s="272" t="s">
        <v>5</v>
      </c>
      <c r="D11" s="273" t="s">
        <v>21245</v>
      </c>
      <c r="E11" s="274" t="s">
        <v>229</v>
      </c>
    </row>
    <row r="12" spans="1:13" ht="40.5">
      <c r="A12" s="271">
        <v>97146</v>
      </c>
      <c r="B12" s="272" t="s">
        <v>3348</v>
      </c>
      <c r="C12" s="272" t="s">
        <v>5</v>
      </c>
      <c r="D12" s="273" t="s">
        <v>12468</v>
      </c>
      <c r="E12" s="274" t="s">
        <v>229</v>
      </c>
    </row>
    <row r="13" spans="1:13" ht="40.5">
      <c r="A13" s="271">
        <v>97147</v>
      </c>
      <c r="B13" s="272" t="s">
        <v>3349</v>
      </c>
      <c r="C13" s="272" t="s">
        <v>5</v>
      </c>
      <c r="D13" s="273" t="s">
        <v>9948</v>
      </c>
      <c r="E13" s="274" t="s">
        <v>229</v>
      </c>
    </row>
    <row r="14" spans="1:13" ht="40.5">
      <c r="A14" s="271">
        <v>97148</v>
      </c>
      <c r="B14" s="272" t="s">
        <v>3350</v>
      </c>
      <c r="C14" s="272" t="s">
        <v>5</v>
      </c>
      <c r="D14" s="273" t="s">
        <v>11394</v>
      </c>
      <c r="E14" s="274" t="s">
        <v>229</v>
      </c>
    </row>
    <row r="15" spans="1:13" ht="40.5">
      <c r="A15" s="271">
        <v>97149</v>
      </c>
      <c r="B15" s="272" t="s">
        <v>3351</v>
      </c>
      <c r="C15" s="272" t="s">
        <v>5</v>
      </c>
      <c r="D15" s="273" t="s">
        <v>11124</v>
      </c>
      <c r="E15" s="274" t="s">
        <v>229</v>
      </c>
    </row>
    <row r="16" spans="1:13" ht="40.5">
      <c r="A16" s="271">
        <v>97150</v>
      </c>
      <c r="B16" s="272" t="s">
        <v>3352</v>
      </c>
      <c r="C16" s="272" t="s">
        <v>5</v>
      </c>
      <c r="D16" s="273" t="s">
        <v>16366</v>
      </c>
      <c r="E16" s="274" t="s">
        <v>229</v>
      </c>
    </row>
    <row r="17" spans="1:5" ht="40.5">
      <c r="A17" s="271">
        <v>97151</v>
      </c>
      <c r="B17" s="272" t="s">
        <v>3353</v>
      </c>
      <c r="C17" s="272" t="s">
        <v>5</v>
      </c>
      <c r="D17" s="273" t="s">
        <v>16052</v>
      </c>
      <c r="E17" s="274" t="s">
        <v>229</v>
      </c>
    </row>
    <row r="18" spans="1:5" ht="40.5">
      <c r="A18" s="271">
        <v>97152</v>
      </c>
      <c r="B18" s="272" t="s">
        <v>3354</v>
      </c>
      <c r="C18" s="272" t="s">
        <v>5</v>
      </c>
      <c r="D18" s="273" t="s">
        <v>19978</v>
      </c>
      <c r="E18" s="274" t="s">
        <v>229</v>
      </c>
    </row>
    <row r="19" spans="1:5" ht="40.5">
      <c r="A19" s="271">
        <v>97153</v>
      </c>
      <c r="B19" s="272" t="s">
        <v>3355</v>
      </c>
      <c r="C19" s="272" t="s">
        <v>5</v>
      </c>
      <c r="D19" s="273" t="s">
        <v>9905</v>
      </c>
      <c r="E19" s="274" t="s">
        <v>229</v>
      </c>
    </row>
    <row r="20" spans="1:5" ht="40.5">
      <c r="A20" s="271">
        <v>97154</v>
      </c>
      <c r="B20" s="272" t="s">
        <v>3356</v>
      </c>
      <c r="C20" s="272" t="s">
        <v>5</v>
      </c>
      <c r="D20" s="273" t="s">
        <v>21246</v>
      </c>
      <c r="E20" s="274" t="s">
        <v>229</v>
      </c>
    </row>
    <row r="21" spans="1:5" ht="40.5">
      <c r="A21" s="271">
        <v>97155</v>
      </c>
      <c r="B21" s="272" t="s">
        <v>3357</v>
      </c>
      <c r="C21" s="272" t="s">
        <v>5</v>
      </c>
      <c r="D21" s="273" t="s">
        <v>21247</v>
      </c>
      <c r="E21" s="274" t="s">
        <v>229</v>
      </c>
    </row>
    <row r="22" spans="1:5" ht="40.5">
      <c r="A22" s="271">
        <v>97156</v>
      </c>
      <c r="B22" s="272" t="s">
        <v>3358</v>
      </c>
      <c r="C22" s="272" t="s">
        <v>5</v>
      </c>
      <c r="D22" s="273" t="s">
        <v>21248</v>
      </c>
      <c r="E22" s="274" t="s">
        <v>229</v>
      </c>
    </row>
    <row r="23" spans="1:5" ht="40.5">
      <c r="A23" s="271">
        <v>97157</v>
      </c>
      <c r="B23" s="272" t="s">
        <v>3359</v>
      </c>
      <c r="C23" s="272" t="s">
        <v>5</v>
      </c>
      <c r="D23" s="273" t="s">
        <v>11519</v>
      </c>
      <c r="E23" s="274" t="s">
        <v>229</v>
      </c>
    </row>
    <row r="24" spans="1:5" ht="40.5">
      <c r="A24" s="271">
        <v>97158</v>
      </c>
      <c r="B24" s="272" t="s">
        <v>3360</v>
      </c>
      <c r="C24" s="272" t="s">
        <v>5</v>
      </c>
      <c r="D24" s="273" t="s">
        <v>9908</v>
      </c>
      <c r="E24" s="274" t="s">
        <v>229</v>
      </c>
    </row>
    <row r="25" spans="1:5" ht="40.5">
      <c r="A25" s="271">
        <v>97159</v>
      </c>
      <c r="B25" s="272" t="s">
        <v>3361</v>
      </c>
      <c r="C25" s="272" t="s">
        <v>5</v>
      </c>
      <c r="D25" s="273" t="s">
        <v>10807</v>
      </c>
      <c r="E25" s="274" t="s">
        <v>229</v>
      </c>
    </row>
    <row r="26" spans="1:5" ht="40.5">
      <c r="A26" s="271">
        <v>97160</v>
      </c>
      <c r="B26" s="272" t="s">
        <v>3362</v>
      </c>
      <c r="C26" s="272" t="s">
        <v>5</v>
      </c>
      <c r="D26" s="273" t="s">
        <v>12345</v>
      </c>
      <c r="E26" s="274" t="s">
        <v>229</v>
      </c>
    </row>
    <row r="27" spans="1:5" ht="40.5">
      <c r="A27" s="271">
        <v>97161</v>
      </c>
      <c r="B27" s="272" t="s">
        <v>3363</v>
      </c>
      <c r="C27" s="272" t="s">
        <v>5</v>
      </c>
      <c r="D27" s="273" t="s">
        <v>10214</v>
      </c>
      <c r="E27" s="274" t="s">
        <v>229</v>
      </c>
    </row>
    <row r="28" spans="1:5" ht="40.5">
      <c r="A28" s="271">
        <v>97162</v>
      </c>
      <c r="B28" s="272" t="s">
        <v>3364</v>
      </c>
      <c r="C28" s="272" t="s">
        <v>5</v>
      </c>
      <c r="D28" s="273" t="s">
        <v>18848</v>
      </c>
      <c r="E28" s="274" t="s">
        <v>229</v>
      </c>
    </row>
    <row r="29" spans="1:5" ht="40.5">
      <c r="A29" s="271">
        <v>97163</v>
      </c>
      <c r="B29" s="272" t="s">
        <v>3365</v>
      </c>
      <c r="C29" s="272" t="s">
        <v>5</v>
      </c>
      <c r="D29" s="273" t="s">
        <v>11360</v>
      </c>
      <c r="E29" s="274" t="s">
        <v>229</v>
      </c>
    </row>
    <row r="30" spans="1:5" ht="40.5">
      <c r="A30" s="271">
        <v>97164</v>
      </c>
      <c r="B30" s="272" t="s">
        <v>3366</v>
      </c>
      <c r="C30" s="272" t="s">
        <v>5</v>
      </c>
      <c r="D30" s="273" t="s">
        <v>10578</v>
      </c>
      <c r="E30" s="274" t="s">
        <v>229</v>
      </c>
    </row>
    <row r="31" spans="1:5" ht="40.5">
      <c r="A31" s="271">
        <v>97165</v>
      </c>
      <c r="B31" s="272" t="s">
        <v>3367</v>
      </c>
      <c r="C31" s="272" t="s">
        <v>5</v>
      </c>
      <c r="D31" s="273" t="s">
        <v>11336</v>
      </c>
      <c r="E31" s="274" t="s">
        <v>229</v>
      </c>
    </row>
    <row r="32" spans="1:5" ht="40.5">
      <c r="A32" s="271">
        <v>97166</v>
      </c>
      <c r="B32" s="272" t="s">
        <v>3368</v>
      </c>
      <c r="C32" s="272" t="s">
        <v>5</v>
      </c>
      <c r="D32" s="273" t="s">
        <v>12340</v>
      </c>
      <c r="E32" s="274" t="s">
        <v>229</v>
      </c>
    </row>
    <row r="33" spans="1:5" ht="40.5">
      <c r="A33" s="271">
        <v>97167</v>
      </c>
      <c r="B33" s="272" t="s">
        <v>3369</v>
      </c>
      <c r="C33" s="272" t="s">
        <v>5</v>
      </c>
      <c r="D33" s="273" t="s">
        <v>9939</v>
      </c>
      <c r="E33" s="274" t="s">
        <v>229</v>
      </c>
    </row>
    <row r="34" spans="1:5" ht="40.5">
      <c r="A34" s="271">
        <v>97168</v>
      </c>
      <c r="B34" s="272" t="s">
        <v>3370</v>
      </c>
      <c r="C34" s="272" t="s">
        <v>5</v>
      </c>
      <c r="D34" s="273" t="s">
        <v>12228</v>
      </c>
      <c r="E34" s="274" t="s">
        <v>229</v>
      </c>
    </row>
    <row r="35" spans="1:5" ht="40.5">
      <c r="A35" s="271">
        <v>97169</v>
      </c>
      <c r="B35" s="272" t="s">
        <v>3371</v>
      </c>
      <c r="C35" s="272" t="s">
        <v>5</v>
      </c>
      <c r="D35" s="273" t="s">
        <v>19966</v>
      </c>
      <c r="E35" s="274" t="s">
        <v>229</v>
      </c>
    </row>
    <row r="36" spans="1:5" ht="40.5">
      <c r="A36" s="271">
        <v>97170</v>
      </c>
      <c r="B36" s="272" t="s">
        <v>3372</v>
      </c>
      <c r="C36" s="272" t="s">
        <v>5</v>
      </c>
      <c r="D36" s="273" t="s">
        <v>14261</v>
      </c>
      <c r="E36" s="274" t="s">
        <v>229</v>
      </c>
    </row>
    <row r="37" spans="1:5" ht="40.5">
      <c r="A37" s="271">
        <v>97171</v>
      </c>
      <c r="B37" s="272" t="s">
        <v>3373</v>
      </c>
      <c r="C37" s="272" t="s">
        <v>5</v>
      </c>
      <c r="D37" s="273" t="s">
        <v>10409</v>
      </c>
      <c r="E37" s="274" t="s">
        <v>229</v>
      </c>
    </row>
    <row r="38" spans="1:5" ht="40.5">
      <c r="A38" s="271">
        <v>97172</v>
      </c>
      <c r="B38" s="272" t="s">
        <v>3374</v>
      </c>
      <c r="C38" s="272" t="s">
        <v>5</v>
      </c>
      <c r="D38" s="273" t="s">
        <v>16658</v>
      </c>
      <c r="E38" s="274" t="s">
        <v>229</v>
      </c>
    </row>
    <row r="39" spans="1:5" ht="40.5">
      <c r="A39" s="271">
        <v>97173</v>
      </c>
      <c r="B39" s="272" t="s">
        <v>3375</v>
      </c>
      <c r="C39" s="272" t="s">
        <v>5</v>
      </c>
      <c r="D39" s="273" t="s">
        <v>19693</v>
      </c>
      <c r="E39" s="274" t="s">
        <v>229</v>
      </c>
    </row>
    <row r="40" spans="1:5" ht="40.5">
      <c r="A40" s="271">
        <v>97174</v>
      </c>
      <c r="B40" s="272" t="s">
        <v>3376</v>
      </c>
      <c r="C40" s="272" t="s">
        <v>5</v>
      </c>
      <c r="D40" s="273" t="s">
        <v>20736</v>
      </c>
      <c r="E40" s="274" t="s">
        <v>229</v>
      </c>
    </row>
    <row r="41" spans="1:5" ht="40.5">
      <c r="A41" s="271">
        <v>97175</v>
      </c>
      <c r="B41" s="272" t="s">
        <v>3377</v>
      </c>
      <c r="C41" s="272" t="s">
        <v>5</v>
      </c>
      <c r="D41" s="273" t="s">
        <v>12457</v>
      </c>
      <c r="E41" s="274" t="s">
        <v>229</v>
      </c>
    </row>
    <row r="42" spans="1:5" ht="40.5">
      <c r="A42" s="271">
        <v>97176</v>
      </c>
      <c r="B42" s="272" t="s">
        <v>3378</v>
      </c>
      <c r="C42" s="272" t="s">
        <v>5</v>
      </c>
      <c r="D42" s="273" t="s">
        <v>15875</v>
      </c>
      <c r="E42" s="274" t="s">
        <v>229</v>
      </c>
    </row>
    <row r="43" spans="1:5" ht="40.5">
      <c r="A43" s="271">
        <v>97177</v>
      </c>
      <c r="B43" s="272" t="s">
        <v>3379</v>
      </c>
      <c r="C43" s="272" t="s">
        <v>5</v>
      </c>
      <c r="D43" s="273" t="s">
        <v>21249</v>
      </c>
      <c r="E43" s="274" t="s">
        <v>229</v>
      </c>
    </row>
    <row r="44" spans="1:5" ht="40.5">
      <c r="A44" s="271">
        <v>97178</v>
      </c>
      <c r="B44" s="272" t="s">
        <v>3380</v>
      </c>
      <c r="C44" s="272" t="s">
        <v>5</v>
      </c>
      <c r="D44" s="273" t="s">
        <v>21250</v>
      </c>
      <c r="E44" s="274" t="s">
        <v>229</v>
      </c>
    </row>
    <row r="45" spans="1:5" ht="40.5">
      <c r="A45" s="271">
        <v>97179</v>
      </c>
      <c r="B45" s="272" t="s">
        <v>3381</v>
      </c>
      <c r="C45" s="272" t="s">
        <v>5</v>
      </c>
      <c r="D45" s="273" t="s">
        <v>21251</v>
      </c>
      <c r="E45" s="274" t="s">
        <v>229</v>
      </c>
    </row>
    <row r="46" spans="1:5" ht="40.5">
      <c r="A46" s="271">
        <v>97180</v>
      </c>
      <c r="B46" s="272" t="s">
        <v>3382</v>
      </c>
      <c r="C46" s="272" t="s">
        <v>5</v>
      </c>
      <c r="D46" s="273" t="s">
        <v>21252</v>
      </c>
      <c r="E46" s="274" t="s">
        <v>229</v>
      </c>
    </row>
    <row r="47" spans="1:5" ht="40.5">
      <c r="A47" s="271">
        <v>97181</v>
      </c>
      <c r="B47" s="272" t="s">
        <v>3383</v>
      </c>
      <c r="C47" s="272" t="s">
        <v>5</v>
      </c>
      <c r="D47" s="273" t="s">
        <v>20571</v>
      </c>
      <c r="E47" s="274" t="s">
        <v>229</v>
      </c>
    </row>
    <row r="48" spans="1:5" ht="40.5">
      <c r="A48" s="271">
        <v>97182</v>
      </c>
      <c r="B48" s="272" t="s">
        <v>3384</v>
      </c>
      <c r="C48" s="272" t="s">
        <v>5</v>
      </c>
      <c r="D48" s="273" t="s">
        <v>21253</v>
      </c>
      <c r="E48" s="274" t="s">
        <v>229</v>
      </c>
    </row>
    <row r="49" spans="1:5" ht="40.5">
      <c r="A49" s="271">
        <v>97183</v>
      </c>
      <c r="B49" s="272" t="s">
        <v>3385</v>
      </c>
      <c r="C49" s="272" t="s">
        <v>5</v>
      </c>
      <c r="D49" s="273" t="s">
        <v>9787</v>
      </c>
      <c r="E49" s="274" t="s">
        <v>229</v>
      </c>
    </row>
    <row r="50" spans="1:5" ht="40.5">
      <c r="A50" s="271">
        <v>97184</v>
      </c>
      <c r="B50" s="272" t="s">
        <v>3386</v>
      </c>
      <c r="C50" s="272" t="s">
        <v>5</v>
      </c>
      <c r="D50" s="273" t="s">
        <v>16432</v>
      </c>
      <c r="E50" s="274" t="s">
        <v>229</v>
      </c>
    </row>
    <row r="51" spans="1:5" ht="40.5">
      <c r="A51" s="271">
        <v>97185</v>
      </c>
      <c r="B51" s="272" t="s">
        <v>3387</v>
      </c>
      <c r="C51" s="272" t="s">
        <v>5</v>
      </c>
      <c r="D51" s="273" t="s">
        <v>10605</v>
      </c>
      <c r="E51" s="274" t="s">
        <v>229</v>
      </c>
    </row>
    <row r="52" spans="1:5" ht="40.5">
      <c r="A52" s="271">
        <v>97186</v>
      </c>
      <c r="B52" s="272" t="s">
        <v>3388</v>
      </c>
      <c r="C52" s="272" t="s">
        <v>5</v>
      </c>
      <c r="D52" s="273" t="s">
        <v>14126</v>
      </c>
      <c r="E52" s="274" t="s">
        <v>229</v>
      </c>
    </row>
    <row r="53" spans="1:5" ht="40.5">
      <c r="A53" s="271">
        <v>97187</v>
      </c>
      <c r="B53" s="272" t="s">
        <v>3799</v>
      </c>
      <c r="C53" s="272" t="s">
        <v>5</v>
      </c>
      <c r="D53" s="273" t="s">
        <v>21254</v>
      </c>
      <c r="E53" s="274" t="s">
        <v>229</v>
      </c>
    </row>
    <row r="54" spans="1:5" ht="40.5">
      <c r="A54" s="271">
        <v>97188</v>
      </c>
      <c r="B54" s="272" t="s">
        <v>3389</v>
      </c>
      <c r="C54" s="272" t="s">
        <v>5</v>
      </c>
      <c r="D54" s="273" t="s">
        <v>12398</v>
      </c>
      <c r="E54" s="274" t="s">
        <v>229</v>
      </c>
    </row>
    <row r="55" spans="1:5" ht="40.5">
      <c r="A55" s="271">
        <v>97189</v>
      </c>
      <c r="B55" s="272" t="s">
        <v>3390</v>
      </c>
      <c r="C55" s="272" t="s">
        <v>5</v>
      </c>
      <c r="D55" s="273" t="s">
        <v>19743</v>
      </c>
      <c r="E55" s="274" t="s">
        <v>229</v>
      </c>
    </row>
    <row r="56" spans="1:5" ht="40.5">
      <c r="A56" s="271">
        <v>97190</v>
      </c>
      <c r="B56" s="272" t="s">
        <v>3391</v>
      </c>
      <c r="C56" s="272" t="s">
        <v>5</v>
      </c>
      <c r="D56" s="273" t="s">
        <v>16069</v>
      </c>
      <c r="E56" s="274" t="s">
        <v>229</v>
      </c>
    </row>
    <row r="57" spans="1:5" ht="40.5">
      <c r="A57" s="271">
        <v>97191</v>
      </c>
      <c r="B57" s="272" t="s">
        <v>3392</v>
      </c>
      <c r="C57" s="272" t="s">
        <v>5</v>
      </c>
      <c r="D57" s="273" t="s">
        <v>21255</v>
      </c>
      <c r="E57" s="274" t="s">
        <v>229</v>
      </c>
    </row>
    <row r="58" spans="1:5" ht="40.5">
      <c r="A58" s="271">
        <v>97192</v>
      </c>
      <c r="B58" s="272" t="s">
        <v>3393</v>
      </c>
      <c r="C58" s="272" t="s">
        <v>5</v>
      </c>
      <c r="D58" s="273" t="s">
        <v>21256</v>
      </c>
      <c r="E58" s="274" t="s">
        <v>229</v>
      </c>
    </row>
    <row r="59" spans="1:5" ht="27">
      <c r="A59" s="271">
        <v>90694</v>
      </c>
      <c r="B59" s="272" t="s">
        <v>12478</v>
      </c>
      <c r="C59" s="272" t="s">
        <v>5</v>
      </c>
      <c r="D59" s="273" t="s">
        <v>21257</v>
      </c>
      <c r="E59" s="274" t="s">
        <v>229</v>
      </c>
    </row>
    <row r="60" spans="1:5" ht="27">
      <c r="A60" s="271">
        <v>90695</v>
      </c>
      <c r="B60" s="272" t="s">
        <v>12479</v>
      </c>
      <c r="C60" s="272" t="s">
        <v>5</v>
      </c>
      <c r="D60" s="273" t="s">
        <v>21258</v>
      </c>
      <c r="E60" s="274" t="s">
        <v>229</v>
      </c>
    </row>
    <row r="61" spans="1:5" ht="27">
      <c r="A61" s="271">
        <v>90696</v>
      </c>
      <c r="B61" s="272" t="s">
        <v>12480</v>
      </c>
      <c r="C61" s="272" t="s">
        <v>5</v>
      </c>
      <c r="D61" s="273" t="s">
        <v>21259</v>
      </c>
      <c r="E61" s="274" t="s">
        <v>229</v>
      </c>
    </row>
    <row r="62" spans="1:5" ht="27">
      <c r="A62" s="271">
        <v>90697</v>
      </c>
      <c r="B62" s="272" t="s">
        <v>12481</v>
      </c>
      <c r="C62" s="272" t="s">
        <v>5</v>
      </c>
      <c r="D62" s="273" t="s">
        <v>21260</v>
      </c>
      <c r="E62" s="274" t="s">
        <v>229</v>
      </c>
    </row>
    <row r="63" spans="1:5" ht="27">
      <c r="A63" s="271">
        <v>90698</v>
      </c>
      <c r="B63" s="272" t="s">
        <v>12482</v>
      </c>
      <c r="C63" s="272" t="s">
        <v>5</v>
      </c>
      <c r="D63" s="273" t="s">
        <v>21261</v>
      </c>
      <c r="E63" s="274" t="s">
        <v>229</v>
      </c>
    </row>
    <row r="64" spans="1:5" ht="27">
      <c r="A64" s="271">
        <v>90699</v>
      </c>
      <c r="B64" s="272" t="s">
        <v>12483</v>
      </c>
      <c r="C64" s="272" t="s">
        <v>5</v>
      </c>
      <c r="D64" s="273" t="s">
        <v>21262</v>
      </c>
      <c r="E64" s="274" t="s">
        <v>229</v>
      </c>
    </row>
    <row r="65" spans="1:5" ht="27">
      <c r="A65" s="271">
        <v>90700</v>
      </c>
      <c r="B65" s="272" t="s">
        <v>12484</v>
      </c>
      <c r="C65" s="272" t="s">
        <v>5</v>
      </c>
      <c r="D65" s="273" t="s">
        <v>21263</v>
      </c>
      <c r="E65" s="274" t="s">
        <v>229</v>
      </c>
    </row>
    <row r="66" spans="1:5" ht="27">
      <c r="A66" s="271">
        <v>90701</v>
      </c>
      <c r="B66" s="272" t="s">
        <v>12485</v>
      </c>
      <c r="C66" s="272" t="s">
        <v>5</v>
      </c>
      <c r="D66" s="273" t="s">
        <v>21264</v>
      </c>
      <c r="E66" s="274" t="s">
        <v>229</v>
      </c>
    </row>
    <row r="67" spans="1:5" ht="27">
      <c r="A67" s="271">
        <v>90702</v>
      </c>
      <c r="B67" s="272" t="s">
        <v>12486</v>
      </c>
      <c r="C67" s="272" t="s">
        <v>5</v>
      </c>
      <c r="D67" s="273" t="s">
        <v>21265</v>
      </c>
      <c r="E67" s="274" t="s">
        <v>229</v>
      </c>
    </row>
    <row r="68" spans="1:5" ht="27">
      <c r="A68" s="271">
        <v>90703</v>
      </c>
      <c r="B68" s="272" t="s">
        <v>12487</v>
      </c>
      <c r="C68" s="272" t="s">
        <v>5</v>
      </c>
      <c r="D68" s="273" t="s">
        <v>21266</v>
      </c>
      <c r="E68" s="274" t="s">
        <v>229</v>
      </c>
    </row>
    <row r="69" spans="1:5" ht="27">
      <c r="A69" s="271">
        <v>90704</v>
      </c>
      <c r="B69" s="272" t="s">
        <v>12488</v>
      </c>
      <c r="C69" s="272" t="s">
        <v>5</v>
      </c>
      <c r="D69" s="273" t="s">
        <v>21267</v>
      </c>
      <c r="E69" s="274" t="s">
        <v>229</v>
      </c>
    </row>
    <row r="70" spans="1:5" ht="27">
      <c r="A70" s="271">
        <v>90705</v>
      </c>
      <c r="B70" s="272" t="s">
        <v>12489</v>
      </c>
      <c r="C70" s="272" t="s">
        <v>5</v>
      </c>
      <c r="D70" s="273" t="s">
        <v>21268</v>
      </c>
      <c r="E70" s="274" t="s">
        <v>229</v>
      </c>
    </row>
    <row r="71" spans="1:5" ht="27">
      <c r="A71" s="271">
        <v>90706</v>
      </c>
      <c r="B71" s="272" t="s">
        <v>12490</v>
      </c>
      <c r="C71" s="272" t="s">
        <v>5</v>
      </c>
      <c r="D71" s="273" t="s">
        <v>21269</v>
      </c>
      <c r="E71" s="274" t="s">
        <v>229</v>
      </c>
    </row>
    <row r="72" spans="1:5" ht="27">
      <c r="A72" s="271">
        <v>90708</v>
      </c>
      <c r="B72" s="272" t="s">
        <v>12491</v>
      </c>
      <c r="C72" s="272" t="s">
        <v>5</v>
      </c>
      <c r="D72" s="273" t="s">
        <v>21270</v>
      </c>
      <c r="E72" s="274" t="s">
        <v>229</v>
      </c>
    </row>
    <row r="73" spans="1:5" ht="27">
      <c r="A73" s="271">
        <v>90724</v>
      </c>
      <c r="B73" s="272" t="s">
        <v>12492</v>
      </c>
      <c r="C73" s="272" t="s">
        <v>109</v>
      </c>
      <c r="D73" s="273" t="s">
        <v>21271</v>
      </c>
      <c r="E73" s="274" t="s">
        <v>229</v>
      </c>
    </row>
    <row r="74" spans="1:5" ht="27">
      <c r="A74" s="271">
        <v>90725</v>
      </c>
      <c r="B74" s="272" t="s">
        <v>12493</v>
      </c>
      <c r="C74" s="272" t="s">
        <v>109</v>
      </c>
      <c r="D74" s="273" t="s">
        <v>10441</v>
      </c>
      <c r="E74" s="274" t="s">
        <v>229</v>
      </c>
    </row>
    <row r="75" spans="1:5" ht="27">
      <c r="A75" s="271">
        <v>90726</v>
      </c>
      <c r="B75" s="272" t="s">
        <v>12494</v>
      </c>
      <c r="C75" s="272" t="s">
        <v>109</v>
      </c>
      <c r="D75" s="273" t="s">
        <v>19693</v>
      </c>
      <c r="E75" s="274" t="s">
        <v>229</v>
      </c>
    </row>
    <row r="76" spans="1:5" ht="27">
      <c r="A76" s="271">
        <v>90727</v>
      </c>
      <c r="B76" s="272" t="s">
        <v>12495</v>
      </c>
      <c r="C76" s="272" t="s">
        <v>109</v>
      </c>
      <c r="D76" s="273" t="s">
        <v>16381</v>
      </c>
      <c r="E76" s="274" t="s">
        <v>229</v>
      </c>
    </row>
    <row r="77" spans="1:5" ht="27">
      <c r="A77" s="271">
        <v>90728</v>
      </c>
      <c r="B77" s="272" t="s">
        <v>12496</v>
      </c>
      <c r="C77" s="272" t="s">
        <v>109</v>
      </c>
      <c r="D77" s="273" t="s">
        <v>21272</v>
      </c>
      <c r="E77" s="274" t="s">
        <v>229</v>
      </c>
    </row>
    <row r="78" spans="1:5" ht="27">
      <c r="A78" s="271">
        <v>90729</v>
      </c>
      <c r="B78" s="272" t="s">
        <v>12497</v>
      </c>
      <c r="C78" s="272" t="s">
        <v>109</v>
      </c>
      <c r="D78" s="273" t="s">
        <v>21273</v>
      </c>
      <c r="E78" s="274" t="s">
        <v>229</v>
      </c>
    </row>
    <row r="79" spans="1:5" ht="27">
      <c r="A79" s="271">
        <v>90730</v>
      </c>
      <c r="B79" s="272" t="s">
        <v>12498</v>
      </c>
      <c r="C79" s="272" t="s">
        <v>109</v>
      </c>
      <c r="D79" s="273" t="s">
        <v>21274</v>
      </c>
      <c r="E79" s="274" t="s">
        <v>229</v>
      </c>
    </row>
    <row r="80" spans="1:5" ht="27">
      <c r="A80" s="271">
        <v>90731</v>
      </c>
      <c r="B80" s="272" t="s">
        <v>12499</v>
      </c>
      <c r="C80" s="272" t="s">
        <v>109</v>
      </c>
      <c r="D80" s="273" t="s">
        <v>21275</v>
      </c>
      <c r="E80" s="274" t="s">
        <v>229</v>
      </c>
    </row>
    <row r="81" spans="1:5" ht="27">
      <c r="A81" s="271">
        <v>90732</v>
      </c>
      <c r="B81" s="272" t="s">
        <v>12500</v>
      </c>
      <c r="C81" s="272" t="s">
        <v>109</v>
      </c>
      <c r="D81" s="273" t="s">
        <v>21276</v>
      </c>
      <c r="E81" s="274" t="s">
        <v>229</v>
      </c>
    </row>
    <row r="82" spans="1:5" ht="27">
      <c r="A82" s="271">
        <v>90733</v>
      </c>
      <c r="B82" s="272" t="s">
        <v>12501</v>
      </c>
      <c r="C82" s="272" t="s">
        <v>5</v>
      </c>
      <c r="D82" s="273" t="s">
        <v>11203</v>
      </c>
      <c r="E82" s="274" t="s">
        <v>229</v>
      </c>
    </row>
    <row r="83" spans="1:5" ht="27">
      <c r="A83" s="271">
        <v>90734</v>
      </c>
      <c r="B83" s="272" t="s">
        <v>12502</v>
      </c>
      <c r="C83" s="272" t="s">
        <v>5</v>
      </c>
      <c r="D83" s="273" t="s">
        <v>9881</v>
      </c>
      <c r="E83" s="274" t="s">
        <v>229</v>
      </c>
    </row>
    <row r="84" spans="1:5" ht="27">
      <c r="A84" s="271">
        <v>90735</v>
      </c>
      <c r="B84" s="272" t="s">
        <v>12503</v>
      </c>
      <c r="C84" s="272" t="s">
        <v>5</v>
      </c>
      <c r="D84" s="273" t="s">
        <v>12271</v>
      </c>
      <c r="E84" s="274" t="s">
        <v>229</v>
      </c>
    </row>
    <row r="85" spans="1:5" ht="27">
      <c r="A85" s="271">
        <v>90736</v>
      </c>
      <c r="B85" s="272" t="s">
        <v>12504</v>
      </c>
      <c r="C85" s="272" t="s">
        <v>5</v>
      </c>
      <c r="D85" s="273" t="s">
        <v>12215</v>
      </c>
      <c r="E85" s="274" t="s">
        <v>229</v>
      </c>
    </row>
    <row r="86" spans="1:5" ht="27">
      <c r="A86" s="271">
        <v>90737</v>
      </c>
      <c r="B86" s="272" t="s">
        <v>12505</v>
      </c>
      <c r="C86" s="272" t="s">
        <v>5</v>
      </c>
      <c r="D86" s="273" t="s">
        <v>11187</v>
      </c>
      <c r="E86" s="274" t="s">
        <v>229</v>
      </c>
    </row>
    <row r="87" spans="1:5" ht="27">
      <c r="A87" s="271">
        <v>90738</v>
      </c>
      <c r="B87" s="272" t="s">
        <v>12506</v>
      </c>
      <c r="C87" s="272" t="s">
        <v>5</v>
      </c>
      <c r="D87" s="273" t="s">
        <v>20346</v>
      </c>
      <c r="E87" s="274" t="s">
        <v>229</v>
      </c>
    </row>
    <row r="88" spans="1:5" ht="27">
      <c r="A88" s="271">
        <v>90739</v>
      </c>
      <c r="B88" s="272" t="s">
        <v>12507</v>
      </c>
      <c r="C88" s="272" t="s">
        <v>5</v>
      </c>
      <c r="D88" s="273" t="s">
        <v>10512</v>
      </c>
      <c r="E88" s="274" t="s">
        <v>229</v>
      </c>
    </row>
    <row r="89" spans="1:5" ht="27">
      <c r="A89" s="271">
        <v>90740</v>
      </c>
      <c r="B89" s="272" t="s">
        <v>12508</v>
      </c>
      <c r="C89" s="272" t="s">
        <v>5</v>
      </c>
      <c r="D89" s="273" t="s">
        <v>9945</v>
      </c>
      <c r="E89" s="274" t="s">
        <v>229</v>
      </c>
    </row>
    <row r="90" spans="1:5" ht="27">
      <c r="A90" s="271">
        <v>90741</v>
      </c>
      <c r="B90" s="272" t="s">
        <v>12509</v>
      </c>
      <c r="C90" s="272" t="s">
        <v>5</v>
      </c>
      <c r="D90" s="273" t="s">
        <v>11440</v>
      </c>
      <c r="E90" s="274" t="s">
        <v>229</v>
      </c>
    </row>
    <row r="91" spans="1:5" ht="27">
      <c r="A91" s="271">
        <v>90742</v>
      </c>
      <c r="B91" s="272" t="s">
        <v>12510</v>
      </c>
      <c r="C91" s="272" t="s">
        <v>5</v>
      </c>
      <c r="D91" s="273" t="s">
        <v>11039</v>
      </c>
      <c r="E91" s="274" t="s">
        <v>229</v>
      </c>
    </row>
    <row r="92" spans="1:5" ht="27">
      <c r="A92" s="271">
        <v>90743</v>
      </c>
      <c r="B92" s="272" t="s">
        <v>12511</v>
      </c>
      <c r="C92" s="272" t="s">
        <v>5</v>
      </c>
      <c r="D92" s="273" t="s">
        <v>10781</v>
      </c>
      <c r="E92" s="274" t="s">
        <v>229</v>
      </c>
    </row>
    <row r="93" spans="1:5" ht="27">
      <c r="A93" s="271">
        <v>90744</v>
      </c>
      <c r="B93" s="272" t="s">
        <v>12512</v>
      </c>
      <c r="C93" s="272" t="s">
        <v>5</v>
      </c>
      <c r="D93" s="273" t="s">
        <v>19441</v>
      </c>
      <c r="E93" s="274" t="s">
        <v>229</v>
      </c>
    </row>
    <row r="94" spans="1:5" ht="27">
      <c r="A94" s="271">
        <v>90745</v>
      </c>
      <c r="B94" s="272" t="s">
        <v>12513</v>
      </c>
      <c r="C94" s="272" t="s">
        <v>5</v>
      </c>
      <c r="D94" s="273" t="s">
        <v>10554</v>
      </c>
      <c r="E94" s="274" t="s">
        <v>229</v>
      </c>
    </row>
    <row r="95" spans="1:5" ht="27">
      <c r="A95" s="271">
        <v>90746</v>
      </c>
      <c r="B95" s="272" t="s">
        <v>12514</v>
      </c>
      <c r="C95" s="272" t="s">
        <v>5</v>
      </c>
      <c r="D95" s="273" t="s">
        <v>16516</v>
      </c>
      <c r="E95" s="274" t="s">
        <v>229</v>
      </c>
    </row>
    <row r="96" spans="1:5" ht="27">
      <c r="A96" s="271">
        <v>90747</v>
      </c>
      <c r="B96" s="272" t="s">
        <v>12515</v>
      </c>
      <c r="C96" s="272" t="s">
        <v>5</v>
      </c>
      <c r="D96" s="273" t="s">
        <v>11170</v>
      </c>
      <c r="E96" s="274" t="s">
        <v>229</v>
      </c>
    </row>
    <row r="97" spans="1:5" ht="27">
      <c r="A97" s="271">
        <v>94869</v>
      </c>
      <c r="B97" s="272" t="s">
        <v>12516</v>
      </c>
      <c r="C97" s="272" t="s">
        <v>5</v>
      </c>
      <c r="D97" s="273" t="s">
        <v>21277</v>
      </c>
      <c r="E97" s="274" t="s">
        <v>229</v>
      </c>
    </row>
    <row r="98" spans="1:5" ht="27">
      <c r="A98" s="271">
        <v>94870</v>
      </c>
      <c r="B98" s="272" t="s">
        <v>12517</v>
      </c>
      <c r="C98" s="272" t="s">
        <v>5</v>
      </c>
      <c r="D98" s="273" t="s">
        <v>11237</v>
      </c>
      <c r="E98" s="274" t="s">
        <v>229</v>
      </c>
    </row>
    <row r="99" spans="1:5" ht="27">
      <c r="A99" s="271">
        <v>94871</v>
      </c>
      <c r="B99" s="272" t="s">
        <v>12518</v>
      </c>
      <c r="C99" s="272" t="s">
        <v>5</v>
      </c>
      <c r="D99" s="273" t="s">
        <v>21278</v>
      </c>
      <c r="E99" s="274" t="s">
        <v>229</v>
      </c>
    </row>
    <row r="100" spans="1:5" ht="27">
      <c r="A100" s="271">
        <v>94872</v>
      </c>
      <c r="B100" s="272" t="s">
        <v>12519</v>
      </c>
      <c r="C100" s="272" t="s">
        <v>5</v>
      </c>
      <c r="D100" s="273" t="s">
        <v>10424</v>
      </c>
      <c r="E100" s="274" t="s">
        <v>229</v>
      </c>
    </row>
    <row r="101" spans="1:5" ht="27">
      <c r="A101" s="271">
        <v>94875</v>
      </c>
      <c r="B101" s="272" t="s">
        <v>12520</v>
      </c>
      <c r="C101" s="272" t="s">
        <v>5</v>
      </c>
      <c r="D101" s="273" t="s">
        <v>21279</v>
      </c>
      <c r="E101" s="274" t="s">
        <v>229</v>
      </c>
    </row>
    <row r="102" spans="1:5" ht="27">
      <c r="A102" s="271">
        <v>94876</v>
      </c>
      <c r="B102" s="272" t="s">
        <v>12521</v>
      </c>
      <c r="C102" s="272" t="s">
        <v>5</v>
      </c>
      <c r="D102" s="273" t="s">
        <v>11329</v>
      </c>
      <c r="E102" s="274" t="s">
        <v>229</v>
      </c>
    </row>
    <row r="103" spans="1:5" ht="27">
      <c r="A103" s="271">
        <v>94878</v>
      </c>
      <c r="B103" s="272" t="s">
        <v>21280</v>
      </c>
      <c r="C103" s="272" t="s">
        <v>5</v>
      </c>
      <c r="D103" s="273" t="s">
        <v>21281</v>
      </c>
      <c r="E103" s="274" t="s">
        <v>229</v>
      </c>
    </row>
    <row r="104" spans="1:5" ht="27">
      <c r="A104" s="271">
        <v>94879</v>
      </c>
      <c r="B104" s="272" t="s">
        <v>21282</v>
      </c>
      <c r="C104" s="272" t="s">
        <v>5</v>
      </c>
      <c r="D104" s="273" t="s">
        <v>21283</v>
      </c>
      <c r="E104" s="274" t="s">
        <v>229</v>
      </c>
    </row>
    <row r="105" spans="1:5" ht="27">
      <c r="A105" s="271">
        <v>94880</v>
      </c>
      <c r="B105" s="272" t="s">
        <v>21284</v>
      </c>
      <c r="C105" s="272" t="s">
        <v>5</v>
      </c>
      <c r="D105" s="273" t="s">
        <v>21285</v>
      </c>
      <c r="E105" s="274" t="s">
        <v>229</v>
      </c>
    </row>
    <row r="106" spans="1:5" ht="27">
      <c r="A106" s="271">
        <v>94881</v>
      </c>
      <c r="B106" s="272" t="s">
        <v>21286</v>
      </c>
      <c r="C106" s="272" t="s">
        <v>5</v>
      </c>
      <c r="D106" s="273" t="s">
        <v>21287</v>
      </c>
      <c r="E106" s="274" t="s">
        <v>229</v>
      </c>
    </row>
    <row r="107" spans="1:5" ht="27">
      <c r="A107" s="271">
        <v>94882</v>
      </c>
      <c r="B107" s="272" t="s">
        <v>21288</v>
      </c>
      <c r="C107" s="272" t="s">
        <v>5</v>
      </c>
      <c r="D107" s="273" t="s">
        <v>15910</v>
      </c>
      <c r="E107" s="274" t="s">
        <v>229</v>
      </c>
    </row>
    <row r="108" spans="1:5" ht="27">
      <c r="A108" s="271">
        <v>94884</v>
      </c>
      <c r="B108" s="272" t="s">
        <v>21289</v>
      </c>
      <c r="C108" s="272" t="s">
        <v>5</v>
      </c>
      <c r="D108" s="273" t="s">
        <v>20659</v>
      </c>
      <c r="E108" s="274" t="s">
        <v>229</v>
      </c>
    </row>
    <row r="109" spans="1:5" ht="40.5">
      <c r="A109" s="271">
        <v>97121</v>
      </c>
      <c r="B109" s="272" t="s">
        <v>3394</v>
      </c>
      <c r="C109" s="272" t="s">
        <v>5</v>
      </c>
      <c r="D109" s="273" t="s">
        <v>9944</v>
      </c>
      <c r="E109" s="274" t="s">
        <v>229</v>
      </c>
    </row>
    <row r="110" spans="1:5" ht="40.5">
      <c r="A110" s="271">
        <v>97122</v>
      </c>
      <c r="B110" s="272" t="s">
        <v>3395</v>
      </c>
      <c r="C110" s="272" t="s">
        <v>5</v>
      </c>
      <c r="D110" s="273" t="s">
        <v>11165</v>
      </c>
      <c r="E110" s="274" t="s">
        <v>229</v>
      </c>
    </row>
    <row r="111" spans="1:5" ht="40.5">
      <c r="A111" s="271">
        <v>97123</v>
      </c>
      <c r="B111" s="272" t="s">
        <v>3396</v>
      </c>
      <c r="C111" s="272" t="s">
        <v>5</v>
      </c>
      <c r="D111" s="273" t="s">
        <v>16516</v>
      </c>
      <c r="E111" s="274" t="s">
        <v>229</v>
      </c>
    </row>
    <row r="112" spans="1:5" ht="40.5">
      <c r="A112" s="271">
        <v>97124</v>
      </c>
      <c r="B112" s="272" t="s">
        <v>3397</v>
      </c>
      <c r="C112" s="272" t="s">
        <v>5</v>
      </c>
      <c r="D112" s="273" t="s">
        <v>11062</v>
      </c>
      <c r="E112" s="274" t="s">
        <v>229</v>
      </c>
    </row>
    <row r="113" spans="1:5" ht="40.5">
      <c r="A113" s="271">
        <v>97125</v>
      </c>
      <c r="B113" s="272" t="s">
        <v>3398</v>
      </c>
      <c r="C113" s="272" t="s">
        <v>5</v>
      </c>
      <c r="D113" s="273" t="s">
        <v>11245</v>
      </c>
      <c r="E113" s="274" t="s">
        <v>229</v>
      </c>
    </row>
    <row r="114" spans="1:5" ht="40.5">
      <c r="A114" s="271">
        <v>97126</v>
      </c>
      <c r="B114" s="272" t="s">
        <v>3399</v>
      </c>
      <c r="C114" s="272" t="s">
        <v>5</v>
      </c>
      <c r="D114" s="273" t="s">
        <v>10933</v>
      </c>
      <c r="E114" s="274" t="s">
        <v>229</v>
      </c>
    </row>
    <row r="115" spans="1:5" ht="27">
      <c r="A115" s="271">
        <v>102264</v>
      </c>
      <c r="B115" s="272" t="s">
        <v>12522</v>
      </c>
      <c r="C115" s="272" t="s">
        <v>5</v>
      </c>
      <c r="D115" s="273" t="s">
        <v>14132</v>
      </c>
      <c r="E115" s="274" t="s">
        <v>229</v>
      </c>
    </row>
    <row r="116" spans="1:5" ht="27">
      <c r="A116" s="271">
        <v>102265</v>
      </c>
      <c r="B116" s="272" t="s">
        <v>12523</v>
      </c>
      <c r="C116" s="272" t="s">
        <v>109</v>
      </c>
      <c r="D116" s="273" t="s">
        <v>21290</v>
      </c>
      <c r="E116" s="274" t="s">
        <v>229</v>
      </c>
    </row>
    <row r="117" spans="1:5" ht="27">
      <c r="A117" s="271">
        <v>102266</v>
      </c>
      <c r="B117" s="272" t="s">
        <v>12524</v>
      </c>
      <c r="C117" s="272" t="s">
        <v>109</v>
      </c>
      <c r="D117" s="273" t="s">
        <v>14240</v>
      </c>
      <c r="E117" s="274" t="s">
        <v>229</v>
      </c>
    </row>
    <row r="118" spans="1:5" ht="27">
      <c r="A118" s="271">
        <v>102267</v>
      </c>
      <c r="B118" s="272" t="s">
        <v>12525</v>
      </c>
      <c r="C118" s="272" t="s">
        <v>109</v>
      </c>
      <c r="D118" s="273" t="s">
        <v>21291</v>
      </c>
      <c r="E118" s="274" t="s">
        <v>229</v>
      </c>
    </row>
    <row r="119" spans="1:5" ht="27">
      <c r="A119" s="271">
        <v>102268</v>
      </c>
      <c r="B119" s="272" t="s">
        <v>12526</v>
      </c>
      <c r="C119" s="272" t="s">
        <v>109</v>
      </c>
      <c r="D119" s="273" t="s">
        <v>21292</v>
      </c>
      <c r="E119" s="274" t="s">
        <v>229</v>
      </c>
    </row>
    <row r="120" spans="1:5" ht="27">
      <c r="A120" s="271">
        <v>102269</v>
      </c>
      <c r="B120" s="272" t="s">
        <v>12527</v>
      </c>
      <c r="C120" s="272" t="s">
        <v>109</v>
      </c>
      <c r="D120" s="273" t="s">
        <v>21293</v>
      </c>
      <c r="E120" s="274" t="s">
        <v>229</v>
      </c>
    </row>
    <row r="121" spans="1:5" ht="40.5">
      <c r="A121" s="271">
        <v>92833</v>
      </c>
      <c r="B121" s="272" t="s">
        <v>302</v>
      </c>
      <c r="C121" s="272" t="s">
        <v>5</v>
      </c>
      <c r="D121" s="273" t="s">
        <v>21294</v>
      </c>
      <c r="E121" s="274" t="s">
        <v>229</v>
      </c>
    </row>
    <row r="122" spans="1:5" ht="40.5">
      <c r="A122" s="271">
        <v>92834</v>
      </c>
      <c r="B122" s="272" t="s">
        <v>303</v>
      </c>
      <c r="C122" s="272" t="s">
        <v>5</v>
      </c>
      <c r="D122" s="273" t="s">
        <v>10200</v>
      </c>
      <c r="E122" s="274" t="s">
        <v>229</v>
      </c>
    </row>
    <row r="123" spans="1:5" ht="40.5">
      <c r="A123" s="271">
        <v>92835</v>
      </c>
      <c r="B123" s="272" t="s">
        <v>304</v>
      </c>
      <c r="C123" s="272" t="s">
        <v>5</v>
      </c>
      <c r="D123" s="273" t="s">
        <v>21295</v>
      </c>
      <c r="E123" s="274" t="s">
        <v>229</v>
      </c>
    </row>
    <row r="124" spans="1:5" ht="40.5">
      <c r="A124" s="271">
        <v>92836</v>
      </c>
      <c r="B124" s="272" t="s">
        <v>305</v>
      </c>
      <c r="C124" s="272" t="s">
        <v>5</v>
      </c>
      <c r="D124" s="273" t="s">
        <v>11425</v>
      </c>
      <c r="E124" s="274" t="s">
        <v>229</v>
      </c>
    </row>
    <row r="125" spans="1:5" ht="40.5">
      <c r="A125" s="271">
        <v>92837</v>
      </c>
      <c r="B125" s="272" t="s">
        <v>306</v>
      </c>
      <c r="C125" s="272" t="s">
        <v>5</v>
      </c>
      <c r="D125" s="273" t="s">
        <v>21296</v>
      </c>
      <c r="E125" s="274" t="s">
        <v>229</v>
      </c>
    </row>
    <row r="126" spans="1:5" ht="40.5">
      <c r="A126" s="271">
        <v>92838</v>
      </c>
      <c r="B126" s="272" t="s">
        <v>307</v>
      </c>
      <c r="C126" s="272" t="s">
        <v>5</v>
      </c>
      <c r="D126" s="273" t="s">
        <v>10099</v>
      </c>
      <c r="E126" s="274" t="s">
        <v>229</v>
      </c>
    </row>
    <row r="127" spans="1:5" ht="40.5">
      <c r="A127" s="271">
        <v>92839</v>
      </c>
      <c r="B127" s="272" t="s">
        <v>308</v>
      </c>
      <c r="C127" s="272" t="s">
        <v>5</v>
      </c>
      <c r="D127" s="273" t="s">
        <v>21297</v>
      </c>
      <c r="E127" s="274" t="s">
        <v>229</v>
      </c>
    </row>
    <row r="128" spans="1:5" ht="40.5">
      <c r="A128" s="271">
        <v>92840</v>
      </c>
      <c r="B128" s="272" t="s">
        <v>309</v>
      </c>
      <c r="C128" s="272" t="s">
        <v>5</v>
      </c>
      <c r="D128" s="273" t="s">
        <v>10260</v>
      </c>
      <c r="E128" s="274" t="s">
        <v>229</v>
      </c>
    </row>
    <row r="129" spans="1:5" ht="40.5">
      <c r="A129" s="271">
        <v>92841</v>
      </c>
      <c r="B129" s="272" t="s">
        <v>310</v>
      </c>
      <c r="C129" s="272" t="s">
        <v>5</v>
      </c>
      <c r="D129" s="273" t="s">
        <v>21298</v>
      </c>
      <c r="E129" s="274" t="s">
        <v>229</v>
      </c>
    </row>
    <row r="130" spans="1:5" ht="40.5">
      <c r="A130" s="271">
        <v>92842</v>
      </c>
      <c r="B130" s="272" t="s">
        <v>311</v>
      </c>
      <c r="C130" s="272" t="s">
        <v>5</v>
      </c>
      <c r="D130" s="273" t="s">
        <v>21299</v>
      </c>
      <c r="E130" s="274" t="s">
        <v>229</v>
      </c>
    </row>
    <row r="131" spans="1:5" ht="40.5">
      <c r="A131" s="271">
        <v>92843</v>
      </c>
      <c r="B131" s="272" t="s">
        <v>12528</v>
      </c>
      <c r="C131" s="272" t="s">
        <v>5</v>
      </c>
      <c r="D131" s="273" t="s">
        <v>21300</v>
      </c>
      <c r="E131" s="274" t="s">
        <v>229</v>
      </c>
    </row>
    <row r="132" spans="1:5" ht="40.5">
      <c r="A132" s="271">
        <v>92844</v>
      </c>
      <c r="B132" s="272" t="s">
        <v>312</v>
      </c>
      <c r="C132" s="272" t="s">
        <v>5</v>
      </c>
      <c r="D132" s="273" t="s">
        <v>10450</v>
      </c>
      <c r="E132" s="274" t="s">
        <v>229</v>
      </c>
    </row>
    <row r="133" spans="1:5" ht="40.5">
      <c r="A133" s="271">
        <v>92845</v>
      </c>
      <c r="B133" s="272" t="s">
        <v>12529</v>
      </c>
      <c r="C133" s="272" t="s">
        <v>5</v>
      </c>
      <c r="D133" s="273" t="s">
        <v>21301</v>
      </c>
      <c r="E133" s="274" t="s">
        <v>229</v>
      </c>
    </row>
    <row r="134" spans="1:5" ht="40.5">
      <c r="A134" s="271">
        <v>92846</v>
      </c>
      <c r="B134" s="272" t="s">
        <v>313</v>
      </c>
      <c r="C134" s="272" t="s">
        <v>5</v>
      </c>
      <c r="D134" s="273" t="s">
        <v>11122</v>
      </c>
      <c r="E134" s="274" t="s">
        <v>229</v>
      </c>
    </row>
    <row r="135" spans="1:5" ht="40.5">
      <c r="A135" s="271">
        <v>92847</v>
      </c>
      <c r="B135" s="272" t="s">
        <v>314</v>
      </c>
      <c r="C135" s="272" t="s">
        <v>5</v>
      </c>
      <c r="D135" s="275" t="s">
        <v>21302</v>
      </c>
      <c r="E135" s="274" t="s">
        <v>229</v>
      </c>
    </row>
    <row r="136" spans="1:5" ht="40.5">
      <c r="A136" s="271">
        <v>92848</v>
      </c>
      <c r="B136" s="272" t="s">
        <v>315</v>
      </c>
      <c r="C136" s="272" t="s">
        <v>5</v>
      </c>
      <c r="D136" s="273" t="s">
        <v>21303</v>
      </c>
      <c r="E136" s="274" t="s">
        <v>229</v>
      </c>
    </row>
    <row r="137" spans="1:5" ht="40.5">
      <c r="A137" s="271">
        <v>92849</v>
      </c>
      <c r="B137" s="272" t="s">
        <v>316</v>
      </c>
      <c r="C137" s="272" t="s">
        <v>5</v>
      </c>
      <c r="D137" s="273" t="s">
        <v>21304</v>
      </c>
      <c r="E137" s="274" t="s">
        <v>229</v>
      </c>
    </row>
    <row r="138" spans="1:5" ht="40.5">
      <c r="A138" s="271">
        <v>92850</v>
      </c>
      <c r="B138" s="272" t="s">
        <v>317</v>
      </c>
      <c r="C138" s="272" t="s">
        <v>5</v>
      </c>
      <c r="D138" s="273" t="s">
        <v>10330</v>
      </c>
      <c r="E138" s="274" t="s">
        <v>229</v>
      </c>
    </row>
    <row r="139" spans="1:5" ht="40.5">
      <c r="A139" s="271">
        <v>92851</v>
      </c>
      <c r="B139" s="272" t="s">
        <v>318</v>
      </c>
      <c r="C139" s="272" t="s">
        <v>5</v>
      </c>
      <c r="D139" s="273" t="s">
        <v>21305</v>
      </c>
      <c r="E139" s="274" t="s">
        <v>229</v>
      </c>
    </row>
    <row r="140" spans="1:5" ht="40.5">
      <c r="A140" s="271">
        <v>92852</v>
      </c>
      <c r="B140" s="272" t="s">
        <v>319</v>
      </c>
      <c r="C140" s="272" t="s">
        <v>5</v>
      </c>
      <c r="D140" s="273" t="s">
        <v>15856</v>
      </c>
      <c r="E140" s="274" t="s">
        <v>229</v>
      </c>
    </row>
    <row r="141" spans="1:5" ht="40.5">
      <c r="A141" s="271">
        <v>92853</v>
      </c>
      <c r="B141" s="272" t="s">
        <v>320</v>
      </c>
      <c r="C141" s="272" t="s">
        <v>5</v>
      </c>
      <c r="D141" s="273" t="s">
        <v>21306</v>
      </c>
      <c r="E141" s="274" t="s">
        <v>229</v>
      </c>
    </row>
    <row r="142" spans="1:5" ht="40.5">
      <c r="A142" s="271">
        <v>92854</v>
      </c>
      <c r="B142" s="272" t="s">
        <v>321</v>
      </c>
      <c r="C142" s="272" t="s">
        <v>5</v>
      </c>
      <c r="D142" s="273" t="s">
        <v>16517</v>
      </c>
      <c r="E142" s="274" t="s">
        <v>229</v>
      </c>
    </row>
    <row r="143" spans="1:5" ht="40.5">
      <c r="A143" s="271">
        <v>92855</v>
      </c>
      <c r="B143" s="272" t="s">
        <v>322</v>
      </c>
      <c r="C143" s="272" t="s">
        <v>5</v>
      </c>
      <c r="D143" s="273" t="s">
        <v>21307</v>
      </c>
      <c r="E143" s="274" t="s">
        <v>229</v>
      </c>
    </row>
    <row r="144" spans="1:5" ht="40.5">
      <c r="A144" s="271">
        <v>92856</v>
      </c>
      <c r="B144" s="272" t="s">
        <v>323</v>
      </c>
      <c r="C144" s="272" t="s">
        <v>5</v>
      </c>
      <c r="D144" s="273" t="s">
        <v>16089</v>
      </c>
      <c r="E144" s="274" t="s">
        <v>229</v>
      </c>
    </row>
    <row r="145" spans="1:5" ht="40.5">
      <c r="A145" s="271">
        <v>92857</v>
      </c>
      <c r="B145" s="272" t="s">
        <v>324</v>
      </c>
      <c r="C145" s="272" t="s">
        <v>5</v>
      </c>
      <c r="D145" s="273" t="s">
        <v>21308</v>
      </c>
      <c r="E145" s="274" t="s">
        <v>229</v>
      </c>
    </row>
    <row r="146" spans="1:5" ht="40.5">
      <c r="A146" s="271">
        <v>92858</v>
      </c>
      <c r="B146" s="272" t="s">
        <v>325</v>
      </c>
      <c r="C146" s="272" t="s">
        <v>5</v>
      </c>
      <c r="D146" s="273" t="s">
        <v>21309</v>
      </c>
      <c r="E146" s="274" t="s">
        <v>229</v>
      </c>
    </row>
    <row r="147" spans="1:5" ht="40.5">
      <c r="A147" s="271">
        <v>92859</v>
      </c>
      <c r="B147" s="272" t="s">
        <v>12530</v>
      </c>
      <c r="C147" s="272" t="s">
        <v>5</v>
      </c>
      <c r="D147" s="275" t="s">
        <v>21310</v>
      </c>
      <c r="E147" s="274" t="s">
        <v>229</v>
      </c>
    </row>
    <row r="148" spans="1:5" ht="40.5">
      <c r="A148" s="271">
        <v>92860</v>
      </c>
      <c r="B148" s="272" t="s">
        <v>326</v>
      </c>
      <c r="C148" s="272" t="s">
        <v>5</v>
      </c>
      <c r="D148" s="273" t="s">
        <v>15862</v>
      </c>
      <c r="E148" s="274" t="s">
        <v>229</v>
      </c>
    </row>
    <row r="149" spans="1:5" ht="40.5">
      <c r="A149" s="271">
        <v>92861</v>
      </c>
      <c r="B149" s="272" t="s">
        <v>12531</v>
      </c>
      <c r="C149" s="272" t="s">
        <v>5</v>
      </c>
      <c r="D149" s="273" t="s">
        <v>21311</v>
      </c>
      <c r="E149" s="274" t="s">
        <v>229</v>
      </c>
    </row>
    <row r="150" spans="1:5" ht="40.5">
      <c r="A150" s="271">
        <v>92862</v>
      </c>
      <c r="B150" s="272" t="s">
        <v>327</v>
      </c>
      <c r="C150" s="272" t="s">
        <v>5</v>
      </c>
      <c r="D150" s="273" t="s">
        <v>12392</v>
      </c>
      <c r="E150" s="274" t="s">
        <v>229</v>
      </c>
    </row>
    <row r="151" spans="1:5" ht="40.5">
      <c r="A151" s="271">
        <v>92863</v>
      </c>
      <c r="B151" s="272" t="s">
        <v>328</v>
      </c>
      <c r="C151" s="272" t="s">
        <v>5</v>
      </c>
      <c r="D151" s="273" t="s">
        <v>21312</v>
      </c>
      <c r="E151" s="274" t="s">
        <v>229</v>
      </c>
    </row>
    <row r="152" spans="1:5" ht="40.5">
      <c r="A152" s="271">
        <v>92864</v>
      </c>
      <c r="B152" s="272" t="s">
        <v>329</v>
      </c>
      <c r="C152" s="272" t="s">
        <v>5</v>
      </c>
      <c r="D152" s="273" t="s">
        <v>10608</v>
      </c>
      <c r="E152" s="274" t="s">
        <v>229</v>
      </c>
    </row>
    <row r="153" spans="1:5" ht="40.5">
      <c r="A153" s="271">
        <v>92210</v>
      </c>
      <c r="B153" s="272" t="s">
        <v>286</v>
      </c>
      <c r="C153" s="272" t="s">
        <v>5</v>
      </c>
      <c r="D153" s="273" t="s">
        <v>21313</v>
      </c>
      <c r="E153" s="274" t="s">
        <v>229</v>
      </c>
    </row>
    <row r="154" spans="1:5" ht="40.5">
      <c r="A154" s="271">
        <v>92211</v>
      </c>
      <c r="B154" s="272" t="s">
        <v>330</v>
      </c>
      <c r="C154" s="272" t="s">
        <v>5</v>
      </c>
      <c r="D154" s="273" t="s">
        <v>21314</v>
      </c>
      <c r="E154" s="274" t="s">
        <v>229</v>
      </c>
    </row>
    <row r="155" spans="1:5" ht="40.5">
      <c r="A155" s="271">
        <v>92212</v>
      </c>
      <c r="B155" s="272" t="s">
        <v>331</v>
      </c>
      <c r="C155" s="272" t="s">
        <v>5</v>
      </c>
      <c r="D155" s="273" t="s">
        <v>21315</v>
      </c>
      <c r="E155" s="274" t="s">
        <v>229</v>
      </c>
    </row>
    <row r="156" spans="1:5" ht="40.5">
      <c r="A156" s="271">
        <v>92213</v>
      </c>
      <c r="B156" s="272" t="s">
        <v>332</v>
      </c>
      <c r="C156" s="272" t="s">
        <v>5</v>
      </c>
      <c r="D156" s="273" t="s">
        <v>21316</v>
      </c>
      <c r="E156" s="274" t="s">
        <v>229</v>
      </c>
    </row>
    <row r="157" spans="1:5" ht="40.5">
      <c r="A157" s="271">
        <v>92214</v>
      </c>
      <c r="B157" s="272" t="s">
        <v>333</v>
      </c>
      <c r="C157" s="272" t="s">
        <v>5</v>
      </c>
      <c r="D157" s="273" t="s">
        <v>21317</v>
      </c>
      <c r="E157" s="274" t="s">
        <v>229</v>
      </c>
    </row>
    <row r="158" spans="1:5" ht="40.5">
      <c r="A158" s="271">
        <v>92215</v>
      </c>
      <c r="B158" s="272" t="s">
        <v>334</v>
      </c>
      <c r="C158" s="272" t="s">
        <v>5</v>
      </c>
      <c r="D158" s="273" t="s">
        <v>21318</v>
      </c>
      <c r="E158" s="274" t="s">
        <v>229</v>
      </c>
    </row>
    <row r="159" spans="1:5" ht="40.5">
      <c r="A159" s="271">
        <v>92216</v>
      </c>
      <c r="B159" s="272" t="s">
        <v>335</v>
      </c>
      <c r="C159" s="272" t="s">
        <v>5</v>
      </c>
      <c r="D159" s="273" t="s">
        <v>21319</v>
      </c>
      <c r="E159" s="274" t="s">
        <v>229</v>
      </c>
    </row>
    <row r="160" spans="1:5" ht="40.5">
      <c r="A160" s="271">
        <v>92219</v>
      </c>
      <c r="B160" s="272" t="s">
        <v>336</v>
      </c>
      <c r="C160" s="272" t="s">
        <v>5</v>
      </c>
      <c r="D160" s="273" t="s">
        <v>14269</v>
      </c>
      <c r="E160" s="274" t="s">
        <v>229</v>
      </c>
    </row>
    <row r="161" spans="1:5" ht="40.5">
      <c r="A161" s="271">
        <v>92220</v>
      </c>
      <c r="B161" s="272" t="s">
        <v>337</v>
      </c>
      <c r="C161" s="272" t="s">
        <v>5</v>
      </c>
      <c r="D161" s="273" t="s">
        <v>21320</v>
      </c>
      <c r="E161" s="274" t="s">
        <v>229</v>
      </c>
    </row>
    <row r="162" spans="1:5" ht="40.5">
      <c r="A162" s="271">
        <v>92221</v>
      </c>
      <c r="B162" s="272" t="s">
        <v>338</v>
      </c>
      <c r="C162" s="272" t="s">
        <v>5</v>
      </c>
      <c r="D162" s="273" t="s">
        <v>21321</v>
      </c>
      <c r="E162" s="274" t="s">
        <v>229</v>
      </c>
    </row>
    <row r="163" spans="1:5" ht="40.5">
      <c r="A163" s="271">
        <v>92222</v>
      </c>
      <c r="B163" s="272" t="s">
        <v>339</v>
      </c>
      <c r="C163" s="272" t="s">
        <v>5</v>
      </c>
      <c r="D163" s="273" t="s">
        <v>21322</v>
      </c>
      <c r="E163" s="274" t="s">
        <v>229</v>
      </c>
    </row>
    <row r="164" spans="1:5" ht="40.5">
      <c r="A164" s="271">
        <v>92223</v>
      </c>
      <c r="B164" s="272" t="s">
        <v>340</v>
      </c>
      <c r="C164" s="272" t="s">
        <v>5</v>
      </c>
      <c r="D164" s="273" t="s">
        <v>21323</v>
      </c>
      <c r="E164" s="274" t="s">
        <v>229</v>
      </c>
    </row>
    <row r="165" spans="1:5" ht="40.5">
      <c r="A165" s="271">
        <v>92224</v>
      </c>
      <c r="B165" s="272" t="s">
        <v>341</v>
      </c>
      <c r="C165" s="272" t="s">
        <v>5</v>
      </c>
      <c r="D165" s="273" t="s">
        <v>21324</v>
      </c>
      <c r="E165" s="274" t="s">
        <v>229</v>
      </c>
    </row>
    <row r="166" spans="1:5" ht="40.5">
      <c r="A166" s="271">
        <v>92226</v>
      </c>
      <c r="B166" s="272" t="s">
        <v>342</v>
      </c>
      <c r="C166" s="272" t="s">
        <v>5</v>
      </c>
      <c r="D166" s="273" t="s">
        <v>21325</v>
      </c>
      <c r="E166" s="274" t="s">
        <v>229</v>
      </c>
    </row>
    <row r="167" spans="1:5" ht="40.5">
      <c r="A167" s="271">
        <v>92808</v>
      </c>
      <c r="B167" s="272" t="s">
        <v>343</v>
      </c>
      <c r="C167" s="272" t="s">
        <v>5</v>
      </c>
      <c r="D167" s="273" t="s">
        <v>12395</v>
      </c>
      <c r="E167" s="274" t="s">
        <v>229</v>
      </c>
    </row>
    <row r="168" spans="1:5" ht="40.5">
      <c r="A168" s="271">
        <v>92809</v>
      </c>
      <c r="B168" s="272" t="s">
        <v>344</v>
      </c>
      <c r="C168" s="272" t="s">
        <v>5</v>
      </c>
      <c r="D168" s="273" t="s">
        <v>21007</v>
      </c>
      <c r="E168" s="274" t="s">
        <v>229</v>
      </c>
    </row>
    <row r="169" spans="1:5" ht="40.5">
      <c r="A169" s="271">
        <v>92810</v>
      </c>
      <c r="B169" s="272" t="s">
        <v>345</v>
      </c>
      <c r="C169" s="272" t="s">
        <v>5</v>
      </c>
      <c r="D169" s="273" t="s">
        <v>16445</v>
      </c>
      <c r="E169" s="274" t="s">
        <v>229</v>
      </c>
    </row>
    <row r="170" spans="1:5" ht="40.5">
      <c r="A170" s="271">
        <v>92811</v>
      </c>
      <c r="B170" s="272" t="s">
        <v>346</v>
      </c>
      <c r="C170" s="272" t="s">
        <v>5</v>
      </c>
      <c r="D170" s="273" t="s">
        <v>21326</v>
      </c>
      <c r="E170" s="274" t="s">
        <v>229</v>
      </c>
    </row>
    <row r="171" spans="1:5" ht="40.5">
      <c r="A171" s="271">
        <v>92812</v>
      </c>
      <c r="B171" s="272" t="s">
        <v>347</v>
      </c>
      <c r="C171" s="272" t="s">
        <v>5</v>
      </c>
      <c r="D171" s="273" t="s">
        <v>14210</v>
      </c>
      <c r="E171" s="274" t="s">
        <v>229</v>
      </c>
    </row>
    <row r="172" spans="1:5" ht="40.5">
      <c r="A172" s="271">
        <v>92813</v>
      </c>
      <c r="B172" s="272" t="s">
        <v>348</v>
      </c>
      <c r="C172" s="272" t="s">
        <v>5</v>
      </c>
      <c r="D172" s="273" t="s">
        <v>21327</v>
      </c>
      <c r="E172" s="274" t="s">
        <v>229</v>
      </c>
    </row>
    <row r="173" spans="1:5" ht="40.5">
      <c r="A173" s="271">
        <v>92814</v>
      </c>
      <c r="B173" s="272" t="s">
        <v>349</v>
      </c>
      <c r="C173" s="272" t="s">
        <v>5</v>
      </c>
      <c r="D173" s="273" t="s">
        <v>16323</v>
      </c>
      <c r="E173" s="274" t="s">
        <v>229</v>
      </c>
    </row>
    <row r="174" spans="1:5" ht="40.5">
      <c r="A174" s="271">
        <v>92815</v>
      </c>
      <c r="B174" s="272" t="s">
        <v>350</v>
      </c>
      <c r="C174" s="272" t="s">
        <v>5</v>
      </c>
      <c r="D174" s="273" t="s">
        <v>21328</v>
      </c>
      <c r="E174" s="274" t="s">
        <v>229</v>
      </c>
    </row>
    <row r="175" spans="1:5" ht="40.5">
      <c r="A175" s="271">
        <v>92816</v>
      </c>
      <c r="B175" s="272" t="s">
        <v>351</v>
      </c>
      <c r="C175" s="272" t="s">
        <v>5</v>
      </c>
      <c r="D175" s="273" t="s">
        <v>21329</v>
      </c>
      <c r="E175" s="274" t="s">
        <v>229</v>
      </c>
    </row>
    <row r="176" spans="1:5" ht="40.5">
      <c r="A176" s="271">
        <v>92817</v>
      </c>
      <c r="B176" s="272" t="s">
        <v>352</v>
      </c>
      <c r="C176" s="272" t="s">
        <v>5</v>
      </c>
      <c r="D176" s="273" t="s">
        <v>21330</v>
      </c>
      <c r="E176" s="274" t="s">
        <v>229</v>
      </c>
    </row>
    <row r="177" spans="1:5" ht="40.5">
      <c r="A177" s="271">
        <v>92818</v>
      </c>
      <c r="B177" s="272" t="s">
        <v>353</v>
      </c>
      <c r="C177" s="272" t="s">
        <v>5</v>
      </c>
      <c r="D177" s="273" t="s">
        <v>21331</v>
      </c>
      <c r="E177" s="274" t="s">
        <v>229</v>
      </c>
    </row>
    <row r="178" spans="1:5" ht="40.5">
      <c r="A178" s="271">
        <v>92819</v>
      </c>
      <c r="B178" s="272" t="s">
        <v>354</v>
      </c>
      <c r="C178" s="272" t="s">
        <v>5</v>
      </c>
      <c r="D178" s="273" t="s">
        <v>21332</v>
      </c>
      <c r="E178" s="274" t="s">
        <v>229</v>
      </c>
    </row>
    <row r="179" spans="1:5" ht="40.5">
      <c r="A179" s="271">
        <v>92820</v>
      </c>
      <c r="B179" s="272" t="s">
        <v>355</v>
      </c>
      <c r="C179" s="272" t="s">
        <v>5</v>
      </c>
      <c r="D179" s="273" t="s">
        <v>10116</v>
      </c>
      <c r="E179" s="274" t="s">
        <v>229</v>
      </c>
    </row>
    <row r="180" spans="1:5" ht="40.5">
      <c r="A180" s="271">
        <v>92821</v>
      </c>
      <c r="B180" s="272" t="s">
        <v>356</v>
      </c>
      <c r="C180" s="272" t="s">
        <v>5</v>
      </c>
      <c r="D180" s="273" t="s">
        <v>21333</v>
      </c>
      <c r="E180" s="274" t="s">
        <v>229</v>
      </c>
    </row>
    <row r="181" spans="1:5" ht="40.5">
      <c r="A181" s="271">
        <v>92822</v>
      </c>
      <c r="B181" s="272" t="s">
        <v>357</v>
      </c>
      <c r="C181" s="272" t="s">
        <v>5</v>
      </c>
      <c r="D181" s="273" t="s">
        <v>21334</v>
      </c>
      <c r="E181" s="274" t="s">
        <v>229</v>
      </c>
    </row>
    <row r="182" spans="1:5" ht="40.5">
      <c r="A182" s="271">
        <v>92824</v>
      </c>
      <c r="B182" s="272" t="s">
        <v>358</v>
      </c>
      <c r="C182" s="272" t="s">
        <v>5</v>
      </c>
      <c r="D182" s="273" t="s">
        <v>21335</v>
      </c>
      <c r="E182" s="274" t="s">
        <v>229</v>
      </c>
    </row>
    <row r="183" spans="1:5" ht="40.5">
      <c r="A183" s="271">
        <v>92825</v>
      </c>
      <c r="B183" s="272" t="s">
        <v>359</v>
      </c>
      <c r="C183" s="272" t="s">
        <v>5</v>
      </c>
      <c r="D183" s="273" t="s">
        <v>21336</v>
      </c>
      <c r="E183" s="274" t="s">
        <v>229</v>
      </c>
    </row>
    <row r="184" spans="1:5" ht="40.5">
      <c r="A184" s="271">
        <v>92826</v>
      </c>
      <c r="B184" s="272" t="s">
        <v>360</v>
      </c>
      <c r="C184" s="272" t="s">
        <v>5</v>
      </c>
      <c r="D184" s="273" t="s">
        <v>16648</v>
      </c>
      <c r="E184" s="274" t="s">
        <v>229</v>
      </c>
    </row>
    <row r="185" spans="1:5" ht="40.5">
      <c r="A185" s="271">
        <v>92827</v>
      </c>
      <c r="B185" s="272" t="s">
        <v>361</v>
      </c>
      <c r="C185" s="272" t="s">
        <v>5</v>
      </c>
      <c r="D185" s="273" t="s">
        <v>21337</v>
      </c>
      <c r="E185" s="274" t="s">
        <v>229</v>
      </c>
    </row>
    <row r="186" spans="1:5" ht="40.5">
      <c r="A186" s="271">
        <v>92828</v>
      </c>
      <c r="B186" s="272" t="s">
        <v>362</v>
      </c>
      <c r="C186" s="272" t="s">
        <v>5</v>
      </c>
      <c r="D186" s="273" t="s">
        <v>20765</v>
      </c>
      <c r="E186" s="274" t="s">
        <v>229</v>
      </c>
    </row>
    <row r="187" spans="1:5" ht="40.5">
      <c r="A187" s="271">
        <v>92829</v>
      </c>
      <c r="B187" s="272" t="s">
        <v>363</v>
      </c>
      <c r="C187" s="272" t="s">
        <v>5</v>
      </c>
      <c r="D187" s="273" t="s">
        <v>21338</v>
      </c>
      <c r="E187" s="274" t="s">
        <v>229</v>
      </c>
    </row>
    <row r="188" spans="1:5" ht="40.5">
      <c r="A188" s="271">
        <v>92830</v>
      </c>
      <c r="B188" s="272" t="s">
        <v>364</v>
      </c>
      <c r="C188" s="272" t="s">
        <v>5</v>
      </c>
      <c r="D188" s="273" t="s">
        <v>21339</v>
      </c>
      <c r="E188" s="274" t="s">
        <v>229</v>
      </c>
    </row>
    <row r="189" spans="1:5" ht="40.5">
      <c r="A189" s="271">
        <v>92831</v>
      </c>
      <c r="B189" s="272" t="s">
        <v>365</v>
      </c>
      <c r="C189" s="272" t="s">
        <v>5</v>
      </c>
      <c r="D189" s="273" t="s">
        <v>21340</v>
      </c>
      <c r="E189" s="274" t="s">
        <v>229</v>
      </c>
    </row>
    <row r="190" spans="1:5" ht="40.5">
      <c r="A190" s="271">
        <v>92832</v>
      </c>
      <c r="B190" s="272" t="s">
        <v>366</v>
      </c>
      <c r="C190" s="272" t="s">
        <v>5</v>
      </c>
      <c r="D190" s="273" t="s">
        <v>21341</v>
      </c>
      <c r="E190" s="274" t="s">
        <v>229</v>
      </c>
    </row>
    <row r="191" spans="1:5" ht="40.5">
      <c r="A191" s="271">
        <v>95565</v>
      </c>
      <c r="B191" s="272" t="s">
        <v>285</v>
      </c>
      <c r="C191" s="272" t="s">
        <v>5</v>
      </c>
      <c r="D191" s="273" t="s">
        <v>21342</v>
      </c>
      <c r="E191" s="274" t="s">
        <v>229</v>
      </c>
    </row>
    <row r="192" spans="1:5" ht="40.5">
      <c r="A192" s="271">
        <v>95566</v>
      </c>
      <c r="B192" s="272" t="s">
        <v>367</v>
      </c>
      <c r="C192" s="272" t="s">
        <v>5</v>
      </c>
      <c r="D192" s="273" t="s">
        <v>18852</v>
      </c>
      <c r="E192" s="274" t="s">
        <v>229</v>
      </c>
    </row>
    <row r="193" spans="1:5" ht="40.5">
      <c r="A193" s="271">
        <v>95567</v>
      </c>
      <c r="B193" s="272" t="s">
        <v>368</v>
      </c>
      <c r="C193" s="272" t="s">
        <v>5</v>
      </c>
      <c r="D193" s="273" t="s">
        <v>21343</v>
      </c>
      <c r="E193" s="274" t="s">
        <v>229</v>
      </c>
    </row>
    <row r="194" spans="1:5" ht="40.5">
      <c r="A194" s="271">
        <v>95568</v>
      </c>
      <c r="B194" s="272" t="s">
        <v>369</v>
      </c>
      <c r="C194" s="272" t="s">
        <v>5</v>
      </c>
      <c r="D194" s="273" t="s">
        <v>21344</v>
      </c>
      <c r="E194" s="274" t="s">
        <v>229</v>
      </c>
    </row>
    <row r="195" spans="1:5" ht="40.5">
      <c r="A195" s="271">
        <v>95569</v>
      </c>
      <c r="B195" s="272" t="s">
        <v>370</v>
      </c>
      <c r="C195" s="272" t="s">
        <v>5</v>
      </c>
      <c r="D195" s="273" t="s">
        <v>21345</v>
      </c>
      <c r="E195" s="274" t="s">
        <v>229</v>
      </c>
    </row>
    <row r="196" spans="1:5" ht="40.5">
      <c r="A196" s="271">
        <v>95570</v>
      </c>
      <c r="B196" s="272" t="s">
        <v>371</v>
      </c>
      <c r="C196" s="272" t="s">
        <v>5</v>
      </c>
      <c r="D196" s="273" t="s">
        <v>11382</v>
      </c>
      <c r="E196" s="274" t="s">
        <v>229</v>
      </c>
    </row>
    <row r="197" spans="1:5" ht="40.5">
      <c r="A197" s="271">
        <v>95571</v>
      </c>
      <c r="B197" s="272" t="s">
        <v>372</v>
      </c>
      <c r="C197" s="272" t="s">
        <v>5</v>
      </c>
      <c r="D197" s="273" t="s">
        <v>21346</v>
      </c>
      <c r="E197" s="274" t="s">
        <v>229</v>
      </c>
    </row>
    <row r="198" spans="1:5" ht="40.5">
      <c r="A198" s="271">
        <v>95572</v>
      </c>
      <c r="B198" s="272" t="s">
        <v>373</v>
      </c>
      <c r="C198" s="272" t="s">
        <v>5</v>
      </c>
      <c r="D198" s="273" t="s">
        <v>21347</v>
      </c>
      <c r="E198" s="274" t="s">
        <v>229</v>
      </c>
    </row>
    <row r="199" spans="1:5" ht="40.5">
      <c r="A199" s="271">
        <v>97127</v>
      </c>
      <c r="B199" s="272" t="s">
        <v>3400</v>
      </c>
      <c r="C199" s="272" t="s">
        <v>5</v>
      </c>
      <c r="D199" s="273" t="s">
        <v>12215</v>
      </c>
      <c r="E199" s="274" t="s">
        <v>229</v>
      </c>
    </row>
    <row r="200" spans="1:5" ht="40.5">
      <c r="A200" s="271">
        <v>97128</v>
      </c>
      <c r="B200" s="272" t="s">
        <v>3401</v>
      </c>
      <c r="C200" s="272" t="s">
        <v>5</v>
      </c>
      <c r="D200" s="273" t="s">
        <v>12319</v>
      </c>
      <c r="E200" s="274" t="s">
        <v>229</v>
      </c>
    </row>
    <row r="201" spans="1:5" ht="40.5">
      <c r="A201" s="271">
        <v>97129</v>
      </c>
      <c r="B201" s="272" t="s">
        <v>3402</v>
      </c>
      <c r="C201" s="272" t="s">
        <v>5</v>
      </c>
      <c r="D201" s="273" t="s">
        <v>10994</v>
      </c>
      <c r="E201" s="274" t="s">
        <v>229</v>
      </c>
    </row>
    <row r="202" spans="1:5" ht="40.5">
      <c r="A202" s="271">
        <v>97130</v>
      </c>
      <c r="B202" s="272" t="s">
        <v>3403</v>
      </c>
      <c r="C202" s="272" t="s">
        <v>5</v>
      </c>
      <c r="D202" s="273" t="s">
        <v>9962</v>
      </c>
      <c r="E202" s="274" t="s">
        <v>229</v>
      </c>
    </row>
    <row r="203" spans="1:5" ht="40.5">
      <c r="A203" s="271">
        <v>97131</v>
      </c>
      <c r="B203" s="272" t="s">
        <v>3404</v>
      </c>
      <c r="C203" s="272" t="s">
        <v>5</v>
      </c>
      <c r="D203" s="273" t="s">
        <v>11297</v>
      </c>
      <c r="E203" s="274" t="s">
        <v>229</v>
      </c>
    </row>
    <row r="204" spans="1:5" ht="40.5">
      <c r="A204" s="271">
        <v>97132</v>
      </c>
      <c r="B204" s="272" t="s">
        <v>3405</v>
      </c>
      <c r="C204" s="272" t="s">
        <v>5</v>
      </c>
      <c r="D204" s="273" t="s">
        <v>10440</v>
      </c>
      <c r="E204" s="274" t="s">
        <v>229</v>
      </c>
    </row>
    <row r="205" spans="1:5" ht="40.5">
      <c r="A205" s="271">
        <v>97133</v>
      </c>
      <c r="B205" s="272" t="s">
        <v>3406</v>
      </c>
      <c r="C205" s="272" t="s">
        <v>5</v>
      </c>
      <c r="D205" s="273" t="s">
        <v>11495</v>
      </c>
      <c r="E205" s="274" t="s">
        <v>229</v>
      </c>
    </row>
    <row r="206" spans="1:5" ht="40.5">
      <c r="A206" s="271">
        <v>97134</v>
      </c>
      <c r="B206" s="272" t="s">
        <v>3407</v>
      </c>
      <c r="C206" s="272" t="s">
        <v>5</v>
      </c>
      <c r="D206" s="273" t="s">
        <v>10432</v>
      </c>
      <c r="E206" s="274" t="s">
        <v>229</v>
      </c>
    </row>
    <row r="207" spans="1:5" ht="40.5">
      <c r="A207" s="271">
        <v>97135</v>
      </c>
      <c r="B207" s="272" t="s">
        <v>3408</v>
      </c>
      <c r="C207" s="272" t="s">
        <v>5</v>
      </c>
      <c r="D207" s="273" t="s">
        <v>19225</v>
      </c>
      <c r="E207" s="274" t="s">
        <v>229</v>
      </c>
    </row>
    <row r="208" spans="1:5" ht="40.5">
      <c r="A208" s="271">
        <v>97136</v>
      </c>
      <c r="B208" s="272" t="s">
        <v>3409</v>
      </c>
      <c r="C208" s="272" t="s">
        <v>5</v>
      </c>
      <c r="D208" s="273" t="s">
        <v>11067</v>
      </c>
      <c r="E208" s="274" t="s">
        <v>229</v>
      </c>
    </row>
    <row r="209" spans="1:5" ht="40.5">
      <c r="A209" s="271">
        <v>97137</v>
      </c>
      <c r="B209" s="272" t="s">
        <v>3410</v>
      </c>
      <c r="C209" s="272" t="s">
        <v>5</v>
      </c>
      <c r="D209" s="273" t="s">
        <v>10107</v>
      </c>
      <c r="E209" s="274" t="s">
        <v>229</v>
      </c>
    </row>
    <row r="210" spans="1:5" ht="40.5">
      <c r="A210" s="271">
        <v>97138</v>
      </c>
      <c r="B210" s="272" t="s">
        <v>3411</v>
      </c>
      <c r="C210" s="272" t="s">
        <v>5</v>
      </c>
      <c r="D210" s="273" t="s">
        <v>10105</v>
      </c>
      <c r="E210" s="274" t="s">
        <v>229</v>
      </c>
    </row>
    <row r="211" spans="1:5" ht="40.5">
      <c r="A211" s="271">
        <v>97139</v>
      </c>
      <c r="B211" s="272" t="s">
        <v>3412</v>
      </c>
      <c r="C211" s="272" t="s">
        <v>5</v>
      </c>
      <c r="D211" s="273" t="s">
        <v>12237</v>
      </c>
      <c r="E211" s="274" t="s">
        <v>229</v>
      </c>
    </row>
    <row r="212" spans="1:5" ht="40.5">
      <c r="A212" s="271">
        <v>97140</v>
      </c>
      <c r="B212" s="272" t="s">
        <v>3413</v>
      </c>
      <c r="C212" s="272" t="s">
        <v>5</v>
      </c>
      <c r="D212" s="273" t="s">
        <v>20666</v>
      </c>
      <c r="E212" s="274" t="s">
        <v>229</v>
      </c>
    </row>
    <row r="213" spans="1:5" ht="27">
      <c r="A213" s="271">
        <v>93206</v>
      </c>
      <c r="B213" s="272" t="s">
        <v>374</v>
      </c>
      <c r="C213" s="272" t="s">
        <v>193</v>
      </c>
      <c r="D213" s="273" t="s">
        <v>21348</v>
      </c>
      <c r="E213" s="274" t="s">
        <v>229</v>
      </c>
    </row>
    <row r="214" spans="1:5" ht="27">
      <c r="A214" s="271">
        <v>93207</v>
      </c>
      <c r="B214" s="272" t="s">
        <v>233</v>
      </c>
      <c r="C214" s="272" t="s">
        <v>193</v>
      </c>
      <c r="D214" s="273" t="s">
        <v>21349</v>
      </c>
      <c r="E214" s="274" t="s">
        <v>229</v>
      </c>
    </row>
    <row r="215" spans="1:5" ht="27">
      <c r="A215" s="271">
        <v>93208</v>
      </c>
      <c r="B215" s="272" t="s">
        <v>375</v>
      </c>
      <c r="C215" s="272" t="s">
        <v>193</v>
      </c>
      <c r="D215" s="273" t="s">
        <v>21350</v>
      </c>
      <c r="E215" s="274" t="s">
        <v>229</v>
      </c>
    </row>
    <row r="216" spans="1:5" ht="27">
      <c r="A216" s="271">
        <v>93209</v>
      </c>
      <c r="B216" s="272" t="s">
        <v>376</v>
      </c>
      <c r="C216" s="272" t="s">
        <v>193</v>
      </c>
      <c r="D216" s="273" t="s">
        <v>21351</v>
      </c>
      <c r="E216" s="274" t="s">
        <v>229</v>
      </c>
    </row>
    <row r="217" spans="1:5" ht="27">
      <c r="A217" s="271">
        <v>93210</v>
      </c>
      <c r="B217" s="272" t="s">
        <v>234</v>
      </c>
      <c r="C217" s="272" t="s">
        <v>193</v>
      </c>
      <c r="D217" s="273" t="s">
        <v>21352</v>
      </c>
      <c r="E217" s="274" t="s">
        <v>229</v>
      </c>
    </row>
    <row r="218" spans="1:5" ht="27">
      <c r="A218" s="271">
        <v>93211</v>
      </c>
      <c r="B218" s="272" t="s">
        <v>377</v>
      </c>
      <c r="C218" s="272" t="s">
        <v>193</v>
      </c>
      <c r="D218" s="273" t="s">
        <v>21353</v>
      </c>
      <c r="E218" s="274" t="s">
        <v>229</v>
      </c>
    </row>
    <row r="219" spans="1:5" ht="27">
      <c r="A219" s="271">
        <v>93212</v>
      </c>
      <c r="B219" s="272" t="s">
        <v>235</v>
      </c>
      <c r="C219" s="272" t="s">
        <v>193</v>
      </c>
      <c r="D219" s="273" t="s">
        <v>21354</v>
      </c>
      <c r="E219" s="274" t="s">
        <v>229</v>
      </c>
    </row>
    <row r="220" spans="1:5" ht="27">
      <c r="A220" s="271">
        <v>93213</v>
      </c>
      <c r="B220" s="272" t="s">
        <v>378</v>
      </c>
      <c r="C220" s="272" t="s">
        <v>193</v>
      </c>
      <c r="D220" s="273" t="s">
        <v>21355</v>
      </c>
      <c r="E220" s="274" t="s">
        <v>229</v>
      </c>
    </row>
    <row r="221" spans="1:5" ht="27">
      <c r="A221" s="271">
        <v>93214</v>
      </c>
      <c r="B221" s="272" t="s">
        <v>155</v>
      </c>
      <c r="C221" s="272" t="s">
        <v>109</v>
      </c>
      <c r="D221" s="273" t="s">
        <v>21356</v>
      </c>
      <c r="E221" s="274" t="s">
        <v>229</v>
      </c>
    </row>
    <row r="222" spans="1:5" ht="27">
      <c r="A222" s="271">
        <v>93243</v>
      </c>
      <c r="B222" s="272" t="s">
        <v>3414</v>
      </c>
      <c r="C222" s="272" t="s">
        <v>109</v>
      </c>
      <c r="D222" s="273" t="s">
        <v>21357</v>
      </c>
      <c r="E222" s="274" t="s">
        <v>229</v>
      </c>
    </row>
    <row r="223" spans="1:5" ht="27">
      <c r="A223" s="271">
        <v>93582</v>
      </c>
      <c r="B223" s="272" t="s">
        <v>236</v>
      </c>
      <c r="C223" s="272" t="s">
        <v>193</v>
      </c>
      <c r="D223" s="273" t="s">
        <v>21358</v>
      </c>
      <c r="E223" s="274" t="s">
        <v>229</v>
      </c>
    </row>
    <row r="224" spans="1:5" ht="27">
      <c r="A224" s="271">
        <v>93583</v>
      </c>
      <c r="B224" s="272" t="s">
        <v>237</v>
      </c>
      <c r="C224" s="272" t="s">
        <v>193</v>
      </c>
      <c r="D224" s="273" t="s">
        <v>21359</v>
      </c>
      <c r="E224" s="274" t="s">
        <v>229</v>
      </c>
    </row>
    <row r="225" spans="1:5" ht="27">
      <c r="A225" s="271">
        <v>93584</v>
      </c>
      <c r="B225" s="272" t="s">
        <v>238</v>
      </c>
      <c r="C225" s="272" t="s">
        <v>193</v>
      </c>
      <c r="D225" s="273" t="s">
        <v>21360</v>
      </c>
      <c r="E225" s="274" t="s">
        <v>229</v>
      </c>
    </row>
    <row r="226" spans="1:5" ht="27">
      <c r="A226" s="271">
        <v>93585</v>
      </c>
      <c r="B226" s="272" t="s">
        <v>379</v>
      </c>
      <c r="C226" s="272" t="s">
        <v>193</v>
      </c>
      <c r="D226" s="273" t="s">
        <v>21361</v>
      </c>
      <c r="E226" s="274" t="s">
        <v>229</v>
      </c>
    </row>
    <row r="227" spans="1:5" ht="27">
      <c r="A227" s="271">
        <v>98441</v>
      </c>
      <c r="B227" s="272" t="s">
        <v>3800</v>
      </c>
      <c r="C227" s="272" t="s">
        <v>193</v>
      </c>
      <c r="D227" s="273" t="s">
        <v>21362</v>
      </c>
      <c r="E227" s="274" t="s">
        <v>229</v>
      </c>
    </row>
    <row r="228" spans="1:5" ht="27">
      <c r="A228" s="271">
        <v>98442</v>
      </c>
      <c r="B228" s="272" t="s">
        <v>3801</v>
      </c>
      <c r="C228" s="272" t="s">
        <v>193</v>
      </c>
      <c r="D228" s="273" t="s">
        <v>20809</v>
      </c>
      <c r="E228" s="274" t="s">
        <v>229</v>
      </c>
    </row>
    <row r="229" spans="1:5" ht="27">
      <c r="A229" s="271">
        <v>98443</v>
      </c>
      <c r="B229" s="272" t="s">
        <v>3802</v>
      </c>
      <c r="C229" s="272" t="s">
        <v>193</v>
      </c>
      <c r="D229" s="273" t="s">
        <v>21363</v>
      </c>
      <c r="E229" s="274" t="s">
        <v>229</v>
      </c>
    </row>
    <row r="230" spans="1:5" ht="27">
      <c r="A230" s="271">
        <v>98444</v>
      </c>
      <c r="B230" s="272" t="s">
        <v>3803</v>
      </c>
      <c r="C230" s="272" t="s">
        <v>193</v>
      </c>
      <c r="D230" s="273" t="s">
        <v>21364</v>
      </c>
      <c r="E230" s="274" t="s">
        <v>229</v>
      </c>
    </row>
    <row r="231" spans="1:5" ht="27">
      <c r="A231" s="271">
        <v>98445</v>
      </c>
      <c r="B231" s="272" t="s">
        <v>3804</v>
      </c>
      <c r="C231" s="272" t="s">
        <v>193</v>
      </c>
      <c r="D231" s="273" t="s">
        <v>18802</v>
      </c>
      <c r="E231" s="274" t="s">
        <v>229</v>
      </c>
    </row>
    <row r="232" spans="1:5" ht="27">
      <c r="A232" s="271">
        <v>98446</v>
      </c>
      <c r="B232" s="272" t="s">
        <v>3805</v>
      </c>
      <c r="C232" s="272" t="s">
        <v>193</v>
      </c>
      <c r="D232" s="273" t="s">
        <v>21365</v>
      </c>
      <c r="E232" s="274" t="s">
        <v>229</v>
      </c>
    </row>
    <row r="233" spans="1:5" ht="27">
      <c r="A233" s="271">
        <v>98447</v>
      </c>
      <c r="B233" s="272" t="s">
        <v>3806</v>
      </c>
      <c r="C233" s="272" t="s">
        <v>193</v>
      </c>
      <c r="D233" s="273" t="s">
        <v>21366</v>
      </c>
      <c r="E233" s="274" t="s">
        <v>229</v>
      </c>
    </row>
    <row r="234" spans="1:5" ht="27">
      <c r="A234" s="271">
        <v>98448</v>
      </c>
      <c r="B234" s="272" t="s">
        <v>3807</v>
      </c>
      <c r="C234" s="272" t="s">
        <v>193</v>
      </c>
      <c r="D234" s="273" t="s">
        <v>21367</v>
      </c>
      <c r="E234" s="274" t="s">
        <v>229</v>
      </c>
    </row>
    <row r="235" spans="1:5" ht="27">
      <c r="A235" s="271">
        <v>98449</v>
      </c>
      <c r="B235" s="272" t="s">
        <v>3808</v>
      </c>
      <c r="C235" s="272" t="s">
        <v>193</v>
      </c>
      <c r="D235" s="273" t="s">
        <v>21368</v>
      </c>
      <c r="E235" s="274" t="s">
        <v>229</v>
      </c>
    </row>
    <row r="236" spans="1:5" ht="27">
      <c r="A236" s="271">
        <v>98450</v>
      </c>
      <c r="B236" s="272" t="s">
        <v>3809</v>
      </c>
      <c r="C236" s="272" t="s">
        <v>193</v>
      </c>
      <c r="D236" s="273" t="s">
        <v>21369</v>
      </c>
      <c r="E236" s="274" t="s">
        <v>229</v>
      </c>
    </row>
    <row r="237" spans="1:5" ht="27">
      <c r="A237" s="271">
        <v>98451</v>
      </c>
      <c r="B237" s="272" t="s">
        <v>3810</v>
      </c>
      <c r="C237" s="272" t="s">
        <v>193</v>
      </c>
      <c r="D237" s="273" t="s">
        <v>21370</v>
      </c>
      <c r="E237" s="274" t="s">
        <v>229</v>
      </c>
    </row>
    <row r="238" spans="1:5" ht="27">
      <c r="A238" s="271">
        <v>98452</v>
      </c>
      <c r="B238" s="272" t="s">
        <v>3811</v>
      </c>
      <c r="C238" s="272" t="s">
        <v>193</v>
      </c>
      <c r="D238" s="273" t="s">
        <v>21371</v>
      </c>
      <c r="E238" s="274" t="s">
        <v>229</v>
      </c>
    </row>
    <row r="239" spans="1:5" ht="27">
      <c r="A239" s="271">
        <v>98453</v>
      </c>
      <c r="B239" s="272" t="s">
        <v>3812</v>
      </c>
      <c r="C239" s="272" t="s">
        <v>193</v>
      </c>
      <c r="D239" s="273" t="s">
        <v>16139</v>
      </c>
      <c r="E239" s="274" t="s">
        <v>229</v>
      </c>
    </row>
    <row r="240" spans="1:5" ht="27">
      <c r="A240" s="271">
        <v>98454</v>
      </c>
      <c r="B240" s="272" t="s">
        <v>3813</v>
      </c>
      <c r="C240" s="272" t="s">
        <v>193</v>
      </c>
      <c r="D240" s="273" t="s">
        <v>21372</v>
      </c>
      <c r="E240" s="274" t="s">
        <v>229</v>
      </c>
    </row>
    <row r="241" spans="1:5" ht="27">
      <c r="A241" s="271">
        <v>98455</v>
      </c>
      <c r="B241" s="272" t="s">
        <v>3814</v>
      </c>
      <c r="C241" s="272" t="s">
        <v>193</v>
      </c>
      <c r="D241" s="273" t="s">
        <v>21373</v>
      </c>
      <c r="E241" s="274" t="s">
        <v>229</v>
      </c>
    </row>
    <row r="242" spans="1:5" ht="27">
      <c r="A242" s="271">
        <v>98456</v>
      </c>
      <c r="B242" s="272" t="s">
        <v>3815</v>
      </c>
      <c r="C242" s="272" t="s">
        <v>193</v>
      </c>
      <c r="D242" s="273" t="s">
        <v>21374</v>
      </c>
      <c r="E242" s="274" t="s">
        <v>229</v>
      </c>
    </row>
    <row r="243" spans="1:5" ht="13.5">
      <c r="A243" s="271">
        <v>98458</v>
      </c>
      <c r="B243" s="272" t="s">
        <v>3816</v>
      </c>
      <c r="C243" s="272" t="s">
        <v>193</v>
      </c>
      <c r="D243" s="273" t="s">
        <v>16600</v>
      </c>
      <c r="E243" s="274" t="s">
        <v>229</v>
      </c>
    </row>
    <row r="244" spans="1:5" ht="13.5">
      <c r="A244" s="271">
        <v>98459</v>
      </c>
      <c r="B244" s="272" t="s">
        <v>3817</v>
      </c>
      <c r="C244" s="272" t="s">
        <v>193</v>
      </c>
      <c r="D244" s="273" t="s">
        <v>16352</v>
      </c>
      <c r="E244" s="274" t="s">
        <v>229</v>
      </c>
    </row>
    <row r="245" spans="1:5" ht="13.5">
      <c r="A245" s="271">
        <v>98460</v>
      </c>
      <c r="B245" s="272" t="s">
        <v>3818</v>
      </c>
      <c r="C245" s="272" t="s">
        <v>193</v>
      </c>
      <c r="D245" s="273" t="s">
        <v>21375</v>
      </c>
      <c r="E245" s="274" t="s">
        <v>229</v>
      </c>
    </row>
    <row r="246" spans="1:5" ht="27">
      <c r="A246" s="271">
        <v>98461</v>
      </c>
      <c r="B246" s="272" t="s">
        <v>12532</v>
      </c>
      <c r="C246" s="272" t="s">
        <v>109</v>
      </c>
      <c r="D246" s="273" t="s">
        <v>21376</v>
      </c>
      <c r="E246" s="274" t="s">
        <v>229</v>
      </c>
    </row>
    <row r="247" spans="1:5" ht="27">
      <c r="A247" s="271">
        <v>98462</v>
      </c>
      <c r="B247" s="272" t="s">
        <v>12533</v>
      </c>
      <c r="C247" s="272" t="s">
        <v>109</v>
      </c>
      <c r="D247" s="273" t="s">
        <v>21377</v>
      </c>
      <c r="E247" s="274" t="s">
        <v>229</v>
      </c>
    </row>
    <row r="248" spans="1:5" ht="27">
      <c r="A248" s="271">
        <v>5631</v>
      </c>
      <c r="B248" s="272" t="s">
        <v>381</v>
      </c>
      <c r="C248" s="272" t="s">
        <v>212</v>
      </c>
      <c r="D248" s="273" t="s">
        <v>21378</v>
      </c>
      <c r="E248" s="274" t="s">
        <v>8987</v>
      </c>
    </row>
    <row r="249" spans="1:5" ht="40.5">
      <c r="A249" s="271">
        <v>5678</v>
      </c>
      <c r="B249" s="272" t="s">
        <v>382</v>
      </c>
      <c r="C249" s="272" t="s">
        <v>212</v>
      </c>
      <c r="D249" s="273" t="s">
        <v>21379</v>
      </c>
      <c r="E249" s="274" t="s">
        <v>8987</v>
      </c>
    </row>
    <row r="250" spans="1:5" ht="40.5">
      <c r="A250" s="271">
        <v>5680</v>
      </c>
      <c r="B250" s="272" t="s">
        <v>383</v>
      </c>
      <c r="C250" s="272" t="s">
        <v>212</v>
      </c>
      <c r="D250" s="273" t="s">
        <v>21380</v>
      </c>
      <c r="E250" s="274" t="s">
        <v>8987</v>
      </c>
    </row>
    <row r="251" spans="1:5" ht="40.5">
      <c r="A251" s="271">
        <v>5684</v>
      </c>
      <c r="B251" s="272" t="s">
        <v>384</v>
      </c>
      <c r="C251" s="272" t="s">
        <v>212</v>
      </c>
      <c r="D251" s="273" t="s">
        <v>21381</v>
      </c>
      <c r="E251" s="274" t="s">
        <v>8987</v>
      </c>
    </row>
    <row r="252" spans="1:5" ht="27">
      <c r="A252" s="271">
        <v>5689</v>
      </c>
      <c r="B252" s="272" t="s">
        <v>385</v>
      </c>
      <c r="C252" s="272" t="s">
        <v>212</v>
      </c>
      <c r="D252" s="273" t="s">
        <v>10508</v>
      </c>
      <c r="E252" s="274" t="s">
        <v>8987</v>
      </c>
    </row>
    <row r="253" spans="1:5" ht="27">
      <c r="A253" s="271">
        <v>5795</v>
      </c>
      <c r="B253" s="272" t="s">
        <v>386</v>
      </c>
      <c r="C253" s="272" t="s">
        <v>212</v>
      </c>
      <c r="D253" s="273" t="s">
        <v>21382</v>
      </c>
      <c r="E253" s="274" t="s">
        <v>8987</v>
      </c>
    </row>
    <row r="254" spans="1:5" ht="40.5">
      <c r="A254" s="271">
        <v>5811</v>
      </c>
      <c r="B254" s="272" t="s">
        <v>387</v>
      </c>
      <c r="C254" s="272" t="s">
        <v>212</v>
      </c>
      <c r="D254" s="273" t="s">
        <v>21339</v>
      </c>
      <c r="E254" s="274" t="s">
        <v>8987</v>
      </c>
    </row>
    <row r="255" spans="1:5" ht="27">
      <c r="A255" s="271">
        <v>5823</v>
      </c>
      <c r="B255" s="272" t="s">
        <v>388</v>
      </c>
      <c r="C255" s="272" t="s">
        <v>212</v>
      </c>
      <c r="D255" s="273" t="s">
        <v>21383</v>
      </c>
      <c r="E255" s="274" t="s">
        <v>8987</v>
      </c>
    </row>
    <row r="256" spans="1:5" ht="40.5">
      <c r="A256" s="271">
        <v>5824</v>
      </c>
      <c r="B256" s="272" t="s">
        <v>389</v>
      </c>
      <c r="C256" s="272" t="s">
        <v>212</v>
      </c>
      <c r="D256" s="273" t="s">
        <v>21384</v>
      </c>
      <c r="E256" s="274" t="s">
        <v>8987</v>
      </c>
    </row>
    <row r="257" spans="1:5" ht="27">
      <c r="A257" s="271">
        <v>5835</v>
      </c>
      <c r="B257" s="272" t="s">
        <v>390</v>
      </c>
      <c r="C257" s="272" t="s">
        <v>212</v>
      </c>
      <c r="D257" s="273" t="s">
        <v>21385</v>
      </c>
      <c r="E257" s="274" t="s">
        <v>8987</v>
      </c>
    </row>
    <row r="258" spans="1:5" ht="27">
      <c r="A258" s="271">
        <v>5839</v>
      </c>
      <c r="B258" s="272" t="s">
        <v>391</v>
      </c>
      <c r="C258" s="272" t="s">
        <v>212</v>
      </c>
      <c r="D258" s="273" t="s">
        <v>10193</v>
      </c>
      <c r="E258" s="274" t="s">
        <v>8987</v>
      </c>
    </row>
    <row r="259" spans="1:5" ht="27">
      <c r="A259" s="271">
        <v>5843</v>
      </c>
      <c r="B259" s="272" t="s">
        <v>392</v>
      </c>
      <c r="C259" s="272" t="s">
        <v>212</v>
      </c>
      <c r="D259" s="273" t="s">
        <v>21386</v>
      </c>
      <c r="E259" s="274" t="s">
        <v>8987</v>
      </c>
    </row>
    <row r="260" spans="1:5" ht="27">
      <c r="A260" s="271">
        <v>5847</v>
      </c>
      <c r="B260" s="272" t="s">
        <v>393</v>
      </c>
      <c r="C260" s="272" t="s">
        <v>212</v>
      </c>
      <c r="D260" s="273" t="s">
        <v>21387</v>
      </c>
      <c r="E260" s="274" t="s">
        <v>8987</v>
      </c>
    </row>
    <row r="261" spans="1:5" ht="27">
      <c r="A261" s="271">
        <v>5851</v>
      </c>
      <c r="B261" s="272" t="s">
        <v>394</v>
      </c>
      <c r="C261" s="272" t="s">
        <v>212</v>
      </c>
      <c r="D261" s="273" t="s">
        <v>21388</v>
      </c>
      <c r="E261" s="274" t="s">
        <v>8987</v>
      </c>
    </row>
    <row r="262" spans="1:5" ht="27">
      <c r="A262" s="271">
        <v>5855</v>
      </c>
      <c r="B262" s="272" t="s">
        <v>395</v>
      </c>
      <c r="C262" s="272" t="s">
        <v>212</v>
      </c>
      <c r="D262" s="273" t="s">
        <v>21389</v>
      </c>
      <c r="E262" s="274" t="s">
        <v>8987</v>
      </c>
    </row>
    <row r="263" spans="1:5" ht="40.5">
      <c r="A263" s="271">
        <v>5863</v>
      </c>
      <c r="B263" s="272" t="s">
        <v>396</v>
      </c>
      <c r="C263" s="272" t="s">
        <v>212</v>
      </c>
      <c r="D263" s="273" t="s">
        <v>10347</v>
      </c>
      <c r="E263" s="274" t="s">
        <v>8987</v>
      </c>
    </row>
    <row r="264" spans="1:5" ht="27">
      <c r="A264" s="271">
        <v>5867</v>
      </c>
      <c r="B264" s="272" t="s">
        <v>397</v>
      </c>
      <c r="C264" s="272" t="s">
        <v>212</v>
      </c>
      <c r="D264" s="273" t="s">
        <v>21390</v>
      </c>
      <c r="E264" s="274" t="s">
        <v>8987</v>
      </c>
    </row>
    <row r="265" spans="1:5" ht="40.5">
      <c r="A265" s="271">
        <v>5875</v>
      </c>
      <c r="B265" s="272" t="s">
        <v>398</v>
      </c>
      <c r="C265" s="272" t="s">
        <v>212</v>
      </c>
      <c r="D265" s="273" t="s">
        <v>21391</v>
      </c>
      <c r="E265" s="274" t="s">
        <v>8987</v>
      </c>
    </row>
    <row r="266" spans="1:5" ht="40.5">
      <c r="A266" s="271">
        <v>5879</v>
      </c>
      <c r="B266" s="272" t="s">
        <v>399</v>
      </c>
      <c r="C266" s="272" t="s">
        <v>212</v>
      </c>
      <c r="D266" s="273" t="s">
        <v>21392</v>
      </c>
      <c r="E266" s="274" t="s">
        <v>8987</v>
      </c>
    </row>
    <row r="267" spans="1:5" ht="40.5">
      <c r="A267" s="271">
        <v>5882</v>
      </c>
      <c r="B267" s="272" t="s">
        <v>400</v>
      </c>
      <c r="C267" s="272" t="s">
        <v>212</v>
      </c>
      <c r="D267" s="275" t="s">
        <v>21393</v>
      </c>
      <c r="E267" s="274" t="s">
        <v>8987</v>
      </c>
    </row>
    <row r="268" spans="1:5" ht="27">
      <c r="A268" s="271">
        <v>5890</v>
      </c>
      <c r="B268" s="272" t="s">
        <v>401</v>
      </c>
      <c r="C268" s="272" t="s">
        <v>212</v>
      </c>
      <c r="D268" s="275" t="s">
        <v>21394</v>
      </c>
      <c r="E268" s="274" t="s">
        <v>8987</v>
      </c>
    </row>
    <row r="269" spans="1:5" ht="27">
      <c r="A269" s="271">
        <v>5894</v>
      </c>
      <c r="B269" s="272" t="s">
        <v>402</v>
      </c>
      <c r="C269" s="272" t="s">
        <v>212</v>
      </c>
      <c r="D269" s="275" t="s">
        <v>21395</v>
      </c>
      <c r="E269" s="274" t="s">
        <v>8987</v>
      </c>
    </row>
    <row r="270" spans="1:5" ht="40.5">
      <c r="A270" s="271">
        <v>5901</v>
      </c>
      <c r="B270" s="272" t="s">
        <v>403</v>
      </c>
      <c r="C270" s="272" t="s">
        <v>212</v>
      </c>
      <c r="D270" s="275" t="s">
        <v>21396</v>
      </c>
      <c r="E270" s="274" t="s">
        <v>8987</v>
      </c>
    </row>
    <row r="271" spans="1:5" ht="27">
      <c r="A271" s="271">
        <v>5909</v>
      </c>
      <c r="B271" s="272" t="s">
        <v>404</v>
      </c>
      <c r="C271" s="272" t="s">
        <v>212</v>
      </c>
      <c r="D271" s="275" t="s">
        <v>21397</v>
      </c>
      <c r="E271" s="274" t="s">
        <v>8987</v>
      </c>
    </row>
    <row r="272" spans="1:5" ht="27">
      <c r="A272" s="271">
        <v>5921</v>
      </c>
      <c r="B272" s="272" t="s">
        <v>405</v>
      </c>
      <c r="C272" s="272" t="s">
        <v>212</v>
      </c>
      <c r="D272" s="273" t="s">
        <v>11440</v>
      </c>
      <c r="E272" s="274" t="s">
        <v>8987</v>
      </c>
    </row>
    <row r="273" spans="1:5" ht="40.5">
      <c r="A273" s="271">
        <v>5928</v>
      </c>
      <c r="B273" s="272" t="s">
        <v>298</v>
      </c>
      <c r="C273" s="272" t="s">
        <v>212</v>
      </c>
      <c r="D273" s="273" t="s">
        <v>21398</v>
      </c>
      <c r="E273" s="274" t="s">
        <v>8987</v>
      </c>
    </row>
    <row r="274" spans="1:5" ht="27">
      <c r="A274" s="271">
        <v>5932</v>
      </c>
      <c r="B274" s="272" t="s">
        <v>406</v>
      </c>
      <c r="C274" s="272" t="s">
        <v>212</v>
      </c>
      <c r="D274" s="273" t="s">
        <v>21399</v>
      </c>
      <c r="E274" s="274" t="s">
        <v>8987</v>
      </c>
    </row>
    <row r="275" spans="1:5" ht="27">
      <c r="A275" s="271">
        <v>5940</v>
      </c>
      <c r="B275" s="272" t="s">
        <v>407</v>
      </c>
      <c r="C275" s="272" t="s">
        <v>212</v>
      </c>
      <c r="D275" s="273" t="s">
        <v>21400</v>
      </c>
      <c r="E275" s="274" t="s">
        <v>8987</v>
      </c>
    </row>
    <row r="276" spans="1:5" ht="27">
      <c r="A276" s="271">
        <v>5944</v>
      </c>
      <c r="B276" s="272" t="s">
        <v>408</v>
      </c>
      <c r="C276" s="272" t="s">
        <v>212</v>
      </c>
      <c r="D276" s="273" t="s">
        <v>21401</v>
      </c>
      <c r="E276" s="274" t="s">
        <v>8987</v>
      </c>
    </row>
    <row r="277" spans="1:5" ht="27">
      <c r="A277" s="271">
        <v>5953</v>
      </c>
      <c r="B277" s="272" t="s">
        <v>409</v>
      </c>
      <c r="C277" s="272" t="s">
        <v>212</v>
      </c>
      <c r="D277" s="273" t="s">
        <v>21402</v>
      </c>
      <c r="E277" s="274" t="s">
        <v>8987</v>
      </c>
    </row>
    <row r="278" spans="1:5" ht="40.5">
      <c r="A278" s="271">
        <v>6259</v>
      </c>
      <c r="B278" s="272" t="s">
        <v>410</v>
      </c>
      <c r="C278" s="272" t="s">
        <v>212</v>
      </c>
      <c r="D278" s="273" t="s">
        <v>21403</v>
      </c>
      <c r="E278" s="274" t="s">
        <v>8987</v>
      </c>
    </row>
    <row r="279" spans="1:5" ht="27">
      <c r="A279" s="271">
        <v>6879</v>
      </c>
      <c r="B279" s="272" t="s">
        <v>411</v>
      </c>
      <c r="C279" s="272" t="s">
        <v>212</v>
      </c>
      <c r="D279" s="273" t="s">
        <v>19296</v>
      </c>
      <c r="E279" s="274" t="s">
        <v>8987</v>
      </c>
    </row>
    <row r="280" spans="1:5" ht="27">
      <c r="A280" s="271">
        <v>7030</v>
      </c>
      <c r="B280" s="272" t="s">
        <v>412</v>
      </c>
      <c r="C280" s="272" t="s">
        <v>212</v>
      </c>
      <c r="D280" s="273" t="s">
        <v>21404</v>
      </c>
      <c r="E280" s="274" t="s">
        <v>8987</v>
      </c>
    </row>
    <row r="281" spans="1:5" ht="40.5">
      <c r="A281" s="271">
        <v>7042</v>
      </c>
      <c r="B281" s="272" t="s">
        <v>413</v>
      </c>
      <c r="C281" s="272" t="s">
        <v>212</v>
      </c>
      <c r="D281" s="273" t="s">
        <v>10871</v>
      </c>
      <c r="E281" s="274" t="s">
        <v>8987</v>
      </c>
    </row>
    <row r="282" spans="1:5" ht="40.5">
      <c r="A282" s="271">
        <v>7049</v>
      </c>
      <c r="B282" s="272" t="s">
        <v>414</v>
      </c>
      <c r="C282" s="272" t="s">
        <v>212</v>
      </c>
      <c r="D282" s="273" t="s">
        <v>21405</v>
      </c>
      <c r="E282" s="274" t="s">
        <v>8987</v>
      </c>
    </row>
    <row r="283" spans="1:5" ht="40.5">
      <c r="A283" s="271">
        <v>67826</v>
      </c>
      <c r="B283" s="272" t="s">
        <v>415</v>
      </c>
      <c r="C283" s="272" t="s">
        <v>212</v>
      </c>
      <c r="D283" s="273" t="s">
        <v>21406</v>
      </c>
      <c r="E283" s="274" t="s">
        <v>8987</v>
      </c>
    </row>
    <row r="284" spans="1:5" ht="13.5">
      <c r="A284" s="271">
        <v>73417</v>
      </c>
      <c r="B284" s="272" t="s">
        <v>416</v>
      </c>
      <c r="C284" s="272" t="s">
        <v>212</v>
      </c>
      <c r="D284" s="273" t="s">
        <v>21407</v>
      </c>
      <c r="E284" s="274" t="s">
        <v>8987</v>
      </c>
    </row>
    <row r="285" spans="1:5" ht="40.5">
      <c r="A285" s="271">
        <v>73436</v>
      </c>
      <c r="B285" s="272" t="s">
        <v>417</v>
      </c>
      <c r="C285" s="272" t="s">
        <v>212</v>
      </c>
      <c r="D285" s="273" t="s">
        <v>16018</v>
      </c>
      <c r="E285" s="274" t="s">
        <v>8987</v>
      </c>
    </row>
    <row r="286" spans="1:5" ht="40.5">
      <c r="A286" s="271">
        <v>73467</v>
      </c>
      <c r="B286" s="272" t="s">
        <v>418</v>
      </c>
      <c r="C286" s="272" t="s">
        <v>212</v>
      </c>
      <c r="D286" s="273" t="s">
        <v>21408</v>
      </c>
      <c r="E286" s="274" t="s">
        <v>8987</v>
      </c>
    </row>
    <row r="287" spans="1:5" ht="40.5">
      <c r="A287" s="271">
        <v>73536</v>
      </c>
      <c r="B287" s="272" t="s">
        <v>419</v>
      </c>
      <c r="C287" s="272" t="s">
        <v>212</v>
      </c>
      <c r="D287" s="273" t="s">
        <v>11190</v>
      </c>
      <c r="E287" s="274" t="s">
        <v>8987</v>
      </c>
    </row>
    <row r="288" spans="1:5" ht="40.5">
      <c r="A288" s="271">
        <v>83362</v>
      </c>
      <c r="B288" s="272" t="s">
        <v>420</v>
      </c>
      <c r="C288" s="272" t="s">
        <v>212</v>
      </c>
      <c r="D288" s="273" t="s">
        <v>21409</v>
      </c>
      <c r="E288" s="274" t="s">
        <v>8987</v>
      </c>
    </row>
    <row r="289" spans="1:5" ht="27">
      <c r="A289" s="271">
        <v>83765</v>
      </c>
      <c r="B289" s="272" t="s">
        <v>421</v>
      </c>
      <c r="C289" s="272" t="s">
        <v>212</v>
      </c>
      <c r="D289" s="273" t="s">
        <v>16566</v>
      </c>
      <c r="E289" s="274" t="s">
        <v>8987</v>
      </c>
    </row>
    <row r="290" spans="1:5" ht="27">
      <c r="A290" s="271">
        <v>87445</v>
      </c>
      <c r="B290" s="272" t="s">
        <v>422</v>
      </c>
      <c r="C290" s="272" t="s">
        <v>212</v>
      </c>
      <c r="D290" s="273" t="s">
        <v>21410</v>
      </c>
      <c r="E290" s="274" t="s">
        <v>8987</v>
      </c>
    </row>
    <row r="291" spans="1:5" ht="27">
      <c r="A291" s="271">
        <v>88386</v>
      </c>
      <c r="B291" s="272" t="s">
        <v>423</v>
      </c>
      <c r="C291" s="272" t="s">
        <v>212</v>
      </c>
      <c r="D291" s="273" t="s">
        <v>9859</v>
      </c>
      <c r="E291" s="274" t="s">
        <v>8987</v>
      </c>
    </row>
    <row r="292" spans="1:5" ht="27">
      <c r="A292" s="271">
        <v>88393</v>
      </c>
      <c r="B292" s="272" t="s">
        <v>424</v>
      </c>
      <c r="C292" s="272" t="s">
        <v>212</v>
      </c>
      <c r="D292" s="273" t="s">
        <v>10572</v>
      </c>
      <c r="E292" s="274" t="s">
        <v>8987</v>
      </c>
    </row>
    <row r="293" spans="1:5" ht="27">
      <c r="A293" s="271">
        <v>88399</v>
      </c>
      <c r="B293" s="272" t="s">
        <v>425</v>
      </c>
      <c r="C293" s="272" t="s">
        <v>212</v>
      </c>
      <c r="D293" s="275" t="s">
        <v>10012</v>
      </c>
      <c r="E293" s="274" t="s">
        <v>8987</v>
      </c>
    </row>
    <row r="294" spans="1:5" ht="27">
      <c r="A294" s="271">
        <v>88418</v>
      </c>
      <c r="B294" s="272" t="s">
        <v>426</v>
      </c>
      <c r="C294" s="272" t="s">
        <v>212</v>
      </c>
      <c r="D294" s="275" t="s">
        <v>11336</v>
      </c>
      <c r="E294" s="274" t="s">
        <v>8987</v>
      </c>
    </row>
    <row r="295" spans="1:5" ht="27">
      <c r="A295" s="271">
        <v>88433</v>
      </c>
      <c r="B295" s="272" t="s">
        <v>427</v>
      </c>
      <c r="C295" s="272" t="s">
        <v>212</v>
      </c>
      <c r="D295" s="273" t="s">
        <v>10533</v>
      </c>
      <c r="E295" s="274" t="s">
        <v>8987</v>
      </c>
    </row>
    <row r="296" spans="1:5" ht="27">
      <c r="A296" s="271">
        <v>88830</v>
      </c>
      <c r="B296" s="272" t="s">
        <v>428</v>
      </c>
      <c r="C296" s="272" t="s">
        <v>212</v>
      </c>
      <c r="D296" s="273" t="s">
        <v>9810</v>
      </c>
      <c r="E296" s="274" t="s">
        <v>8987</v>
      </c>
    </row>
    <row r="297" spans="1:5" ht="27">
      <c r="A297" s="271">
        <v>88843</v>
      </c>
      <c r="B297" s="272" t="s">
        <v>429</v>
      </c>
      <c r="C297" s="272" t="s">
        <v>212</v>
      </c>
      <c r="D297" s="273" t="s">
        <v>21411</v>
      </c>
      <c r="E297" s="274" t="s">
        <v>8987</v>
      </c>
    </row>
    <row r="298" spans="1:5" ht="27">
      <c r="A298" s="271">
        <v>88907</v>
      </c>
      <c r="B298" s="272" t="s">
        <v>430</v>
      </c>
      <c r="C298" s="272" t="s">
        <v>212</v>
      </c>
      <c r="D298" s="273" t="s">
        <v>21412</v>
      </c>
      <c r="E298" s="274" t="s">
        <v>8987</v>
      </c>
    </row>
    <row r="299" spans="1:5" ht="40.5">
      <c r="A299" s="271">
        <v>89021</v>
      </c>
      <c r="B299" s="272" t="s">
        <v>431</v>
      </c>
      <c r="C299" s="272" t="s">
        <v>212</v>
      </c>
      <c r="D299" s="273" t="s">
        <v>11259</v>
      </c>
      <c r="E299" s="274" t="s">
        <v>8987</v>
      </c>
    </row>
    <row r="300" spans="1:5" ht="27">
      <c r="A300" s="271">
        <v>89028</v>
      </c>
      <c r="B300" s="272" t="s">
        <v>432</v>
      </c>
      <c r="C300" s="272" t="s">
        <v>212</v>
      </c>
      <c r="D300" s="273" t="s">
        <v>16525</v>
      </c>
      <c r="E300" s="274" t="s">
        <v>8987</v>
      </c>
    </row>
    <row r="301" spans="1:5" ht="27">
      <c r="A301" s="271">
        <v>89032</v>
      </c>
      <c r="B301" s="272" t="s">
        <v>433</v>
      </c>
      <c r="C301" s="272" t="s">
        <v>212</v>
      </c>
      <c r="D301" s="273" t="s">
        <v>21413</v>
      </c>
      <c r="E301" s="274" t="s">
        <v>8987</v>
      </c>
    </row>
    <row r="302" spans="1:5" ht="27">
      <c r="A302" s="271">
        <v>89035</v>
      </c>
      <c r="B302" s="272" t="s">
        <v>434</v>
      </c>
      <c r="C302" s="272" t="s">
        <v>212</v>
      </c>
      <c r="D302" s="273" t="s">
        <v>21221</v>
      </c>
      <c r="E302" s="274" t="s">
        <v>8987</v>
      </c>
    </row>
    <row r="303" spans="1:5" ht="27">
      <c r="A303" s="271">
        <v>89225</v>
      </c>
      <c r="B303" s="272" t="s">
        <v>435</v>
      </c>
      <c r="C303" s="272" t="s">
        <v>212</v>
      </c>
      <c r="D303" s="273" t="s">
        <v>12271</v>
      </c>
      <c r="E303" s="274" t="s">
        <v>8987</v>
      </c>
    </row>
    <row r="304" spans="1:5" ht="27">
      <c r="A304" s="271">
        <v>89234</v>
      </c>
      <c r="B304" s="272" t="s">
        <v>436</v>
      </c>
      <c r="C304" s="272" t="s">
        <v>212</v>
      </c>
      <c r="D304" s="273" t="s">
        <v>21414</v>
      </c>
      <c r="E304" s="274" t="s">
        <v>8987</v>
      </c>
    </row>
    <row r="305" spans="1:5" ht="27">
      <c r="A305" s="271">
        <v>89242</v>
      </c>
      <c r="B305" s="272" t="s">
        <v>437</v>
      </c>
      <c r="C305" s="272" t="s">
        <v>212</v>
      </c>
      <c r="D305" s="273" t="s">
        <v>21415</v>
      </c>
      <c r="E305" s="274" t="s">
        <v>8987</v>
      </c>
    </row>
    <row r="306" spans="1:5" ht="27">
      <c r="A306" s="271">
        <v>89250</v>
      </c>
      <c r="B306" s="272" t="s">
        <v>438</v>
      </c>
      <c r="C306" s="272" t="s">
        <v>212</v>
      </c>
      <c r="D306" s="273" t="s">
        <v>21416</v>
      </c>
      <c r="E306" s="274" t="s">
        <v>8987</v>
      </c>
    </row>
    <row r="307" spans="1:5" ht="27">
      <c r="A307" s="271">
        <v>89257</v>
      </c>
      <c r="B307" s="272" t="s">
        <v>439</v>
      </c>
      <c r="C307" s="272" t="s">
        <v>212</v>
      </c>
      <c r="D307" s="273" t="s">
        <v>21417</v>
      </c>
      <c r="E307" s="274" t="s">
        <v>8987</v>
      </c>
    </row>
    <row r="308" spans="1:5" ht="27">
      <c r="A308" s="271">
        <v>89272</v>
      </c>
      <c r="B308" s="272" t="s">
        <v>292</v>
      </c>
      <c r="C308" s="272" t="s">
        <v>212</v>
      </c>
      <c r="D308" s="273" t="s">
        <v>21418</v>
      </c>
      <c r="E308" s="274" t="s">
        <v>8987</v>
      </c>
    </row>
    <row r="309" spans="1:5" ht="27">
      <c r="A309" s="271">
        <v>89278</v>
      </c>
      <c r="B309" s="272" t="s">
        <v>440</v>
      </c>
      <c r="C309" s="272" t="s">
        <v>212</v>
      </c>
      <c r="D309" s="273" t="s">
        <v>12219</v>
      </c>
      <c r="E309" s="274" t="s">
        <v>8987</v>
      </c>
    </row>
    <row r="310" spans="1:5" ht="27">
      <c r="A310" s="271">
        <v>89843</v>
      </c>
      <c r="B310" s="272" t="s">
        <v>441</v>
      </c>
      <c r="C310" s="272" t="s">
        <v>212</v>
      </c>
      <c r="D310" s="273" t="s">
        <v>19841</v>
      </c>
      <c r="E310" s="274" t="s">
        <v>8987</v>
      </c>
    </row>
    <row r="311" spans="1:5" ht="40.5">
      <c r="A311" s="271">
        <v>89876</v>
      </c>
      <c r="B311" s="272" t="s">
        <v>442</v>
      </c>
      <c r="C311" s="272" t="s">
        <v>212</v>
      </c>
      <c r="D311" s="273" t="s">
        <v>21419</v>
      </c>
      <c r="E311" s="274" t="s">
        <v>8987</v>
      </c>
    </row>
    <row r="312" spans="1:5" ht="40.5">
      <c r="A312" s="271">
        <v>89883</v>
      </c>
      <c r="B312" s="272" t="s">
        <v>443</v>
      </c>
      <c r="C312" s="272" t="s">
        <v>212</v>
      </c>
      <c r="D312" s="273" t="s">
        <v>21152</v>
      </c>
      <c r="E312" s="274" t="s">
        <v>8987</v>
      </c>
    </row>
    <row r="313" spans="1:5" ht="27">
      <c r="A313" s="271">
        <v>90586</v>
      </c>
      <c r="B313" s="272" t="s">
        <v>444</v>
      </c>
      <c r="C313" s="272" t="s">
        <v>212</v>
      </c>
      <c r="D313" s="273" t="s">
        <v>9770</v>
      </c>
      <c r="E313" s="274" t="s">
        <v>8987</v>
      </c>
    </row>
    <row r="314" spans="1:5" ht="27">
      <c r="A314" s="271">
        <v>90625</v>
      </c>
      <c r="B314" s="272" t="s">
        <v>445</v>
      </c>
      <c r="C314" s="272" t="s">
        <v>212</v>
      </c>
      <c r="D314" s="273" t="s">
        <v>10194</v>
      </c>
      <c r="E314" s="274" t="s">
        <v>8987</v>
      </c>
    </row>
    <row r="315" spans="1:5" ht="27">
      <c r="A315" s="271">
        <v>90631</v>
      </c>
      <c r="B315" s="272" t="s">
        <v>446</v>
      </c>
      <c r="C315" s="272" t="s">
        <v>212</v>
      </c>
      <c r="D315" s="273" t="s">
        <v>21420</v>
      </c>
      <c r="E315" s="274" t="s">
        <v>8987</v>
      </c>
    </row>
    <row r="316" spans="1:5" ht="40.5">
      <c r="A316" s="271">
        <v>90637</v>
      </c>
      <c r="B316" s="272" t="s">
        <v>447</v>
      </c>
      <c r="C316" s="272" t="s">
        <v>212</v>
      </c>
      <c r="D316" s="273" t="s">
        <v>10620</v>
      </c>
      <c r="E316" s="274" t="s">
        <v>8987</v>
      </c>
    </row>
    <row r="317" spans="1:5" ht="27">
      <c r="A317" s="271">
        <v>90643</v>
      </c>
      <c r="B317" s="272" t="s">
        <v>448</v>
      </c>
      <c r="C317" s="272" t="s">
        <v>212</v>
      </c>
      <c r="D317" s="273" t="s">
        <v>10085</v>
      </c>
      <c r="E317" s="274" t="s">
        <v>8987</v>
      </c>
    </row>
    <row r="318" spans="1:5" ht="27">
      <c r="A318" s="271">
        <v>90650</v>
      </c>
      <c r="B318" s="272" t="s">
        <v>449</v>
      </c>
      <c r="C318" s="272" t="s">
        <v>212</v>
      </c>
      <c r="D318" s="273" t="s">
        <v>12248</v>
      </c>
      <c r="E318" s="274" t="s">
        <v>8987</v>
      </c>
    </row>
    <row r="319" spans="1:5" ht="27">
      <c r="A319" s="271">
        <v>90656</v>
      </c>
      <c r="B319" s="272" t="s">
        <v>450</v>
      </c>
      <c r="C319" s="272" t="s">
        <v>212</v>
      </c>
      <c r="D319" s="273" t="s">
        <v>10534</v>
      </c>
      <c r="E319" s="274" t="s">
        <v>8987</v>
      </c>
    </row>
    <row r="320" spans="1:5" ht="27">
      <c r="A320" s="271">
        <v>90662</v>
      </c>
      <c r="B320" s="272" t="s">
        <v>451</v>
      </c>
      <c r="C320" s="272" t="s">
        <v>212</v>
      </c>
      <c r="D320" s="273" t="s">
        <v>14121</v>
      </c>
      <c r="E320" s="274" t="s">
        <v>8987</v>
      </c>
    </row>
    <row r="321" spans="1:5" ht="40.5">
      <c r="A321" s="271">
        <v>90668</v>
      </c>
      <c r="B321" s="272" t="s">
        <v>452</v>
      </c>
      <c r="C321" s="272" t="s">
        <v>212</v>
      </c>
      <c r="D321" s="273" t="s">
        <v>21421</v>
      </c>
      <c r="E321" s="274" t="s">
        <v>8987</v>
      </c>
    </row>
    <row r="322" spans="1:5" ht="40.5">
      <c r="A322" s="271">
        <v>90674</v>
      </c>
      <c r="B322" s="272" t="s">
        <v>453</v>
      </c>
      <c r="C322" s="272" t="s">
        <v>212</v>
      </c>
      <c r="D322" s="273" t="s">
        <v>21422</v>
      </c>
      <c r="E322" s="274" t="s">
        <v>8987</v>
      </c>
    </row>
    <row r="323" spans="1:5" ht="40.5">
      <c r="A323" s="271">
        <v>90680</v>
      </c>
      <c r="B323" s="272" t="s">
        <v>454</v>
      </c>
      <c r="C323" s="272" t="s">
        <v>212</v>
      </c>
      <c r="D323" s="273" t="s">
        <v>21423</v>
      </c>
      <c r="E323" s="274" t="s">
        <v>8987</v>
      </c>
    </row>
    <row r="324" spans="1:5" ht="27">
      <c r="A324" s="271">
        <v>90686</v>
      </c>
      <c r="B324" s="272" t="s">
        <v>455</v>
      </c>
      <c r="C324" s="272" t="s">
        <v>212</v>
      </c>
      <c r="D324" s="273" t="s">
        <v>21424</v>
      </c>
      <c r="E324" s="274" t="s">
        <v>8987</v>
      </c>
    </row>
    <row r="325" spans="1:5" ht="27">
      <c r="A325" s="271">
        <v>90692</v>
      </c>
      <c r="B325" s="272" t="s">
        <v>456</v>
      </c>
      <c r="C325" s="272" t="s">
        <v>212</v>
      </c>
      <c r="D325" s="273" t="s">
        <v>21425</v>
      </c>
      <c r="E325" s="274" t="s">
        <v>8987</v>
      </c>
    </row>
    <row r="326" spans="1:5" ht="27">
      <c r="A326" s="271">
        <v>90964</v>
      </c>
      <c r="B326" s="272" t="s">
        <v>457</v>
      </c>
      <c r="C326" s="272" t="s">
        <v>212</v>
      </c>
      <c r="D326" s="273" t="s">
        <v>16558</v>
      </c>
      <c r="E326" s="274" t="s">
        <v>8987</v>
      </c>
    </row>
    <row r="327" spans="1:5" ht="27">
      <c r="A327" s="271">
        <v>90972</v>
      </c>
      <c r="B327" s="272" t="s">
        <v>458</v>
      </c>
      <c r="C327" s="272" t="s">
        <v>212</v>
      </c>
      <c r="D327" s="273" t="s">
        <v>21426</v>
      </c>
      <c r="E327" s="274" t="s">
        <v>8987</v>
      </c>
    </row>
    <row r="328" spans="1:5" ht="27">
      <c r="A328" s="271">
        <v>90979</v>
      </c>
      <c r="B328" s="272" t="s">
        <v>459</v>
      </c>
      <c r="C328" s="272" t="s">
        <v>212</v>
      </c>
      <c r="D328" s="273" t="s">
        <v>21427</v>
      </c>
      <c r="E328" s="274" t="s">
        <v>8987</v>
      </c>
    </row>
    <row r="329" spans="1:5" ht="27">
      <c r="A329" s="271">
        <v>90991</v>
      </c>
      <c r="B329" s="272" t="s">
        <v>460</v>
      </c>
      <c r="C329" s="272" t="s">
        <v>212</v>
      </c>
      <c r="D329" s="273" t="s">
        <v>21428</v>
      </c>
      <c r="E329" s="274" t="s">
        <v>8987</v>
      </c>
    </row>
    <row r="330" spans="1:5" ht="27">
      <c r="A330" s="271">
        <v>90999</v>
      </c>
      <c r="B330" s="272" t="s">
        <v>461</v>
      </c>
      <c r="C330" s="272" t="s">
        <v>212</v>
      </c>
      <c r="D330" s="273" t="s">
        <v>20773</v>
      </c>
      <c r="E330" s="274" t="s">
        <v>8987</v>
      </c>
    </row>
    <row r="331" spans="1:5" ht="40.5">
      <c r="A331" s="271">
        <v>91031</v>
      </c>
      <c r="B331" s="272" t="s">
        <v>462</v>
      </c>
      <c r="C331" s="272" t="s">
        <v>212</v>
      </c>
      <c r="D331" s="273" t="s">
        <v>21429</v>
      </c>
      <c r="E331" s="274" t="s">
        <v>8987</v>
      </c>
    </row>
    <row r="332" spans="1:5" ht="27">
      <c r="A332" s="271">
        <v>91277</v>
      </c>
      <c r="B332" s="272" t="s">
        <v>231</v>
      </c>
      <c r="C332" s="272" t="s">
        <v>212</v>
      </c>
      <c r="D332" s="273" t="s">
        <v>9823</v>
      </c>
      <c r="E332" s="274" t="s">
        <v>8987</v>
      </c>
    </row>
    <row r="333" spans="1:5" ht="40.5">
      <c r="A333" s="271">
        <v>91283</v>
      </c>
      <c r="B333" s="272" t="s">
        <v>463</v>
      </c>
      <c r="C333" s="272" t="s">
        <v>212</v>
      </c>
      <c r="D333" s="273" t="s">
        <v>14179</v>
      </c>
      <c r="E333" s="274" t="s">
        <v>8987</v>
      </c>
    </row>
    <row r="334" spans="1:5" ht="40.5">
      <c r="A334" s="271">
        <v>91386</v>
      </c>
      <c r="B334" s="272" t="s">
        <v>464</v>
      </c>
      <c r="C334" s="272" t="s">
        <v>212</v>
      </c>
      <c r="D334" s="273" t="s">
        <v>21430</v>
      </c>
      <c r="E334" s="274" t="s">
        <v>8987</v>
      </c>
    </row>
    <row r="335" spans="1:5" ht="27">
      <c r="A335" s="271">
        <v>91533</v>
      </c>
      <c r="B335" s="272" t="s">
        <v>465</v>
      </c>
      <c r="C335" s="272" t="s">
        <v>212</v>
      </c>
      <c r="D335" s="273" t="s">
        <v>21431</v>
      </c>
      <c r="E335" s="274" t="s">
        <v>8987</v>
      </c>
    </row>
    <row r="336" spans="1:5" ht="40.5">
      <c r="A336" s="271">
        <v>91634</v>
      </c>
      <c r="B336" s="272" t="s">
        <v>466</v>
      </c>
      <c r="C336" s="272" t="s">
        <v>212</v>
      </c>
      <c r="D336" s="273" t="s">
        <v>21432</v>
      </c>
      <c r="E336" s="274" t="s">
        <v>8987</v>
      </c>
    </row>
    <row r="337" spans="1:5" ht="40.5">
      <c r="A337" s="271">
        <v>91645</v>
      </c>
      <c r="B337" s="272" t="s">
        <v>467</v>
      </c>
      <c r="C337" s="272" t="s">
        <v>212</v>
      </c>
      <c r="D337" s="273" t="s">
        <v>21433</v>
      </c>
      <c r="E337" s="274" t="s">
        <v>8987</v>
      </c>
    </row>
    <row r="338" spans="1:5" ht="27">
      <c r="A338" s="271">
        <v>91692</v>
      </c>
      <c r="B338" s="272" t="s">
        <v>468</v>
      </c>
      <c r="C338" s="272" t="s">
        <v>212</v>
      </c>
      <c r="D338" s="273" t="s">
        <v>10359</v>
      </c>
      <c r="E338" s="274" t="s">
        <v>8987</v>
      </c>
    </row>
    <row r="339" spans="1:5" ht="27">
      <c r="A339" s="271">
        <v>92043</v>
      </c>
      <c r="B339" s="272" t="s">
        <v>469</v>
      </c>
      <c r="C339" s="272" t="s">
        <v>212</v>
      </c>
      <c r="D339" s="273" t="s">
        <v>19872</v>
      </c>
      <c r="E339" s="274" t="s">
        <v>8987</v>
      </c>
    </row>
    <row r="340" spans="1:5" ht="40.5">
      <c r="A340" s="271">
        <v>92106</v>
      </c>
      <c r="B340" s="272" t="s">
        <v>470</v>
      </c>
      <c r="C340" s="272" t="s">
        <v>212</v>
      </c>
      <c r="D340" s="273" t="s">
        <v>21434</v>
      </c>
      <c r="E340" s="274" t="s">
        <v>8987</v>
      </c>
    </row>
    <row r="341" spans="1:5" ht="27">
      <c r="A341" s="271">
        <v>92112</v>
      </c>
      <c r="B341" s="272" t="s">
        <v>471</v>
      </c>
      <c r="C341" s="272" t="s">
        <v>212</v>
      </c>
      <c r="D341" s="273" t="s">
        <v>11502</v>
      </c>
      <c r="E341" s="274" t="s">
        <v>8987</v>
      </c>
    </row>
    <row r="342" spans="1:5" ht="13.5">
      <c r="A342" s="271">
        <v>92118</v>
      </c>
      <c r="B342" s="272" t="s">
        <v>472</v>
      </c>
      <c r="C342" s="272" t="s">
        <v>212</v>
      </c>
      <c r="D342" s="273" t="s">
        <v>11131</v>
      </c>
      <c r="E342" s="274" t="s">
        <v>8987</v>
      </c>
    </row>
    <row r="343" spans="1:5" ht="27">
      <c r="A343" s="271">
        <v>92138</v>
      </c>
      <c r="B343" s="272" t="s">
        <v>473</v>
      </c>
      <c r="C343" s="272" t="s">
        <v>212</v>
      </c>
      <c r="D343" s="273" t="s">
        <v>16109</v>
      </c>
      <c r="E343" s="274" t="s">
        <v>8987</v>
      </c>
    </row>
    <row r="344" spans="1:5" ht="27">
      <c r="A344" s="271">
        <v>92145</v>
      </c>
      <c r="B344" s="272" t="s">
        <v>474</v>
      </c>
      <c r="C344" s="272" t="s">
        <v>212</v>
      </c>
      <c r="D344" s="273" t="s">
        <v>21435</v>
      </c>
      <c r="E344" s="274" t="s">
        <v>8987</v>
      </c>
    </row>
    <row r="345" spans="1:5" ht="40.5">
      <c r="A345" s="271">
        <v>92242</v>
      </c>
      <c r="B345" s="272" t="s">
        <v>475</v>
      </c>
      <c r="C345" s="272" t="s">
        <v>212</v>
      </c>
      <c r="D345" s="273" t="s">
        <v>21436</v>
      </c>
      <c r="E345" s="274" t="s">
        <v>8987</v>
      </c>
    </row>
    <row r="346" spans="1:5" ht="27">
      <c r="A346" s="271">
        <v>92716</v>
      </c>
      <c r="B346" s="272" t="s">
        <v>476</v>
      </c>
      <c r="C346" s="272" t="s">
        <v>212</v>
      </c>
      <c r="D346" s="273" t="s">
        <v>12252</v>
      </c>
      <c r="E346" s="274" t="s">
        <v>8987</v>
      </c>
    </row>
    <row r="347" spans="1:5" ht="27">
      <c r="A347" s="271">
        <v>92960</v>
      </c>
      <c r="B347" s="272" t="s">
        <v>477</v>
      </c>
      <c r="C347" s="272" t="s">
        <v>212</v>
      </c>
      <c r="D347" s="273" t="s">
        <v>10433</v>
      </c>
      <c r="E347" s="274" t="s">
        <v>8987</v>
      </c>
    </row>
    <row r="348" spans="1:5" ht="27">
      <c r="A348" s="271">
        <v>92966</v>
      </c>
      <c r="B348" s="272" t="s">
        <v>478</v>
      </c>
      <c r="C348" s="272" t="s">
        <v>212</v>
      </c>
      <c r="D348" s="273" t="s">
        <v>10348</v>
      </c>
      <c r="E348" s="274" t="s">
        <v>8987</v>
      </c>
    </row>
    <row r="349" spans="1:5" ht="40.5">
      <c r="A349" s="271">
        <v>93224</v>
      </c>
      <c r="B349" s="272" t="s">
        <v>479</v>
      </c>
      <c r="C349" s="272" t="s">
        <v>212</v>
      </c>
      <c r="D349" s="273" t="s">
        <v>21437</v>
      </c>
      <c r="E349" s="274" t="s">
        <v>8987</v>
      </c>
    </row>
    <row r="350" spans="1:5" ht="27">
      <c r="A350" s="271">
        <v>93233</v>
      </c>
      <c r="B350" s="272" t="s">
        <v>480</v>
      </c>
      <c r="C350" s="272" t="s">
        <v>212</v>
      </c>
      <c r="D350" s="273" t="s">
        <v>18848</v>
      </c>
      <c r="E350" s="274" t="s">
        <v>8987</v>
      </c>
    </row>
    <row r="351" spans="1:5" ht="27">
      <c r="A351" s="271">
        <v>93272</v>
      </c>
      <c r="B351" s="272" t="s">
        <v>481</v>
      </c>
      <c r="C351" s="272" t="s">
        <v>212</v>
      </c>
      <c r="D351" s="273" t="s">
        <v>16298</v>
      </c>
      <c r="E351" s="274" t="s">
        <v>8987</v>
      </c>
    </row>
    <row r="352" spans="1:5" ht="27">
      <c r="A352" s="271">
        <v>93281</v>
      </c>
      <c r="B352" s="272" t="s">
        <v>216</v>
      </c>
      <c r="C352" s="272" t="s">
        <v>212</v>
      </c>
      <c r="D352" s="273" t="s">
        <v>10607</v>
      </c>
      <c r="E352" s="274" t="s">
        <v>8987</v>
      </c>
    </row>
    <row r="353" spans="1:5" ht="27">
      <c r="A353" s="271">
        <v>93287</v>
      </c>
      <c r="B353" s="272" t="s">
        <v>213</v>
      </c>
      <c r="C353" s="272" t="s">
        <v>212</v>
      </c>
      <c r="D353" s="273" t="s">
        <v>21438</v>
      </c>
      <c r="E353" s="274" t="s">
        <v>8987</v>
      </c>
    </row>
    <row r="354" spans="1:5" ht="40.5">
      <c r="A354" s="271">
        <v>93402</v>
      </c>
      <c r="B354" s="272" t="s">
        <v>482</v>
      </c>
      <c r="C354" s="272" t="s">
        <v>212</v>
      </c>
      <c r="D354" s="273" t="s">
        <v>21439</v>
      </c>
      <c r="E354" s="274" t="s">
        <v>8987</v>
      </c>
    </row>
    <row r="355" spans="1:5" ht="40.5">
      <c r="A355" s="271">
        <v>93408</v>
      </c>
      <c r="B355" s="272" t="s">
        <v>9822</v>
      </c>
      <c r="C355" s="272" t="s">
        <v>212</v>
      </c>
      <c r="D355" s="273" t="s">
        <v>21440</v>
      </c>
      <c r="E355" s="274" t="s">
        <v>8987</v>
      </c>
    </row>
    <row r="356" spans="1:5" ht="27">
      <c r="A356" s="271">
        <v>93415</v>
      </c>
      <c r="B356" s="272" t="s">
        <v>483</v>
      </c>
      <c r="C356" s="272" t="s">
        <v>212</v>
      </c>
      <c r="D356" s="273" t="s">
        <v>16046</v>
      </c>
      <c r="E356" s="274" t="s">
        <v>8987</v>
      </c>
    </row>
    <row r="357" spans="1:5" ht="13.5">
      <c r="A357" s="271">
        <v>93421</v>
      </c>
      <c r="B357" s="272" t="s">
        <v>484</v>
      </c>
      <c r="C357" s="272" t="s">
        <v>212</v>
      </c>
      <c r="D357" s="273" t="s">
        <v>16322</v>
      </c>
      <c r="E357" s="274" t="s">
        <v>8987</v>
      </c>
    </row>
    <row r="358" spans="1:5" ht="13.5">
      <c r="A358" s="271">
        <v>93427</v>
      </c>
      <c r="B358" s="272" t="s">
        <v>485</v>
      </c>
      <c r="C358" s="272" t="s">
        <v>212</v>
      </c>
      <c r="D358" s="273" t="s">
        <v>20965</v>
      </c>
      <c r="E358" s="274" t="s">
        <v>8987</v>
      </c>
    </row>
    <row r="359" spans="1:5" ht="27">
      <c r="A359" s="271">
        <v>93433</v>
      </c>
      <c r="B359" s="272" t="s">
        <v>486</v>
      </c>
      <c r="C359" s="272" t="s">
        <v>212</v>
      </c>
      <c r="D359" s="273" t="s">
        <v>21441</v>
      </c>
      <c r="E359" s="274" t="s">
        <v>8987</v>
      </c>
    </row>
    <row r="360" spans="1:5" ht="27">
      <c r="A360" s="271">
        <v>93439</v>
      </c>
      <c r="B360" s="272" t="s">
        <v>487</v>
      </c>
      <c r="C360" s="272" t="s">
        <v>212</v>
      </c>
      <c r="D360" s="273" t="s">
        <v>21442</v>
      </c>
      <c r="E360" s="274" t="s">
        <v>8987</v>
      </c>
    </row>
    <row r="361" spans="1:5" ht="27">
      <c r="A361" s="271">
        <v>95121</v>
      </c>
      <c r="B361" s="272" t="s">
        <v>488</v>
      </c>
      <c r="C361" s="272" t="s">
        <v>212</v>
      </c>
      <c r="D361" s="273" t="s">
        <v>21443</v>
      </c>
      <c r="E361" s="274" t="s">
        <v>8987</v>
      </c>
    </row>
    <row r="362" spans="1:5" ht="27">
      <c r="A362" s="271">
        <v>95127</v>
      </c>
      <c r="B362" s="272" t="s">
        <v>489</v>
      </c>
      <c r="C362" s="272" t="s">
        <v>212</v>
      </c>
      <c r="D362" s="273" t="s">
        <v>21444</v>
      </c>
      <c r="E362" s="274" t="s">
        <v>8987</v>
      </c>
    </row>
    <row r="363" spans="1:5" ht="27">
      <c r="A363" s="271">
        <v>95133</v>
      </c>
      <c r="B363" s="272" t="s">
        <v>490</v>
      </c>
      <c r="C363" s="272" t="s">
        <v>212</v>
      </c>
      <c r="D363" s="273" t="s">
        <v>21445</v>
      </c>
      <c r="E363" s="274" t="s">
        <v>8987</v>
      </c>
    </row>
    <row r="364" spans="1:5" ht="27">
      <c r="A364" s="271">
        <v>95139</v>
      </c>
      <c r="B364" s="272" t="s">
        <v>491</v>
      </c>
      <c r="C364" s="272" t="s">
        <v>212</v>
      </c>
      <c r="D364" s="273" t="s">
        <v>9824</v>
      </c>
      <c r="E364" s="274" t="s">
        <v>8987</v>
      </c>
    </row>
    <row r="365" spans="1:5" ht="27">
      <c r="A365" s="271">
        <v>95212</v>
      </c>
      <c r="B365" s="272" t="s">
        <v>492</v>
      </c>
      <c r="C365" s="272" t="s">
        <v>212</v>
      </c>
      <c r="D365" s="273" t="s">
        <v>11083</v>
      </c>
      <c r="E365" s="274" t="s">
        <v>8987</v>
      </c>
    </row>
    <row r="366" spans="1:5" ht="27">
      <c r="A366" s="271">
        <v>95218</v>
      </c>
      <c r="B366" s="272" t="s">
        <v>493</v>
      </c>
      <c r="C366" s="272" t="s">
        <v>212</v>
      </c>
      <c r="D366" s="273" t="s">
        <v>10340</v>
      </c>
      <c r="E366" s="274" t="s">
        <v>8987</v>
      </c>
    </row>
    <row r="367" spans="1:5" ht="13.5">
      <c r="A367" s="271">
        <v>95258</v>
      </c>
      <c r="B367" s="272" t="s">
        <v>494</v>
      </c>
      <c r="C367" s="272" t="s">
        <v>212</v>
      </c>
      <c r="D367" s="273" t="s">
        <v>14145</v>
      </c>
      <c r="E367" s="274" t="s">
        <v>8987</v>
      </c>
    </row>
    <row r="368" spans="1:5" ht="27">
      <c r="A368" s="271">
        <v>95264</v>
      </c>
      <c r="B368" s="272" t="s">
        <v>495</v>
      </c>
      <c r="C368" s="272" t="s">
        <v>212</v>
      </c>
      <c r="D368" s="273" t="s">
        <v>19832</v>
      </c>
      <c r="E368" s="274" t="s">
        <v>8987</v>
      </c>
    </row>
    <row r="369" spans="1:5" ht="27">
      <c r="A369" s="271">
        <v>95270</v>
      </c>
      <c r="B369" s="272" t="s">
        <v>496</v>
      </c>
      <c r="C369" s="272" t="s">
        <v>212</v>
      </c>
      <c r="D369" s="273" t="s">
        <v>12219</v>
      </c>
      <c r="E369" s="274" t="s">
        <v>8987</v>
      </c>
    </row>
    <row r="370" spans="1:5" ht="27">
      <c r="A370" s="271">
        <v>95276</v>
      </c>
      <c r="B370" s="272" t="s">
        <v>287</v>
      </c>
      <c r="C370" s="272" t="s">
        <v>212</v>
      </c>
      <c r="D370" s="273" t="s">
        <v>9825</v>
      </c>
      <c r="E370" s="274" t="s">
        <v>8987</v>
      </c>
    </row>
    <row r="371" spans="1:5" ht="27">
      <c r="A371" s="271">
        <v>95282</v>
      </c>
      <c r="B371" s="272" t="s">
        <v>497</v>
      </c>
      <c r="C371" s="272" t="s">
        <v>212</v>
      </c>
      <c r="D371" s="273" t="s">
        <v>10205</v>
      </c>
      <c r="E371" s="274" t="s">
        <v>8987</v>
      </c>
    </row>
    <row r="372" spans="1:5" ht="27">
      <c r="A372" s="271">
        <v>95620</v>
      </c>
      <c r="B372" s="272" t="s">
        <v>498</v>
      </c>
      <c r="C372" s="272" t="s">
        <v>212</v>
      </c>
      <c r="D372" s="273" t="s">
        <v>10629</v>
      </c>
      <c r="E372" s="274" t="s">
        <v>8987</v>
      </c>
    </row>
    <row r="373" spans="1:5" ht="27">
      <c r="A373" s="271">
        <v>95631</v>
      </c>
      <c r="B373" s="272" t="s">
        <v>499</v>
      </c>
      <c r="C373" s="272" t="s">
        <v>212</v>
      </c>
      <c r="D373" s="273" t="s">
        <v>21446</v>
      </c>
      <c r="E373" s="274" t="s">
        <v>8987</v>
      </c>
    </row>
    <row r="374" spans="1:5" ht="27">
      <c r="A374" s="271">
        <v>95702</v>
      </c>
      <c r="B374" s="272" t="s">
        <v>500</v>
      </c>
      <c r="C374" s="272" t="s">
        <v>212</v>
      </c>
      <c r="D374" s="273" t="s">
        <v>21447</v>
      </c>
      <c r="E374" s="274" t="s">
        <v>8987</v>
      </c>
    </row>
    <row r="375" spans="1:5" ht="27">
      <c r="A375" s="271">
        <v>95708</v>
      </c>
      <c r="B375" s="272" t="s">
        <v>501</v>
      </c>
      <c r="C375" s="272" t="s">
        <v>212</v>
      </c>
      <c r="D375" s="273" t="s">
        <v>21448</v>
      </c>
      <c r="E375" s="274" t="s">
        <v>8987</v>
      </c>
    </row>
    <row r="376" spans="1:5" ht="40.5">
      <c r="A376" s="271">
        <v>95714</v>
      </c>
      <c r="B376" s="272" t="s">
        <v>502</v>
      </c>
      <c r="C376" s="272" t="s">
        <v>212</v>
      </c>
      <c r="D376" s="273" t="s">
        <v>21449</v>
      </c>
      <c r="E376" s="274" t="s">
        <v>8987</v>
      </c>
    </row>
    <row r="377" spans="1:5" ht="40.5">
      <c r="A377" s="271">
        <v>95720</v>
      </c>
      <c r="B377" s="272" t="s">
        <v>503</v>
      </c>
      <c r="C377" s="272" t="s">
        <v>212</v>
      </c>
      <c r="D377" s="273" t="s">
        <v>15870</v>
      </c>
      <c r="E377" s="274" t="s">
        <v>8987</v>
      </c>
    </row>
    <row r="378" spans="1:5" ht="27">
      <c r="A378" s="271">
        <v>95872</v>
      </c>
      <c r="B378" s="272" t="s">
        <v>504</v>
      </c>
      <c r="C378" s="272" t="s">
        <v>212</v>
      </c>
      <c r="D378" s="273" t="s">
        <v>21450</v>
      </c>
      <c r="E378" s="274" t="s">
        <v>8987</v>
      </c>
    </row>
    <row r="379" spans="1:5" ht="27">
      <c r="A379" s="271">
        <v>96013</v>
      </c>
      <c r="B379" s="272" t="s">
        <v>505</v>
      </c>
      <c r="C379" s="272" t="s">
        <v>212</v>
      </c>
      <c r="D379" s="273" t="s">
        <v>21451</v>
      </c>
      <c r="E379" s="274" t="s">
        <v>8987</v>
      </c>
    </row>
    <row r="380" spans="1:5" ht="27">
      <c r="A380" s="271">
        <v>96020</v>
      </c>
      <c r="B380" s="272" t="s">
        <v>506</v>
      </c>
      <c r="C380" s="272" t="s">
        <v>212</v>
      </c>
      <c r="D380" s="273" t="s">
        <v>21452</v>
      </c>
      <c r="E380" s="274" t="s">
        <v>8987</v>
      </c>
    </row>
    <row r="381" spans="1:5" ht="27">
      <c r="A381" s="271">
        <v>96028</v>
      </c>
      <c r="B381" s="272" t="s">
        <v>507</v>
      </c>
      <c r="C381" s="272" t="s">
        <v>212</v>
      </c>
      <c r="D381" s="273" t="s">
        <v>12422</v>
      </c>
      <c r="E381" s="274" t="s">
        <v>8987</v>
      </c>
    </row>
    <row r="382" spans="1:5" ht="27">
      <c r="A382" s="271">
        <v>96035</v>
      </c>
      <c r="B382" s="272" t="s">
        <v>508</v>
      </c>
      <c r="C382" s="272" t="s">
        <v>212</v>
      </c>
      <c r="D382" s="273" t="s">
        <v>21453</v>
      </c>
      <c r="E382" s="274" t="s">
        <v>8987</v>
      </c>
    </row>
    <row r="383" spans="1:5" ht="27">
      <c r="A383" s="271">
        <v>96157</v>
      </c>
      <c r="B383" s="272" t="s">
        <v>509</v>
      </c>
      <c r="C383" s="272" t="s">
        <v>212</v>
      </c>
      <c r="D383" s="273" t="s">
        <v>21454</v>
      </c>
      <c r="E383" s="274" t="s">
        <v>8987</v>
      </c>
    </row>
    <row r="384" spans="1:5" ht="27">
      <c r="A384" s="271">
        <v>96158</v>
      </c>
      <c r="B384" s="272" t="s">
        <v>510</v>
      </c>
      <c r="C384" s="272" t="s">
        <v>212</v>
      </c>
      <c r="D384" s="273" t="s">
        <v>21455</v>
      </c>
      <c r="E384" s="274" t="s">
        <v>8987</v>
      </c>
    </row>
    <row r="385" spans="1:5" ht="27">
      <c r="A385" s="271">
        <v>96245</v>
      </c>
      <c r="B385" s="272" t="s">
        <v>511</v>
      </c>
      <c r="C385" s="272" t="s">
        <v>212</v>
      </c>
      <c r="D385" s="273" t="s">
        <v>11050</v>
      </c>
      <c r="E385" s="274" t="s">
        <v>8987</v>
      </c>
    </row>
    <row r="386" spans="1:5" ht="27">
      <c r="A386" s="271">
        <v>96303</v>
      </c>
      <c r="B386" s="272" t="s">
        <v>512</v>
      </c>
      <c r="C386" s="272" t="s">
        <v>212</v>
      </c>
      <c r="D386" s="273" t="s">
        <v>21456</v>
      </c>
      <c r="E386" s="274" t="s">
        <v>8987</v>
      </c>
    </row>
    <row r="387" spans="1:5" ht="27">
      <c r="A387" s="271">
        <v>96463</v>
      </c>
      <c r="B387" s="272" t="s">
        <v>513</v>
      </c>
      <c r="C387" s="272" t="s">
        <v>212</v>
      </c>
      <c r="D387" s="273" t="s">
        <v>21457</v>
      </c>
      <c r="E387" s="274" t="s">
        <v>8987</v>
      </c>
    </row>
    <row r="388" spans="1:5" ht="27">
      <c r="A388" s="271">
        <v>98764</v>
      </c>
      <c r="B388" s="272" t="s">
        <v>3819</v>
      </c>
      <c r="C388" s="272" t="s">
        <v>212</v>
      </c>
      <c r="D388" s="273" t="s">
        <v>20321</v>
      </c>
      <c r="E388" s="274" t="s">
        <v>8987</v>
      </c>
    </row>
    <row r="389" spans="1:5" ht="27">
      <c r="A389" s="271">
        <v>99833</v>
      </c>
      <c r="B389" s="272" t="s">
        <v>3820</v>
      </c>
      <c r="C389" s="272" t="s">
        <v>212</v>
      </c>
      <c r="D389" s="273" t="s">
        <v>9953</v>
      </c>
      <c r="E389" s="274" t="s">
        <v>8987</v>
      </c>
    </row>
    <row r="390" spans="1:5" ht="27">
      <c r="A390" s="271">
        <v>100641</v>
      </c>
      <c r="B390" s="272" t="s">
        <v>9036</v>
      </c>
      <c r="C390" s="272" t="s">
        <v>212</v>
      </c>
      <c r="D390" s="273" t="s">
        <v>21458</v>
      </c>
      <c r="E390" s="274" t="s">
        <v>8987</v>
      </c>
    </row>
    <row r="391" spans="1:5" ht="13.5">
      <c r="A391" s="271">
        <v>100647</v>
      </c>
      <c r="B391" s="272" t="s">
        <v>9037</v>
      </c>
      <c r="C391" s="272" t="s">
        <v>212</v>
      </c>
      <c r="D391" s="273" t="s">
        <v>21459</v>
      </c>
      <c r="E391" s="274" t="s">
        <v>8987</v>
      </c>
    </row>
    <row r="392" spans="1:5" ht="27">
      <c r="A392" s="271">
        <v>102275</v>
      </c>
      <c r="B392" s="272" t="s">
        <v>12534</v>
      </c>
      <c r="C392" s="272" t="s">
        <v>212</v>
      </c>
      <c r="D392" s="273" t="s">
        <v>12189</v>
      </c>
      <c r="E392" s="274" t="s">
        <v>8987</v>
      </c>
    </row>
    <row r="393" spans="1:5" ht="27">
      <c r="A393" s="271">
        <v>5632</v>
      </c>
      <c r="B393" s="272" t="s">
        <v>514</v>
      </c>
      <c r="C393" s="272" t="s">
        <v>215</v>
      </c>
      <c r="D393" s="273" t="s">
        <v>21460</v>
      </c>
      <c r="E393" s="274" t="s">
        <v>8987</v>
      </c>
    </row>
    <row r="394" spans="1:5" ht="40.5">
      <c r="A394" s="271">
        <v>5679</v>
      </c>
      <c r="B394" s="272" t="s">
        <v>515</v>
      </c>
      <c r="C394" s="272" t="s">
        <v>215</v>
      </c>
      <c r="D394" s="273" t="s">
        <v>21461</v>
      </c>
      <c r="E394" s="274" t="s">
        <v>8987</v>
      </c>
    </row>
    <row r="395" spans="1:5" ht="40.5">
      <c r="A395" s="271">
        <v>5681</v>
      </c>
      <c r="B395" s="272" t="s">
        <v>516</v>
      </c>
      <c r="C395" s="272" t="s">
        <v>215</v>
      </c>
      <c r="D395" s="273" t="s">
        <v>11326</v>
      </c>
      <c r="E395" s="274" t="s">
        <v>8987</v>
      </c>
    </row>
    <row r="396" spans="1:5" ht="40.5">
      <c r="A396" s="271">
        <v>5685</v>
      </c>
      <c r="B396" s="272" t="s">
        <v>517</v>
      </c>
      <c r="C396" s="272" t="s">
        <v>215</v>
      </c>
      <c r="D396" s="273" t="s">
        <v>16105</v>
      </c>
      <c r="E396" s="274" t="s">
        <v>8987</v>
      </c>
    </row>
    <row r="397" spans="1:5" ht="27">
      <c r="A397" s="271">
        <v>5690</v>
      </c>
      <c r="B397" s="272" t="s">
        <v>518</v>
      </c>
      <c r="C397" s="272" t="s">
        <v>215</v>
      </c>
      <c r="D397" s="273" t="s">
        <v>15848</v>
      </c>
      <c r="E397" s="274" t="s">
        <v>8987</v>
      </c>
    </row>
    <row r="398" spans="1:5" ht="40.5">
      <c r="A398" s="271">
        <v>5806</v>
      </c>
      <c r="B398" s="272" t="s">
        <v>519</v>
      </c>
      <c r="C398" s="272" t="s">
        <v>215</v>
      </c>
      <c r="D398" s="273" t="s">
        <v>11132</v>
      </c>
      <c r="E398" s="274" t="s">
        <v>8987</v>
      </c>
    </row>
    <row r="399" spans="1:5" ht="40.5">
      <c r="A399" s="271">
        <v>5826</v>
      </c>
      <c r="B399" s="272" t="s">
        <v>520</v>
      </c>
      <c r="C399" s="272" t="s">
        <v>215</v>
      </c>
      <c r="D399" s="273" t="s">
        <v>12356</v>
      </c>
      <c r="E399" s="274" t="s">
        <v>8987</v>
      </c>
    </row>
    <row r="400" spans="1:5" ht="27">
      <c r="A400" s="271">
        <v>5829</v>
      </c>
      <c r="B400" s="272" t="s">
        <v>521</v>
      </c>
      <c r="C400" s="272" t="s">
        <v>215</v>
      </c>
      <c r="D400" s="273" t="s">
        <v>15931</v>
      </c>
      <c r="E400" s="274" t="s">
        <v>8987</v>
      </c>
    </row>
    <row r="401" spans="1:5" ht="27">
      <c r="A401" s="271">
        <v>5837</v>
      </c>
      <c r="B401" s="272" t="s">
        <v>522</v>
      </c>
      <c r="C401" s="272" t="s">
        <v>215</v>
      </c>
      <c r="D401" s="273" t="s">
        <v>21462</v>
      </c>
      <c r="E401" s="274" t="s">
        <v>8987</v>
      </c>
    </row>
    <row r="402" spans="1:5" ht="27">
      <c r="A402" s="271">
        <v>5841</v>
      </c>
      <c r="B402" s="272" t="s">
        <v>523</v>
      </c>
      <c r="C402" s="272" t="s">
        <v>215</v>
      </c>
      <c r="D402" s="273" t="s">
        <v>14047</v>
      </c>
      <c r="E402" s="274" t="s">
        <v>8987</v>
      </c>
    </row>
    <row r="403" spans="1:5" ht="27">
      <c r="A403" s="271">
        <v>5845</v>
      </c>
      <c r="B403" s="272" t="s">
        <v>524</v>
      </c>
      <c r="C403" s="272" t="s">
        <v>215</v>
      </c>
      <c r="D403" s="273" t="s">
        <v>19576</v>
      </c>
      <c r="E403" s="274" t="s">
        <v>8987</v>
      </c>
    </row>
    <row r="404" spans="1:5" ht="27">
      <c r="A404" s="271">
        <v>5849</v>
      </c>
      <c r="B404" s="272" t="s">
        <v>525</v>
      </c>
      <c r="C404" s="272" t="s">
        <v>215</v>
      </c>
      <c r="D404" s="273" t="s">
        <v>21463</v>
      </c>
      <c r="E404" s="274" t="s">
        <v>8987</v>
      </c>
    </row>
    <row r="405" spans="1:5" ht="27">
      <c r="A405" s="271">
        <v>5853</v>
      </c>
      <c r="B405" s="272" t="s">
        <v>526</v>
      </c>
      <c r="C405" s="272" t="s">
        <v>215</v>
      </c>
      <c r="D405" s="273" t="s">
        <v>20028</v>
      </c>
      <c r="E405" s="274" t="s">
        <v>8987</v>
      </c>
    </row>
    <row r="406" spans="1:5" ht="27">
      <c r="A406" s="271">
        <v>5857</v>
      </c>
      <c r="B406" s="272" t="s">
        <v>527</v>
      </c>
      <c r="C406" s="272" t="s">
        <v>215</v>
      </c>
      <c r="D406" s="273" t="s">
        <v>20258</v>
      </c>
      <c r="E406" s="274" t="s">
        <v>8987</v>
      </c>
    </row>
    <row r="407" spans="1:5" ht="40.5">
      <c r="A407" s="271">
        <v>5865</v>
      </c>
      <c r="B407" s="272" t="s">
        <v>528</v>
      </c>
      <c r="C407" s="272" t="s">
        <v>215</v>
      </c>
      <c r="D407" s="273" t="s">
        <v>10285</v>
      </c>
      <c r="E407" s="274" t="s">
        <v>8987</v>
      </c>
    </row>
    <row r="408" spans="1:5" ht="27">
      <c r="A408" s="271">
        <v>5869</v>
      </c>
      <c r="B408" s="272" t="s">
        <v>529</v>
      </c>
      <c r="C408" s="272" t="s">
        <v>215</v>
      </c>
      <c r="D408" s="273" t="s">
        <v>14170</v>
      </c>
      <c r="E408" s="274" t="s">
        <v>8987</v>
      </c>
    </row>
    <row r="409" spans="1:5" ht="40.5">
      <c r="A409" s="271">
        <v>5877</v>
      </c>
      <c r="B409" s="272" t="s">
        <v>530</v>
      </c>
      <c r="C409" s="272" t="s">
        <v>215</v>
      </c>
      <c r="D409" s="273" t="s">
        <v>21464</v>
      </c>
      <c r="E409" s="274" t="s">
        <v>8987</v>
      </c>
    </row>
    <row r="410" spans="1:5" ht="40.5">
      <c r="A410" s="271">
        <v>5881</v>
      </c>
      <c r="B410" s="272" t="s">
        <v>531</v>
      </c>
      <c r="C410" s="272" t="s">
        <v>215</v>
      </c>
      <c r="D410" s="273" t="s">
        <v>19962</v>
      </c>
      <c r="E410" s="274" t="s">
        <v>8987</v>
      </c>
    </row>
    <row r="411" spans="1:5" ht="40.5">
      <c r="A411" s="271">
        <v>5884</v>
      </c>
      <c r="B411" s="272" t="s">
        <v>532</v>
      </c>
      <c r="C411" s="272" t="s">
        <v>215</v>
      </c>
      <c r="D411" s="273" t="s">
        <v>21465</v>
      </c>
      <c r="E411" s="274" t="s">
        <v>8987</v>
      </c>
    </row>
    <row r="412" spans="1:5" ht="27">
      <c r="A412" s="271">
        <v>5892</v>
      </c>
      <c r="B412" s="272" t="s">
        <v>533</v>
      </c>
      <c r="C412" s="272" t="s">
        <v>215</v>
      </c>
      <c r="D412" s="275" t="s">
        <v>16658</v>
      </c>
      <c r="E412" s="274" t="s">
        <v>8987</v>
      </c>
    </row>
    <row r="413" spans="1:5" ht="27">
      <c r="A413" s="271">
        <v>5896</v>
      </c>
      <c r="B413" s="272" t="s">
        <v>534</v>
      </c>
      <c r="C413" s="272" t="s">
        <v>215</v>
      </c>
      <c r="D413" s="273" t="s">
        <v>21466</v>
      </c>
      <c r="E413" s="274" t="s">
        <v>8987</v>
      </c>
    </row>
    <row r="414" spans="1:5" ht="40.5">
      <c r="A414" s="271">
        <v>5903</v>
      </c>
      <c r="B414" s="272" t="s">
        <v>535</v>
      </c>
      <c r="C414" s="272" t="s">
        <v>215</v>
      </c>
      <c r="D414" s="273" t="s">
        <v>14256</v>
      </c>
      <c r="E414" s="274" t="s">
        <v>8987</v>
      </c>
    </row>
    <row r="415" spans="1:5" ht="27">
      <c r="A415" s="271">
        <v>5911</v>
      </c>
      <c r="B415" s="272" t="s">
        <v>536</v>
      </c>
      <c r="C415" s="272" t="s">
        <v>215</v>
      </c>
      <c r="D415" s="273" t="s">
        <v>12212</v>
      </c>
      <c r="E415" s="274" t="s">
        <v>8987</v>
      </c>
    </row>
    <row r="416" spans="1:5" ht="27">
      <c r="A416" s="271">
        <v>5923</v>
      </c>
      <c r="B416" s="272" t="s">
        <v>537</v>
      </c>
      <c r="C416" s="272" t="s">
        <v>215</v>
      </c>
      <c r="D416" s="273" t="s">
        <v>15835</v>
      </c>
      <c r="E416" s="274" t="s">
        <v>8987</v>
      </c>
    </row>
    <row r="417" spans="1:5" ht="40.5">
      <c r="A417" s="271">
        <v>5930</v>
      </c>
      <c r="B417" s="272" t="s">
        <v>538</v>
      </c>
      <c r="C417" s="272" t="s">
        <v>215</v>
      </c>
      <c r="D417" s="273" t="s">
        <v>20742</v>
      </c>
      <c r="E417" s="274" t="s">
        <v>8987</v>
      </c>
    </row>
    <row r="418" spans="1:5" ht="27">
      <c r="A418" s="271">
        <v>5934</v>
      </c>
      <c r="B418" s="272" t="s">
        <v>539</v>
      </c>
      <c r="C418" s="272" t="s">
        <v>215</v>
      </c>
      <c r="D418" s="273" t="s">
        <v>21467</v>
      </c>
      <c r="E418" s="274" t="s">
        <v>8987</v>
      </c>
    </row>
    <row r="419" spans="1:5" ht="27">
      <c r="A419" s="271">
        <v>5942</v>
      </c>
      <c r="B419" s="272" t="s">
        <v>540</v>
      </c>
      <c r="C419" s="272" t="s">
        <v>215</v>
      </c>
      <c r="D419" s="273" t="s">
        <v>21468</v>
      </c>
      <c r="E419" s="274" t="s">
        <v>8987</v>
      </c>
    </row>
    <row r="420" spans="1:5" ht="27">
      <c r="A420" s="271">
        <v>5946</v>
      </c>
      <c r="B420" s="272" t="s">
        <v>541</v>
      </c>
      <c r="C420" s="272" t="s">
        <v>215</v>
      </c>
      <c r="D420" s="273" t="s">
        <v>15854</v>
      </c>
      <c r="E420" s="274" t="s">
        <v>8987</v>
      </c>
    </row>
    <row r="421" spans="1:5" ht="27">
      <c r="A421" s="271">
        <v>5952</v>
      </c>
      <c r="B421" s="272" t="s">
        <v>542</v>
      </c>
      <c r="C421" s="272" t="s">
        <v>215</v>
      </c>
      <c r="D421" s="273" t="s">
        <v>16154</v>
      </c>
      <c r="E421" s="274" t="s">
        <v>8987</v>
      </c>
    </row>
    <row r="422" spans="1:5" ht="27">
      <c r="A422" s="271">
        <v>5954</v>
      </c>
      <c r="B422" s="272" t="s">
        <v>543</v>
      </c>
      <c r="C422" s="272" t="s">
        <v>215</v>
      </c>
      <c r="D422" s="273" t="s">
        <v>10063</v>
      </c>
      <c r="E422" s="274" t="s">
        <v>8987</v>
      </c>
    </row>
    <row r="423" spans="1:5" ht="40.5">
      <c r="A423" s="271">
        <v>5961</v>
      </c>
      <c r="B423" s="272" t="s">
        <v>544</v>
      </c>
      <c r="C423" s="272" t="s">
        <v>215</v>
      </c>
      <c r="D423" s="273" t="s">
        <v>21469</v>
      </c>
      <c r="E423" s="274" t="s">
        <v>8987</v>
      </c>
    </row>
    <row r="424" spans="1:5" ht="40.5">
      <c r="A424" s="271">
        <v>6260</v>
      </c>
      <c r="B424" s="272" t="s">
        <v>545</v>
      </c>
      <c r="C424" s="272" t="s">
        <v>215</v>
      </c>
      <c r="D424" s="273" t="s">
        <v>20781</v>
      </c>
      <c r="E424" s="274" t="s">
        <v>8987</v>
      </c>
    </row>
    <row r="425" spans="1:5" ht="27">
      <c r="A425" s="271">
        <v>6880</v>
      </c>
      <c r="B425" s="272" t="s">
        <v>546</v>
      </c>
      <c r="C425" s="272" t="s">
        <v>215</v>
      </c>
      <c r="D425" s="273" t="s">
        <v>14190</v>
      </c>
      <c r="E425" s="274" t="s">
        <v>8987</v>
      </c>
    </row>
    <row r="426" spans="1:5" ht="27">
      <c r="A426" s="271">
        <v>7031</v>
      </c>
      <c r="B426" s="272" t="s">
        <v>547</v>
      </c>
      <c r="C426" s="272" t="s">
        <v>215</v>
      </c>
      <c r="D426" s="273" t="s">
        <v>9980</v>
      </c>
      <c r="E426" s="274" t="s">
        <v>8987</v>
      </c>
    </row>
    <row r="427" spans="1:5" ht="40.5">
      <c r="A427" s="271">
        <v>7043</v>
      </c>
      <c r="B427" s="272" t="s">
        <v>548</v>
      </c>
      <c r="C427" s="272" t="s">
        <v>215</v>
      </c>
      <c r="D427" s="273" t="s">
        <v>9890</v>
      </c>
      <c r="E427" s="274" t="s">
        <v>8987</v>
      </c>
    </row>
    <row r="428" spans="1:5" ht="40.5">
      <c r="A428" s="271">
        <v>7050</v>
      </c>
      <c r="B428" s="272" t="s">
        <v>549</v>
      </c>
      <c r="C428" s="272" t="s">
        <v>215</v>
      </c>
      <c r="D428" s="273" t="s">
        <v>21470</v>
      </c>
      <c r="E428" s="274" t="s">
        <v>8987</v>
      </c>
    </row>
    <row r="429" spans="1:5" ht="40.5">
      <c r="A429" s="271">
        <v>67827</v>
      </c>
      <c r="B429" s="272" t="s">
        <v>550</v>
      </c>
      <c r="C429" s="272" t="s">
        <v>215</v>
      </c>
      <c r="D429" s="273" t="s">
        <v>16609</v>
      </c>
      <c r="E429" s="274" t="s">
        <v>8987</v>
      </c>
    </row>
    <row r="430" spans="1:5" ht="13.5">
      <c r="A430" s="271">
        <v>73395</v>
      </c>
      <c r="B430" s="272" t="s">
        <v>551</v>
      </c>
      <c r="C430" s="272" t="s">
        <v>215</v>
      </c>
      <c r="D430" s="273" t="s">
        <v>11319</v>
      </c>
      <c r="E430" s="274" t="s">
        <v>8987</v>
      </c>
    </row>
    <row r="431" spans="1:5" ht="27">
      <c r="A431" s="271">
        <v>83766</v>
      </c>
      <c r="B431" s="272" t="s">
        <v>552</v>
      </c>
      <c r="C431" s="272" t="s">
        <v>215</v>
      </c>
      <c r="D431" s="273" t="s">
        <v>20508</v>
      </c>
      <c r="E431" s="274" t="s">
        <v>8987</v>
      </c>
    </row>
    <row r="432" spans="1:5" ht="27">
      <c r="A432" s="271">
        <v>84013</v>
      </c>
      <c r="B432" s="272" t="s">
        <v>553</v>
      </c>
      <c r="C432" s="272" t="s">
        <v>215</v>
      </c>
      <c r="D432" s="273" t="s">
        <v>16180</v>
      </c>
      <c r="E432" s="274" t="s">
        <v>8987</v>
      </c>
    </row>
    <row r="433" spans="1:5" ht="27">
      <c r="A433" s="271">
        <v>87446</v>
      </c>
      <c r="B433" s="272" t="s">
        <v>554</v>
      </c>
      <c r="C433" s="272" t="s">
        <v>215</v>
      </c>
      <c r="D433" s="273" t="s">
        <v>11201</v>
      </c>
      <c r="E433" s="274" t="s">
        <v>8987</v>
      </c>
    </row>
    <row r="434" spans="1:5" ht="27">
      <c r="A434" s="271">
        <v>88392</v>
      </c>
      <c r="B434" s="272" t="s">
        <v>555</v>
      </c>
      <c r="C434" s="272" t="s">
        <v>215</v>
      </c>
      <c r="D434" s="273" t="s">
        <v>9864</v>
      </c>
      <c r="E434" s="274" t="s">
        <v>8987</v>
      </c>
    </row>
    <row r="435" spans="1:5" ht="27">
      <c r="A435" s="271">
        <v>88398</v>
      </c>
      <c r="B435" s="272" t="s">
        <v>556</v>
      </c>
      <c r="C435" s="272" t="s">
        <v>215</v>
      </c>
      <c r="D435" s="273" t="s">
        <v>9904</v>
      </c>
      <c r="E435" s="274" t="s">
        <v>8987</v>
      </c>
    </row>
    <row r="436" spans="1:5" ht="27">
      <c r="A436" s="271">
        <v>88404</v>
      </c>
      <c r="B436" s="272" t="s">
        <v>557</v>
      </c>
      <c r="C436" s="272" t="s">
        <v>215</v>
      </c>
      <c r="D436" s="273" t="s">
        <v>11062</v>
      </c>
      <c r="E436" s="274" t="s">
        <v>8987</v>
      </c>
    </row>
    <row r="437" spans="1:5" ht="27">
      <c r="A437" s="271">
        <v>88430</v>
      </c>
      <c r="B437" s="272" t="s">
        <v>558</v>
      </c>
      <c r="C437" s="272" t="s">
        <v>215</v>
      </c>
      <c r="D437" s="273" t="s">
        <v>21471</v>
      </c>
      <c r="E437" s="274" t="s">
        <v>8987</v>
      </c>
    </row>
    <row r="438" spans="1:5" ht="27">
      <c r="A438" s="271">
        <v>88438</v>
      </c>
      <c r="B438" s="272" t="s">
        <v>559</v>
      </c>
      <c r="C438" s="272" t="s">
        <v>215</v>
      </c>
      <c r="D438" s="273" t="s">
        <v>10300</v>
      </c>
      <c r="E438" s="274" t="s">
        <v>8987</v>
      </c>
    </row>
    <row r="439" spans="1:5" ht="27">
      <c r="A439" s="271">
        <v>88831</v>
      </c>
      <c r="B439" s="272" t="s">
        <v>560</v>
      </c>
      <c r="C439" s="272" t="s">
        <v>215</v>
      </c>
      <c r="D439" s="273" t="s">
        <v>9890</v>
      </c>
      <c r="E439" s="274" t="s">
        <v>8987</v>
      </c>
    </row>
    <row r="440" spans="1:5" ht="27">
      <c r="A440" s="271">
        <v>88844</v>
      </c>
      <c r="B440" s="272" t="s">
        <v>561</v>
      </c>
      <c r="C440" s="272" t="s">
        <v>215</v>
      </c>
      <c r="D440" s="273" t="s">
        <v>21472</v>
      </c>
      <c r="E440" s="274" t="s">
        <v>8987</v>
      </c>
    </row>
    <row r="441" spans="1:5" ht="27">
      <c r="A441" s="271">
        <v>88908</v>
      </c>
      <c r="B441" s="272" t="s">
        <v>562</v>
      </c>
      <c r="C441" s="272" t="s">
        <v>215</v>
      </c>
      <c r="D441" s="273" t="s">
        <v>21473</v>
      </c>
      <c r="E441" s="274" t="s">
        <v>8987</v>
      </c>
    </row>
    <row r="442" spans="1:5" ht="40.5">
      <c r="A442" s="271">
        <v>89022</v>
      </c>
      <c r="B442" s="272" t="s">
        <v>563</v>
      </c>
      <c r="C442" s="272" t="s">
        <v>215</v>
      </c>
      <c r="D442" s="273" t="s">
        <v>9918</v>
      </c>
      <c r="E442" s="274" t="s">
        <v>8987</v>
      </c>
    </row>
    <row r="443" spans="1:5" ht="27">
      <c r="A443" s="271">
        <v>89027</v>
      </c>
      <c r="B443" s="272" t="s">
        <v>564</v>
      </c>
      <c r="C443" s="272" t="s">
        <v>215</v>
      </c>
      <c r="D443" s="273" t="s">
        <v>11321</v>
      </c>
      <c r="E443" s="274" t="s">
        <v>8987</v>
      </c>
    </row>
    <row r="444" spans="1:5" ht="27">
      <c r="A444" s="271">
        <v>89031</v>
      </c>
      <c r="B444" s="272" t="s">
        <v>565</v>
      </c>
      <c r="C444" s="272" t="s">
        <v>215</v>
      </c>
      <c r="D444" s="273" t="s">
        <v>14202</v>
      </c>
      <c r="E444" s="274" t="s">
        <v>8987</v>
      </c>
    </row>
    <row r="445" spans="1:5" ht="27">
      <c r="A445" s="271">
        <v>89036</v>
      </c>
      <c r="B445" s="272" t="s">
        <v>566</v>
      </c>
      <c r="C445" s="272" t="s">
        <v>215</v>
      </c>
      <c r="D445" s="273" t="s">
        <v>14246</v>
      </c>
      <c r="E445" s="274" t="s">
        <v>8987</v>
      </c>
    </row>
    <row r="446" spans="1:5" ht="27">
      <c r="A446" s="271">
        <v>89218</v>
      </c>
      <c r="B446" s="272" t="s">
        <v>567</v>
      </c>
      <c r="C446" s="272" t="s">
        <v>215</v>
      </c>
      <c r="D446" s="273" t="s">
        <v>14149</v>
      </c>
      <c r="E446" s="274" t="s">
        <v>8987</v>
      </c>
    </row>
    <row r="447" spans="1:5" ht="27">
      <c r="A447" s="271">
        <v>89226</v>
      </c>
      <c r="B447" s="272" t="s">
        <v>568</v>
      </c>
      <c r="C447" s="272" t="s">
        <v>215</v>
      </c>
      <c r="D447" s="273" t="s">
        <v>18929</v>
      </c>
      <c r="E447" s="274" t="s">
        <v>8987</v>
      </c>
    </row>
    <row r="448" spans="1:5" ht="27">
      <c r="A448" s="271">
        <v>89235</v>
      </c>
      <c r="B448" s="272" t="s">
        <v>569</v>
      </c>
      <c r="C448" s="272" t="s">
        <v>215</v>
      </c>
      <c r="D448" s="273" t="s">
        <v>21474</v>
      </c>
      <c r="E448" s="274" t="s">
        <v>8987</v>
      </c>
    </row>
    <row r="449" spans="1:5" ht="27">
      <c r="A449" s="271">
        <v>89243</v>
      </c>
      <c r="B449" s="272" t="s">
        <v>570</v>
      </c>
      <c r="C449" s="272" t="s">
        <v>215</v>
      </c>
      <c r="D449" s="273" t="s">
        <v>21475</v>
      </c>
      <c r="E449" s="274" t="s">
        <v>8987</v>
      </c>
    </row>
    <row r="450" spans="1:5" ht="27">
      <c r="A450" s="271">
        <v>89251</v>
      </c>
      <c r="B450" s="272" t="s">
        <v>571</v>
      </c>
      <c r="C450" s="272" t="s">
        <v>215</v>
      </c>
      <c r="D450" s="273" t="s">
        <v>21476</v>
      </c>
      <c r="E450" s="274" t="s">
        <v>8987</v>
      </c>
    </row>
    <row r="451" spans="1:5" ht="27">
      <c r="A451" s="271">
        <v>89258</v>
      </c>
      <c r="B451" s="272" t="s">
        <v>572</v>
      </c>
      <c r="C451" s="272" t="s">
        <v>215</v>
      </c>
      <c r="D451" s="273" t="s">
        <v>21477</v>
      </c>
      <c r="E451" s="274" t="s">
        <v>8987</v>
      </c>
    </row>
    <row r="452" spans="1:5" ht="27">
      <c r="A452" s="271">
        <v>89273</v>
      </c>
      <c r="B452" s="272" t="s">
        <v>573</v>
      </c>
      <c r="C452" s="272" t="s">
        <v>215</v>
      </c>
      <c r="D452" s="273" t="s">
        <v>21478</v>
      </c>
      <c r="E452" s="274" t="s">
        <v>8987</v>
      </c>
    </row>
    <row r="453" spans="1:5" ht="27">
      <c r="A453" s="271">
        <v>89279</v>
      </c>
      <c r="B453" s="272" t="s">
        <v>574</v>
      </c>
      <c r="C453" s="272" t="s">
        <v>215</v>
      </c>
      <c r="D453" s="273" t="s">
        <v>9977</v>
      </c>
      <c r="E453" s="274" t="s">
        <v>8987</v>
      </c>
    </row>
    <row r="454" spans="1:5" ht="40.5">
      <c r="A454" s="271">
        <v>89877</v>
      </c>
      <c r="B454" s="272" t="s">
        <v>575</v>
      </c>
      <c r="C454" s="272" t="s">
        <v>215</v>
      </c>
      <c r="D454" s="273" t="s">
        <v>16497</v>
      </c>
      <c r="E454" s="274" t="s">
        <v>8987</v>
      </c>
    </row>
    <row r="455" spans="1:5" ht="40.5">
      <c r="A455" s="271">
        <v>89884</v>
      </c>
      <c r="B455" s="272" t="s">
        <v>576</v>
      </c>
      <c r="C455" s="272" t="s">
        <v>215</v>
      </c>
      <c r="D455" s="273" t="s">
        <v>19023</v>
      </c>
      <c r="E455" s="274" t="s">
        <v>8987</v>
      </c>
    </row>
    <row r="456" spans="1:5" ht="27">
      <c r="A456" s="271">
        <v>90587</v>
      </c>
      <c r="B456" s="272" t="s">
        <v>577</v>
      </c>
      <c r="C456" s="272" t="s">
        <v>215</v>
      </c>
      <c r="D456" s="273" t="s">
        <v>10036</v>
      </c>
      <c r="E456" s="274" t="s">
        <v>8987</v>
      </c>
    </row>
    <row r="457" spans="1:5" ht="27">
      <c r="A457" s="271">
        <v>90626</v>
      </c>
      <c r="B457" s="272" t="s">
        <v>578</v>
      </c>
      <c r="C457" s="272" t="s">
        <v>215</v>
      </c>
      <c r="D457" s="273" t="s">
        <v>10060</v>
      </c>
      <c r="E457" s="274" t="s">
        <v>8987</v>
      </c>
    </row>
    <row r="458" spans="1:5" ht="27">
      <c r="A458" s="271">
        <v>90632</v>
      </c>
      <c r="B458" s="272" t="s">
        <v>579</v>
      </c>
      <c r="C458" s="272" t="s">
        <v>215</v>
      </c>
      <c r="D458" s="273" t="s">
        <v>21479</v>
      </c>
      <c r="E458" s="274" t="s">
        <v>8987</v>
      </c>
    </row>
    <row r="459" spans="1:5" ht="40.5">
      <c r="A459" s="271">
        <v>90638</v>
      </c>
      <c r="B459" s="272" t="s">
        <v>580</v>
      </c>
      <c r="C459" s="272" t="s">
        <v>215</v>
      </c>
      <c r="D459" s="273" t="s">
        <v>9990</v>
      </c>
      <c r="E459" s="274" t="s">
        <v>8987</v>
      </c>
    </row>
    <row r="460" spans="1:5" ht="27">
      <c r="A460" s="271">
        <v>90644</v>
      </c>
      <c r="B460" s="272" t="s">
        <v>581</v>
      </c>
      <c r="C460" s="272" t="s">
        <v>215</v>
      </c>
      <c r="D460" s="273" t="s">
        <v>11176</v>
      </c>
      <c r="E460" s="274" t="s">
        <v>8987</v>
      </c>
    </row>
    <row r="461" spans="1:5" ht="27">
      <c r="A461" s="271">
        <v>90651</v>
      </c>
      <c r="B461" s="272" t="s">
        <v>582</v>
      </c>
      <c r="C461" s="272" t="s">
        <v>215</v>
      </c>
      <c r="D461" s="273" t="s">
        <v>21480</v>
      </c>
      <c r="E461" s="274" t="s">
        <v>8987</v>
      </c>
    </row>
    <row r="462" spans="1:5" ht="27">
      <c r="A462" s="271">
        <v>90657</v>
      </c>
      <c r="B462" s="272" t="s">
        <v>583</v>
      </c>
      <c r="C462" s="272" t="s">
        <v>215</v>
      </c>
      <c r="D462" s="273" t="s">
        <v>11403</v>
      </c>
      <c r="E462" s="274" t="s">
        <v>8987</v>
      </c>
    </row>
    <row r="463" spans="1:5" ht="27">
      <c r="A463" s="271">
        <v>90663</v>
      </c>
      <c r="B463" s="272" t="s">
        <v>584</v>
      </c>
      <c r="C463" s="272" t="s">
        <v>215</v>
      </c>
      <c r="D463" s="273" t="s">
        <v>11519</v>
      </c>
      <c r="E463" s="274" t="s">
        <v>8987</v>
      </c>
    </row>
    <row r="464" spans="1:5" ht="40.5">
      <c r="A464" s="271">
        <v>90669</v>
      </c>
      <c r="B464" s="272" t="s">
        <v>585</v>
      </c>
      <c r="C464" s="272" t="s">
        <v>215</v>
      </c>
      <c r="D464" s="273" t="s">
        <v>15884</v>
      </c>
      <c r="E464" s="274" t="s">
        <v>8987</v>
      </c>
    </row>
    <row r="465" spans="1:5" ht="40.5">
      <c r="A465" s="271">
        <v>90675</v>
      </c>
      <c r="B465" s="272" t="s">
        <v>586</v>
      </c>
      <c r="C465" s="272" t="s">
        <v>215</v>
      </c>
      <c r="D465" s="273" t="s">
        <v>21481</v>
      </c>
      <c r="E465" s="274" t="s">
        <v>8987</v>
      </c>
    </row>
    <row r="466" spans="1:5" ht="40.5">
      <c r="A466" s="271">
        <v>90681</v>
      </c>
      <c r="B466" s="272" t="s">
        <v>587</v>
      </c>
      <c r="C466" s="272" t="s">
        <v>215</v>
      </c>
      <c r="D466" s="273" t="s">
        <v>21482</v>
      </c>
      <c r="E466" s="274" t="s">
        <v>8987</v>
      </c>
    </row>
    <row r="467" spans="1:5" ht="27">
      <c r="A467" s="271">
        <v>90687</v>
      </c>
      <c r="B467" s="272" t="s">
        <v>588</v>
      </c>
      <c r="C467" s="272" t="s">
        <v>215</v>
      </c>
      <c r="D467" s="273" t="s">
        <v>21483</v>
      </c>
      <c r="E467" s="274" t="s">
        <v>8987</v>
      </c>
    </row>
    <row r="468" spans="1:5" ht="27">
      <c r="A468" s="271">
        <v>90693</v>
      </c>
      <c r="B468" s="272" t="s">
        <v>589</v>
      </c>
      <c r="C468" s="272" t="s">
        <v>215</v>
      </c>
      <c r="D468" s="273" t="s">
        <v>19610</v>
      </c>
      <c r="E468" s="274" t="s">
        <v>8987</v>
      </c>
    </row>
    <row r="469" spans="1:5" ht="27">
      <c r="A469" s="271">
        <v>90965</v>
      </c>
      <c r="B469" s="272" t="s">
        <v>590</v>
      </c>
      <c r="C469" s="272" t="s">
        <v>215</v>
      </c>
      <c r="D469" s="273" t="s">
        <v>10900</v>
      </c>
      <c r="E469" s="274" t="s">
        <v>8987</v>
      </c>
    </row>
    <row r="470" spans="1:5" ht="27">
      <c r="A470" s="271">
        <v>90973</v>
      </c>
      <c r="B470" s="272" t="s">
        <v>591</v>
      </c>
      <c r="C470" s="272" t="s">
        <v>215</v>
      </c>
      <c r="D470" s="273" t="s">
        <v>12352</v>
      </c>
      <c r="E470" s="274" t="s">
        <v>8987</v>
      </c>
    </row>
    <row r="471" spans="1:5" ht="27">
      <c r="A471" s="271">
        <v>90982</v>
      </c>
      <c r="B471" s="272" t="s">
        <v>592</v>
      </c>
      <c r="C471" s="272" t="s">
        <v>215</v>
      </c>
      <c r="D471" s="273" t="s">
        <v>11489</v>
      </c>
      <c r="E471" s="274" t="s">
        <v>8987</v>
      </c>
    </row>
    <row r="472" spans="1:5" ht="27">
      <c r="A472" s="271">
        <v>91001</v>
      </c>
      <c r="B472" s="272" t="s">
        <v>593</v>
      </c>
      <c r="C472" s="272" t="s">
        <v>215</v>
      </c>
      <c r="D472" s="273" t="s">
        <v>19548</v>
      </c>
      <c r="E472" s="274" t="s">
        <v>8987</v>
      </c>
    </row>
    <row r="473" spans="1:5" ht="40.5">
      <c r="A473" s="271">
        <v>91032</v>
      </c>
      <c r="B473" s="272" t="s">
        <v>594</v>
      </c>
      <c r="C473" s="272" t="s">
        <v>215</v>
      </c>
      <c r="D473" s="273" t="s">
        <v>21484</v>
      </c>
      <c r="E473" s="274" t="s">
        <v>8987</v>
      </c>
    </row>
    <row r="474" spans="1:5" ht="27">
      <c r="A474" s="271">
        <v>91278</v>
      </c>
      <c r="B474" s="272" t="s">
        <v>232</v>
      </c>
      <c r="C474" s="272" t="s">
        <v>215</v>
      </c>
      <c r="D474" s="273" t="s">
        <v>10907</v>
      </c>
      <c r="E474" s="274" t="s">
        <v>8987</v>
      </c>
    </row>
    <row r="475" spans="1:5" ht="40.5">
      <c r="A475" s="271">
        <v>91285</v>
      </c>
      <c r="B475" s="272" t="s">
        <v>595</v>
      </c>
      <c r="C475" s="272" t="s">
        <v>215</v>
      </c>
      <c r="D475" s="273" t="s">
        <v>10002</v>
      </c>
      <c r="E475" s="274" t="s">
        <v>8987</v>
      </c>
    </row>
    <row r="476" spans="1:5" ht="40.5">
      <c r="A476" s="271">
        <v>91387</v>
      </c>
      <c r="B476" s="272" t="s">
        <v>596</v>
      </c>
      <c r="C476" s="272" t="s">
        <v>215</v>
      </c>
      <c r="D476" s="273" t="s">
        <v>14268</v>
      </c>
      <c r="E476" s="274" t="s">
        <v>8987</v>
      </c>
    </row>
    <row r="477" spans="1:5" ht="40.5">
      <c r="A477" s="271">
        <v>91395</v>
      </c>
      <c r="B477" s="272" t="s">
        <v>597</v>
      </c>
      <c r="C477" s="272" t="s">
        <v>215</v>
      </c>
      <c r="D477" s="273" t="s">
        <v>19610</v>
      </c>
      <c r="E477" s="274" t="s">
        <v>8987</v>
      </c>
    </row>
    <row r="478" spans="1:5" ht="40.5">
      <c r="A478" s="271">
        <v>91486</v>
      </c>
      <c r="B478" s="272" t="s">
        <v>598</v>
      </c>
      <c r="C478" s="272" t="s">
        <v>215</v>
      </c>
      <c r="D478" s="273" t="s">
        <v>14177</v>
      </c>
      <c r="E478" s="274" t="s">
        <v>8987</v>
      </c>
    </row>
    <row r="479" spans="1:5" ht="27">
      <c r="A479" s="271">
        <v>91534</v>
      </c>
      <c r="B479" s="272" t="s">
        <v>599</v>
      </c>
      <c r="C479" s="272" t="s">
        <v>215</v>
      </c>
      <c r="D479" s="273" t="s">
        <v>21485</v>
      </c>
      <c r="E479" s="274" t="s">
        <v>8987</v>
      </c>
    </row>
    <row r="480" spans="1:5" ht="40.5">
      <c r="A480" s="271">
        <v>91635</v>
      </c>
      <c r="B480" s="272" t="s">
        <v>600</v>
      </c>
      <c r="C480" s="272" t="s">
        <v>215</v>
      </c>
      <c r="D480" s="273" t="s">
        <v>10274</v>
      </c>
      <c r="E480" s="274" t="s">
        <v>8987</v>
      </c>
    </row>
    <row r="481" spans="1:5" ht="40.5">
      <c r="A481" s="271">
        <v>91646</v>
      </c>
      <c r="B481" s="272" t="s">
        <v>601</v>
      </c>
      <c r="C481" s="272" t="s">
        <v>215</v>
      </c>
      <c r="D481" s="273" t="s">
        <v>14200</v>
      </c>
      <c r="E481" s="274" t="s">
        <v>8987</v>
      </c>
    </row>
    <row r="482" spans="1:5" ht="27">
      <c r="A482" s="271">
        <v>91693</v>
      </c>
      <c r="B482" s="272" t="s">
        <v>602</v>
      </c>
      <c r="C482" s="272" t="s">
        <v>215</v>
      </c>
      <c r="D482" s="273" t="s">
        <v>16048</v>
      </c>
      <c r="E482" s="274" t="s">
        <v>8987</v>
      </c>
    </row>
    <row r="483" spans="1:5" ht="27">
      <c r="A483" s="271">
        <v>92044</v>
      </c>
      <c r="B483" s="272" t="s">
        <v>603</v>
      </c>
      <c r="C483" s="272" t="s">
        <v>215</v>
      </c>
      <c r="D483" s="273" t="s">
        <v>10250</v>
      </c>
      <c r="E483" s="274" t="s">
        <v>8987</v>
      </c>
    </row>
    <row r="484" spans="1:5" ht="40.5">
      <c r="A484" s="271">
        <v>92107</v>
      </c>
      <c r="B484" s="272" t="s">
        <v>604</v>
      </c>
      <c r="C484" s="272" t="s">
        <v>215</v>
      </c>
      <c r="D484" s="273" t="s">
        <v>21486</v>
      </c>
      <c r="E484" s="274" t="s">
        <v>8987</v>
      </c>
    </row>
    <row r="485" spans="1:5" ht="27">
      <c r="A485" s="271">
        <v>92113</v>
      </c>
      <c r="B485" s="272" t="s">
        <v>605</v>
      </c>
      <c r="C485" s="272" t="s">
        <v>215</v>
      </c>
      <c r="D485" s="273" t="s">
        <v>9769</v>
      </c>
      <c r="E485" s="274" t="s">
        <v>8987</v>
      </c>
    </row>
    <row r="486" spans="1:5" ht="13.5">
      <c r="A486" s="271">
        <v>92119</v>
      </c>
      <c r="B486" s="272" t="s">
        <v>606</v>
      </c>
      <c r="C486" s="272" t="s">
        <v>215</v>
      </c>
      <c r="D486" s="273" t="s">
        <v>9925</v>
      </c>
      <c r="E486" s="274" t="s">
        <v>8987</v>
      </c>
    </row>
    <row r="487" spans="1:5" ht="27">
      <c r="A487" s="271">
        <v>92139</v>
      </c>
      <c r="B487" s="272" t="s">
        <v>607</v>
      </c>
      <c r="C487" s="272" t="s">
        <v>215</v>
      </c>
      <c r="D487" s="273" t="s">
        <v>21487</v>
      </c>
      <c r="E487" s="274" t="s">
        <v>8987</v>
      </c>
    </row>
    <row r="488" spans="1:5" ht="27">
      <c r="A488" s="271">
        <v>92146</v>
      </c>
      <c r="B488" s="272" t="s">
        <v>608</v>
      </c>
      <c r="C488" s="272" t="s">
        <v>215</v>
      </c>
      <c r="D488" s="273" t="s">
        <v>20499</v>
      </c>
      <c r="E488" s="274" t="s">
        <v>8987</v>
      </c>
    </row>
    <row r="489" spans="1:5" ht="40.5">
      <c r="A489" s="271">
        <v>92243</v>
      </c>
      <c r="B489" s="272" t="s">
        <v>609</v>
      </c>
      <c r="C489" s="272" t="s">
        <v>215</v>
      </c>
      <c r="D489" s="273" t="s">
        <v>21488</v>
      </c>
      <c r="E489" s="274" t="s">
        <v>8987</v>
      </c>
    </row>
    <row r="490" spans="1:5" ht="27">
      <c r="A490" s="271">
        <v>92717</v>
      </c>
      <c r="B490" s="272" t="s">
        <v>610</v>
      </c>
      <c r="C490" s="272" t="s">
        <v>215</v>
      </c>
      <c r="D490" s="273" t="s">
        <v>11131</v>
      </c>
      <c r="E490" s="274" t="s">
        <v>8987</v>
      </c>
    </row>
    <row r="491" spans="1:5" ht="27">
      <c r="A491" s="271">
        <v>92961</v>
      </c>
      <c r="B491" s="272" t="s">
        <v>611</v>
      </c>
      <c r="C491" s="272" t="s">
        <v>215</v>
      </c>
      <c r="D491" s="273" t="s">
        <v>11342</v>
      </c>
      <c r="E491" s="274" t="s">
        <v>8987</v>
      </c>
    </row>
    <row r="492" spans="1:5" ht="27">
      <c r="A492" s="271">
        <v>92967</v>
      </c>
      <c r="B492" s="272" t="s">
        <v>612</v>
      </c>
      <c r="C492" s="272" t="s">
        <v>215</v>
      </c>
      <c r="D492" s="273" t="s">
        <v>11249</v>
      </c>
      <c r="E492" s="274" t="s">
        <v>8987</v>
      </c>
    </row>
    <row r="493" spans="1:5" ht="40.5">
      <c r="A493" s="271">
        <v>93225</v>
      </c>
      <c r="B493" s="272" t="s">
        <v>613</v>
      </c>
      <c r="C493" s="272" t="s">
        <v>215</v>
      </c>
      <c r="D493" s="273" t="s">
        <v>21489</v>
      </c>
      <c r="E493" s="274" t="s">
        <v>8987</v>
      </c>
    </row>
    <row r="494" spans="1:5" ht="27">
      <c r="A494" s="271">
        <v>93234</v>
      </c>
      <c r="B494" s="272" t="s">
        <v>614</v>
      </c>
      <c r="C494" s="272" t="s">
        <v>215</v>
      </c>
      <c r="D494" s="273" t="s">
        <v>9843</v>
      </c>
      <c r="E494" s="274" t="s">
        <v>8987</v>
      </c>
    </row>
    <row r="495" spans="1:5" ht="40.5">
      <c r="A495" s="271">
        <v>93244</v>
      </c>
      <c r="B495" s="272" t="s">
        <v>615</v>
      </c>
      <c r="C495" s="272" t="s">
        <v>215</v>
      </c>
      <c r="D495" s="273" t="s">
        <v>16669</v>
      </c>
      <c r="E495" s="274" t="s">
        <v>8987</v>
      </c>
    </row>
    <row r="496" spans="1:5" ht="27">
      <c r="A496" s="271">
        <v>93274</v>
      </c>
      <c r="B496" s="272" t="s">
        <v>616</v>
      </c>
      <c r="C496" s="272" t="s">
        <v>215</v>
      </c>
      <c r="D496" s="273" t="s">
        <v>21490</v>
      </c>
      <c r="E496" s="274" t="s">
        <v>8987</v>
      </c>
    </row>
    <row r="497" spans="1:5" ht="27">
      <c r="A497" s="271">
        <v>93282</v>
      </c>
      <c r="B497" s="272" t="s">
        <v>217</v>
      </c>
      <c r="C497" s="272" t="s">
        <v>215</v>
      </c>
      <c r="D497" s="273" t="s">
        <v>9738</v>
      </c>
      <c r="E497" s="274" t="s">
        <v>8987</v>
      </c>
    </row>
    <row r="498" spans="1:5" ht="27">
      <c r="A498" s="271">
        <v>93288</v>
      </c>
      <c r="B498" s="272" t="s">
        <v>214</v>
      </c>
      <c r="C498" s="272" t="s">
        <v>215</v>
      </c>
      <c r="D498" s="273" t="s">
        <v>21491</v>
      </c>
      <c r="E498" s="274" t="s">
        <v>8987</v>
      </c>
    </row>
    <row r="499" spans="1:5" ht="40.5">
      <c r="A499" s="271">
        <v>93403</v>
      </c>
      <c r="B499" s="272" t="s">
        <v>617</v>
      </c>
      <c r="C499" s="272" t="s">
        <v>215</v>
      </c>
      <c r="D499" s="273" t="s">
        <v>10274</v>
      </c>
      <c r="E499" s="274" t="s">
        <v>8987</v>
      </c>
    </row>
    <row r="500" spans="1:5" ht="40.5">
      <c r="A500" s="271">
        <v>93409</v>
      </c>
      <c r="B500" s="272" t="s">
        <v>9869</v>
      </c>
      <c r="C500" s="272" t="s">
        <v>215</v>
      </c>
      <c r="D500" s="273" t="s">
        <v>14201</v>
      </c>
      <c r="E500" s="274" t="s">
        <v>8987</v>
      </c>
    </row>
    <row r="501" spans="1:5" ht="27">
      <c r="A501" s="271">
        <v>93416</v>
      </c>
      <c r="B501" s="272" t="s">
        <v>618</v>
      </c>
      <c r="C501" s="272" t="s">
        <v>215</v>
      </c>
      <c r="D501" s="273" t="s">
        <v>9936</v>
      </c>
      <c r="E501" s="274" t="s">
        <v>8987</v>
      </c>
    </row>
    <row r="502" spans="1:5" ht="13.5">
      <c r="A502" s="271">
        <v>93422</v>
      </c>
      <c r="B502" s="272" t="s">
        <v>619</v>
      </c>
      <c r="C502" s="272" t="s">
        <v>215</v>
      </c>
      <c r="D502" s="273" t="s">
        <v>11441</v>
      </c>
      <c r="E502" s="274" t="s">
        <v>8987</v>
      </c>
    </row>
    <row r="503" spans="1:5" ht="13.5">
      <c r="A503" s="271">
        <v>93428</v>
      </c>
      <c r="B503" s="272" t="s">
        <v>620</v>
      </c>
      <c r="C503" s="272" t="s">
        <v>215</v>
      </c>
      <c r="D503" s="273" t="s">
        <v>18767</v>
      </c>
      <c r="E503" s="274" t="s">
        <v>8987</v>
      </c>
    </row>
    <row r="504" spans="1:5" ht="27">
      <c r="A504" s="271">
        <v>93434</v>
      </c>
      <c r="B504" s="272" t="s">
        <v>621</v>
      </c>
      <c r="C504" s="272" t="s">
        <v>215</v>
      </c>
      <c r="D504" s="273" t="s">
        <v>21492</v>
      </c>
      <c r="E504" s="274" t="s">
        <v>8987</v>
      </c>
    </row>
    <row r="505" spans="1:5" ht="27">
      <c r="A505" s="271">
        <v>93440</v>
      </c>
      <c r="B505" s="272" t="s">
        <v>622</v>
      </c>
      <c r="C505" s="272" t="s">
        <v>215</v>
      </c>
      <c r="D505" s="273" t="s">
        <v>16579</v>
      </c>
      <c r="E505" s="274" t="s">
        <v>8987</v>
      </c>
    </row>
    <row r="506" spans="1:5" ht="27">
      <c r="A506" s="271">
        <v>95122</v>
      </c>
      <c r="B506" s="272" t="s">
        <v>623</v>
      </c>
      <c r="C506" s="272" t="s">
        <v>215</v>
      </c>
      <c r="D506" s="273" t="s">
        <v>21493</v>
      </c>
      <c r="E506" s="274" t="s">
        <v>8987</v>
      </c>
    </row>
    <row r="507" spans="1:5" ht="27">
      <c r="A507" s="271">
        <v>95128</v>
      </c>
      <c r="B507" s="272" t="s">
        <v>624</v>
      </c>
      <c r="C507" s="272" t="s">
        <v>215</v>
      </c>
      <c r="D507" s="273" t="s">
        <v>16115</v>
      </c>
      <c r="E507" s="274" t="s">
        <v>8987</v>
      </c>
    </row>
    <row r="508" spans="1:5" ht="27">
      <c r="A508" s="271">
        <v>95140</v>
      </c>
      <c r="B508" s="272" t="s">
        <v>625</v>
      </c>
      <c r="C508" s="272" t="s">
        <v>215</v>
      </c>
      <c r="D508" s="273" t="s">
        <v>9873</v>
      </c>
      <c r="E508" s="274" t="s">
        <v>8987</v>
      </c>
    </row>
    <row r="509" spans="1:5" ht="27">
      <c r="A509" s="271">
        <v>95213</v>
      </c>
      <c r="B509" s="272" t="s">
        <v>626</v>
      </c>
      <c r="C509" s="272" t="s">
        <v>215</v>
      </c>
      <c r="D509" s="273" t="s">
        <v>14104</v>
      </c>
      <c r="E509" s="274" t="s">
        <v>8987</v>
      </c>
    </row>
    <row r="510" spans="1:5" ht="27">
      <c r="A510" s="271">
        <v>95219</v>
      </c>
      <c r="B510" s="272" t="s">
        <v>627</v>
      </c>
      <c r="C510" s="272" t="s">
        <v>215</v>
      </c>
      <c r="D510" s="273" t="s">
        <v>19147</v>
      </c>
      <c r="E510" s="274" t="s">
        <v>8987</v>
      </c>
    </row>
    <row r="511" spans="1:5" ht="13.5">
      <c r="A511" s="271">
        <v>95259</v>
      </c>
      <c r="B511" s="272" t="s">
        <v>628</v>
      </c>
      <c r="C511" s="272" t="s">
        <v>215</v>
      </c>
      <c r="D511" s="273" t="s">
        <v>12354</v>
      </c>
      <c r="E511" s="274" t="s">
        <v>8987</v>
      </c>
    </row>
    <row r="512" spans="1:5" ht="27">
      <c r="A512" s="271">
        <v>95265</v>
      </c>
      <c r="B512" s="272" t="s">
        <v>629</v>
      </c>
      <c r="C512" s="272" t="s">
        <v>215</v>
      </c>
      <c r="D512" s="273" t="s">
        <v>9777</v>
      </c>
      <c r="E512" s="274" t="s">
        <v>8987</v>
      </c>
    </row>
    <row r="513" spans="1:5" ht="27">
      <c r="A513" s="271">
        <v>95271</v>
      </c>
      <c r="B513" s="272" t="s">
        <v>630</v>
      </c>
      <c r="C513" s="272" t="s">
        <v>215</v>
      </c>
      <c r="D513" s="273" t="s">
        <v>9875</v>
      </c>
      <c r="E513" s="274" t="s">
        <v>8987</v>
      </c>
    </row>
    <row r="514" spans="1:5" ht="27">
      <c r="A514" s="271">
        <v>95277</v>
      </c>
      <c r="B514" s="272" t="s">
        <v>288</v>
      </c>
      <c r="C514" s="272" t="s">
        <v>215</v>
      </c>
      <c r="D514" s="273" t="s">
        <v>9876</v>
      </c>
      <c r="E514" s="274" t="s">
        <v>8987</v>
      </c>
    </row>
    <row r="515" spans="1:5" ht="27">
      <c r="A515" s="271">
        <v>95283</v>
      </c>
      <c r="B515" s="272" t="s">
        <v>631</v>
      </c>
      <c r="C515" s="272" t="s">
        <v>215</v>
      </c>
      <c r="D515" s="273" t="s">
        <v>9981</v>
      </c>
      <c r="E515" s="274" t="s">
        <v>8987</v>
      </c>
    </row>
    <row r="516" spans="1:5" ht="27">
      <c r="A516" s="271">
        <v>95621</v>
      </c>
      <c r="B516" s="272" t="s">
        <v>632</v>
      </c>
      <c r="C516" s="272" t="s">
        <v>215</v>
      </c>
      <c r="D516" s="273" t="s">
        <v>16339</v>
      </c>
      <c r="E516" s="274" t="s">
        <v>8987</v>
      </c>
    </row>
    <row r="517" spans="1:5" ht="27">
      <c r="A517" s="271">
        <v>95632</v>
      </c>
      <c r="B517" s="272" t="s">
        <v>633</v>
      </c>
      <c r="C517" s="272" t="s">
        <v>215</v>
      </c>
      <c r="D517" s="273" t="s">
        <v>16606</v>
      </c>
      <c r="E517" s="274" t="s">
        <v>8987</v>
      </c>
    </row>
    <row r="518" spans="1:5" ht="27">
      <c r="A518" s="271">
        <v>95703</v>
      </c>
      <c r="B518" s="272" t="s">
        <v>634</v>
      </c>
      <c r="C518" s="272" t="s">
        <v>215</v>
      </c>
      <c r="D518" s="273" t="s">
        <v>16541</v>
      </c>
      <c r="E518" s="274" t="s">
        <v>8987</v>
      </c>
    </row>
    <row r="519" spans="1:5" ht="27">
      <c r="A519" s="271">
        <v>95709</v>
      </c>
      <c r="B519" s="272" t="s">
        <v>635</v>
      </c>
      <c r="C519" s="272" t="s">
        <v>215</v>
      </c>
      <c r="D519" s="273" t="s">
        <v>21494</v>
      </c>
      <c r="E519" s="274" t="s">
        <v>8987</v>
      </c>
    </row>
    <row r="520" spans="1:5" ht="40.5">
      <c r="A520" s="271">
        <v>95715</v>
      </c>
      <c r="B520" s="272" t="s">
        <v>636</v>
      </c>
      <c r="C520" s="272" t="s">
        <v>215</v>
      </c>
      <c r="D520" s="273" t="s">
        <v>21495</v>
      </c>
      <c r="E520" s="274" t="s">
        <v>8987</v>
      </c>
    </row>
    <row r="521" spans="1:5" ht="40.5">
      <c r="A521" s="271">
        <v>95721</v>
      </c>
      <c r="B521" s="272" t="s">
        <v>637</v>
      </c>
      <c r="C521" s="272" t="s">
        <v>215</v>
      </c>
      <c r="D521" s="273" t="s">
        <v>21496</v>
      </c>
      <c r="E521" s="274" t="s">
        <v>8987</v>
      </c>
    </row>
    <row r="522" spans="1:5" ht="27">
      <c r="A522" s="271">
        <v>95873</v>
      </c>
      <c r="B522" s="272" t="s">
        <v>638</v>
      </c>
      <c r="C522" s="272" t="s">
        <v>215</v>
      </c>
      <c r="D522" s="273" t="s">
        <v>9813</v>
      </c>
      <c r="E522" s="274" t="s">
        <v>8987</v>
      </c>
    </row>
    <row r="523" spans="1:5" ht="27">
      <c r="A523" s="271">
        <v>96014</v>
      </c>
      <c r="B523" s="272" t="s">
        <v>639</v>
      </c>
      <c r="C523" s="272" t="s">
        <v>215</v>
      </c>
      <c r="D523" s="273" t="s">
        <v>12355</v>
      </c>
      <c r="E523" s="274" t="s">
        <v>8987</v>
      </c>
    </row>
    <row r="524" spans="1:5" ht="27">
      <c r="A524" s="271">
        <v>96021</v>
      </c>
      <c r="B524" s="272" t="s">
        <v>640</v>
      </c>
      <c r="C524" s="272" t="s">
        <v>215</v>
      </c>
      <c r="D524" s="273" t="s">
        <v>12357</v>
      </c>
      <c r="E524" s="274" t="s">
        <v>8987</v>
      </c>
    </row>
    <row r="525" spans="1:5" ht="27">
      <c r="A525" s="271">
        <v>96029</v>
      </c>
      <c r="B525" s="272" t="s">
        <v>641</v>
      </c>
      <c r="C525" s="272" t="s">
        <v>215</v>
      </c>
      <c r="D525" s="273" t="s">
        <v>21497</v>
      </c>
      <c r="E525" s="274" t="s">
        <v>8987</v>
      </c>
    </row>
    <row r="526" spans="1:5" ht="27">
      <c r="A526" s="271">
        <v>96036</v>
      </c>
      <c r="B526" s="272" t="s">
        <v>642</v>
      </c>
      <c r="C526" s="272" t="s">
        <v>215</v>
      </c>
      <c r="D526" s="273" t="s">
        <v>21498</v>
      </c>
      <c r="E526" s="274" t="s">
        <v>8987</v>
      </c>
    </row>
    <row r="527" spans="1:5" ht="27">
      <c r="A527" s="271">
        <v>96155</v>
      </c>
      <c r="B527" s="272" t="s">
        <v>643</v>
      </c>
      <c r="C527" s="272" t="s">
        <v>215</v>
      </c>
      <c r="D527" s="273" t="s">
        <v>21499</v>
      </c>
      <c r="E527" s="274" t="s">
        <v>8987</v>
      </c>
    </row>
    <row r="528" spans="1:5" ht="27">
      <c r="A528" s="271">
        <v>96156</v>
      </c>
      <c r="B528" s="272" t="s">
        <v>644</v>
      </c>
      <c r="C528" s="272" t="s">
        <v>215</v>
      </c>
      <c r="D528" s="273" t="s">
        <v>14198</v>
      </c>
      <c r="E528" s="274" t="s">
        <v>8987</v>
      </c>
    </row>
    <row r="529" spans="1:5" ht="27">
      <c r="A529" s="271">
        <v>96159</v>
      </c>
      <c r="B529" s="272" t="s">
        <v>645</v>
      </c>
      <c r="C529" s="272" t="s">
        <v>215</v>
      </c>
      <c r="D529" s="273" t="s">
        <v>21500</v>
      </c>
      <c r="E529" s="274" t="s">
        <v>8987</v>
      </c>
    </row>
    <row r="530" spans="1:5" ht="27">
      <c r="A530" s="271">
        <v>96246</v>
      </c>
      <c r="B530" s="272" t="s">
        <v>646</v>
      </c>
      <c r="C530" s="272" t="s">
        <v>215</v>
      </c>
      <c r="D530" s="273" t="s">
        <v>21501</v>
      </c>
      <c r="E530" s="274" t="s">
        <v>8987</v>
      </c>
    </row>
    <row r="531" spans="1:5" ht="27">
      <c r="A531" s="271">
        <v>96302</v>
      </c>
      <c r="B531" s="272" t="s">
        <v>647</v>
      </c>
      <c r="C531" s="272" t="s">
        <v>215</v>
      </c>
      <c r="D531" s="273" t="s">
        <v>16405</v>
      </c>
      <c r="E531" s="274" t="s">
        <v>8987</v>
      </c>
    </row>
    <row r="532" spans="1:5" ht="27">
      <c r="A532" s="271">
        <v>96464</v>
      </c>
      <c r="B532" s="272" t="s">
        <v>648</v>
      </c>
      <c r="C532" s="272" t="s">
        <v>215</v>
      </c>
      <c r="D532" s="273" t="s">
        <v>10366</v>
      </c>
      <c r="E532" s="274" t="s">
        <v>8987</v>
      </c>
    </row>
    <row r="533" spans="1:5" ht="27">
      <c r="A533" s="271">
        <v>98765</v>
      </c>
      <c r="B533" s="272" t="s">
        <v>3821</v>
      </c>
      <c r="C533" s="272" t="s">
        <v>215</v>
      </c>
      <c r="D533" s="273" t="s">
        <v>9865</v>
      </c>
      <c r="E533" s="274" t="s">
        <v>8987</v>
      </c>
    </row>
    <row r="534" spans="1:5" ht="27">
      <c r="A534" s="271">
        <v>99834</v>
      </c>
      <c r="B534" s="272" t="s">
        <v>3822</v>
      </c>
      <c r="C534" s="272" t="s">
        <v>215</v>
      </c>
      <c r="D534" s="273" t="s">
        <v>9942</v>
      </c>
      <c r="E534" s="274" t="s">
        <v>8987</v>
      </c>
    </row>
    <row r="535" spans="1:5" ht="27">
      <c r="A535" s="271">
        <v>100642</v>
      </c>
      <c r="B535" s="272" t="s">
        <v>9038</v>
      </c>
      <c r="C535" s="272" t="s">
        <v>215</v>
      </c>
      <c r="D535" s="273" t="s">
        <v>14264</v>
      </c>
      <c r="E535" s="274" t="s">
        <v>8987</v>
      </c>
    </row>
    <row r="536" spans="1:5" ht="13.5">
      <c r="A536" s="271">
        <v>100648</v>
      </c>
      <c r="B536" s="272" t="s">
        <v>9039</v>
      </c>
      <c r="C536" s="272" t="s">
        <v>215</v>
      </c>
      <c r="D536" s="273" t="s">
        <v>21502</v>
      </c>
      <c r="E536" s="274" t="s">
        <v>8987</v>
      </c>
    </row>
    <row r="537" spans="1:5" ht="27">
      <c r="A537" s="271">
        <v>102274</v>
      </c>
      <c r="B537" s="272" t="s">
        <v>12535</v>
      </c>
      <c r="C537" s="272" t="s">
        <v>215</v>
      </c>
      <c r="D537" s="273" t="s">
        <v>15822</v>
      </c>
      <c r="E537" s="274" t="s">
        <v>8987</v>
      </c>
    </row>
    <row r="538" spans="1:5" ht="40.5">
      <c r="A538" s="271">
        <v>5089</v>
      </c>
      <c r="B538" s="272" t="s">
        <v>649</v>
      </c>
      <c r="C538" s="272" t="s">
        <v>206</v>
      </c>
      <c r="D538" s="273" t="s">
        <v>10444</v>
      </c>
      <c r="E538" s="274" t="s">
        <v>8987</v>
      </c>
    </row>
    <row r="539" spans="1:5" ht="27">
      <c r="A539" s="271">
        <v>5627</v>
      </c>
      <c r="B539" s="272" t="s">
        <v>650</v>
      </c>
      <c r="C539" s="272" t="s">
        <v>206</v>
      </c>
      <c r="D539" s="273" t="s">
        <v>21503</v>
      </c>
      <c r="E539" s="274" t="s">
        <v>8987</v>
      </c>
    </row>
    <row r="540" spans="1:5" ht="27">
      <c r="A540" s="271">
        <v>5628</v>
      </c>
      <c r="B540" s="272" t="s">
        <v>651</v>
      </c>
      <c r="C540" s="272" t="s">
        <v>206</v>
      </c>
      <c r="D540" s="273" t="s">
        <v>21504</v>
      </c>
      <c r="E540" s="498" t="s">
        <v>8987</v>
      </c>
    </row>
    <row r="541" spans="1:5" ht="27">
      <c r="A541" s="271">
        <v>5629</v>
      </c>
      <c r="B541" s="272" t="s">
        <v>652</v>
      </c>
      <c r="C541" s="272" t="s">
        <v>206</v>
      </c>
      <c r="D541" s="273" t="s">
        <v>21505</v>
      </c>
      <c r="E541" s="498" t="s">
        <v>8987</v>
      </c>
    </row>
    <row r="542" spans="1:5" ht="27">
      <c r="A542" s="271">
        <v>5630</v>
      </c>
      <c r="B542" s="272" t="s">
        <v>653</v>
      </c>
      <c r="C542" s="272" t="s">
        <v>206</v>
      </c>
      <c r="D542" s="273" t="s">
        <v>21506</v>
      </c>
      <c r="E542" s="498" t="s">
        <v>8987</v>
      </c>
    </row>
    <row r="543" spans="1:5" ht="27">
      <c r="A543" s="271">
        <v>5658</v>
      </c>
      <c r="B543" s="272" t="s">
        <v>654</v>
      </c>
      <c r="C543" s="272" t="s">
        <v>206</v>
      </c>
      <c r="D543" s="273" t="s">
        <v>9831</v>
      </c>
      <c r="E543" s="498" t="s">
        <v>8987</v>
      </c>
    </row>
    <row r="544" spans="1:5" ht="40.5">
      <c r="A544" s="271">
        <v>5664</v>
      </c>
      <c r="B544" s="272" t="s">
        <v>655</v>
      </c>
      <c r="C544" s="272" t="s">
        <v>206</v>
      </c>
      <c r="D544" s="273" t="s">
        <v>16435</v>
      </c>
      <c r="E544" s="498" t="s">
        <v>8987</v>
      </c>
    </row>
    <row r="545" spans="1:5" ht="40.5">
      <c r="A545" s="271">
        <v>5667</v>
      </c>
      <c r="B545" s="272" t="s">
        <v>656</v>
      </c>
      <c r="C545" s="272" t="s">
        <v>206</v>
      </c>
      <c r="D545" s="273" t="s">
        <v>11430</v>
      </c>
      <c r="E545" s="498" t="s">
        <v>8987</v>
      </c>
    </row>
    <row r="546" spans="1:5" ht="40.5">
      <c r="A546" s="271">
        <v>5668</v>
      </c>
      <c r="B546" s="272" t="s">
        <v>657</v>
      </c>
      <c r="C546" s="272" t="s">
        <v>206</v>
      </c>
      <c r="D546" s="273" t="s">
        <v>21507</v>
      </c>
      <c r="E546" s="498" t="s">
        <v>8987</v>
      </c>
    </row>
    <row r="547" spans="1:5" ht="40.5">
      <c r="A547" s="271">
        <v>5674</v>
      </c>
      <c r="B547" s="272" t="s">
        <v>658</v>
      </c>
      <c r="C547" s="272" t="s">
        <v>206</v>
      </c>
      <c r="D547" s="273" t="s">
        <v>14138</v>
      </c>
      <c r="E547" s="498" t="s">
        <v>8987</v>
      </c>
    </row>
    <row r="548" spans="1:5" ht="40.5">
      <c r="A548" s="271">
        <v>5692</v>
      </c>
      <c r="B548" s="272" t="s">
        <v>659</v>
      </c>
      <c r="C548" s="272" t="s">
        <v>206</v>
      </c>
      <c r="D548" s="273" t="s">
        <v>11132</v>
      </c>
      <c r="E548" s="498" t="s">
        <v>8987</v>
      </c>
    </row>
    <row r="549" spans="1:5" ht="40.5">
      <c r="A549" s="271">
        <v>5693</v>
      </c>
      <c r="B549" s="272" t="s">
        <v>660</v>
      </c>
      <c r="C549" s="272" t="s">
        <v>206</v>
      </c>
      <c r="D549" s="273" t="s">
        <v>12184</v>
      </c>
      <c r="E549" s="498" t="s">
        <v>8987</v>
      </c>
    </row>
    <row r="550" spans="1:5" ht="40.5">
      <c r="A550" s="271">
        <v>5695</v>
      </c>
      <c r="B550" s="272" t="s">
        <v>661</v>
      </c>
      <c r="C550" s="272" t="s">
        <v>206</v>
      </c>
      <c r="D550" s="273" t="s">
        <v>11016</v>
      </c>
      <c r="E550" s="498" t="s">
        <v>8987</v>
      </c>
    </row>
    <row r="551" spans="1:5" ht="27">
      <c r="A551" s="271">
        <v>5703</v>
      </c>
      <c r="B551" s="272" t="s">
        <v>662</v>
      </c>
      <c r="C551" s="272" t="s">
        <v>206</v>
      </c>
      <c r="D551" s="273" t="s">
        <v>15983</v>
      </c>
      <c r="E551" s="498" t="s">
        <v>8987</v>
      </c>
    </row>
    <row r="552" spans="1:5" ht="40.5">
      <c r="A552" s="271">
        <v>5705</v>
      </c>
      <c r="B552" s="272" t="s">
        <v>663</v>
      </c>
      <c r="C552" s="272" t="s">
        <v>206</v>
      </c>
      <c r="D552" s="273" t="s">
        <v>14132</v>
      </c>
      <c r="E552" s="498" t="s">
        <v>8987</v>
      </c>
    </row>
    <row r="553" spans="1:5" ht="27">
      <c r="A553" s="271">
        <v>5707</v>
      </c>
      <c r="B553" s="272" t="s">
        <v>664</v>
      </c>
      <c r="C553" s="272" t="s">
        <v>206</v>
      </c>
      <c r="D553" s="273" t="s">
        <v>16556</v>
      </c>
      <c r="E553" s="498" t="s">
        <v>8987</v>
      </c>
    </row>
    <row r="554" spans="1:5" ht="27">
      <c r="A554" s="271">
        <v>5710</v>
      </c>
      <c r="B554" s="272" t="s">
        <v>665</v>
      </c>
      <c r="C554" s="272" t="s">
        <v>206</v>
      </c>
      <c r="D554" s="273" t="s">
        <v>21508</v>
      </c>
      <c r="E554" s="498" t="s">
        <v>8987</v>
      </c>
    </row>
    <row r="555" spans="1:5" ht="27">
      <c r="A555" s="271">
        <v>5711</v>
      </c>
      <c r="B555" s="272" t="s">
        <v>666</v>
      </c>
      <c r="C555" s="272" t="s">
        <v>206</v>
      </c>
      <c r="D555" s="273" t="s">
        <v>21509</v>
      </c>
      <c r="E555" s="498" t="s">
        <v>8987</v>
      </c>
    </row>
    <row r="556" spans="1:5" ht="27">
      <c r="A556" s="271">
        <v>5714</v>
      </c>
      <c r="B556" s="272" t="s">
        <v>667</v>
      </c>
      <c r="C556" s="272" t="s">
        <v>206</v>
      </c>
      <c r="D556" s="273" t="s">
        <v>10336</v>
      </c>
      <c r="E556" s="498" t="s">
        <v>8987</v>
      </c>
    </row>
    <row r="557" spans="1:5" ht="27">
      <c r="A557" s="271">
        <v>5715</v>
      </c>
      <c r="B557" s="272" t="s">
        <v>668</v>
      </c>
      <c r="C557" s="272" t="s">
        <v>206</v>
      </c>
      <c r="D557" s="273" t="s">
        <v>15819</v>
      </c>
      <c r="E557" s="498" t="s">
        <v>8987</v>
      </c>
    </row>
    <row r="558" spans="1:5" ht="27">
      <c r="A558" s="271">
        <v>5718</v>
      </c>
      <c r="B558" s="272" t="s">
        <v>669</v>
      </c>
      <c r="C558" s="272" t="s">
        <v>206</v>
      </c>
      <c r="D558" s="273" t="s">
        <v>14166</v>
      </c>
      <c r="E558" s="498" t="s">
        <v>8987</v>
      </c>
    </row>
    <row r="559" spans="1:5" ht="27">
      <c r="A559" s="271">
        <v>5721</v>
      </c>
      <c r="B559" s="272" t="s">
        <v>670</v>
      </c>
      <c r="C559" s="272" t="s">
        <v>206</v>
      </c>
      <c r="D559" s="273" t="s">
        <v>21510</v>
      </c>
      <c r="E559" s="498" t="s">
        <v>8987</v>
      </c>
    </row>
    <row r="560" spans="1:5" ht="27">
      <c r="A560" s="271">
        <v>5722</v>
      </c>
      <c r="B560" s="272" t="s">
        <v>671</v>
      </c>
      <c r="C560" s="272" t="s">
        <v>206</v>
      </c>
      <c r="D560" s="273" t="s">
        <v>21511</v>
      </c>
      <c r="E560" s="498" t="s">
        <v>8987</v>
      </c>
    </row>
    <row r="561" spans="1:5" ht="27">
      <c r="A561" s="271">
        <v>5724</v>
      </c>
      <c r="B561" s="272" t="s">
        <v>672</v>
      </c>
      <c r="C561" s="272" t="s">
        <v>206</v>
      </c>
      <c r="D561" s="273" t="s">
        <v>21512</v>
      </c>
      <c r="E561" s="498" t="s">
        <v>8987</v>
      </c>
    </row>
    <row r="562" spans="1:5" ht="40.5">
      <c r="A562" s="271">
        <v>5727</v>
      </c>
      <c r="B562" s="272" t="s">
        <v>673</v>
      </c>
      <c r="C562" s="272" t="s">
        <v>206</v>
      </c>
      <c r="D562" s="273" t="s">
        <v>10587</v>
      </c>
      <c r="E562" s="498" t="s">
        <v>8987</v>
      </c>
    </row>
    <row r="563" spans="1:5" ht="27">
      <c r="A563" s="271">
        <v>5729</v>
      </c>
      <c r="B563" s="272" t="s">
        <v>674</v>
      </c>
      <c r="C563" s="272" t="s">
        <v>206</v>
      </c>
      <c r="D563" s="273" t="s">
        <v>12430</v>
      </c>
      <c r="E563" s="498" t="s">
        <v>8987</v>
      </c>
    </row>
    <row r="564" spans="1:5" ht="27">
      <c r="A564" s="271">
        <v>5730</v>
      </c>
      <c r="B564" s="272" t="s">
        <v>675</v>
      </c>
      <c r="C564" s="272" t="s">
        <v>206</v>
      </c>
      <c r="D564" s="273" t="s">
        <v>16136</v>
      </c>
      <c r="E564" s="498" t="s">
        <v>8987</v>
      </c>
    </row>
    <row r="565" spans="1:5" ht="40.5">
      <c r="A565" s="271">
        <v>5735</v>
      </c>
      <c r="B565" s="272" t="s">
        <v>676</v>
      </c>
      <c r="C565" s="272" t="s">
        <v>206</v>
      </c>
      <c r="D565" s="273" t="s">
        <v>11249</v>
      </c>
      <c r="E565" s="498" t="s">
        <v>8987</v>
      </c>
    </row>
    <row r="566" spans="1:5" ht="40.5">
      <c r="A566" s="271">
        <v>5736</v>
      </c>
      <c r="B566" s="272" t="s">
        <v>677</v>
      </c>
      <c r="C566" s="272" t="s">
        <v>206</v>
      </c>
      <c r="D566" s="273" t="s">
        <v>11225</v>
      </c>
      <c r="E566" s="498" t="s">
        <v>8987</v>
      </c>
    </row>
    <row r="567" spans="1:5" ht="40.5">
      <c r="A567" s="271">
        <v>5738</v>
      </c>
      <c r="B567" s="272" t="s">
        <v>678</v>
      </c>
      <c r="C567" s="272" t="s">
        <v>206</v>
      </c>
      <c r="D567" s="273" t="s">
        <v>10642</v>
      </c>
      <c r="E567" s="498" t="s">
        <v>8987</v>
      </c>
    </row>
    <row r="568" spans="1:5" ht="40.5">
      <c r="A568" s="271">
        <v>5739</v>
      </c>
      <c r="B568" s="272" t="s">
        <v>679</v>
      </c>
      <c r="C568" s="272" t="s">
        <v>206</v>
      </c>
      <c r="D568" s="273" t="s">
        <v>21513</v>
      </c>
      <c r="E568" s="498" t="s">
        <v>8987</v>
      </c>
    </row>
    <row r="569" spans="1:5" ht="40.5">
      <c r="A569" s="271">
        <v>5741</v>
      </c>
      <c r="B569" s="272" t="s">
        <v>680</v>
      </c>
      <c r="C569" s="272" t="s">
        <v>206</v>
      </c>
      <c r="D569" s="273" t="s">
        <v>19294</v>
      </c>
      <c r="E569" s="498" t="s">
        <v>8987</v>
      </c>
    </row>
    <row r="570" spans="1:5" ht="40.5">
      <c r="A570" s="271">
        <v>5742</v>
      </c>
      <c r="B570" s="272" t="s">
        <v>681</v>
      </c>
      <c r="C570" s="272" t="s">
        <v>206</v>
      </c>
      <c r="D570" s="273" t="s">
        <v>21514</v>
      </c>
      <c r="E570" s="498" t="s">
        <v>8987</v>
      </c>
    </row>
    <row r="571" spans="1:5" ht="40.5">
      <c r="A571" s="271">
        <v>5747</v>
      </c>
      <c r="B571" s="272" t="s">
        <v>682</v>
      </c>
      <c r="C571" s="272" t="s">
        <v>206</v>
      </c>
      <c r="D571" s="273" t="s">
        <v>21515</v>
      </c>
      <c r="E571" s="498" t="s">
        <v>8987</v>
      </c>
    </row>
    <row r="572" spans="1:5" ht="27">
      <c r="A572" s="271">
        <v>5751</v>
      </c>
      <c r="B572" s="272" t="s">
        <v>683</v>
      </c>
      <c r="C572" s="272" t="s">
        <v>206</v>
      </c>
      <c r="D572" s="273" t="s">
        <v>21516</v>
      </c>
      <c r="E572" s="498" t="s">
        <v>8987</v>
      </c>
    </row>
    <row r="573" spans="1:5" ht="27">
      <c r="A573" s="271">
        <v>5754</v>
      </c>
      <c r="B573" s="272" t="s">
        <v>684</v>
      </c>
      <c r="C573" s="272" t="s">
        <v>206</v>
      </c>
      <c r="D573" s="273" t="s">
        <v>21517</v>
      </c>
      <c r="E573" s="498" t="s">
        <v>8987</v>
      </c>
    </row>
    <row r="574" spans="1:5" ht="40.5">
      <c r="A574" s="271">
        <v>5763</v>
      </c>
      <c r="B574" s="272" t="s">
        <v>685</v>
      </c>
      <c r="C574" s="272" t="s">
        <v>206</v>
      </c>
      <c r="D574" s="273" t="s">
        <v>21518</v>
      </c>
      <c r="E574" s="498" t="s">
        <v>8987</v>
      </c>
    </row>
    <row r="575" spans="1:5" ht="27">
      <c r="A575" s="271">
        <v>5765</v>
      </c>
      <c r="B575" s="272" t="s">
        <v>686</v>
      </c>
      <c r="C575" s="272" t="s">
        <v>206</v>
      </c>
      <c r="D575" s="273" t="s">
        <v>9919</v>
      </c>
      <c r="E575" s="498" t="s">
        <v>8987</v>
      </c>
    </row>
    <row r="576" spans="1:5" ht="27">
      <c r="A576" s="271">
        <v>5766</v>
      </c>
      <c r="B576" s="272" t="s">
        <v>687</v>
      </c>
      <c r="C576" s="272" t="s">
        <v>206</v>
      </c>
      <c r="D576" s="273" t="s">
        <v>11440</v>
      </c>
      <c r="E576" s="498" t="s">
        <v>8987</v>
      </c>
    </row>
    <row r="577" spans="1:5" ht="27">
      <c r="A577" s="271">
        <v>5779</v>
      </c>
      <c r="B577" s="272" t="s">
        <v>688</v>
      </c>
      <c r="C577" s="272" t="s">
        <v>206</v>
      </c>
      <c r="D577" s="273" t="s">
        <v>19768</v>
      </c>
      <c r="E577" s="498" t="s">
        <v>8987</v>
      </c>
    </row>
    <row r="578" spans="1:5" ht="27">
      <c r="A578" s="271">
        <v>5787</v>
      </c>
      <c r="B578" s="272" t="s">
        <v>689</v>
      </c>
      <c r="C578" s="272" t="s">
        <v>206</v>
      </c>
      <c r="D578" s="273" t="s">
        <v>21519</v>
      </c>
      <c r="E578" s="498" t="s">
        <v>8987</v>
      </c>
    </row>
    <row r="579" spans="1:5" ht="27">
      <c r="A579" s="271">
        <v>5797</v>
      </c>
      <c r="B579" s="272" t="s">
        <v>690</v>
      </c>
      <c r="C579" s="272" t="s">
        <v>206</v>
      </c>
      <c r="D579" s="273" t="s">
        <v>10656</v>
      </c>
      <c r="E579" s="498" t="s">
        <v>8987</v>
      </c>
    </row>
    <row r="580" spans="1:5" ht="40.5">
      <c r="A580" s="271">
        <v>5800</v>
      </c>
      <c r="B580" s="272" t="s">
        <v>691</v>
      </c>
      <c r="C580" s="272" t="s">
        <v>206</v>
      </c>
      <c r="D580" s="273" t="s">
        <v>9848</v>
      </c>
      <c r="E580" s="498" t="s">
        <v>8987</v>
      </c>
    </row>
    <row r="581" spans="1:5" ht="27">
      <c r="A581" s="271">
        <v>7032</v>
      </c>
      <c r="B581" s="272" t="s">
        <v>692</v>
      </c>
      <c r="C581" s="272" t="s">
        <v>206</v>
      </c>
      <c r="D581" s="273" t="s">
        <v>16489</v>
      </c>
      <c r="E581" s="498" t="s">
        <v>8987</v>
      </c>
    </row>
    <row r="582" spans="1:5" ht="27">
      <c r="A582" s="271">
        <v>7033</v>
      </c>
      <c r="B582" s="272" t="s">
        <v>693</v>
      </c>
      <c r="C582" s="272" t="s">
        <v>206</v>
      </c>
      <c r="D582" s="273" t="s">
        <v>9844</v>
      </c>
      <c r="E582" s="498" t="s">
        <v>8987</v>
      </c>
    </row>
    <row r="583" spans="1:5" ht="27">
      <c r="A583" s="271">
        <v>7034</v>
      </c>
      <c r="B583" s="272" t="s">
        <v>694</v>
      </c>
      <c r="C583" s="272" t="s">
        <v>206</v>
      </c>
      <c r="D583" s="273" t="s">
        <v>12237</v>
      </c>
      <c r="E583" s="498" t="s">
        <v>8987</v>
      </c>
    </row>
    <row r="584" spans="1:5" ht="27">
      <c r="A584" s="271">
        <v>7035</v>
      </c>
      <c r="B584" s="272" t="s">
        <v>695</v>
      </c>
      <c r="C584" s="272" t="s">
        <v>206</v>
      </c>
      <c r="D584" s="273" t="s">
        <v>21520</v>
      </c>
      <c r="E584" s="498" t="s">
        <v>8987</v>
      </c>
    </row>
    <row r="585" spans="1:5" ht="27">
      <c r="A585" s="271">
        <v>7038</v>
      </c>
      <c r="B585" s="272" t="s">
        <v>696</v>
      </c>
      <c r="C585" s="272" t="s">
        <v>206</v>
      </c>
      <c r="D585" s="273" t="s">
        <v>21521</v>
      </c>
      <c r="E585" s="498" t="s">
        <v>8987</v>
      </c>
    </row>
    <row r="586" spans="1:5" ht="27">
      <c r="A586" s="271">
        <v>7039</v>
      </c>
      <c r="B586" s="272" t="s">
        <v>697</v>
      </c>
      <c r="C586" s="272" t="s">
        <v>206</v>
      </c>
      <c r="D586" s="273" t="s">
        <v>19225</v>
      </c>
      <c r="E586" s="498" t="s">
        <v>8987</v>
      </c>
    </row>
    <row r="587" spans="1:5" ht="27">
      <c r="A587" s="271">
        <v>7040</v>
      </c>
      <c r="B587" s="272" t="s">
        <v>698</v>
      </c>
      <c r="C587" s="272" t="s">
        <v>206</v>
      </c>
      <c r="D587" s="273" t="s">
        <v>21507</v>
      </c>
      <c r="E587" s="498" t="s">
        <v>8987</v>
      </c>
    </row>
    <row r="588" spans="1:5" ht="40.5">
      <c r="A588" s="271">
        <v>7044</v>
      </c>
      <c r="B588" s="272" t="s">
        <v>699</v>
      </c>
      <c r="C588" s="272" t="s">
        <v>206</v>
      </c>
      <c r="D588" s="273" t="s">
        <v>9847</v>
      </c>
      <c r="E588" s="498" t="s">
        <v>8987</v>
      </c>
    </row>
    <row r="589" spans="1:5" ht="40.5">
      <c r="A589" s="271">
        <v>7045</v>
      </c>
      <c r="B589" s="272" t="s">
        <v>700</v>
      </c>
      <c r="C589" s="272" t="s">
        <v>206</v>
      </c>
      <c r="D589" s="273" t="s">
        <v>9917</v>
      </c>
      <c r="E589" s="498" t="s">
        <v>8987</v>
      </c>
    </row>
    <row r="590" spans="1:5" ht="40.5">
      <c r="A590" s="271">
        <v>7046</v>
      </c>
      <c r="B590" s="272" t="s">
        <v>701</v>
      </c>
      <c r="C590" s="272" t="s">
        <v>206</v>
      </c>
      <c r="D590" s="273" t="s">
        <v>9890</v>
      </c>
      <c r="E590" s="498" t="s">
        <v>8987</v>
      </c>
    </row>
    <row r="591" spans="1:5" ht="40.5">
      <c r="A591" s="271">
        <v>7047</v>
      </c>
      <c r="B591" s="272" t="s">
        <v>702</v>
      </c>
      <c r="C591" s="272" t="s">
        <v>206</v>
      </c>
      <c r="D591" s="273" t="s">
        <v>18771</v>
      </c>
      <c r="E591" s="498" t="s">
        <v>8987</v>
      </c>
    </row>
    <row r="592" spans="1:5" ht="40.5">
      <c r="A592" s="271">
        <v>7051</v>
      </c>
      <c r="B592" s="272" t="s">
        <v>703</v>
      </c>
      <c r="C592" s="272" t="s">
        <v>206</v>
      </c>
      <c r="D592" s="273" t="s">
        <v>21522</v>
      </c>
      <c r="E592" s="498" t="s">
        <v>8987</v>
      </c>
    </row>
    <row r="593" spans="1:5" ht="40.5">
      <c r="A593" s="271">
        <v>7052</v>
      </c>
      <c r="B593" s="272" t="s">
        <v>704</v>
      </c>
      <c r="C593" s="272" t="s">
        <v>206</v>
      </c>
      <c r="D593" s="273" t="s">
        <v>9996</v>
      </c>
      <c r="E593" s="498" t="s">
        <v>8987</v>
      </c>
    </row>
    <row r="594" spans="1:5" ht="40.5">
      <c r="A594" s="271">
        <v>7053</v>
      </c>
      <c r="B594" s="272" t="s">
        <v>705</v>
      </c>
      <c r="C594" s="272" t="s">
        <v>206</v>
      </c>
      <c r="D594" s="273" t="s">
        <v>21523</v>
      </c>
      <c r="E594" s="498" t="s">
        <v>8987</v>
      </c>
    </row>
    <row r="595" spans="1:5" ht="40.5">
      <c r="A595" s="271">
        <v>7054</v>
      </c>
      <c r="B595" s="272" t="s">
        <v>706</v>
      </c>
      <c r="C595" s="272" t="s">
        <v>206</v>
      </c>
      <c r="D595" s="273" t="s">
        <v>21524</v>
      </c>
      <c r="E595" s="498" t="s">
        <v>8987</v>
      </c>
    </row>
    <row r="596" spans="1:5" ht="40.5">
      <c r="A596" s="271">
        <v>7058</v>
      </c>
      <c r="B596" s="272" t="s">
        <v>707</v>
      </c>
      <c r="C596" s="272" t="s">
        <v>206</v>
      </c>
      <c r="D596" s="273" t="s">
        <v>10320</v>
      </c>
      <c r="E596" s="498" t="s">
        <v>8987</v>
      </c>
    </row>
    <row r="597" spans="1:5" ht="40.5">
      <c r="A597" s="271">
        <v>7059</v>
      </c>
      <c r="B597" s="272" t="s">
        <v>708</v>
      </c>
      <c r="C597" s="272" t="s">
        <v>206</v>
      </c>
      <c r="D597" s="273" t="s">
        <v>10042</v>
      </c>
      <c r="E597" s="498" t="s">
        <v>8987</v>
      </c>
    </row>
    <row r="598" spans="1:5" ht="40.5">
      <c r="A598" s="271">
        <v>7060</v>
      </c>
      <c r="B598" s="272" t="s">
        <v>709</v>
      </c>
      <c r="C598" s="272" t="s">
        <v>206</v>
      </c>
      <c r="D598" s="273" t="s">
        <v>19944</v>
      </c>
      <c r="E598" s="498" t="s">
        <v>8987</v>
      </c>
    </row>
    <row r="599" spans="1:5" ht="40.5">
      <c r="A599" s="271">
        <v>7061</v>
      </c>
      <c r="B599" s="272" t="s">
        <v>710</v>
      </c>
      <c r="C599" s="272" t="s">
        <v>206</v>
      </c>
      <c r="D599" s="273" t="s">
        <v>21525</v>
      </c>
      <c r="E599" s="498" t="s">
        <v>8987</v>
      </c>
    </row>
    <row r="600" spans="1:5" ht="27">
      <c r="A600" s="271">
        <v>7063</v>
      </c>
      <c r="B600" s="272" t="s">
        <v>711</v>
      </c>
      <c r="C600" s="272" t="s">
        <v>206</v>
      </c>
      <c r="D600" s="273" t="s">
        <v>10470</v>
      </c>
      <c r="E600" s="498" t="s">
        <v>8987</v>
      </c>
    </row>
    <row r="601" spans="1:5" ht="27">
      <c r="A601" s="271">
        <v>7064</v>
      </c>
      <c r="B601" s="272" t="s">
        <v>712</v>
      </c>
      <c r="C601" s="272" t="s">
        <v>206</v>
      </c>
      <c r="D601" s="273" t="s">
        <v>11561</v>
      </c>
      <c r="E601" s="498" t="s">
        <v>8987</v>
      </c>
    </row>
    <row r="602" spans="1:5" ht="27">
      <c r="A602" s="271">
        <v>7065</v>
      </c>
      <c r="B602" s="272" t="s">
        <v>713</v>
      </c>
      <c r="C602" s="272" t="s">
        <v>206</v>
      </c>
      <c r="D602" s="273" t="s">
        <v>11341</v>
      </c>
      <c r="E602" s="498" t="s">
        <v>8987</v>
      </c>
    </row>
    <row r="603" spans="1:5" ht="27">
      <c r="A603" s="271">
        <v>7066</v>
      </c>
      <c r="B603" s="272" t="s">
        <v>714</v>
      </c>
      <c r="C603" s="272" t="s">
        <v>206</v>
      </c>
      <c r="D603" s="273" t="s">
        <v>21526</v>
      </c>
      <c r="E603" s="498" t="s">
        <v>8987</v>
      </c>
    </row>
    <row r="604" spans="1:5" ht="40.5">
      <c r="A604" s="271">
        <v>53786</v>
      </c>
      <c r="B604" s="272" t="s">
        <v>715</v>
      </c>
      <c r="C604" s="272" t="s">
        <v>206</v>
      </c>
      <c r="D604" s="273" t="s">
        <v>21527</v>
      </c>
      <c r="E604" s="498" t="s">
        <v>8987</v>
      </c>
    </row>
    <row r="605" spans="1:5" ht="40.5">
      <c r="A605" s="271">
        <v>53788</v>
      </c>
      <c r="B605" s="272" t="s">
        <v>716</v>
      </c>
      <c r="C605" s="272" t="s">
        <v>206</v>
      </c>
      <c r="D605" s="273" t="s">
        <v>16551</v>
      </c>
      <c r="E605" s="498" t="s">
        <v>8987</v>
      </c>
    </row>
    <row r="606" spans="1:5" ht="40.5">
      <c r="A606" s="271">
        <v>53792</v>
      </c>
      <c r="B606" s="272" t="s">
        <v>717</v>
      </c>
      <c r="C606" s="272" t="s">
        <v>206</v>
      </c>
      <c r="D606" s="273" t="s">
        <v>21528</v>
      </c>
      <c r="E606" s="498" t="s">
        <v>8987</v>
      </c>
    </row>
    <row r="607" spans="1:5" ht="27">
      <c r="A607" s="271">
        <v>53794</v>
      </c>
      <c r="B607" s="272" t="s">
        <v>718</v>
      </c>
      <c r="C607" s="272" t="s">
        <v>206</v>
      </c>
      <c r="D607" s="273" t="s">
        <v>9901</v>
      </c>
      <c r="E607" s="498" t="s">
        <v>8987</v>
      </c>
    </row>
    <row r="608" spans="1:5" ht="40.5">
      <c r="A608" s="271">
        <v>53797</v>
      </c>
      <c r="B608" s="272" t="s">
        <v>719</v>
      </c>
      <c r="C608" s="272" t="s">
        <v>206</v>
      </c>
      <c r="D608" s="273" t="s">
        <v>21529</v>
      </c>
      <c r="E608" s="498" t="s">
        <v>8987</v>
      </c>
    </row>
    <row r="609" spans="1:5" ht="27">
      <c r="A609" s="271">
        <v>53804</v>
      </c>
      <c r="B609" s="272" t="s">
        <v>720</v>
      </c>
      <c r="C609" s="272" t="s">
        <v>206</v>
      </c>
      <c r="D609" s="273" t="s">
        <v>10024</v>
      </c>
      <c r="E609" s="498" t="s">
        <v>8987</v>
      </c>
    </row>
    <row r="610" spans="1:5" ht="27">
      <c r="A610" s="271">
        <v>53806</v>
      </c>
      <c r="B610" s="272" t="s">
        <v>721</v>
      </c>
      <c r="C610" s="272" t="s">
        <v>206</v>
      </c>
      <c r="D610" s="273" t="s">
        <v>21490</v>
      </c>
      <c r="E610" s="498" t="s">
        <v>8987</v>
      </c>
    </row>
    <row r="611" spans="1:5" ht="27">
      <c r="A611" s="271">
        <v>53810</v>
      </c>
      <c r="B611" s="272" t="s">
        <v>722</v>
      </c>
      <c r="C611" s="272" t="s">
        <v>206</v>
      </c>
      <c r="D611" s="273" t="s">
        <v>21530</v>
      </c>
      <c r="E611" s="498" t="s">
        <v>8987</v>
      </c>
    </row>
    <row r="612" spans="1:5" ht="27">
      <c r="A612" s="271">
        <v>53814</v>
      </c>
      <c r="B612" s="272" t="s">
        <v>723</v>
      </c>
      <c r="C612" s="272" t="s">
        <v>206</v>
      </c>
      <c r="D612" s="273" t="s">
        <v>21531</v>
      </c>
      <c r="E612" s="498" t="s">
        <v>8987</v>
      </c>
    </row>
    <row r="613" spans="1:5" ht="27">
      <c r="A613" s="271">
        <v>53817</v>
      </c>
      <c r="B613" s="272" t="s">
        <v>724</v>
      </c>
      <c r="C613" s="272" t="s">
        <v>206</v>
      </c>
      <c r="D613" s="273" t="s">
        <v>21532</v>
      </c>
      <c r="E613" s="498" t="s">
        <v>8987</v>
      </c>
    </row>
    <row r="614" spans="1:5" ht="40.5">
      <c r="A614" s="271">
        <v>53818</v>
      </c>
      <c r="B614" s="272" t="s">
        <v>725</v>
      </c>
      <c r="C614" s="272" t="s">
        <v>206</v>
      </c>
      <c r="D614" s="273" t="s">
        <v>10229</v>
      </c>
      <c r="E614" s="498" t="s">
        <v>8987</v>
      </c>
    </row>
    <row r="615" spans="1:5" ht="40.5">
      <c r="A615" s="271">
        <v>53827</v>
      </c>
      <c r="B615" s="272" t="s">
        <v>726</v>
      </c>
      <c r="C615" s="272" t="s">
        <v>206</v>
      </c>
      <c r="D615" s="273" t="s">
        <v>21533</v>
      </c>
      <c r="E615" s="498" t="s">
        <v>8987</v>
      </c>
    </row>
    <row r="616" spans="1:5" ht="40.5">
      <c r="A616" s="271">
        <v>53829</v>
      </c>
      <c r="B616" s="272" t="s">
        <v>727</v>
      </c>
      <c r="C616" s="272" t="s">
        <v>206</v>
      </c>
      <c r="D616" s="273" t="s">
        <v>21529</v>
      </c>
      <c r="E616" s="498" t="s">
        <v>8987</v>
      </c>
    </row>
    <row r="617" spans="1:5" ht="40.5">
      <c r="A617" s="271">
        <v>53831</v>
      </c>
      <c r="B617" s="272" t="s">
        <v>728</v>
      </c>
      <c r="C617" s="272" t="s">
        <v>206</v>
      </c>
      <c r="D617" s="273" t="s">
        <v>21534</v>
      </c>
      <c r="E617" s="498" t="s">
        <v>8987</v>
      </c>
    </row>
    <row r="618" spans="1:5" ht="27">
      <c r="A618" s="271">
        <v>53840</v>
      </c>
      <c r="B618" s="272" t="s">
        <v>729</v>
      </c>
      <c r="C618" s="272" t="s">
        <v>206</v>
      </c>
      <c r="D618" s="273" t="s">
        <v>11162</v>
      </c>
      <c r="E618" s="498" t="s">
        <v>8987</v>
      </c>
    </row>
    <row r="619" spans="1:5" ht="27">
      <c r="A619" s="271">
        <v>53841</v>
      </c>
      <c r="B619" s="272" t="s">
        <v>730</v>
      </c>
      <c r="C619" s="272" t="s">
        <v>206</v>
      </c>
      <c r="D619" s="273" t="s">
        <v>9837</v>
      </c>
      <c r="E619" s="498" t="s">
        <v>8987</v>
      </c>
    </row>
    <row r="620" spans="1:5" ht="27">
      <c r="A620" s="271">
        <v>53849</v>
      </c>
      <c r="B620" s="272" t="s">
        <v>731</v>
      </c>
      <c r="C620" s="272" t="s">
        <v>206</v>
      </c>
      <c r="D620" s="273" t="s">
        <v>16378</v>
      </c>
      <c r="E620" s="498" t="s">
        <v>8987</v>
      </c>
    </row>
    <row r="621" spans="1:5" ht="27">
      <c r="A621" s="271">
        <v>53857</v>
      </c>
      <c r="B621" s="272" t="s">
        <v>732</v>
      </c>
      <c r="C621" s="272" t="s">
        <v>206</v>
      </c>
      <c r="D621" s="273" t="s">
        <v>11263</v>
      </c>
      <c r="E621" s="498" t="s">
        <v>8987</v>
      </c>
    </row>
    <row r="622" spans="1:5" ht="27">
      <c r="A622" s="271">
        <v>53858</v>
      </c>
      <c r="B622" s="272" t="s">
        <v>733</v>
      </c>
      <c r="C622" s="272" t="s">
        <v>206</v>
      </c>
      <c r="D622" s="273" t="s">
        <v>21535</v>
      </c>
      <c r="E622" s="498" t="s">
        <v>8987</v>
      </c>
    </row>
    <row r="623" spans="1:5" ht="27">
      <c r="A623" s="271">
        <v>53861</v>
      </c>
      <c r="B623" s="272" t="s">
        <v>734</v>
      </c>
      <c r="C623" s="272" t="s">
        <v>206</v>
      </c>
      <c r="D623" s="273" t="s">
        <v>21536</v>
      </c>
      <c r="E623" s="498" t="s">
        <v>8987</v>
      </c>
    </row>
    <row r="624" spans="1:5" ht="27">
      <c r="A624" s="271">
        <v>53863</v>
      </c>
      <c r="B624" s="272" t="s">
        <v>735</v>
      </c>
      <c r="C624" s="272" t="s">
        <v>206</v>
      </c>
      <c r="D624" s="273" t="s">
        <v>9770</v>
      </c>
      <c r="E624" s="498" t="s">
        <v>8987</v>
      </c>
    </row>
    <row r="625" spans="1:5" ht="27">
      <c r="A625" s="271">
        <v>53865</v>
      </c>
      <c r="B625" s="272" t="s">
        <v>736</v>
      </c>
      <c r="C625" s="272" t="s">
        <v>206</v>
      </c>
      <c r="D625" s="273" t="s">
        <v>16177</v>
      </c>
      <c r="E625" s="498" t="s">
        <v>8987</v>
      </c>
    </row>
    <row r="626" spans="1:5" ht="40.5">
      <c r="A626" s="271">
        <v>53866</v>
      </c>
      <c r="B626" s="272" t="s">
        <v>737</v>
      </c>
      <c r="C626" s="272" t="s">
        <v>206</v>
      </c>
      <c r="D626" s="273" t="s">
        <v>9907</v>
      </c>
      <c r="E626" s="498" t="s">
        <v>8987</v>
      </c>
    </row>
    <row r="627" spans="1:5" ht="40.5">
      <c r="A627" s="271">
        <v>53882</v>
      </c>
      <c r="B627" s="272" t="s">
        <v>738</v>
      </c>
      <c r="C627" s="272" t="s">
        <v>206</v>
      </c>
      <c r="D627" s="273" t="s">
        <v>10792</v>
      </c>
      <c r="E627" s="498" t="s">
        <v>8987</v>
      </c>
    </row>
    <row r="628" spans="1:5" ht="27">
      <c r="A628" s="271">
        <v>55263</v>
      </c>
      <c r="B628" s="272" t="s">
        <v>739</v>
      </c>
      <c r="C628" s="272" t="s">
        <v>206</v>
      </c>
      <c r="D628" s="273" t="s">
        <v>21506</v>
      </c>
      <c r="E628" s="498" t="s">
        <v>8987</v>
      </c>
    </row>
    <row r="629" spans="1:5" ht="13.5">
      <c r="A629" s="271">
        <v>73303</v>
      </c>
      <c r="B629" s="272" t="s">
        <v>740</v>
      </c>
      <c r="C629" s="272" t="s">
        <v>206</v>
      </c>
      <c r="D629" s="273" t="s">
        <v>10071</v>
      </c>
      <c r="E629" s="498" t="s">
        <v>8987</v>
      </c>
    </row>
    <row r="630" spans="1:5" ht="13.5">
      <c r="A630" s="271">
        <v>73307</v>
      </c>
      <c r="B630" s="272" t="s">
        <v>741</v>
      </c>
      <c r="C630" s="272" t="s">
        <v>206</v>
      </c>
      <c r="D630" s="273" t="s">
        <v>11403</v>
      </c>
      <c r="E630" s="498" t="s">
        <v>8987</v>
      </c>
    </row>
    <row r="631" spans="1:5" ht="40.5">
      <c r="A631" s="271">
        <v>73309</v>
      </c>
      <c r="B631" s="272" t="s">
        <v>742</v>
      </c>
      <c r="C631" s="272" t="s">
        <v>206</v>
      </c>
      <c r="D631" s="273" t="s">
        <v>16335</v>
      </c>
      <c r="E631" s="498" t="s">
        <v>8987</v>
      </c>
    </row>
    <row r="632" spans="1:5" ht="27">
      <c r="A632" s="271">
        <v>73311</v>
      </c>
      <c r="B632" s="272" t="s">
        <v>743</v>
      </c>
      <c r="C632" s="272" t="s">
        <v>206</v>
      </c>
      <c r="D632" s="273" t="s">
        <v>21537</v>
      </c>
      <c r="E632" s="498" t="s">
        <v>8987</v>
      </c>
    </row>
    <row r="633" spans="1:5" ht="40.5">
      <c r="A633" s="271">
        <v>73313</v>
      </c>
      <c r="B633" s="272" t="s">
        <v>744</v>
      </c>
      <c r="C633" s="272" t="s">
        <v>206</v>
      </c>
      <c r="D633" s="273" t="s">
        <v>21538</v>
      </c>
      <c r="E633" s="498" t="s">
        <v>8987</v>
      </c>
    </row>
    <row r="634" spans="1:5" ht="40.5">
      <c r="A634" s="271">
        <v>73315</v>
      </c>
      <c r="B634" s="272" t="s">
        <v>745</v>
      </c>
      <c r="C634" s="272" t="s">
        <v>206</v>
      </c>
      <c r="D634" s="273" t="s">
        <v>16551</v>
      </c>
      <c r="E634" s="498" t="s">
        <v>8987</v>
      </c>
    </row>
    <row r="635" spans="1:5" ht="40.5">
      <c r="A635" s="271">
        <v>73335</v>
      </c>
      <c r="B635" s="272" t="s">
        <v>746</v>
      </c>
      <c r="C635" s="272" t="s">
        <v>206</v>
      </c>
      <c r="D635" s="273" t="s">
        <v>12258</v>
      </c>
      <c r="E635" s="498" t="s">
        <v>8987</v>
      </c>
    </row>
    <row r="636" spans="1:5" ht="40.5">
      <c r="A636" s="271">
        <v>73340</v>
      </c>
      <c r="B636" s="272" t="s">
        <v>747</v>
      </c>
      <c r="C636" s="272" t="s">
        <v>206</v>
      </c>
      <c r="D636" s="273" t="s">
        <v>21525</v>
      </c>
      <c r="E636" s="498" t="s">
        <v>8987</v>
      </c>
    </row>
    <row r="637" spans="1:5" ht="40.5">
      <c r="A637" s="271">
        <v>83361</v>
      </c>
      <c r="B637" s="272" t="s">
        <v>748</v>
      </c>
      <c r="C637" s="272" t="s">
        <v>206</v>
      </c>
      <c r="D637" s="273" t="s">
        <v>10835</v>
      </c>
      <c r="E637" s="498" t="s">
        <v>8987</v>
      </c>
    </row>
    <row r="638" spans="1:5" ht="27">
      <c r="A638" s="271">
        <v>83761</v>
      </c>
      <c r="B638" s="272" t="s">
        <v>749</v>
      </c>
      <c r="C638" s="272" t="s">
        <v>206</v>
      </c>
      <c r="D638" s="273" t="s">
        <v>10556</v>
      </c>
      <c r="E638" s="498" t="s">
        <v>8987</v>
      </c>
    </row>
    <row r="639" spans="1:5" ht="27">
      <c r="A639" s="271">
        <v>83762</v>
      </c>
      <c r="B639" s="272" t="s">
        <v>750</v>
      </c>
      <c r="C639" s="272" t="s">
        <v>206</v>
      </c>
      <c r="D639" s="273" t="s">
        <v>14115</v>
      </c>
      <c r="E639" s="498" t="s">
        <v>8987</v>
      </c>
    </row>
    <row r="640" spans="1:5" ht="27">
      <c r="A640" s="271">
        <v>83763</v>
      </c>
      <c r="B640" s="272" t="s">
        <v>751</v>
      </c>
      <c r="C640" s="272" t="s">
        <v>206</v>
      </c>
      <c r="D640" s="273" t="s">
        <v>11404</v>
      </c>
      <c r="E640" s="498" t="s">
        <v>8987</v>
      </c>
    </row>
    <row r="641" spans="1:5" ht="27">
      <c r="A641" s="271">
        <v>83764</v>
      </c>
      <c r="B641" s="272" t="s">
        <v>752</v>
      </c>
      <c r="C641" s="272" t="s">
        <v>206</v>
      </c>
      <c r="D641" s="273" t="s">
        <v>9958</v>
      </c>
      <c r="E641" s="498" t="s">
        <v>8987</v>
      </c>
    </row>
    <row r="642" spans="1:5" ht="27">
      <c r="A642" s="271">
        <v>87026</v>
      </c>
      <c r="B642" s="272" t="s">
        <v>753</v>
      </c>
      <c r="C642" s="272" t="s">
        <v>206</v>
      </c>
      <c r="D642" s="273" t="s">
        <v>9918</v>
      </c>
      <c r="E642" s="498" t="s">
        <v>8987</v>
      </c>
    </row>
    <row r="643" spans="1:5" ht="27">
      <c r="A643" s="271">
        <v>87441</v>
      </c>
      <c r="B643" s="272" t="s">
        <v>754</v>
      </c>
      <c r="C643" s="272" t="s">
        <v>206</v>
      </c>
      <c r="D643" s="273" t="s">
        <v>9843</v>
      </c>
      <c r="E643" s="498" t="s">
        <v>8987</v>
      </c>
    </row>
    <row r="644" spans="1:5" ht="27">
      <c r="A644" s="271">
        <v>87442</v>
      </c>
      <c r="B644" s="272" t="s">
        <v>755</v>
      </c>
      <c r="C644" s="272" t="s">
        <v>206</v>
      </c>
      <c r="D644" s="273" t="s">
        <v>9873</v>
      </c>
      <c r="E644" s="498" t="s">
        <v>8987</v>
      </c>
    </row>
    <row r="645" spans="1:5" ht="27">
      <c r="A645" s="271">
        <v>87443</v>
      </c>
      <c r="B645" s="272" t="s">
        <v>756</v>
      </c>
      <c r="C645" s="272" t="s">
        <v>206</v>
      </c>
      <c r="D645" s="273" t="s">
        <v>11207</v>
      </c>
      <c r="E645" s="498" t="s">
        <v>8987</v>
      </c>
    </row>
    <row r="646" spans="1:5" ht="27">
      <c r="A646" s="271">
        <v>87444</v>
      </c>
      <c r="B646" s="272" t="s">
        <v>757</v>
      </c>
      <c r="C646" s="272" t="s">
        <v>206</v>
      </c>
      <c r="D646" s="273" t="s">
        <v>9985</v>
      </c>
      <c r="E646" s="498" t="s">
        <v>8987</v>
      </c>
    </row>
    <row r="647" spans="1:5" ht="27">
      <c r="A647" s="271">
        <v>88387</v>
      </c>
      <c r="B647" s="272" t="s">
        <v>758</v>
      </c>
      <c r="C647" s="272" t="s">
        <v>206</v>
      </c>
      <c r="D647" s="273" t="s">
        <v>9844</v>
      </c>
      <c r="E647" s="498" t="s">
        <v>8987</v>
      </c>
    </row>
    <row r="648" spans="1:5" ht="27">
      <c r="A648" s="271">
        <v>88389</v>
      </c>
      <c r="B648" s="272" t="s">
        <v>759</v>
      </c>
      <c r="C648" s="272" t="s">
        <v>206</v>
      </c>
      <c r="D648" s="273" t="s">
        <v>9865</v>
      </c>
      <c r="E648" s="498" t="s">
        <v>8987</v>
      </c>
    </row>
    <row r="649" spans="1:5" ht="27">
      <c r="A649" s="271">
        <v>88390</v>
      </c>
      <c r="B649" s="272" t="s">
        <v>760</v>
      </c>
      <c r="C649" s="272" t="s">
        <v>206</v>
      </c>
      <c r="D649" s="273" t="s">
        <v>10017</v>
      </c>
      <c r="E649" s="498" t="s">
        <v>8987</v>
      </c>
    </row>
    <row r="650" spans="1:5" ht="27">
      <c r="A650" s="271">
        <v>88391</v>
      </c>
      <c r="B650" s="272" t="s">
        <v>761</v>
      </c>
      <c r="C650" s="272" t="s">
        <v>206</v>
      </c>
      <c r="D650" s="273" t="s">
        <v>9923</v>
      </c>
      <c r="E650" s="498" t="s">
        <v>8987</v>
      </c>
    </row>
    <row r="651" spans="1:5" ht="27">
      <c r="A651" s="271">
        <v>88394</v>
      </c>
      <c r="B651" s="272" t="s">
        <v>762</v>
      </c>
      <c r="C651" s="272" t="s">
        <v>206</v>
      </c>
      <c r="D651" s="273" t="s">
        <v>21480</v>
      </c>
      <c r="E651" s="498" t="s">
        <v>8987</v>
      </c>
    </row>
    <row r="652" spans="1:5" ht="27">
      <c r="A652" s="271">
        <v>88395</v>
      </c>
      <c r="B652" s="272" t="s">
        <v>763</v>
      </c>
      <c r="C652" s="272" t="s">
        <v>206</v>
      </c>
      <c r="D652" s="273" t="s">
        <v>10029</v>
      </c>
      <c r="E652" s="498" t="s">
        <v>8987</v>
      </c>
    </row>
    <row r="653" spans="1:5" ht="27">
      <c r="A653" s="271">
        <v>88396</v>
      </c>
      <c r="B653" s="272" t="s">
        <v>764</v>
      </c>
      <c r="C653" s="272" t="s">
        <v>206</v>
      </c>
      <c r="D653" s="273" t="s">
        <v>9916</v>
      </c>
      <c r="E653" s="498" t="s">
        <v>8987</v>
      </c>
    </row>
    <row r="654" spans="1:5" ht="27">
      <c r="A654" s="271">
        <v>88397</v>
      </c>
      <c r="B654" s="272" t="s">
        <v>765</v>
      </c>
      <c r="C654" s="272" t="s">
        <v>206</v>
      </c>
      <c r="D654" s="273" t="s">
        <v>9927</v>
      </c>
      <c r="E654" s="498" t="s">
        <v>8987</v>
      </c>
    </row>
    <row r="655" spans="1:5" ht="27">
      <c r="A655" s="271">
        <v>88400</v>
      </c>
      <c r="B655" s="272" t="s">
        <v>766</v>
      </c>
      <c r="C655" s="272" t="s">
        <v>206</v>
      </c>
      <c r="D655" s="273" t="s">
        <v>9777</v>
      </c>
      <c r="E655" s="498" t="s">
        <v>8987</v>
      </c>
    </row>
    <row r="656" spans="1:5" ht="27">
      <c r="A656" s="271">
        <v>88401</v>
      </c>
      <c r="B656" s="272" t="s">
        <v>767</v>
      </c>
      <c r="C656" s="272" t="s">
        <v>206</v>
      </c>
      <c r="D656" s="273" t="s">
        <v>9921</v>
      </c>
      <c r="E656" s="498" t="s">
        <v>8987</v>
      </c>
    </row>
    <row r="657" spans="1:5" ht="27">
      <c r="A657" s="271">
        <v>88402</v>
      </c>
      <c r="B657" s="272" t="s">
        <v>768</v>
      </c>
      <c r="C657" s="272" t="s">
        <v>206</v>
      </c>
      <c r="D657" s="273" t="s">
        <v>21480</v>
      </c>
      <c r="E657" s="498" t="s">
        <v>8987</v>
      </c>
    </row>
    <row r="658" spans="1:5" ht="27">
      <c r="A658" s="271">
        <v>88403</v>
      </c>
      <c r="B658" s="272" t="s">
        <v>769</v>
      </c>
      <c r="C658" s="272" t="s">
        <v>206</v>
      </c>
      <c r="D658" s="273" t="s">
        <v>9929</v>
      </c>
      <c r="E658" s="498" t="s">
        <v>8987</v>
      </c>
    </row>
    <row r="659" spans="1:5" ht="27">
      <c r="A659" s="271">
        <v>88419</v>
      </c>
      <c r="B659" s="272" t="s">
        <v>770</v>
      </c>
      <c r="C659" s="272" t="s">
        <v>206</v>
      </c>
      <c r="D659" s="273" t="s">
        <v>9972</v>
      </c>
      <c r="E659" s="498" t="s">
        <v>8987</v>
      </c>
    </row>
    <row r="660" spans="1:5" ht="27">
      <c r="A660" s="271">
        <v>88422</v>
      </c>
      <c r="B660" s="272" t="s">
        <v>771</v>
      </c>
      <c r="C660" s="272" t="s">
        <v>206</v>
      </c>
      <c r="D660" s="273" t="s">
        <v>10907</v>
      </c>
      <c r="E660" s="498" t="s">
        <v>8987</v>
      </c>
    </row>
    <row r="661" spans="1:5" ht="27">
      <c r="A661" s="271">
        <v>88425</v>
      </c>
      <c r="B661" s="272" t="s">
        <v>772</v>
      </c>
      <c r="C661" s="272" t="s">
        <v>206</v>
      </c>
      <c r="D661" s="273" t="s">
        <v>16008</v>
      </c>
      <c r="E661" s="498" t="s">
        <v>8987</v>
      </c>
    </row>
    <row r="662" spans="1:5" ht="27">
      <c r="A662" s="271">
        <v>88427</v>
      </c>
      <c r="B662" s="272" t="s">
        <v>773</v>
      </c>
      <c r="C662" s="272" t="s">
        <v>206</v>
      </c>
      <c r="D662" s="273" t="s">
        <v>9932</v>
      </c>
      <c r="E662" s="498" t="s">
        <v>8987</v>
      </c>
    </row>
    <row r="663" spans="1:5" ht="27">
      <c r="A663" s="271">
        <v>88434</v>
      </c>
      <c r="B663" s="272" t="s">
        <v>774</v>
      </c>
      <c r="C663" s="272" t="s">
        <v>206</v>
      </c>
      <c r="D663" s="273" t="s">
        <v>9983</v>
      </c>
      <c r="E663" s="498" t="s">
        <v>8987</v>
      </c>
    </row>
    <row r="664" spans="1:5" ht="27">
      <c r="A664" s="271">
        <v>88435</v>
      </c>
      <c r="B664" s="272" t="s">
        <v>775</v>
      </c>
      <c r="C664" s="272" t="s">
        <v>206</v>
      </c>
      <c r="D664" s="273" t="s">
        <v>9764</v>
      </c>
      <c r="E664" s="498" t="s">
        <v>8987</v>
      </c>
    </row>
    <row r="665" spans="1:5" ht="27">
      <c r="A665" s="271">
        <v>88436</v>
      </c>
      <c r="B665" s="272" t="s">
        <v>776</v>
      </c>
      <c r="C665" s="272" t="s">
        <v>206</v>
      </c>
      <c r="D665" s="273" t="s">
        <v>9803</v>
      </c>
      <c r="E665" s="498" t="s">
        <v>8987</v>
      </c>
    </row>
    <row r="666" spans="1:5" ht="27">
      <c r="A666" s="271">
        <v>88437</v>
      </c>
      <c r="B666" s="272" t="s">
        <v>777</v>
      </c>
      <c r="C666" s="272" t="s">
        <v>206</v>
      </c>
      <c r="D666" s="273" t="s">
        <v>9932</v>
      </c>
      <c r="E666" s="498" t="s">
        <v>8987</v>
      </c>
    </row>
    <row r="667" spans="1:5" ht="27">
      <c r="A667" s="271">
        <v>88569</v>
      </c>
      <c r="B667" s="272" t="s">
        <v>778</v>
      </c>
      <c r="C667" s="272" t="s">
        <v>206</v>
      </c>
      <c r="D667" s="273" t="s">
        <v>9927</v>
      </c>
      <c r="E667" s="498" t="s">
        <v>8987</v>
      </c>
    </row>
    <row r="668" spans="1:5" ht="27">
      <c r="A668" s="271">
        <v>88570</v>
      </c>
      <c r="B668" s="272" t="s">
        <v>779</v>
      </c>
      <c r="C668" s="272" t="s">
        <v>206</v>
      </c>
      <c r="D668" s="273" t="s">
        <v>9928</v>
      </c>
      <c r="E668" s="498" t="s">
        <v>8987</v>
      </c>
    </row>
    <row r="669" spans="1:5" ht="27">
      <c r="A669" s="271">
        <v>88826</v>
      </c>
      <c r="B669" s="272" t="s">
        <v>780</v>
      </c>
      <c r="C669" s="272" t="s">
        <v>206</v>
      </c>
      <c r="D669" s="273" t="s">
        <v>9847</v>
      </c>
      <c r="E669" s="498" t="s">
        <v>8987</v>
      </c>
    </row>
    <row r="670" spans="1:5" ht="27">
      <c r="A670" s="271">
        <v>88827</v>
      </c>
      <c r="B670" s="272" t="s">
        <v>781</v>
      </c>
      <c r="C670" s="272" t="s">
        <v>206</v>
      </c>
      <c r="D670" s="273" t="s">
        <v>9917</v>
      </c>
      <c r="E670" s="498" t="s">
        <v>8987</v>
      </c>
    </row>
    <row r="671" spans="1:5" ht="27">
      <c r="A671" s="271">
        <v>88828</v>
      </c>
      <c r="B671" s="272" t="s">
        <v>782</v>
      </c>
      <c r="C671" s="272" t="s">
        <v>206</v>
      </c>
      <c r="D671" s="273" t="s">
        <v>11058</v>
      </c>
      <c r="E671" s="498" t="s">
        <v>8987</v>
      </c>
    </row>
    <row r="672" spans="1:5" ht="27">
      <c r="A672" s="271">
        <v>88829</v>
      </c>
      <c r="B672" s="272" t="s">
        <v>783</v>
      </c>
      <c r="C672" s="272" t="s">
        <v>206</v>
      </c>
      <c r="D672" s="273" t="s">
        <v>9937</v>
      </c>
      <c r="E672" s="498" t="s">
        <v>8987</v>
      </c>
    </row>
    <row r="673" spans="1:5" ht="27">
      <c r="A673" s="271">
        <v>88832</v>
      </c>
      <c r="B673" s="272" t="s">
        <v>784</v>
      </c>
      <c r="C673" s="272" t="s">
        <v>206</v>
      </c>
      <c r="D673" s="273" t="s">
        <v>11346</v>
      </c>
      <c r="E673" s="498" t="s">
        <v>8987</v>
      </c>
    </row>
    <row r="674" spans="1:5" ht="27">
      <c r="A674" s="271">
        <v>88834</v>
      </c>
      <c r="B674" s="272" t="s">
        <v>785</v>
      </c>
      <c r="C674" s="272" t="s">
        <v>206</v>
      </c>
      <c r="D674" s="273" t="s">
        <v>11342</v>
      </c>
      <c r="E674" s="498" t="s">
        <v>8987</v>
      </c>
    </row>
    <row r="675" spans="1:5" ht="27">
      <c r="A675" s="271">
        <v>88835</v>
      </c>
      <c r="B675" s="272" t="s">
        <v>786</v>
      </c>
      <c r="C675" s="272" t="s">
        <v>206</v>
      </c>
      <c r="D675" s="273" t="s">
        <v>21539</v>
      </c>
      <c r="E675" s="498" t="s">
        <v>8987</v>
      </c>
    </row>
    <row r="676" spans="1:5" ht="27">
      <c r="A676" s="271">
        <v>88836</v>
      </c>
      <c r="B676" s="272" t="s">
        <v>787</v>
      </c>
      <c r="C676" s="272" t="s">
        <v>206</v>
      </c>
      <c r="D676" s="273" t="s">
        <v>21540</v>
      </c>
      <c r="E676" s="498" t="s">
        <v>8987</v>
      </c>
    </row>
    <row r="677" spans="1:5" ht="27">
      <c r="A677" s="271">
        <v>88839</v>
      </c>
      <c r="B677" s="272" t="s">
        <v>788</v>
      </c>
      <c r="C677" s="272" t="s">
        <v>206</v>
      </c>
      <c r="D677" s="273" t="s">
        <v>12381</v>
      </c>
      <c r="E677" s="498" t="s">
        <v>8987</v>
      </c>
    </row>
    <row r="678" spans="1:5" ht="27">
      <c r="A678" s="271">
        <v>88840</v>
      </c>
      <c r="B678" s="272" t="s">
        <v>789</v>
      </c>
      <c r="C678" s="272" t="s">
        <v>206</v>
      </c>
      <c r="D678" s="273" t="s">
        <v>10212</v>
      </c>
      <c r="E678" s="498" t="s">
        <v>8987</v>
      </c>
    </row>
    <row r="679" spans="1:5" ht="27">
      <c r="A679" s="271">
        <v>88841</v>
      </c>
      <c r="B679" s="272" t="s">
        <v>790</v>
      </c>
      <c r="C679" s="272" t="s">
        <v>206</v>
      </c>
      <c r="D679" s="273" t="s">
        <v>21486</v>
      </c>
      <c r="E679" s="498" t="s">
        <v>8987</v>
      </c>
    </row>
    <row r="680" spans="1:5" ht="27">
      <c r="A680" s="271">
        <v>88842</v>
      </c>
      <c r="B680" s="272" t="s">
        <v>791</v>
      </c>
      <c r="C680" s="272" t="s">
        <v>206</v>
      </c>
      <c r="D680" s="273" t="s">
        <v>21541</v>
      </c>
      <c r="E680" s="498" t="s">
        <v>8987</v>
      </c>
    </row>
    <row r="681" spans="1:5" ht="40.5">
      <c r="A681" s="271">
        <v>88847</v>
      </c>
      <c r="B681" s="272" t="s">
        <v>792</v>
      </c>
      <c r="C681" s="272" t="s">
        <v>206</v>
      </c>
      <c r="D681" s="273" t="s">
        <v>15964</v>
      </c>
      <c r="E681" s="498" t="s">
        <v>8987</v>
      </c>
    </row>
    <row r="682" spans="1:5" ht="40.5">
      <c r="A682" s="271">
        <v>88848</v>
      </c>
      <c r="B682" s="272" t="s">
        <v>793</v>
      </c>
      <c r="C682" s="272" t="s">
        <v>206</v>
      </c>
      <c r="D682" s="273" t="s">
        <v>10055</v>
      </c>
      <c r="E682" s="498" t="s">
        <v>8987</v>
      </c>
    </row>
    <row r="683" spans="1:5" ht="40.5">
      <c r="A683" s="271">
        <v>88853</v>
      </c>
      <c r="B683" s="272" t="s">
        <v>794</v>
      </c>
      <c r="C683" s="272" t="s">
        <v>206</v>
      </c>
      <c r="D683" s="273" t="s">
        <v>10050</v>
      </c>
      <c r="E683" s="498" t="s">
        <v>8987</v>
      </c>
    </row>
    <row r="684" spans="1:5" ht="40.5">
      <c r="A684" s="271">
        <v>88854</v>
      </c>
      <c r="B684" s="272" t="s">
        <v>795</v>
      </c>
      <c r="C684" s="272" t="s">
        <v>206</v>
      </c>
      <c r="D684" s="273" t="s">
        <v>9895</v>
      </c>
      <c r="E684" s="498" t="s">
        <v>8987</v>
      </c>
    </row>
    <row r="685" spans="1:5" ht="27">
      <c r="A685" s="271">
        <v>88855</v>
      </c>
      <c r="B685" s="272" t="s">
        <v>796</v>
      </c>
      <c r="C685" s="272" t="s">
        <v>206</v>
      </c>
      <c r="D685" s="273" t="s">
        <v>9805</v>
      </c>
      <c r="E685" s="498" t="s">
        <v>8987</v>
      </c>
    </row>
    <row r="686" spans="1:5" ht="27">
      <c r="A686" s="271">
        <v>88856</v>
      </c>
      <c r="B686" s="272" t="s">
        <v>797</v>
      </c>
      <c r="C686" s="272" t="s">
        <v>206</v>
      </c>
      <c r="D686" s="273" t="s">
        <v>11201</v>
      </c>
      <c r="E686" s="498" t="s">
        <v>8987</v>
      </c>
    </row>
    <row r="687" spans="1:5" ht="40.5">
      <c r="A687" s="271">
        <v>88857</v>
      </c>
      <c r="B687" s="272" t="s">
        <v>798</v>
      </c>
      <c r="C687" s="272" t="s">
        <v>206</v>
      </c>
      <c r="D687" s="273" t="s">
        <v>9763</v>
      </c>
      <c r="E687" s="498" t="s">
        <v>8987</v>
      </c>
    </row>
    <row r="688" spans="1:5" ht="40.5">
      <c r="A688" s="271">
        <v>88858</v>
      </c>
      <c r="B688" s="272" t="s">
        <v>799</v>
      </c>
      <c r="C688" s="272" t="s">
        <v>206</v>
      </c>
      <c r="D688" s="273" t="s">
        <v>9825</v>
      </c>
      <c r="E688" s="498" t="s">
        <v>8987</v>
      </c>
    </row>
    <row r="689" spans="1:5" ht="40.5">
      <c r="A689" s="271">
        <v>88859</v>
      </c>
      <c r="B689" s="272" t="s">
        <v>800</v>
      </c>
      <c r="C689" s="272" t="s">
        <v>206</v>
      </c>
      <c r="D689" s="273" t="s">
        <v>19324</v>
      </c>
      <c r="E689" s="498" t="s">
        <v>8987</v>
      </c>
    </row>
    <row r="690" spans="1:5" ht="40.5">
      <c r="A690" s="271">
        <v>88860</v>
      </c>
      <c r="B690" s="272" t="s">
        <v>801</v>
      </c>
      <c r="C690" s="272" t="s">
        <v>206</v>
      </c>
      <c r="D690" s="273" t="s">
        <v>10803</v>
      </c>
      <c r="E690" s="498" t="s">
        <v>8987</v>
      </c>
    </row>
    <row r="691" spans="1:5" ht="27">
      <c r="A691" s="271">
        <v>88900</v>
      </c>
      <c r="B691" s="272" t="s">
        <v>802</v>
      </c>
      <c r="C691" s="272" t="s">
        <v>206</v>
      </c>
      <c r="D691" s="273" t="s">
        <v>16367</v>
      </c>
      <c r="E691" s="498" t="s">
        <v>8987</v>
      </c>
    </row>
    <row r="692" spans="1:5" ht="27">
      <c r="A692" s="271">
        <v>88902</v>
      </c>
      <c r="B692" s="272" t="s">
        <v>803</v>
      </c>
      <c r="C692" s="272" t="s">
        <v>206</v>
      </c>
      <c r="D692" s="273" t="s">
        <v>21542</v>
      </c>
      <c r="E692" s="498" t="s">
        <v>8987</v>
      </c>
    </row>
    <row r="693" spans="1:5" ht="27">
      <c r="A693" s="271">
        <v>88903</v>
      </c>
      <c r="B693" s="272" t="s">
        <v>804</v>
      </c>
      <c r="C693" s="272" t="s">
        <v>206</v>
      </c>
      <c r="D693" s="273" t="s">
        <v>21543</v>
      </c>
      <c r="E693" s="498" t="s">
        <v>8987</v>
      </c>
    </row>
    <row r="694" spans="1:5" ht="27">
      <c r="A694" s="271">
        <v>88904</v>
      </c>
      <c r="B694" s="272" t="s">
        <v>805</v>
      </c>
      <c r="C694" s="272" t="s">
        <v>206</v>
      </c>
      <c r="D694" s="273" t="s">
        <v>21544</v>
      </c>
      <c r="E694" s="498" t="s">
        <v>8987</v>
      </c>
    </row>
    <row r="695" spans="1:5" ht="27">
      <c r="A695" s="271">
        <v>89009</v>
      </c>
      <c r="B695" s="272" t="s">
        <v>806</v>
      </c>
      <c r="C695" s="272" t="s">
        <v>206</v>
      </c>
      <c r="D695" s="273" t="s">
        <v>9789</v>
      </c>
      <c r="E695" s="498" t="s">
        <v>8987</v>
      </c>
    </row>
    <row r="696" spans="1:5" ht="27">
      <c r="A696" s="271">
        <v>89010</v>
      </c>
      <c r="B696" s="272" t="s">
        <v>807</v>
      </c>
      <c r="C696" s="272" t="s">
        <v>206</v>
      </c>
      <c r="D696" s="273" t="s">
        <v>10285</v>
      </c>
      <c r="E696" s="498" t="s">
        <v>8987</v>
      </c>
    </row>
    <row r="697" spans="1:5" ht="40.5">
      <c r="A697" s="271">
        <v>89011</v>
      </c>
      <c r="B697" s="272" t="s">
        <v>808</v>
      </c>
      <c r="C697" s="272" t="s">
        <v>206</v>
      </c>
      <c r="D697" s="273" t="s">
        <v>9821</v>
      </c>
      <c r="E697" s="498" t="s">
        <v>8987</v>
      </c>
    </row>
    <row r="698" spans="1:5" ht="40.5">
      <c r="A698" s="271">
        <v>89012</v>
      </c>
      <c r="B698" s="272" t="s">
        <v>809</v>
      </c>
      <c r="C698" s="272" t="s">
        <v>206</v>
      </c>
      <c r="D698" s="273" t="s">
        <v>11161</v>
      </c>
      <c r="E698" s="498" t="s">
        <v>8987</v>
      </c>
    </row>
    <row r="699" spans="1:5" ht="27">
      <c r="A699" s="271">
        <v>89013</v>
      </c>
      <c r="B699" s="272" t="s">
        <v>810</v>
      </c>
      <c r="C699" s="272" t="s">
        <v>206</v>
      </c>
      <c r="D699" s="273" t="s">
        <v>21391</v>
      </c>
      <c r="E699" s="498" t="s">
        <v>8987</v>
      </c>
    </row>
    <row r="700" spans="1:5" ht="27">
      <c r="A700" s="271">
        <v>89014</v>
      </c>
      <c r="B700" s="272" t="s">
        <v>811</v>
      </c>
      <c r="C700" s="272" t="s">
        <v>206</v>
      </c>
      <c r="D700" s="273" t="s">
        <v>21545</v>
      </c>
      <c r="E700" s="498" t="s">
        <v>8987</v>
      </c>
    </row>
    <row r="701" spans="1:5" ht="27">
      <c r="A701" s="271">
        <v>89015</v>
      </c>
      <c r="B701" s="272" t="s">
        <v>812</v>
      </c>
      <c r="C701" s="272" t="s">
        <v>206</v>
      </c>
      <c r="D701" s="273" t="s">
        <v>11178</v>
      </c>
      <c r="E701" s="498" t="s">
        <v>8987</v>
      </c>
    </row>
    <row r="702" spans="1:5" ht="27">
      <c r="A702" s="271">
        <v>89016</v>
      </c>
      <c r="B702" s="272" t="s">
        <v>813</v>
      </c>
      <c r="C702" s="272" t="s">
        <v>206</v>
      </c>
      <c r="D702" s="273" t="s">
        <v>10036</v>
      </c>
      <c r="E702" s="498" t="s">
        <v>8987</v>
      </c>
    </row>
    <row r="703" spans="1:5" ht="27">
      <c r="A703" s="271">
        <v>89017</v>
      </c>
      <c r="B703" s="272" t="s">
        <v>814</v>
      </c>
      <c r="C703" s="272" t="s">
        <v>206</v>
      </c>
      <c r="D703" s="273" t="s">
        <v>16145</v>
      </c>
      <c r="E703" s="498" t="s">
        <v>8987</v>
      </c>
    </row>
    <row r="704" spans="1:5" ht="27">
      <c r="A704" s="271">
        <v>89018</v>
      </c>
      <c r="B704" s="272" t="s">
        <v>815</v>
      </c>
      <c r="C704" s="272" t="s">
        <v>206</v>
      </c>
      <c r="D704" s="273" t="s">
        <v>16003</v>
      </c>
      <c r="E704" s="498" t="s">
        <v>8987</v>
      </c>
    </row>
    <row r="705" spans="1:5" ht="40.5">
      <c r="A705" s="271">
        <v>89019</v>
      </c>
      <c r="B705" s="272" t="s">
        <v>816</v>
      </c>
      <c r="C705" s="272" t="s">
        <v>206</v>
      </c>
      <c r="D705" s="273" t="s">
        <v>10039</v>
      </c>
      <c r="E705" s="498" t="s">
        <v>8987</v>
      </c>
    </row>
    <row r="706" spans="1:5" ht="27">
      <c r="A706" s="271">
        <v>89020</v>
      </c>
      <c r="B706" s="272" t="s">
        <v>817</v>
      </c>
      <c r="C706" s="272" t="s">
        <v>206</v>
      </c>
      <c r="D706" s="273" t="s">
        <v>9917</v>
      </c>
      <c r="E706" s="498" t="s">
        <v>8987</v>
      </c>
    </row>
    <row r="707" spans="1:5" ht="27">
      <c r="A707" s="271">
        <v>89023</v>
      </c>
      <c r="B707" s="272" t="s">
        <v>818</v>
      </c>
      <c r="C707" s="272" t="s">
        <v>206</v>
      </c>
      <c r="D707" s="273" t="s">
        <v>9989</v>
      </c>
      <c r="E707" s="498" t="s">
        <v>8987</v>
      </c>
    </row>
    <row r="708" spans="1:5" ht="13.5">
      <c r="A708" s="271">
        <v>89024</v>
      </c>
      <c r="B708" s="272" t="s">
        <v>819</v>
      </c>
      <c r="C708" s="272" t="s">
        <v>206</v>
      </c>
      <c r="D708" s="273" t="s">
        <v>11362</v>
      </c>
      <c r="E708" s="498" t="s">
        <v>8987</v>
      </c>
    </row>
    <row r="709" spans="1:5" ht="27">
      <c r="A709" s="271">
        <v>89025</v>
      </c>
      <c r="B709" s="272" t="s">
        <v>820</v>
      </c>
      <c r="C709" s="272" t="s">
        <v>206</v>
      </c>
      <c r="D709" s="273" t="s">
        <v>12239</v>
      </c>
      <c r="E709" s="498" t="s">
        <v>8987</v>
      </c>
    </row>
    <row r="710" spans="1:5" ht="27">
      <c r="A710" s="271">
        <v>89026</v>
      </c>
      <c r="B710" s="272" t="s">
        <v>821</v>
      </c>
      <c r="C710" s="272" t="s">
        <v>206</v>
      </c>
      <c r="D710" s="273" t="s">
        <v>21546</v>
      </c>
      <c r="E710" s="498" t="s">
        <v>8987</v>
      </c>
    </row>
    <row r="711" spans="1:5" ht="27">
      <c r="A711" s="271">
        <v>89029</v>
      </c>
      <c r="B711" s="272" t="s">
        <v>822</v>
      </c>
      <c r="C711" s="272" t="s">
        <v>206</v>
      </c>
      <c r="D711" s="273" t="s">
        <v>21547</v>
      </c>
      <c r="E711" s="498" t="s">
        <v>8987</v>
      </c>
    </row>
    <row r="712" spans="1:5" ht="27">
      <c r="A712" s="271">
        <v>89030</v>
      </c>
      <c r="B712" s="272" t="s">
        <v>823</v>
      </c>
      <c r="C712" s="272" t="s">
        <v>206</v>
      </c>
      <c r="D712" s="273" t="s">
        <v>10781</v>
      </c>
      <c r="E712" s="498" t="s">
        <v>8987</v>
      </c>
    </row>
    <row r="713" spans="1:5" ht="27">
      <c r="A713" s="271">
        <v>89033</v>
      </c>
      <c r="B713" s="272" t="s">
        <v>824</v>
      </c>
      <c r="C713" s="272" t="s">
        <v>206</v>
      </c>
      <c r="D713" s="273" t="s">
        <v>20546</v>
      </c>
      <c r="E713" s="498" t="s">
        <v>8987</v>
      </c>
    </row>
    <row r="714" spans="1:5" ht="27">
      <c r="A714" s="271">
        <v>89034</v>
      </c>
      <c r="B714" s="272" t="s">
        <v>825</v>
      </c>
      <c r="C714" s="272" t="s">
        <v>206</v>
      </c>
      <c r="D714" s="273" t="s">
        <v>9975</v>
      </c>
      <c r="E714" s="498" t="s">
        <v>8987</v>
      </c>
    </row>
    <row r="715" spans="1:5" ht="27">
      <c r="A715" s="271">
        <v>89128</v>
      </c>
      <c r="B715" s="272" t="s">
        <v>826</v>
      </c>
      <c r="C715" s="272" t="s">
        <v>206</v>
      </c>
      <c r="D715" s="273" t="s">
        <v>21548</v>
      </c>
      <c r="E715" s="498" t="s">
        <v>8987</v>
      </c>
    </row>
    <row r="716" spans="1:5" ht="27">
      <c r="A716" s="271">
        <v>89129</v>
      </c>
      <c r="B716" s="272" t="s">
        <v>827</v>
      </c>
      <c r="C716" s="272" t="s">
        <v>206</v>
      </c>
      <c r="D716" s="273" t="s">
        <v>9987</v>
      </c>
      <c r="E716" s="498" t="s">
        <v>8987</v>
      </c>
    </row>
    <row r="717" spans="1:5" ht="27">
      <c r="A717" s="271">
        <v>89130</v>
      </c>
      <c r="B717" s="272" t="s">
        <v>828</v>
      </c>
      <c r="C717" s="272" t="s">
        <v>206</v>
      </c>
      <c r="D717" s="273" t="s">
        <v>9790</v>
      </c>
      <c r="E717" s="498" t="s">
        <v>8987</v>
      </c>
    </row>
    <row r="718" spans="1:5" ht="27">
      <c r="A718" s="271">
        <v>89131</v>
      </c>
      <c r="B718" s="272" t="s">
        <v>829</v>
      </c>
      <c r="C718" s="272" t="s">
        <v>206</v>
      </c>
      <c r="D718" s="273" t="s">
        <v>12253</v>
      </c>
      <c r="E718" s="498" t="s">
        <v>8987</v>
      </c>
    </row>
    <row r="719" spans="1:5" ht="40.5">
      <c r="A719" s="271">
        <v>89210</v>
      </c>
      <c r="B719" s="272" t="s">
        <v>830</v>
      </c>
      <c r="C719" s="272" t="s">
        <v>206</v>
      </c>
      <c r="D719" s="273" t="s">
        <v>15828</v>
      </c>
      <c r="E719" s="498" t="s">
        <v>8987</v>
      </c>
    </row>
    <row r="720" spans="1:5" ht="40.5">
      <c r="A720" s="271">
        <v>89211</v>
      </c>
      <c r="B720" s="272" t="s">
        <v>831</v>
      </c>
      <c r="C720" s="272" t="s">
        <v>206</v>
      </c>
      <c r="D720" s="273" t="s">
        <v>11276</v>
      </c>
      <c r="E720" s="498" t="s">
        <v>8987</v>
      </c>
    </row>
    <row r="721" spans="1:5" ht="27">
      <c r="A721" s="271">
        <v>89212</v>
      </c>
      <c r="B721" s="272" t="s">
        <v>832</v>
      </c>
      <c r="C721" s="272" t="s">
        <v>206</v>
      </c>
      <c r="D721" s="273" t="s">
        <v>12151</v>
      </c>
      <c r="E721" s="498" t="s">
        <v>8987</v>
      </c>
    </row>
    <row r="722" spans="1:5" ht="27">
      <c r="A722" s="271">
        <v>89213</v>
      </c>
      <c r="B722" s="272" t="s">
        <v>833</v>
      </c>
      <c r="C722" s="272" t="s">
        <v>206</v>
      </c>
      <c r="D722" s="273" t="s">
        <v>21549</v>
      </c>
      <c r="E722" s="498" t="s">
        <v>8987</v>
      </c>
    </row>
    <row r="723" spans="1:5" ht="27">
      <c r="A723" s="271">
        <v>89214</v>
      </c>
      <c r="B723" s="272" t="s">
        <v>834</v>
      </c>
      <c r="C723" s="272" t="s">
        <v>206</v>
      </c>
      <c r="D723" s="273" t="s">
        <v>10976</v>
      </c>
      <c r="E723" s="498" t="s">
        <v>8987</v>
      </c>
    </row>
    <row r="724" spans="1:5" ht="27">
      <c r="A724" s="271">
        <v>89215</v>
      </c>
      <c r="B724" s="272" t="s">
        <v>835</v>
      </c>
      <c r="C724" s="272" t="s">
        <v>206</v>
      </c>
      <c r="D724" s="273" t="s">
        <v>20580</v>
      </c>
      <c r="E724" s="498" t="s">
        <v>8987</v>
      </c>
    </row>
    <row r="725" spans="1:5" ht="27">
      <c r="A725" s="271">
        <v>89221</v>
      </c>
      <c r="B725" s="272" t="s">
        <v>836</v>
      </c>
      <c r="C725" s="272" t="s">
        <v>206</v>
      </c>
      <c r="D725" s="273" t="s">
        <v>9850</v>
      </c>
      <c r="E725" s="498" t="s">
        <v>8987</v>
      </c>
    </row>
    <row r="726" spans="1:5" ht="27">
      <c r="A726" s="271">
        <v>89222</v>
      </c>
      <c r="B726" s="272" t="s">
        <v>837</v>
      </c>
      <c r="C726" s="272" t="s">
        <v>206</v>
      </c>
      <c r="D726" s="273" t="s">
        <v>9879</v>
      </c>
      <c r="E726" s="498" t="s">
        <v>8987</v>
      </c>
    </row>
    <row r="727" spans="1:5" ht="27">
      <c r="A727" s="271">
        <v>89223</v>
      </c>
      <c r="B727" s="272" t="s">
        <v>838</v>
      </c>
      <c r="C727" s="272" t="s">
        <v>206</v>
      </c>
      <c r="D727" s="273" t="s">
        <v>9828</v>
      </c>
      <c r="E727" s="498" t="s">
        <v>8987</v>
      </c>
    </row>
    <row r="728" spans="1:5" ht="27">
      <c r="A728" s="271">
        <v>89224</v>
      </c>
      <c r="B728" s="272" t="s">
        <v>839</v>
      </c>
      <c r="C728" s="272" t="s">
        <v>206</v>
      </c>
      <c r="D728" s="273" t="s">
        <v>9770</v>
      </c>
      <c r="E728" s="498" t="s">
        <v>8987</v>
      </c>
    </row>
    <row r="729" spans="1:5" ht="27">
      <c r="A729" s="271">
        <v>89228</v>
      </c>
      <c r="B729" s="272" t="s">
        <v>840</v>
      </c>
      <c r="C729" s="272" t="s">
        <v>206</v>
      </c>
      <c r="D729" s="273" t="s">
        <v>21550</v>
      </c>
      <c r="E729" s="498" t="s">
        <v>8987</v>
      </c>
    </row>
    <row r="730" spans="1:5" ht="27">
      <c r="A730" s="271">
        <v>89229</v>
      </c>
      <c r="B730" s="272" t="s">
        <v>841</v>
      </c>
      <c r="C730" s="272" t="s">
        <v>206</v>
      </c>
      <c r="D730" s="273" t="s">
        <v>12301</v>
      </c>
      <c r="E730" s="498" t="s">
        <v>8987</v>
      </c>
    </row>
    <row r="731" spans="1:5" ht="27">
      <c r="A731" s="271">
        <v>89230</v>
      </c>
      <c r="B731" s="272" t="s">
        <v>842</v>
      </c>
      <c r="C731" s="272" t="s">
        <v>206</v>
      </c>
      <c r="D731" s="273" t="s">
        <v>21060</v>
      </c>
      <c r="E731" s="498" t="s">
        <v>8987</v>
      </c>
    </row>
    <row r="732" spans="1:5" ht="27">
      <c r="A732" s="271">
        <v>89231</v>
      </c>
      <c r="B732" s="272" t="s">
        <v>843</v>
      </c>
      <c r="C732" s="272" t="s">
        <v>206</v>
      </c>
      <c r="D732" s="273" t="s">
        <v>10491</v>
      </c>
      <c r="E732" s="498" t="s">
        <v>8987</v>
      </c>
    </row>
    <row r="733" spans="1:5" ht="27">
      <c r="A733" s="271">
        <v>89232</v>
      </c>
      <c r="B733" s="272" t="s">
        <v>844</v>
      </c>
      <c r="C733" s="272" t="s">
        <v>206</v>
      </c>
      <c r="D733" s="273" t="s">
        <v>21551</v>
      </c>
      <c r="E733" s="498" t="s">
        <v>8987</v>
      </c>
    </row>
    <row r="734" spans="1:5" ht="27">
      <c r="A734" s="271">
        <v>89233</v>
      </c>
      <c r="B734" s="272" t="s">
        <v>845</v>
      </c>
      <c r="C734" s="272" t="s">
        <v>206</v>
      </c>
      <c r="D734" s="273" t="s">
        <v>21313</v>
      </c>
      <c r="E734" s="498" t="s">
        <v>8987</v>
      </c>
    </row>
    <row r="735" spans="1:5" ht="27">
      <c r="A735" s="271">
        <v>89236</v>
      </c>
      <c r="B735" s="272" t="s">
        <v>846</v>
      </c>
      <c r="C735" s="272" t="s">
        <v>206</v>
      </c>
      <c r="D735" s="273" t="s">
        <v>21417</v>
      </c>
      <c r="E735" s="498" t="s">
        <v>8987</v>
      </c>
    </row>
    <row r="736" spans="1:5" ht="27">
      <c r="A736" s="271">
        <v>89237</v>
      </c>
      <c r="B736" s="272" t="s">
        <v>847</v>
      </c>
      <c r="C736" s="272" t="s">
        <v>206</v>
      </c>
      <c r="D736" s="273" t="s">
        <v>16412</v>
      </c>
      <c r="E736" s="498" t="s">
        <v>8987</v>
      </c>
    </row>
    <row r="737" spans="1:5" ht="27">
      <c r="A737" s="271">
        <v>89238</v>
      </c>
      <c r="B737" s="272" t="s">
        <v>848</v>
      </c>
      <c r="C737" s="272" t="s">
        <v>206</v>
      </c>
      <c r="D737" s="273" t="s">
        <v>21552</v>
      </c>
      <c r="E737" s="498" t="s">
        <v>8987</v>
      </c>
    </row>
    <row r="738" spans="1:5" ht="27">
      <c r="A738" s="271">
        <v>89239</v>
      </c>
      <c r="B738" s="272" t="s">
        <v>849</v>
      </c>
      <c r="C738" s="272" t="s">
        <v>206</v>
      </c>
      <c r="D738" s="273" t="s">
        <v>21553</v>
      </c>
      <c r="E738" s="498" t="s">
        <v>8987</v>
      </c>
    </row>
    <row r="739" spans="1:5" ht="27">
      <c r="A739" s="271">
        <v>89240</v>
      </c>
      <c r="B739" s="272" t="s">
        <v>850</v>
      </c>
      <c r="C739" s="272" t="s">
        <v>206</v>
      </c>
      <c r="D739" s="273" t="s">
        <v>21554</v>
      </c>
      <c r="E739" s="498" t="s">
        <v>8987</v>
      </c>
    </row>
    <row r="740" spans="1:5" ht="27">
      <c r="A740" s="271">
        <v>89241</v>
      </c>
      <c r="B740" s="272" t="s">
        <v>851</v>
      </c>
      <c r="C740" s="272" t="s">
        <v>206</v>
      </c>
      <c r="D740" s="273" t="s">
        <v>9815</v>
      </c>
      <c r="E740" s="498" t="s">
        <v>8987</v>
      </c>
    </row>
    <row r="741" spans="1:5" ht="27">
      <c r="A741" s="271">
        <v>89246</v>
      </c>
      <c r="B741" s="272" t="s">
        <v>852</v>
      </c>
      <c r="C741" s="272" t="s">
        <v>206</v>
      </c>
      <c r="D741" s="273" t="s">
        <v>21555</v>
      </c>
      <c r="E741" s="498" t="s">
        <v>8987</v>
      </c>
    </row>
    <row r="742" spans="1:5" ht="27">
      <c r="A742" s="271">
        <v>89247</v>
      </c>
      <c r="B742" s="272" t="s">
        <v>853</v>
      </c>
      <c r="C742" s="272" t="s">
        <v>206</v>
      </c>
      <c r="D742" s="273" t="s">
        <v>19343</v>
      </c>
      <c r="E742" s="498" t="s">
        <v>8987</v>
      </c>
    </row>
    <row r="743" spans="1:5" ht="27">
      <c r="A743" s="271">
        <v>89248</v>
      </c>
      <c r="B743" s="272" t="s">
        <v>854</v>
      </c>
      <c r="C743" s="272" t="s">
        <v>206</v>
      </c>
      <c r="D743" s="273" t="s">
        <v>21556</v>
      </c>
      <c r="E743" s="498" t="s">
        <v>8987</v>
      </c>
    </row>
    <row r="744" spans="1:5" ht="27">
      <c r="A744" s="271">
        <v>89249</v>
      </c>
      <c r="B744" s="272" t="s">
        <v>855</v>
      </c>
      <c r="C744" s="272" t="s">
        <v>206</v>
      </c>
      <c r="D744" s="273" t="s">
        <v>21557</v>
      </c>
      <c r="E744" s="498" t="s">
        <v>8987</v>
      </c>
    </row>
    <row r="745" spans="1:5" ht="27">
      <c r="A745" s="271">
        <v>89253</v>
      </c>
      <c r="B745" s="272" t="s">
        <v>856</v>
      </c>
      <c r="C745" s="272" t="s">
        <v>206</v>
      </c>
      <c r="D745" s="273" t="s">
        <v>21558</v>
      </c>
      <c r="E745" s="498" t="s">
        <v>8987</v>
      </c>
    </row>
    <row r="746" spans="1:5" ht="27">
      <c r="A746" s="271">
        <v>89254</v>
      </c>
      <c r="B746" s="272" t="s">
        <v>857</v>
      </c>
      <c r="C746" s="272" t="s">
        <v>206</v>
      </c>
      <c r="D746" s="273" t="s">
        <v>12382</v>
      </c>
      <c r="E746" s="498" t="s">
        <v>8987</v>
      </c>
    </row>
    <row r="747" spans="1:5" ht="27">
      <c r="A747" s="271">
        <v>89255</v>
      </c>
      <c r="B747" s="272" t="s">
        <v>858</v>
      </c>
      <c r="C747" s="272" t="s">
        <v>206</v>
      </c>
      <c r="D747" s="273" t="s">
        <v>21559</v>
      </c>
      <c r="E747" s="498" t="s">
        <v>8987</v>
      </c>
    </row>
    <row r="748" spans="1:5" ht="27">
      <c r="A748" s="271">
        <v>89256</v>
      </c>
      <c r="B748" s="272" t="s">
        <v>859</v>
      </c>
      <c r="C748" s="272" t="s">
        <v>206</v>
      </c>
      <c r="D748" s="273" t="s">
        <v>21560</v>
      </c>
      <c r="E748" s="498" t="s">
        <v>8987</v>
      </c>
    </row>
    <row r="749" spans="1:5" ht="40.5">
      <c r="A749" s="271">
        <v>89259</v>
      </c>
      <c r="B749" s="272" t="s">
        <v>860</v>
      </c>
      <c r="C749" s="272" t="s">
        <v>206</v>
      </c>
      <c r="D749" s="273" t="s">
        <v>9783</v>
      </c>
      <c r="E749" s="498" t="s">
        <v>8987</v>
      </c>
    </row>
    <row r="750" spans="1:5" ht="40.5">
      <c r="A750" s="271">
        <v>89260</v>
      </c>
      <c r="B750" s="272" t="s">
        <v>861</v>
      </c>
      <c r="C750" s="272" t="s">
        <v>206</v>
      </c>
      <c r="D750" s="273" t="s">
        <v>20318</v>
      </c>
      <c r="E750" s="498" t="s">
        <v>8987</v>
      </c>
    </row>
    <row r="751" spans="1:5" ht="40.5">
      <c r="A751" s="271">
        <v>89262</v>
      </c>
      <c r="B751" s="272" t="s">
        <v>862</v>
      </c>
      <c r="C751" s="272" t="s">
        <v>206</v>
      </c>
      <c r="D751" s="273" t="s">
        <v>19801</v>
      </c>
      <c r="E751" s="498" t="s">
        <v>8987</v>
      </c>
    </row>
    <row r="752" spans="1:5" ht="40.5">
      <c r="A752" s="271">
        <v>89264</v>
      </c>
      <c r="B752" s="272" t="s">
        <v>863</v>
      </c>
      <c r="C752" s="272" t="s">
        <v>206</v>
      </c>
      <c r="D752" s="273" t="s">
        <v>16409</v>
      </c>
      <c r="E752" s="498" t="s">
        <v>8987</v>
      </c>
    </row>
    <row r="753" spans="1:5" ht="40.5">
      <c r="A753" s="271">
        <v>89265</v>
      </c>
      <c r="B753" s="272" t="s">
        <v>864</v>
      </c>
      <c r="C753" s="272" t="s">
        <v>206</v>
      </c>
      <c r="D753" s="273" t="s">
        <v>10007</v>
      </c>
      <c r="E753" s="498" t="s">
        <v>8987</v>
      </c>
    </row>
    <row r="754" spans="1:5" ht="40.5">
      <c r="A754" s="271">
        <v>89266</v>
      </c>
      <c r="B754" s="272" t="s">
        <v>865</v>
      </c>
      <c r="C754" s="272" t="s">
        <v>206</v>
      </c>
      <c r="D754" s="273" t="s">
        <v>10002</v>
      </c>
      <c r="E754" s="498" t="s">
        <v>8987</v>
      </c>
    </row>
    <row r="755" spans="1:5" ht="27">
      <c r="A755" s="271">
        <v>89267</v>
      </c>
      <c r="B755" s="272" t="s">
        <v>866</v>
      </c>
      <c r="C755" s="272" t="s">
        <v>206</v>
      </c>
      <c r="D755" s="273" t="s">
        <v>14191</v>
      </c>
      <c r="E755" s="498" t="s">
        <v>8987</v>
      </c>
    </row>
    <row r="756" spans="1:5" ht="27">
      <c r="A756" s="271">
        <v>89268</v>
      </c>
      <c r="B756" s="272" t="s">
        <v>867</v>
      </c>
      <c r="C756" s="272" t="s">
        <v>206</v>
      </c>
      <c r="D756" s="273" t="s">
        <v>12450</v>
      </c>
      <c r="E756" s="498" t="s">
        <v>8987</v>
      </c>
    </row>
    <row r="757" spans="1:5" ht="27">
      <c r="A757" s="271">
        <v>89269</v>
      </c>
      <c r="B757" s="272" t="s">
        <v>868</v>
      </c>
      <c r="C757" s="272" t="s">
        <v>206</v>
      </c>
      <c r="D757" s="273" t="s">
        <v>9825</v>
      </c>
      <c r="E757" s="498" t="s">
        <v>8987</v>
      </c>
    </row>
    <row r="758" spans="1:5" ht="27">
      <c r="A758" s="271">
        <v>89270</v>
      </c>
      <c r="B758" s="272" t="s">
        <v>869</v>
      </c>
      <c r="C758" s="272" t="s">
        <v>206</v>
      </c>
      <c r="D758" s="273" t="s">
        <v>21561</v>
      </c>
      <c r="E758" s="498" t="s">
        <v>8987</v>
      </c>
    </row>
    <row r="759" spans="1:5" ht="27">
      <c r="A759" s="271">
        <v>89271</v>
      </c>
      <c r="B759" s="272" t="s">
        <v>870</v>
      </c>
      <c r="C759" s="272" t="s">
        <v>206</v>
      </c>
      <c r="D759" s="273" t="s">
        <v>12273</v>
      </c>
      <c r="E759" s="498" t="s">
        <v>8987</v>
      </c>
    </row>
    <row r="760" spans="1:5" ht="27">
      <c r="A760" s="271">
        <v>89274</v>
      </c>
      <c r="B760" s="272" t="s">
        <v>871</v>
      </c>
      <c r="C760" s="272" t="s">
        <v>206</v>
      </c>
      <c r="D760" s="273" t="s">
        <v>11172</v>
      </c>
      <c r="E760" s="498" t="s">
        <v>8987</v>
      </c>
    </row>
    <row r="761" spans="1:5" ht="27">
      <c r="A761" s="271">
        <v>89275</v>
      </c>
      <c r="B761" s="272" t="s">
        <v>872</v>
      </c>
      <c r="C761" s="272" t="s">
        <v>206</v>
      </c>
      <c r="D761" s="273" t="s">
        <v>9832</v>
      </c>
      <c r="E761" s="498" t="s">
        <v>8987</v>
      </c>
    </row>
    <row r="762" spans="1:5" ht="27">
      <c r="A762" s="271">
        <v>89276</v>
      </c>
      <c r="B762" s="272" t="s">
        <v>873</v>
      </c>
      <c r="C762" s="272" t="s">
        <v>206</v>
      </c>
      <c r="D762" s="273" t="s">
        <v>11072</v>
      </c>
      <c r="E762" s="498" t="s">
        <v>8987</v>
      </c>
    </row>
    <row r="763" spans="1:5" ht="27">
      <c r="A763" s="271">
        <v>89277</v>
      </c>
      <c r="B763" s="272" t="s">
        <v>874</v>
      </c>
      <c r="C763" s="272" t="s">
        <v>206</v>
      </c>
      <c r="D763" s="273" t="s">
        <v>10300</v>
      </c>
      <c r="E763" s="498" t="s">
        <v>8987</v>
      </c>
    </row>
    <row r="764" spans="1:5" ht="27">
      <c r="A764" s="271">
        <v>89280</v>
      </c>
      <c r="B764" s="272" t="s">
        <v>875</v>
      </c>
      <c r="C764" s="272" t="s">
        <v>206</v>
      </c>
      <c r="D764" s="273" t="s">
        <v>21562</v>
      </c>
      <c r="E764" s="498" t="s">
        <v>8987</v>
      </c>
    </row>
    <row r="765" spans="1:5" ht="27">
      <c r="A765" s="271">
        <v>89281</v>
      </c>
      <c r="B765" s="272" t="s">
        <v>876</v>
      </c>
      <c r="C765" s="272" t="s">
        <v>206</v>
      </c>
      <c r="D765" s="273" t="s">
        <v>10068</v>
      </c>
      <c r="E765" s="498" t="s">
        <v>8987</v>
      </c>
    </row>
    <row r="766" spans="1:5" ht="40.5">
      <c r="A766" s="271">
        <v>89870</v>
      </c>
      <c r="B766" s="272" t="s">
        <v>877</v>
      </c>
      <c r="C766" s="272" t="s">
        <v>206</v>
      </c>
      <c r="D766" s="273" t="s">
        <v>16050</v>
      </c>
      <c r="E766" s="498" t="s">
        <v>8987</v>
      </c>
    </row>
    <row r="767" spans="1:5" ht="40.5">
      <c r="A767" s="271">
        <v>89871</v>
      </c>
      <c r="B767" s="272" t="s">
        <v>878</v>
      </c>
      <c r="C767" s="272" t="s">
        <v>206</v>
      </c>
      <c r="D767" s="273" t="s">
        <v>9728</v>
      </c>
      <c r="E767" s="498" t="s">
        <v>8987</v>
      </c>
    </row>
    <row r="768" spans="1:5" ht="40.5">
      <c r="A768" s="271">
        <v>89872</v>
      </c>
      <c r="B768" s="272" t="s">
        <v>879</v>
      </c>
      <c r="C768" s="272" t="s">
        <v>206</v>
      </c>
      <c r="D768" s="273" t="s">
        <v>9887</v>
      </c>
      <c r="E768" s="498" t="s">
        <v>8987</v>
      </c>
    </row>
    <row r="769" spans="1:5" ht="40.5">
      <c r="A769" s="271">
        <v>89873</v>
      </c>
      <c r="B769" s="272" t="s">
        <v>880</v>
      </c>
      <c r="C769" s="272" t="s">
        <v>206</v>
      </c>
      <c r="D769" s="273" t="s">
        <v>14102</v>
      </c>
      <c r="E769" s="498" t="s">
        <v>8987</v>
      </c>
    </row>
    <row r="770" spans="1:5" ht="40.5">
      <c r="A770" s="271">
        <v>89874</v>
      </c>
      <c r="B770" s="272" t="s">
        <v>881</v>
      </c>
      <c r="C770" s="272" t="s">
        <v>206</v>
      </c>
      <c r="D770" s="273" t="s">
        <v>19788</v>
      </c>
      <c r="E770" s="498" t="s">
        <v>8987</v>
      </c>
    </row>
    <row r="771" spans="1:5" ht="40.5">
      <c r="A771" s="271">
        <v>89878</v>
      </c>
      <c r="B771" s="272" t="s">
        <v>882</v>
      </c>
      <c r="C771" s="272" t="s">
        <v>206</v>
      </c>
      <c r="D771" s="273" t="s">
        <v>16097</v>
      </c>
      <c r="E771" s="498" t="s">
        <v>8987</v>
      </c>
    </row>
    <row r="772" spans="1:5" ht="40.5">
      <c r="A772" s="271">
        <v>89879</v>
      </c>
      <c r="B772" s="272" t="s">
        <v>883</v>
      </c>
      <c r="C772" s="272" t="s">
        <v>206</v>
      </c>
      <c r="D772" s="273" t="s">
        <v>21563</v>
      </c>
      <c r="E772" s="498" t="s">
        <v>8987</v>
      </c>
    </row>
    <row r="773" spans="1:5" ht="40.5">
      <c r="A773" s="271">
        <v>89880</v>
      </c>
      <c r="B773" s="272" t="s">
        <v>884</v>
      </c>
      <c r="C773" s="272" t="s">
        <v>206</v>
      </c>
      <c r="D773" s="273" t="s">
        <v>10803</v>
      </c>
      <c r="E773" s="498" t="s">
        <v>8987</v>
      </c>
    </row>
    <row r="774" spans="1:5" ht="40.5">
      <c r="A774" s="271">
        <v>89881</v>
      </c>
      <c r="B774" s="272" t="s">
        <v>885</v>
      </c>
      <c r="C774" s="272" t="s">
        <v>206</v>
      </c>
      <c r="D774" s="273" t="s">
        <v>14157</v>
      </c>
      <c r="E774" s="498" t="s">
        <v>8987</v>
      </c>
    </row>
    <row r="775" spans="1:5" ht="40.5">
      <c r="A775" s="271">
        <v>89882</v>
      </c>
      <c r="B775" s="272" t="s">
        <v>886</v>
      </c>
      <c r="C775" s="272" t="s">
        <v>206</v>
      </c>
      <c r="D775" s="273" t="s">
        <v>21564</v>
      </c>
      <c r="E775" s="498" t="s">
        <v>8987</v>
      </c>
    </row>
    <row r="776" spans="1:5" ht="27">
      <c r="A776" s="271">
        <v>90582</v>
      </c>
      <c r="B776" s="272" t="s">
        <v>887</v>
      </c>
      <c r="C776" s="272" t="s">
        <v>206</v>
      </c>
      <c r="D776" s="273" t="s">
        <v>11201</v>
      </c>
      <c r="E776" s="498" t="s">
        <v>8987</v>
      </c>
    </row>
    <row r="777" spans="1:5" ht="27">
      <c r="A777" s="271">
        <v>90583</v>
      </c>
      <c r="B777" s="272" t="s">
        <v>888</v>
      </c>
      <c r="C777" s="272" t="s">
        <v>206</v>
      </c>
      <c r="D777" s="273" t="s">
        <v>9873</v>
      </c>
      <c r="E777" s="498" t="s">
        <v>8987</v>
      </c>
    </row>
    <row r="778" spans="1:5" ht="27">
      <c r="A778" s="271">
        <v>90584</v>
      </c>
      <c r="B778" s="272" t="s">
        <v>889</v>
      </c>
      <c r="C778" s="272" t="s">
        <v>206</v>
      </c>
      <c r="D778" s="273" t="s">
        <v>9918</v>
      </c>
      <c r="E778" s="498" t="s">
        <v>8987</v>
      </c>
    </row>
    <row r="779" spans="1:5" ht="27">
      <c r="A779" s="271">
        <v>90585</v>
      </c>
      <c r="B779" s="272" t="s">
        <v>890</v>
      </c>
      <c r="C779" s="272" t="s">
        <v>206</v>
      </c>
      <c r="D779" s="273" t="s">
        <v>9937</v>
      </c>
      <c r="E779" s="498" t="s">
        <v>8987</v>
      </c>
    </row>
    <row r="780" spans="1:5" ht="27">
      <c r="A780" s="271">
        <v>90621</v>
      </c>
      <c r="B780" s="272" t="s">
        <v>891</v>
      </c>
      <c r="C780" s="272" t="s">
        <v>206</v>
      </c>
      <c r="D780" s="273" t="s">
        <v>11077</v>
      </c>
      <c r="E780" s="498" t="s">
        <v>8987</v>
      </c>
    </row>
    <row r="781" spans="1:5" ht="27">
      <c r="A781" s="271">
        <v>90622</v>
      </c>
      <c r="B781" s="272" t="s">
        <v>892</v>
      </c>
      <c r="C781" s="272" t="s">
        <v>206</v>
      </c>
      <c r="D781" s="273" t="s">
        <v>9841</v>
      </c>
      <c r="E781" s="498" t="s">
        <v>8987</v>
      </c>
    </row>
    <row r="782" spans="1:5" ht="27">
      <c r="A782" s="271">
        <v>90623</v>
      </c>
      <c r="B782" s="272" t="s">
        <v>893</v>
      </c>
      <c r="C782" s="272" t="s">
        <v>206</v>
      </c>
      <c r="D782" s="273" t="s">
        <v>10432</v>
      </c>
      <c r="E782" s="498" t="s">
        <v>8987</v>
      </c>
    </row>
    <row r="783" spans="1:5" ht="27">
      <c r="A783" s="271">
        <v>90624</v>
      </c>
      <c r="B783" s="272" t="s">
        <v>894</v>
      </c>
      <c r="C783" s="272" t="s">
        <v>206</v>
      </c>
      <c r="D783" s="273" t="s">
        <v>9923</v>
      </c>
      <c r="E783" s="498" t="s">
        <v>8987</v>
      </c>
    </row>
    <row r="784" spans="1:5" ht="27">
      <c r="A784" s="271">
        <v>90627</v>
      </c>
      <c r="B784" s="272" t="s">
        <v>895</v>
      </c>
      <c r="C784" s="272" t="s">
        <v>206</v>
      </c>
      <c r="D784" s="273" t="s">
        <v>12149</v>
      </c>
      <c r="E784" s="498" t="s">
        <v>8987</v>
      </c>
    </row>
    <row r="785" spans="1:5" ht="27">
      <c r="A785" s="271">
        <v>90628</v>
      </c>
      <c r="B785" s="272" t="s">
        <v>896</v>
      </c>
      <c r="C785" s="272" t="s">
        <v>206</v>
      </c>
      <c r="D785" s="273" t="s">
        <v>10940</v>
      </c>
      <c r="E785" s="498" t="s">
        <v>8987</v>
      </c>
    </row>
    <row r="786" spans="1:5" ht="27">
      <c r="A786" s="271">
        <v>90629</v>
      </c>
      <c r="B786" s="272" t="s">
        <v>897</v>
      </c>
      <c r="C786" s="272" t="s">
        <v>206</v>
      </c>
      <c r="D786" s="273" t="s">
        <v>21565</v>
      </c>
      <c r="E786" s="498" t="s">
        <v>8987</v>
      </c>
    </row>
    <row r="787" spans="1:5" ht="27">
      <c r="A787" s="271">
        <v>90630</v>
      </c>
      <c r="B787" s="272" t="s">
        <v>898</v>
      </c>
      <c r="C787" s="272" t="s">
        <v>206</v>
      </c>
      <c r="D787" s="273" t="s">
        <v>19785</v>
      </c>
      <c r="E787" s="498" t="s">
        <v>8987</v>
      </c>
    </row>
    <row r="788" spans="1:5" ht="40.5">
      <c r="A788" s="271">
        <v>90633</v>
      </c>
      <c r="B788" s="272" t="s">
        <v>899</v>
      </c>
      <c r="C788" s="272" t="s">
        <v>206</v>
      </c>
      <c r="D788" s="273" t="s">
        <v>10898</v>
      </c>
      <c r="E788" s="498" t="s">
        <v>8987</v>
      </c>
    </row>
    <row r="789" spans="1:5" ht="40.5">
      <c r="A789" s="271">
        <v>90634</v>
      </c>
      <c r="B789" s="272" t="s">
        <v>900</v>
      </c>
      <c r="C789" s="272" t="s">
        <v>206</v>
      </c>
      <c r="D789" s="273" t="s">
        <v>11201</v>
      </c>
      <c r="E789" s="498" t="s">
        <v>8987</v>
      </c>
    </row>
    <row r="790" spans="1:5" ht="40.5">
      <c r="A790" s="271">
        <v>90635</v>
      </c>
      <c r="B790" s="272" t="s">
        <v>901</v>
      </c>
      <c r="C790" s="272" t="s">
        <v>206</v>
      </c>
      <c r="D790" s="273" t="s">
        <v>10019</v>
      </c>
      <c r="E790" s="498" t="s">
        <v>8987</v>
      </c>
    </row>
    <row r="791" spans="1:5" ht="40.5">
      <c r="A791" s="271">
        <v>90636</v>
      </c>
      <c r="B791" s="272" t="s">
        <v>902</v>
      </c>
      <c r="C791" s="272" t="s">
        <v>206</v>
      </c>
      <c r="D791" s="273" t="s">
        <v>9840</v>
      </c>
      <c r="E791" s="498" t="s">
        <v>8987</v>
      </c>
    </row>
    <row r="792" spans="1:5" ht="27">
      <c r="A792" s="271">
        <v>90639</v>
      </c>
      <c r="B792" s="272" t="s">
        <v>903</v>
      </c>
      <c r="C792" s="272" t="s">
        <v>206</v>
      </c>
      <c r="D792" s="273" t="s">
        <v>9755</v>
      </c>
      <c r="E792" s="498" t="s">
        <v>8987</v>
      </c>
    </row>
    <row r="793" spans="1:5" ht="27">
      <c r="A793" s="271">
        <v>90640</v>
      </c>
      <c r="B793" s="272" t="s">
        <v>904</v>
      </c>
      <c r="C793" s="272" t="s">
        <v>206</v>
      </c>
      <c r="D793" s="273" t="s">
        <v>11073</v>
      </c>
      <c r="E793" s="498" t="s">
        <v>8987</v>
      </c>
    </row>
    <row r="794" spans="1:5" ht="27">
      <c r="A794" s="271">
        <v>90641</v>
      </c>
      <c r="B794" s="272" t="s">
        <v>905</v>
      </c>
      <c r="C794" s="272" t="s">
        <v>206</v>
      </c>
      <c r="D794" s="273" t="s">
        <v>19478</v>
      </c>
      <c r="E794" s="498" t="s">
        <v>8987</v>
      </c>
    </row>
    <row r="795" spans="1:5" ht="27">
      <c r="A795" s="271">
        <v>90642</v>
      </c>
      <c r="B795" s="272" t="s">
        <v>906</v>
      </c>
      <c r="C795" s="272" t="s">
        <v>206</v>
      </c>
      <c r="D795" s="273" t="s">
        <v>21566</v>
      </c>
      <c r="E795" s="498" t="s">
        <v>8987</v>
      </c>
    </row>
    <row r="796" spans="1:5" ht="27">
      <c r="A796" s="271">
        <v>90646</v>
      </c>
      <c r="B796" s="272" t="s">
        <v>907</v>
      </c>
      <c r="C796" s="272" t="s">
        <v>206</v>
      </c>
      <c r="D796" s="273" t="s">
        <v>9937</v>
      </c>
      <c r="E796" s="498" t="s">
        <v>8987</v>
      </c>
    </row>
    <row r="797" spans="1:5" ht="27">
      <c r="A797" s="271">
        <v>90647</v>
      </c>
      <c r="B797" s="272" t="s">
        <v>908</v>
      </c>
      <c r="C797" s="272" t="s">
        <v>206</v>
      </c>
      <c r="D797" s="273" t="s">
        <v>9925</v>
      </c>
      <c r="E797" s="498" t="s">
        <v>8987</v>
      </c>
    </row>
    <row r="798" spans="1:5" ht="27">
      <c r="A798" s="271">
        <v>90648</v>
      </c>
      <c r="B798" s="272" t="s">
        <v>909</v>
      </c>
      <c r="C798" s="272" t="s">
        <v>206</v>
      </c>
      <c r="D798" s="273" t="s">
        <v>11540</v>
      </c>
      <c r="E798" s="498" t="s">
        <v>8987</v>
      </c>
    </row>
    <row r="799" spans="1:5" ht="40.5">
      <c r="A799" s="271">
        <v>90649</v>
      </c>
      <c r="B799" s="272" t="s">
        <v>910</v>
      </c>
      <c r="C799" s="272" t="s">
        <v>206</v>
      </c>
      <c r="D799" s="273" t="s">
        <v>9983</v>
      </c>
      <c r="E799" s="498" t="s">
        <v>8987</v>
      </c>
    </row>
    <row r="800" spans="1:5" ht="27">
      <c r="A800" s="271">
        <v>90652</v>
      </c>
      <c r="B800" s="272" t="s">
        <v>911</v>
      </c>
      <c r="C800" s="272" t="s">
        <v>206</v>
      </c>
      <c r="D800" s="273" t="s">
        <v>19008</v>
      </c>
      <c r="E800" s="498" t="s">
        <v>8987</v>
      </c>
    </row>
    <row r="801" spans="1:5" ht="13.5">
      <c r="A801" s="271">
        <v>90653</v>
      </c>
      <c r="B801" s="272" t="s">
        <v>912</v>
      </c>
      <c r="C801" s="272" t="s">
        <v>206</v>
      </c>
      <c r="D801" s="273" t="s">
        <v>10070</v>
      </c>
      <c r="E801" s="498" t="s">
        <v>8987</v>
      </c>
    </row>
    <row r="802" spans="1:5" ht="27">
      <c r="A802" s="271">
        <v>90654</v>
      </c>
      <c r="B802" s="272" t="s">
        <v>913</v>
      </c>
      <c r="C802" s="272" t="s">
        <v>206</v>
      </c>
      <c r="D802" s="273" t="s">
        <v>10435</v>
      </c>
      <c r="E802" s="498" t="s">
        <v>8987</v>
      </c>
    </row>
    <row r="803" spans="1:5" ht="27">
      <c r="A803" s="271">
        <v>90655</v>
      </c>
      <c r="B803" s="272" t="s">
        <v>914</v>
      </c>
      <c r="C803" s="272" t="s">
        <v>206</v>
      </c>
      <c r="D803" s="273" t="s">
        <v>9986</v>
      </c>
      <c r="E803" s="498" t="s">
        <v>8987</v>
      </c>
    </row>
    <row r="804" spans="1:5" ht="27">
      <c r="A804" s="271">
        <v>90658</v>
      </c>
      <c r="B804" s="272" t="s">
        <v>915</v>
      </c>
      <c r="C804" s="272" t="s">
        <v>206</v>
      </c>
      <c r="D804" s="273" t="s">
        <v>9809</v>
      </c>
      <c r="E804" s="498" t="s">
        <v>8987</v>
      </c>
    </row>
    <row r="805" spans="1:5" ht="13.5">
      <c r="A805" s="271">
        <v>90659</v>
      </c>
      <c r="B805" s="272" t="s">
        <v>916</v>
      </c>
      <c r="C805" s="272" t="s">
        <v>206</v>
      </c>
      <c r="D805" s="273" t="s">
        <v>10067</v>
      </c>
      <c r="E805" s="498" t="s">
        <v>8987</v>
      </c>
    </row>
    <row r="806" spans="1:5" ht="27">
      <c r="A806" s="271">
        <v>90660</v>
      </c>
      <c r="B806" s="272" t="s">
        <v>917</v>
      </c>
      <c r="C806" s="272" t="s">
        <v>206</v>
      </c>
      <c r="D806" s="273" t="s">
        <v>10506</v>
      </c>
      <c r="E806" s="498" t="s">
        <v>8987</v>
      </c>
    </row>
    <row r="807" spans="1:5" ht="27">
      <c r="A807" s="271">
        <v>90661</v>
      </c>
      <c r="B807" s="272" t="s">
        <v>918</v>
      </c>
      <c r="C807" s="272" t="s">
        <v>206</v>
      </c>
      <c r="D807" s="273" t="s">
        <v>9986</v>
      </c>
      <c r="E807" s="498" t="s">
        <v>8987</v>
      </c>
    </row>
    <row r="808" spans="1:5" ht="40.5">
      <c r="A808" s="271">
        <v>90664</v>
      </c>
      <c r="B808" s="272" t="s">
        <v>919</v>
      </c>
      <c r="C808" s="272" t="s">
        <v>206</v>
      </c>
      <c r="D808" s="273" t="s">
        <v>12194</v>
      </c>
      <c r="E808" s="498" t="s">
        <v>8987</v>
      </c>
    </row>
    <row r="809" spans="1:5" ht="40.5">
      <c r="A809" s="271">
        <v>90665</v>
      </c>
      <c r="B809" s="272" t="s">
        <v>920</v>
      </c>
      <c r="C809" s="272" t="s">
        <v>206</v>
      </c>
      <c r="D809" s="273" t="s">
        <v>11073</v>
      </c>
      <c r="E809" s="498" t="s">
        <v>8987</v>
      </c>
    </row>
    <row r="810" spans="1:5" ht="40.5">
      <c r="A810" s="271">
        <v>90666</v>
      </c>
      <c r="B810" s="272" t="s">
        <v>921</v>
      </c>
      <c r="C810" s="272" t="s">
        <v>206</v>
      </c>
      <c r="D810" s="273" t="s">
        <v>11479</v>
      </c>
      <c r="E810" s="498" t="s">
        <v>8987</v>
      </c>
    </row>
    <row r="811" spans="1:5" ht="40.5">
      <c r="A811" s="271">
        <v>90667</v>
      </c>
      <c r="B811" s="272" t="s">
        <v>922</v>
      </c>
      <c r="C811" s="272" t="s">
        <v>206</v>
      </c>
      <c r="D811" s="273" t="s">
        <v>21567</v>
      </c>
      <c r="E811" s="498" t="s">
        <v>8987</v>
      </c>
    </row>
    <row r="812" spans="1:5" ht="40.5">
      <c r="A812" s="271">
        <v>90670</v>
      </c>
      <c r="B812" s="272" t="s">
        <v>923</v>
      </c>
      <c r="C812" s="272" t="s">
        <v>206</v>
      </c>
      <c r="D812" s="273" t="s">
        <v>21568</v>
      </c>
      <c r="E812" s="498" t="s">
        <v>8987</v>
      </c>
    </row>
    <row r="813" spans="1:5" ht="40.5">
      <c r="A813" s="271">
        <v>90671</v>
      </c>
      <c r="B813" s="272" t="s">
        <v>924</v>
      </c>
      <c r="C813" s="272" t="s">
        <v>206</v>
      </c>
      <c r="D813" s="273" t="s">
        <v>20202</v>
      </c>
      <c r="E813" s="498" t="s">
        <v>8987</v>
      </c>
    </row>
    <row r="814" spans="1:5" ht="40.5">
      <c r="A814" s="271">
        <v>90672</v>
      </c>
      <c r="B814" s="272" t="s">
        <v>925</v>
      </c>
      <c r="C814" s="272" t="s">
        <v>206</v>
      </c>
      <c r="D814" s="273" t="s">
        <v>21569</v>
      </c>
      <c r="E814" s="498" t="s">
        <v>8987</v>
      </c>
    </row>
    <row r="815" spans="1:5" ht="40.5">
      <c r="A815" s="271">
        <v>90673</v>
      </c>
      <c r="B815" s="272" t="s">
        <v>926</v>
      </c>
      <c r="C815" s="272" t="s">
        <v>206</v>
      </c>
      <c r="D815" s="273" t="s">
        <v>21570</v>
      </c>
      <c r="E815" s="498" t="s">
        <v>8987</v>
      </c>
    </row>
    <row r="816" spans="1:5" ht="40.5">
      <c r="A816" s="271">
        <v>90676</v>
      </c>
      <c r="B816" s="272" t="s">
        <v>927</v>
      </c>
      <c r="C816" s="272" t="s">
        <v>206</v>
      </c>
      <c r="D816" s="273" t="s">
        <v>21571</v>
      </c>
      <c r="E816" s="498" t="s">
        <v>8987</v>
      </c>
    </row>
    <row r="817" spans="1:5" ht="40.5">
      <c r="A817" s="271">
        <v>90677</v>
      </c>
      <c r="B817" s="272" t="s">
        <v>928</v>
      </c>
      <c r="C817" s="272" t="s">
        <v>206</v>
      </c>
      <c r="D817" s="273" t="s">
        <v>16591</v>
      </c>
      <c r="E817" s="498" t="s">
        <v>8987</v>
      </c>
    </row>
    <row r="818" spans="1:5" ht="40.5">
      <c r="A818" s="271">
        <v>90678</v>
      </c>
      <c r="B818" s="272" t="s">
        <v>929</v>
      </c>
      <c r="C818" s="272" t="s">
        <v>206</v>
      </c>
      <c r="D818" s="273" t="s">
        <v>21572</v>
      </c>
      <c r="E818" s="498" t="s">
        <v>8987</v>
      </c>
    </row>
    <row r="819" spans="1:5" ht="40.5">
      <c r="A819" s="271">
        <v>90679</v>
      </c>
      <c r="B819" s="272" t="s">
        <v>930</v>
      </c>
      <c r="C819" s="272" t="s">
        <v>206</v>
      </c>
      <c r="D819" s="273" t="s">
        <v>16679</v>
      </c>
      <c r="E819" s="498" t="s">
        <v>8987</v>
      </c>
    </row>
    <row r="820" spans="1:5" ht="27">
      <c r="A820" s="271">
        <v>90682</v>
      </c>
      <c r="B820" s="272" t="s">
        <v>931</v>
      </c>
      <c r="C820" s="272" t="s">
        <v>206</v>
      </c>
      <c r="D820" s="273" t="s">
        <v>9772</v>
      </c>
      <c r="E820" s="498" t="s">
        <v>8987</v>
      </c>
    </row>
    <row r="821" spans="1:5" ht="27">
      <c r="A821" s="271">
        <v>90683</v>
      </c>
      <c r="B821" s="272" t="s">
        <v>932</v>
      </c>
      <c r="C821" s="272" t="s">
        <v>206</v>
      </c>
      <c r="D821" s="273" t="s">
        <v>9896</v>
      </c>
      <c r="E821" s="498" t="s">
        <v>8987</v>
      </c>
    </row>
    <row r="822" spans="1:5" ht="27">
      <c r="A822" s="271">
        <v>90684</v>
      </c>
      <c r="B822" s="272" t="s">
        <v>933</v>
      </c>
      <c r="C822" s="272" t="s">
        <v>206</v>
      </c>
      <c r="D822" s="273" t="s">
        <v>16023</v>
      </c>
      <c r="E822" s="498" t="s">
        <v>8987</v>
      </c>
    </row>
    <row r="823" spans="1:5" ht="27">
      <c r="A823" s="271">
        <v>90685</v>
      </c>
      <c r="B823" s="272" t="s">
        <v>934</v>
      </c>
      <c r="C823" s="272" t="s">
        <v>206</v>
      </c>
      <c r="D823" s="273" t="s">
        <v>21573</v>
      </c>
      <c r="E823" s="498" t="s">
        <v>8987</v>
      </c>
    </row>
    <row r="824" spans="1:5" ht="27">
      <c r="A824" s="271">
        <v>90688</v>
      </c>
      <c r="B824" s="272" t="s">
        <v>935</v>
      </c>
      <c r="C824" s="272" t="s">
        <v>206</v>
      </c>
      <c r="D824" s="273" t="s">
        <v>20252</v>
      </c>
      <c r="E824" s="498" t="s">
        <v>8987</v>
      </c>
    </row>
    <row r="825" spans="1:5" ht="27">
      <c r="A825" s="271">
        <v>90689</v>
      </c>
      <c r="B825" s="272" t="s">
        <v>936</v>
      </c>
      <c r="C825" s="272" t="s">
        <v>206</v>
      </c>
      <c r="D825" s="273" t="s">
        <v>11064</v>
      </c>
      <c r="E825" s="498" t="s">
        <v>8987</v>
      </c>
    </row>
    <row r="826" spans="1:5" ht="27">
      <c r="A826" s="271">
        <v>90690</v>
      </c>
      <c r="B826" s="272" t="s">
        <v>937</v>
      </c>
      <c r="C826" s="272" t="s">
        <v>206</v>
      </c>
      <c r="D826" s="273" t="s">
        <v>16619</v>
      </c>
      <c r="E826" s="498" t="s">
        <v>8987</v>
      </c>
    </row>
    <row r="827" spans="1:5" ht="27">
      <c r="A827" s="271">
        <v>90691</v>
      </c>
      <c r="B827" s="272" t="s">
        <v>938</v>
      </c>
      <c r="C827" s="272" t="s">
        <v>206</v>
      </c>
      <c r="D827" s="273" t="s">
        <v>21574</v>
      </c>
      <c r="E827" s="498" t="s">
        <v>8987</v>
      </c>
    </row>
    <row r="828" spans="1:5" ht="27">
      <c r="A828" s="271">
        <v>90957</v>
      </c>
      <c r="B828" s="272" t="s">
        <v>939</v>
      </c>
      <c r="C828" s="272" t="s">
        <v>206</v>
      </c>
      <c r="D828" s="273" t="s">
        <v>11164</v>
      </c>
      <c r="E828" s="498" t="s">
        <v>8987</v>
      </c>
    </row>
    <row r="829" spans="1:5" ht="27">
      <c r="A829" s="271">
        <v>90958</v>
      </c>
      <c r="B829" s="272" t="s">
        <v>940</v>
      </c>
      <c r="C829" s="272" t="s">
        <v>206</v>
      </c>
      <c r="D829" s="273" t="s">
        <v>10036</v>
      </c>
      <c r="E829" s="498" t="s">
        <v>8987</v>
      </c>
    </row>
    <row r="830" spans="1:5" ht="27">
      <c r="A830" s="271">
        <v>90960</v>
      </c>
      <c r="B830" s="272" t="s">
        <v>941</v>
      </c>
      <c r="C830" s="272" t="s">
        <v>206</v>
      </c>
      <c r="D830" s="273" t="s">
        <v>16489</v>
      </c>
      <c r="E830" s="498" t="s">
        <v>8987</v>
      </c>
    </row>
    <row r="831" spans="1:5" ht="27">
      <c r="A831" s="271">
        <v>90961</v>
      </c>
      <c r="B831" s="272" t="s">
        <v>942</v>
      </c>
      <c r="C831" s="272" t="s">
        <v>206</v>
      </c>
      <c r="D831" s="273" t="s">
        <v>11073</v>
      </c>
      <c r="E831" s="498" t="s">
        <v>8987</v>
      </c>
    </row>
    <row r="832" spans="1:5" ht="27">
      <c r="A832" s="271">
        <v>90962</v>
      </c>
      <c r="B832" s="272" t="s">
        <v>943</v>
      </c>
      <c r="C832" s="272" t="s">
        <v>206</v>
      </c>
      <c r="D832" s="273" t="s">
        <v>9811</v>
      </c>
      <c r="E832" s="498" t="s">
        <v>8987</v>
      </c>
    </row>
    <row r="833" spans="1:5" ht="27">
      <c r="A833" s="271">
        <v>90963</v>
      </c>
      <c r="B833" s="272" t="s">
        <v>944</v>
      </c>
      <c r="C833" s="272" t="s">
        <v>206</v>
      </c>
      <c r="D833" s="273" t="s">
        <v>21567</v>
      </c>
      <c r="E833" s="498" t="s">
        <v>8987</v>
      </c>
    </row>
    <row r="834" spans="1:5" ht="27">
      <c r="A834" s="271">
        <v>90968</v>
      </c>
      <c r="B834" s="272" t="s">
        <v>945</v>
      </c>
      <c r="C834" s="272" t="s">
        <v>206</v>
      </c>
      <c r="D834" s="273" t="s">
        <v>18767</v>
      </c>
      <c r="E834" s="498" t="s">
        <v>8987</v>
      </c>
    </row>
    <row r="835" spans="1:5" ht="27">
      <c r="A835" s="271">
        <v>90969</v>
      </c>
      <c r="B835" s="272" t="s">
        <v>946</v>
      </c>
      <c r="C835" s="272" t="s">
        <v>206</v>
      </c>
      <c r="D835" s="273" t="s">
        <v>11073</v>
      </c>
      <c r="E835" s="498" t="s">
        <v>8987</v>
      </c>
    </row>
    <row r="836" spans="1:5" ht="27">
      <c r="A836" s="271">
        <v>90970</v>
      </c>
      <c r="B836" s="272" t="s">
        <v>947</v>
      </c>
      <c r="C836" s="272" t="s">
        <v>206</v>
      </c>
      <c r="D836" s="273" t="s">
        <v>10218</v>
      </c>
      <c r="E836" s="498" t="s">
        <v>8987</v>
      </c>
    </row>
    <row r="837" spans="1:5" ht="27">
      <c r="A837" s="271">
        <v>90971</v>
      </c>
      <c r="B837" s="272" t="s">
        <v>948</v>
      </c>
      <c r="C837" s="272" t="s">
        <v>206</v>
      </c>
      <c r="D837" s="273" t="s">
        <v>21575</v>
      </c>
      <c r="E837" s="498" t="s">
        <v>8987</v>
      </c>
    </row>
    <row r="838" spans="1:5" ht="27">
      <c r="A838" s="271">
        <v>90975</v>
      </c>
      <c r="B838" s="272" t="s">
        <v>949</v>
      </c>
      <c r="C838" s="272" t="s">
        <v>206</v>
      </c>
      <c r="D838" s="273" t="s">
        <v>14071</v>
      </c>
      <c r="E838" s="498" t="s">
        <v>8987</v>
      </c>
    </row>
    <row r="839" spans="1:5" ht="27">
      <c r="A839" s="271">
        <v>90976</v>
      </c>
      <c r="B839" s="272" t="s">
        <v>950</v>
      </c>
      <c r="C839" s="272" t="s">
        <v>206</v>
      </c>
      <c r="D839" s="273" t="s">
        <v>16396</v>
      </c>
      <c r="E839" s="498" t="s">
        <v>8987</v>
      </c>
    </row>
    <row r="840" spans="1:5" ht="27">
      <c r="A840" s="271">
        <v>90977</v>
      </c>
      <c r="B840" s="272" t="s">
        <v>951</v>
      </c>
      <c r="C840" s="272" t="s">
        <v>206</v>
      </c>
      <c r="D840" s="273" t="s">
        <v>20040</v>
      </c>
      <c r="E840" s="498" t="s">
        <v>8987</v>
      </c>
    </row>
    <row r="841" spans="1:5" ht="27">
      <c r="A841" s="271">
        <v>90978</v>
      </c>
      <c r="B841" s="272" t="s">
        <v>952</v>
      </c>
      <c r="C841" s="272" t="s">
        <v>206</v>
      </c>
      <c r="D841" s="273" t="s">
        <v>18982</v>
      </c>
      <c r="E841" s="498" t="s">
        <v>8987</v>
      </c>
    </row>
    <row r="842" spans="1:5" ht="27">
      <c r="A842" s="271">
        <v>90992</v>
      </c>
      <c r="B842" s="272" t="s">
        <v>953</v>
      </c>
      <c r="C842" s="272" t="s">
        <v>206</v>
      </c>
      <c r="D842" s="273" t="s">
        <v>19942</v>
      </c>
      <c r="E842" s="498" t="s">
        <v>8987</v>
      </c>
    </row>
    <row r="843" spans="1:5" ht="27">
      <c r="A843" s="271">
        <v>90993</v>
      </c>
      <c r="B843" s="272" t="s">
        <v>954</v>
      </c>
      <c r="C843" s="272" t="s">
        <v>206</v>
      </c>
      <c r="D843" s="273" t="s">
        <v>10054</v>
      </c>
      <c r="E843" s="498" t="s">
        <v>8987</v>
      </c>
    </row>
    <row r="844" spans="1:5" ht="27">
      <c r="A844" s="271">
        <v>90994</v>
      </c>
      <c r="B844" s="272" t="s">
        <v>955</v>
      </c>
      <c r="C844" s="272" t="s">
        <v>206</v>
      </c>
      <c r="D844" s="273" t="s">
        <v>12396</v>
      </c>
      <c r="E844" s="498" t="s">
        <v>8987</v>
      </c>
    </row>
    <row r="845" spans="1:5" ht="27">
      <c r="A845" s="271">
        <v>90995</v>
      </c>
      <c r="B845" s="272" t="s">
        <v>956</v>
      </c>
      <c r="C845" s="272" t="s">
        <v>206</v>
      </c>
      <c r="D845" s="273" t="s">
        <v>15883</v>
      </c>
      <c r="E845" s="498" t="s">
        <v>8987</v>
      </c>
    </row>
    <row r="846" spans="1:5" ht="40.5">
      <c r="A846" s="271">
        <v>91021</v>
      </c>
      <c r="B846" s="272" t="s">
        <v>957</v>
      </c>
      <c r="C846" s="272" t="s">
        <v>206</v>
      </c>
      <c r="D846" s="273" t="s">
        <v>11440</v>
      </c>
      <c r="E846" s="498" t="s">
        <v>8987</v>
      </c>
    </row>
    <row r="847" spans="1:5" ht="40.5">
      <c r="A847" s="271">
        <v>91026</v>
      </c>
      <c r="B847" s="272" t="s">
        <v>958</v>
      </c>
      <c r="C847" s="272" t="s">
        <v>206</v>
      </c>
      <c r="D847" s="273" t="s">
        <v>16710</v>
      </c>
      <c r="E847" s="498" t="s">
        <v>8987</v>
      </c>
    </row>
    <row r="848" spans="1:5" ht="40.5">
      <c r="A848" s="271">
        <v>91027</v>
      </c>
      <c r="B848" s="272" t="s">
        <v>959</v>
      </c>
      <c r="C848" s="272" t="s">
        <v>206</v>
      </c>
      <c r="D848" s="273" t="s">
        <v>21549</v>
      </c>
      <c r="E848" s="498" t="s">
        <v>8987</v>
      </c>
    </row>
    <row r="849" spans="1:5" ht="40.5">
      <c r="A849" s="271">
        <v>91028</v>
      </c>
      <c r="B849" s="272" t="s">
        <v>960</v>
      </c>
      <c r="C849" s="272" t="s">
        <v>206</v>
      </c>
      <c r="D849" s="273" t="s">
        <v>9907</v>
      </c>
      <c r="E849" s="498" t="s">
        <v>8987</v>
      </c>
    </row>
    <row r="850" spans="1:5" ht="40.5">
      <c r="A850" s="271">
        <v>91029</v>
      </c>
      <c r="B850" s="272" t="s">
        <v>961</v>
      </c>
      <c r="C850" s="272" t="s">
        <v>206</v>
      </c>
      <c r="D850" s="273" t="s">
        <v>11047</v>
      </c>
      <c r="E850" s="498" t="s">
        <v>8987</v>
      </c>
    </row>
    <row r="851" spans="1:5" ht="40.5">
      <c r="A851" s="271">
        <v>91030</v>
      </c>
      <c r="B851" s="272" t="s">
        <v>962</v>
      </c>
      <c r="C851" s="272" t="s">
        <v>206</v>
      </c>
      <c r="D851" s="273" t="s">
        <v>21576</v>
      </c>
      <c r="E851" s="498" t="s">
        <v>8987</v>
      </c>
    </row>
    <row r="852" spans="1:5" ht="27">
      <c r="A852" s="271">
        <v>91273</v>
      </c>
      <c r="B852" s="272" t="s">
        <v>963</v>
      </c>
      <c r="C852" s="272" t="s">
        <v>206</v>
      </c>
      <c r="D852" s="273" t="s">
        <v>9875</v>
      </c>
      <c r="E852" s="498" t="s">
        <v>8987</v>
      </c>
    </row>
    <row r="853" spans="1:5" ht="27">
      <c r="A853" s="271">
        <v>91274</v>
      </c>
      <c r="B853" s="272" t="s">
        <v>964</v>
      </c>
      <c r="C853" s="272" t="s">
        <v>206</v>
      </c>
      <c r="D853" s="273" t="s">
        <v>9824</v>
      </c>
      <c r="E853" s="498" t="s">
        <v>8987</v>
      </c>
    </row>
    <row r="854" spans="1:5" ht="27">
      <c r="A854" s="271">
        <v>91275</v>
      </c>
      <c r="B854" s="272" t="s">
        <v>965</v>
      </c>
      <c r="C854" s="272" t="s">
        <v>206</v>
      </c>
      <c r="D854" s="273" t="s">
        <v>12166</v>
      </c>
      <c r="E854" s="498" t="s">
        <v>8987</v>
      </c>
    </row>
    <row r="855" spans="1:5" ht="27">
      <c r="A855" s="271">
        <v>91276</v>
      </c>
      <c r="B855" s="272" t="s">
        <v>966</v>
      </c>
      <c r="C855" s="272" t="s">
        <v>206</v>
      </c>
      <c r="D855" s="273" t="s">
        <v>12184</v>
      </c>
      <c r="E855" s="498" t="s">
        <v>8987</v>
      </c>
    </row>
    <row r="856" spans="1:5" ht="40.5">
      <c r="A856" s="271">
        <v>91279</v>
      </c>
      <c r="B856" s="272" t="s">
        <v>967</v>
      </c>
      <c r="C856" s="272" t="s">
        <v>206</v>
      </c>
      <c r="D856" s="273" t="s">
        <v>9862</v>
      </c>
      <c r="E856" s="498" t="s">
        <v>8987</v>
      </c>
    </row>
    <row r="857" spans="1:5" ht="40.5">
      <c r="A857" s="271">
        <v>91280</v>
      </c>
      <c r="B857" s="272" t="s">
        <v>968</v>
      </c>
      <c r="C857" s="272" t="s">
        <v>206</v>
      </c>
      <c r="D857" s="273" t="s">
        <v>9865</v>
      </c>
      <c r="E857" s="498" t="s">
        <v>8987</v>
      </c>
    </row>
    <row r="858" spans="1:5" ht="40.5">
      <c r="A858" s="271">
        <v>91281</v>
      </c>
      <c r="B858" s="272" t="s">
        <v>969</v>
      </c>
      <c r="C858" s="272" t="s">
        <v>206</v>
      </c>
      <c r="D858" s="273" t="s">
        <v>9960</v>
      </c>
      <c r="E858" s="498" t="s">
        <v>8987</v>
      </c>
    </row>
    <row r="859" spans="1:5" ht="40.5">
      <c r="A859" s="271">
        <v>91282</v>
      </c>
      <c r="B859" s="272" t="s">
        <v>970</v>
      </c>
      <c r="C859" s="272" t="s">
        <v>206</v>
      </c>
      <c r="D859" s="273" t="s">
        <v>15790</v>
      </c>
      <c r="E859" s="498" t="s">
        <v>8987</v>
      </c>
    </row>
    <row r="860" spans="1:5" ht="27">
      <c r="A860" s="271">
        <v>91354</v>
      </c>
      <c r="B860" s="272" t="s">
        <v>971</v>
      </c>
      <c r="C860" s="272" t="s">
        <v>206</v>
      </c>
      <c r="D860" s="273" t="s">
        <v>10643</v>
      </c>
      <c r="E860" s="498" t="s">
        <v>8987</v>
      </c>
    </row>
    <row r="861" spans="1:5" ht="27">
      <c r="A861" s="271">
        <v>91355</v>
      </c>
      <c r="B861" s="272" t="s">
        <v>972</v>
      </c>
      <c r="C861" s="272" t="s">
        <v>206</v>
      </c>
      <c r="D861" s="273" t="s">
        <v>9833</v>
      </c>
      <c r="E861" s="498" t="s">
        <v>8987</v>
      </c>
    </row>
    <row r="862" spans="1:5" ht="40.5">
      <c r="A862" s="271">
        <v>91356</v>
      </c>
      <c r="B862" s="272" t="s">
        <v>973</v>
      </c>
      <c r="C862" s="272" t="s">
        <v>206</v>
      </c>
      <c r="D862" s="273" t="s">
        <v>9874</v>
      </c>
      <c r="E862" s="498" t="s">
        <v>8987</v>
      </c>
    </row>
    <row r="863" spans="1:5" ht="40.5">
      <c r="A863" s="271">
        <v>91359</v>
      </c>
      <c r="B863" s="272" t="s">
        <v>974</v>
      </c>
      <c r="C863" s="272" t="s">
        <v>206</v>
      </c>
      <c r="D863" s="273" t="s">
        <v>10242</v>
      </c>
      <c r="E863" s="498" t="s">
        <v>8987</v>
      </c>
    </row>
    <row r="864" spans="1:5" ht="40.5">
      <c r="A864" s="271">
        <v>91360</v>
      </c>
      <c r="B864" s="272" t="s">
        <v>975</v>
      </c>
      <c r="C864" s="272" t="s">
        <v>206</v>
      </c>
      <c r="D864" s="273" t="s">
        <v>11272</v>
      </c>
      <c r="E864" s="498" t="s">
        <v>8987</v>
      </c>
    </row>
    <row r="865" spans="1:5" ht="40.5">
      <c r="A865" s="271">
        <v>91361</v>
      </c>
      <c r="B865" s="272" t="s">
        <v>976</v>
      </c>
      <c r="C865" s="272" t="s">
        <v>206</v>
      </c>
      <c r="D865" s="273" t="s">
        <v>9830</v>
      </c>
      <c r="E865" s="498" t="s">
        <v>8987</v>
      </c>
    </row>
    <row r="866" spans="1:5" ht="40.5">
      <c r="A866" s="271">
        <v>91367</v>
      </c>
      <c r="B866" s="272" t="s">
        <v>977</v>
      </c>
      <c r="C866" s="272" t="s">
        <v>206</v>
      </c>
      <c r="D866" s="273" t="s">
        <v>15856</v>
      </c>
      <c r="E866" s="498" t="s">
        <v>8987</v>
      </c>
    </row>
    <row r="867" spans="1:5" ht="40.5">
      <c r="A867" s="271">
        <v>91368</v>
      </c>
      <c r="B867" s="272" t="s">
        <v>978</v>
      </c>
      <c r="C867" s="272" t="s">
        <v>206</v>
      </c>
      <c r="D867" s="273" t="s">
        <v>10041</v>
      </c>
      <c r="E867" s="498" t="s">
        <v>8987</v>
      </c>
    </row>
    <row r="868" spans="1:5" ht="40.5">
      <c r="A868" s="271">
        <v>91369</v>
      </c>
      <c r="B868" s="272" t="s">
        <v>979</v>
      </c>
      <c r="C868" s="272" t="s">
        <v>206</v>
      </c>
      <c r="D868" s="273" t="s">
        <v>10027</v>
      </c>
      <c r="E868" s="498" t="s">
        <v>8987</v>
      </c>
    </row>
    <row r="869" spans="1:5" ht="27">
      <c r="A869" s="271">
        <v>91375</v>
      </c>
      <c r="B869" s="272" t="s">
        <v>980</v>
      </c>
      <c r="C869" s="272" t="s">
        <v>206</v>
      </c>
      <c r="D869" s="273" t="s">
        <v>16478</v>
      </c>
      <c r="E869" s="498" t="s">
        <v>8987</v>
      </c>
    </row>
    <row r="870" spans="1:5" ht="27">
      <c r="A870" s="271">
        <v>91376</v>
      </c>
      <c r="B870" s="272" t="s">
        <v>981</v>
      </c>
      <c r="C870" s="272" t="s">
        <v>206</v>
      </c>
      <c r="D870" s="273" t="s">
        <v>9887</v>
      </c>
      <c r="E870" s="498" t="s">
        <v>8987</v>
      </c>
    </row>
    <row r="871" spans="1:5" ht="40.5">
      <c r="A871" s="271">
        <v>91377</v>
      </c>
      <c r="B871" s="272" t="s">
        <v>982</v>
      </c>
      <c r="C871" s="272" t="s">
        <v>206</v>
      </c>
      <c r="D871" s="273" t="s">
        <v>11062</v>
      </c>
      <c r="E871" s="498" t="s">
        <v>8987</v>
      </c>
    </row>
    <row r="872" spans="1:5" ht="40.5">
      <c r="A872" s="271">
        <v>91380</v>
      </c>
      <c r="B872" s="272" t="s">
        <v>983</v>
      </c>
      <c r="C872" s="272" t="s">
        <v>206</v>
      </c>
      <c r="D872" s="273" t="s">
        <v>14249</v>
      </c>
      <c r="E872" s="498" t="s">
        <v>8987</v>
      </c>
    </row>
    <row r="873" spans="1:5" ht="40.5">
      <c r="A873" s="271">
        <v>91381</v>
      </c>
      <c r="B873" s="272" t="s">
        <v>984</v>
      </c>
      <c r="C873" s="272" t="s">
        <v>206</v>
      </c>
      <c r="D873" s="273" t="s">
        <v>9743</v>
      </c>
      <c r="E873" s="498" t="s">
        <v>8987</v>
      </c>
    </row>
    <row r="874" spans="1:5" ht="40.5">
      <c r="A874" s="271">
        <v>91382</v>
      </c>
      <c r="B874" s="272" t="s">
        <v>985</v>
      </c>
      <c r="C874" s="272" t="s">
        <v>206</v>
      </c>
      <c r="D874" s="273" t="s">
        <v>11064</v>
      </c>
      <c r="E874" s="498" t="s">
        <v>8987</v>
      </c>
    </row>
    <row r="875" spans="1:5" ht="40.5">
      <c r="A875" s="271">
        <v>91383</v>
      </c>
      <c r="B875" s="272" t="s">
        <v>986</v>
      </c>
      <c r="C875" s="272" t="s">
        <v>206</v>
      </c>
      <c r="D875" s="273" t="s">
        <v>21577</v>
      </c>
      <c r="E875" s="498" t="s">
        <v>8987</v>
      </c>
    </row>
    <row r="876" spans="1:5" ht="40.5">
      <c r="A876" s="271">
        <v>91384</v>
      </c>
      <c r="B876" s="272" t="s">
        <v>987</v>
      </c>
      <c r="C876" s="272" t="s">
        <v>206</v>
      </c>
      <c r="D876" s="273" t="s">
        <v>21578</v>
      </c>
      <c r="E876" s="498" t="s">
        <v>8987</v>
      </c>
    </row>
    <row r="877" spans="1:5" ht="40.5">
      <c r="A877" s="271">
        <v>91390</v>
      </c>
      <c r="B877" s="272" t="s">
        <v>988</v>
      </c>
      <c r="C877" s="272" t="s">
        <v>206</v>
      </c>
      <c r="D877" s="273" t="s">
        <v>10537</v>
      </c>
      <c r="E877" s="498" t="s">
        <v>8987</v>
      </c>
    </row>
    <row r="878" spans="1:5" ht="40.5">
      <c r="A878" s="271">
        <v>91391</v>
      </c>
      <c r="B878" s="272" t="s">
        <v>989</v>
      </c>
      <c r="C878" s="272" t="s">
        <v>206</v>
      </c>
      <c r="D878" s="273" t="s">
        <v>9741</v>
      </c>
      <c r="E878" s="498" t="s">
        <v>8987</v>
      </c>
    </row>
    <row r="879" spans="1:5" ht="40.5">
      <c r="A879" s="271">
        <v>91392</v>
      </c>
      <c r="B879" s="272" t="s">
        <v>990</v>
      </c>
      <c r="C879" s="272" t="s">
        <v>206</v>
      </c>
      <c r="D879" s="273" t="s">
        <v>9778</v>
      </c>
      <c r="E879" s="498" t="s">
        <v>8987</v>
      </c>
    </row>
    <row r="880" spans="1:5" ht="40.5">
      <c r="A880" s="271">
        <v>91396</v>
      </c>
      <c r="B880" s="272" t="s">
        <v>991</v>
      </c>
      <c r="C880" s="272" t="s">
        <v>206</v>
      </c>
      <c r="D880" s="273" t="s">
        <v>12380</v>
      </c>
      <c r="E880" s="498" t="s">
        <v>8987</v>
      </c>
    </row>
    <row r="881" spans="1:5" ht="40.5">
      <c r="A881" s="271">
        <v>91397</v>
      </c>
      <c r="B881" s="272" t="s">
        <v>992</v>
      </c>
      <c r="C881" s="272" t="s">
        <v>206</v>
      </c>
      <c r="D881" s="273" t="s">
        <v>18765</v>
      </c>
      <c r="E881" s="498" t="s">
        <v>8987</v>
      </c>
    </row>
    <row r="882" spans="1:5" ht="40.5">
      <c r="A882" s="271">
        <v>91398</v>
      </c>
      <c r="B882" s="272" t="s">
        <v>993</v>
      </c>
      <c r="C882" s="272" t="s">
        <v>206</v>
      </c>
      <c r="D882" s="273" t="s">
        <v>10083</v>
      </c>
      <c r="E882" s="498" t="s">
        <v>8987</v>
      </c>
    </row>
    <row r="883" spans="1:5" ht="40.5">
      <c r="A883" s="271">
        <v>91402</v>
      </c>
      <c r="B883" s="272" t="s">
        <v>994</v>
      </c>
      <c r="C883" s="272" t="s">
        <v>206</v>
      </c>
      <c r="D883" s="273" t="s">
        <v>9929</v>
      </c>
      <c r="E883" s="498" t="s">
        <v>8987</v>
      </c>
    </row>
    <row r="884" spans="1:5" ht="40.5">
      <c r="A884" s="271">
        <v>91466</v>
      </c>
      <c r="B884" s="272" t="s">
        <v>995</v>
      </c>
      <c r="C884" s="272" t="s">
        <v>206</v>
      </c>
      <c r="D884" s="273" t="s">
        <v>11133</v>
      </c>
      <c r="E884" s="498" t="s">
        <v>8987</v>
      </c>
    </row>
    <row r="885" spans="1:5" ht="40.5">
      <c r="A885" s="271">
        <v>91467</v>
      </c>
      <c r="B885" s="272" t="s">
        <v>996</v>
      </c>
      <c r="C885" s="272" t="s">
        <v>206</v>
      </c>
      <c r="D885" s="273" t="s">
        <v>21515</v>
      </c>
      <c r="E885" s="498" t="s">
        <v>8987</v>
      </c>
    </row>
    <row r="886" spans="1:5" ht="40.5">
      <c r="A886" s="271">
        <v>91468</v>
      </c>
      <c r="B886" s="272" t="s">
        <v>997</v>
      </c>
      <c r="C886" s="272" t="s">
        <v>206</v>
      </c>
      <c r="D886" s="273" t="s">
        <v>18813</v>
      </c>
      <c r="E886" s="498" t="s">
        <v>8987</v>
      </c>
    </row>
    <row r="887" spans="1:5" ht="40.5">
      <c r="A887" s="271">
        <v>91469</v>
      </c>
      <c r="B887" s="272" t="s">
        <v>998</v>
      </c>
      <c r="C887" s="272" t="s">
        <v>206</v>
      </c>
      <c r="D887" s="273" t="s">
        <v>10271</v>
      </c>
      <c r="E887" s="498" t="s">
        <v>8987</v>
      </c>
    </row>
    <row r="888" spans="1:5" ht="40.5">
      <c r="A888" s="271">
        <v>91484</v>
      </c>
      <c r="B888" s="272" t="s">
        <v>999</v>
      </c>
      <c r="C888" s="272" t="s">
        <v>206</v>
      </c>
      <c r="D888" s="273" t="s">
        <v>11168</v>
      </c>
      <c r="E888" s="498" t="s">
        <v>8987</v>
      </c>
    </row>
    <row r="889" spans="1:5" ht="40.5">
      <c r="A889" s="271">
        <v>91485</v>
      </c>
      <c r="B889" s="272" t="s">
        <v>1000</v>
      </c>
      <c r="C889" s="272" t="s">
        <v>206</v>
      </c>
      <c r="D889" s="273" t="s">
        <v>21579</v>
      </c>
      <c r="E889" s="498" t="s">
        <v>8987</v>
      </c>
    </row>
    <row r="890" spans="1:5" ht="27">
      <c r="A890" s="271">
        <v>91529</v>
      </c>
      <c r="B890" s="272" t="s">
        <v>1001</v>
      </c>
      <c r="C890" s="272" t="s">
        <v>206</v>
      </c>
      <c r="D890" s="273" t="s">
        <v>10905</v>
      </c>
      <c r="E890" s="498" t="s">
        <v>8987</v>
      </c>
    </row>
    <row r="891" spans="1:5" ht="27">
      <c r="A891" s="271">
        <v>91530</v>
      </c>
      <c r="B891" s="272" t="s">
        <v>1002</v>
      </c>
      <c r="C891" s="272" t="s">
        <v>206</v>
      </c>
      <c r="D891" s="273" t="s">
        <v>9925</v>
      </c>
      <c r="E891" s="498" t="s">
        <v>8987</v>
      </c>
    </row>
    <row r="892" spans="1:5" ht="27">
      <c r="A892" s="271">
        <v>91531</v>
      </c>
      <c r="B892" s="272" t="s">
        <v>1003</v>
      </c>
      <c r="C892" s="272" t="s">
        <v>206</v>
      </c>
      <c r="D892" s="273" t="s">
        <v>11378</v>
      </c>
      <c r="E892" s="498" t="s">
        <v>8987</v>
      </c>
    </row>
    <row r="893" spans="1:5" ht="27">
      <c r="A893" s="271">
        <v>91532</v>
      </c>
      <c r="B893" s="272" t="s">
        <v>1004</v>
      </c>
      <c r="C893" s="272" t="s">
        <v>206</v>
      </c>
      <c r="D893" s="273" t="s">
        <v>10327</v>
      </c>
      <c r="E893" s="498" t="s">
        <v>8987</v>
      </c>
    </row>
    <row r="894" spans="1:5" ht="40.5">
      <c r="A894" s="271">
        <v>91629</v>
      </c>
      <c r="B894" s="272" t="s">
        <v>1005</v>
      </c>
      <c r="C894" s="272" t="s">
        <v>206</v>
      </c>
      <c r="D894" s="273" t="s">
        <v>10318</v>
      </c>
      <c r="E894" s="498" t="s">
        <v>8987</v>
      </c>
    </row>
    <row r="895" spans="1:5" ht="40.5">
      <c r="A895" s="271">
        <v>91630</v>
      </c>
      <c r="B895" s="272" t="s">
        <v>1006</v>
      </c>
      <c r="C895" s="272" t="s">
        <v>206</v>
      </c>
      <c r="D895" s="273" t="s">
        <v>11074</v>
      </c>
      <c r="E895" s="498" t="s">
        <v>8987</v>
      </c>
    </row>
    <row r="896" spans="1:5" ht="40.5">
      <c r="A896" s="271">
        <v>91631</v>
      </c>
      <c r="B896" s="272" t="s">
        <v>1007</v>
      </c>
      <c r="C896" s="272" t="s">
        <v>206</v>
      </c>
      <c r="D896" s="273" t="s">
        <v>9960</v>
      </c>
      <c r="E896" s="498" t="s">
        <v>8987</v>
      </c>
    </row>
    <row r="897" spans="1:5" ht="40.5">
      <c r="A897" s="271">
        <v>91632</v>
      </c>
      <c r="B897" s="272" t="s">
        <v>1008</v>
      </c>
      <c r="C897" s="272" t="s">
        <v>206</v>
      </c>
      <c r="D897" s="273" t="s">
        <v>15825</v>
      </c>
      <c r="E897" s="498" t="s">
        <v>8987</v>
      </c>
    </row>
    <row r="898" spans="1:5" ht="40.5">
      <c r="A898" s="271">
        <v>91633</v>
      </c>
      <c r="B898" s="272" t="s">
        <v>1009</v>
      </c>
      <c r="C898" s="272" t="s">
        <v>206</v>
      </c>
      <c r="D898" s="273" t="s">
        <v>21580</v>
      </c>
      <c r="E898" s="498" t="s">
        <v>8987</v>
      </c>
    </row>
    <row r="899" spans="1:5" ht="40.5">
      <c r="A899" s="271">
        <v>91640</v>
      </c>
      <c r="B899" s="272" t="s">
        <v>1010</v>
      </c>
      <c r="C899" s="272" t="s">
        <v>206</v>
      </c>
      <c r="D899" s="273" t="s">
        <v>21581</v>
      </c>
      <c r="E899" s="498" t="s">
        <v>8987</v>
      </c>
    </row>
    <row r="900" spans="1:5" ht="40.5">
      <c r="A900" s="271">
        <v>91641</v>
      </c>
      <c r="B900" s="272" t="s">
        <v>1011</v>
      </c>
      <c r="C900" s="272" t="s">
        <v>206</v>
      </c>
      <c r="D900" s="273" t="s">
        <v>14193</v>
      </c>
      <c r="E900" s="498" t="s">
        <v>8987</v>
      </c>
    </row>
    <row r="901" spans="1:5" ht="40.5">
      <c r="A901" s="271">
        <v>91642</v>
      </c>
      <c r="B901" s="272" t="s">
        <v>1012</v>
      </c>
      <c r="C901" s="272" t="s">
        <v>206</v>
      </c>
      <c r="D901" s="273" t="s">
        <v>9919</v>
      </c>
      <c r="E901" s="498" t="s">
        <v>8987</v>
      </c>
    </row>
    <row r="902" spans="1:5" ht="40.5">
      <c r="A902" s="271">
        <v>91643</v>
      </c>
      <c r="B902" s="272" t="s">
        <v>1013</v>
      </c>
      <c r="C902" s="272" t="s">
        <v>206</v>
      </c>
      <c r="D902" s="273" t="s">
        <v>20032</v>
      </c>
      <c r="E902" s="498" t="s">
        <v>8987</v>
      </c>
    </row>
    <row r="903" spans="1:5" ht="40.5">
      <c r="A903" s="271">
        <v>91644</v>
      </c>
      <c r="B903" s="272" t="s">
        <v>1014</v>
      </c>
      <c r="C903" s="272" t="s">
        <v>206</v>
      </c>
      <c r="D903" s="273" t="s">
        <v>21582</v>
      </c>
      <c r="E903" s="498" t="s">
        <v>8987</v>
      </c>
    </row>
    <row r="904" spans="1:5" ht="27">
      <c r="A904" s="271">
        <v>91688</v>
      </c>
      <c r="B904" s="272" t="s">
        <v>1015</v>
      </c>
      <c r="C904" s="272" t="s">
        <v>206</v>
      </c>
      <c r="D904" s="273" t="s">
        <v>9865</v>
      </c>
      <c r="E904" s="498" t="s">
        <v>8987</v>
      </c>
    </row>
    <row r="905" spans="1:5" ht="27">
      <c r="A905" s="271">
        <v>91689</v>
      </c>
      <c r="B905" s="272" t="s">
        <v>1016</v>
      </c>
      <c r="C905" s="272" t="s">
        <v>206</v>
      </c>
      <c r="D905" s="273" t="s">
        <v>9943</v>
      </c>
      <c r="E905" s="498" t="s">
        <v>8987</v>
      </c>
    </row>
    <row r="906" spans="1:5" ht="27">
      <c r="A906" s="271">
        <v>91690</v>
      </c>
      <c r="B906" s="272" t="s">
        <v>1017</v>
      </c>
      <c r="C906" s="272" t="s">
        <v>206</v>
      </c>
      <c r="D906" s="273" t="s">
        <v>9982</v>
      </c>
      <c r="E906" s="498" t="s">
        <v>8987</v>
      </c>
    </row>
    <row r="907" spans="1:5" ht="27">
      <c r="A907" s="271">
        <v>91691</v>
      </c>
      <c r="B907" s="272" t="s">
        <v>1018</v>
      </c>
      <c r="C907" s="272" t="s">
        <v>206</v>
      </c>
      <c r="D907" s="273" t="s">
        <v>10023</v>
      </c>
      <c r="E907" s="498" t="s">
        <v>8987</v>
      </c>
    </row>
    <row r="908" spans="1:5" ht="27">
      <c r="A908" s="271">
        <v>92040</v>
      </c>
      <c r="B908" s="272" t="s">
        <v>1019</v>
      </c>
      <c r="C908" s="272" t="s">
        <v>206</v>
      </c>
      <c r="D908" s="273" t="s">
        <v>18938</v>
      </c>
      <c r="E908" s="498" t="s">
        <v>8987</v>
      </c>
    </row>
    <row r="909" spans="1:5" ht="27">
      <c r="A909" s="271">
        <v>92041</v>
      </c>
      <c r="B909" s="272" t="s">
        <v>1020</v>
      </c>
      <c r="C909" s="272" t="s">
        <v>206</v>
      </c>
      <c r="D909" s="273" t="s">
        <v>9981</v>
      </c>
      <c r="E909" s="498" t="s">
        <v>8987</v>
      </c>
    </row>
    <row r="910" spans="1:5" ht="27">
      <c r="A910" s="271">
        <v>92042</v>
      </c>
      <c r="B910" s="272" t="s">
        <v>1021</v>
      </c>
      <c r="C910" s="272" t="s">
        <v>206</v>
      </c>
      <c r="D910" s="273" t="s">
        <v>11519</v>
      </c>
      <c r="E910" s="498" t="s">
        <v>8987</v>
      </c>
    </row>
    <row r="911" spans="1:5" ht="40.5">
      <c r="A911" s="271">
        <v>92101</v>
      </c>
      <c r="B911" s="272" t="s">
        <v>1022</v>
      </c>
      <c r="C911" s="272" t="s">
        <v>206</v>
      </c>
      <c r="D911" s="273" t="s">
        <v>16009</v>
      </c>
      <c r="E911" s="498" t="s">
        <v>8987</v>
      </c>
    </row>
    <row r="912" spans="1:5" ht="40.5">
      <c r="A912" s="271">
        <v>92102</v>
      </c>
      <c r="B912" s="272" t="s">
        <v>1023</v>
      </c>
      <c r="C912" s="272" t="s">
        <v>206</v>
      </c>
      <c r="D912" s="273" t="s">
        <v>11462</v>
      </c>
      <c r="E912" s="498" t="s">
        <v>8987</v>
      </c>
    </row>
    <row r="913" spans="1:5" ht="40.5">
      <c r="A913" s="271">
        <v>92103</v>
      </c>
      <c r="B913" s="272" t="s">
        <v>1024</v>
      </c>
      <c r="C913" s="272" t="s">
        <v>206</v>
      </c>
      <c r="D913" s="273" t="s">
        <v>12375</v>
      </c>
      <c r="E913" s="498" t="s">
        <v>8987</v>
      </c>
    </row>
    <row r="914" spans="1:5" ht="40.5">
      <c r="A914" s="271">
        <v>92104</v>
      </c>
      <c r="B914" s="272" t="s">
        <v>1025</v>
      </c>
      <c r="C914" s="272" t="s">
        <v>206</v>
      </c>
      <c r="D914" s="273" t="s">
        <v>20135</v>
      </c>
      <c r="E914" s="498" t="s">
        <v>8987</v>
      </c>
    </row>
    <row r="915" spans="1:5" ht="40.5">
      <c r="A915" s="271">
        <v>92105</v>
      </c>
      <c r="B915" s="272" t="s">
        <v>3823</v>
      </c>
      <c r="C915" s="272" t="s">
        <v>206</v>
      </c>
      <c r="D915" s="273" t="s">
        <v>21534</v>
      </c>
      <c r="E915" s="498" t="s">
        <v>8987</v>
      </c>
    </row>
    <row r="916" spans="1:5" ht="27">
      <c r="A916" s="271">
        <v>92108</v>
      </c>
      <c r="B916" s="272" t="s">
        <v>1026</v>
      </c>
      <c r="C916" s="272" t="s">
        <v>206</v>
      </c>
      <c r="D916" s="273" t="s">
        <v>11066</v>
      </c>
      <c r="E916" s="498" t="s">
        <v>8987</v>
      </c>
    </row>
    <row r="917" spans="1:5" ht="27">
      <c r="A917" s="271">
        <v>92109</v>
      </c>
      <c r="B917" s="272" t="s">
        <v>1027</v>
      </c>
      <c r="C917" s="272" t="s">
        <v>206</v>
      </c>
      <c r="D917" s="273" t="s">
        <v>9925</v>
      </c>
      <c r="E917" s="498" t="s">
        <v>8987</v>
      </c>
    </row>
    <row r="918" spans="1:5" ht="27">
      <c r="A918" s="271">
        <v>92110</v>
      </c>
      <c r="B918" s="272" t="s">
        <v>1028</v>
      </c>
      <c r="C918" s="272" t="s">
        <v>206</v>
      </c>
      <c r="D918" s="273" t="s">
        <v>10010</v>
      </c>
      <c r="E918" s="498" t="s">
        <v>8987</v>
      </c>
    </row>
    <row r="919" spans="1:5" ht="27">
      <c r="A919" s="271">
        <v>92111</v>
      </c>
      <c r="B919" s="272" t="s">
        <v>1029</v>
      </c>
      <c r="C919" s="272" t="s">
        <v>206</v>
      </c>
      <c r="D919" s="273" t="s">
        <v>9937</v>
      </c>
      <c r="E919" s="498" t="s">
        <v>8987</v>
      </c>
    </row>
    <row r="920" spans="1:5" ht="13.5">
      <c r="A920" s="271">
        <v>92114</v>
      </c>
      <c r="B920" s="272" t="s">
        <v>1030</v>
      </c>
      <c r="C920" s="272" t="s">
        <v>206</v>
      </c>
      <c r="D920" s="273" t="s">
        <v>9865</v>
      </c>
      <c r="E920" s="498" t="s">
        <v>8987</v>
      </c>
    </row>
    <row r="921" spans="1:5" ht="13.5">
      <c r="A921" s="271">
        <v>92115</v>
      </c>
      <c r="B921" s="272" t="s">
        <v>1031</v>
      </c>
      <c r="C921" s="272" t="s">
        <v>206</v>
      </c>
      <c r="D921" s="273" t="s">
        <v>9943</v>
      </c>
      <c r="E921" s="498" t="s">
        <v>8987</v>
      </c>
    </row>
    <row r="922" spans="1:5" ht="13.5">
      <c r="A922" s="271">
        <v>92116</v>
      </c>
      <c r="B922" s="272" t="s">
        <v>1032</v>
      </c>
      <c r="C922" s="272" t="s">
        <v>206</v>
      </c>
      <c r="D922" s="273" t="s">
        <v>9959</v>
      </c>
      <c r="E922" s="498" t="s">
        <v>8987</v>
      </c>
    </row>
    <row r="923" spans="1:5" ht="27">
      <c r="A923" s="271">
        <v>92133</v>
      </c>
      <c r="B923" s="272" t="s">
        <v>1033</v>
      </c>
      <c r="C923" s="272" t="s">
        <v>206</v>
      </c>
      <c r="D923" s="273" t="s">
        <v>10979</v>
      </c>
      <c r="E923" s="498" t="s">
        <v>8987</v>
      </c>
    </row>
    <row r="924" spans="1:5" ht="27">
      <c r="A924" s="271">
        <v>92134</v>
      </c>
      <c r="B924" s="272" t="s">
        <v>1034</v>
      </c>
      <c r="C924" s="272" t="s">
        <v>206</v>
      </c>
      <c r="D924" s="273" t="s">
        <v>9774</v>
      </c>
      <c r="E924" s="498" t="s">
        <v>8987</v>
      </c>
    </row>
    <row r="925" spans="1:5" ht="27">
      <c r="A925" s="271">
        <v>92135</v>
      </c>
      <c r="B925" s="272" t="s">
        <v>1035</v>
      </c>
      <c r="C925" s="272" t="s">
        <v>206</v>
      </c>
      <c r="D925" s="273" t="s">
        <v>9928</v>
      </c>
      <c r="E925" s="498" t="s">
        <v>8987</v>
      </c>
    </row>
    <row r="926" spans="1:5" ht="27">
      <c r="A926" s="271">
        <v>92136</v>
      </c>
      <c r="B926" s="272" t="s">
        <v>1036</v>
      </c>
      <c r="C926" s="272" t="s">
        <v>206</v>
      </c>
      <c r="D926" s="273" t="s">
        <v>15982</v>
      </c>
      <c r="E926" s="498" t="s">
        <v>8987</v>
      </c>
    </row>
    <row r="927" spans="1:5" ht="27">
      <c r="A927" s="271">
        <v>92137</v>
      </c>
      <c r="B927" s="272" t="s">
        <v>1037</v>
      </c>
      <c r="C927" s="272" t="s">
        <v>206</v>
      </c>
      <c r="D927" s="273" t="s">
        <v>21583</v>
      </c>
      <c r="E927" s="498" t="s">
        <v>8987</v>
      </c>
    </row>
    <row r="928" spans="1:5" ht="27">
      <c r="A928" s="271">
        <v>92140</v>
      </c>
      <c r="B928" s="272" t="s">
        <v>1038</v>
      </c>
      <c r="C928" s="272" t="s">
        <v>206</v>
      </c>
      <c r="D928" s="273" t="s">
        <v>10034</v>
      </c>
      <c r="E928" s="498" t="s">
        <v>8987</v>
      </c>
    </row>
    <row r="929" spans="1:5" ht="27">
      <c r="A929" s="271">
        <v>92141</v>
      </c>
      <c r="B929" s="272" t="s">
        <v>1039</v>
      </c>
      <c r="C929" s="272" t="s">
        <v>206</v>
      </c>
      <c r="D929" s="273" t="s">
        <v>9875</v>
      </c>
      <c r="E929" s="498" t="s">
        <v>8987</v>
      </c>
    </row>
    <row r="930" spans="1:5" ht="27">
      <c r="A930" s="271">
        <v>92142</v>
      </c>
      <c r="B930" s="272" t="s">
        <v>1040</v>
      </c>
      <c r="C930" s="272" t="s">
        <v>206</v>
      </c>
      <c r="D930" s="273" t="s">
        <v>9820</v>
      </c>
      <c r="E930" s="498" t="s">
        <v>8987</v>
      </c>
    </row>
    <row r="931" spans="1:5" ht="27">
      <c r="A931" s="271">
        <v>92143</v>
      </c>
      <c r="B931" s="272" t="s">
        <v>1041</v>
      </c>
      <c r="C931" s="272" t="s">
        <v>206</v>
      </c>
      <c r="D931" s="273" t="s">
        <v>9752</v>
      </c>
      <c r="E931" s="498" t="s">
        <v>8987</v>
      </c>
    </row>
    <row r="932" spans="1:5" ht="27">
      <c r="A932" s="271">
        <v>92144</v>
      </c>
      <c r="B932" s="272" t="s">
        <v>1042</v>
      </c>
      <c r="C932" s="272" t="s">
        <v>206</v>
      </c>
      <c r="D932" s="273" t="s">
        <v>16347</v>
      </c>
      <c r="E932" s="498" t="s">
        <v>8987</v>
      </c>
    </row>
    <row r="933" spans="1:5" ht="40.5">
      <c r="A933" s="271">
        <v>92237</v>
      </c>
      <c r="B933" s="272" t="s">
        <v>1043</v>
      </c>
      <c r="C933" s="272" t="s">
        <v>206</v>
      </c>
      <c r="D933" s="273" t="s">
        <v>10978</v>
      </c>
      <c r="E933" s="498" t="s">
        <v>8987</v>
      </c>
    </row>
    <row r="934" spans="1:5" ht="40.5">
      <c r="A934" s="271">
        <v>92238</v>
      </c>
      <c r="B934" s="272" t="s">
        <v>1044</v>
      </c>
      <c r="C934" s="272" t="s">
        <v>206</v>
      </c>
      <c r="D934" s="273" t="s">
        <v>11324</v>
      </c>
      <c r="E934" s="498" t="s">
        <v>8987</v>
      </c>
    </row>
    <row r="935" spans="1:5" ht="40.5">
      <c r="A935" s="271">
        <v>92239</v>
      </c>
      <c r="B935" s="272" t="s">
        <v>1045</v>
      </c>
      <c r="C935" s="272" t="s">
        <v>206</v>
      </c>
      <c r="D935" s="273" t="s">
        <v>11217</v>
      </c>
      <c r="E935" s="498" t="s">
        <v>8987</v>
      </c>
    </row>
    <row r="936" spans="1:5" ht="40.5">
      <c r="A936" s="271">
        <v>92240</v>
      </c>
      <c r="B936" s="272" t="s">
        <v>1046</v>
      </c>
      <c r="C936" s="272" t="s">
        <v>206</v>
      </c>
      <c r="D936" s="273" t="s">
        <v>21584</v>
      </c>
      <c r="E936" s="498" t="s">
        <v>8987</v>
      </c>
    </row>
    <row r="937" spans="1:5" ht="40.5">
      <c r="A937" s="271">
        <v>92241</v>
      </c>
      <c r="B937" s="272" t="s">
        <v>1047</v>
      </c>
      <c r="C937" s="272" t="s">
        <v>206</v>
      </c>
      <c r="D937" s="273" t="s">
        <v>21585</v>
      </c>
      <c r="E937" s="498" t="s">
        <v>8987</v>
      </c>
    </row>
    <row r="938" spans="1:5" ht="27">
      <c r="A938" s="271">
        <v>92712</v>
      </c>
      <c r="B938" s="272" t="s">
        <v>1048</v>
      </c>
      <c r="C938" s="272" t="s">
        <v>206</v>
      </c>
      <c r="D938" s="273" t="s">
        <v>9820</v>
      </c>
      <c r="E938" s="498" t="s">
        <v>8987</v>
      </c>
    </row>
    <row r="939" spans="1:5" ht="27">
      <c r="A939" s="271">
        <v>92713</v>
      </c>
      <c r="B939" s="272" t="s">
        <v>1049</v>
      </c>
      <c r="C939" s="272" t="s">
        <v>206</v>
      </c>
      <c r="D939" s="273" t="s">
        <v>9895</v>
      </c>
      <c r="E939" s="498" t="s">
        <v>8987</v>
      </c>
    </row>
    <row r="940" spans="1:5" ht="27">
      <c r="A940" s="271">
        <v>92714</v>
      </c>
      <c r="B940" s="272" t="s">
        <v>1050</v>
      </c>
      <c r="C940" s="272" t="s">
        <v>206</v>
      </c>
      <c r="D940" s="273" t="s">
        <v>11132</v>
      </c>
      <c r="E940" s="498" t="s">
        <v>8987</v>
      </c>
    </row>
    <row r="941" spans="1:5" ht="27">
      <c r="A941" s="271">
        <v>92715</v>
      </c>
      <c r="B941" s="272" t="s">
        <v>1051</v>
      </c>
      <c r="C941" s="272" t="s">
        <v>206</v>
      </c>
      <c r="D941" s="273" t="s">
        <v>11051</v>
      </c>
      <c r="E941" s="498" t="s">
        <v>8987</v>
      </c>
    </row>
    <row r="942" spans="1:5" ht="27">
      <c r="A942" s="271">
        <v>92956</v>
      </c>
      <c r="B942" s="272" t="s">
        <v>1052</v>
      </c>
      <c r="C942" s="272" t="s">
        <v>206</v>
      </c>
      <c r="D942" s="273" t="s">
        <v>10057</v>
      </c>
      <c r="E942" s="498" t="s">
        <v>8987</v>
      </c>
    </row>
    <row r="943" spans="1:5" ht="27">
      <c r="A943" s="271">
        <v>92957</v>
      </c>
      <c r="B943" s="272" t="s">
        <v>1053</v>
      </c>
      <c r="C943" s="272" t="s">
        <v>206</v>
      </c>
      <c r="D943" s="273" t="s">
        <v>10066</v>
      </c>
      <c r="E943" s="498" t="s">
        <v>8987</v>
      </c>
    </row>
    <row r="944" spans="1:5" ht="27">
      <c r="A944" s="271">
        <v>92958</v>
      </c>
      <c r="B944" s="272" t="s">
        <v>1054</v>
      </c>
      <c r="C944" s="272" t="s">
        <v>206</v>
      </c>
      <c r="D944" s="273" t="s">
        <v>11333</v>
      </c>
      <c r="E944" s="498" t="s">
        <v>8987</v>
      </c>
    </row>
    <row r="945" spans="1:5" ht="27">
      <c r="A945" s="271">
        <v>92959</v>
      </c>
      <c r="B945" s="272" t="s">
        <v>1055</v>
      </c>
      <c r="C945" s="272" t="s">
        <v>206</v>
      </c>
      <c r="D945" s="273" t="s">
        <v>10112</v>
      </c>
      <c r="E945" s="498" t="s">
        <v>8987</v>
      </c>
    </row>
    <row r="946" spans="1:5" ht="27">
      <c r="A946" s="271">
        <v>92963</v>
      </c>
      <c r="B946" s="272" t="s">
        <v>1056</v>
      </c>
      <c r="C946" s="272" t="s">
        <v>206</v>
      </c>
      <c r="D946" s="273" t="s">
        <v>9779</v>
      </c>
      <c r="E946" s="498" t="s">
        <v>8987</v>
      </c>
    </row>
    <row r="947" spans="1:5" ht="13.5">
      <c r="A947" s="271">
        <v>92964</v>
      </c>
      <c r="B947" s="272" t="s">
        <v>1057</v>
      </c>
      <c r="C947" s="272" t="s">
        <v>206</v>
      </c>
      <c r="D947" s="273" t="s">
        <v>9942</v>
      </c>
      <c r="E947" s="498" t="s">
        <v>8987</v>
      </c>
    </row>
    <row r="948" spans="1:5" ht="27">
      <c r="A948" s="271">
        <v>92965</v>
      </c>
      <c r="B948" s="272" t="s">
        <v>1058</v>
      </c>
      <c r="C948" s="272" t="s">
        <v>206</v>
      </c>
      <c r="D948" s="273" t="s">
        <v>11095</v>
      </c>
      <c r="E948" s="498" t="s">
        <v>8987</v>
      </c>
    </row>
    <row r="949" spans="1:5" ht="40.5">
      <c r="A949" s="271">
        <v>93220</v>
      </c>
      <c r="B949" s="272" t="s">
        <v>1059</v>
      </c>
      <c r="C949" s="272" t="s">
        <v>206</v>
      </c>
      <c r="D949" s="273" t="s">
        <v>21586</v>
      </c>
      <c r="E949" s="498" t="s">
        <v>8987</v>
      </c>
    </row>
    <row r="950" spans="1:5" ht="40.5">
      <c r="A950" s="271">
        <v>93221</v>
      </c>
      <c r="B950" s="272" t="s">
        <v>1060</v>
      </c>
      <c r="C950" s="272" t="s">
        <v>206</v>
      </c>
      <c r="D950" s="273" t="s">
        <v>19342</v>
      </c>
      <c r="E950" s="498" t="s">
        <v>8987</v>
      </c>
    </row>
    <row r="951" spans="1:5" ht="40.5">
      <c r="A951" s="271">
        <v>93222</v>
      </c>
      <c r="B951" s="272" t="s">
        <v>1061</v>
      </c>
      <c r="C951" s="272" t="s">
        <v>206</v>
      </c>
      <c r="D951" s="273" t="s">
        <v>21587</v>
      </c>
      <c r="E951" s="498" t="s">
        <v>8987</v>
      </c>
    </row>
    <row r="952" spans="1:5" ht="40.5">
      <c r="A952" s="271">
        <v>93223</v>
      </c>
      <c r="B952" s="272" t="s">
        <v>1062</v>
      </c>
      <c r="C952" s="272" t="s">
        <v>206</v>
      </c>
      <c r="D952" s="273" t="s">
        <v>21588</v>
      </c>
      <c r="E952" s="498" t="s">
        <v>8987</v>
      </c>
    </row>
    <row r="953" spans="1:5" ht="27">
      <c r="A953" s="271">
        <v>93229</v>
      </c>
      <c r="B953" s="272" t="s">
        <v>1063</v>
      </c>
      <c r="C953" s="272" t="s">
        <v>206</v>
      </c>
      <c r="D953" s="273" t="s">
        <v>9867</v>
      </c>
      <c r="E953" s="498" t="s">
        <v>8987</v>
      </c>
    </row>
    <row r="954" spans="1:5" ht="27">
      <c r="A954" s="271">
        <v>93230</v>
      </c>
      <c r="B954" s="272" t="s">
        <v>1064</v>
      </c>
      <c r="C954" s="272" t="s">
        <v>206</v>
      </c>
      <c r="D954" s="273" t="s">
        <v>9917</v>
      </c>
      <c r="E954" s="498" t="s">
        <v>8987</v>
      </c>
    </row>
    <row r="955" spans="1:5" ht="27">
      <c r="A955" s="271">
        <v>93231</v>
      </c>
      <c r="B955" s="272" t="s">
        <v>1065</v>
      </c>
      <c r="C955" s="272" t="s">
        <v>206</v>
      </c>
      <c r="D955" s="273" t="s">
        <v>9918</v>
      </c>
      <c r="E955" s="498" t="s">
        <v>8987</v>
      </c>
    </row>
    <row r="956" spans="1:5" ht="27">
      <c r="A956" s="271">
        <v>93232</v>
      </c>
      <c r="B956" s="272" t="s">
        <v>1066</v>
      </c>
      <c r="C956" s="272" t="s">
        <v>206</v>
      </c>
      <c r="D956" s="273" t="s">
        <v>10231</v>
      </c>
      <c r="E956" s="498" t="s">
        <v>8987</v>
      </c>
    </row>
    <row r="957" spans="1:5" ht="13.5">
      <c r="A957" s="271">
        <v>93235</v>
      </c>
      <c r="B957" s="272" t="s">
        <v>1067</v>
      </c>
      <c r="C957" s="272" t="s">
        <v>206</v>
      </c>
      <c r="D957" s="273" t="s">
        <v>9862</v>
      </c>
      <c r="E957" s="498" t="s">
        <v>8987</v>
      </c>
    </row>
    <row r="958" spans="1:5" ht="40.5">
      <c r="A958" s="271">
        <v>93238</v>
      </c>
      <c r="B958" s="272" t="s">
        <v>1068</v>
      </c>
      <c r="C958" s="272" t="s">
        <v>206</v>
      </c>
      <c r="D958" s="273" t="s">
        <v>9922</v>
      </c>
      <c r="E958" s="498" t="s">
        <v>8987</v>
      </c>
    </row>
    <row r="959" spans="1:5" ht="27">
      <c r="A959" s="271">
        <v>93239</v>
      </c>
      <c r="B959" s="272" t="s">
        <v>1069</v>
      </c>
      <c r="C959" s="272" t="s">
        <v>206</v>
      </c>
      <c r="D959" s="273" t="s">
        <v>11403</v>
      </c>
      <c r="E959" s="498" t="s">
        <v>8987</v>
      </c>
    </row>
    <row r="960" spans="1:5" ht="40.5">
      <c r="A960" s="271">
        <v>93240</v>
      </c>
      <c r="B960" s="272" t="s">
        <v>1070</v>
      </c>
      <c r="C960" s="272" t="s">
        <v>206</v>
      </c>
      <c r="D960" s="273" t="s">
        <v>10616</v>
      </c>
      <c r="E960" s="498" t="s">
        <v>8987</v>
      </c>
    </row>
    <row r="961" spans="1:5" ht="27">
      <c r="A961" s="271">
        <v>93267</v>
      </c>
      <c r="B961" s="272" t="s">
        <v>1071</v>
      </c>
      <c r="C961" s="272" t="s">
        <v>206</v>
      </c>
      <c r="D961" s="273" t="s">
        <v>10901</v>
      </c>
      <c r="E961" s="498" t="s">
        <v>8987</v>
      </c>
    </row>
    <row r="962" spans="1:5" ht="27">
      <c r="A962" s="271">
        <v>93269</v>
      </c>
      <c r="B962" s="272" t="s">
        <v>1072</v>
      </c>
      <c r="C962" s="272" t="s">
        <v>206</v>
      </c>
      <c r="D962" s="273" t="s">
        <v>10271</v>
      </c>
      <c r="E962" s="498" t="s">
        <v>8987</v>
      </c>
    </row>
    <row r="963" spans="1:5" ht="27">
      <c r="A963" s="271">
        <v>93270</v>
      </c>
      <c r="B963" s="272" t="s">
        <v>1073</v>
      </c>
      <c r="C963" s="272" t="s">
        <v>206</v>
      </c>
      <c r="D963" s="273" t="s">
        <v>12384</v>
      </c>
      <c r="E963" s="498" t="s">
        <v>8987</v>
      </c>
    </row>
    <row r="964" spans="1:5" ht="27">
      <c r="A964" s="271">
        <v>93271</v>
      </c>
      <c r="B964" s="272" t="s">
        <v>1074</v>
      </c>
      <c r="C964" s="272" t="s">
        <v>206</v>
      </c>
      <c r="D964" s="273" t="s">
        <v>10044</v>
      </c>
      <c r="E964" s="498" t="s">
        <v>8987</v>
      </c>
    </row>
    <row r="965" spans="1:5" ht="27">
      <c r="A965" s="271">
        <v>93277</v>
      </c>
      <c r="B965" s="272" t="s">
        <v>1075</v>
      </c>
      <c r="C965" s="272" t="s">
        <v>206</v>
      </c>
      <c r="D965" s="273" t="s">
        <v>9848</v>
      </c>
      <c r="E965" s="498" t="s">
        <v>8987</v>
      </c>
    </row>
    <row r="966" spans="1:5" ht="27">
      <c r="A966" s="271">
        <v>93278</v>
      </c>
      <c r="B966" s="272" t="s">
        <v>1076</v>
      </c>
      <c r="C966" s="272" t="s">
        <v>206</v>
      </c>
      <c r="D966" s="273" t="s">
        <v>9917</v>
      </c>
      <c r="E966" s="498" t="s">
        <v>8987</v>
      </c>
    </row>
    <row r="967" spans="1:5" ht="27">
      <c r="A967" s="271">
        <v>93279</v>
      </c>
      <c r="B967" s="272" t="s">
        <v>1077</v>
      </c>
      <c r="C967" s="272" t="s">
        <v>206</v>
      </c>
      <c r="D967" s="273" t="s">
        <v>10039</v>
      </c>
      <c r="E967" s="498" t="s">
        <v>8987</v>
      </c>
    </row>
    <row r="968" spans="1:5" ht="27">
      <c r="A968" s="271">
        <v>93280</v>
      </c>
      <c r="B968" s="272" t="s">
        <v>1078</v>
      </c>
      <c r="C968" s="272" t="s">
        <v>206</v>
      </c>
      <c r="D968" s="273" t="s">
        <v>9875</v>
      </c>
      <c r="E968" s="498" t="s">
        <v>8987</v>
      </c>
    </row>
    <row r="969" spans="1:5" ht="27">
      <c r="A969" s="271">
        <v>93283</v>
      </c>
      <c r="B969" s="272" t="s">
        <v>1079</v>
      </c>
      <c r="C969" s="272" t="s">
        <v>206</v>
      </c>
      <c r="D969" s="273" t="s">
        <v>21589</v>
      </c>
      <c r="E969" s="498" t="s">
        <v>8987</v>
      </c>
    </row>
    <row r="970" spans="1:5" ht="27">
      <c r="A970" s="271">
        <v>93284</v>
      </c>
      <c r="B970" s="272" t="s">
        <v>1080</v>
      </c>
      <c r="C970" s="272" t="s">
        <v>206</v>
      </c>
      <c r="D970" s="273" t="s">
        <v>14049</v>
      </c>
      <c r="E970" s="498" t="s">
        <v>8987</v>
      </c>
    </row>
    <row r="971" spans="1:5" ht="27">
      <c r="A971" s="271">
        <v>93285</v>
      </c>
      <c r="B971" s="272" t="s">
        <v>1081</v>
      </c>
      <c r="C971" s="272" t="s">
        <v>206</v>
      </c>
      <c r="D971" s="273" t="s">
        <v>21590</v>
      </c>
      <c r="E971" s="498" t="s">
        <v>8987</v>
      </c>
    </row>
    <row r="972" spans="1:5" ht="27">
      <c r="A972" s="271">
        <v>93286</v>
      </c>
      <c r="B972" s="272" t="s">
        <v>1082</v>
      </c>
      <c r="C972" s="272" t="s">
        <v>206</v>
      </c>
      <c r="D972" s="273" t="s">
        <v>21591</v>
      </c>
      <c r="E972" s="498" t="s">
        <v>8987</v>
      </c>
    </row>
    <row r="973" spans="1:5" ht="27">
      <c r="A973" s="271">
        <v>93296</v>
      </c>
      <c r="B973" s="272" t="s">
        <v>1083</v>
      </c>
      <c r="C973" s="272" t="s">
        <v>206</v>
      </c>
      <c r="D973" s="273" t="s">
        <v>12338</v>
      </c>
      <c r="E973" s="498" t="s">
        <v>8987</v>
      </c>
    </row>
    <row r="974" spans="1:5" ht="40.5">
      <c r="A974" s="271">
        <v>93397</v>
      </c>
      <c r="B974" s="272" t="s">
        <v>1084</v>
      </c>
      <c r="C974" s="272" t="s">
        <v>206</v>
      </c>
      <c r="D974" s="273" t="s">
        <v>10318</v>
      </c>
      <c r="E974" s="498" t="s">
        <v>8987</v>
      </c>
    </row>
    <row r="975" spans="1:5" ht="40.5">
      <c r="A975" s="271">
        <v>93398</v>
      </c>
      <c r="B975" s="272" t="s">
        <v>1085</v>
      </c>
      <c r="C975" s="272" t="s">
        <v>206</v>
      </c>
      <c r="D975" s="273" t="s">
        <v>11074</v>
      </c>
      <c r="E975" s="498" t="s">
        <v>8987</v>
      </c>
    </row>
    <row r="976" spans="1:5" ht="40.5">
      <c r="A976" s="271">
        <v>93399</v>
      </c>
      <c r="B976" s="272" t="s">
        <v>1086</v>
      </c>
      <c r="C976" s="272" t="s">
        <v>206</v>
      </c>
      <c r="D976" s="273" t="s">
        <v>9960</v>
      </c>
      <c r="E976" s="498" t="s">
        <v>8987</v>
      </c>
    </row>
    <row r="977" spans="1:5" ht="40.5">
      <c r="A977" s="271">
        <v>93400</v>
      </c>
      <c r="B977" s="272" t="s">
        <v>1087</v>
      </c>
      <c r="C977" s="272" t="s">
        <v>206</v>
      </c>
      <c r="D977" s="273" t="s">
        <v>15825</v>
      </c>
      <c r="E977" s="498" t="s">
        <v>8987</v>
      </c>
    </row>
    <row r="978" spans="1:5" ht="40.5">
      <c r="A978" s="271">
        <v>93401</v>
      </c>
      <c r="B978" s="272" t="s">
        <v>1088</v>
      </c>
      <c r="C978" s="272" t="s">
        <v>206</v>
      </c>
      <c r="D978" s="273" t="s">
        <v>21515</v>
      </c>
      <c r="E978" s="498" t="s">
        <v>8987</v>
      </c>
    </row>
    <row r="979" spans="1:5" ht="40.5">
      <c r="A979" s="271">
        <v>93404</v>
      </c>
      <c r="B979" s="272" t="s">
        <v>10045</v>
      </c>
      <c r="C979" s="272" t="s">
        <v>206</v>
      </c>
      <c r="D979" s="273" t="s">
        <v>21592</v>
      </c>
      <c r="E979" s="498" t="s">
        <v>8987</v>
      </c>
    </row>
    <row r="980" spans="1:5" ht="40.5">
      <c r="A980" s="271">
        <v>93405</v>
      </c>
      <c r="B980" s="272" t="s">
        <v>10046</v>
      </c>
      <c r="C980" s="272" t="s">
        <v>206</v>
      </c>
      <c r="D980" s="273" t="s">
        <v>10010</v>
      </c>
      <c r="E980" s="498" t="s">
        <v>8987</v>
      </c>
    </row>
    <row r="981" spans="1:5" ht="40.5">
      <c r="A981" s="271">
        <v>93406</v>
      </c>
      <c r="B981" s="272" t="s">
        <v>10047</v>
      </c>
      <c r="C981" s="272" t="s">
        <v>206</v>
      </c>
      <c r="D981" s="273" t="s">
        <v>9761</v>
      </c>
      <c r="E981" s="498" t="s">
        <v>8987</v>
      </c>
    </row>
    <row r="982" spans="1:5" ht="40.5">
      <c r="A982" s="271">
        <v>93407</v>
      </c>
      <c r="B982" s="272" t="s">
        <v>10049</v>
      </c>
      <c r="C982" s="272" t="s">
        <v>206</v>
      </c>
      <c r="D982" s="273" t="s">
        <v>16177</v>
      </c>
      <c r="E982" s="498" t="s">
        <v>8987</v>
      </c>
    </row>
    <row r="983" spans="1:5" ht="27">
      <c r="A983" s="271">
        <v>93411</v>
      </c>
      <c r="B983" s="272" t="s">
        <v>1089</v>
      </c>
      <c r="C983" s="272" t="s">
        <v>206</v>
      </c>
      <c r="D983" s="273" t="s">
        <v>9841</v>
      </c>
      <c r="E983" s="498" t="s">
        <v>8987</v>
      </c>
    </row>
    <row r="984" spans="1:5" ht="27">
      <c r="A984" s="271">
        <v>93412</v>
      </c>
      <c r="B984" s="272" t="s">
        <v>1090</v>
      </c>
      <c r="C984" s="272" t="s">
        <v>206</v>
      </c>
      <c r="D984" s="273" t="s">
        <v>9917</v>
      </c>
      <c r="E984" s="498" t="s">
        <v>8987</v>
      </c>
    </row>
    <row r="985" spans="1:5" ht="27">
      <c r="A985" s="271">
        <v>93413</v>
      </c>
      <c r="B985" s="272" t="s">
        <v>1091</v>
      </c>
      <c r="C985" s="272" t="s">
        <v>206</v>
      </c>
      <c r="D985" s="273" t="s">
        <v>9894</v>
      </c>
      <c r="E985" s="498" t="s">
        <v>8987</v>
      </c>
    </row>
    <row r="986" spans="1:5" ht="27">
      <c r="A986" s="271">
        <v>93414</v>
      </c>
      <c r="B986" s="272" t="s">
        <v>1092</v>
      </c>
      <c r="C986" s="272" t="s">
        <v>206</v>
      </c>
      <c r="D986" s="273" t="s">
        <v>20730</v>
      </c>
      <c r="E986" s="498" t="s">
        <v>8987</v>
      </c>
    </row>
    <row r="987" spans="1:5" ht="13.5">
      <c r="A987" s="271">
        <v>93417</v>
      </c>
      <c r="B987" s="272" t="s">
        <v>1093</v>
      </c>
      <c r="C987" s="272" t="s">
        <v>206</v>
      </c>
      <c r="D987" s="273" t="s">
        <v>20318</v>
      </c>
      <c r="E987" s="498" t="s">
        <v>8987</v>
      </c>
    </row>
    <row r="988" spans="1:5" ht="13.5">
      <c r="A988" s="271">
        <v>93418</v>
      </c>
      <c r="B988" s="272" t="s">
        <v>1094</v>
      </c>
      <c r="C988" s="272" t="s">
        <v>206</v>
      </c>
      <c r="D988" s="273" t="s">
        <v>9875</v>
      </c>
      <c r="E988" s="498" t="s">
        <v>8987</v>
      </c>
    </row>
    <row r="989" spans="1:5" ht="13.5">
      <c r="A989" s="271">
        <v>93419</v>
      </c>
      <c r="B989" s="272" t="s">
        <v>1095</v>
      </c>
      <c r="C989" s="272" t="s">
        <v>206</v>
      </c>
      <c r="D989" s="273" t="s">
        <v>18837</v>
      </c>
      <c r="E989" s="498" t="s">
        <v>8987</v>
      </c>
    </row>
    <row r="990" spans="1:5" ht="27">
      <c r="A990" s="271">
        <v>93420</v>
      </c>
      <c r="B990" s="272" t="s">
        <v>1096</v>
      </c>
      <c r="C990" s="272" t="s">
        <v>206</v>
      </c>
      <c r="D990" s="273" t="s">
        <v>14252</v>
      </c>
      <c r="E990" s="498" t="s">
        <v>8987</v>
      </c>
    </row>
    <row r="991" spans="1:5" ht="13.5">
      <c r="A991" s="271">
        <v>93423</v>
      </c>
      <c r="B991" s="272" t="s">
        <v>1097</v>
      </c>
      <c r="C991" s="272" t="s">
        <v>206</v>
      </c>
      <c r="D991" s="273" t="s">
        <v>10063</v>
      </c>
      <c r="E991" s="498" t="s">
        <v>8987</v>
      </c>
    </row>
    <row r="992" spans="1:5" ht="13.5">
      <c r="A992" s="271">
        <v>93424</v>
      </c>
      <c r="B992" s="272" t="s">
        <v>1098</v>
      </c>
      <c r="C992" s="272" t="s">
        <v>206</v>
      </c>
      <c r="D992" s="273" t="s">
        <v>9968</v>
      </c>
      <c r="E992" s="498" t="s">
        <v>8987</v>
      </c>
    </row>
    <row r="993" spans="1:5" ht="13.5">
      <c r="A993" s="271">
        <v>93425</v>
      </c>
      <c r="B993" s="272" t="s">
        <v>1099</v>
      </c>
      <c r="C993" s="272" t="s">
        <v>206</v>
      </c>
      <c r="D993" s="273" t="s">
        <v>9872</v>
      </c>
      <c r="E993" s="498" t="s">
        <v>8987</v>
      </c>
    </row>
    <row r="994" spans="1:5" ht="27">
      <c r="A994" s="271">
        <v>93426</v>
      </c>
      <c r="B994" s="272" t="s">
        <v>1100</v>
      </c>
      <c r="C994" s="272" t="s">
        <v>206</v>
      </c>
      <c r="D994" s="273" t="s">
        <v>21593</v>
      </c>
      <c r="E994" s="498" t="s">
        <v>8987</v>
      </c>
    </row>
    <row r="995" spans="1:5" ht="27">
      <c r="A995" s="271">
        <v>93429</v>
      </c>
      <c r="B995" s="272" t="s">
        <v>1101</v>
      </c>
      <c r="C995" s="272" t="s">
        <v>206</v>
      </c>
      <c r="D995" s="273" t="s">
        <v>21594</v>
      </c>
      <c r="E995" s="498" t="s">
        <v>8987</v>
      </c>
    </row>
    <row r="996" spans="1:5" ht="27">
      <c r="A996" s="271">
        <v>93430</v>
      </c>
      <c r="B996" s="272" t="s">
        <v>1102</v>
      </c>
      <c r="C996" s="272" t="s">
        <v>206</v>
      </c>
      <c r="D996" s="273" t="s">
        <v>11523</v>
      </c>
      <c r="E996" s="498" t="s">
        <v>8987</v>
      </c>
    </row>
    <row r="997" spans="1:5" ht="27">
      <c r="A997" s="271">
        <v>93431</v>
      </c>
      <c r="B997" s="272" t="s">
        <v>1103</v>
      </c>
      <c r="C997" s="272" t="s">
        <v>206</v>
      </c>
      <c r="D997" s="273" t="s">
        <v>21595</v>
      </c>
      <c r="E997" s="498" t="s">
        <v>8987</v>
      </c>
    </row>
    <row r="998" spans="1:5" ht="27">
      <c r="A998" s="271">
        <v>93432</v>
      </c>
      <c r="B998" s="272" t="s">
        <v>1104</v>
      </c>
      <c r="C998" s="272" t="s">
        <v>206</v>
      </c>
      <c r="D998" s="273" t="s">
        <v>21596</v>
      </c>
      <c r="E998" s="498" t="s">
        <v>8987</v>
      </c>
    </row>
    <row r="999" spans="1:5" ht="27">
      <c r="A999" s="271">
        <v>93435</v>
      </c>
      <c r="B999" s="272" t="s">
        <v>1105</v>
      </c>
      <c r="C999" s="272" t="s">
        <v>206</v>
      </c>
      <c r="D999" s="273" t="s">
        <v>18772</v>
      </c>
      <c r="E999" s="498" t="s">
        <v>8987</v>
      </c>
    </row>
    <row r="1000" spans="1:5" ht="27">
      <c r="A1000" s="271">
        <v>93436</v>
      </c>
      <c r="B1000" s="272" t="s">
        <v>1106</v>
      </c>
      <c r="C1000" s="272" t="s">
        <v>206</v>
      </c>
      <c r="D1000" s="273" t="s">
        <v>10002</v>
      </c>
      <c r="E1000" s="498" t="s">
        <v>8987</v>
      </c>
    </row>
    <row r="1001" spans="1:5" ht="27">
      <c r="A1001" s="271">
        <v>93437</v>
      </c>
      <c r="B1001" s="272" t="s">
        <v>1107</v>
      </c>
      <c r="C1001" s="272" t="s">
        <v>206</v>
      </c>
      <c r="D1001" s="273" t="s">
        <v>20142</v>
      </c>
      <c r="E1001" s="498" t="s">
        <v>8987</v>
      </c>
    </row>
    <row r="1002" spans="1:5" ht="27">
      <c r="A1002" s="271">
        <v>93438</v>
      </c>
      <c r="B1002" s="272" t="s">
        <v>1108</v>
      </c>
      <c r="C1002" s="272" t="s">
        <v>206</v>
      </c>
      <c r="D1002" s="273" t="s">
        <v>21547</v>
      </c>
      <c r="E1002" s="498" t="s">
        <v>8987</v>
      </c>
    </row>
    <row r="1003" spans="1:5" ht="27">
      <c r="A1003" s="271">
        <v>95114</v>
      </c>
      <c r="B1003" s="272" t="s">
        <v>1109</v>
      </c>
      <c r="C1003" s="272" t="s">
        <v>206</v>
      </c>
      <c r="D1003" s="273" t="s">
        <v>9971</v>
      </c>
      <c r="E1003" s="498" t="s">
        <v>8987</v>
      </c>
    </row>
    <row r="1004" spans="1:5" ht="13.5">
      <c r="A1004" s="271">
        <v>95115</v>
      </c>
      <c r="B1004" s="272" t="s">
        <v>1110</v>
      </c>
      <c r="C1004" s="272" t="s">
        <v>206</v>
      </c>
      <c r="D1004" s="273" t="s">
        <v>9942</v>
      </c>
      <c r="E1004" s="498" t="s">
        <v>8987</v>
      </c>
    </row>
    <row r="1005" spans="1:5" ht="27">
      <c r="A1005" s="271">
        <v>95116</v>
      </c>
      <c r="B1005" s="272" t="s">
        <v>1111</v>
      </c>
      <c r="C1005" s="272" t="s">
        <v>206</v>
      </c>
      <c r="D1005" s="273" t="s">
        <v>10058</v>
      </c>
      <c r="E1005" s="498" t="s">
        <v>8987</v>
      </c>
    </row>
    <row r="1006" spans="1:5" ht="27">
      <c r="A1006" s="271">
        <v>95117</v>
      </c>
      <c r="B1006" s="272" t="s">
        <v>1112</v>
      </c>
      <c r="C1006" s="272" t="s">
        <v>206</v>
      </c>
      <c r="D1006" s="273" t="s">
        <v>9946</v>
      </c>
      <c r="E1006" s="498" t="s">
        <v>8987</v>
      </c>
    </row>
    <row r="1007" spans="1:5" ht="27">
      <c r="A1007" s="271">
        <v>95118</v>
      </c>
      <c r="B1007" s="272" t="s">
        <v>1113</v>
      </c>
      <c r="C1007" s="272" t="s">
        <v>206</v>
      </c>
      <c r="D1007" s="273" t="s">
        <v>12457</v>
      </c>
      <c r="E1007" s="498" t="s">
        <v>8987</v>
      </c>
    </row>
    <row r="1008" spans="1:5" ht="27">
      <c r="A1008" s="271">
        <v>95119</v>
      </c>
      <c r="B1008" s="272" t="s">
        <v>1114</v>
      </c>
      <c r="C1008" s="272" t="s">
        <v>206</v>
      </c>
      <c r="D1008" s="273" t="s">
        <v>10220</v>
      </c>
      <c r="E1008" s="498" t="s">
        <v>8987</v>
      </c>
    </row>
    <row r="1009" spans="1:5" ht="27">
      <c r="A1009" s="271">
        <v>95120</v>
      </c>
      <c r="B1009" s="272" t="s">
        <v>1115</v>
      </c>
      <c r="C1009" s="272" t="s">
        <v>206</v>
      </c>
      <c r="D1009" s="273" t="s">
        <v>15905</v>
      </c>
      <c r="E1009" s="498" t="s">
        <v>8987</v>
      </c>
    </row>
    <row r="1010" spans="1:5" ht="27">
      <c r="A1010" s="271">
        <v>95123</v>
      </c>
      <c r="B1010" s="272" t="s">
        <v>1116</v>
      </c>
      <c r="C1010" s="272" t="s">
        <v>206</v>
      </c>
      <c r="D1010" s="273" t="s">
        <v>16150</v>
      </c>
      <c r="E1010" s="498" t="s">
        <v>8987</v>
      </c>
    </row>
    <row r="1011" spans="1:5" ht="27">
      <c r="A1011" s="271">
        <v>95124</v>
      </c>
      <c r="B1011" s="272" t="s">
        <v>1117</v>
      </c>
      <c r="C1011" s="272" t="s">
        <v>206</v>
      </c>
      <c r="D1011" s="273" t="s">
        <v>9740</v>
      </c>
      <c r="E1011" s="498" t="s">
        <v>8987</v>
      </c>
    </row>
    <row r="1012" spans="1:5" ht="27">
      <c r="A1012" s="271">
        <v>95125</v>
      </c>
      <c r="B1012" s="272" t="s">
        <v>1118</v>
      </c>
      <c r="C1012" s="272" t="s">
        <v>206</v>
      </c>
      <c r="D1012" s="273" t="s">
        <v>16548</v>
      </c>
      <c r="E1012" s="498" t="s">
        <v>8987</v>
      </c>
    </row>
    <row r="1013" spans="1:5" ht="27">
      <c r="A1013" s="271">
        <v>95126</v>
      </c>
      <c r="B1013" s="272" t="s">
        <v>1119</v>
      </c>
      <c r="C1013" s="272" t="s">
        <v>206</v>
      </c>
      <c r="D1013" s="273" t="s">
        <v>21597</v>
      </c>
      <c r="E1013" s="498" t="s">
        <v>8987</v>
      </c>
    </row>
    <row r="1014" spans="1:5" ht="27">
      <c r="A1014" s="271">
        <v>95129</v>
      </c>
      <c r="B1014" s="272" t="s">
        <v>1120</v>
      </c>
      <c r="C1014" s="272" t="s">
        <v>206</v>
      </c>
      <c r="D1014" s="273" t="s">
        <v>10973</v>
      </c>
      <c r="E1014" s="498" t="s">
        <v>8987</v>
      </c>
    </row>
    <row r="1015" spans="1:5" ht="27">
      <c r="A1015" s="271">
        <v>95130</v>
      </c>
      <c r="B1015" s="272" t="s">
        <v>1121</v>
      </c>
      <c r="C1015" s="272" t="s">
        <v>206</v>
      </c>
      <c r="D1015" s="273" t="s">
        <v>16275</v>
      </c>
      <c r="E1015" s="498" t="s">
        <v>8987</v>
      </c>
    </row>
    <row r="1016" spans="1:5" ht="27">
      <c r="A1016" s="271">
        <v>95131</v>
      </c>
      <c r="B1016" s="272" t="s">
        <v>1122</v>
      </c>
      <c r="C1016" s="272" t="s">
        <v>206</v>
      </c>
      <c r="D1016" s="273" t="s">
        <v>14159</v>
      </c>
      <c r="E1016" s="498" t="s">
        <v>8987</v>
      </c>
    </row>
    <row r="1017" spans="1:5" ht="27">
      <c r="A1017" s="271">
        <v>95132</v>
      </c>
      <c r="B1017" s="272" t="s">
        <v>1123</v>
      </c>
      <c r="C1017" s="272" t="s">
        <v>206</v>
      </c>
      <c r="D1017" s="273" t="s">
        <v>21598</v>
      </c>
      <c r="E1017" s="498" t="s">
        <v>8987</v>
      </c>
    </row>
    <row r="1018" spans="1:5" ht="27">
      <c r="A1018" s="271">
        <v>95136</v>
      </c>
      <c r="B1018" s="272" t="s">
        <v>1124</v>
      </c>
      <c r="C1018" s="272" t="s">
        <v>206</v>
      </c>
      <c r="D1018" s="273" t="s">
        <v>9917</v>
      </c>
      <c r="E1018" s="498" t="s">
        <v>8987</v>
      </c>
    </row>
    <row r="1019" spans="1:5" ht="27">
      <c r="A1019" s="271">
        <v>95137</v>
      </c>
      <c r="B1019" s="272" t="s">
        <v>1125</v>
      </c>
      <c r="C1019" s="272" t="s">
        <v>206</v>
      </c>
      <c r="D1019" s="273" t="s">
        <v>9943</v>
      </c>
      <c r="E1019" s="498" t="s">
        <v>8987</v>
      </c>
    </row>
    <row r="1020" spans="1:5" ht="27">
      <c r="A1020" s="271">
        <v>95138</v>
      </c>
      <c r="B1020" s="272" t="s">
        <v>1126</v>
      </c>
      <c r="C1020" s="272" t="s">
        <v>206</v>
      </c>
      <c r="D1020" s="273" t="s">
        <v>9895</v>
      </c>
      <c r="E1020" s="498" t="s">
        <v>8987</v>
      </c>
    </row>
    <row r="1021" spans="1:5" ht="27">
      <c r="A1021" s="271">
        <v>95208</v>
      </c>
      <c r="B1021" s="272" t="s">
        <v>1127</v>
      </c>
      <c r="C1021" s="272" t="s">
        <v>206</v>
      </c>
      <c r="D1021" s="273" t="s">
        <v>21599</v>
      </c>
      <c r="E1021" s="498" t="s">
        <v>8987</v>
      </c>
    </row>
    <row r="1022" spans="1:5" ht="27">
      <c r="A1022" s="271">
        <v>95209</v>
      </c>
      <c r="B1022" s="272" t="s">
        <v>1128</v>
      </c>
      <c r="C1022" s="272" t="s">
        <v>206</v>
      </c>
      <c r="D1022" s="273" t="s">
        <v>11236</v>
      </c>
      <c r="E1022" s="498" t="s">
        <v>8987</v>
      </c>
    </row>
    <row r="1023" spans="1:5" ht="27">
      <c r="A1023" s="271">
        <v>95210</v>
      </c>
      <c r="B1023" s="272" t="s">
        <v>1129</v>
      </c>
      <c r="C1023" s="272" t="s">
        <v>206</v>
      </c>
      <c r="D1023" s="273" t="s">
        <v>21272</v>
      </c>
      <c r="E1023" s="498" t="s">
        <v>8987</v>
      </c>
    </row>
    <row r="1024" spans="1:5" ht="27">
      <c r="A1024" s="271">
        <v>95211</v>
      </c>
      <c r="B1024" s="272" t="s">
        <v>1130</v>
      </c>
      <c r="C1024" s="272" t="s">
        <v>206</v>
      </c>
      <c r="D1024" s="273" t="s">
        <v>10044</v>
      </c>
      <c r="E1024" s="498" t="s">
        <v>8987</v>
      </c>
    </row>
    <row r="1025" spans="1:5" ht="27">
      <c r="A1025" s="271">
        <v>95214</v>
      </c>
      <c r="B1025" s="272" t="s">
        <v>1131</v>
      </c>
      <c r="C1025" s="272" t="s">
        <v>206</v>
      </c>
      <c r="D1025" s="273" t="s">
        <v>11058</v>
      </c>
      <c r="E1025" s="498" t="s">
        <v>8987</v>
      </c>
    </row>
    <row r="1026" spans="1:5" ht="27">
      <c r="A1026" s="271">
        <v>95215</v>
      </c>
      <c r="B1026" s="272" t="s">
        <v>1132</v>
      </c>
      <c r="C1026" s="272" t="s">
        <v>206</v>
      </c>
      <c r="D1026" s="273" t="s">
        <v>9895</v>
      </c>
      <c r="E1026" s="498" t="s">
        <v>8987</v>
      </c>
    </row>
    <row r="1027" spans="1:5" ht="27">
      <c r="A1027" s="271">
        <v>95216</v>
      </c>
      <c r="B1027" s="272" t="s">
        <v>1133</v>
      </c>
      <c r="C1027" s="272" t="s">
        <v>206</v>
      </c>
      <c r="D1027" s="273" t="s">
        <v>9894</v>
      </c>
      <c r="E1027" s="498" t="s">
        <v>8987</v>
      </c>
    </row>
    <row r="1028" spans="1:5" ht="27">
      <c r="A1028" s="271">
        <v>95217</v>
      </c>
      <c r="B1028" s="272" t="s">
        <v>1134</v>
      </c>
      <c r="C1028" s="272" t="s">
        <v>206</v>
      </c>
      <c r="D1028" s="273" t="s">
        <v>9988</v>
      </c>
      <c r="E1028" s="498" t="s">
        <v>8987</v>
      </c>
    </row>
    <row r="1029" spans="1:5" ht="13.5">
      <c r="A1029" s="271">
        <v>95255</v>
      </c>
      <c r="B1029" s="272" t="s">
        <v>1135</v>
      </c>
      <c r="C1029" s="272" t="s">
        <v>206</v>
      </c>
      <c r="D1029" s="273" t="s">
        <v>10013</v>
      </c>
      <c r="E1029" s="498" t="s">
        <v>8987</v>
      </c>
    </row>
    <row r="1030" spans="1:5" ht="13.5">
      <c r="A1030" s="271">
        <v>95256</v>
      </c>
      <c r="B1030" s="272" t="s">
        <v>1136</v>
      </c>
      <c r="C1030" s="272" t="s">
        <v>206</v>
      </c>
      <c r="D1030" s="273" t="s">
        <v>9879</v>
      </c>
      <c r="E1030" s="498" t="s">
        <v>8987</v>
      </c>
    </row>
    <row r="1031" spans="1:5" ht="13.5">
      <c r="A1031" s="271">
        <v>95257</v>
      </c>
      <c r="B1031" s="272" t="s">
        <v>1137</v>
      </c>
      <c r="C1031" s="272" t="s">
        <v>206</v>
      </c>
      <c r="D1031" s="273" t="s">
        <v>11064</v>
      </c>
      <c r="E1031" s="498" t="s">
        <v>8987</v>
      </c>
    </row>
    <row r="1032" spans="1:5" ht="27">
      <c r="A1032" s="271">
        <v>95260</v>
      </c>
      <c r="B1032" s="272" t="s">
        <v>1138</v>
      </c>
      <c r="C1032" s="272" t="s">
        <v>206</v>
      </c>
      <c r="D1032" s="273" t="s">
        <v>10028</v>
      </c>
      <c r="E1032" s="498" t="s">
        <v>8987</v>
      </c>
    </row>
    <row r="1033" spans="1:5" ht="27">
      <c r="A1033" s="271">
        <v>95261</v>
      </c>
      <c r="B1033" s="272" t="s">
        <v>1139</v>
      </c>
      <c r="C1033" s="272" t="s">
        <v>206</v>
      </c>
      <c r="D1033" s="273" t="s">
        <v>9879</v>
      </c>
      <c r="E1033" s="498" t="s">
        <v>8987</v>
      </c>
    </row>
    <row r="1034" spans="1:5" ht="27">
      <c r="A1034" s="271">
        <v>95262</v>
      </c>
      <c r="B1034" s="272" t="s">
        <v>1140</v>
      </c>
      <c r="C1034" s="272" t="s">
        <v>206</v>
      </c>
      <c r="D1034" s="273" t="s">
        <v>11202</v>
      </c>
      <c r="E1034" s="498" t="s">
        <v>8987</v>
      </c>
    </row>
    <row r="1035" spans="1:5" ht="27">
      <c r="A1035" s="271">
        <v>95263</v>
      </c>
      <c r="B1035" s="272" t="s">
        <v>1141</v>
      </c>
      <c r="C1035" s="272" t="s">
        <v>206</v>
      </c>
      <c r="D1035" s="273" t="s">
        <v>10902</v>
      </c>
      <c r="E1035" s="498" t="s">
        <v>8987</v>
      </c>
    </row>
    <row r="1036" spans="1:5" ht="27">
      <c r="A1036" s="271">
        <v>95266</v>
      </c>
      <c r="B1036" s="272" t="s">
        <v>1142</v>
      </c>
      <c r="C1036" s="272" t="s">
        <v>206</v>
      </c>
      <c r="D1036" s="273" t="s">
        <v>10066</v>
      </c>
      <c r="E1036" s="498" t="s">
        <v>8987</v>
      </c>
    </row>
    <row r="1037" spans="1:5" ht="27">
      <c r="A1037" s="271">
        <v>95267</v>
      </c>
      <c r="B1037" s="272" t="s">
        <v>1143</v>
      </c>
      <c r="C1037" s="272" t="s">
        <v>206</v>
      </c>
      <c r="D1037" s="273" t="s">
        <v>9873</v>
      </c>
      <c r="E1037" s="498" t="s">
        <v>8987</v>
      </c>
    </row>
    <row r="1038" spans="1:5" ht="27">
      <c r="A1038" s="271">
        <v>95268</v>
      </c>
      <c r="B1038" s="272" t="s">
        <v>1144</v>
      </c>
      <c r="C1038" s="272" t="s">
        <v>206</v>
      </c>
      <c r="D1038" s="273" t="s">
        <v>10067</v>
      </c>
      <c r="E1038" s="498" t="s">
        <v>8987</v>
      </c>
    </row>
    <row r="1039" spans="1:5" ht="27">
      <c r="A1039" s="271">
        <v>95269</v>
      </c>
      <c r="B1039" s="272" t="s">
        <v>1145</v>
      </c>
      <c r="C1039" s="272" t="s">
        <v>206</v>
      </c>
      <c r="D1039" s="273" t="s">
        <v>10231</v>
      </c>
      <c r="E1039" s="498" t="s">
        <v>8987</v>
      </c>
    </row>
    <row r="1040" spans="1:5" ht="27">
      <c r="A1040" s="271">
        <v>95272</v>
      </c>
      <c r="B1040" s="272" t="s">
        <v>1146</v>
      </c>
      <c r="C1040" s="272" t="s">
        <v>206</v>
      </c>
      <c r="D1040" s="273" t="s">
        <v>10067</v>
      </c>
      <c r="E1040" s="498" t="s">
        <v>8987</v>
      </c>
    </row>
    <row r="1041" spans="1:5" ht="27">
      <c r="A1041" s="271">
        <v>95273</v>
      </c>
      <c r="B1041" s="272" t="s">
        <v>1147</v>
      </c>
      <c r="C1041" s="272" t="s">
        <v>206</v>
      </c>
      <c r="D1041" s="273" t="s">
        <v>9873</v>
      </c>
      <c r="E1041" s="498" t="s">
        <v>8987</v>
      </c>
    </row>
    <row r="1042" spans="1:5" ht="27">
      <c r="A1042" s="271">
        <v>95274</v>
      </c>
      <c r="B1042" s="272" t="s">
        <v>1148</v>
      </c>
      <c r="C1042" s="272" t="s">
        <v>206</v>
      </c>
      <c r="D1042" s="273" t="s">
        <v>9852</v>
      </c>
      <c r="E1042" s="498" t="s">
        <v>8987</v>
      </c>
    </row>
    <row r="1043" spans="1:5" ht="27">
      <c r="A1043" s="271">
        <v>95275</v>
      </c>
      <c r="B1043" s="272" t="s">
        <v>1149</v>
      </c>
      <c r="C1043" s="272" t="s">
        <v>206</v>
      </c>
      <c r="D1043" s="275" t="s">
        <v>9774</v>
      </c>
      <c r="E1043" s="498" t="s">
        <v>8987</v>
      </c>
    </row>
    <row r="1044" spans="1:5" ht="27">
      <c r="A1044" s="271">
        <v>95278</v>
      </c>
      <c r="B1044" s="272" t="s">
        <v>1150</v>
      </c>
      <c r="C1044" s="272" t="s">
        <v>206</v>
      </c>
      <c r="D1044" s="273" t="s">
        <v>10036</v>
      </c>
      <c r="E1044" s="498" t="s">
        <v>8987</v>
      </c>
    </row>
    <row r="1045" spans="1:5" ht="27">
      <c r="A1045" s="271">
        <v>95279</v>
      </c>
      <c r="B1045" s="272" t="s">
        <v>1151</v>
      </c>
      <c r="C1045" s="272" t="s">
        <v>206</v>
      </c>
      <c r="D1045" s="273" t="s">
        <v>9982</v>
      </c>
      <c r="E1045" s="498" t="s">
        <v>8987</v>
      </c>
    </row>
    <row r="1046" spans="1:5" ht="27">
      <c r="A1046" s="271">
        <v>95280</v>
      </c>
      <c r="B1046" s="272" t="s">
        <v>1152</v>
      </c>
      <c r="C1046" s="272" t="s">
        <v>206</v>
      </c>
      <c r="D1046" s="273" t="s">
        <v>9984</v>
      </c>
      <c r="E1046" s="498" t="s">
        <v>8987</v>
      </c>
    </row>
    <row r="1047" spans="1:5" ht="27">
      <c r="A1047" s="271">
        <v>95281</v>
      </c>
      <c r="B1047" s="272" t="s">
        <v>1153</v>
      </c>
      <c r="C1047" s="272" t="s">
        <v>206</v>
      </c>
      <c r="D1047" s="273" t="s">
        <v>10231</v>
      </c>
      <c r="E1047" s="498" t="s">
        <v>8987</v>
      </c>
    </row>
    <row r="1048" spans="1:5" ht="27">
      <c r="A1048" s="271">
        <v>95617</v>
      </c>
      <c r="B1048" s="272" t="s">
        <v>1154</v>
      </c>
      <c r="C1048" s="272" t="s">
        <v>206</v>
      </c>
      <c r="D1048" s="273" t="s">
        <v>9769</v>
      </c>
      <c r="E1048" s="498" t="s">
        <v>8987</v>
      </c>
    </row>
    <row r="1049" spans="1:5" ht="27">
      <c r="A1049" s="271">
        <v>95618</v>
      </c>
      <c r="B1049" s="272" t="s">
        <v>1155</v>
      </c>
      <c r="C1049" s="272" t="s">
        <v>206</v>
      </c>
      <c r="D1049" s="273" t="s">
        <v>10029</v>
      </c>
      <c r="E1049" s="498" t="s">
        <v>8987</v>
      </c>
    </row>
    <row r="1050" spans="1:5" ht="27">
      <c r="A1050" s="271">
        <v>95619</v>
      </c>
      <c r="B1050" s="272" t="s">
        <v>1156</v>
      </c>
      <c r="C1050" s="272" t="s">
        <v>206</v>
      </c>
      <c r="D1050" s="273" t="s">
        <v>9850</v>
      </c>
      <c r="E1050" s="498" t="s">
        <v>8987</v>
      </c>
    </row>
    <row r="1051" spans="1:5" ht="27">
      <c r="A1051" s="271">
        <v>95627</v>
      </c>
      <c r="B1051" s="272" t="s">
        <v>1157</v>
      </c>
      <c r="C1051" s="272" t="s">
        <v>206</v>
      </c>
      <c r="D1051" s="273" t="s">
        <v>12402</v>
      </c>
      <c r="E1051" s="498" t="s">
        <v>8987</v>
      </c>
    </row>
    <row r="1052" spans="1:5" ht="27">
      <c r="A1052" s="271">
        <v>95628</v>
      </c>
      <c r="B1052" s="272" t="s">
        <v>1158</v>
      </c>
      <c r="C1052" s="272" t="s">
        <v>206</v>
      </c>
      <c r="D1052" s="273" t="s">
        <v>11342</v>
      </c>
      <c r="E1052" s="498" t="s">
        <v>8987</v>
      </c>
    </row>
    <row r="1053" spans="1:5" ht="27">
      <c r="A1053" s="271">
        <v>95629</v>
      </c>
      <c r="B1053" s="272" t="s">
        <v>1159</v>
      </c>
      <c r="C1053" s="272" t="s">
        <v>206</v>
      </c>
      <c r="D1053" s="273" t="s">
        <v>11053</v>
      </c>
      <c r="E1053" s="498" t="s">
        <v>8987</v>
      </c>
    </row>
    <row r="1054" spans="1:5" ht="27">
      <c r="A1054" s="271">
        <v>95630</v>
      </c>
      <c r="B1054" s="272" t="s">
        <v>1160</v>
      </c>
      <c r="C1054" s="272" t="s">
        <v>206</v>
      </c>
      <c r="D1054" s="273" t="s">
        <v>21524</v>
      </c>
      <c r="E1054" s="498" t="s">
        <v>8987</v>
      </c>
    </row>
    <row r="1055" spans="1:5" ht="27">
      <c r="A1055" s="271">
        <v>95698</v>
      </c>
      <c r="B1055" s="272" t="s">
        <v>1161</v>
      </c>
      <c r="C1055" s="272" t="s">
        <v>206</v>
      </c>
      <c r="D1055" s="273" t="s">
        <v>9856</v>
      </c>
      <c r="E1055" s="498" t="s">
        <v>8987</v>
      </c>
    </row>
    <row r="1056" spans="1:5" ht="27">
      <c r="A1056" s="271">
        <v>95699</v>
      </c>
      <c r="B1056" s="272" t="s">
        <v>1162</v>
      </c>
      <c r="C1056" s="272" t="s">
        <v>206</v>
      </c>
      <c r="D1056" s="273" t="s">
        <v>10066</v>
      </c>
      <c r="E1056" s="498" t="s">
        <v>8987</v>
      </c>
    </row>
    <row r="1057" spans="1:5" ht="27">
      <c r="A1057" s="271">
        <v>95700</v>
      </c>
      <c r="B1057" s="272" t="s">
        <v>1163</v>
      </c>
      <c r="C1057" s="272" t="s">
        <v>206</v>
      </c>
      <c r="D1057" s="273" t="s">
        <v>9846</v>
      </c>
      <c r="E1057" s="498" t="s">
        <v>8987</v>
      </c>
    </row>
    <row r="1058" spans="1:5" ht="27">
      <c r="A1058" s="271">
        <v>95701</v>
      </c>
      <c r="B1058" s="272" t="s">
        <v>1164</v>
      </c>
      <c r="C1058" s="272" t="s">
        <v>206</v>
      </c>
      <c r="D1058" s="273" t="s">
        <v>9923</v>
      </c>
      <c r="E1058" s="498" t="s">
        <v>8987</v>
      </c>
    </row>
    <row r="1059" spans="1:5" ht="27">
      <c r="A1059" s="271">
        <v>95704</v>
      </c>
      <c r="B1059" s="272" t="s">
        <v>1165</v>
      </c>
      <c r="C1059" s="272" t="s">
        <v>206</v>
      </c>
      <c r="D1059" s="273" t="s">
        <v>21600</v>
      </c>
      <c r="E1059" s="498" t="s">
        <v>8987</v>
      </c>
    </row>
    <row r="1060" spans="1:5" ht="27">
      <c r="A1060" s="271">
        <v>95705</v>
      </c>
      <c r="B1060" s="272" t="s">
        <v>1166</v>
      </c>
      <c r="C1060" s="272" t="s">
        <v>206</v>
      </c>
      <c r="D1060" s="273" t="s">
        <v>14185</v>
      </c>
      <c r="E1060" s="498" t="s">
        <v>8987</v>
      </c>
    </row>
    <row r="1061" spans="1:5" ht="27">
      <c r="A1061" s="271">
        <v>95706</v>
      </c>
      <c r="B1061" s="272" t="s">
        <v>1167</v>
      </c>
      <c r="C1061" s="272" t="s">
        <v>206</v>
      </c>
      <c r="D1061" s="273" t="s">
        <v>14107</v>
      </c>
      <c r="E1061" s="498" t="s">
        <v>8987</v>
      </c>
    </row>
    <row r="1062" spans="1:5" ht="27">
      <c r="A1062" s="271">
        <v>95707</v>
      </c>
      <c r="B1062" s="272" t="s">
        <v>1168</v>
      </c>
      <c r="C1062" s="272" t="s">
        <v>206</v>
      </c>
      <c r="D1062" s="273" t="s">
        <v>10072</v>
      </c>
      <c r="E1062" s="498" t="s">
        <v>8987</v>
      </c>
    </row>
    <row r="1063" spans="1:5" ht="40.5">
      <c r="A1063" s="271">
        <v>95710</v>
      </c>
      <c r="B1063" s="272" t="s">
        <v>1169</v>
      </c>
      <c r="C1063" s="272" t="s">
        <v>206</v>
      </c>
      <c r="D1063" s="273" t="s">
        <v>14124</v>
      </c>
      <c r="E1063" s="498" t="s">
        <v>8987</v>
      </c>
    </row>
    <row r="1064" spans="1:5" ht="40.5">
      <c r="A1064" s="271">
        <v>95711</v>
      </c>
      <c r="B1064" s="272" t="s">
        <v>1170</v>
      </c>
      <c r="C1064" s="272" t="s">
        <v>206</v>
      </c>
      <c r="D1064" s="273" t="s">
        <v>21471</v>
      </c>
      <c r="E1064" s="498" t="s">
        <v>8987</v>
      </c>
    </row>
    <row r="1065" spans="1:5" ht="40.5">
      <c r="A1065" s="271">
        <v>95712</v>
      </c>
      <c r="B1065" s="272" t="s">
        <v>1171</v>
      </c>
      <c r="C1065" s="272" t="s">
        <v>206</v>
      </c>
      <c r="D1065" s="273" t="s">
        <v>15876</v>
      </c>
      <c r="E1065" s="498" t="s">
        <v>8987</v>
      </c>
    </row>
    <row r="1066" spans="1:5" ht="40.5">
      <c r="A1066" s="271">
        <v>95713</v>
      </c>
      <c r="B1066" s="272" t="s">
        <v>1172</v>
      </c>
      <c r="C1066" s="272" t="s">
        <v>206</v>
      </c>
      <c r="D1066" s="273" t="s">
        <v>21544</v>
      </c>
      <c r="E1066" s="498" t="s">
        <v>8987</v>
      </c>
    </row>
    <row r="1067" spans="1:5" ht="40.5">
      <c r="A1067" s="271">
        <v>95716</v>
      </c>
      <c r="B1067" s="272" t="s">
        <v>1173</v>
      </c>
      <c r="C1067" s="272" t="s">
        <v>206</v>
      </c>
      <c r="D1067" s="273" t="s">
        <v>16585</v>
      </c>
      <c r="E1067" s="498" t="s">
        <v>8987</v>
      </c>
    </row>
    <row r="1068" spans="1:5" ht="40.5">
      <c r="A1068" s="271">
        <v>95717</v>
      </c>
      <c r="B1068" s="272" t="s">
        <v>1174</v>
      </c>
      <c r="C1068" s="272" t="s">
        <v>206</v>
      </c>
      <c r="D1068" s="273" t="s">
        <v>11034</v>
      </c>
      <c r="E1068" s="498" t="s">
        <v>8987</v>
      </c>
    </row>
    <row r="1069" spans="1:5" ht="40.5">
      <c r="A1069" s="271">
        <v>95718</v>
      </c>
      <c r="B1069" s="272" t="s">
        <v>1175</v>
      </c>
      <c r="C1069" s="272" t="s">
        <v>206</v>
      </c>
      <c r="D1069" s="273" t="s">
        <v>12445</v>
      </c>
      <c r="E1069" s="498" t="s">
        <v>8987</v>
      </c>
    </row>
    <row r="1070" spans="1:5" ht="40.5">
      <c r="A1070" s="271">
        <v>95719</v>
      </c>
      <c r="B1070" s="272" t="s">
        <v>1176</v>
      </c>
      <c r="C1070" s="272" t="s">
        <v>206</v>
      </c>
      <c r="D1070" s="273" t="s">
        <v>21544</v>
      </c>
      <c r="E1070" s="498" t="s">
        <v>8987</v>
      </c>
    </row>
    <row r="1071" spans="1:5" ht="27">
      <c r="A1071" s="271">
        <v>95869</v>
      </c>
      <c r="B1071" s="272" t="s">
        <v>1177</v>
      </c>
      <c r="C1071" s="272" t="s">
        <v>206</v>
      </c>
      <c r="D1071" s="273" t="s">
        <v>9916</v>
      </c>
      <c r="E1071" s="498" t="s">
        <v>8987</v>
      </c>
    </row>
    <row r="1072" spans="1:5" ht="27">
      <c r="A1072" s="271">
        <v>95870</v>
      </c>
      <c r="B1072" s="272" t="s">
        <v>1178</v>
      </c>
      <c r="C1072" s="272" t="s">
        <v>206</v>
      </c>
      <c r="D1072" s="273" t="s">
        <v>10250</v>
      </c>
      <c r="E1072" s="498" t="s">
        <v>8987</v>
      </c>
    </row>
    <row r="1073" spans="1:5" ht="27">
      <c r="A1073" s="271">
        <v>95871</v>
      </c>
      <c r="B1073" s="272" t="s">
        <v>1179</v>
      </c>
      <c r="C1073" s="272" t="s">
        <v>206</v>
      </c>
      <c r="D1073" s="273" t="s">
        <v>21601</v>
      </c>
      <c r="E1073" s="498" t="s">
        <v>8987</v>
      </c>
    </row>
    <row r="1074" spans="1:5" ht="27">
      <c r="A1074" s="271">
        <v>95874</v>
      </c>
      <c r="B1074" s="272" t="s">
        <v>1180</v>
      </c>
      <c r="C1074" s="272" t="s">
        <v>206</v>
      </c>
      <c r="D1074" s="273" t="s">
        <v>21602</v>
      </c>
      <c r="E1074" s="498" t="s">
        <v>8987</v>
      </c>
    </row>
    <row r="1075" spans="1:5" ht="27">
      <c r="A1075" s="271">
        <v>96008</v>
      </c>
      <c r="B1075" s="272" t="s">
        <v>1181</v>
      </c>
      <c r="C1075" s="272" t="s">
        <v>206</v>
      </c>
      <c r="D1075" s="273" t="s">
        <v>16677</v>
      </c>
      <c r="E1075" s="498" t="s">
        <v>8987</v>
      </c>
    </row>
    <row r="1076" spans="1:5" ht="27">
      <c r="A1076" s="271">
        <v>96009</v>
      </c>
      <c r="B1076" s="272" t="s">
        <v>1182</v>
      </c>
      <c r="C1076" s="272" t="s">
        <v>206</v>
      </c>
      <c r="D1076" s="273" t="s">
        <v>11165</v>
      </c>
      <c r="E1076" s="498" t="s">
        <v>8987</v>
      </c>
    </row>
    <row r="1077" spans="1:5" ht="27">
      <c r="A1077" s="271">
        <v>96011</v>
      </c>
      <c r="B1077" s="272" t="s">
        <v>1183</v>
      </c>
      <c r="C1077" s="272" t="s">
        <v>206</v>
      </c>
      <c r="D1077" s="273" t="s">
        <v>10664</v>
      </c>
      <c r="E1077" s="498" t="s">
        <v>8987</v>
      </c>
    </row>
    <row r="1078" spans="1:5" ht="27">
      <c r="A1078" s="271">
        <v>96012</v>
      </c>
      <c r="B1078" s="272" t="s">
        <v>1184</v>
      </c>
      <c r="C1078" s="272" t="s">
        <v>206</v>
      </c>
      <c r="D1078" s="273" t="s">
        <v>21526</v>
      </c>
      <c r="E1078" s="498" t="s">
        <v>8987</v>
      </c>
    </row>
    <row r="1079" spans="1:5" ht="27">
      <c r="A1079" s="271">
        <v>96015</v>
      </c>
      <c r="B1079" s="272" t="s">
        <v>1185</v>
      </c>
      <c r="C1079" s="272" t="s">
        <v>206</v>
      </c>
      <c r="D1079" s="273" t="s">
        <v>9724</v>
      </c>
      <c r="E1079" s="498" t="s">
        <v>8987</v>
      </c>
    </row>
    <row r="1080" spans="1:5" ht="27">
      <c r="A1080" s="271">
        <v>96016</v>
      </c>
      <c r="B1080" s="272" t="s">
        <v>1186</v>
      </c>
      <c r="C1080" s="272" t="s">
        <v>206</v>
      </c>
      <c r="D1080" s="273" t="s">
        <v>18837</v>
      </c>
      <c r="E1080" s="498" t="s">
        <v>8987</v>
      </c>
    </row>
    <row r="1081" spans="1:5" ht="27">
      <c r="A1081" s="271">
        <v>96018</v>
      </c>
      <c r="B1081" s="272" t="s">
        <v>1187</v>
      </c>
      <c r="C1081" s="272" t="s">
        <v>206</v>
      </c>
      <c r="D1081" s="273" t="s">
        <v>11312</v>
      </c>
      <c r="E1081" s="498" t="s">
        <v>8987</v>
      </c>
    </row>
    <row r="1082" spans="1:5" ht="27">
      <c r="A1082" s="271">
        <v>96019</v>
      </c>
      <c r="B1082" s="272" t="s">
        <v>1188</v>
      </c>
      <c r="C1082" s="272" t="s">
        <v>206</v>
      </c>
      <c r="D1082" s="273" t="s">
        <v>21526</v>
      </c>
      <c r="E1082" s="498" t="s">
        <v>8987</v>
      </c>
    </row>
    <row r="1083" spans="1:5" ht="27">
      <c r="A1083" s="271">
        <v>96023</v>
      </c>
      <c r="B1083" s="272" t="s">
        <v>1189</v>
      </c>
      <c r="C1083" s="272" t="s">
        <v>206</v>
      </c>
      <c r="D1083" s="273" t="s">
        <v>10592</v>
      </c>
      <c r="E1083" s="498" t="s">
        <v>8987</v>
      </c>
    </row>
    <row r="1084" spans="1:5" ht="27">
      <c r="A1084" s="271">
        <v>96024</v>
      </c>
      <c r="B1084" s="272" t="s">
        <v>1190</v>
      </c>
      <c r="C1084" s="272" t="s">
        <v>206</v>
      </c>
      <c r="D1084" s="273" t="s">
        <v>20004</v>
      </c>
      <c r="E1084" s="498" t="s">
        <v>8987</v>
      </c>
    </row>
    <row r="1085" spans="1:5" ht="27">
      <c r="A1085" s="271">
        <v>96026</v>
      </c>
      <c r="B1085" s="272" t="s">
        <v>1191</v>
      </c>
      <c r="C1085" s="272" t="s">
        <v>206</v>
      </c>
      <c r="D1085" s="273" t="s">
        <v>21603</v>
      </c>
      <c r="E1085" s="498" t="s">
        <v>8987</v>
      </c>
    </row>
    <row r="1086" spans="1:5" ht="27">
      <c r="A1086" s="271">
        <v>96027</v>
      </c>
      <c r="B1086" s="272" t="s">
        <v>1192</v>
      </c>
      <c r="C1086" s="272" t="s">
        <v>206</v>
      </c>
      <c r="D1086" s="273" t="s">
        <v>15819</v>
      </c>
      <c r="E1086" s="498" t="s">
        <v>8987</v>
      </c>
    </row>
    <row r="1087" spans="1:5" ht="27">
      <c r="A1087" s="271">
        <v>96030</v>
      </c>
      <c r="B1087" s="272" t="s">
        <v>1193</v>
      </c>
      <c r="C1087" s="272" t="s">
        <v>206</v>
      </c>
      <c r="D1087" s="273" t="s">
        <v>20880</v>
      </c>
      <c r="E1087" s="498" t="s">
        <v>8987</v>
      </c>
    </row>
    <row r="1088" spans="1:5" ht="27">
      <c r="A1088" s="271">
        <v>96031</v>
      </c>
      <c r="B1088" s="272" t="s">
        <v>1194</v>
      </c>
      <c r="C1088" s="272" t="s">
        <v>206</v>
      </c>
      <c r="D1088" s="273" t="s">
        <v>9792</v>
      </c>
      <c r="E1088" s="498" t="s">
        <v>8987</v>
      </c>
    </row>
    <row r="1089" spans="1:5" ht="27">
      <c r="A1089" s="271">
        <v>96032</v>
      </c>
      <c r="B1089" s="272" t="s">
        <v>1195</v>
      </c>
      <c r="C1089" s="272" t="s">
        <v>206</v>
      </c>
      <c r="D1089" s="273" t="s">
        <v>16396</v>
      </c>
      <c r="E1089" s="498" t="s">
        <v>8987</v>
      </c>
    </row>
    <row r="1090" spans="1:5" ht="27">
      <c r="A1090" s="271">
        <v>96033</v>
      </c>
      <c r="B1090" s="272" t="s">
        <v>1196</v>
      </c>
      <c r="C1090" s="272" t="s">
        <v>206</v>
      </c>
      <c r="D1090" s="273" t="s">
        <v>21604</v>
      </c>
      <c r="E1090" s="498" t="s">
        <v>8987</v>
      </c>
    </row>
    <row r="1091" spans="1:5" ht="27">
      <c r="A1091" s="271">
        <v>96034</v>
      </c>
      <c r="B1091" s="272" t="s">
        <v>1197</v>
      </c>
      <c r="C1091" s="272" t="s">
        <v>206</v>
      </c>
      <c r="D1091" s="273" t="s">
        <v>21578</v>
      </c>
      <c r="E1091" s="498" t="s">
        <v>8987</v>
      </c>
    </row>
    <row r="1092" spans="1:5" ht="27">
      <c r="A1092" s="271">
        <v>96053</v>
      </c>
      <c r="B1092" s="272" t="s">
        <v>1198</v>
      </c>
      <c r="C1092" s="272" t="s">
        <v>206</v>
      </c>
      <c r="D1092" s="273" t="s">
        <v>14143</v>
      </c>
      <c r="E1092" s="498" t="s">
        <v>8987</v>
      </c>
    </row>
    <row r="1093" spans="1:5" ht="27">
      <c r="A1093" s="271">
        <v>96054</v>
      </c>
      <c r="B1093" s="272" t="s">
        <v>1199</v>
      </c>
      <c r="C1093" s="272" t="s">
        <v>206</v>
      </c>
      <c r="D1093" s="273" t="s">
        <v>10185</v>
      </c>
      <c r="E1093" s="498" t="s">
        <v>8987</v>
      </c>
    </row>
    <row r="1094" spans="1:5" ht="27">
      <c r="A1094" s="271">
        <v>96055</v>
      </c>
      <c r="B1094" s="272" t="s">
        <v>1200</v>
      </c>
      <c r="C1094" s="272" t="s">
        <v>206</v>
      </c>
      <c r="D1094" s="273" t="s">
        <v>12300</v>
      </c>
      <c r="E1094" s="498" t="s">
        <v>8987</v>
      </c>
    </row>
    <row r="1095" spans="1:5" ht="27">
      <c r="A1095" s="271">
        <v>96056</v>
      </c>
      <c r="B1095" s="272" t="s">
        <v>1201</v>
      </c>
      <c r="C1095" s="272" t="s">
        <v>206</v>
      </c>
      <c r="D1095" s="273" t="s">
        <v>10026</v>
      </c>
      <c r="E1095" s="498" t="s">
        <v>8987</v>
      </c>
    </row>
    <row r="1096" spans="1:5" ht="27">
      <c r="A1096" s="271">
        <v>96057</v>
      </c>
      <c r="B1096" s="272" t="s">
        <v>1202</v>
      </c>
      <c r="C1096" s="272" t="s">
        <v>206</v>
      </c>
      <c r="D1096" s="273" t="s">
        <v>15819</v>
      </c>
      <c r="E1096" s="498" t="s">
        <v>8987</v>
      </c>
    </row>
    <row r="1097" spans="1:5" ht="27">
      <c r="A1097" s="271">
        <v>96060</v>
      </c>
      <c r="B1097" s="272" t="s">
        <v>1203</v>
      </c>
      <c r="C1097" s="272" t="s">
        <v>206</v>
      </c>
      <c r="D1097" s="273" t="s">
        <v>20004</v>
      </c>
      <c r="E1097" s="498" t="s">
        <v>8987</v>
      </c>
    </row>
    <row r="1098" spans="1:5" ht="27">
      <c r="A1098" s="271">
        <v>96061</v>
      </c>
      <c r="B1098" s="272" t="s">
        <v>1204</v>
      </c>
      <c r="C1098" s="272" t="s">
        <v>206</v>
      </c>
      <c r="D1098" s="273" t="s">
        <v>11206</v>
      </c>
      <c r="E1098" s="498" t="s">
        <v>8987</v>
      </c>
    </row>
    <row r="1099" spans="1:5" ht="27">
      <c r="A1099" s="271">
        <v>96062</v>
      </c>
      <c r="B1099" s="272" t="s">
        <v>1205</v>
      </c>
      <c r="C1099" s="272" t="s">
        <v>206</v>
      </c>
      <c r="D1099" s="273" t="s">
        <v>21574</v>
      </c>
      <c r="E1099" s="498" t="s">
        <v>8987</v>
      </c>
    </row>
    <row r="1100" spans="1:5" ht="27">
      <c r="A1100" s="271">
        <v>96241</v>
      </c>
      <c r="B1100" s="272" t="s">
        <v>1206</v>
      </c>
      <c r="C1100" s="272" t="s">
        <v>206</v>
      </c>
      <c r="D1100" s="273" t="s">
        <v>11314</v>
      </c>
      <c r="E1100" s="498" t="s">
        <v>8987</v>
      </c>
    </row>
    <row r="1101" spans="1:5" ht="27">
      <c r="A1101" s="271">
        <v>96242</v>
      </c>
      <c r="B1101" s="272" t="s">
        <v>1207</v>
      </c>
      <c r="C1101" s="272" t="s">
        <v>206</v>
      </c>
      <c r="D1101" s="273" t="s">
        <v>10023</v>
      </c>
      <c r="E1101" s="498" t="s">
        <v>8987</v>
      </c>
    </row>
    <row r="1102" spans="1:5" ht="27">
      <c r="A1102" s="271">
        <v>96243</v>
      </c>
      <c r="B1102" s="272" t="s">
        <v>1208</v>
      </c>
      <c r="C1102" s="272" t="s">
        <v>206</v>
      </c>
      <c r="D1102" s="273" t="s">
        <v>16117</v>
      </c>
      <c r="E1102" s="498" t="s">
        <v>8987</v>
      </c>
    </row>
    <row r="1103" spans="1:5" ht="27">
      <c r="A1103" s="271">
        <v>96244</v>
      </c>
      <c r="B1103" s="272" t="s">
        <v>1209</v>
      </c>
      <c r="C1103" s="272" t="s">
        <v>206</v>
      </c>
      <c r="D1103" s="273" t="s">
        <v>11243</v>
      </c>
      <c r="E1103" s="498" t="s">
        <v>8987</v>
      </c>
    </row>
    <row r="1104" spans="1:5" ht="27">
      <c r="A1104" s="271">
        <v>96298</v>
      </c>
      <c r="B1104" s="272" t="s">
        <v>1210</v>
      </c>
      <c r="C1104" s="272" t="s">
        <v>206</v>
      </c>
      <c r="D1104" s="273" t="s">
        <v>21605</v>
      </c>
      <c r="E1104" s="498" t="s">
        <v>8987</v>
      </c>
    </row>
    <row r="1105" spans="1:5" ht="27">
      <c r="A1105" s="271">
        <v>96299</v>
      </c>
      <c r="B1105" s="272" t="s">
        <v>1211</v>
      </c>
      <c r="C1105" s="272" t="s">
        <v>206</v>
      </c>
      <c r="D1105" s="273" t="s">
        <v>12239</v>
      </c>
      <c r="E1105" s="498" t="s">
        <v>8987</v>
      </c>
    </row>
    <row r="1106" spans="1:5" ht="27">
      <c r="A1106" s="271">
        <v>96300</v>
      </c>
      <c r="B1106" s="272" t="s">
        <v>1212</v>
      </c>
      <c r="C1106" s="272" t="s">
        <v>206</v>
      </c>
      <c r="D1106" s="273" t="s">
        <v>21606</v>
      </c>
      <c r="E1106" s="498" t="s">
        <v>8987</v>
      </c>
    </row>
    <row r="1107" spans="1:5" ht="27">
      <c r="A1107" s="271">
        <v>96301</v>
      </c>
      <c r="B1107" s="272" t="s">
        <v>1213</v>
      </c>
      <c r="C1107" s="272" t="s">
        <v>206</v>
      </c>
      <c r="D1107" s="273" t="s">
        <v>21607</v>
      </c>
      <c r="E1107" s="498" t="s">
        <v>8987</v>
      </c>
    </row>
    <row r="1108" spans="1:5" ht="27">
      <c r="A1108" s="271">
        <v>96457</v>
      </c>
      <c r="B1108" s="272" t="s">
        <v>1214</v>
      </c>
      <c r="C1108" s="272" t="s">
        <v>206</v>
      </c>
      <c r="D1108" s="273" t="s">
        <v>21540</v>
      </c>
      <c r="E1108" s="498" t="s">
        <v>8987</v>
      </c>
    </row>
    <row r="1109" spans="1:5" ht="27">
      <c r="A1109" s="271">
        <v>96458</v>
      </c>
      <c r="B1109" s="272" t="s">
        <v>1215</v>
      </c>
      <c r="C1109" s="272" t="s">
        <v>206</v>
      </c>
      <c r="D1109" s="273" t="s">
        <v>21608</v>
      </c>
      <c r="E1109" s="498" t="s">
        <v>8987</v>
      </c>
    </row>
    <row r="1110" spans="1:5" ht="27">
      <c r="A1110" s="271">
        <v>96459</v>
      </c>
      <c r="B1110" s="272" t="s">
        <v>1216</v>
      </c>
      <c r="C1110" s="272" t="s">
        <v>206</v>
      </c>
      <c r="D1110" s="273" t="s">
        <v>9846</v>
      </c>
      <c r="E1110" s="498" t="s">
        <v>8987</v>
      </c>
    </row>
    <row r="1111" spans="1:5" ht="27">
      <c r="A1111" s="271">
        <v>96460</v>
      </c>
      <c r="B1111" s="272" t="s">
        <v>1217</v>
      </c>
      <c r="C1111" s="272" t="s">
        <v>206</v>
      </c>
      <c r="D1111" s="273" t="s">
        <v>16348</v>
      </c>
      <c r="E1111" s="498" t="s">
        <v>8987</v>
      </c>
    </row>
    <row r="1112" spans="1:5" ht="27">
      <c r="A1112" s="271">
        <v>98760</v>
      </c>
      <c r="B1112" s="272" t="s">
        <v>3824</v>
      </c>
      <c r="C1112" s="272" t="s">
        <v>206</v>
      </c>
      <c r="D1112" s="273" t="s">
        <v>9921</v>
      </c>
      <c r="E1112" s="498" t="s">
        <v>8987</v>
      </c>
    </row>
    <row r="1113" spans="1:5" ht="27">
      <c r="A1113" s="271">
        <v>98761</v>
      </c>
      <c r="B1113" s="272" t="s">
        <v>3825</v>
      </c>
      <c r="C1113" s="272" t="s">
        <v>206</v>
      </c>
      <c r="D1113" s="273" t="s">
        <v>9943</v>
      </c>
      <c r="E1113" s="498" t="s">
        <v>8987</v>
      </c>
    </row>
    <row r="1114" spans="1:5" ht="27">
      <c r="A1114" s="271">
        <v>98762</v>
      </c>
      <c r="B1114" s="272" t="s">
        <v>3826</v>
      </c>
      <c r="C1114" s="272" t="s">
        <v>206</v>
      </c>
      <c r="D1114" s="273" t="s">
        <v>9865</v>
      </c>
      <c r="E1114" s="498" t="s">
        <v>8987</v>
      </c>
    </row>
    <row r="1115" spans="1:5" ht="40.5">
      <c r="A1115" s="271">
        <v>98763</v>
      </c>
      <c r="B1115" s="272" t="s">
        <v>3827</v>
      </c>
      <c r="C1115" s="272" t="s">
        <v>206</v>
      </c>
      <c r="D1115" s="273" t="s">
        <v>10065</v>
      </c>
      <c r="E1115" s="498" t="s">
        <v>8987</v>
      </c>
    </row>
    <row r="1116" spans="1:5" ht="27">
      <c r="A1116" s="271">
        <v>99829</v>
      </c>
      <c r="B1116" s="272" t="s">
        <v>3828</v>
      </c>
      <c r="C1116" s="272" t="s">
        <v>206</v>
      </c>
      <c r="D1116" s="273" t="s">
        <v>9880</v>
      </c>
      <c r="E1116" s="498" t="s">
        <v>8987</v>
      </c>
    </row>
    <row r="1117" spans="1:5" ht="27">
      <c r="A1117" s="271">
        <v>99830</v>
      </c>
      <c r="B1117" s="272" t="s">
        <v>3829</v>
      </c>
      <c r="C1117" s="272" t="s">
        <v>206</v>
      </c>
      <c r="D1117" s="273" t="s">
        <v>9943</v>
      </c>
      <c r="E1117" s="498" t="s">
        <v>8987</v>
      </c>
    </row>
    <row r="1118" spans="1:5" ht="27">
      <c r="A1118" s="271">
        <v>99831</v>
      </c>
      <c r="B1118" s="272" t="s">
        <v>3830</v>
      </c>
      <c r="C1118" s="272" t="s">
        <v>206</v>
      </c>
      <c r="D1118" s="273" t="s">
        <v>9841</v>
      </c>
      <c r="E1118" s="498" t="s">
        <v>8987</v>
      </c>
    </row>
    <row r="1119" spans="1:5" ht="27">
      <c r="A1119" s="271">
        <v>99832</v>
      </c>
      <c r="B1119" s="272" t="s">
        <v>3831</v>
      </c>
      <c r="C1119" s="272" t="s">
        <v>206</v>
      </c>
      <c r="D1119" s="273" t="s">
        <v>9844</v>
      </c>
      <c r="E1119" s="498" t="s">
        <v>8987</v>
      </c>
    </row>
    <row r="1120" spans="1:5" ht="27">
      <c r="A1120" s="271">
        <v>100637</v>
      </c>
      <c r="B1120" s="272" t="s">
        <v>9040</v>
      </c>
      <c r="C1120" s="272" t="s">
        <v>206</v>
      </c>
      <c r="D1120" s="273" t="s">
        <v>21609</v>
      </c>
      <c r="E1120" s="498" t="s">
        <v>8987</v>
      </c>
    </row>
    <row r="1121" spans="1:5" ht="27">
      <c r="A1121" s="271">
        <v>100638</v>
      </c>
      <c r="B1121" s="272" t="s">
        <v>9041</v>
      </c>
      <c r="C1121" s="272" t="s">
        <v>206</v>
      </c>
      <c r="D1121" s="273" t="s">
        <v>12425</v>
      </c>
      <c r="E1121" s="498" t="s">
        <v>8987</v>
      </c>
    </row>
    <row r="1122" spans="1:5" ht="27">
      <c r="A1122" s="271">
        <v>100639</v>
      </c>
      <c r="B1122" s="272" t="s">
        <v>9042</v>
      </c>
      <c r="C1122" s="272" t="s">
        <v>206</v>
      </c>
      <c r="D1122" s="273" t="s">
        <v>16125</v>
      </c>
      <c r="E1122" s="498" t="s">
        <v>8987</v>
      </c>
    </row>
    <row r="1123" spans="1:5" ht="27">
      <c r="A1123" s="271">
        <v>100640</v>
      </c>
      <c r="B1123" s="272" t="s">
        <v>9043</v>
      </c>
      <c r="C1123" s="272" t="s">
        <v>206</v>
      </c>
      <c r="D1123" s="273" t="s">
        <v>21610</v>
      </c>
      <c r="E1123" s="498" t="s">
        <v>8987</v>
      </c>
    </row>
    <row r="1124" spans="1:5" ht="13.5">
      <c r="A1124" s="271">
        <v>100643</v>
      </c>
      <c r="B1124" s="272" t="s">
        <v>9044</v>
      </c>
      <c r="C1124" s="272" t="s">
        <v>206</v>
      </c>
      <c r="D1124" s="273" t="s">
        <v>21611</v>
      </c>
      <c r="E1124" s="498" t="s">
        <v>8987</v>
      </c>
    </row>
    <row r="1125" spans="1:5" ht="13.5">
      <c r="A1125" s="271">
        <v>100644</v>
      </c>
      <c r="B1125" s="272" t="s">
        <v>9045</v>
      </c>
      <c r="C1125" s="272" t="s">
        <v>206</v>
      </c>
      <c r="D1125" s="273" t="s">
        <v>16674</v>
      </c>
      <c r="E1125" s="498" t="s">
        <v>8987</v>
      </c>
    </row>
    <row r="1126" spans="1:5" ht="13.5">
      <c r="A1126" s="271">
        <v>100645</v>
      </c>
      <c r="B1126" s="272" t="s">
        <v>9046</v>
      </c>
      <c r="C1126" s="272" t="s">
        <v>206</v>
      </c>
      <c r="D1126" s="273" t="s">
        <v>21612</v>
      </c>
      <c r="E1126" s="498" t="s">
        <v>8987</v>
      </c>
    </row>
    <row r="1127" spans="1:5" ht="27">
      <c r="A1127" s="271">
        <v>100646</v>
      </c>
      <c r="B1127" s="272" t="s">
        <v>9047</v>
      </c>
      <c r="C1127" s="272" t="s">
        <v>206</v>
      </c>
      <c r="D1127" s="273" t="s">
        <v>21231</v>
      </c>
      <c r="E1127" s="498" t="s">
        <v>8987</v>
      </c>
    </row>
    <row r="1128" spans="1:5" ht="27">
      <c r="A1128" s="271">
        <v>102270</v>
      </c>
      <c r="B1128" s="272" t="s">
        <v>12536</v>
      </c>
      <c r="C1128" s="272" t="s">
        <v>206</v>
      </c>
      <c r="D1128" s="273" t="s">
        <v>9934</v>
      </c>
      <c r="E1128" s="498" t="s">
        <v>8987</v>
      </c>
    </row>
    <row r="1129" spans="1:5" ht="27">
      <c r="A1129" s="271">
        <v>102271</v>
      </c>
      <c r="B1129" s="272" t="s">
        <v>12537</v>
      </c>
      <c r="C1129" s="272" t="s">
        <v>206</v>
      </c>
      <c r="D1129" s="273" t="s">
        <v>9894</v>
      </c>
      <c r="E1129" s="498" t="s">
        <v>8987</v>
      </c>
    </row>
    <row r="1130" spans="1:5" ht="27">
      <c r="A1130" s="271">
        <v>102272</v>
      </c>
      <c r="B1130" s="272" t="s">
        <v>12538</v>
      </c>
      <c r="C1130" s="272" t="s">
        <v>206</v>
      </c>
      <c r="D1130" s="273" t="s">
        <v>10067</v>
      </c>
      <c r="E1130" s="498" t="s">
        <v>8987</v>
      </c>
    </row>
    <row r="1131" spans="1:5" ht="27">
      <c r="A1131" s="271">
        <v>102273</v>
      </c>
      <c r="B1131" s="272" t="s">
        <v>12539</v>
      </c>
      <c r="C1131" s="272" t="s">
        <v>206</v>
      </c>
      <c r="D1131" s="273" t="s">
        <v>9828</v>
      </c>
      <c r="E1131" s="498" t="s">
        <v>8987</v>
      </c>
    </row>
    <row r="1132" spans="1:5" ht="27">
      <c r="A1132" s="271">
        <v>92259</v>
      </c>
      <c r="B1132" s="272" t="s">
        <v>3832</v>
      </c>
      <c r="C1132" s="272" t="s">
        <v>109</v>
      </c>
      <c r="D1132" s="273" t="s">
        <v>21613</v>
      </c>
      <c r="E1132" s="498" t="s">
        <v>229</v>
      </c>
    </row>
    <row r="1133" spans="1:5" ht="27">
      <c r="A1133" s="271">
        <v>92260</v>
      </c>
      <c r="B1133" s="272" t="s">
        <v>3833</v>
      </c>
      <c r="C1133" s="272" t="s">
        <v>109</v>
      </c>
      <c r="D1133" s="273" t="s">
        <v>21614</v>
      </c>
      <c r="E1133" s="498" t="s">
        <v>229</v>
      </c>
    </row>
    <row r="1134" spans="1:5" ht="27">
      <c r="A1134" s="271">
        <v>92261</v>
      </c>
      <c r="B1134" s="272" t="s">
        <v>3834</v>
      </c>
      <c r="C1134" s="272" t="s">
        <v>109</v>
      </c>
      <c r="D1134" s="273" t="s">
        <v>15895</v>
      </c>
      <c r="E1134" s="498" t="s">
        <v>229</v>
      </c>
    </row>
    <row r="1135" spans="1:5" ht="27">
      <c r="A1135" s="271">
        <v>92262</v>
      </c>
      <c r="B1135" s="272" t="s">
        <v>3835</v>
      </c>
      <c r="C1135" s="272" t="s">
        <v>109</v>
      </c>
      <c r="D1135" s="273" t="s">
        <v>21615</v>
      </c>
      <c r="E1135" s="498" t="s">
        <v>229</v>
      </c>
    </row>
    <row r="1136" spans="1:5" ht="40.5">
      <c r="A1136" s="271">
        <v>92539</v>
      </c>
      <c r="B1136" s="272" t="s">
        <v>3836</v>
      </c>
      <c r="C1136" s="272" t="s">
        <v>193</v>
      </c>
      <c r="D1136" s="273" t="s">
        <v>21616</v>
      </c>
      <c r="E1136" s="498" t="s">
        <v>229</v>
      </c>
    </row>
    <row r="1137" spans="1:5" ht="40.5">
      <c r="A1137" s="271">
        <v>92540</v>
      </c>
      <c r="B1137" s="272" t="s">
        <v>3837</v>
      </c>
      <c r="C1137" s="272" t="s">
        <v>193</v>
      </c>
      <c r="D1137" s="273" t="s">
        <v>16033</v>
      </c>
      <c r="E1137" s="498" t="s">
        <v>229</v>
      </c>
    </row>
    <row r="1138" spans="1:5" ht="27">
      <c r="A1138" s="271">
        <v>92541</v>
      </c>
      <c r="B1138" s="272" t="s">
        <v>3838</v>
      </c>
      <c r="C1138" s="272" t="s">
        <v>193</v>
      </c>
      <c r="D1138" s="273" t="s">
        <v>16294</v>
      </c>
      <c r="E1138" s="274" t="s">
        <v>229</v>
      </c>
    </row>
    <row r="1139" spans="1:5" ht="27">
      <c r="A1139" s="271">
        <v>92542</v>
      </c>
      <c r="B1139" s="272" t="s">
        <v>3839</v>
      </c>
      <c r="C1139" s="272" t="s">
        <v>193</v>
      </c>
      <c r="D1139" s="273" t="s">
        <v>21617</v>
      </c>
      <c r="E1139" s="274" t="s">
        <v>229</v>
      </c>
    </row>
    <row r="1140" spans="1:5" ht="40.5">
      <c r="A1140" s="271">
        <v>92543</v>
      </c>
      <c r="B1140" s="272" t="s">
        <v>3840</v>
      </c>
      <c r="C1140" s="272" t="s">
        <v>193</v>
      </c>
      <c r="D1140" s="273" t="s">
        <v>21618</v>
      </c>
      <c r="E1140" s="274" t="s">
        <v>229</v>
      </c>
    </row>
    <row r="1141" spans="1:5" ht="27">
      <c r="A1141" s="271">
        <v>92544</v>
      </c>
      <c r="B1141" s="272" t="s">
        <v>3841</v>
      </c>
      <c r="C1141" s="272" t="s">
        <v>193</v>
      </c>
      <c r="D1141" s="273" t="s">
        <v>10320</v>
      </c>
      <c r="E1141" s="274" t="s">
        <v>229</v>
      </c>
    </row>
    <row r="1142" spans="1:5" ht="27">
      <c r="A1142" s="271">
        <v>92545</v>
      </c>
      <c r="B1142" s="272" t="s">
        <v>3842</v>
      </c>
      <c r="C1142" s="272" t="s">
        <v>109</v>
      </c>
      <c r="D1142" s="273" t="s">
        <v>21619</v>
      </c>
      <c r="E1142" s="274" t="s">
        <v>229</v>
      </c>
    </row>
    <row r="1143" spans="1:5" ht="27">
      <c r="A1143" s="271">
        <v>92546</v>
      </c>
      <c r="B1143" s="272" t="s">
        <v>3843</v>
      </c>
      <c r="C1143" s="272" t="s">
        <v>109</v>
      </c>
      <c r="D1143" s="273" t="s">
        <v>21620</v>
      </c>
      <c r="E1143" s="274" t="s">
        <v>229</v>
      </c>
    </row>
    <row r="1144" spans="1:5" ht="27">
      <c r="A1144" s="271">
        <v>92547</v>
      </c>
      <c r="B1144" s="272" t="s">
        <v>3844</v>
      </c>
      <c r="C1144" s="272" t="s">
        <v>109</v>
      </c>
      <c r="D1144" s="273" t="s">
        <v>21621</v>
      </c>
      <c r="E1144" s="274" t="s">
        <v>229</v>
      </c>
    </row>
    <row r="1145" spans="1:5" ht="27">
      <c r="A1145" s="271">
        <v>92548</v>
      </c>
      <c r="B1145" s="272" t="s">
        <v>3845</v>
      </c>
      <c r="C1145" s="272" t="s">
        <v>109</v>
      </c>
      <c r="D1145" s="273" t="s">
        <v>21622</v>
      </c>
      <c r="E1145" s="274" t="s">
        <v>229</v>
      </c>
    </row>
    <row r="1146" spans="1:5" ht="27">
      <c r="A1146" s="271">
        <v>92549</v>
      </c>
      <c r="B1146" s="272" t="s">
        <v>3846</v>
      </c>
      <c r="C1146" s="272" t="s">
        <v>109</v>
      </c>
      <c r="D1146" s="273" t="s">
        <v>21623</v>
      </c>
      <c r="E1146" s="274" t="s">
        <v>229</v>
      </c>
    </row>
    <row r="1147" spans="1:5" ht="27">
      <c r="A1147" s="271">
        <v>92550</v>
      </c>
      <c r="B1147" s="272" t="s">
        <v>3847</v>
      </c>
      <c r="C1147" s="272" t="s">
        <v>109</v>
      </c>
      <c r="D1147" s="273" t="s">
        <v>21624</v>
      </c>
      <c r="E1147" s="274" t="s">
        <v>229</v>
      </c>
    </row>
    <row r="1148" spans="1:5" ht="27">
      <c r="A1148" s="271">
        <v>92551</v>
      </c>
      <c r="B1148" s="272" t="s">
        <v>3848</v>
      </c>
      <c r="C1148" s="272" t="s">
        <v>109</v>
      </c>
      <c r="D1148" s="273" t="s">
        <v>21625</v>
      </c>
      <c r="E1148" s="274" t="s">
        <v>229</v>
      </c>
    </row>
    <row r="1149" spans="1:5" ht="27">
      <c r="A1149" s="271">
        <v>92552</v>
      </c>
      <c r="B1149" s="272" t="s">
        <v>3849</v>
      </c>
      <c r="C1149" s="272" t="s">
        <v>109</v>
      </c>
      <c r="D1149" s="273" t="s">
        <v>21626</v>
      </c>
      <c r="E1149" s="274" t="s">
        <v>229</v>
      </c>
    </row>
    <row r="1150" spans="1:5" ht="27">
      <c r="A1150" s="271">
        <v>92553</v>
      </c>
      <c r="B1150" s="272" t="s">
        <v>3850</v>
      </c>
      <c r="C1150" s="272" t="s">
        <v>109</v>
      </c>
      <c r="D1150" s="273" t="s">
        <v>21627</v>
      </c>
      <c r="E1150" s="274" t="s">
        <v>229</v>
      </c>
    </row>
    <row r="1151" spans="1:5" ht="27">
      <c r="A1151" s="271">
        <v>92554</v>
      </c>
      <c r="B1151" s="272" t="s">
        <v>3851</v>
      </c>
      <c r="C1151" s="272" t="s">
        <v>109</v>
      </c>
      <c r="D1151" s="273" t="s">
        <v>21628</v>
      </c>
      <c r="E1151" s="274" t="s">
        <v>229</v>
      </c>
    </row>
    <row r="1152" spans="1:5" ht="40.5">
      <c r="A1152" s="271">
        <v>92555</v>
      </c>
      <c r="B1152" s="272" t="s">
        <v>3852</v>
      </c>
      <c r="C1152" s="272" t="s">
        <v>109</v>
      </c>
      <c r="D1152" s="273" t="s">
        <v>21629</v>
      </c>
      <c r="E1152" s="274" t="s">
        <v>229</v>
      </c>
    </row>
    <row r="1153" spans="1:5" ht="40.5">
      <c r="A1153" s="271">
        <v>92556</v>
      </c>
      <c r="B1153" s="272" t="s">
        <v>3853</v>
      </c>
      <c r="C1153" s="272" t="s">
        <v>109</v>
      </c>
      <c r="D1153" s="273" t="s">
        <v>21630</v>
      </c>
      <c r="E1153" s="274" t="s">
        <v>229</v>
      </c>
    </row>
    <row r="1154" spans="1:5" ht="40.5">
      <c r="A1154" s="271">
        <v>92557</v>
      </c>
      <c r="B1154" s="272" t="s">
        <v>3854</v>
      </c>
      <c r="C1154" s="272" t="s">
        <v>109</v>
      </c>
      <c r="D1154" s="273" t="s">
        <v>21631</v>
      </c>
      <c r="E1154" s="274" t="s">
        <v>229</v>
      </c>
    </row>
    <row r="1155" spans="1:5" ht="40.5">
      <c r="A1155" s="271">
        <v>92558</v>
      </c>
      <c r="B1155" s="272" t="s">
        <v>3855</v>
      </c>
      <c r="C1155" s="272" t="s">
        <v>109</v>
      </c>
      <c r="D1155" s="273" t="s">
        <v>21632</v>
      </c>
      <c r="E1155" s="274" t="s">
        <v>229</v>
      </c>
    </row>
    <row r="1156" spans="1:5" ht="40.5">
      <c r="A1156" s="271">
        <v>92559</v>
      </c>
      <c r="B1156" s="272" t="s">
        <v>3856</v>
      </c>
      <c r="C1156" s="272" t="s">
        <v>109</v>
      </c>
      <c r="D1156" s="273" t="s">
        <v>21633</v>
      </c>
      <c r="E1156" s="274" t="s">
        <v>229</v>
      </c>
    </row>
    <row r="1157" spans="1:5" ht="40.5">
      <c r="A1157" s="271">
        <v>92560</v>
      </c>
      <c r="B1157" s="272" t="s">
        <v>3857</v>
      </c>
      <c r="C1157" s="272" t="s">
        <v>109</v>
      </c>
      <c r="D1157" s="273" t="s">
        <v>21634</v>
      </c>
      <c r="E1157" s="274" t="s">
        <v>229</v>
      </c>
    </row>
    <row r="1158" spans="1:5" ht="40.5">
      <c r="A1158" s="271">
        <v>92561</v>
      </c>
      <c r="B1158" s="272" t="s">
        <v>3858</v>
      </c>
      <c r="C1158" s="272" t="s">
        <v>109</v>
      </c>
      <c r="D1158" s="273" t="s">
        <v>21635</v>
      </c>
      <c r="E1158" s="274" t="s">
        <v>229</v>
      </c>
    </row>
    <row r="1159" spans="1:5" ht="40.5">
      <c r="A1159" s="271">
        <v>92562</v>
      </c>
      <c r="B1159" s="272" t="s">
        <v>3859</v>
      </c>
      <c r="C1159" s="272" t="s">
        <v>109</v>
      </c>
      <c r="D1159" s="273" t="s">
        <v>21636</v>
      </c>
      <c r="E1159" s="274" t="s">
        <v>229</v>
      </c>
    </row>
    <row r="1160" spans="1:5" ht="40.5">
      <c r="A1160" s="271">
        <v>92563</v>
      </c>
      <c r="B1160" s="272" t="s">
        <v>3860</v>
      </c>
      <c r="C1160" s="272" t="s">
        <v>109</v>
      </c>
      <c r="D1160" s="273" t="s">
        <v>21637</v>
      </c>
      <c r="E1160" s="274" t="s">
        <v>229</v>
      </c>
    </row>
    <row r="1161" spans="1:5" ht="40.5">
      <c r="A1161" s="271">
        <v>92564</v>
      </c>
      <c r="B1161" s="272" t="s">
        <v>3861</v>
      </c>
      <c r="C1161" s="272" t="s">
        <v>109</v>
      </c>
      <c r="D1161" s="273" t="s">
        <v>21638</v>
      </c>
      <c r="E1161" s="274" t="s">
        <v>229</v>
      </c>
    </row>
    <row r="1162" spans="1:5" ht="40.5">
      <c r="A1162" s="271">
        <v>92565</v>
      </c>
      <c r="B1162" s="272" t="s">
        <v>1218</v>
      </c>
      <c r="C1162" s="272" t="s">
        <v>193</v>
      </c>
      <c r="D1162" s="273" t="s">
        <v>21639</v>
      </c>
      <c r="E1162" s="274" t="s">
        <v>229</v>
      </c>
    </row>
    <row r="1163" spans="1:5" ht="40.5">
      <c r="A1163" s="271">
        <v>92566</v>
      </c>
      <c r="B1163" s="272" t="s">
        <v>1219</v>
      </c>
      <c r="C1163" s="272" t="s">
        <v>193</v>
      </c>
      <c r="D1163" s="273" t="s">
        <v>12263</v>
      </c>
      <c r="E1163" s="274" t="s">
        <v>229</v>
      </c>
    </row>
    <row r="1164" spans="1:5" ht="40.5">
      <c r="A1164" s="271">
        <v>92567</v>
      </c>
      <c r="B1164" s="272" t="s">
        <v>1220</v>
      </c>
      <c r="C1164" s="272" t="s">
        <v>193</v>
      </c>
      <c r="D1164" s="273" t="s">
        <v>10609</v>
      </c>
      <c r="E1164" s="274" t="s">
        <v>229</v>
      </c>
    </row>
    <row r="1165" spans="1:5" ht="40.5">
      <c r="A1165" s="271">
        <v>100379</v>
      </c>
      <c r="B1165" s="272" t="s">
        <v>3862</v>
      </c>
      <c r="C1165" s="272" t="s">
        <v>193</v>
      </c>
      <c r="D1165" s="273" t="s">
        <v>21639</v>
      </c>
      <c r="E1165" s="274" t="s">
        <v>229</v>
      </c>
    </row>
    <row r="1166" spans="1:5" ht="40.5">
      <c r="A1166" s="271">
        <v>100380</v>
      </c>
      <c r="B1166" s="272" t="s">
        <v>3863</v>
      </c>
      <c r="C1166" s="272" t="s">
        <v>193</v>
      </c>
      <c r="D1166" s="273" t="s">
        <v>16344</v>
      </c>
      <c r="E1166" s="274" t="s">
        <v>229</v>
      </c>
    </row>
    <row r="1167" spans="1:5" ht="40.5">
      <c r="A1167" s="271">
        <v>100381</v>
      </c>
      <c r="B1167" s="272" t="s">
        <v>3864</v>
      </c>
      <c r="C1167" s="272" t="s">
        <v>193</v>
      </c>
      <c r="D1167" s="273" t="s">
        <v>10567</v>
      </c>
      <c r="E1167" s="274" t="s">
        <v>229</v>
      </c>
    </row>
    <row r="1168" spans="1:5" ht="40.5">
      <c r="A1168" s="271">
        <v>100383</v>
      </c>
      <c r="B1168" s="272" t="s">
        <v>3865</v>
      </c>
      <c r="C1168" s="272" t="s">
        <v>193</v>
      </c>
      <c r="D1168" s="273" t="s">
        <v>11481</v>
      </c>
      <c r="E1168" s="274" t="s">
        <v>229</v>
      </c>
    </row>
    <row r="1169" spans="1:5" ht="40.5">
      <c r="A1169" s="271">
        <v>100384</v>
      </c>
      <c r="B1169" s="272" t="s">
        <v>3866</v>
      </c>
      <c r="C1169" s="272" t="s">
        <v>193</v>
      </c>
      <c r="D1169" s="273" t="s">
        <v>16054</v>
      </c>
      <c r="E1169" s="274" t="s">
        <v>229</v>
      </c>
    </row>
    <row r="1170" spans="1:5" ht="40.5">
      <c r="A1170" s="271">
        <v>100385</v>
      </c>
      <c r="B1170" s="272" t="s">
        <v>3867</v>
      </c>
      <c r="C1170" s="272" t="s">
        <v>193</v>
      </c>
      <c r="D1170" s="273" t="s">
        <v>10609</v>
      </c>
      <c r="E1170" s="274" t="s">
        <v>229</v>
      </c>
    </row>
    <row r="1171" spans="1:5" ht="40.5">
      <c r="A1171" s="271">
        <v>100386</v>
      </c>
      <c r="B1171" s="272" t="s">
        <v>3868</v>
      </c>
      <c r="C1171" s="272" t="s">
        <v>193</v>
      </c>
      <c r="D1171" s="273" t="s">
        <v>21640</v>
      </c>
      <c r="E1171" s="274" t="s">
        <v>229</v>
      </c>
    </row>
    <row r="1172" spans="1:5" ht="40.5">
      <c r="A1172" s="271">
        <v>100387</v>
      </c>
      <c r="B1172" s="272" t="s">
        <v>3869</v>
      </c>
      <c r="C1172" s="272" t="s">
        <v>193</v>
      </c>
      <c r="D1172" s="273" t="s">
        <v>21641</v>
      </c>
      <c r="E1172" s="274" t="s">
        <v>229</v>
      </c>
    </row>
    <row r="1173" spans="1:5" ht="27">
      <c r="A1173" s="271">
        <v>100388</v>
      </c>
      <c r="B1173" s="272" t="s">
        <v>3870</v>
      </c>
      <c r="C1173" s="272" t="s">
        <v>193</v>
      </c>
      <c r="D1173" s="273" t="s">
        <v>14205</v>
      </c>
      <c r="E1173" s="274" t="s">
        <v>229</v>
      </c>
    </row>
    <row r="1174" spans="1:5" ht="27">
      <c r="A1174" s="271">
        <v>100389</v>
      </c>
      <c r="B1174" s="272" t="s">
        <v>3871</v>
      </c>
      <c r="C1174" s="272" t="s">
        <v>193</v>
      </c>
      <c r="D1174" s="273" t="s">
        <v>10493</v>
      </c>
      <c r="E1174" s="274" t="s">
        <v>229</v>
      </c>
    </row>
    <row r="1175" spans="1:5" ht="27">
      <c r="A1175" s="271">
        <v>100390</v>
      </c>
      <c r="B1175" s="272" t="s">
        <v>3872</v>
      </c>
      <c r="C1175" s="272" t="s">
        <v>193</v>
      </c>
      <c r="D1175" s="273" t="s">
        <v>16155</v>
      </c>
      <c r="E1175" s="274" t="s">
        <v>229</v>
      </c>
    </row>
    <row r="1176" spans="1:5" ht="27">
      <c r="A1176" s="271">
        <v>100391</v>
      </c>
      <c r="B1176" s="272" t="s">
        <v>3873</v>
      </c>
      <c r="C1176" s="272" t="s">
        <v>193</v>
      </c>
      <c r="D1176" s="273" t="s">
        <v>10665</v>
      </c>
      <c r="E1176" s="274" t="s">
        <v>229</v>
      </c>
    </row>
    <row r="1177" spans="1:5" ht="27">
      <c r="A1177" s="271">
        <v>100392</v>
      </c>
      <c r="B1177" s="272" t="s">
        <v>3874</v>
      </c>
      <c r="C1177" s="272" t="s">
        <v>193</v>
      </c>
      <c r="D1177" s="273" t="s">
        <v>19283</v>
      </c>
      <c r="E1177" s="274" t="s">
        <v>229</v>
      </c>
    </row>
    <row r="1178" spans="1:5" ht="27">
      <c r="A1178" s="271">
        <v>100393</v>
      </c>
      <c r="B1178" s="272" t="s">
        <v>3875</v>
      </c>
      <c r="C1178" s="272" t="s">
        <v>193</v>
      </c>
      <c r="D1178" s="275" t="s">
        <v>14280</v>
      </c>
      <c r="E1178" s="274" t="s">
        <v>229</v>
      </c>
    </row>
    <row r="1179" spans="1:5" ht="27">
      <c r="A1179" s="271">
        <v>100394</v>
      </c>
      <c r="B1179" s="272" t="s">
        <v>3876</v>
      </c>
      <c r="C1179" s="272" t="s">
        <v>193</v>
      </c>
      <c r="D1179" s="275" t="s">
        <v>11437</v>
      </c>
      <c r="E1179" s="274" t="s">
        <v>229</v>
      </c>
    </row>
    <row r="1180" spans="1:5" ht="27">
      <c r="A1180" s="271">
        <v>100395</v>
      </c>
      <c r="B1180" s="272" t="s">
        <v>3877</v>
      </c>
      <c r="C1180" s="272" t="s">
        <v>193</v>
      </c>
      <c r="D1180" s="275" t="s">
        <v>11076</v>
      </c>
      <c r="E1180" s="274" t="s">
        <v>229</v>
      </c>
    </row>
    <row r="1181" spans="1:5" ht="27">
      <c r="A1181" s="271">
        <v>94189</v>
      </c>
      <c r="B1181" s="272" t="s">
        <v>3878</v>
      </c>
      <c r="C1181" s="272" t="s">
        <v>193</v>
      </c>
      <c r="D1181" s="275" t="s">
        <v>12305</v>
      </c>
      <c r="E1181" s="274" t="s">
        <v>229</v>
      </c>
    </row>
    <row r="1182" spans="1:5" ht="27">
      <c r="A1182" s="271">
        <v>94192</v>
      </c>
      <c r="B1182" s="272" t="s">
        <v>3879</v>
      </c>
      <c r="C1182" s="272" t="s">
        <v>193</v>
      </c>
      <c r="D1182" s="275" t="s">
        <v>20561</v>
      </c>
      <c r="E1182" s="274" t="s">
        <v>229</v>
      </c>
    </row>
    <row r="1183" spans="1:5" ht="27">
      <c r="A1183" s="271">
        <v>94195</v>
      </c>
      <c r="B1183" s="272" t="s">
        <v>3880</v>
      </c>
      <c r="C1183" s="272" t="s">
        <v>193</v>
      </c>
      <c r="D1183" s="275" t="s">
        <v>21642</v>
      </c>
      <c r="E1183" s="274" t="s">
        <v>229</v>
      </c>
    </row>
    <row r="1184" spans="1:5" ht="27">
      <c r="A1184" s="271">
        <v>94198</v>
      </c>
      <c r="B1184" s="272" t="s">
        <v>3881</v>
      </c>
      <c r="C1184" s="272" t="s">
        <v>193</v>
      </c>
      <c r="D1184" s="273" t="s">
        <v>16188</v>
      </c>
      <c r="E1184" s="274" t="s">
        <v>229</v>
      </c>
    </row>
    <row r="1185" spans="1:5" ht="27">
      <c r="A1185" s="271">
        <v>94201</v>
      </c>
      <c r="B1185" s="272" t="s">
        <v>3882</v>
      </c>
      <c r="C1185" s="272" t="s">
        <v>193</v>
      </c>
      <c r="D1185" s="273" t="s">
        <v>21643</v>
      </c>
      <c r="E1185" s="274" t="s">
        <v>229</v>
      </c>
    </row>
    <row r="1186" spans="1:5" ht="27">
      <c r="A1186" s="271">
        <v>94204</v>
      </c>
      <c r="B1186" s="272" t="s">
        <v>3883</v>
      </c>
      <c r="C1186" s="272" t="s">
        <v>193</v>
      </c>
      <c r="D1186" s="273" t="s">
        <v>21644</v>
      </c>
      <c r="E1186" s="274" t="s">
        <v>229</v>
      </c>
    </row>
    <row r="1187" spans="1:5" ht="13.5">
      <c r="A1187" s="271">
        <v>94224</v>
      </c>
      <c r="B1187" s="272" t="s">
        <v>3884</v>
      </c>
      <c r="C1187" s="272" t="s">
        <v>5</v>
      </c>
      <c r="D1187" s="273" t="s">
        <v>11256</v>
      </c>
      <c r="E1187" s="274" t="s">
        <v>229</v>
      </c>
    </row>
    <row r="1188" spans="1:5" ht="27">
      <c r="A1188" s="271">
        <v>94225</v>
      </c>
      <c r="B1188" s="272" t="s">
        <v>3885</v>
      </c>
      <c r="C1188" s="272" t="s">
        <v>193</v>
      </c>
      <c r="D1188" s="275" t="s">
        <v>20927</v>
      </c>
      <c r="E1188" s="274" t="s">
        <v>229</v>
      </c>
    </row>
    <row r="1189" spans="1:5" ht="27">
      <c r="A1189" s="271">
        <v>94226</v>
      </c>
      <c r="B1189" s="272" t="s">
        <v>3886</v>
      </c>
      <c r="C1189" s="272" t="s">
        <v>193</v>
      </c>
      <c r="D1189" s="275" t="s">
        <v>9948</v>
      </c>
      <c r="E1189" s="274" t="s">
        <v>229</v>
      </c>
    </row>
    <row r="1190" spans="1:5" ht="13.5">
      <c r="A1190" s="271">
        <v>94232</v>
      </c>
      <c r="B1190" s="272" t="s">
        <v>3887</v>
      </c>
      <c r="C1190" s="272" t="s">
        <v>109</v>
      </c>
      <c r="D1190" s="275" t="s">
        <v>9776</v>
      </c>
      <c r="E1190" s="274" t="s">
        <v>229</v>
      </c>
    </row>
    <row r="1191" spans="1:5" ht="27">
      <c r="A1191" s="271">
        <v>94440</v>
      </c>
      <c r="B1191" s="272" t="s">
        <v>3888</v>
      </c>
      <c r="C1191" s="272" t="s">
        <v>193</v>
      </c>
      <c r="D1191" s="275" t="s">
        <v>21642</v>
      </c>
      <c r="E1191" s="274" t="s">
        <v>229</v>
      </c>
    </row>
    <row r="1192" spans="1:5" ht="27">
      <c r="A1192" s="271">
        <v>94441</v>
      </c>
      <c r="B1192" s="272" t="s">
        <v>3889</v>
      </c>
      <c r="C1192" s="272" t="s">
        <v>193</v>
      </c>
      <c r="D1192" s="275" t="s">
        <v>16188</v>
      </c>
      <c r="E1192" s="274" t="s">
        <v>229</v>
      </c>
    </row>
    <row r="1193" spans="1:5" ht="27">
      <c r="A1193" s="271">
        <v>94442</v>
      </c>
      <c r="B1193" s="272" t="s">
        <v>3890</v>
      </c>
      <c r="C1193" s="272" t="s">
        <v>193</v>
      </c>
      <c r="D1193" s="275" t="s">
        <v>21642</v>
      </c>
      <c r="E1193" s="274" t="s">
        <v>229</v>
      </c>
    </row>
    <row r="1194" spans="1:5" ht="27">
      <c r="A1194" s="271">
        <v>94443</v>
      </c>
      <c r="B1194" s="272" t="s">
        <v>3891</v>
      </c>
      <c r="C1194" s="272" t="s">
        <v>193</v>
      </c>
      <c r="D1194" s="273" t="s">
        <v>16188</v>
      </c>
      <c r="E1194" s="274" t="s">
        <v>229</v>
      </c>
    </row>
    <row r="1195" spans="1:5" ht="27">
      <c r="A1195" s="271">
        <v>94445</v>
      </c>
      <c r="B1195" s="272" t="s">
        <v>3892</v>
      </c>
      <c r="C1195" s="272" t="s">
        <v>193</v>
      </c>
      <c r="D1195" s="273" t="s">
        <v>21643</v>
      </c>
      <c r="E1195" s="274" t="s">
        <v>229</v>
      </c>
    </row>
    <row r="1196" spans="1:5" ht="27">
      <c r="A1196" s="271">
        <v>94446</v>
      </c>
      <c r="B1196" s="272" t="s">
        <v>3893</v>
      </c>
      <c r="C1196" s="272" t="s">
        <v>193</v>
      </c>
      <c r="D1196" s="273" t="s">
        <v>21644</v>
      </c>
      <c r="E1196" s="274" t="s">
        <v>229</v>
      </c>
    </row>
    <row r="1197" spans="1:5" ht="27">
      <c r="A1197" s="271">
        <v>94447</v>
      </c>
      <c r="B1197" s="272" t="s">
        <v>3894</v>
      </c>
      <c r="C1197" s="272" t="s">
        <v>193</v>
      </c>
      <c r="D1197" s="273" t="s">
        <v>21643</v>
      </c>
      <c r="E1197" s="274" t="s">
        <v>229</v>
      </c>
    </row>
    <row r="1198" spans="1:5" ht="27">
      <c r="A1198" s="271">
        <v>94448</v>
      </c>
      <c r="B1198" s="272" t="s">
        <v>3895</v>
      </c>
      <c r="C1198" s="272" t="s">
        <v>193</v>
      </c>
      <c r="D1198" s="273" t="s">
        <v>21644</v>
      </c>
      <c r="E1198" s="274" t="s">
        <v>229</v>
      </c>
    </row>
    <row r="1199" spans="1:5" ht="40.5">
      <c r="A1199" s="271">
        <v>94207</v>
      </c>
      <c r="B1199" s="272" t="s">
        <v>3896</v>
      </c>
      <c r="C1199" s="272" t="s">
        <v>193</v>
      </c>
      <c r="D1199" s="273" t="s">
        <v>21645</v>
      </c>
      <c r="E1199" s="274" t="s">
        <v>229</v>
      </c>
    </row>
    <row r="1200" spans="1:5" ht="40.5">
      <c r="A1200" s="271">
        <v>94210</v>
      </c>
      <c r="B1200" s="272" t="s">
        <v>3897</v>
      </c>
      <c r="C1200" s="272" t="s">
        <v>193</v>
      </c>
      <c r="D1200" s="273" t="s">
        <v>16444</v>
      </c>
      <c r="E1200" s="274" t="s">
        <v>229</v>
      </c>
    </row>
    <row r="1201" spans="1:5" ht="27">
      <c r="A1201" s="271">
        <v>94218</v>
      </c>
      <c r="B1201" s="272" t="s">
        <v>21646</v>
      </c>
      <c r="C1201" s="272" t="s">
        <v>193</v>
      </c>
      <c r="D1201" s="273" t="s">
        <v>21647</v>
      </c>
      <c r="E1201" s="274" t="s">
        <v>229</v>
      </c>
    </row>
    <row r="1202" spans="1:5" ht="27">
      <c r="A1202" s="271">
        <v>94213</v>
      </c>
      <c r="B1202" s="272" t="s">
        <v>3898</v>
      </c>
      <c r="C1202" s="272" t="s">
        <v>193</v>
      </c>
      <c r="D1202" s="273" t="s">
        <v>21648</v>
      </c>
      <c r="E1202" s="274" t="s">
        <v>229</v>
      </c>
    </row>
    <row r="1203" spans="1:5" ht="27">
      <c r="A1203" s="271">
        <v>94216</v>
      </c>
      <c r="B1203" s="272" t="s">
        <v>3899</v>
      </c>
      <c r="C1203" s="272" t="s">
        <v>193</v>
      </c>
      <c r="D1203" s="273" t="s">
        <v>21649</v>
      </c>
      <c r="E1203" s="274" t="s">
        <v>229</v>
      </c>
    </row>
    <row r="1204" spans="1:5" ht="40.5">
      <c r="A1204" s="271">
        <v>94219</v>
      </c>
      <c r="B1204" s="272" t="s">
        <v>3900</v>
      </c>
      <c r="C1204" s="272" t="s">
        <v>5</v>
      </c>
      <c r="D1204" s="273" t="s">
        <v>21447</v>
      </c>
      <c r="E1204" s="274" t="s">
        <v>229</v>
      </c>
    </row>
    <row r="1205" spans="1:5" ht="40.5">
      <c r="A1205" s="271">
        <v>94220</v>
      </c>
      <c r="B1205" s="272" t="s">
        <v>3901</v>
      </c>
      <c r="C1205" s="272" t="s">
        <v>5</v>
      </c>
      <c r="D1205" s="273" t="s">
        <v>21650</v>
      </c>
      <c r="E1205" s="274" t="s">
        <v>229</v>
      </c>
    </row>
    <row r="1206" spans="1:5" ht="27">
      <c r="A1206" s="271">
        <v>94221</v>
      </c>
      <c r="B1206" s="272" t="s">
        <v>3902</v>
      </c>
      <c r="C1206" s="272" t="s">
        <v>5</v>
      </c>
      <c r="D1206" s="273" t="s">
        <v>21651</v>
      </c>
      <c r="E1206" s="274" t="s">
        <v>229</v>
      </c>
    </row>
    <row r="1207" spans="1:5" ht="27">
      <c r="A1207" s="271">
        <v>94222</v>
      </c>
      <c r="B1207" s="272" t="s">
        <v>3903</v>
      </c>
      <c r="C1207" s="272" t="s">
        <v>5</v>
      </c>
      <c r="D1207" s="273" t="s">
        <v>10447</v>
      </c>
      <c r="E1207" s="274" t="s">
        <v>229</v>
      </c>
    </row>
    <row r="1208" spans="1:5" ht="27">
      <c r="A1208" s="271">
        <v>94223</v>
      </c>
      <c r="B1208" s="272" t="s">
        <v>3904</v>
      </c>
      <c r="C1208" s="272" t="s">
        <v>5</v>
      </c>
      <c r="D1208" s="273" t="s">
        <v>16103</v>
      </c>
      <c r="E1208" s="274" t="s">
        <v>229</v>
      </c>
    </row>
    <row r="1209" spans="1:5" ht="27">
      <c r="A1209" s="271">
        <v>94451</v>
      </c>
      <c r="B1209" s="272" t="s">
        <v>3905</v>
      </c>
      <c r="C1209" s="272" t="s">
        <v>5</v>
      </c>
      <c r="D1209" s="273" t="s">
        <v>21652</v>
      </c>
      <c r="E1209" s="274" t="s">
        <v>229</v>
      </c>
    </row>
    <row r="1210" spans="1:5" ht="27">
      <c r="A1210" s="271">
        <v>100325</v>
      </c>
      <c r="B1210" s="272" t="s">
        <v>3906</v>
      </c>
      <c r="C1210" s="272" t="s">
        <v>5</v>
      </c>
      <c r="D1210" s="273" t="s">
        <v>11390</v>
      </c>
      <c r="E1210" s="274" t="s">
        <v>229</v>
      </c>
    </row>
    <row r="1211" spans="1:5" ht="27">
      <c r="A1211" s="271">
        <v>100327</v>
      </c>
      <c r="B1211" s="272" t="s">
        <v>3907</v>
      </c>
      <c r="C1211" s="272" t="s">
        <v>5</v>
      </c>
      <c r="D1211" s="273" t="s">
        <v>16304</v>
      </c>
      <c r="E1211" s="274" t="s">
        <v>229</v>
      </c>
    </row>
    <row r="1212" spans="1:5" ht="27">
      <c r="A1212" s="271">
        <v>100328</v>
      </c>
      <c r="B1212" s="272" t="s">
        <v>3908</v>
      </c>
      <c r="C1212" s="272" t="s">
        <v>193</v>
      </c>
      <c r="D1212" s="273" t="s">
        <v>11400</v>
      </c>
      <c r="E1212" s="274" t="s">
        <v>229</v>
      </c>
    </row>
    <row r="1213" spans="1:5" ht="27">
      <c r="A1213" s="271">
        <v>100329</v>
      </c>
      <c r="B1213" s="272" t="s">
        <v>3909</v>
      </c>
      <c r="C1213" s="272" t="s">
        <v>193</v>
      </c>
      <c r="D1213" s="273" t="s">
        <v>9784</v>
      </c>
      <c r="E1213" s="274" t="s">
        <v>229</v>
      </c>
    </row>
    <row r="1214" spans="1:5" ht="27">
      <c r="A1214" s="271">
        <v>100330</v>
      </c>
      <c r="B1214" s="272" t="s">
        <v>3910</v>
      </c>
      <c r="C1214" s="272" t="s">
        <v>193</v>
      </c>
      <c r="D1214" s="273" t="s">
        <v>10449</v>
      </c>
      <c r="E1214" s="274" t="s">
        <v>229</v>
      </c>
    </row>
    <row r="1215" spans="1:5" ht="27">
      <c r="A1215" s="271">
        <v>100331</v>
      </c>
      <c r="B1215" s="272" t="s">
        <v>3911</v>
      </c>
      <c r="C1215" s="272" t="s">
        <v>193</v>
      </c>
      <c r="D1215" s="273" t="s">
        <v>16053</v>
      </c>
      <c r="E1215" s="274" t="s">
        <v>229</v>
      </c>
    </row>
    <row r="1216" spans="1:5" ht="40.5">
      <c r="A1216" s="271">
        <v>100434</v>
      </c>
      <c r="B1216" s="272" t="s">
        <v>9048</v>
      </c>
      <c r="C1216" s="272" t="s">
        <v>5</v>
      </c>
      <c r="D1216" s="273" t="s">
        <v>21653</v>
      </c>
      <c r="E1216" s="274" t="s">
        <v>229</v>
      </c>
    </row>
    <row r="1217" spans="1:5" ht="27">
      <c r="A1217" s="271">
        <v>100435</v>
      </c>
      <c r="B1217" s="272" t="s">
        <v>9049</v>
      </c>
      <c r="C1217" s="272" t="s">
        <v>5</v>
      </c>
      <c r="D1217" s="273" t="s">
        <v>16108</v>
      </c>
      <c r="E1217" s="274" t="s">
        <v>229</v>
      </c>
    </row>
    <row r="1218" spans="1:5" ht="27">
      <c r="A1218" s="271">
        <v>94227</v>
      </c>
      <c r="B1218" s="272" t="s">
        <v>3912</v>
      </c>
      <c r="C1218" s="272" t="s">
        <v>5</v>
      </c>
      <c r="D1218" s="273" t="s">
        <v>21654</v>
      </c>
      <c r="E1218" s="274" t="s">
        <v>229</v>
      </c>
    </row>
    <row r="1219" spans="1:5" ht="27">
      <c r="A1219" s="271">
        <v>94228</v>
      </c>
      <c r="B1219" s="272" t="s">
        <v>3913</v>
      </c>
      <c r="C1219" s="272" t="s">
        <v>5</v>
      </c>
      <c r="D1219" s="273" t="s">
        <v>21655</v>
      </c>
      <c r="E1219" s="274" t="s">
        <v>229</v>
      </c>
    </row>
    <row r="1220" spans="1:5" ht="27">
      <c r="A1220" s="271">
        <v>94229</v>
      </c>
      <c r="B1220" s="272" t="s">
        <v>3914</v>
      </c>
      <c r="C1220" s="272" t="s">
        <v>5</v>
      </c>
      <c r="D1220" s="273" t="s">
        <v>21656</v>
      </c>
      <c r="E1220" s="274" t="s">
        <v>229</v>
      </c>
    </row>
    <row r="1221" spans="1:5" ht="27">
      <c r="A1221" s="271">
        <v>94231</v>
      </c>
      <c r="B1221" s="272" t="s">
        <v>3915</v>
      </c>
      <c r="C1221" s="272" t="s">
        <v>5</v>
      </c>
      <c r="D1221" s="273" t="s">
        <v>20751</v>
      </c>
      <c r="E1221" s="274" t="s">
        <v>229</v>
      </c>
    </row>
    <row r="1222" spans="1:5" ht="27">
      <c r="A1222" s="271">
        <v>94449</v>
      </c>
      <c r="B1222" s="272" t="s">
        <v>3916</v>
      </c>
      <c r="C1222" s="272" t="s">
        <v>193</v>
      </c>
      <c r="D1222" s="273" t="s">
        <v>21657</v>
      </c>
      <c r="E1222" s="274" t="s">
        <v>229</v>
      </c>
    </row>
    <row r="1223" spans="1:5" ht="27">
      <c r="A1223" s="271">
        <v>92255</v>
      </c>
      <c r="B1223" s="272" t="s">
        <v>3917</v>
      </c>
      <c r="C1223" s="272" t="s">
        <v>109</v>
      </c>
      <c r="D1223" s="273" t="s">
        <v>21658</v>
      </c>
      <c r="E1223" s="274" t="s">
        <v>229</v>
      </c>
    </row>
    <row r="1224" spans="1:5" ht="27">
      <c r="A1224" s="271">
        <v>92256</v>
      </c>
      <c r="B1224" s="272" t="s">
        <v>3918</v>
      </c>
      <c r="C1224" s="272" t="s">
        <v>109</v>
      </c>
      <c r="D1224" s="273" t="s">
        <v>21659</v>
      </c>
      <c r="E1224" s="274" t="s">
        <v>229</v>
      </c>
    </row>
    <row r="1225" spans="1:5" ht="27">
      <c r="A1225" s="271">
        <v>92257</v>
      </c>
      <c r="B1225" s="272" t="s">
        <v>3919</v>
      </c>
      <c r="C1225" s="272" t="s">
        <v>109</v>
      </c>
      <c r="D1225" s="273" t="s">
        <v>21660</v>
      </c>
      <c r="E1225" s="274" t="s">
        <v>229</v>
      </c>
    </row>
    <row r="1226" spans="1:5" ht="27">
      <c r="A1226" s="271">
        <v>92258</v>
      </c>
      <c r="B1226" s="272" t="s">
        <v>3920</v>
      </c>
      <c r="C1226" s="272" t="s">
        <v>109</v>
      </c>
      <c r="D1226" s="273" t="s">
        <v>21661</v>
      </c>
      <c r="E1226" s="274" t="s">
        <v>229</v>
      </c>
    </row>
    <row r="1227" spans="1:5" ht="27">
      <c r="A1227" s="271">
        <v>92568</v>
      </c>
      <c r="B1227" s="272" t="s">
        <v>3921</v>
      </c>
      <c r="C1227" s="272" t="s">
        <v>193</v>
      </c>
      <c r="D1227" s="273" t="s">
        <v>21662</v>
      </c>
      <c r="E1227" s="274" t="s">
        <v>229</v>
      </c>
    </row>
    <row r="1228" spans="1:5" ht="27">
      <c r="A1228" s="271">
        <v>92569</v>
      </c>
      <c r="B1228" s="272" t="s">
        <v>3922</v>
      </c>
      <c r="C1228" s="272" t="s">
        <v>193</v>
      </c>
      <c r="D1228" s="273" t="s">
        <v>21663</v>
      </c>
      <c r="E1228" s="274" t="s">
        <v>229</v>
      </c>
    </row>
    <row r="1229" spans="1:5" ht="27">
      <c r="A1229" s="271">
        <v>92570</v>
      </c>
      <c r="B1229" s="272" t="s">
        <v>3923</v>
      </c>
      <c r="C1229" s="272" t="s">
        <v>193</v>
      </c>
      <c r="D1229" s="273" t="s">
        <v>21664</v>
      </c>
      <c r="E1229" s="274" t="s">
        <v>229</v>
      </c>
    </row>
    <row r="1230" spans="1:5" ht="40.5">
      <c r="A1230" s="271">
        <v>92571</v>
      </c>
      <c r="B1230" s="272" t="s">
        <v>3924</v>
      </c>
      <c r="C1230" s="272" t="s">
        <v>193</v>
      </c>
      <c r="D1230" s="273" t="s">
        <v>21665</v>
      </c>
      <c r="E1230" s="274" t="s">
        <v>229</v>
      </c>
    </row>
    <row r="1231" spans="1:5" ht="27">
      <c r="A1231" s="271">
        <v>92572</v>
      </c>
      <c r="B1231" s="272" t="s">
        <v>3925</v>
      </c>
      <c r="C1231" s="272" t="s">
        <v>193</v>
      </c>
      <c r="D1231" s="273" t="s">
        <v>21666</v>
      </c>
      <c r="E1231" s="274" t="s">
        <v>229</v>
      </c>
    </row>
    <row r="1232" spans="1:5" ht="40.5">
      <c r="A1232" s="271">
        <v>92573</v>
      </c>
      <c r="B1232" s="272" t="s">
        <v>3926</v>
      </c>
      <c r="C1232" s="272" t="s">
        <v>193</v>
      </c>
      <c r="D1232" s="273" t="s">
        <v>21667</v>
      </c>
      <c r="E1232" s="274" t="s">
        <v>229</v>
      </c>
    </row>
    <row r="1233" spans="1:5" ht="27">
      <c r="A1233" s="271">
        <v>92574</v>
      </c>
      <c r="B1233" s="272" t="s">
        <v>3927</v>
      </c>
      <c r="C1233" s="272" t="s">
        <v>193</v>
      </c>
      <c r="D1233" s="273" t="s">
        <v>21668</v>
      </c>
      <c r="E1233" s="274" t="s">
        <v>229</v>
      </c>
    </row>
    <row r="1234" spans="1:5" ht="27">
      <c r="A1234" s="271">
        <v>92575</v>
      </c>
      <c r="B1234" s="272" t="s">
        <v>3928</v>
      </c>
      <c r="C1234" s="272" t="s">
        <v>193</v>
      </c>
      <c r="D1234" s="273" t="s">
        <v>12409</v>
      </c>
      <c r="E1234" s="274" t="s">
        <v>229</v>
      </c>
    </row>
    <row r="1235" spans="1:5" ht="27">
      <c r="A1235" s="271">
        <v>92576</v>
      </c>
      <c r="B1235" s="272" t="s">
        <v>3929</v>
      </c>
      <c r="C1235" s="272" t="s">
        <v>193</v>
      </c>
      <c r="D1235" s="273" t="s">
        <v>20768</v>
      </c>
      <c r="E1235" s="274" t="s">
        <v>229</v>
      </c>
    </row>
    <row r="1236" spans="1:5" ht="27">
      <c r="A1236" s="271">
        <v>92577</v>
      </c>
      <c r="B1236" s="272" t="s">
        <v>3930</v>
      </c>
      <c r="C1236" s="272" t="s">
        <v>193</v>
      </c>
      <c r="D1236" s="273" t="s">
        <v>21669</v>
      </c>
      <c r="E1236" s="274" t="s">
        <v>229</v>
      </c>
    </row>
    <row r="1237" spans="1:5" ht="27">
      <c r="A1237" s="271">
        <v>92578</v>
      </c>
      <c r="B1237" s="272" t="s">
        <v>3931</v>
      </c>
      <c r="C1237" s="272" t="s">
        <v>193</v>
      </c>
      <c r="D1237" s="273" t="s">
        <v>21670</v>
      </c>
      <c r="E1237" s="274" t="s">
        <v>229</v>
      </c>
    </row>
    <row r="1238" spans="1:5" ht="27">
      <c r="A1238" s="271">
        <v>92579</v>
      </c>
      <c r="B1238" s="272" t="s">
        <v>3932</v>
      </c>
      <c r="C1238" s="272" t="s">
        <v>193</v>
      </c>
      <c r="D1238" s="273" t="s">
        <v>12431</v>
      </c>
      <c r="E1238" s="274" t="s">
        <v>229</v>
      </c>
    </row>
    <row r="1239" spans="1:5" ht="40.5">
      <c r="A1239" s="271">
        <v>92580</v>
      </c>
      <c r="B1239" s="272" t="s">
        <v>3933</v>
      </c>
      <c r="C1239" s="272" t="s">
        <v>193</v>
      </c>
      <c r="D1239" s="273" t="s">
        <v>21671</v>
      </c>
      <c r="E1239" s="274" t="s">
        <v>229</v>
      </c>
    </row>
    <row r="1240" spans="1:5" ht="27">
      <c r="A1240" s="271">
        <v>92581</v>
      </c>
      <c r="B1240" s="272" t="s">
        <v>3934</v>
      </c>
      <c r="C1240" s="272" t="s">
        <v>193</v>
      </c>
      <c r="D1240" s="273" t="s">
        <v>21672</v>
      </c>
      <c r="E1240" s="274" t="s">
        <v>229</v>
      </c>
    </row>
    <row r="1241" spans="1:5" ht="27">
      <c r="A1241" s="271">
        <v>92582</v>
      </c>
      <c r="B1241" s="272" t="s">
        <v>1221</v>
      </c>
      <c r="C1241" s="272" t="s">
        <v>109</v>
      </c>
      <c r="D1241" s="273" t="s">
        <v>21673</v>
      </c>
      <c r="E1241" s="274" t="s">
        <v>229</v>
      </c>
    </row>
    <row r="1242" spans="1:5" ht="27">
      <c r="A1242" s="271">
        <v>92584</v>
      </c>
      <c r="B1242" s="272" t="s">
        <v>1222</v>
      </c>
      <c r="C1242" s="272" t="s">
        <v>109</v>
      </c>
      <c r="D1242" s="273" t="s">
        <v>21674</v>
      </c>
      <c r="E1242" s="274" t="s">
        <v>229</v>
      </c>
    </row>
    <row r="1243" spans="1:5" ht="27">
      <c r="A1243" s="271">
        <v>92586</v>
      </c>
      <c r="B1243" s="272" t="s">
        <v>1223</v>
      </c>
      <c r="C1243" s="272" t="s">
        <v>109</v>
      </c>
      <c r="D1243" s="273" t="s">
        <v>21675</v>
      </c>
      <c r="E1243" s="274" t="s">
        <v>229</v>
      </c>
    </row>
    <row r="1244" spans="1:5" ht="27">
      <c r="A1244" s="271">
        <v>92588</v>
      </c>
      <c r="B1244" s="272" t="s">
        <v>1224</v>
      </c>
      <c r="C1244" s="272" t="s">
        <v>109</v>
      </c>
      <c r="D1244" s="273" t="s">
        <v>21676</v>
      </c>
      <c r="E1244" s="274" t="s">
        <v>229</v>
      </c>
    </row>
    <row r="1245" spans="1:5" ht="27">
      <c r="A1245" s="271">
        <v>92590</v>
      </c>
      <c r="B1245" s="272" t="s">
        <v>1225</v>
      </c>
      <c r="C1245" s="272" t="s">
        <v>109</v>
      </c>
      <c r="D1245" s="273" t="s">
        <v>21677</v>
      </c>
      <c r="E1245" s="274" t="s">
        <v>229</v>
      </c>
    </row>
    <row r="1246" spans="1:5" ht="27">
      <c r="A1246" s="271">
        <v>92592</v>
      </c>
      <c r="B1246" s="272" t="s">
        <v>1226</v>
      </c>
      <c r="C1246" s="272" t="s">
        <v>109</v>
      </c>
      <c r="D1246" s="273" t="s">
        <v>21678</v>
      </c>
      <c r="E1246" s="274" t="s">
        <v>229</v>
      </c>
    </row>
    <row r="1247" spans="1:5" ht="27">
      <c r="A1247" s="271">
        <v>92593</v>
      </c>
      <c r="B1247" s="272" t="s">
        <v>1227</v>
      </c>
      <c r="C1247" s="272" t="s">
        <v>108</v>
      </c>
      <c r="D1247" s="273" t="s">
        <v>10460</v>
      </c>
      <c r="E1247" s="274" t="s">
        <v>229</v>
      </c>
    </row>
    <row r="1248" spans="1:5" ht="27">
      <c r="A1248" s="271">
        <v>92594</v>
      </c>
      <c r="B1248" s="272" t="s">
        <v>1228</v>
      </c>
      <c r="C1248" s="272" t="s">
        <v>109</v>
      </c>
      <c r="D1248" s="273" t="s">
        <v>21679</v>
      </c>
      <c r="E1248" s="274" t="s">
        <v>229</v>
      </c>
    </row>
    <row r="1249" spans="1:5" ht="27">
      <c r="A1249" s="271">
        <v>92596</v>
      </c>
      <c r="B1249" s="272" t="s">
        <v>1229</v>
      </c>
      <c r="C1249" s="272" t="s">
        <v>109</v>
      </c>
      <c r="D1249" s="273" t="s">
        <v>21680</v>
      </c>
      <c r="E1249" s="274" t="s">
        <v>229</v>
      </c>
    </row>
    <row r="1250" spans="1:5" ht="27">
      <c r="A1250" s="271">
        <v>92598</v>
      </c>
      <c r="B1250" s="272" t="s">
        <v>1230</v>
      </c>
      <c r="C1250" s="272" t="s">
        <v>109</v>
      </c>
      <c r="D1250" s="273" t="s">
        <v>21681</v>
      </c>
      <c r="E1250" s="274" t="s">
        <v>229</v>
      </c>
    </row>
    <row r="1251" spans="1:5" ht="27">
      <c r="A1251" s="271">
        <v>92600</v>
      </c>
      <c r="B1251" s="272" t="s">
        <v>1231</v>
      </c>
      <c r="C1251" s="272" t="s">
        <v>109</v>
      </c>
      <c r="D1251" s="273" t="s">
        <v>21682</v>
      </c>
      <c r="E1251" s="274" t="s">
        <v>229</v>
      </c>
    </row>
    <row r="1252" spans="1:5" ht="27">
      <c r="A1252" s="271">
        <v>92602</v>
      </c>
      <c r="B1252" s="272" t="s">
        <v>1232</v>
      </c>
      <c r="C1252" s="272" t="s">
        <v>109</v>
      </c>
      <c r="D1252" s="273" t="s">
        <v>21673</v>
      </c>
      <c r="E1252" s="274" t="s">
        <v>229</v>
      </c>
    </row>
    <row r="1253" spans="1:5" ht="27">
      <c r="A1253" s="271">
        <v>92604</v>
      </c>
      <c r="B1253" s="272" t="s">
        <v>1233</v>
      </c>
      <c r="C1253" s="272" t="s">
        <v>109</v>
      </c>
      <c r="D1253" s="273" t="s">
        <v>21683</v>
      </c>
      <c r="E1253" s="274" t="s">
        <v>229</v>
      </c>
    </row>
    <row r="1254" spans="1:5" ht="27">
      <c r="A1254" s="271">
        <v>92606</v>
      </c>
      <c r="B1254" s="272" t="s">
        <v>1234</v>
      </c>
      <c r="C1254" s="272" t="s">
        <v>109</v>
      </c>
      <c r="D1254" s="273" t="s">
        <v>21684</v>
      </c>
      <c r="E1254" s="274" t="s">
        <v>229</v>
      </c>
    </row>
    <row r="1255" spans="1:5" ht="27">
      <c r="A1255" s="271">
        <v>92608</v>
      </c>
      <c r="B1255" s="272" t="s">
        <v>1235</v>
      </c>
      <c r="C1255" s="272" t="s">
        <v>109</v>
      </c>
      <c r="D1255" s="273" t="s">
        <v>21685</v>
      </c>
      <c r="E1255" s="274" t="s">
        <v>229</v>
      </c>
    </row>
    <row r="1256" spans="1:5" ht="27">
      <c r="A1256" s="271">
        <v>92610</v>
      </c>
      <c r="B1256" s="272" t="s">
        <v>1236</v>
      </c>
      <c r="C1256" s="272" t="s">
        <v>109</v>
      </c>
      <c r="D1256" s="273" t="s">
        <v>21686</v>
      </c>
      <c r="E1256" s="274" t="s">
        <v>229</v>
      </c>
    </row>
    <row r="1257" spans="1:5" ht="40.5">
      <c r="A1257" s="271">
        <v>92612</v>
      </c>
      <c r="B1257" s="272" t="s">
        <v>1237</v>
      </c>
      <c r="C1257" s="272" t="s">
        <v>109</v>
      </c>
      <c r="D1257" s="273" t="s">
        <v>21687</v>
      </c>
      <c r="E1257" s="274" t="s">
        <v>229</v>
      </c>
    </row>
    <row r="1258" spans="1:5" ht="27">
      <c r="A1258" s="271">
        <v>92614</v>
      </c>
      <c r="B1258" s="272" t="s">
        <v>1238</v>
      </c>
      <c r="C1258" s="272" t="s">
        <v>109</v>
      </c>
      <c r="D1258" s="273" t="s">
        <v>21688</v>
      </c>
      <c r="E1258" s="274" t="s">
        <v>229</v>
      </c>
    </row>
    <row r="1259" spans="1:5" ht="27">
      <c r="A1259" s="271">
        <v>92616</v>
      </c>
      <c r="B1259" s="272" t="s">
        <v>1239</v>
      </c>
      <c r="C1259" s="272" t="s">
        <v>109</v>
      </c>
      <c r="D1259" s="273" t="s">
        <v>21689</v>
      </c>
      <c r="E1259" s="274" t="s">
        <v>229</v>
      </c>
    </row>
    <row r="1260" spans="1:5" ht="27">
      <c r="A1260" s="271">
        <v>92618</v>
      </c>
      <c r="B1260" s="272" t="s">
        <v>1240</v>
      </c>
      <c r="C1260" s="272" t="s">
        <v>109</v>
      </c>
      <c r="D1260" s="273" t="s">
        <v>21690</v>
      </c>
      <c r="E1260" s="274" t="s">
        <v>229</v>
      </c>
    </row>
    <row r="1261" spans="1:5" ht="27">
      <c r="A1261" s="271">
        <v>92620</v>
      </c>
      <c r="B1261" s="272" t="s">
        <v>1241</v>
      </c>
      <c r="C1261" s="272" t="s">
        <v>109</v>
      </c>
      <c r="D1261" s="273" t="s">
        <v>21691</v>
      </c>
      <c r="E1261" s="274" t="s">
        <v>229</v>
      </c>
    </row>
    <row r="1262" spans="1:5" ht="27">
      <c r="A1262" s="271">
        <v>100357</v>
      </c>
      <c r="B1262" s="272" t="s">
        <v>3935</v>
      </c>
      <c r="C1262" s="272" t="s">
        <v>109</v>
      </c>
      <c r="D1262" s="273" t="s">
        <v>21692</v>
      </c>
      <c r="E1262" s="274" t="s">
        <v>229</v>
      </c>
    </row>
    <row r="1263" spans="1:5" ht="27">
      <c r="A1263" s="271">
        <v>100358</v>
      </c>
      <c r="B1263" s="272" t="s">
        <v>3936</v>
      </c>
      <c r="C1263" s="272" t="s">
        <v>109</v>
      </c>
      <c r="D1263" s="273" t="s">
        <v>21693</v>
      </c>
      <c r="E1263" s="274" t="s">
        <v>229</v>
      </c>
    </row>
    <row r="1264" spans="1:5" ht="27">
      <c r="A1264" s="271">
        <v>100359</v>
      </c>
      <c r="B1264" s="272" t="s">
        <v>3937</v>
      </c>
      <c r="C1264" s="272" t="s">
        <v>109</v>
      </c>
      <c r="D1264" s="273" t="s">
        <v>21694</v>
      </c>
      <c r="E1264" s="274" t="s">
        <v>229</v>
      </c>
    </row>
    <row r="1265" spans="1:5" ht="27">
      <c r="A1265" s="271">
        <v>100360</v>
      </c>
      <c r="B1265" s="272" t="s">
        <v>3938</v>
      </c>
      <c r="C1265" s="272" t="s">
        <v>109</v>
      </c>
      <c r="D1265" s="273" t="s">
        <v>21695</v>
      </c>
      <c r="E1265" s="274" t="s">
        <v>229</v>
      </c>
    </row>
    <row r="1266" spans="1:5" ht="27">
      <c r="A1266" s="271">
        <v>100361</v>
      </c>
      <c r="B1266" s="272" t="s">
        <v>3939</v>
      </c>
      <c r="C1266" s="272" t="s">
        <v>109</v>
      </c>
      <c r="D1266" s="273" t="s">
        <v>21696</v>
      </c>
      <c r="E1266" s="274" t="s">
        <v>229</v>
      </c>
    </row>
    <row r="1267" spans="1:5" ht="27">
      <c r="A1267" s="271">
        <v>100362</v>
      </c>
      <c r="B1267" s="272" t="s">
        <v>3940</v>
      </c>
      <c r="C1267" s="272" t="s">
        <v>109</v>
      </c>
      <c r="D1267" s="273" t="s">
        <v>21697</v>
      </c>
      <c r="E1267" s="274" t="s">
        <v>229</v>
      </c>
    </row>
    <row r="1268" spans="1:5" ht="27">
      <c r="A1268" s="271">
        <v>100363</v>
      </c>
      <c r="B1268" s="272" t="s">
        <v>3941</v>
      </c>
      <c r="C1268" s="272" t="s">
        <v>109</v>
      </c>
      <c r="D1268" s="273" t="s">
        <v>21698</v>
      </c>
      <c r="E1268" s="274" t="s">
        <v>229</v>
      </c>
    </row>
    <row r="1269" spans="1:5" ht="27">
      <c r="A1269" s="271">
        <v>100364</v>
      </c>
      <c r="B1269" s="272" t="s">
        <v>3942</v>
      </c>
      <c r="C1269" s="272" t="s">
        <v>109</v>
      </c>
      <c r="D1269" s="273" t="s">
        <v>21699</v>
      </c>
      <c r="E1269" s="274" t="s">
        <v>229</v>
      </c>
    </row>
    <row r="1270" spans="1:5" ht="27">
      <c r="A1270" s="271">
        <v>100365</v>
      </c>
      <c r="B1270" s="272" t="s">
        <v>3943</v>
      </c>
      <c r="C1270" s="272" t="s">
        <v>109</v>
      </c>
      <c r="D1270" s="273" t="s">
        <v>21700</v>
      </c>
      <c r="E1270" s="274" t="s">
        <v>229</v>
      </c>
    </row>
    <row r="1271" spans="1:5" ht="27">
      <c r="A1271" s="271">
        <v>100366</v>
      </c>
      <c r="B1271" s="272" t="s">
        <v>3944</v>
      </c>
      <c r="C1271" s="272" t="s">
        <v>109</v>
      </c>
      <c r="D1271" s="273" t="s">
        <v>21701</v>
      </c>
      <c r="E1271" s="274" t="s">
        <v>229</v>
      </c>
    </row>
    <row r="1272" spans="1:5" ht="40.5">
      <c r="A1272" s="271">
        <v>100367</v>
      </c>
      <c r="B1272" s="272" t="s">
        <v>3945</v>
      </c>
      <c r="C1272" s="272" t="s">
        <v>109</v>
      </c>
      <c r="D1272" s="273" t="s">
        <v>21702</v>
      </c>
      <c r="E1272" s="274" t="s">
        <v>229</v>
      </c>
    </row>
    <row r="1273" spans="1:5" ht="40.5">
      <c r="A1273" s="271">
        <v>100368</v>
      </c>
      <c r="B1273" s="272" t="s">
        <v>3946</v>
      </c>
      <c r="C1273" s="272" t="s">
        <v>109</v>
      </c>
      <c r="D1273" s="273" t="s">
        <v>21703</v>
      </c>
      <c r="E1273" s="274" t="s">
        <v>229</v>
      </c>
    </row>
    <row r="1274" spans="1:5" ht="40.5">
      <c r="A1274" s="271">
        <v>100369</v>
      </c>
      <c r="B1274" s="272" t="s">
        <v>3947</v>
      </c>
      <c r="C1274" s="272" t="s">
        <v>109</v>
      </c>
      <c r="D1274" s="273" t="s">
        <v>21704</v>
      </c>
      <c r="E1274" s="274" t="s">
        <v>229</v>
      </c>
    </row>
    <row r="1275" spans="1:5" ht="40.5">
      <c r="A1275" s="271">
        <v>100370</v>
      </c>
      <c r="B1275" s="272" t="s">
        <v>3948</v>
      </c>
      <c r="C1275" s="272" t="s">
        <v>109</v>
      </c>
      <c r="D1275" s="273" t="s">
        <v>21705</v>
      </c>
      <c r="E1275" s="274" t="s">
        <v>229</v>
      </c>
    </row>
    <row r="1276" spans="1:5" ht="40.5">
      <c r="A1276" s="271">
        <v>100371</v>
      </c>
      <c r="B1276" s="272" t="s">
        <v>3949</v>
      </c>
      <c r="C1276" s="272" t="s">
        <v>109</v>
      </c>
      <c r="D1276" s="273" t="s">
        <v>21706</v>
      </c>
      <c r="E1276" s="274" t="s">
        <v>229</v>
      </c>
    </row>
    <row r="1277" spans="1:5" ht="40.5">
      <c r="A1277" s="271">
        <v>100372</v>
      </c>
      <c r="B1277" s="272" t="s">
        <v>3950</v>
      </c>
      <c r="C1277" s="272" t="s">
        <v>109</v>
      </c>
      <c r="D1277" s="273" t="s">
        <v>21707</v>
      </c>
      <c r="E1277" s="274" t="s">
        <v>229</v>
      </c>
    </row>
    <row r="1278" spans="1:5" ht="40.5">
      <c r="A1278" s="271">
        <v>100373</v>
      </c>
      <c r="B1278" s="272" t="s">
        <v>3951</v>
      </c>
      <c r="C1278" s="272" t="s">
        <v>109</v>
      </c>
      <c r="D1278" s="273" t="s">
        <v>21708</v>
      </c>
      <c r="E1278" s="274" t="s">
        <v>229</v>
      </c>
    </row>
    <row r="1279" spans="1:5" ht="40.5">
      <c r="A1279" s="271">
        <v>100374</v>
      </c>
      <c r="B1279" s="272" t="s">
        <v>3952</v>
      </c>
      <c r="C1279" s="272" t="s">
        <v>109</v>
      </c>
      <c r="D1279" s="273" t="s">
        <v>21709</v>
      </c>
      <c r="E1279" s="274" t="s">
        <v>229</v>
      </c>
    </row>
    <row r="1280" spans="1:5" ht="40.5">
      <c r="A1280" s="271">
        <v>100375</v>
      </c>
      <c r="B1280" s="272" t="s">
        <v>3953</v>
      </c>
      <c r="C1280" s="272" t="s">
        <v>109</v>
      </c>
      <c r="D1280" s="273" t="s">
        <v>21710</v>
      </c>
      <c r="E1280" s="274" t="s">
        <v>229</v>
      </c>
    </row>
    <row r="1281" spans="1:5" ht="40.5">
      <c r="A1281" s="271">
        <v>100376</v>
      </c>
      <c r="B1281" s="272" t="s">
        <v>3954</v>
      </c>
      <c r="C1281" s="272" t="s">
        <v>109</v>
      </c>
      <c r="D1281" s="275" t="s">
        <v>21711</v>
      </c>
      <c r="E1281" s="274" t="s">
        <v>229</v>
      </c>
    </row>
    <row r="1282" spans="1:5" ht="27">
      <c r="A1282" s="271">
        <v>100377</v>
      </c>
      <c r="B1282" s="272" t="s">
        <v>9050</v>
      </c>
      <c r="C1282" s="272" t="s">
        <v>108</v>
      </c>
      <c r="D1282" s="275" t="s">
        <v>10265</v>
      </c>
      <c r="E1282" s="274" t="s">
        <v>229</v>
      </c>
    </row>
    <row r="1283" spans="1:5" ht="27">
      <c r="A1283" s="271">
        <v>100378</v>
      </c>
      <c r="B1283" s="272" t="s">
        <v>9051</v>
      </c>
      <c r="C1283" s="272" t="s">
        <v>108</v>
      </c>
      <c r="D1283" s="273" t="s">
        <v>16337</v>
      </c>
      <c r="E1283" s="274" t="s">
        <v>229</v>
      </c>
    </row>
    <row r="1284" spans="1:5" ht="40.5">
      <c r="A1284" s="271">
        <v>100382</v>
      </c>
      <c r="B1284" s="272" t="s">
        <v>3955</v>
      </c>
      <c r="C1284" s="272" t="s">
        <v>193</v>
      </c>
      <c r="D1284" s="273" t="s">
        <v>12263</v>
      </c>
      <c r="E1284" s="274" t="s">
        <v>229</v>
      </c>
    </row>
    <row r="1285" spans="1:5" ht="27">
      <c r="A1285" s="271">
        <v>94444</v>
      </c>
      <c r="B1285" s="272" t="s">
        <v>3956</v>
      </c>
      <c r="C1285" s="272" t="s">
        <v>193</v>
      </c>
      <c r="D1285" s="273" t="s">
        <v>21712</v>
      </c>
      <c r="E1285" s="274" t="s">
        <v>229</v>
      </c>
    </row>
    <row r="1286" spans="1:5" ht="13.5">
      <c r="A1286" s="271" t="s">
        <v>1242</v>
      </c>
      <c r="B1286" s="272" t="s">
        <v>1243</v>
      </c>
      <c r="C1286" s="272" t="s">
        <v>193</v>
      </c>
      <c r="D1286" s="273" t="s">
        <v>19441</v>
      </c>
      <c r="E1286" s="274" t="s">
        <v>229</v>
      </c>
    </row>
    <row r="1287" spans="1:5" ht="13.5">
      <c r="A1287" s="271" t="s">
        <v>1244</v>
      </c>
      <c r="B1287" s="272" t="s">
        <v>1245</v>
      </c>
      <c r="C1287" s="272" t="s">
        <v>209</v>
      </c>
      <c r="D1287" s="273" t="s">
        <v>21713</v>
      </c>
      <c r="E1287" s="274" t="s">
        <v>229</v>
      </c>
    </row>
    <row r="1288" spans="1:5" ht="40.5">
      <c r="A1288" s="271">
        <v>92743</v>
      </c>
      <c r="B1288" s="272" t="s">
        <v>3957</v>
      </c>
      <c r="C1288" s="272" t="s">
        <v>209</v>
      </c>
      <c r="D1288" s="273" t="s">
        <v>21714</v>
      </c>
      <c r="E1288" s="274" t="s">
        <v>229</v>
      </c>
    </row>
    <row r="1289" spans="1:5" ht="40.5">
      <c r="A1289" s="271">
        <v>92744</v>
      </c>
      <c r="B1289" s="272" t="s">
        <v>3958</v>
      </c>
      <c r="C1289" s="272" t="s">
        <v>209</v>
      </c>
      <c r="D1289" s="273" t="s">
        <v>21715</v>
      </c>
      <c r="E1289" s="274" t="s">
        <v>229</v>
      </c>
    </row>
    <row r="1290" spans="1:5" ht="40.5">
      <c r="A1290" s="271">
        <v>92745</v>
      </c>
      <c r="B1290" s="272" t="s">
        <v>3959</v>
      </c>
      <c r="C1290" s="272" t="s">
        <v>209</v>
      </c>
      <c r="D1290" s="273" t="s">
        <v>21716</v>
      </c>
      <c r="E1290" s="274" t="s">
        <v>229</v>
      </c>
    </row>
    <row r="1291" spans="1:5" ht="40.5">
      <c r="A1291" s="271">
        <v>92746</v>
      </c>
      <c r="B1291" s="272" t="s">
        <v>3960</v>
      </c>
      <c r="C1291" s="272" t="s">
        <v>209</v>
      </c>
      <c r="D1291" s="275" t="s">
        <v>21717</v>
      </c>
      <c r="E1291" s="274" t="s">
        <v>229</v>
      </c>
    </row>
    <row r="1292" spans="1:5" ht="40.5">
      <c r="A1292" s="271">
        <v>92747</v>
      </c>
      <c r="B1292" s="272" t="s">
        <v>3961</v>
      </c>
      <c r="C1292" s="272" t="s">
        <v>209</v>
      </c>
      <c r="D1292" s="275" t="s">
        <v>21718</v>
      </c>
      <c r="E1292" s="274" t="s">
        <v>229</v>
      </c>
    </row>
    <row r="1293" spans="1:5" ht="40.5">
      <c r="A1293" s="271">
        <v>92748</v>
      </c>
      <c r="B1293" s="272" t="s">
        <v>3962</v>
      </c>
      <c r="C1293" s="272" t="s">
        <v>209</v>
      </c>
      <c r="D1293" s="273" t="s">
        <v>21719</v>
      </c>
      <c r="E1293" s="274" t="s">
        <v>229</v>
      </c>
    </row>
    <row r="1294" spans="1:5" ht="27">
      <c r="A1294" s="271">
        <v>92749</v>
      </c>
      <c r="B1294" s="272" t="s">
        <v>3963</v>
      </c>
      <c r="C1294" s="272" t="s">
        <v>209</v>
      </c>
      <c r="D1294" s="273" t="s">
        <v>21720</v>
      </c>
      <c r="E1294" s="274" t="s">
        <v>229</v>
      </c>
    </row>
    <row r="1295" spans="1:5" ht="40.5">
      <c r="A1295" s="271">
        <v>92750</v>
      </c>
      <c r="B1295" s="272" t="s">
        <v>3964</v>
      </c>
      <c r="C1295" s="272" t="s">
        <v>209</v>
      </c>
      <c r="D1295" s="273" t="s">
        <v>21721</v>
      </c>
      <c r="E1295" s="274" t="s">
        <v>229</v>
      </c>
    </row>
    <row r="1296" spans="1:5" ht="40.5">
      <c r="A1296" s="271">
        <v>92751</v>
      </c>
      <c r="B1296" s="272" t="s">
        <v>3965</v>
      </c>
      <c r="C1296" s="272" t="s">
        <v>209</v>
      </c>
      <c r="D1296" s="273" t="s">
        <v>21722</v>
      </c>
      <c r="E1296" s="274" t="s">
        <v>229</v>
      </c>
    </row>
    <row r="1297" spans="1:5" ht="40.5">
      <c r="A1297" s="271">
        <v>92752</v>
      </c>
      <c r="B1297" s="272" t="s">
        <v>3966</v>
      </c>
      <c r="C1297" s="272" t="s">
        <v>209</v>
      </c>
      <c r="D1297" s="273" t="s">
        <v>21723</v>
      </c>
      <c r="E1297" s="274" t="s">
        <v>229</v>
      </c>
    </row>
    <row r="1298" spans="1:5" ht="40.5">
      <c r="A1298" s="271">
        <v>92753</v>
      </c>
      <c r="B1298" s="272" t="s">
        <v>3967</v>
      </c>
      <c r="C1298" s="272" t="s">
        <v>209</v>
      </c>
      <c r="D1298" s="273" t="s">
        <v>21724</v>
      </c>
      <c r="E1298" s="274" t="s">
        <v>229</v>
      </c>
    </row>
    <row r="1299" spans="1:5" ht="40.5">
      <c r="A1299" s="271">
        <v>92754</v>
      </c>
      <c r="B1299" s="272" t="s">
        <v>3968</v>
      </c>
      <c r="C1299" s="272" t="s">
        <v>209</v>
      </c>
      <c r="D1299" s="273" t="s">
        <v>21725</v>
      </c>
      <c r="E1299" s="274" t="s">
        <v>229</v>
      </c>
    </row>
    <row r="1300" spans="1:5" ht="27">
      <c r="A1300" s="271">
        <v>92755</v>
      </c>
      <c r="B1300" s="272" t="s">
        <v>1246</v>
      </c>
      <c r="C1300" s="272" t="s">
        <v>193</v>
      </c>
      <c r="D1300" s="273" t="s">
        <v>21726</v>
      </c>
      <c r="E1300" s="274" t="s">
        <v>229</v>
      </c>
    </row>
    <row r="1301" spans="1:5" ht="27">
      <c r="A1301" s="271">
        <v>92756</v>
      </c>
      <c r="B1301" s="272" t="s">
        <v>1247</v>
      </c>
      <c r="C1301" s="272" t="s">
        <v>193</v>
      </c>
      <c r="D1301" s="273" t="s">
        <v>21727</v>
      </c>
      <c r="E1301" s="274" t="s">
        <v>229</v>
      </c>
    </row>
    <row r="1302" spans="1:5" ht="27">
      <c r="A1302" s="271">
        <v>92757</v>
      </c>
      <c r="B1302" s="272" t="s">
        <v>1248</v>
      </c>
      <c r="C1302" s="272" t="s">
        <v>193</v>
      </c>
      <c r="D1302" s="273" t="s">
        <v>21728</v>
      </c>
      <c r="E1302" s="274" t="s">
        <v>229</v>
      </c>
    </row>
    <row r="1303" spans="1:5" ht="27">
      <c r="A1303" s="271">
        <v>92758</v>
      </c>
      <c r="B1303" s="272" t="s">
        <v>1249</v>
      </c>
      <c r="C1303" s="272" t="s">
        <v>209</v>
      </c>
      <c r="D1303" s="273" t="s">
        <v>21729</v>
      </c>
      <c r="E1303" s="274" t="s">
        <v>229</v>
      </c>
    </row>
    <row r="1304" spans="1:5" ht="40.5">
      <c r="A1304" s="271">
        <v>91069</v>
      </c>
      <c r="B1304" s="272" t="s">
        <v>1250</v>
      </c>
      <c r="C1304" s="272" t="s">
        <v>193</v>
      </c>
      <c r="D1304" s="273" t="s">
        <v>21730</v>
      </c>
      <c r="E1304" s="274" t="s">
        <v>229</v>
      </c>
    </row>
    <row r="1305" spans="1:5" ht="40.5">
      <c r="A1305" s="271">
        <v>91070</v>
      </c>
      <c r="B1305" s="272" t="s">
        <v>1251</v>
      </c>
      <c r="C1305" s="272" t="s">
        <v>193</v>
      </c>
      <c r="D1305" s="273" t="s">
        <v>21731</v>
      </c>
      <c r="E1305" s="274" t="s">
        <v>229</v>
      </c>
    </row>
    <row r="1306" spans="1:5" ht="40.5">
      <c r="A1306" s="271">
        <v>91071</v>
      </c>
      <c r="B1306" s="272" t="s">
        <v>1252</v>
      </c>
      <c r="C1306" s="272" t="s">
        <v>193</v>
      </c>
      <c r="D1306" s="273" t="s">
        <v>21732</v>
      </c>
      <c r="E1306" s="274" t="s">
        <v>229</v>
      </c>
    </row>
    <row r="1307" spans="1:5" ht="40.5">
      <c r="A1307" s="271">
        <v>91072</v>
      </c>
      <c r="B1307" s="272" t="s">
        <v>1253</v>
      </c>
      <c r="C1307" s="272" t="s">
        <v>193</v>
      </c>
      <c r="D1307" s="273" t="s">
        <v>21733</v>
      </c>
      <c r="E1307" s="274" t="s">
        <v>229</v>
      </c>
    </row>
    <row r="1308" spans="1:5" ht="40.5">
      <c r="A1308" s="271">
        <v>91073</v>
      </c>
      <c r="B1308" s="272" t="s">
        <v>1254</v>
      </c>
      <c r="C1308" s="272" t="s">
        <v>193</v>
      </c>
      <c r="D1308" s="273" t="s">
        <v>21734</v>
      </c>
      <c r="E1308" s="274" t="s">
        <v>229</v>
      </c>
    </row>
    <row r="1309" spans="1:5" ht="40.5">
      <c r="A1309" s="271">
        <v>91074</v>
      </c>
      <c r="B1309" s="272" t="s">
        <v>1255</v>
      </c>
      <c r="C1309" s="272" t="s">
        <v>193</v>
      </c>
      <c r="D1309" s="273" t="s">
        <v>21735</v>
      </c>
      <c r="E1309" s="274" t="s">
        <v>229</v>
      </c>
    </row>
    <row r="1310" spans="1:5" ht="40.5">
      <c r="A1310" s="271">
        <v>91075</v>
      </c>
      <c r="B1310" s="272" t="s">
        <v>1256</v>
      </c>
      <c r="C1310" s="272" t="s">
        <v>193</v>
      </c>
      <c r="D1310" s="273" t="s">
        <v>14244</v>
      </c>
      <c r="E1310" s="274" t="s">
        <v>229</v>
      </c>
    </row>
    <row r="1311" spans="1:5" ht="40.5">
      <c r="A1311" s="271">
        <v>91076</v>
      </c>
      <c r="B1311" s="272" t="s">
        <v>1257</v>
      </c>
      <c r="C1311" s="272" t="s">
        <v>193</v>
      </c>
      <c r="D1311" s="273" t="s">
        <v>21736</v>
      </c>
      <c r="E1311" s="274" t="s">
        <v>229</v>
      </c>
    </row>
    <row r="1312" spans="1:5" ht="40.5">
      <c r="A1312" s="271">
        <v>91077</v>
      </c>
      <c r="B1312" s="272" t="s">
        <v>1258</v>
      </c>
      <c r="C1312" s="272" t="s">
        <v>193</v>
      </c>
      <c r="D1312" s="273" t="s">
        <v>21737</v>
      </c>
      <c r="E1312" s="274" t="s">
        <v>229</v>
      </c>
    </row>
    <row r="1313" spans="1:5" ht="40.5">
      <c r="A1313" s="271">
        <v>91078</v>
      </c>
      <c r="B1313" s="272" t="s">
        <v>1259</v>
      </c>
      <c r="C1313" s="272" t="s">
        <v>193</v>
      </c>
      <c r="D1313" s="273" t="s">
        <v>21738</v>
      </c>
      <c r="E1313" s="274" t="s">
        <v>229</v>
      </c>
    </row>
    <row r="1314" spans="1:5" ht="40.5">
      <c r="A1314" s="271">
        <v>91079</v>
      </c>
      <c r="B1314" s="272" t="s">
        <v>1260</v>
      </c>
      <c r="C1314" s="272" t="s">
        <v>193</v>
      </c>
      <c r="D1314" s="273" t="s">
        <v>21739</v>
      </c>
      <c r="E1314" s="274" t="s">
        <v>229</v>
      </c>
    </row>
    <row r="1315" spans="1:5" ht="40.5">
      <c r="A1315" s="271">
        <v>91080</v>
      </c>
      <c r="B1315" s="272" t="s">
        <v>1261</v>
      </c>
      <c r="C1315" s="272" t="s">
        <v>193</v>
      </c>
      <c r="D1315" s="273" t="s">
        <v>21740</v>
      </c>
      <c r="E1315" s="274" t="s">
        <v>229</v>
      </c>
    </row>
    <row r="1316" spans="1:5" ht="40.5">
      <c r="A1316" s="271">
        <v>91081</v>
      </c>
      <c r="B1316" s="272" t="s">
        <v>1262</v>
      </c>
      <c r="C1316" s="272" t="s">
        <v>193</v>
      </c>
      <c r="D1316" s="273" t="s">
        <v>21741</v>
      </c>
      <c r="E1316" s="274" t="s">
        <v>229</v>
      </c>
    </row>
    <row r="1317" spans="1:5" ht="40.5">
      <c r="A1317" s="271">
        <v>91082</v>
      </c>
      <c r="B1317" s="272" t="s">
        <v>1263</v>
      </c>
      <c r="C1317" s="272" t="s">
        <v>193</v>
      </c>
      <c r="D1317" s="273" t="s">
        <v>21742</v>
      </c>
      <c r="E1317" s="274" t="s">
        <v>229</v>
      </c>
    </row>
    <row r="1318" spans="1:5" ht="40.5">
      <c r="A1318" s="271">
        <v>91083</v>
      </c>
      <c r="B1318" s="272" t="s">
        <v>1264</v>
      </c>
      <c r="C1318" s="272" t="s">
        <v>193</v>
      </c>
      <c r="D1318" s="273" t="s">
        <v>21743</v>
      </c>
      <c r="E1318" s="274" t="s">
        <v>229</v>
      </c>
    </row>
    <row r="1319" spans="1:5" ht="40.5">
      <c r="A1319" s="271">
        <v>91084</v>
      </c>
      <c r="B1319" s="272" t="s">
        <v>1265</v>
      </c>
      <c r="C1319" s="272" t="s">
        <v>193</v>
      </c>
      <c r="D1319" s="273" t="s">
        <v>16671</v>
      </c>
      <c r="E1319" s="274" t="s">
        <v>229</v>
      </c>
    </row>
    <row r="1320" spans="1:5" ht="40.5">
      <c r="A1320" s="271">
        <v>91086</v>
      </c>
      <c r="B1320" s="272" t="s">
        <v>1266</v>
      </c>
      <c r="C1320" s="272" t="s">
        <v>193</v>
      </c>
      <c r="D1320" s="273" t="s">
        <v>21744</v>
      </c>
      <c r="E1320" s="274" t="s">
        <v>229</v>
      </c>
    </row>
    <row r="1321" spans="1:5" ht="40.5">
      <c r="A1321" s="271">
        <v>91087</v>
      </c>
      <c r="B1321" s="272" t="s">
        <v>1267</v>
      </c>
      <c r="C1321" s="272" t="s">
        <v>193</v>
      </c>
      <c r="D1321" s="273" t="s">
        <v>21745</v>
      </c>
      <c r="E1321" s="274" t="s">
        <v>229</v>
      </c>
    </row>
    <row r="1322" spans="1:5" ht="40.5">
      <c r="A1322" s="271">
        <v>91088</v>
      </c>
      <c r="B1322" s="272" t="s">
        <v>1268</v>
      </c>
      <c r="C1322" s="272" t="s">
        <v>193</v>
      </c>
      <c r="D1322" s="273" t="s">
        <v>21746</v>
      </c>
      <c r="E1322" s="274" t="s">
        <v>229</v>
      </c>
    </row>
    <row r="1323" spans="1:5" ht="40.5">
      <c r="A1323" s="271">
        <v>91089</v>
      </c>
      <c r="B1323" s="272" t="s">
        <v>1269</v>
      </c>
      <c r="C1323" s="272" t="s">
        <v>193</v>
      </c>
      <c r="D1323" s="273" t="s">
        <v>21747</v>
      </c>
      <c r="E1323" s="274" t="s">
        <v>229</v>
      </c>
    </row>
    <row r="1324" spans="1:5" ht="40.5">
      <c r="A1324" s="271">
        <v>91090</v>
      </c>
      <c r="B1324" s="272" t="s">
        <v>1270</v>
      </c>
      <c r="C1324" s="272" t="s">
        <v>193</v>
      </c>
      <c r="D1324" s="273" t="s">
        <v>16512</v>
      </c>
      <c r="E1324" s="274" t="s">
        <v>229</v>
      </c>
    </row>
    <row r="1325" spans="1:5" ht="40.5">
      <c r="A1325" s="271">
        <v>91091</v>
      </c>
      <c r="B1325" s="272" t="s">
        <v>1271</v>
      </c>
      <c r="C1325" s="272" t="s">
        <v>193</v>
      </c>
      <c r="D1325" s="273" t="s">
        <v>21748</v>
      </c>
      <c r="E1325" s="274" t="s">
        <v>229</v>
      </c>
    </row>
    <row r="1326" spans="1:5" ht="40.5">
      <c r="A1326" s="271">
        <v>91092</v>
      </c>
      <c r="B1326" s="272" t="s">
        <v>1272</v>
      </c>
      <c r="C1326" s="272" t="s">
        <v>193</v>
      </c>
      <c r="D1326" s="273" t="s">
        <v>21749</v>
      </c>
      <c r="E1326" s="274" t="s">
        <v>229</v>
      </c>
    </row>
    <row r="1327" spans="1:5" ht="40.5">
      <c r="A1327" s="271">
        <v>91093</v>
      </c>
      <c r="B1327" s="272" t="s">
        <v>1273</v>
      </c>
      <c r="C1327" s="272" t="s">
        <v>193</v>
      </c>
      <c r="D1327" s="273" t="s">
        <v>21750</v>
      </c>
      <c r="E1327" s="274" t="s">
        <v>229</v>
      </c>
    </row>
    <row r="1328" spans="1:5" ht="40.5">
      <c r="A1328" s="271">
        <v>91094</v>
      </c>
      <c r="B1328" s="272" t="s">
        <v>1274</v>
      </c>
      <c r="C1328" s="272" t="s">
        <v>193</v>
      </c>
      <c r="D1328" s="273" t="s">
        <v>21751</v>
      </c>
      <c r="E1328" s="274" t="s">
        <v>229</v>
      </c>
    </row>
    <row r="1329" spans="1:5" ht="40.5">
      <c r="A1329" s="271">
        <v>91095</v>
      </c>
      <c r="B1329" s="272" t="s">
        <v>1275</v>
      </c>
      <c r="C1329" s="272" t="s">
        <v>193</v>
      </c>
      <c r="D1329" s="273" t="s">
        <v>21752</v>
      </c>
      <c r="E1329" s="274" t="s">
        <v>229</v>
      </c>
    </row>
    <row r="1330" spans="1:5" ht="40.5">
      <c r="A1330" s="271">
        <v>91096</v>
      </c>
      <c r="B1330" s="272" t="s">
        <v>1276</v>
      </c>
      <c r="C1330" s="272" t="s">
        <v>193</v>
      </c>
      <c r="D1330" s="273" t="s">
        <v>21753</v>
      </c>
      <c r="E1330" s="274" t="s">
        <v>229</v>
      </c>
    </row>
    <row r="1331" spans="1:5" ht="40.5">
      <c r="A1331" s="271">
        <v>91097</v>
      </c>
      <c r="B1331" s="272" t="s">
        <v>1277</v>
      </c>
      <c r="C1331" s="272" t="s">
        <v>193</v>
      </c>
      <c r="D1331" s="273" t="s">
        <v>21754</v>
      </c>
      <c r="E1331" s="274" t="s">
        <v>229</v>
      </c>
    </row>
    <row r="1332" spans="1:5" ht="40.5">
      <c r="A1332" s="271">
        <v>91098</v>
      </c>
      <c r="B1332" s="272" t="s">
        <v>1278</v>
      </c>
      <c r="C1332" s="272" t="s">
        <v>193</v>
      </c>
      <c r="D1332" s="273" t="s">
        <v>21755</v>
      </c>
      <c r="E1332" s="274" t="s">
        <v>229</v>
      </c>
    </row>
    <row r="1333" spans="1:5" ht="40.5">
      <c r="A1333" s="271">
        <v>91099</v>
      </c>
      <c r="B1333" s="272" t="s">
        <v>1279</v>
      </c>
      <c r="C1333" s="272" t="s">
        <v>193</v>
      </c>
      <c r="D1333" s="273" t="s">
        <v>12195</v>
      </c>
      <c r="E1333" s="274" t="s">
        <v>229</v>
      </c>
    </row>
    <row r="1334" spans="1:5" ht="40.5">
      <c r="A1334" s="271">
        <v>91100</v>
      </c>
      <c r="B1334" s="272" t="s">
        <v>1280</v>
      </c>
      <c r="C1334" s="272" t="s">
        <v>193</v>
      </c>
      <c r="D1334" s="273" t="s">
        <v>21756</v>
      </c>
      <c r="E1334" s="274" t="s">
        <v>229</v>
      </c>
    </row>
    <row r="1335" spans="1:5" ht="40.5">
      <c r="A1335" s="271">
        <v>91101</v>
      </c>
      <c r="B1335" s="272" t="s">
        <v>1281</v>
      </c>
      <c r="C1335" s="272" t="s">
        <v>193</v>
      </c>
      <c r="D1335" s="273" t="s">
        <v>21757</v>
      </c>
      <c r="E1335" s="274" t="s">
        <v>229</v>
      </c>
    </row>
    <row r="1336" spans="1:5" ht="40.5">
      <c r="A1336" s="271">
        <v>93952</v>
      </c>
      <c r="B1336" s="272" t="s">
        <v>1282</v>
      </c>
      <c r="C1336" s="272" t="s">
        <v>5</v>
      </c>
      <c r="D1336" s="273" t="s">
        <v>21758</v>
      </c>
      <c r="E1336" s="274" t="s">
        <v>229</v>
      </c>
    </row>
    <row r="1337" spans="1:5" ht="40.5">
      <c r="A1337" s="271">
        <v>93953</v>
      </c>
      <c r="B1337" s="272" t="s">
        <v>1283</v>
      </c>
      <c r="C1337" s="272" t="s">
        <v>5</v>
      </c>
      <c r="D1337" s="273" t="s">
        <v>21759</v>
      </c>
      <c r="E1337" s="274" t="s">
        <v>229</v>
      </c>
    </row>
    <row r="1338" spans="1:5" ht="40.5">
      <c r="A1338" s="271">
        <v>93954</v>
      </c>
      <c r="B1338" s="272" t="s">
        <v>1284</v>
      </c>
      <c r="C1338" s="272" t="s">
        <v>5</v>
      </c>
      <c r="D1338" s="273" t="s">
        <v>21760</v>
      </c>
      <c r="E1338" s="274" t="s">
        <v>229</v>
      </c>
    </row>
    <row r="1339" spans="1:5" ht="40.5">
      <c r="A1339" s="271">
        <v>93955</v>
      </c>
      <c r="B1339" s="272" t="s">
        <v>1285</v>
      </c>
      <c r="C1339" s="272" t="s">
        <v>5</v>
      </c>
      <c r="D1339" s="273" t="s">
        <v>21761</v>
      </c>
      <c r="E1339" s="274" t="s">
        <v>229</v>
      </c>
    </row>
    <row r="1340" spans="1:5" ht="27">
      <c r="A1340" s="271">
        <v>93956</v>
      </c>
      <c r="B1340" s="272" t="s">
        <v>1286</v>
      </c>
      <c r="C1340" s="272" t="s">
        <v>5</v>
      </c>
      <c r="D1340" s="273" t="s">
        <v>21762</v>
      </c>
      <c r="E1340" s="274" t="s">
        <v>229</v>
      </c>
    </row>
    <row r="1341" spans="1:5" ht="40.5">
      <c r="A1341" s="271">
        <v>93957</v>
      </c>
      <c r="B1341" s="272" t="s">
        <v>1287</v>
      </c>
      <c r="C1341" s="272" t="s">
        <v>5</v>
      </c>
      <c r="D1341" s="273" t="s">
        <v>21763</v>
      </c>
      <c r="E1341" s="274" t="s">
        <v>229</v>
      </c>
    </row>
    <row r="1342" spans="1:5" ht="40.5">
      <c r="A1342" s="271">
        <v>93958</v>
      </c>
      <c r="B1342" s="272" t="s">
        <v>1288</v>
      </c>
      <c r="C1342" s="272" t="s">
        <v>5</v>
      </c>
      <c r="D1342" s="273" t="s">
        <v>16514</v>
      </c>
      <c r="E1342" s="274" t="s">
        <v>229</v>
      </c>
    </row>
    <row r="1343" spans="1:5" ht="40.5">
      <c r="A1343" s="271">
        <v>93959</v>
      </c>
      <c r="B1343" s="272" t="s">
        <v>1289</v>
      </c>
      <c r="C1343" s="272" t="s">
        <v>5</v>
      </c>
      <c r="D1343" s="273" t="s">
        <v>21764</v>
      </c>
      <c r="E1343" s="274" t="s">
        <v>229</v>
      </c>
    </row>
    <row r="1344" spans="1:5" ht="40.5">
      <c r="A1344" s="271">
        <v>93960</v>
      </c>
      <c r="B1344" s="272" t="s">
        <v>1290</v>
      </c>
      <c r="C1344" s="272" t="s">
        <v>5</v>
      </c>
      <c r="D1344" s="273" t="s">
        <v>21765</v>
      </c>
      <c r="E1344" s="274" t="s">
        <v>229</v>
      </c>
    </row>
    <row r="1345" spans="1:5" ht="27">
      <c r="A1345" s="271">
        <v>93961</v>
      </c>
      <c r="B1345" s="272" t="s">
        <v>1291</v>
      </c>
      <c r="C1345" s="272" t="s">
        <v>5</v>
      </c>
      <c r="D1345" s="273" t="s">
        <v>21766</v>
      </c>
      <c r="E1345" s="274" t="s">
        <v>229</v>
      </c>
    </row>
    <row r="1346" spans="1:5" ht="40.5">
      <c r="A1346" s="271">
        <v>93962</v>
      </c>
      <c r="B1346" s="272" t="s">
        <v>1292</v>
      </c>
      <c r="C1346" s="272" t="s">
        <v>5</v>
      </c>
      <c r="D1346" s="275" t="s">
        <v>21767</v>
      </c>
      <c r="E1346" s="274" t="s">
        <v>229</v>
      </c>
    </row>
    <row r="1347" spans="1:5" ht="40.5">
      <c r="A1347" s="271">
        <v>93963</v>
      </c>
      <c r="B1347" s="272" t="s">
        <v>1293</v>
      </c>
      <c r="C1347" s="272" t="s">
        <v>5</v>
      </c>
      <c r="D1347" s="275" t="s">
        <v>21768</v>
      </c>
      <c r="E1347" s="274" t="s">
        <v>229</v>
      </c>
    </row>
    <row r="1348" spans="1:5" ht="40.5">
      <c r="A1348" s="271">
        <v>93964</v>
      </c>
      <c r="B1348" s="272" t="s">
        <v>1294</v>
      </c>
      <c r="C1348" s="272" t="s">
        <v>5</v>
      </c>
      <c r="D1348" s="275" t="s">
        <v>21769</v>
      </c>
      <c r="E1348" s="274" t="s">
        <v>229</v>
      </c>
    </row>
    <row r="1349" spans="1:5" ht="40.5">
      <c r="A1349" s="271">
        <v>93965</v>
      </c>
      <c r="B1349" s="272" t="s">
        <v>1295</v>
      </c>
      <c r="C1349" s="272" t="s">
        <v>5</v>
      </c>
      <c r="D1349" s="273" t="s">
        <v>16324</v>
      </c>
      <c r="E1349" s="274" t="s">
        <v>229</v>
      </c>
    </row>
    <row r="1350" spans="1:5" ht="27">
      <c r="A1350" s="271">
        <v>93966</v>
      </c>
      <c r="B1350" s="272" t="s">
        <v>1296</v>
      </c>
      <c r="C1350" s="272" t="s">
        <v>5</v>
      </c>
      <c r="D1350" s="273" t="s">
        <v>21770</v>
      </c>
      <c r="E1350" s="274" t="s">
        <v>229</v>
      </c>
    </row>
    <row r="1351" spans="1:5" ht="40.5">
      <c r="A1351" s="271">
        <v>93967</v>
      </c>
      <c r="B1351" s="272" t="s">
        <v>1297</v>
      </c>
      <c r="C1351" s="272" t="s">
        <v>5</v>
      </c>
      <c r="D1351" s="273" t="s">
        <v>21771</v>
      </c>
      <c r="E1351" s="274" t="s">
        <v>229</v>
      </c>
    </row>
    <row r="1352" spans="1:5" ht="40.5">
      <c r="A1352" s="271">
        <v>93968</v>
      </c>
      <c r="B1352" s="272" t="s">
        <v>1298</v>
      </c>
      <c r="C1352" s="272" t="s">
        <v>5</v>
      </c>
      <c r="D1352" s="273" t="s">
        <v>16692</v>
      </c>
      <c r="E1352" s="274" t="s">
        <v>229</v>
      </c>
    </row>
    <row r="1353" spans="1:5" ht="40.5">
      <c r="A1353" s="271">
        <v>93969</v>
      </c>
      <c r="B1353" s="272" t="s">
        <v>1299</v>
      </c>
      <c r="C1353" s="272" t="s">
        <v>5</v>
      </c>
      <c r="D1353" s="273" t="s">
        <v>21772</v>
      </c>
      <c r="E1353" s="274" t="s">
        <v>229</v>
      </c>
    </row>
    <row r="1354" spans="1:5" ht="40.5">
      <c r="A1354" s="271">
        <v>93970</v>
      </c>
      <c r="B1354" s="272" t="s">
        <v>1300</v>
      </c>
      <c r="C1354" s="272" t="s">
        <v>5</v>
      </c>
      <c r="D1354" s="273" t="s">
        <v>21773</v>
      </c>
      <c r="E1354" s="274" t="s">
        <v>229</v>
      </c>
    </row>
    <row r="1355" spans="1:5" ht="27">
      <c r="A1355" s="271">
        <v>93971</v>
      </c>
      <c r="B1355" s="272" t="s">
        <v>1301</v>
      </c>
      <c r="C1355" s="272" t="s">
        <v>5</v>
      </c>
      <c r="D1355" s="273" t="s">
        <v>21774</v>
      </c>
      <c r="E1355" s="274" t="s">
        <v>229</v>
      </c>
    </row>
    <row r="1356" spans="1:5" ht="27">
      <c r="A1356" s="271">
        <v>95108</v>
      </c>
      <c r="B1356" s="272" t="s">
        <v>1302</v>
      </c>
      <c r="C1356" s="272" t="s">
        <v>109</v>
      </c>
      <c r="D1356" s="273" t="s">
        <v>10783</v>
      </c>
      <c r="E1356" s="274" t="s">
        <v>229</v>
      </c>
    </row>
    <row r="1357" spans="1:5" ht="27">
      <c r="A1357" s="271">
        <v>100332</v>
      </c>
      <c r="B1357" s="272" t="s">
        <v>3969</v>
      </c>
      <c r="C1357" s="272" t="s">
        <v>193</v>
      </c>
      <c r="D1357" s="273" t="s">
        <v>21775</v>
      </c>
      <c r="E1357" s="274" t="s">
        <v>229</v>
      </c>
    </row>
    <row r="1358" spans="1:5" ht="27">
      <c r="A1358" s="271">
        <v>100333</v>
      </c>
      <c r="B1358" s="272" t="s">
        <v>3970</v>
      </c>
      <c r="C1358" s="272" t="s">
        <v>193</v>
      </c>
      <c r="D1358" s="273" t="s">
        <v>21776</v>
      </c>
      <c r="E1358" s="274" t="s">
        <v>229</v>
      </c>
    </row>
    <row r="1359" spans="1:5" ht="27">
      <c r="A1359" s="271">
        <v>100334</v>
      </c>
      <c r="B1359" s="272" t="s">
        <v>3971</v>
      </c>
      <c r="C1359" s="272" t="s">
        <v>193</v>
      </c>
      <c r="D1359" s="273" t="s">
        <v>21777</v>
      </c>
      <c r="E1359" s="274" t="s">
        <v>229</v>
      </c>
    </row>
    <row r="1360" spans="1:5" ht="27">
      <c r="A1360" s="271">
        <v>100335</v>
      </c>
      <c r="B1360" s="272" t="s">
        <v>3972</v>
      </c>
      <c r="C1360" s="272" t="s">
        <v>193</v>
      </c>
      <c r="D1360" s="273" t="s">
        <v>21778</v>
      </c>
      <c r="E1360" s="274" t="s">
        <v>229</v>
      </c>
    </row>
    <row r="1361" spans="1:5" ht="27">
      <c r="A1361" s="271">
        <v>100341</v>
      </c>
      <c r="B1361" s="272" t="s">
        <v>3973</v>
      </c>
      <c r="C1361" s="272" t="s">
        <v>193</v>
      </c>
      <c r="D1361" s="273" t="s">
        <v>16110</v>
      </c>
      <c r="E1361" s="274" t="s">
        <v>229</v>
      </c>
    </row>
    <row r="1362" spans="1:5" ht="27">
      <c r="A1362" s="271">
        <v>100342</v>
      </c>
      <c r="B1362" s="272" t="s">
        <v>3974</v>
      </c>
      <c r="C1362" s="272" t="s">
        <v>108</v>
      </c>
      <c r="D1362" s="273" t="s">
        <v>10440</v>
      </c>
      <c r="E1362" s="274" t="s">
        <v>229</v>
      </c>
    </row>
    <row r="1363" spans="1:5" ht="27">
      <c r="A1363" s="271">
        <v>100343</v>
      </c>
      <c r="B1363" s="272" t="s">
        <v>3975</v>
      </c>
      <c r="C1363" s="272" t="s">
        <v>108</v>
      </c>
      <c r="D1363" s="273" t="s">
        <v>16046</v>
      </c>
      <c r="E1363" s="274" t="s">
        <v>229</v>
      </c>
    </row>
    <row r="1364" spans="1:5" ht="27">
      <c r="A1364" s="271">
        <v>100344</v>
      </c>
      <c r="B1364" s="272" t="s">
        <v>3976</v>
      </c>
      <c r="C1364" s="272" t="s">
        <v>108</v>
      </c>
      <c r="D1364" s="273" t="s">
        <v>11268</v>
      </c>
      <c r="E1364" s="274" t="s">
        <v>229</v>
      </c>
    </row>
    <row r="1365" spans="1:5" ht="27">
      <c r="A1365" s="271">
        <v>100345</v>
      </c>
      <c r="B1365" s="272" t="s">
        <v>3977</v>
      </c>
      <c r="C1365" s="272" t="s">
        <v>108</v>
      </c>
      <c r="D1365" s="273" t="s">
        <v>10620</v>
      </c>
      <c r="E1365" s="274" t="s">
        <v>229</v>
      </c>
    </row>
    <row r="1366" spans="1:5" ht="27">
      <c r="A1366" s="271">
        <v>100346</v>
      </c>
      <c r="B1366" s="272" t="s">
        <v>3978</v>
      </c>
      <c r="C1366" s="272" t="s">
        <v>108</v>
      </c>
      <c r="D1366" s="273" t="s">
        <v>10237</v>
      </c>
      <c r="E1366" s="274" t="s">
        <v>229</v>
      </c>
    </row>
    <row r="1367" spans="1:5" ht="27">
      <c r="A1367" s="271">
        <v>100347</v>
      </c>
      <c r="B1367" s="272" t="s">
        <v>3979</v>
      </c>
      <c r="C1367" s="272" t="s">
        <v>108</v>
      </c>
      <c r="D1367" s="273" t="s">
        <v>11472</v>
      </c>
      <c r="E1367" s="274" t="s">
        <v>229</v>
      </c>
    </row>
    <row r="1368" spans="1:5" ht="27">
      <c r="A1368" s="271">
        <v>100348</v>
      </c>
      <c r="B1368" s="272" t="s">
        <v>3980</v>
      </c>
      <c r="C1368" s="272" t="s">
        <v>108</v>
      </c>
      <c r="D1368" s="273" t="s">
        <v>10644</v>
      </c>
      <c r="E1368" s="274" t="s">
        <v>229</v>
      </c>
    </row>
    <row r="1369" spans="1:5" ht="27">
      <c r="A1369" s="271">
        <v>100349</v>
      </c>
      <c r="B1369" s="272" t="s">
        <v>3981</v>
      </c>
      <c r="C1369" s="272" t="s">
        <v>209</v>
      </c>
      <c r="D1369" s="273" t="s">
        <v>21779</v>
      </c>
      <c r="E1369" s="274" t="s">
        <v>229</v>
      </c>
    </row>
    <row r="1370" spans="1:5" ht="27">
      <c r="A1370" s="271" t="s">
        <v>1303</v>
      </c>
      <c r="B1370" s="272" t="s">
        <v>1304</v>
      </c>
      <c r="C1370" s="272" t="s">
        <v>109</v>
      </c>
      <c r="D1370" s="273" t="s">
        <v>21780</v>
      </c>
      <c r="E1370" s="274" t="s">
        <v>229</v>
      </c>
    </row>
    <row r="1371" spans="1:5" ht="40.5">
      <c r="A1371" s="271" t="s">
        <v>1305</v>
      </c>
      <c r="B1371" s="272" t="s">
        <v>1306</v>
      </c>
      <c r="C1371" s="272" t="s">
        <v>109</v>
      </c>
      <c r="D1371" s="273" t="s">
        <v>21781</v>
      </c>
      <c r="E1371" s="274" t="s">
        <v>229</v>
      </c>
    </row>
    <row r="1372" spans="1:5" ht="40.5">
      <c r="A1372" s="271" t="s">
        <v>1307</v>
      </c>
      <c r="B1372" s="272" t="s">
        <v>1308</v>
      </c>
      <c r="C1372" s="272" t="s">
        <v>109</v>
      </c>
      <c r="D1372" s="273" t="s">
        <v>21782</v>
      </c>
      <c r="E1372" s="274" t="s">
        <v>229</v>
      </c>
    </row>
    <row r="1373" spans="1:5" ht="40.5">
      <c r="A1373" s="271" t="s">
        <v>1309</v>
      </c>
      <c r="B1373" s="272" t="s">
        <v>1310</v>
      </c>
      <c r="C1373" s="272" t="s">
        <v>109</v>
      </c>
      <c r="D1373" s="273" t="s">
        <v>21783</v>
      </c>
      <c r="E1373" s="274" t="s">
        <v>229</v>
      </c>
    </row>
    <row r="1374" spans="1:5" ht="27">
      <c r="A1374" s="271">
        <v>83716</v>
      </c>
      <c r="B1374" s="272" t="s">
        <v>1311</v>
      </c>
      <c r="C1374" s="272" t="s">
        <v>109</v>
      </c>
      <c r="D1374" s="273" t="s">
        <v>21784</v>
      </c>
      <c r="E1374" s="274" t="s">
        <v>229</v>
      </c>
    </row>
    <row r="1375" spans="1:5" ht="27">
      <c r="A1375" s="271">
        <v>97933</v>
      </c>
      <c r="B1375" s="272" t="s">
        <v>12540</v>
      </c>
      <c r="C1375" s="272" t="s">
        <v>109</v>
      </c>
      <c r="D1375" s="273" t="s">
        <v>21785</v>
      </c>
      <c r="E1375" s="274" t="s">
        <v>229</v>
      </c>
    </row>
    <row r="1376" spans="1:5" ht="27">
      <c r="A1376" s="271">
        <v>97934</v>
      </c>
      <c r="B1376" s="272" t="s">
        <v>12541</v>
      </c>
      <c r="C1376" s="272" t="s">
        <v>109</v>
      </c>
      <c r="D1376" s="273" t="s">
        <v>21786</v>
      </c>
      <c r="E1376" s="274" t="s">
        <v>229</v>
      </c>
    </row>
    <row r="1377" spans="1:5" ht="27">
      <c r="A1377" s="271">
        <v>97935</v>
      </c>
      <c r="B1377" s="272" t="s">
        <v>12542</v>
      </c>
      <c r="C1377" s="272" t="s">
        <v>109</v>
      </c>
      <c r="D1377" s="273" t="s">
        <v>21787</v>
      </c>
      <c r="E1377" s="274" t="s">
        <v>229</v>
      </c>
    </row>
    <row r="1378" spans="1:5" ht="27">
      <c r="A1378" s="271">
        <v>97936</v>
      </c>
      <c r="B1378" s="272" t="s">
        <v>12543</v>
      </c>
      <c r="C1378" s="272" t="s">
        <v>109</v>
      </c>
      <c r="D1378" s="273" t="s">
        <v>21788</v>
      </c>
      <c r="E1378" s="274" t="s">
        <v>229</v>
      </c>
    </row>
    <row r="1379" spans="1:5" ht="27">
      <c r="A1379" s="271">
        <v>97947</v>
      </c>
      <c r="B1379" s="272" t="s">
        <v>12544</v>
      </c>
      <c r="C1379" s="272" t="s">
        <v>109</v>
      </c>
      <c r="D1379" s="273" t="s">
        <v>21789</v>
      </c>
      <c r="E1379" s="274" t="s">
        <v>229</v>
      </c>
    </row>
    <row r="1380" spans="1:5" ht="27">
      <c r="A1380" s="271">
        <v>97948</v>
      </c>
      <c r="B1380" s="272" t="s">
        <v>12545</v>
      </c>
      <c r="C1380" s="272" t="s">
        <v>109</v>
      </c>
      <c r="D1380" s="273" t="s">
        <v>21790</v>
      </c>
      <c r="E1380" s="274" t="s">
        <v>229</v>
      </c>
    </row>
    <row r="1381" spans="1:5" ht="27">
      <c r="A1381" s="271">
        <v>97949</v>
      </c>
      <c r="B1381" s="272" t="s">
        <v>12546</v>
      </c>
      <c r="C1381" s="272" t="s">
        <v>109</v>
      </c>
      <c r="D1381" s="273" t="s">
        <v>21791</v>
      </c>
      <c r="E1381" s="274" t="s">
        <v>229</v>
      </c>
    </row>
    <row r="1382" spans="1:5" ht="27">
      <c r="A1382" s="271">
        <v>97950</v>
      </c>
      <c r="B1382" s="272" t="s">
        <v>12547</v>
      </c>
      <c r="C1382" s="272" t="s">
        <v>109</v>
      </c>
      <c r="D1382" s="273" t="s">
        <v>21792</v>
      </c>
      <c r="E1382" s="274" t="s">
        <v>229</v>
      </c>
    </row>
    <row r="1383" spans="1:5" ht="27">
      <c r="A1383" s="271">
        <v>97951</v>
      </c>
      <c r="B1383" s="272" t="s">
        <v>12548</v>
      </c>
      <c r="C1383" s="272" t="s">
        <v>109</v>
      </c>
      <c r="D1383" s="273" t="s">
        <v>21793</v>
      </c>
      <c r="E1383" s="274" t="s">
        <v>229</v>
      </c>
    </row>
    <row r="1384" spans="1:5" ht="27">
      <c r="A1384" s="271">
        <v>97952</v>
      </c>
      <c r="B1384" s="272" t="s">
        <v>12549</v>
      </c>
      <c r="C1384" s="272" t="s">
        <v>109</v>
      </c>
      <c r="D1384" s="273" t="s">
        <v>21794</v>
      </c>
      <c r="E1384" s="274" t="s">
        <v>229</v>
      </c>
    </row>
    <row r="1385" spans="1:5" ht="27">
      <c r="A1385" s="271">
        <v>97953</v>
      </c>
      <c r="B1385" s="272" t="s">
        <v>12550</v>
      </c>
      <c r="C1385" s="272" t="s">
        <v>109</v>
      </c>
      <c r="D1385" s="273" t="s">
        <v>21795</v>
      </c>
      <c r="E1385" s="274" t="s">
        <v>229</v>
      </c>
    </row>
    <row r="1386" spans="1:5" ht="27">
      <c r="A1386" s="271">
        <v>97955</v>
      </c>
      <c r="B1386" s="272" t="s">
        <v>12551</v>
      </c>
      <c r="C1386" s="272" t="s">
        <v>109</v>
      </c>
      <c r="D1386" s="273" t="s">
        <v>21796</v>
      </c>
      <c r="E1386" s="274" t="s">
        <v>229</v>
      </c>
    </row>
    <row r="1387" spans="1:5" ht="27">
      <c r="A1387" s="271">
        <v>97956</v>
      </c>
      <c r="B1387" s="272" t="s">
        <v>12552</v>
      </c>
      <c r="C1387" s="272" t="s">
        <v>109</v>
      </c>
      <c r="D1387" s="273" t="s">
        <v>21797</v>
      </c>
      <c r="E1387" s="274" t="s">
        <v>229</v>
      </c>
    </row>
    <row r="1388" spans="1:5" ht="27">
      <c r="A1388" s="271">
        <v>97957</v>
      </c>
      <c r="B1388" s="272" t="s">
        <v>12553</v>
      </c>
      <c r="C1388" s="272" t="s">
        <v>109</v>
      </c>
      <c r="D1388" s="273" t="s">
        <v>21798</v>
      </c>
      <c r="E1388" s="274" t="s">
        <v>229</v>
      </c>
    </row>
    <row r="1389" spans="1:5" ht="27">
      <c r="A1389" s="271">
        <v>97961</v>
      </c>
      <c r="B1389" s="272" t="s">
        <v>12554</v>
      </c>
      <c r="C1389" s="272" t="s">
        <v>109</v>
      </c>
      <c r="D1389" s="273" t="s">
        <v>21799</v>
      </c>
      <c r="E1389" s="274" t="s">
        <v>229</v>
      </c>
    </row>
    <row r="1390" spans="1:5" ht="27">
      <c r="A1390" s="271">
        <v>97973</v>
      </c>
      <c r="B1390" s="272" t="s">
        <v>12555</v>
      </c>
      <c r="C1390" s="272" t="s">
        <v>109</v>
      </c>
      <c r="D1390" s="273" t="s">
        <v>21800</v>
      </c>
      <c r="E1390" s="274" t="s">
        <v>229</v>
      </c>
    </row>
    <row r="1391" spans="1:5" ht="27">
      <c r="A1391" s="271">
        <v>97974</v>
      </c>
      <c r="B1391" s="272" t="s">
        <v>12556</v>
      </c>
      <c r="C1391" s="272" t="s">
        <v>109</v>
      </c>
      <c r="D1391" s="273" t="s">
        <v>21801</v>
      </c>
      <c r="E1391" s="274" t="s">
        <v>229</v>
      </c>
    </row>
    <row r="1392" spans="1:5" ht="27">
      <c r="A1392" s="271">
        <v>97975</v>
      </c>
      <c r="B1392" s="272" t="s">
        <v>12557</v>
      </c>
      <c r="C1392" s="272" t="s">
        <v>109</v>
      </c>
      <c r="D1392" s="273" t="s">
        <v>21802</v>
      </c>
      <c r="E1392" s="274" t="s">
        <v>229</v>
      </c>
    </row>
    <row r="1393" spans="1:5" ht="27">
      <c r="A1393" s="271">
        <v>97976</v>
      </c>
      <c r="B1393" s="272" t="s">
        <v>12558</v>
      </c>
      <c r="C1393" s="272" t="s">
        <v>109</v>
      </c>
      <c r="D1393" s="273" t="s">
        <v>21803</v>
      </c>
      <c r="E1393" s="274" t="s">
        <v>229</v>
      </c>
    </row>
    <row r="1394" spans="1:5" ht="27">
      <c r="A1394" s="271">
        <v>97977</v>
      </c>
      <c r="B1394" s="272" t="s">
        <v>12559</v>
      </c>
      <c r="C1394" s="272" t="s">
        <v>109</v>
      </c>
      <c r="D1394" s="273" t="s">
        <v>21804</v>
      </c>
      <c r="E1394" s="274" t="s">
        <v>229</v>
      </c>
    </row>
    <row r="1395" spans="1:5" ht="27">
      <c r="A1395" s="271">
        <v>97978</v>
      </c>
      <c r="B1395" s="272" t="s">
        <v>12560</v>
      </c>
      <c r="C1395" s="272" t="s">
        <v>109</v>
      </c>
      <c r="D1395" s="273" t="s">
        <v>21805</v>
      </c>
      <c r="E1395" s="274" t="s">
        <v>229</v>
      </c>
    </row>
    <row r="1396" spans="1:5" ht="40.5">
      <c r="A1396" s="271">
        <v>97980</v>
      </c>
      <c r="B1396" s="272" t="s">
        <v>12561</v>
      </c>
      <c r="C1396" s="272" t="s">
        <v>109</v>
      </c>
      <c r="D1396" s="273" t="s">
        <v>21806</v>
      </c>
      <c r="E1396" s="274" t="s">
        <v>229</v>
      </c>
    </row>
    <row r="1397" spans="1:5" ht="27">
      <c r="A1397" s="271">
        <v>97981</v>
      </c>
      <c r="B1397" s="272" t="s">
        <v>12562</v>
      </c>
      <c r="C1397" s="272" t="s">
        <v>5</v>
      </c>
      <c r="D1397" s="273" t="s">
        <v>21807</v>
      </c>
      <c r="E1397" s="274" t="s">
        <v>229</v>
      </c>
    </row>
    <row r="1398" spans="1:5" ht="27">
      <c r="A1398" s="271">
        <v>97983</v>
      </c>
      <c r="B1398" s="272" t="s">
        <v>12563</v>
      </c>
      <c r="C1398" s="272" t="s">
        <v>5</v>
      </c>
      <c r="D1398" s="273" t="s">
        <v>21808</v>
      </c>
      <c r="E1398" s="274" t="s">
        <v>229</v>
      </c>
    </row>
    <row r="1399" spans="1:5" ht="27">
      <c r="A1399" s="271">
        <v>97985</v>
      </c>
      <c r="B1399" s="272" t="s">
        <v>12564</v>
      </c>
      <c r="C1399" s="272" t="s">
        <v>5</v>
      </c>
      <c r="D1399" s="273" t="s">
        <v>21809</v>
      </c>
      <c r="E1399" s="274" t="s">
        <v>229</v>
      </c>
    </row>
    <row r="1400" spans="1:5" ht="27">
      <c r="A1400" s="271">
        <v>97987</v>
      </c>
      <c r="B1400" s="272" t="s">
        <v>12565</v>
      </c>
      <c r="C1400" s="272" t="s">
        <v>5</v>
      </c>
      <c r="D1400" s="273" t="s">
        <v>21810</v>
      </c>
      <c r="E1400" s="274" t="s">
        <v>229</v>
      </c>
    </row>
    <row r="1401" spans="1:5" ht="40.5">
      <c r="A1401" s="271">
        <v>97988</v>
      </c>
      <c r="B1401" s="272" t="s">
        <v>12566</v>
      </c>
      <c r="C1401" s="272" t="s">
        <v>109</v>
      </c>
      <c r="D1401" s="273" t="s">
        <v>21811</v>
      </c>
      <c r="E1401" s="274" t="s">
        <v>229</v>
      </c>
    </row>
    <row r="1402" spans="1:5" ht="27">
      <c r="A1402" s="271">
        <v>97989</v>
      </c>
      <c r="B1402" s="272" t="s">
        <v>12567</v>
      </c>
      <c r="C1402" s="272" t="s">
        <v>5</v>
      </c>
      <c r="D1402" s="273" t="s">
        <v>21812</v>
      </c>
      <c r="E1402" s="274" t="s">
        <v>229</v>
      </c>
    </row>
    <row r="1403" spans="1:5" ht="27">
      <c r="A1403" s="271">
        <v>97991</v>
      </c>
      <c r="B1403" s="272" t="s">
        <v>12568</v>
      </c>
      <c r="C1403" s="272" t="s">
        <v>5</v>
      </c>
      <c r="D1403" s="273" t="s">
        <v>21813</v>
      </c>
      <c r="E1403" s="274" t="s">
        <v>229</v>
      </c>
    </row>
    <row r="1404" spans="1:5" ht="40.5">
      <c r="A1404" s="271">
        <v>97992</v>
      </c>
      <c r="B1404" s="272" t="s">
        <v>12569</v>
      </c>
      <c r="C1404" s="272" t="s">
        <v>109</v>
      </c>
      <c r="D1404" s="273" t="s">
        <v>20251</v>
      </c>
      <c r="E1404" s="274" t="s">
        <v>229</v>
      </c>
    </row>
    <row r="1405" spans="1:5" ht="27">
      <c r="A1405" s="271">
        <v>97993</v>
      </c>
      <c r="B1405" s="272" t="s">
        <v>12570</v>
      </c>
      <c r="C1405" s="272" t="s">
        <v>5</v>
      </c>
      <c r="D1405" s="273" t="s">
        <v>21814</v>
      </c>
      <c r="E1405" s="274" t="s">
        <v>229</v>
      </c>
    </row>
    <row r="1406" spans="1:5" ht="40.5">
      <c r="A1406" s="271">
        <v>97994</v>
      </c>
      <c r="B1406" s="272" t="s">
        <v>12571</v>
      </c>
      <c r="C1406" s="272" t="s">
        <v>109</v>
      </c>
      <c r="D1406" s="273" t="s">
        <v>21815</v>
      </c>
      <c r="E1406" s="274" t="s">
        <v>229</v>
      </c>
    </row>
    <row r="1407" spans="1:5" ht="27">
      <c r="A1407" s="271">
        <v>97995</v>
      </c>
      <c r="B1407" s="272" t="s">
        <v>12572</v>
      </c>
      <c r="C1407" s="272" t="s">
        <v>5</v>
      </c>
      <c r="D1407" s="273" t="s">
        <v>21816</v>
      </c>
      <c r="E1407" s="274" t="s">
        <v>229</v>
      </c>
    </row>
    <row r="1408" spans="1:5" ht="27">
      <c r="A1408" s="271">
        <v>97996</v>
      </c>
      <c r="B1408" s="272" t="s">
        <v>12573</v>
      </c>
      <c r="C1408" s="272" t="s">
        <v>109</v>
      </c>
      <c r="D1408" s="273" t="s">
        <v>21817</v>
      </c>
      <c r="E1408" s="274" t="s">
        <v>229</v>
      </c>
    </row>
    <row r="1409" spans="1:5" ht="27">
      <c r="A1409" s="271">
        <v>97997</v>
      </c>
      <c r="B1409" s="272" t="s">
        <v>12574</v>
      </c>
      <c r="C1409" s="272" t="s">
        <v>5</v>
      </c>
      <c r="D1409" s="273" t="s">
        <v>21818</v>
      </c>
      <c r="E1409" s="274" t="s">
        <v>229</v>
      </c>
    </row>
    <row r="1410" spans="1:5" ht="27">
      <c r="A1410" s="271">
        <v>97999</v>
      </c>
      <c r="B1410" s="272" t="s">
        <v>12575</v>
      </c>
      <c r="C1410" s="272" t="s">
        <v>5</v>
      </c>
      <c r="D1410" s="273" t="s">
        <v>21819</v>
      </c>
      <c r="E1410" s="274" t="s">
        <v>229</v>
      </c>
    </row>
    <row r="1411" spans="1:5" ht="27">
      <c r="A1411" s="271">
        <v>98001</v>
      </c>
      <c r="B1411" s="272" t="s">
        <v>12576</v>
      </c>
      <c r="C1411" s="272" t="s">
        <v>5</v>
      </c>
      <c r="D1411" s="273" t="s">
        <v>21820</v>
      </c>
      <c r="E1411" s="274" t="s">
        <v>229</v>
      </c>
    </row>
    <row r="1412" spans="1:5" ht="27">
      <c r="A1412" s="271">
        <v>98002</v>
      </c>
      <c r="B1412" s="272" t="s">
        <v>12577</v>
      </c>
      <c r="C1412" s="272" t="s">
        <v>109</v>
      </c>
      <c r="D1412" s="273" t="s">
        <v>21821</v>
      </c>
      <c r="E1412" s="274" t="s">
        <v>229</v>
      </c>
    </row>
    <row r="1413" spans="1:5" ht="27">
      <c r="A1413" s="271">
        <v>98003</v>
      </c>
      <c r="B1413" s="272" t="s">
        <v>12578</v>
      </c>
      <c r="C1413" s="272" t="s">
        <v>5</v>
      </c>
      <c r="D1413" s="273" t="s">
        <v>21822</v>
      </c>
      <c r="E1413" s="274" t="s">
        <v>229</v>
      </c>
    </row>
    <row r="1414" spans="1:5" ht="27">
      <c r="A1414" s="271">
        <v>98005</v>
      </c>
      <c r="B1414" s="272" t="s">
        <v>12579</v>
      </c>
      <c r="C1414" s="272" t="s">
        <v>5</v>
      </c>
      <c r="D1414" s="273" t="s">
        <v>21823</v>
      </c>
      <c r="E1414" s="274" t="s">
        <v>229</v>
      </c>
    </row>
    <row r="1415" spans="1:5" ht="27">
      <c r="A1415" s="271">
        <v>98006</v>
      </c>
      <c r="B1415" s="272" t="s">
        <v>12580</v>
      </c>
      <c r="C1415" s="272" t="s">
        <v>109</v>
      </c>
      <c r="D1415" s="273" t="s">
        <v>21824</v>
      </c>
      <c r="E1415" s="274" t="s">
        <v>229</v>
      </c>
    </row>
    <row r="1416" spans="1:5" ht="27">
      <c r="A1416" s="271">
        <v>98007</v>
      </c>
      <c r="B1416" s="272" t="s">
        <v>12581</v>
      </c>
      <c r="C1416" s="272" t="s">
        <v>5</v>
      </c>
      <c r="D1416" s="273" t="s">
        <v>21825</v>
      </c>
      <c r="E1416" s="274" t="s">
        <v>229</v>
      </c>
    </row>
    <row r="1417" spans="1:5" ht="27">
      <c r="A1417" s="271">
        <v>98008</v>
      </c>
      <c r="B1417" s="272" t="s">
        <v>12582</v>
      </c>
      <c r="C1417" s="272" t="s">
        <v>109</v>
      </c>
      <c r="D1417" s="275" t="s">
        <v>21826</v>
      </c>
      <c r="E1417" s="274" t="s">
        <v>229</v>
      </c>
    </row>
    <row r="1418" spans="1:5" ht="27">
      <c r="A1418" s="271">
        <v>98009</v>
      </c>
      <c r="B1418" s="272" t="s">
        <v>12583</v>
      </c>
      <c r="C1418" s="272" t="s">
        <v>5</v>
      </c>
      <c r="D1418" s="275" t="s">
        <v>21819</v>
      </c>
      <c r="E1418" s="274" t="s">
        <v>229</v>
      </c>
    </row>
    <row r="1419" spans="1:5" ht="27">
      <c r="A1419" s="271">
        <v>98010</v>
      </c>
      <c r="B1419" s="272" t="s">
        <v>12584</v>
      </c>
      <c r="C1419" s="272" t="s">
        <v>109</v>
      </c>
      <c r="D1419" s="275" t="s">
        <v>21827</v>
      </c>
      <c r="E1419" s="274" t="s">
        <v>229</v>
      </c>
    </row>
    <row r="1420" spans="1:5" ht="27">
      <c r="A1420" s="271">
        <v>98011</v>
      </c>
      <c r="B1420" s="272" t="s">
        <v>12585</v>
      </c>
      <c r="C1420" s="272" t="s">
        <v>5</v>
      </c>
      <c r="D1420" s="273" t="s">
        <v>21820</v>
      </c>
      <c r="E1420" s="274" t="s">
        <v>229</v>
      </c>
    </row>
    <row r="1421" spans="1:5" ht="27">
      <c r="A1421" s="271">
        <v>98012</v>
      </c>
      <c r="B1421" s="272" t="s">
        <v>12586</v>
      </c>
      <c r="C1421" s="272" t="s">
        <v>109</v>
      </c>
      <c r="D1421" s="275" t="s">
        <v>21828</v>
      </c>
      <c r="E1421" s="274" t="s">
        <v>229</v>
      </c>
    </row>
    <row r="1422" spans="1:5" ht="27">
      <c r="A1422" s="271">
        <v>98013</v>
      </c>
      <c r="B1422" s="272" t="s">
        <v>12587</v>
      </c>
      <c r="C1422" s="272" t="s">
        <v>5</v>
      </c>
      <c r="D1422" s="275" t="s">
        <v>21822</v>
      </c>
      <c r="E1422" s="274" t="s">
        <v>229</v>
      </c>
    </row>
    <row r="1423" spans="1:5" ht="27">
      <c r="A1423" s="271">
        <v>98014</v>
      </c>
      <c r="B1423" s="272" t="s">
        <v>12588</v>
      </c>
      <c r="C1423" s="272" t="s">
        <v>109</v>
      </c>
      <c r="D1423" s="275" t="s">
        <v>21829</v>
      </c>
      <c r="E1423" s="274" t="s">
        <v>229</v>
      </c>
    </row>
    <row r="1424" spans="1:5" ht="27">
      <c r="A1424" s="271">
        <v>98015</v>
      </c>
      <c r="B1424" s="272" t="s">
        <v>12589</v>
      </c>
      <c r="C1424" s="272" t="s">
        <v>5</v>
      </c>
      <c r="D1424" s="275" t="s">
        <v>21823</v>
      </c>
      <c r="E1424" s="274" t="s">
        <v>229</v>
      </c>
    </row>
    <row r="1425" spans="1:5" ht="27">
      <c r="A1425" s="271">
        <v>98016</v>
      </c>
      <c r="B1425" s="272" t="s">
        <v>12590</v>
      </c>
      <c r="C1425" s="272" t="s">
        <v>109</v>
      </c>
      <c r="D1425" s="275" t="s">
        <v>21830</v>
      </c>
      <c r="E1425" s="274" t="s">
        <v>229</v>
      </c>
    </row>
    <row r="1426" spans="1:5" ht="27">
      <c r="A1426" s="271">
        <v>98017</v>
      </c>
      <c r="B1426" s="272" t="s">
        <v>12591</v>
      </c>
      <c r="C1426" s="272" t="s">
        <v>5</v>
      </c>
      <c r="D1426" s="275" t="s">
        <v>21825</v>
      </c>
      <c r="E1426" s="274" t="s">
        <v>229</v>
      </c>
    </row>
    <row r="1427" spans="1:5" ht="27">
      <c r="A1427" s="271">
        <v>98018</v>
      </c>
      <c r="B1427" s="272" t="s">
        <v>12592</v>
      </c>
      <c r="C1427" s="272" t="s">
        <v>109</v>
      </c>
      <c r="D1427" s="275" t="s">
        <v>21831</v>
      </c>
      <c r="E1427" s="274" t="s">
        <v>229</v>
      </c>
    </row>
    <row r="1428" spans="1:5" ht="27">
      <c r="A1428" s="271">
        <v>98019</v>
      </c>
      <c r="B1428" s="272" t="s">
        <v>12593</v>
      </c>
      <c r="C1428" s="272" t="s">
        <v>5</v>
      </c>
      <c r="D1428" s="275" t="s">
        <v>21832</v>
      </c>
      <c r="E1428" s="274" t="s">
        <v>229</v>
      </c>
    </row>
    <row r="1429" spans="1:5" ht="27">
      <c r="A1429" s="271">
        <v>98020</v>
      </c>
      <c r="B1429" s="272" t="s">
        <v>12594</v>
      </c>
      <c r="C1429" s="272" t="s">
        <v>109</v>
      </c>
      <c r="D1429" s="275" t="s">
        <v>21833</v>
      </c>
      <c r="E1429" s="274" t="s">
        <v>229</v>
      </c>
    </row>
    <row r="1430" spans="1:5" ht="27">
      <c r="A1430" s="271">
        <v>98021</v>
      </c>
      <c r="B1430" s="272" t="s">
        <v>12595</v>
      </c>
      <c r="C1430" s="272" t="s">
        <v>5</v>
      </c>
      <c r="D1430" s="273" t="s">
        <v>21834</v>
      </c>
      <c r="E1430" s="274" t="s">
        <v>229</v>
      </c>
    </row>
    <row r="1431" spans="1:5" ht="27">
      <c r="A1431" s="271">
        <v>98022</v>
      </c>
      <c r="B1431" s="272" t="s">
        <v>12596</v>
      </c>
      <c r="C1431" s="272" t="s">
        <v>109</v>
      </c>
      <c r="D1431" s="273" t="s">
        <v>21835</v>
      </c>
      <c r="E1431" s="274" t="s">
        <v>229</v>
      </c>
    </row>
    <row r="1432" spans="1:5" ht="27">
      <c r="A1432" s="271">
        <v>98023</v>
      </c>
      <c r="B1432" s="272" t="s">
        <v>12597</v>
      </c>
      <c r="C1432" s="272" t="s">
        <v>5</v>
      </c>
      <c r="D1432" s="273" t="s">
        <v>21836</v>
      </c>
      <c r="E1432" s="274" t="s">
        <v>229</v>
      </c>
    </row>
    <row r="1433" spans="1:5" ht="27">
      <c r="A1433" s="271">
        <v>98024</v>
      </c>
      <c r="B1433" s="272" t="s">
        <v>12598</v>
      </c>
      <c r="C1433" s="272" t="s">
        <v>109</v>
      </c>
      <c r="D1433" s="275" t="s">
        <v>21837</v>
      </c>
      <c r="E1433" s="274" t="s">
        <v>229</v>
      </c>
    </row>
    <row r="1434" spans="1:5" ht="27">
      <c r="A1434" s="271">
        <v>98025</v>
      </c>
      <c r="B1434" s="272" t="s">
        <v>12599</v>
      </c>
      <c r="C1434" s="272" t="s">
        <v>5</v>
      </c>
      <c r="D1434" s="275" t="s">
        <v>21838</v>
      </c>
      <c r="E1434" s="274" t="s">
        <v>229</v>
      </c>
    </row>
    <row r="1435" spans="1:5" ht="27">
      <c r="A1435" s="271">
        <v>98026</v>
      </c>
      <c r="B1435" s="272" t="s">
        <v>12600</v>
      </c>
      <c r="C1435" s="272" t="s">
        <v>109</v>
      </c>
      <c r="D1435" s="275" t="s">
        <v>21839</v>
      </c>
      <c r="E1435" s="274" t="s">
        <v>229</v>
      </c>
    </row>
    <row r="1436" spans="1:5" ht="27">
      <c r="A1436" s="271">
        <v>98027</v>
      </c>
      <c r="B1436" s="272" t="s">
        <v>12601</v>
      </c>
      <c r="C1436" s="272" t="s">
        <v>5</v>
      </c>
      <c r="D1436" s="275" t="s">
        <v>21832</v>
      </c>
      <c r="E1436" s="274" t="s">
        <v>229</v>
      </c>
    </row>
    <row r="1437" spans="1:5" ht="27">
      <c r="A1437" s="271">
        <v>98028</v>
      </c>
      <c r="B1437" s="272" t="s">
        <v>12602</v>
      </c>
      <c r="C1437" s="272" t="s">
        <v>109</v>
      </c>
      <c r="D1437" s="275" t="s">
        <v>21840</v>
      </c>
      <c r="E1437" s="274" t="s">
        <v>229</v>
      </c>
    </row>
    <row r="1438" spans="1:5" ht="27">
      <c r="A1438" s="271">
        <v>98029</v>
      </c>
      <c r="B1438" s="272" t="s">
        <v>12603</v>
      </c>
      <c r="C1438" s="272" t="s">
        <v>5</v>
      </c>
      <c r="D1438" s="275" t="s">
        <v>21841</v>
      </c>
      <c r="E1438" s="274" t="s">
        <v>229</v>
      </c>
    </row>
    <row r="1439" spans="1:5" ht="27">
      <c r="A1439" s="271">
        <v>98030</v>
      </c>
      <c r="B1439" s="272" t="s">
        <v>12604</v>
      </c>
      <c r="C1439" s="272" t="s">
        <v>109</v>
      </c>
      <c r="D1439" s="275" t="s">
        <v>21842</v>
      </c>
      <c r="E1439" s="274" t="s">
        <v>229</v>
      </c>
    </row>
    <row r="1440" spans="1:5" ht="27">
      <c r="A1440" s="271">
        <v>98031</v>
      </c>
      <c r="B1440" s="272" t="s">
        <v>12605</v>
      </c>
      <c r="C1440" s="272" t="s">
        <v>5</v>
      </c>
      <c r="D1440" s="275" t="s">
        <v>21843</v>
      </c>
      <c r="E1440" s="274" t="s">
        <v>229</v>
      </c>
    </row>
    <row r="1441" spans="1:5" ht="27">
      <c r="A1441" s="271">
        <v>98032</v>
      </c>
      <c r="B1441" s="272" t="s">
        <v>12606</v>
      </c>
      <c r="C1441" s="272" t="s">
        <v>109</v>
      </c>
      <c r="D1441" s="275" t="s">
        <v>21844</v>
      </c>
      <c r="E1441" s="274" t="s">
        <v>229</v>
      </c>
    </row>
    <row r="1442" spans="1:5" ht="27">
      <c r="A1442" s="271">
        <v>98033</v>
      </c>
      <c r="B1442" s="272" t="s">
        <v>12607</v>
      </c>
      <c r="C1442" s="272" t="s">
        <v>5</v>
      </c>
      <c r="D1442" s="275" t="s">
        <v>21845</v>
      </c>
      <c r="E1442" s="274" t="s">
        <v>229</v>
      </c>
    </row>
    <row r="1443" spans="1:5" ht="27">
      <c r="A1443" s="271">
        <v>98034</v>
      </c>
      <c r="B1443" s="272" t="s">
        <v>12608</v>
      </c>
      <c r="C1443" s="272" t="s">
        <v>109</v>
      </c>
      <c r="D1443" s="275" t="s">
        <v>21846</v>
      </c>
      <c r="E1443" s="274" t="s">
        <v>229</v>
      </c>
    </row>
    <row r="1444" spans="1:5" ht="27">
      <c r="A1444" s="271">
        <v>98035</v>
      </c>
      <c r="B1444" s="272" t="s">
        <v>12609</v>
      </c>
      <c r="C1444" s="272" t="s">
        <v>5</v>
      </c>
      <c r="D1444" s="275" t="s">
        <v>21841</v>
      </c>
      <c r="E1444" s="274" t="s">
        <v>229</v>
      </c>
    </row>
    <row r="1445" spans="1:5" ht="27">
      <c r="A1445" s="271">
        <v>98036</v>
      </c>
      <c r="B1445" s="272" t="s">
        <v>12610</v>
      </c>
      <c r="C1445" s="272" t="s">
        <v>109</v>
      </c>
      <c r="D1445" s="275" t="s">
        <v>21847</v>
      </c>
      <c r="E1445" s="274" t="s">
        <v>229</v>
      </c>
    </row>
    <row r="1446" spans="1:5" ht="27">
      <c r="A1446" s="271">
        <v>98037</v>
      </c>
      <c r="B1446" s="272" t="s">
        <v>12611</v>
      </c>
      <c r="C1446" s="272" t="s">
        <v>5</v>
      </c>
      <c r="D1446" s="275" t="s">
        <v>21848</v>
      </c>
      <c r="E1446" s="274" t="s">
        <v>229</v>
      </c>
    </row>
    <row r="1447" spans="1:5" ht="27">
      <c r="A1447" s="271">
        <v>98038</v>
      </c>
      <c r="B1447" s="272" t="s">
        <v>12612</v>
      </c>
      <c r="C1447" s="272" t="s">
        <v>109</v>
      </c>
      <c r="D1447" s="275" t="s">
        <v>21849</v>
      </c>
      <c r="E1447" s="274" t="s">
        <v>229</v>
      </c>
    </row>
    <row r="1448" spans="1:5" ht="27">
      <c r="A1448" s="271">
        <v>98039</v>
      </c>
      <c r="B1448" s="272" t="s">
        <v>12613</v>
      </c>
      <c r="C1448" s="272" t="s">
        <v>5</v>
      </c>
      <c r="D1448" s="275" t="s">
        <v>21850</v>
      </c>
      <c r="E1448" s="274" t="s">
        <v>229</v>
      </c>
    </row>
    <row r="1449" spans="1:5" ht="27">
      <c r="A1449" s="271">
        <v>98040</v>
      </c>
      <c r="B1449" s="272" t="s">
        <v>12614</v>
      </c>
      <c r="C1449" s="272" t="s">
        <v>109</v>
      </c>
      <c r="D1449" s="275" t="s">
        <v>21851</v>
      </c>
      <c r="E1449" s="274" t="s">
        <v>229</v>
      </c>
    </row>
    <row r="1450" spans="1:5" ht="27">
      <c r="A1450" s="271">
        <v>98041</v>
      </c>
      <c r="B1450" s="272" t="s">
        <v>12615</v>
      </c>
      <c r="C1450" s="272" t="s">
        <v>5</v>
      </c>
      <c r="D1450" s="275" t="s">
        <v>21848</v>
      </c>
      <c r="E1450" s="274" t="s">
        <v>229</v>
      </c>
    </row>
    <row r="1451" spans="1:5" ht="27">
      <c r="A1451" s="271">
        <v>98042</v>
      </c>
      <c r="B1451" s="272" t="s">
        <v>12616</v>
      </c>
      <c r="C1451" s="272" t="s">
        <v>109</v>
      </c>
      <c r="D1451" s="275" t="s">
        <v>21852</v>
      </c>
      <c r="E1451" s="274" t="s">
        <v>229</v>
      </c>
    </row>
    <row r="1452" spans="1:5" ht="27">
      <c r="A1452" s="271">
        <v>98043</v>
      </c>
      <c r="B1452" s="272" t="s">
        <v>12617</v>
      </c>
      <c r="C1452" s="272" t="s">
        <v>5</v>
      </c>
      <c r="D1452" s="275" t="s">
        <v>21853</v>
      </c>
      <c r="E1452" s="274" t="s">
        <v>229</v>
      </c>
    </row>
    <row r="1453" spans="1:5" ht="27">
      <c r="A1453" s="271">
        <v>98044</v>
      </c>
      <c r="B1453" s="272" t="s">
        <v>12618</v>
      </c>
      <c r="C1453" s="272" t="s">
        <v>109</v>
      </c>
      <c r="D1453" s="275" t="s">
        <v>21854</v>
      </c>
      <c r="E1453" s="274" t="s">
        <v>229</v>
      </c>
    </row>
    <row r="1454" spans="1:5" ht="27">
      <c r="A1454" s="271">
        <v>98045</v>
      </c>
      <c r="B1454" s="272" t="s">
        <v>12619</v>
      </c>
      <c r="C1454" s="272" t="s">
        <v>5</v>
      </c>
      <c r="D1454" s="275" t="s">
        <v>21853</v>
      </c>
      <c r="E1454" s="274" t="s">
        <v>229</v>
      </c>
    </row>
    <row r="1455" spans="1:5" ht="27">
      <c r="A1455" s="271">
        <v>98046</v>
      </c>
      <c r="B1455" s="272" t="s">
        <v>12620</v>
      </c>
      <c r="C1455" s="272" t="s">
        <v>109</v>
      </c>
      <c r="D1455" s="275" t="s">
        <v>21855</v>
      </c>
      <c r="E1455" s="274" t="s">
        <v>229</v>
      </c>
    </row>
    <row r="1456" spans="1:5" ht="27">
      <c r="A1456" s="271">
        <v>98047</v>
      </c>
      <c r="B1456" s="272" t="s">
        <v>12621</v>
      </c>
      <c r="C1456" s="272" t="s">
        <v>5</v>
      </c>
      <c r="D1456" s="275" t="s">
        <v>21856</v>
      </c>
      <c r="E1456" s="274" t="s">
        <v>229</v>
      </c>
    </row>
    <row r="1457" spans="1:5" ht="27">
      <c r="A1457" s="271">
        <v>98048</v>
      </c>
      <c r="B1457" s="272" t="s">
        <v>12622</v>
      </c>
      <c r="C1457" s="272" t="s">
        <v>109</v>
      </c>
      <c r="D1457" s="275" t="s">
        <v>21857</v>
      </c>
      <c r="E1457" s="274" t="s">
        <v>229</v>
      </c>
    </row>
    <row r="1458" spans="1:5" ht="27">
      <c r="A1458" s="271">
        <v>98049</v>
      </c>
      <c r="B1458" s="272" t="s">
        <v>12623</v>
      </c>
      <c r="C1458" s="272" t="s">
        <v>5</v>
      </c>
      <c r="D1458" s="275" t="s">
        <v>21858</v>
      </c>
      <c r="E1458" s="274" t="s">
        <v>229</v>
      </c>
    </row>
    <row r="1459" spans="1:5" ht="27">
      <c r="A1459" s="271">
        <v>98050</v>
      </c>
      <c r="B1459" s="272" t="s">
        <v>12624</v>
      </c>
      <c r="C1459" s="272" t="s">
        <v>5</v>
      </c>
      <c r="D1459" s="275" t="s">
        <v>21859</v>
      </c>
      <c r="E1459" s="274" t="s">
        <v>229</v>
      </c>
    </row>
    <row r="1460" spans="1:5" ht="27">
      <c r="A1460" s="271">
        <v>98051</v>
      </c>
      <c r="B1460" s="272" t="s">
        <v>12625</v>
      </c>
      <c r="C1460" s="272" t="s">
        <v>5</v>
      </c>
      <c r="D1460" s="275" t="s">
        <v>21860</v>
      </c>
      <c r="E1460" s="274" t="s">
        <v>229</v>
      </c>
    </row>
    <row r="1461" spans="1:5" ht="27">
      <c r="A1461" s="271">
        <v>98405</v>
      </c>
      <c r="B1461" s="272" t="s">
        <v>12626</v>
      </c>
      <c r="C1461" s="272" t="s">
        <v>109</v>
      </c>
      <c r="D1461" s="275" t="s">
        <v>21861</v>
      </c>
      <c r="E1461" s="274" t="s">
        <v>229</v>
      </c>
    </row>
    <row r="1462" spans="1:5" ht="27">
      <c r="A1462" s="271">
        <v>98406</v>
      </c>
      <c r="B1462" s="272" t="s">
        <v>12627</v>
      </c>
      <c r="C1462" s="272" t="s">
        <v>109</v>
      </c>
      <c r="D1462" s="275" t="s">
        <v>21862</v>
      </c>
      <c r="E1462" s="274" t="s">
        <v>229</v>
      </c>
    </row>
    <row r="1463" spans="1:5" ht="27">
      <c r="A1463" s="271">
        <v>98407</v>
      </c>
      <c r="B1463" s="272" t="s">
        <v>12628</v>
      </c>
      <c r="C1463" s="272" t="s">
        <v>109</v>
      </c>
      <c r="D1463" s="275" t="s">
        <v>21863</v>
      </c>
      <c r="E1463" s="274" t="s">
        <v>229</v>
      </c>
    </row>
    <row r="1464" spans="1:5" ht="27">
      <c r="A1464" s="271">
        <v>98408</v>
      </c>
      <c r="B1464" s="272" t="s">
        <v>12629</v>
      </c>
      <c r="C1464" s="272" t="s">
        <v>109</v>
      </c>
      <c r="D1464" s="275" t="s">
        <v>21864</v>
      </c>
      <c r="E1464" s="274" t="s">
        <v>229</v>
      </c>
    </row>
    <row r="1465" spans="1:5" ht="27">
      <c r="A1465" s="271">
        <v>98409</v>
      </c>
      <c r="B1465" s="272" t="s">
        <v>12630</v>
      </c>
      <c r="C1465" s="272" t="s">
        <v>5</v>
      </c>
      <c r="D1465" s="275" t="s">
        <v>21865</v>
      </c>
      <c r="E1465" s="274" t="s">
        <v>229</v>
      </c>
    </row>
    <row r="1466" spans="1:5" ht="27">
      <c r="A1466" s="271">
        <v>98410</v>
      </c>
      <c r="B1466" s="272" t="s">
        <v>12631</v>
      </c>
      <c r="C1466" s="272" t="s">
        <v>109</v>
      </c>
      <c r="D1466" s="275" t="s">
        <v>21866</v>
      </c>
      <c r="E1466" s="274" t="s">
        <v>229</v>
      </c>
    </row>
    <row r="1467" spans="1:5" ht="27">
      <c r="A1467" s="271">
        <v>98414</v>
      </c>
      <c r="B1467" s="272" t="s">
        <v>12632</v>
      </c>
      <c r="C1467" s="272" t="s">
        <v>109</v>
      </c>
      <c r="D1467" s="275" t="s">
        <v>21867</v>
      </c>
      <c r="E1467" s="274" t="s">
        <v>229</v>
      </c>
    </row>
    <row r="1468" spans="1:5" ht="40.5">
      <c r="A1468" s="271">
        <v>98415</v>
      </c>
      <c r="B1468" s="272" t="s">
        <v>3982</v>
      </c>
      <c r="C1468" s="272" t="s">
        <v>109</v>
      </c>
      <c r="D1468" s="275" t="s">
        <v>21868</v>
      </c>
      <c r="E1468" s="274" t="s">
        <v>229</v>
      </c>
    </row>
    <row r="1469" spans="1:5" ht="40.5">
      <c r="A1469" s="271">
        <v>98416</v>
      </c>
      <c r="B1469" s="272" t="s">
        <v>3983</v>
      </c>
      <c r="C1469" s="272" t="s">
        <v>109</v>
      </c>
      <c r="D1469" s="275" t="s">
        <v>21869</v>
      </c>
      <c r="E1469" s="274" t="s">
        <v>229</v>
      </c>
    </row>
    <row r="1470" spans="1:5" ht="40.5">
      <c r="A1470" s="271">
        <v>98417</v>
      </c>
      <c r="B1470" s="272" t="s">
        <v>3984</v>
      </c>
      <c r="C1470" s="272" t="s">
        <v>109</v>
      </c>
      <c r="D1470" s="275" t="s">
        <v>21870</v>
      </c>
      <c r="E1470" s="274" t="s">
        <v>229</v>
      </c>
    </row>
    <row r="1471" spans="1:5" ht="40.5">
      <c r="A1471" s="271">
        <v>98418</v>
      </c>
      <c r="B1471" s="272" t="s">
        <v>3985</v>
      </c>
      <c r="C1471" s="272" t="s">
        <v>109</v>
      </c>
      <c r="D1471" s="275" t="s">
        <v>21871</v>
      </c>
      <c r="E1471" s="274" t="s">
        <v>229</v>
      </c>
    </row>
    <row r="1472" spans="1:5" ht="40.5">
      <c r="A1472" s="271">
        <v>98419</v>
      </c>
      <c r="B1472" s="272" t="s">
        <v>3986</v>
      </c>
      <c r="C1472" s="272" t="s">
        <v>109</v>
      </c>
      <c r="D1472" s="273" t="s">
        <v>21872</v>
      </c>
      <c r="E1472" s="274" t="s">
        <v>229</v>
      </c>
    </row>
    <row r="1473" spans="1:5" ht="40.5">
      <c r="A1473" s="271">
        <v>98420</v>
      </c>
      <c r="B1473" s="272" t="s">
        <v>3987</v>
      </c>
      <c r="C1473" s="272" t="s">
        <v>109</v>
      </c>
      <c r="D1473" s="275" t="s">
        <v>21873</v>
      </c>
      <c r="E1473" s="274" t="s">
        <v>229</v>
      </c>
    </row>
    <row r="1474" spans="1:5" ht="40.5">
      <c r="A1474" s="271">
        <v>98421</v>
      </c>
      <c r="B1474" s="272" t="s">
        <v>3988</v>
      </c>
      <c r="C1474" s="272" t="s">
        <v>109</v>
      </c>
      <c r="D1474" s="275" t="s">
        <v>21874</v>
      </c>
      <c r="E1474" s="274" t="s">
        <v>229</v>
      </c>
    </row>
    <row r="1475" spans="1:5" ht="40.5">
      <c r="A1475" s="271">
        <v>98422</v>
      </c>
      <c r="B1475" s="272" t="s">
        <v>3989</v>
      </c>
      <c r="C1475" s="272" t="s">
        <v>109</v>
      </c>
      <c r="D1475" s="275" t="s">
        <v>21875</v>
      </c>
      <c r="E1475" s="274" t="s">
        <v>229</v>
      </c>
    </row>
    <row r="1476" spans="1:5" ht="40.5">
      <c r="A1476" s="271">
        <v>98423</v>
      </c>
      <c r="B1476" s="272" t="s">
        <v>3990</v>
      </c>
      <c r="C1476" s="272" t="s">
        <v>109</v>
      </c>
      <c r="D1476" s="275" t="s">
        <v>21876</v>
      </c>
      <c r="E1476" s="274" t="s">
        <v>229</v>
      </c>
    </row>
    <row r="1477" spans="1:5" ht="40.5">
      <c r="A1477" s="271">
        <v>98424</v>
      </c>
      <c r="B1477" s="272" t="s">
        <v>3991</v>
      </c>
      <c r="C1477" s="272" t="s">
        <v>109</v>
      </c>
      <c r="D1477" s="275" t="s">
        <v>21877</v>
      </c>
      <c r="E1477" s="274" t="s">
        <v>229</v>
      </c>
    </row>
    <row r="1478" spans="1:5" ht="40.5">
      <c r="A1478" s="271">
        <v>98425</v>
      </c>
      <c r="B1478" s="272" t="s">
        <v>3992</v>
      </c>
      <c r="C1478" s="272" t="s">
        <v>109</v>
      </c>
      <c r="D1478" s="275" t="s">
        <v>21811</v>
      </c>
      <c r="E1478" s="274" t="s">
        <v>229</v>
      </c>
    </row>
    <row r="1479" spans="1:5" ht="40.5">
      <c r="A1479" s="271">
        <v>98426</v>
      </c>
      <c r="B1479" s="272" t="s">
        <v>3993</v>
      </c>
      <c r="C1479" s="272" t="s">
        <v>109</v>
      </c>
      <c r="D1479" s="275" t="s">
        <v>21878</v>
      </c>
      <c r="E1479" s="274" t="s">
        <v>229</v>
      </c>
    </row>
    <row r="1480" spans="1:5" ht="40.5">
      <c r="A1480" s="271">
        <v>98427</v>
      </c>
      <c r="B1480" s="272" t="s">
        <v>3994</v>
      </c>
      <c r="C1480" s="272" t="s">
        <v>109</v>
      </c>
      <c r="D1480" s="275" t="s">
        <v>21879</v>
      </c>
      <c r="E1480" s="274" t="s">
        <v>229</v>
      </c>
    </row>
    <row r="1481" spans="1:5" ht="40.5">
      <c r="A1481" s="271">
        <v>98428</v>
      </c>
      <c r="B1481" s="272" t="s">
        <v>3995</v>
      </c>
      <c r="C1481" s="272" t="s">
        <v>109</v>
      </c>
      <c r="D1481" s="275" t="s">
        <v>21880</v>
      </c>
      <c r="E1481" s="274" t="s">
        <v>229</v>
      </c>
    </row>
    <row r="1482" spans="1:5" ht="40.5">
      <c r="A1482" s="271">
        <v>98429</v>
      </c>
      <c r="B1482" s="272" t="s">
        <v>3996</v>
      </c>
      <c r="C1482" s="272" t="s">
        <v>109</v>
      </c>
      <c r="D1482" s="275" t="s">
        <v>21881</v>
      </c>
      <c r="E1482" s="274" t="s">
        <v>229</v>
      </c>
    </row>
    <row r="1483" spans="1:5" ht="40.5">
      <c r="A1483" s="271">
        <v>98430</v>
      </c>
      <c r="B1483" s="272" t="s">
        <v>3997</v>
      </c>
      <c r="C1483" s="272" t="s">
        <v>109</v>
      </c>
      <c r="D1483" s="275" t="s">
        <v>21882</v>
      </c>
      <c r="E1483" s="274" t="s">
        <v>229</v>
      </c>
    </row>
    <row r="1484" spans="1:5" ht="40.5">
      <c r="A1484" s="271">
        <v>98431</v>
      </c>
      <c r="B1484" s="272" t="s">
        <v>3998</v>
      </c>
      <c r="C1484" s="272" t="s">
        <v>109</v>
      </c>
      <c r="D1484" s="275" t="s">
        <v>21883</v>
      </c>
      <c r="E1484" s="274" t="s">
        <v>229</v>
      </c>
    </row>
    <row r="1485" spans="1:5" ht="40.5">
      <c r="A1485" s="271">
        <v>98432</v>
      </c>
      <c r="B1485" s="272" t="s">
        <v>3999</v>
      </c>
      <c r="C1485" s="272" t="s">
        <v>109</v>
      </c>
      <c r="D1485" s="273" t="s">
        <v>21884</v>
      </c>
      <c r="E1485" s="274" t="s">
        <v>229</v>
      </c>
    </row>
    <row r="1486" spans="1:5" ht="40.5">
      <c r="A1486" s="271">
        <v>98433</v>
      </c>
      <c r="B1486" s="272" t="s">
        <v>4000</v>
      </c>
      <c r="C1486" s="272" t="s">
        <v>109</v>
      </c>
      <c r="D1486" s="275" t="s">
        <v>21885</v>
      </c>
      <c r="E1486" s="274" t="s">
        <v>229</v>
      </c>
    </row>
    <row r="1487" spans="1:5" ht="40.5">
      <c r="A1487" s="271">
        <v>98434</v>
      </c>
      <c r="B1487" s="272" t="s">
        <v>4001</v>
      </c>
      <c r="C1487" s="272" t="s">
        <v>109</v>
      </c>
      <c r="D1487" s="273" t="s">
        <v>21886</v>
      </c>
      <c r="E1487" s="274" t="s">
        <v>229</v>
      </c>
    </row>
    <row r="1488" spans="1:5" ht="27">
      <c r="A1488" s="271">
        <v>99240</v>
      </c>
      <c r="B1488" s="272" t="s">
        <v>12633</v>
      </c>
      <c r="C1488" s="272" t="s">
        <v>5</v>
      </c>
      <c r="D1488" s="275" t="s">
        <v>21887</v>
      </c>
      <c r="E1488" s="274" t="s">
        <v>229</v>
      </c>
    </row>
    <row r="1489" spans="1:5" ht="27">
      <c r="A1489" s="271">
        <v>99241</v>
      </c>
      <c r="B1489" s="272" t="s">
        <v>12634</v>
      </c>
      <c r="C1489" s="272" t="s">
        <v>5</v>
      </c>
      <c r="D1489" s="275" t="s">
        <v>21888</v>
      </c>
      <c r="E1489" s="274" t="s">
        <v>229</v>
      </c>
    </row>
    <row r="1490" spans="1:5" ht="40.5">
      <c r="A1490" s="271">
        <v>99242</v>
      </c>
      <c r="B1490" s="272" t="s">
        <v>12635</v>
      </c>
      <c r="C1490" s="272" t="s">
        <v>109</v>
      </c>
      <c r="D1490" s="275" t="s">
        <v>21889</v>
      </c>
      <c r="E1490" s="274" t="s">
        <v>229</v>
      </c>
    </row>
    <row r="1491" spans="1:5" ht="27">
      <c r="A1491" s="271">
        <v>99243</v>
      </c>
      <c r="B1491" s="272" t="s">
        <v>12636</v>
      </c>
      <c r="C1491" s="272" t="s">
        <v>5</v>
      </c>
      <c r="D1491" s="275" t="s">
        <v>21890</v>
      </c>
      <c r="E1491" s="274" t="s">
        <v>229</v>
      </c>
    </row>
    <row r="1492" spans="1:5" ht="40.5">
      <c r="A1492" s="271">
        <v>99244</v>
      </c>
      <c r="B1492" s="272" t="s">
        <v>12637</v>
      </c>
      <c r="C1492" s="272" t="s">
        <v>109</v>
      </c>
      <c r="D1492" s="273" t="s">
        <v>21891</v>
      </c>
      <c r="E1492" s="274" t="s">
        <v>229</v>
      </c>
    </row>
    <row r="1493" spans="1:5" ht="27">
      <c r="A1493" s="271">
        <v>99246</v>
      </c>
      <c r="B1493" s="272" t="s">
        <v>12638</v>
      </c>
      <c r="C1493" s="272" t="s">
        <v>5</v>
      </c>
      <c r="D1493" s="273" t="s">
        <v>21892</v>
      </c>
      <c r="E1493" s="274" t="s">
        <v>229</v>
      </c>
    </row>
    <row r="1494" spans="1:5" ht="27">
      <c r="A1494" s="271">
        <v>99247</v>
      </c>
      <c r="B1494" s="272" t="s">
        <v>12639</v>
      </c>
      <c r="C1494" s="272" t="s">
        <v>5</v>
      </c>
      <c r="D1494" s="275" t="s">
        <v>21893</v>
      </c>
      <c r="E1494" s="274" t="s">
        <v>229</v>
      </c>
    </row>
    <row r="1495" spans="1:5" ht="40.5">
      <c r="A1495" s="271">
        <v>99248</v>
      </c>
      <c r="B1495" s="272" t="s">
        <v>12640</v>
      </c>
      <c r="C1495" s="272" t="s">
        <v>109</v>
      </c>
      <c r="D1495" s="275" t="s">
        <v>21894</v>
      </c>
      <c r="E1495" s="274" t="s">
        <v>229</v>
      </c>
    </row>
    <row r="1496" spans="1:5" ht="27">
      <c r="A1496" s="271">
        <v>99249</v>
      </c>
      <c r="B1496" s="272" t="s">
        <v>12641</v>
      </c>
      <c r="C1496" s="272" t="s">
        <v>5</v>
      </c>
      <c r="D1496" s="275" t="s">
        <v>21895</v>
      </c>
      <c r="E1496" s="274" t="s">
        <v>229</v>
      </c>
    </row>
    <row r="1497" spans="1:5" ht="40.5">
      <c r="A1497" s="271">
        <v>99252</v>
      </c>
      <c r="B1497" s="272" t="s">
        <v>12642</v>
      </c>
      <c r="C1497" s="272" t="s">
        <v>109</v>
      </c>
      <c r="D1497" s="275" t="s">
        <v>21896</v>
      </c>
      <c r="E1497" s="274" t="s">
        <v>229</v>
      </c>
    </row>
    <row r="1498" spans="1:5" ht="27">
      <c r="A1498" s="271">
        <v>99254</v>
      </c>
      <c r="B1498" s="272" t="s">
        <v>12643</v>
      </c>
      <c r="C1498" s="272" t="s">
        <v>5</v>
      </c>
      <c r="D1498" s="275" t="s">
        <v>21897</v>
      </c>
      <c r="E1498" s="274" t="s">
        <v>229</v>
      </c>
    </row>
    <row r="1499" spans="1:5" ht="40.5">
      <c r="A1499" s="271">
        <v>99256</v>
      </c>
      <c r="B1499" s="272" t="s">
        <v>12644</v>
      </c>
      <c r="C1499" s="272" t="s">
        <v>109</v>
      </c>
      <c r="D1499" s="275" t="s">
        <v>21898</v>
      </c>
      <c r="E1499" s="274" t="s">
        <v>229</v>
      </c>
    </row>
    <row r="1500" spans="1:5" ht="40.5">
      <c r="A1500" s="271">
        <v>99259</v>
      </c>
      <c r="B1500" s="272" t="s">
        <v>12645</v>
      </c>
      <c r="C1500" s="272" t="s">
        <v>109</v>
      </c>
      <c r="D1500" s="273" t="s">
        <v>21899</v>
      </c>
      <c r="E1500" s="274" t="s">
        <v>229</v>
      </c>
    </row>
    <row r="1501" spans="1:5" ht="27">
      <c r="A1501" s="271">
        <v>99261</v>
      </c>
      <c r="B1501" s="272" t="s">
        <v>12646</v>
      </c>
      <c r="C1501" s="272" t="s">
        <v>5</v>
      </c>
      <c r="D1501" s="273" t="s">
        <v>21900</v>
      </c>
      <c r="E1501" s="274" t="s">
        <v>229</v>
      </c>
    </row>
    <row r="1502" spans="1:5" ht="27">
      <c r="A1502" s="271">
        <v>99263</v>
      </c>
      <c r="B1502" s="272" t="s">
        <v>12647</v>
      </c>
      <c r="C1502" s="272" t="s">
        <v>5</v>
      </c>
      <c r="D1502" s="273" t="s">
        <v>21901</v>
      </c>
      <c r="E1502" s="274" t="s">
        <v>229</v>
      </c>
    </row>
    <row r="1503" spans="1:5" ht="40.5">
      <c r="A1503" s="271">
        <v>99265</v>
      </c>
      <c r="B1503" s="272" t="s">
        <v>12648</v>
      </c>
      <c r="C1503" s="272" t="s">
        <v>109</v>
      </c>
      <c r="D1503" s="273" t="s">
        <v>21902</v>
      </c>
      <c r="E1503" s="274" t="s">
        <v>229</v>
      </c>
    </row>
    <row r="1504" spans="1:5" ht="27">
      <c r="A1504" s="271">
        <v>99266</v>
      </c>
      <c r="B1504" s="272" t="s">
        <v>12649</v>
      </c>
      <c r="C1504" s="272" t="s">
        <v>5</v>
      </c>
      <c r="D1504" s="273" t="s">
        <v>21888</v>
      </c>
      <c r="E1504" s="274" t="s">
        <v>229</v>
      </c>
    </row>
    <row r="1505" spans="1:5" ht="40.5">
      <c r="A1505" s="271">
        <v>99267</v>
      </c>
      <c r="B1505" s="272" t="s">
        <v>12650</v>
      </c>
      <c r="C1505" s="272" t="s">
        <v>109</v>
      </c>
      <c r="D1505" s="273" t="s">
        <v>21903</v>
      </c>
      <c r="E1505" s="274" t="s">
        <v>229</v>
      </c>
    </row>
    <row r="1506" spans="1:5" ht="27">
      <c r="A1506" s="271">
        <v>99268</v>
      </c>
      <c r="B1506" s="272" t="s">
        <v>12651</v>
      </c>
      <c r="C1506" s="272" t="s">
        <v>109</v>
      </c>
      <c r="D1506" s="273" t="s">
        <v>21904</v>
      </c>
      <c r="E1506" s="274" t="s">
        <v>229</v>
      </c>
    </row>
    <row r="1507" spans="1:5" ht="27">
      <c r="A1507" s="271">
        <v>99269</v>
      </c>
      <c r="B1507" s="272" t="s">
        <v>12652</v>
      </c>
      <c r="C1507" s="272" t="s">
        <v>5</v>
      </c>
      <c r="D1507" s="273" t="s">
        <v>21893</v>
      </c>
      <c r="E1507" s="274" t="s">
        <v>229</v>
      </c>
    </row>
    <row r="1508" spans="1:5" ht="27">
      <c r="A1508" s="271">
        <v>99270</v>
      </c>
      <c r="B1508" s="272" t="s">
        <v>12653</v>
      </c>
      <c r="C1508" s="272" t="s">
        <v>109</v>
      </c>
      <c r="D1508" s="273" t="s">
        <v>21905</v>
      </c>
      <c r="E1508" s="274" t="s">
        <v>229</v>
      </c>
    </row>
    <row r="1509" spans="1:5" ht="40.5">
      <c r="A1509" s="271">
        <v>99271</v>
      </c>
      <c r="B1509" s="272" t="s">
        <v>12654</v>
      </c>
      <c r="C1509" s="272" t="s">
        <v>109</v>
      </c>
      <c r="D1509" s="273" t="s">
        <v>21906</v>
      </c>
      <c r="E1509" s="274" t="s">
        <v>229</v>
      </c>
    </row>
    <row r="1510" spans="1:5" ht="27">
      <c r="A1510" s="271">
        <v>99272</v>
      </c>
      <c r="B1510" s="272" t="s">
        <v>12655</v>
      </c>
      <c r="C1510" s="272" t="s">
        <v>109</v>
      </c>
      <c r="D1510" s="273" t="s">
        <v>21907</v>
      </c>
      <c r="E1510" s="274" t="s">
        <v>229</v>
      </c>
    </row>
    <row r="1511" spans="1:5" ht="27">
      <c r="A1511" s="271">
        <v>99273</v>
      </c>
      <c r="B1511" s="272" t="s">
        <v>12656</v>
      </c>
      <c r="C1511" s="272" t="s">
        <v>109</v>
      </c>
      <c r="D1511" s="273" t="s">
        <v>21908</v>
      </c>
      <c r="E1511" s="274" t="s">
        <v>229</v>
      </c>
    </row>
    <row r="1512" spans="1:5" ht="40.5">
      <c r="A1512" s="271">
        <v>99274</v>
      </c>
      <c r="B1512" s="272" t="s">
        <v>12657</v>
      </c>
      <c r="C1512" s="272" t="s">
        <v>109</v>
      </c>
      <c r="D1512" s="273" t="s">
        <v>21909</v>
      </c>
      <c r="E1512" s="274" t="s">
        <v>229</v>
      </c>
    </row>
    <row r="1513" spans="1:5" ht="27">
      <c r="A1513" s="271">
        <v>99275</v>
      </c>
      <c r="B1513" s="272" t="s">
        <v>12658</v>
      </c>
      <c r="C1513" s="272" t="s">
        <v>109</v>
      </c>
      <c r="D1513" s="273" t="s">
        <v>21910</v>
      </c>
      <c r="E1513" s="274" t="s">
        <v>229</v>
      </c>
    </row>
    <row r="1514" spans="1:5" ht="27">
      <c r="A1514" s="271">
        <v>99276</v>
      </c>
      <c r="B1514" s="272" t="s">
        <v>12659</v>
      </c>
      <c r="C1514" s="272" t="s">
        <v>5</v>
      </c>
      <c r="D1514" s="273" t="s">
        <v>21911</v>
      </c>
      <c r="E1514" s="274" t="s">
        <v>229</v>
      </c>
    </row>
    <row r="1515" spans="1:5" ht="27">
      <c r="A1515" s="271">
        <v>99277</v>
      </c>
      <c r="B1515" s="272" t="s">
        <v>12660</v>
      </c>
      <c r="C1515" s="272" t="s">
        <v>5</v>
      </c>
      <c r="D1515" s="273" t="s">
        <v>21901</v>
      </c>
      <c r="E1515" s="274" t="s">
        <v>229</v>
      </c>
    </row>
    <row r="1516" spans="1:5" ht="27">
      <c r="A1516" s="271">
        <v>99278</v>
      </c>
      <c r="B1516" s="272" t="s">
        <v>12661</v>
      </c>
      <c r="C1516" s="272" t="s">
        <v>5</v>
      </c>
      <c r="D1516" s="273" t="s">
        <v>21912</v>
      </c>
      <c r="E1516" s="274" t="s">
        <v>229</v>
      </c>
    </row>
    <row r="1517" spans="1:5" ht="40.5">
      <c r="A1517" s="271">
        <v>99279</v>
      </c>
      <c r="B1517" s="272" t="s">
        <v>12662</v>
      </c>
      <c r="C1517" s="272" t="s">
        <v>109</v>
      </c>
      <c r="D1517" s="273" t="s">
        <v>21913</v>
      </c>
      <c r="E1517" s="274" t="s">
        <v>229</v>
      </c>
    </row>
    <row r="1518" spans="1:5" ht="40.5">
      <c r="A1518" s="271">
        <v>99280</v>
      </c>
      <c r="B1518" s="272" t="s">
        <v>12663</v>
      </c>
      <c r="C1518" s="272" t="s">
        <v>109</v>
      </c>
      <c r="D1518" s="273" t="s">
        <v>21914</v>
      </c>
      <c r="E1518" s="274" t="s">
        <v>229</v>
      </c>
    </row>
    <row r="1519" spans="1:5" ht="27">
      <c r="A1519" s="271">
        <v>99281</v>
      </c>
      <c r="B1519" s="272" t="s">
        <v>12664</v>
      </c>
      <c r="C1519" s="272" t="s">
        <v>5</v>
      </c>
      <c r="D1519" s="273" t="s">
        <v>21911</v>
      </c>
      <c r="E1519" s="274" t="s">
        <v>229</v>
      </c>
    </row>
    <row r="1520" spans="1:5" ht="27">
      <c r="A1520" s="271">
        <v>99282</v>
      </c>
      <c r="B1520" s="272" t="s">
        <v>12665</v>
      </c>
      <c r="C1520" s="272" t="s">
        <v>5</v>
      </c>
      <c r="D1520" s="273" t="s">
        <v>21915</v>
      </c>
      <c r="E1520" s="274" t="s">
        <v>229</v>
      </c>
    </row>
    <row r="1521" spans="1:5" ht="27">
      <c r="A1521" s="271">
        <v>99283</v>
      </c>
      <c r="B1521" s="272" t="s">
        <v>12666</v>
      </c>
      <c r="C1521" s="272" t="s">
        <v>5</v>
      </c>
      <c r="D1521" s="273" t="s">
        <v>21916</v>
      </c>
      <c r="E1521" s="274" t="s">
        <v>229</v>
      </c>
    </row>
    <row r="1522" spans="1:5" ht="40.5">
      <c r="A1522" s="271">
        <v>99284</v>
      </c>
      <c r="B1522" s="272" t="s">
        <v>12667</v>
      </c>
      <c r="C1522" s="272" t="s">
        <v>109</v>
      </c>
      <c r="D1522" s="273" t="s">
        <v>21917</v>
      </c>
      <c r="E1522" s="274" t="s">
        <v>229</v>
      </c>
    </row>
    <row r="1523" spans="1:5" ht="27">
      <c r="A1523" s="271">
        <v>99285</v>
      </c>
      <c r="B1523" s="272" t="s">
        <v>12668</v>
      </c>
      <c r="C1523" s="272" t="s">
        <v>109</v>
      </c>
      <c r="D1523" s="273" t="s">
        <v>21918</v>
      </c>
      <c r="E1523" s="274" t="s">
        <v>229</v>
      </c>
    </row>
    <row r="1524" spans="1:5" ht="40.5">
      <c r="A1524" s="271">
        <v>99286</v>
      </c>
      <c r="B1524" s="272" t="s">
        <v>12669</v>
      </c>
      <c r="C1524" s="272" t="s">
        <v>109</v>
      </c>
      <c r="D1524" s="273" t="s">
        <v>21919</v>
      </c>
      <c r="E1524" s="274" t="s">
        <v>229</v>
      </c>
    </row>
    <row r="1525" spans="1:5" ht="40.5">
      <c r="A1525" s="271">
        <v>99287</v>
      </c>
      <c r="B1525" s="272" t="s">
        <v>12670</v>
      </c>
      <c r="C1525" s="272" t="s">
        <v>109</v>
      </c>
      <c r="D1525" s="273" t="s">
        <v>21920</v>
      </c>
      <c r="E1525" s="274" t="s">
        <v>229</v>
      </c>
    </row>
    <row r="1526" spans="1:5" ht="27">
      <c r="A1526" s="271">
        <v>99288</v>
      </c>
      <c r="B1526" s="272" t="s">
        <v>12671</v>
      </c>
      <c r="C1526" s="272" t="s">
        <v>5</v>
      </c>
      <c r="D1526" s="273" t="s">
        <v>21921</v>
      </c>
      <c r="E1526" s="274" t="s">
        <v>229</v>
      </c>
    </row>
    <row r="1527" spans="1:5" ht="27">
      <c r="A1527" s="271">
        <v>99289</v>
      </c>
      <c r="B1527" s="272" t="s">
        <v>12672</v>
      </c>
      <c r="C1527" s="272" t="s">
        <v>5</v>
      </c>
      <c r="D1527" s="273" t="s">
        <v>21922</v>
      </c>
      <c r="E1527" s="274" t="s">
        <v>229</v>
      </c>
    </row>
    <row r="1528" spans="1:5" ht="40.5">
      <c r="A1528" s="271">
        <v>99290</v>
      </c>
      <c r="B1528" s="272" t="s">
        <v>12673</v>
      </c>
      <c r="C1528" s="272" t="s">
        <v>109</v>
      </c>
      <c r="D1528" s="273" t="s">
        <v>21923</v>
      </c>
      <c r="E1528" s="274" t="s">
        <v>229</v>
      </c>
    </row>
    <row r="1529" spans="1:5" ht="27">
      <c r="A1529" s="271">
        <v>99291</v>
      </c>
      <c r="B1529" s="272" t="s">
        <v>12674</v>
      </c>
      <c r="C1529" s="272" t="s">
        <v>5</v>
      </c>
      <c r="D1529" s="273" t="s">
        <v>21924</v>
      </c>
      <c r="E1529" s="274" t="s">
        <v>229</v>
      </c>
    </row>
    <row r="1530" spans="1:5" ht="27">
      <c r="A1530" s="271">
        <v>99292</v>
      </c>
      <c r="B1530" s="272" t="s">
        <v>12675</v>
      </c>
      <c r="C1530" s="272" t="s">
        <v>109</v>
      </c>
      <c r="D1530" s="273" t="s">
        <v>21925</v>
      </c>
      <c r="E1530" s="274" t="s">
        <v>229</v>
      </c>
    </row>
    <row r="1531" spans="1:5" ht="27">
      <c r="A1531" s="271">
        <v>99293</v>
      </c>
      <c r="B1531" s="272" t="s">
        <v>12676</v>
      </c>
      <c r="C1531" s="272" t="s">
        <v>5</v>
      </c>
      <c r="D1531" s="273" t="s">
        <v>21926</v>
      </c>
      <c r="E1531" s="274" t="s">
        <v>229</v>
      </c>
    </row>
    <row r="1532" spans="1:5" ht="40.5">
      <c r="A1532" s="271">
        <v>99294</v>
      </c>
      <c r="B1532" s="272" t="s">
        <v>12677</v>
      </c>
      <c r="C1532" s="272" t="s">
        <v>109</v>
      </c>
      <c r="D1532" s="273" t="s">
        <v>21927</v>
      </c>
      <c r="E1532" s="274" t="s">
        <v>229</v>
      </c>
    </row>
    <row r="1533" spans="1:5" ht="27">
      <c r="A1533" s="271">
        <v>99296</v>
      </c>
      <c r="B1533" s="272" t="s">
        <v>12678</v>
      </c>
      <c r="C1533" s="272" t="s">
        <v>5</v>
      </c>
      <c r="D1533" s="273" t="s">
        <v>21928</v>
      </c>
      <c r="E1533" s="274" t="s">
        <v>229</v>
      </c>
    </row>
    <row r="1534" spans="1:5" ht="27">
      <c r="A1534" s="271">
        <v>99297</v>
      </c>
      <c r="B1534" s="272" t="s">
        <v>12679</v>
      </c>
      <c r="C1534" s="272" t="s">
        <v>5</v>
      </c>
      <c r="D1534" s="273" t="s">
        <v>21929</v>
      </c>
      <c r="E1534" s="274" t="s">
        <v>229</v>
      </c>
    </row>
    <row r="1535" spans="1:5" ht="40.5">
      <c r="A1535" s="271">
        <v>99298</v>
      </c>
      <c r="B1535" s="272" t="s">
        <v>12680</v>
      </c>
      <c r="C1535" s="272" t="s">
        <v>109</v>
      </c>
      <c r="D1535" s="273" t="s">
        <v>21930</v>
      </c>
      <c r="E1535" s="274" t="s">
        <v>229</v>
      </c>
    </row>
    <row r="1536" spans="1:5" ht="27">
      <c r="A1536" s="271">
        <v>99299</v>
      </c>
      <c r="B1536" s="272" t="s">
        <v>12681</v>
      </c>
      <c r="C1536" s="272" t="s">
        <v>5</v>
      </c>
      <c r="D1536" s="273" t="s">
        <v>21931</v>
      </c>
      <c r="E1536" s="274" t="s">
        <v>229</v>
      </c>
    </row>
    <row r="1537" spans="1:5" ht="40.5">
      <c r="A1537" s="271">
        <v>99300</v>
      </c>
      <c r="B1537" s="272" t="s">
        <v>12682</v>
      </c>
      <c r="C1537" s="272" t="s">
        <v>109</v>
      </c>
      <c r="D1537" s="273" t="s">
        <v>21932</v>
      </c>
      <c r="E1537" s="274" t="s">
        <v>229</v>
      </c>
    </row>
    <row r="1538" spans="1:5" ht="40.5">
      <c r="A1538" s="271">
        <v>99301</v>
      </c>
      <c r="B1538" s="272" t="s">
        <v>12683</v>
      </c>
      <c r="C1538" s="272" t="s">
        <v>109</v>
      </c>
      <c r="D1538" s="273" t="s">
        <v>21933</v>
      </c>
      <c r="E1538" s="274" t="s">
        <v>229</v>
      </c>
    </row>
    <row r="1539" spans="1:5" ht="27">
      <c r="A1539" s="271">
        <v>99302</v>
      </c>
      <c r="B1539" s="272" t="s">
        <v>12684</v>
      </c>
      <c r="C1539" s="272" t="s">
        <v>5</v>
      </c>
      <c r="D1539" s="273" t="s">
        <v>21934</v>
      </c>
      <c r="E1539" s="274" t="s">
        <v>229</v>
      </c>
    </row>
    <row r="1540" spans="1:5" ht="40.5">
      <c r="A1540" s="271">
        <v>99303</v>
      </c>
      <c r="B1540" s="272" t="s">
        <v>12685</v>
      </c>
      <c r="C1540" s="272" t="s">
        <v>109</v>
      </c>
      <c r="D1540" s="273" t="s">
        <v>21935</v>
      </c>
      <c r="E1540" s="274" t="s">
        <v>229</v>
      </c>
    </row>
    <row r="1541" spans="1:5" ht="27">
      <c r="A1541" s="271">
        <v>99304</v>
      </c>
      <c r="B1541" s="272" t="s">
        <v>12686</v>
      </c>
      <c r="C1541" s="272" t="s">
        <v>5</v>
      </c>
      <c r="D1541" s="273" t="s">
        <v>21936</v>
      </c>
      <c r="E1541" s="274" t="s">
        <v>229</v>
      </c>
    </row>
    <row r="1542" spans="1:5" ht="40.5">
      <c r="A1542" s="271">
        <v>99305</v>
      </c>
      <c r="B1542" s="272" t="s">
        <v>12687</v>
      </c>
      <c r="C1542" s="272" t="s">
        <v>109</v>
      </c>
      <c r="D1542" s="273" t="s">
        <v>21937</v>
      </c>
      <c r="E1542" s="274" t="s">
        <v>229</v>
      </c>
    </row>
    <row r="1543" spans="1:5" ht="27">
      <c r="A1543" s="271">
        <v>99306</v>
      </c>
      <c r="B1543" s="272" t="s">
        <v>12688</v>
      </c>
      <c r="C1543" s="272" t="s">
        <v>5</v>
      </c>
      <c r="D1543" s="273" t="s">
        <v>21934</v>
      </c>
      <c r="E1543" s="274" t="s">
        <v>229</v>
      </c>
    </row>
    <row r="1544" spans="1:5" ht="27">
      <c r="A1544" s="271">
        <v>99307</v>
      </c>
      <c r="B1544" s="272" t="s">
        <v>12689</v>
      </c>
      <c r="C1544" s="272" t="s">
        <v>5</v>
      </c>
      <c r="D1544" s="273" t="s">
        <v>21938</v>
      </c>
      <c r="E1544" s="274" t="s">
        <v>229</v>
      </c>
    </row>
    <row r="1545" spans="1:5" ht="40.5">
      <c r="A1545" s="271">
        <v>99308</v>
      </c>
      <c r="B1545" s="272" t="s">
        <v>12690</v>
      </c>
      <c r="C1545" s="272" t="s">
        <v>109</v>
      </c>
      <c r="D1545" s="273" t="s">
        <v>21939</v>
      </c>
      <c r="E1545" s="274" t="s">
        <v>229</v>
      </c>
    </row>
    <row r="1546" spans="1:5" ht="27">
      <c r="A1546" s="271">
        <v>99309</v>
      </c>
      <c r="B1546" s="272" t="s">
        <v>12691</v>
      </c>
      <c r="C1546" s="272" t="s">
        <v>5</v>
      </c>
      <c r="D1546" s="273" t="s">
        <v>21940</v>
      </c>
      <c r="E1546" s="274" t="s">
        <v>229</v>
      </c>
    </row>
    <row r="1547" spans="1:5" ht="40.5">
      <c r="A1547" s="271">
        <v>99310</v>
      </c>
      <c r="B1547" s="272" t="s">
        <v>12692</v>
      </c>
      <c r="C1547" s="272" t="s">
        <v>109</v>
      </c>
      <c r="D1547" s="273" t="s">
        <v>21941</v>
      </c>
      <c r="E1547" s="274" t="s">
        <v>229</v>
      </c>
    </row>
    <row r="1548" spans="1:5" ht="27">
      <c r="A1548" s="271">
        <v>99311</v>
      </c>
      <c r="B1548" s="272" t="s">
        <v>12693</v>
      </c>
      <c r="C1548" s="272" t="s">
        <v>5</v>
      </c>
      <c r="D1548" s="273" t="s">
        <v>21940</v>
      </c>
      <c r="E1548" s="274" t="s">
        <v>229</v>
      </c>
    </row>
    <row r="1549" spans="1:5" ht="40.5">
      <c r="A1549" s="271">
        <v>99312</v>
      </c>
      <c r="B1549" s="272" t="s">
        <v>12694</v>
      </c>
      <c r="C1549" s="272" t="s">
        <v>109</v>
      </c>
      <c r="D1549" s="273" t="s">
        <v>21942</v>
      </c>
      <c r="E1549" s="274" t="s">
        <v>229</v>
      </c>
    </row>
    <row r="1550" spans="1:5" ht="40.5">
      <c r="A1550" s="271">
        <v>99313</v>
      </c>
      <c r="B1550" s="272" t="s">
        <v>12695</v>
      </c>
      <c r="C1550" s="272" t="s">
        <v>109</v>
      </c>
      <c r="D1550" s="273" t="s">
        <v>21943</v>
      </c>
      <c r="E1550" s="274" t="s">
        <v>229</v>
      </c>
    </row>
    <row r="1551" spans="1:5" ht="27">
      <c r="A1551" s="271">
        <v>99314</v>
      </c>
      <c r="B1551" s="272" t="s">
        <v>12696</v>
      </c>
      <c r="C1551" s="272" t="s">
        <v>5</v>
      </c>
      <c r="D1551" s="273" t="s">
        <v>21944</v>
      </c>
      <c r="E1551" s="274" t="s">
        <v>229</v>
      </c>
    </row>
    <row r="1552" spans="1:5" ht="40.5">
      <c r="A1552" s="271">
        <v>99315</v>
      </c>
      <c r="B1552" s="272" t="s">
        <v>12697</v>
      </c>
      <c r="C1552" s="272" t="s">
        <v>109</v>
      </c>
      <c r="D1552" s="273" t="s">
        <v>21945</v>
      </c>
      <c r="E1552" s="274" t="s">
        <v>229</v>
      </c>
    </row>
    <row r="1553" spans="1:5" ht="27">
      <c r="A1553" s="271">
        <v>99317</v>
      </c>
      <c r="B1553" s="272" t="s">
        <v>12698</v>
      </c>
      <c r="C1553" s="272" t="s">
        <v>5</v>
      </c>
      <c r="D1553" s="273" t="s">
        <v>21946</v>
      </c>
      <c r="E1553" s="274" t="s">
        <v>229</v>
      </c>
    </row>
    <row r="1554" spans="1:5" ht="27">
      <c r="A1554" s="271">
        <v>99318</v>
      </c>
      <c r="B1554" s="272" t="s">
        <v>12699</v>
      </c>
      <c r="C1554" s="272" t="s">
        <v>5</v>
      </c>
      <c r="D1554" s="273" t="s">
        <v>21947</v>
      </c>
      <c r="E1554" s="274" t="s">
        <v>229</v>
      </c>
    </row>
    <row r="1555" spans="1:5" ht="27">
      <c r="A1555" s="271">
        <v>99319</v>
      </c>
      <c r="B1555" s="272" t="s">
        <v>12700</v>
      </c>
      <c r="C1555" s="272" t="s">
        <v>5</v>
      </c>
      <c r="D1555" s="273" t="s">
        <v>21948</v>
      </c>
      <c r="E1555" s="274" t="s">
        <v>229</v>
      </c>
    </row>
    <row r="1556" spans="1:5" ht="40.5">
      <c r="A1556" s="271">
        <v>99320</v>
      </c>
      <c r="B1556" s="272" t="s">
        <v>12701</v>
      </c>
      <c r="C1556" s="272" t="s">
        <v>109</v>
      </c>
      <c r="D1556" s="273" t="s">
        <v>21949</v>
      </c>
      <c r="E1556" s="274" t="s">
        <v>229</v>
      </c>
    </row>
    <row r="1557" spans="1:5" ht="27">
      <c r="A1557" s="271">
        <v>99321</v>
      </c>
      <c r="B1557" s="272" t="s">
        <v>12702</v>
      </c>
      <c r="C1557" s="272" t="s">
        <v>5</v>
      </c>
      <c r="D1557" s="273" t="s">
        <v>21950</v>
      </c>
      <c r="E1557" s="274" t="s">
        <v>229</v>
      </c>
    </row>
    <row r="1558" spans="1:5" ht="40.5">
      <c r="A1558" s="271">
        <v>99322</v>
      </c>
      <c r="B1558" s="272" t="s">
        <v>12703</v>
      </c>
      <c r="C1558" s="272" t="s">
        <v>109</v>
      </c>
      <c r="D1558" s="273" t="s">
        <v>21951</v>
      </c>
      <c r="E1558" s="274" t="s">
        <v>229</v>
      </c>
    </row>
    <row r="1559" spans="1:5" ht="27">
      <c r="A1559" s="271">
        <v>99323</v>
      </c>
      <c r="B1559" s="272" t="s">
        <v>12704</v>
      </c>
      <c r="C1559" s="272" t="s">
        <v>5</v>
      </c>
      <c r="D1559" s="273" t="s">
        <v>21929</v>
      </c>
      <c r="E1559" s="274" t="s">
        <v>229</v>
      </c>
    </row>
    <row r="1560" spans="1:5" ht="40.5">
      <c r="A1560" s="271">
        <v>99324</v>
      </c>
      <c r="B1560" s="272" t="s">
        <v>12705</v>
      </c>
      <c r="C1560" s="272" t="s">
        <v>109</v>
      </c>
      <c r="D1560" s="273" t="s">
        <v>21952</v>
      </c>
      <c r="E1560" s="274" t="s">
        <v>229</v>
      </c>
    </row>
    <row r="1561" spans="1:5" ht="27">
      <c r="A1561" s="271">
        <v>99325</v>
      </c>
      <c r="B1561" s="272" t="s">
        <v>12706</v>
      </c>
      <c r="C1561" s="272" t="s">
        <v>5</v>
      </c>
      <c r="D1561" s="273" t="s">
        <v>21931</v>
      </c>
      <c r="E1561" s="274" t="s">
        <v>229</v>
      </c>
    </row>
    <row r="1562" spans="1:5" ht="40.5">
      <c r="A1562" s="271">
        <v>99326</v>
      </c>
      <c r="B1562" s="272" t="s">
        <v>12707</v>
      </c>
      <c r="C1562" s="272" t="s">
        <v>109</v>
      </c>
      <c r="D1562" s="273" t="s">
        <v>21953</v>
      </c>
      <c r="E1562" s="274" t="s">
        <v>229</v>
      </c>
    </row>
    <row r="1563" spans="1:5" ht="27">
      <c r="A1563" s="271">
        <v>99327</v>
      </c>
      <c r="B1563" s="272" t="s">
        <v>12708</v>
      </c>
      <c r="C1563" s="272" t="s">
        <v>5</v>
      </c>
      <c r="D1563" s="273" t="s">
        <v>21954</v>
      </c>
      <c r="E1563" s="274" t="s">
        <v>229</v>
      </c>
    </row>
    <row r="1564" spans="1:5" ht="27">
      <c r="A1564" s="271">
        <v>101800</v>
      </c>
      <c r="B1564" s="272" t="s">
        <v>12709</v>
      </c>
      <c r="C1564" s="272" t="s">
        <v>109</v>
      </c>
      <c r="D1564" s="273" t="s">
        <v>21955</v>
      </c>
      <c r="E1564" s="274" t="s">
        <v>229</v>
      </c>
    </row>
    <row r="1565" spans="1:5" ht="27">
      <c r="A1565" s="271">
        <v>101801</v>
      </c>
      <c r="B1565" s="272" t="s">
        <v>12710</v>
      </c>
      <c r="C1565" s="272" t="s">
        <v>109</v>
      </c>
      <c r="D1565" s="273" t="s">
        <v>21956</v>
      </c>
      <c r="E1565" s="274" t="s">
        <v>229</v>
      </c>
    </row>
    <row r="1566" spans="1:5" ht="27">
      <c r="A1566" s="271">
        <v>101806</v>
      </c>
      <c r="B1566" s="272" t="s">
        <v>12711</v>
      </c>
      <c r="C1566" s="272" t="s">
        <v>109</v>
      </c>
      <c r="D1566" s="273" t="s">
        <v>21957</v>
      </c>
      <c r="E1566" s="274" t="s">
        <v>229</v>
      </c>
    </row>
    <row r="1567" spans="1:5" ht="40.5">
      <c r="A1567" s="271">
        <v>101807</v>
      </c>
      <c r="B1567" s="272" t="s">
        <v>12712</v>
      </c>
      <c r="C1567" s="272" t="s">
        <v>109</v>
      </c>
      <c r="D1567" s="273" t="s">
        <v>21958</v>
      </c>
      <c r="E1567" s="274" t="s">
        <v>229</v>
      </c>
    </row>
    <row r="1568" spans="1:5" ht="27">
      <c r="A1568" s="271">
        <v>101808</v>
      </c>
      <c r="B1568" s="272" t="s">
        <v>12713</v>
      </c>
      <c r="C1568" s="272" t="s">
        <v>109</v>
      </c>
      <c r="D1568" s="273" t="s">
        <v>21959</v>
      </c>
      <c r="E1568" s="274" t="s">
        <v>229</v>
      </c>
    </row>
    <row r="1569" spans="1:5" ht="27">
      <c r="A1569" s="271">
        <v>101809</v>
      </c>
      <c r="B1569" s="272" t="s">
        <v>12714</v>
      </c>
      <c r="C1569" s="272" t="s">
        <v>109</v>
      </c>
      <c r="D1569" s="273" t="s">
        <v>21960</v>
      </c>
      <c r="E1569" s="274" t="s">
        <v>229</v>
      </c>
    </row>
    <row r="1570" spans="1:5" ht="27">
      <c r="A1570" s="271">
        <v>102139</v>
      </c>
      <c r="B1570" s="272" t="s">
        <v>12715</v>
      </c>
      <c r="C1570" s="272" t="s">
        <v>109</v>
      </c>
      <c r="D1570" s="273" t="s">
        <v>21961</v>
      </c>
      <c r="E1570" s="274" t="s">
        <v>229</v>
      </c>
    </row>
    <row r="1571" spans="1:5" ht="27">
      <c r="A1571" s="271">
        <v>102141</v>
      </c>
      <c r="B1571" s="272" t="s">
        <v>12716</v>
      </c>
      <c r="C1571" s="272" t="s">
        <v>109</v>
      </c>
      <c r="D1571" s="273" t="s">
        <v>21962</v>
      </c>
      <c r="E1571" s="274" t="s">
        <v>229</v>
      </c>
    </row>
    <row r="1572" spans="1:5" ht="27">
      <c r="A1572" s="271">
        <v>102142</v>
      </c>
      <c r="B1572" s="272" t="s">
        <v>12717</v>
      </c>
      <c r="C1572" s="272" t="s">
        <v>109</v>
      </c>
      <c r="D1572" s="273" t="s">
        <v>21963</v>
      </c>
      <c r="E1572" s="274" t="s">
        <v>229</v>
      </c>
    </row>
    <row r="1573" spans="1:5" ht="27">
      <c r="A1573" s="271">
        <v>102457</v>
      </c>
      <c r="B1573" s="272" t="s">
        <v>21964</v>
      </c>
      <c r="C1573" s="272" t="s">
        <v>109</v>
      </c>
      <c r="D1573" s="273" t="s">
        <v>21965</v>
      </c>
      <c r="E1573" s="274" t="s">
        <v>229</v>
      </c>
    </row>
    <row r="1574" spans="1:5" ht="27">
      <c r="A1574" s="271">
        <v>94263</v>
      </c>
      <c r="B1574" s="272" t="s">
        <v>4002</v>
      </c>
      <c r="C1574" s="272" t="s">
        <v>5</v>
      </c>
      <c r="D1574" s="273" t="s">
        <v>9725</v>
      </c>
      <c r="E1574" s="274" t="s">
        <v>229</v>
      </c>
    </row>
    <row r="1575" spans="1:5" ht="27">
      <c r="A1575" s="271">
        <v>94264</v>
      </c>
      <c r="B1575" s="272" t="s">
        <v>4003</v>
      </c>
      <c r="C1575" s="272" t="s">
        <v>5</v>
      </c>
      <c r="D1575" s="273" t="s">
        <v>19547</v>
      </c>
      <c r="E1575" s="274" t="s">
        <v>229</v>
      </c>
    </row>
    <row r="1576" spans="1:5" ht="27">
      <c r="A1576" s="271">
        <v>94265</v>
      </c>
      <c r="B1576" s="272" t="s">
        <v>4004</v>
      </c>
      <c r="C1576" s="272" t="s">
        <v>5</v>
      </c>
      <c r="D1576" s="273" t="s">
        <v>12346</v>
      </c>
      <c r="E1576" s="274" t="s">
        <v>229</v>
      </c>
    </row>
    <row r="1577" spans="1:5" ht="27">
      <c r="A1577" s="271">
        <v>94266</v>
      </c>
      <c r="B1577" s="272" t="s">
        <v>4005</v>
      </c>
      <c r="C1577" s="272" t="s">
        <v>5</v>
      </c>
      <c r="D1577" s="273" t="s">
        <v>10116</v>
      </c>
      <c r="E1577" s="274" t="s">
        <v>229</v>
      </c>
    </row>
    <row r="1578" spans="1:5" ht="40.5">
      <c r="A1578" s="271">
        <v>94267</v>
      </c>
      <c r="B1578" s="272" t="s">
        <v>4006</v>
      </c>
      <c r="C1578" s="272" t="s">
        <v>5</v>
      </c>
      <c r="D1578" s="273" t="s">
        <v>18782</v>
      </c>
      <c r="E1578" s="274" t="s">
        <v>229</v>
      </c>
    </row>
    <row r="1579" spans="1:5" ht="40.5">
      <c r="A1579" s="271">
        <v>94268</v>
      </c>
      <c r="B1579" s="272" t="s">
        <v>4007</v>
      </c>
      <c r="C1579" s="272" t="s">
        <v>5</v>
      </c>
      <c r="D1579" s="273" t="s">
        <v>21966</v>
      </c>
      <c r="E1579" s="274" t="s">
        <v>229</v>
      </c>
    </row>
    <row r="1580" spans="1:5" ht="40.5">
      <c r="A1580" s="271">
        <v>94269</v>
      </c>
      <c r="B1580" s="272" t="s">
        <v>4008</v>
      </c>
      <c r="C1580" s="272" t="s">
        <v>5</v>
      </c>
      <c r="D1580" s="273" t="s">
        <v>21967</v>
      </c>
      <c r="E1580" s="274" t="s">
        <v>229</v>
      </c>
    </row>
    <row r="1581" spans="1:5" ht="40.5">
      <c r="A1581" s="271">
        <v>94270</v>
      </c>
      <c r="B1581" s="272" t="s">
        <v>4009</v>
      </c>
      <c r="C1581" s="272" t="s">
        <v>5</v>
      </c>
      <c r="D1581" s="273" t="s">
        <v>21968</v>
      </c>
      <c r="E1581" s="274" t="s">
        <v>229</v>
      </c>
    </row>
    <row r="1582" spans="1:5" ht="40.5">
      <c r="A1582" s="271">
        <v>94271</v>
      </c>
      <c r="B1582" s="272" t="s">
        <v>4010</v>
      </c>
      <c r="C1582" s="272" t="s">
        <v>5</v>
      </c>
      <c r="D1582" s="273" t="s">
        <v>21969</v>
      </c>
      <c r="E1582" s="274" t="s">
        <v>229</v>
      </c>
    </row>
    <row r="1583" spans="1:5" ht="40.5">
      <c r="A1583" s="271">
        <v>94272</v>
      </c>
      <c r="B1583" s="272" t="s">
        <v>4011</v>
      </c>
      <c r="C1583" s="272" t="s">
        <v>5</v>
      </c>
      <c r="D1583" s="273" t="s">
        <v>21970</v>
      </c>
      <c r="E1583" s="274" t="s">
        <v>229</v>
      </c>
    </row>
    <row r="1584" spans="1:5" ht="40.5">
      <c r="A1584" s="271">
        <v>94273</v>
      </c>
      <c r="B1584" s="272" t="s">
        <v>1312</v>
      </c>
      <c r="C1584" s="272" t="s">
        <v>5</v>
      </c>
      <c r="D1584" s="273" t="s">
        <v>16652</v>
      </c>
      <c r="E1584" s="274" t="s">
        <v>229</v>
      </c>
    </row>
    <row r="1585" spans="1:5" ht="40.5">
      <c r="A1585" s="271">
        <v>94274</v>
      </c>
      <c r="B1585" s="272" t="s">
        <v>1313</v>
      </c>
      <c r="C1585" s="272" t="s">
        <v>5</v>
      </c>
      <c r="D1585" s="273" t="s">
        <v>21971</v>
      </c>
      <c r="E1585" s="274" t="s">
        <v>229</v>
      </c>
    </row>
    <row r="1586" spans="1:5" ht="40.5">
      <c r="A1586" s="271">
        <v>94275</v>
      </c>
      <c r="B1586" s="272" t="s">
        <v>282</v>
      </c>
      <c r="C1586" s="272" t="s">
        <v>5</v>
      </c>
      <c r="D1586" s="273" t="s">
        <v>21972</v>
      </c>
      <c r="E1586" s="274" t="s">
        <v>229</v>
      </c>
    </row>
    <row r="1587" spans="1:5" ht="40.5">
      <c r="A1587" s="271">
        <v>94276</v>
      </c>
      <c r="B1587" s="272" t="s">
        <v>1314</v>
      </c>
      <c r="C1587" s="272" t="s">
        <v>5</v>
      </c>
      <c r="D1587" s="273" t="s">
        <v>21468</v>
      </c>
      <c r="E1587" s="274" t="s">
        <v>229</v>
      </c>
    </row>
    <row r="1588" spans="1:5" ht="27">
      <c r="A1588" s="271">
        <v>94281</v>
      </c>
      <c r="B1588" s="272" t="s">
        <v>1315</v>
      </c>
      <c r="C1588" s="272" t="s">
        <v>5</v>
      </c>
      <c r="D1588" s="273" t="s">
        <v>21973</v>
      </c>
      <c r="E1588" s="274" t="s">
        <v>229</v>
      </c>
    </row>
    <row r="1589" spans="1:5" ht="27">
      <c r="A1589" s="271">
        <v>94282</v>
      </c>
      <c r="B1589" s="272" t="s">
        <v>1316</v>
      </c>
      <c r="C1589" s="272" t="s">
        <v>5</v>
      </c>
      <c r="D1589" s="273" t="s">
        <v>21974</v>
      </c>
      <c r="E1589" s="274" t="s">
        <v>229</v>
      </c>
    </row>
    <row r="1590" spans="1:5" ht="27">
      <c r="A1590" s="271">
        <v>94283</v>
      </c>
      <c r="B1590" s="272" t="s">
        <v>1317</v>
      </c>
      <c r="C1590" s="272" t="s">
        <v>5</v>
      </c>
      <c r="D1590" s="273" t="s">
        <v>12249</v>
      </c>
      <c r="E1590" s="274" t="s">
        <v>229</v>
      </c>
    </row>
    <row r="1591" spans="1:5" ht="27">
      <c r="A1591" s="271">
        <v>94284</v>
      </c>
      <c r="B1591" s="272" t="s">
        <v>1318</v>
      </c>
      <c r="C1591" s="272" t="s">
        <v>5</v>
      </c>
      <c r="D1591" s="273" t="s">
        <v>21975</v>
      </c>
      <c r="E1591" s="274" t="s">
        <v>229</v>
      </c>
    </row>
    <row r="1592" spans="1:5" ht="27">
      <c r="A1592" s="271">
        <v>94285</v>
      </c>
      <c r="B1592" s="272" t="s">
        <v>1319</v>
      </c>
      <c r="C1592" s="272" t="s">
        <v>5</v>
      </c>
      <c r="D1592" s="273" t="s">
        <v>21976</v>
      </c>
      <c r="E1592" s="274" t="s">
        <v>229</v>
      </c>
    </row>
    <row r="1593" spans="1:5" ht="27">
      <c r="A1593" s="271">
        <v>94286</v>
      </c>
      <c r="B1593" s="272" t="s">
        <v>1320</v>
      </c>
      <c r="C1593" s="272" t="s">
        <v>5</v>
      </c>
      <c r="D1593" s="273" t="s">
        <v>21977</v>
      </c>
      <c r="E1593" s="274" t="s">
        <v>229</v>
      </c>
    </row>
    <row r="1594" spans="1:5" ht="27">
      <c r="A1594" s="271">
        <v>94287</v>
      </c>
      <c r="B1594" s="272" t="s">
        <v>1321</v>
      </c>
      <c r="C1594" s="272" t="s">
        <v>5</v>
      </c>
      <c r="D1594" s="273" t="s">
        <v>21978</v>
      </c>
      <c r="E1594" s="274" t="s">
        <v>229</v>
      </c>
    </row>
    <row r="1595" spans="1:5" ht="27">
      <c r="A1595" s="271">
        <v>94288</v>
      </c>
      <c r="B1595" s="272" t="s">
        <v>1322</v>
      </c>
      <c r="C1595" s="272" t="s">
        <v>5</v>
      </c>
      <c r="D1595" s="273" t="s">
        <v>21979</v>
      </c>
      <c r="E1595" s="274" t="s">
        <v>229</v>
      </c>
    </row>
    <row r="1596" spans="1:5" ht="27">
      <c r="A1596" s="271">
        <v>94289</v>
      </c>
      <c r="B1596" s="272" t="s">
        <v>1323</v>
      </c>
      <c r="C1596" s="272" t="s">
        <v>5</v>
      </c>
      <c r="D1596" s="273" t="s">
        <v>21980</v>
      </c>
      <c r="E1596" s="274" t="s">
        <v>229</v>
      </c>
    </row>
    <row r="1597" spans="1:5" ht="27">
      <c r="A1597" s="271">
        <v>94290</v>
      </c>
      <c r="B1597" s="272" t="s">
        <v>1324</v>
      </c>
      <c r="C1597" s="272" t="s">
        <v>5</v>
      </c>
      <c r="D1597" s="273" t="s">
        <v>21981</v>
      </c>
      <c r="E1597" s="274" t="s">
        <v>229</v>
      </c>
    </row>
    <row r="1598" spans="1:5" ht="27">
      <c r="A1598" s="271">
        <v>94291</v>
      </c>
      <c r="B1598" s="272" t="s">
        <v>1325</v>
      </c>
      <c r="C1598" s="272" t="s">
        <v>5</v>
      </c>
      <c r="D1598" s="273" t="s">
        <v>20048</v>
      </c>
      <c r="E1598" s="274" t="s">
        <v>229</v>
      </c>
    </row>
    <row r="1599" spans="1:5" ht="27">
      <c r="A1599" s="271">
        <v>94292</v>
      </c>
      <c r="B1599" s="272" t="s">
        <v>1326</v>
      </c>
      <c r="C1599" s="272" t="s">
        <v>5</v>
      </c>
      <c r="D1599" s="273" t="s">
        <v>21982</v>
      </c>
      <c r="E1599" s="274" t="s">
        <v>229</v>
      </c>
    </row>
    <row r="1600" spans="1:5" ht="27">
      <c r="A1600" s="271">
        <v>94293</v>
      </c>
      <c r="B1600" s="272" t="s">
        <v>1327</v>
      </c>
      <c r="C1600" s="272" t="s">
        <v>5</v>
      </c>
      <c r="D1600" s="273" t="s">
        <v>21983</v>
      </c>
      <c r="E1600" s="274" t="s">
        <v>229</v>
      </c>
    </row>
    <row r="1601" spans="1:5" ht="13.5">
      <c r="A1601" s="271">
        <v>94294</v>
      </c>
      <c r="B1601" s="272" t="s">
        <v>1328</v>
      </c>
      <c r="C1601" s="272" t="s">
        <v>5</v>
      </c>
      <c r="D1601" s="273" t="s">
        <v>10485</v>
      </c>
      <c r="E1601" s="274" t="s">
        <v>229</v>
      </c>
    </row>
    <row r="1602" spans="1:5" ht="27">
      <c r="A1602" s="271">
        <v>101570</v>
      </c>
      <c r="B1602" s="272" t="s">
        <v>12718</v>
      </c>
      <c r="C1602" s="272" t="s">
        <v>193</v>
      </c>
      <c r="D1602" s="273" t="s">
        <v>10978</v>
      </c>
      <c r="E1602" s="274" t="s">
        <v>229</v>
      </c>
    </row>
    <row r="1603" spans="1:5" ht="27">
      <c r="A1603" s="271">
        <v>101571</v>
      </c>
      <c r="B1603" s="272" t="s">
        <v>12719</v>
      </c>
      <c r="C1603" s="272" t="s">
        <v>193</v>
      </c>
      <c r="D1603" s="273" t="s">
        <v>16507</v>
      </c>
      <c r="E1603" s="274" t="s">
        <v>229</v>
      </c>
    </row>
    <row r="1604" spans="1:5" ht="27">
      <c r="A1604" s="271">
        <v>101572</v>
      </c>
      <c r="B1604" s="272" t="s">
        <v>12720</v>
      </c>
      <c r="C1604" s="272" t="s">
        <v>193</v>
      </c>
      <c r="D1604" s="273" t="s">
        <v>12340</v>
      </c>
      <c r="E1604" s="274" t="s">
        <v>229</v>
      </c>
    </row>
    <row r="1605" spans="1:5" ht="27">
      <c r="A1605" s="271">
        <v>101573</v>
      </c>
      <c r="B1605" s="272" t="s">
        <v>12721</v>
      </c>
      <c r="C1605" s="272" t="s">
        <v>193</v>
      </c>
      <c r="D1605" s="273" t="s">
        <v>16430</v>
      </c>
      <c r="E1605" s="274" t="s">
        <v>229</v>
      </c>
    </row>
    <row r="1606" spans="1:5" ht="27">
      <c r="A1606" s="271">
        <v>101574</v>
      </c>
      <c r="B1606" s="272" t="s">
        <v>12722</v>
      </c>
      <c r="C1606" s="272" t="s">
        <v>193</v>
      </c>
      <c r="D1606" s="273" t="s">
        <v>10564</v>
      </c>
      <c r="E1606" s="274" t="s">
        <v>229</v>
      </c>
    </row>
    <row r="1607" spans="1:5" ht="27">
      <c r="A1607" s="271">
        <v>101575</v>
      </c>
      <c r="B1607" s="272" t="s">
        <v>12723</v>
      </c>
      <c r="C1607" s="272" t="s">
        <v>193</v>
      </c>
      <c r="D1607" s="273" t="s">
        <v>14214</v>
      </c>
      <c r="E1607" s="274" t="s">
        <v>229</v>
      </c>
    </row>
    <row r="1608" spans="1:5" ht="27">
      <c r="A1608" s="271">
        <v>101576</v>
      </c>
      <c r="B1608" s="272" t="s">
        <v>12724</v>
      </c>
      <c r="C1608" s="272" t="s">
        <v>193</v>
      </c>
      <c r="D1608" s="273" t="s">
        <v>21984</v>
      </c>
      <c r="E1608" s="274" t="s">
        <v>229</v>
      </c>
    </row>
    <row r="1609" spans="1:5" ht="27">
      <c r="A1609" s="271">
        <v>101577</v>
      </c>
      <c r="B1609" s="272" t="s">
        <v>12725</v>
      </c>
      <c r="C1609" s="272" t="s">
        <v>193</v>
      </c>
      <c r="D1609" s="273" t="s">
        <v>11467</v>
      </c>
      <c r="E1609" s="274" t="s">
        <v>229</v>
      </c>
    </row>
    <row r="1610" spans="1:5" ht="27">
      <c r="A1610" s="271">
        <v>101578</v>
      </c>
      <c r="B1610" s="272" t="s">
        <v>12726</v>
      </c>
      <c r="C1610" s="272" t="s">
        <v>193</v>
      </c>
      <c r="D1610" s="273" t="s">
        <v>11442</v>
      </c>
      <c r="E1610" s="274" t="s">
        <v>229</v>
      </c>
    </row>
    <row r="1611" spans="1:5" ht="27">
      <c r="A1611" s="271">
        <v>101579</v>
      </c>
      <c r="B1611" s="272" t="s">
        <v>12727</v>
      </c>
      <c r="C1611" s="272" t="s">
        <v>193</v>
      </c>
      <c r="D1611" s="273" t="s">
        <v>16495</v>
      </c>
      <c r="E1611" s="274" t="s">
        <v>229</v>
      </c>
    </row>
    <row r="1612" spans="1:5" ht="27">
      <c r="A1612" s="271">
        <v>101580</v>
      </c>
      <c r="B1612" s="272" t="s">
        <v>12728</v>
      </c>
      <c r="C1612" s="272" t="s">
        <v>193</v>
      </c>
      <c r="D1612" s="273" t="s">
        <v>11128</v>
      </c>
      <c r="E1612" s="274" t="s">
        <v>229</v>
      </c>
    </row>
    <row r="1613" spans="1:5" ht="27">
      <c r="A1613" s="271">
        <v>101581</v>
      </c>
      <c r="B1613" s="272" t="s">
        <v>12729</v>
      </c>
      <c r="C1613" s="272" t="s">
        <v>193</v>
      </c>
      <c r="D1613" s="273" t="s">
        <v>21985</v>
      </c>
      <c r="E1613" s="274" t="s">
        <v>229</v>
      </c>
    </row>
    <row r="1614" spans="1:5" ht="27">
      <c r="A1614" s="271">
        <v>101582</v>
      </c>
      <c r="B1614" s="272" t="s">
        <v>12730</v>
      </c>
      <c r="C1614" s="272" t="s">
        <v>193</v>
      </c>
      <c r="D1614" s="273" t="s">
        <v>21986</v>
      </c>
      <c r="E1614" s="274" t="s">
        <v>229</v>
      </c>
    </row>
    <row r="1615" spans="1:5" ht="27">
      <c r="A1615" s="271">
        <v>101583</v>
      </c>
      <c r="B1615" s="272" t="s">
        <v>12731</v>
      </c>
      <c r="C1615" s="272" t="s">
        <v>193</v>
      </c>
      <c r="D1615" s="273" t="s">
        <v>18992</v>
      </c>
      <c r="E1615" s="274" t="s">
        <v>229</v>
      </c>
    </row>
    <row r="1616" spans="1:5" ht="27">
      <c r="A1616" s="271">
        <v>101584</v>
      </c>
      <c r="B1616" s="272" t="s">
        <v>12732</v>
      </c>
      <c r="C1616" s="272" t="s">
        <v>193</v>
      </c>
      <c r="D1616" s="273" t="s">
        <v>21987</v>
      </c>
      <c r="E1616" s="274" t="s">
        <v>229</v>
      </c>
    </row>
    <row r="1617" spans="1:5" ht="27">
      <c r="A1617" s="271">
        <v>101585</v>
      </c>
      <c r="B1617" s="272" t="s">
        <v>12733</v>
      </c>
      <c r="C1617" s="272" t="s">
        <v>193</v>
      </c>
      <c r="D1617" s="273" t="s">
        <v>21988</v>
      </c>
      <c r="E1617" s="274" t="s">
        <v>229</v>
      </c>
    </row>
    <row r="1618" spans="1:5" ht="27">
      <c r="A1618" s="271">
        <v>101586</v>
      </c>
      <c r="B1618" s="272" t="s">
        <v>12734</v>
      </c>
      <c r="C1618" s="272" t="s">
        <v>193</v>
      </c>
      <c r="D1618" s="273" t="s">
        <v>15972</v>
      </c>
      <c r="E1618" s="274" t="s">
        <v>229</v>
      </c>
    </row>
    <row r="1619" spans="1:5" ht="27">
      <c r="A1619" s="271">
        <v>101587</v>
      </c>
      <c r="B1619" s="272" t="s">
        <v>12735</v>
      </c>
      <c r="C1619" s="272" t="s">
        <v>193</v>
      </c>
      <c r="D1619" s="273" t="s">
        <v>16624</v>
      </c>
      <c r="E1619" s="274" t="s">
        <v>229</v>
      </c>
    </row>
    <row r="1620" spans="1:5" ht="27">
      <c r="A1620" s="271">
        <v>101588</v>
      </c>
      <c r="B1620" s="272" t="s">
        <v>12736</v>
      </c>
      <c r="C1620" s="272" t="s">
        <v>193</v>
      </c>
      <c r="D1620" s="273" t="s">
        <v>21989</v>
      </c>
      <c r="E1620" s="274" t="s">
        <v>229</v>
      </c>
    </row>
    <row r="1621" spans="1:5" ht="27">
      <c r="A1621" s="271">
        <v>101589</v>
      </c>
      <c r="B1621" s="272" t="s">
        <v>12737</v>
      </c>
      <c r="C1621" s="272" t="s">
        <v>193</v>
      </c>
      <c r="D1621" s="273" t="s">
        <v>21990</v>
      </c>
      <c r="E1621" s="274" t="s">
        <v>229</v>
      </c>
    </row>
    <row r="1622" spans="1:5" ht="27">
      <c r="A1622" s="271">
        <v>101590</v>
      </c>
      <c r="B1622" s="272" t="s">
        <v>12738</v>
      </c>
      <c r="C1622" s="272" t="s">
        <v>193</v>
      </c>
      <c r="D1622" s="273" t="s">
        <v>21991</v>
      </c>
      <c r="E1622" s="274" t="s">
        <v>229</v>
      </c>
    </row>
    <row r="1623" spans="1:5" ht="27">
      <c r="A1623" s="271">
        <v>101591</v>
      </c>
      <c r="B1623" s="272" t="s">
        <v>12739</v>
      </c>
      <c r="C1623" s="272" t="s">
        <v>193</v>
      </c>
      <c r="D1623" s="273" t="s">
        <v>21992</v>
      </c>
      <c r="E1623" s="274" t="s">
        <v>229</v>
      </c>
    </row>
    <row r="1624" spans="1:5" ht="27">
      <c r="A1624" s="271">
        <v>101592</v>
      </c>
      <c r="B1624" s="272" t="s">
        <v>12740</v>
      </c>
      <c r="C1624" s="272" t="s">
        <v>193</v>
      </c>
      <c r="D1624" s="273" t="s">
        <v>21993</v>
      </c>
      <c r="E1624" s="274" t="s">
        <v>229</v>
      </c>
    </row>
    <row r="1625" spans="1:5" ht="27">
      <c r="A1625" s="271">
        <v>101593</v>
      </c>
      <c r="B1625" s="272" t="s">
        <v>12741</v>
      </c>
      <c r="C1625" s="272" t="s">
        <v>193</v>
      </c>
      <c r="D1625" s="273" t="s">
        <v>15915</v>
      </c>
      <c r="E1625" s="274" t="s">
        <v>229</v>
      </c>
    </row>
    <row r="1626" spans="1:5" ht="27">
      <c r="A1626" s="271">
        <v>101600</v>
      </c>
      <c r="B1626" s="272" t="s">
        <v>12742</v>
      </c>
      <c r="C1626" s="272" t="s">
        <v>193</v>
      </c>
      <c r="D1626" s="273" t="s">
        <v>11527</v>
      </c>
      <c r="E1626" s="274" t="s">
        <v>229</v>
      </c>
    </row>
    <row r="1627" spans="1:5" ht="27">
      <c r="A1627" s="271">
        <v>101601</v>
      </c>
      <c r="B1627" s="272" t="s">
        <v>12743</v>
      </c>
      <c r="C1627" s="272" t="s">
        <v>193</v>
      </c>
      <c r="D1627" s="273" t="s">
        <v>10525</v>
      </c>
      <c r="E1627" s="274" t="s">
        <v>229</v>
      </c>
    </row>
    <row r="1628" spans="1:5" ht="27">
      <c r="A1628" s="271">
        <v>101602</v>
      </c>
      <c r="B1628" s="272" t="s">
        <v>12744</v>
      </c>
      <c r="C1628" s="272" t="s">
        <v>193</v>
      </c>
      <c r="D1628" s="273" t="s">
        <v>11027</v>
      </c>
      <c r="E1628" s="274" t="s">
        <v>229</v>
      </c>
    </row>
    <row r="1629" spans="1:5" ht="27">
      <c r="A1629" s="271">
        <v>101603</v>
      </c>
      <c r="B1629" s="272" t="s">
        <v>12745</v>
      </c>
      <c r="C1629" s="272" t="s">
        <v>193</v>
      </c>
      <c r="D1629" s="273" t="s">
        <v>20062</v>
      </c>
      <c r="E1629" s="274" t="s">
        <v>229</v>
      </c>
    </row>
    <row r="1630" spans="1:5" ht="27">
      <c r="A1630" s="271">
        <v>101604</v>
      </c>
      <c r="B1630" s="272" t="s">
        <v>12746</v>
      </c>
      <c r="C1630" s="272" t="s">
        <v>193</v>
      </c>
      <c r="D1630" s="273" t="s">
        <v>11037</v>
      </c>
      <c r="E1630" s="274" t="s">
        <v>229</v>
      </c>
    </row>
    <row r="1631" spans="1:5" ht="27">
      <c r="A1631" s="271">
        <v>101605</v>
      </c>
      <c r="B1631" s="272" t="s">
        <v>12747</v>
      </c>
      <c r="C1631" s="272" t="s">
        <v>193</v>
      </c>
      <c r="D1631" s="273" t="s">
        <v>14045</v>
      </c>
      <c r="E1631" s="274" t="s">
        <v>229</v>
      </c>
    </row>
    <row r="1632" spans="1:5" ht="40.5">
      <c r="A1632" s="271">
        <v>90788</v>
      </c>
      <c r="B1632" s="272" t="s">
        <v>9052</v>
      </c>
      <c r="C1632" s="272" t="s">
        <v>109</v>
      </c>
      <c r="D1632" s="273" t="s">
        <v>16621</v>
      </c>
      <c r="E1632" s="274" t="s">
        <v>229</v>
      </c>
    </row>
    <row r="1633" spans="1:5" ht="40.5">
      <c r="A1633" s="271">
        <v>90789</v>
      </c>
      <c r="B1633" s="272" t="s">
        <v>9053</v>
      </c>
      <c r="C1633" s="272" t="s">
        <v>109</v>
      </c>
      <c r="D1633" s="273" t="s">
        <v>21994</v>
      </c>
      <c r="E1633" s="274" t="s">
        <v>229</v>
      </c>
    </row>
    <row r="1634" spans="1:5" ht="40.5">
      <c r="A1634" s="271">
        <v>90790</v>
      </c>
      <c r="B1634" s="272" t="s">
        <v>9054</v>
      </c>
      <c r="C1634" s="272" t="s">
        <v>109</v>
      </c>
      <c r="D1634" s="273" t="s">
        <v>21995</v>
      </c>
      <c r="E1634" s="274" t="s">
        <v>229</v>
      </c>
    </row>
    <row r="1635" spans="1:5" ht="40.5">
      <c r="A1635" s="271">
        <v>90791</v>
      </c>
      <c r="B1635" s="272" t="s">
        <v>12748</v>
      </c>
      <c r="C1635" s="272" t="s">
        <v>109</v>
      </c>
      <c r="D1635" s="273" t="s">
        <v>21996</v>
      </c>
      <c r="E1635" s="274" t="s">
        <v>229</v>
      </c>
    </row>
    <row r="1636" spans="1:5" ht="40.5">
      <c r="A1636" s="271">
        <v>90793</v>
      </c>
      <c r="B1636" s="272" t="s">
        <v>12749</v>
      </c>
      <c r="C1636" s="272" t="s">
        <v>109</v>
      </c>
      <c r="D1636" s="273" t="s">
        <v>21997</v>
      </c>
      <c r="E1636" s="274" t="s">
        <v>229</v>
      </c>
    </row>
    <row r="1637" spans="1:5" ht="40.5">
      <c r="A1637" s="271">
        <v>90794</v>
      </c>
      <c r="B1637" s="272" t="s">
        <v>12750</v>
      </c>
      <c r="C1637" s="272" t="s">
        <v>109</v>
      </c>
      <c r="D1637" s="273" t="s">
        <v>21998</v>
      </c>
      <c r="E1637" s="274" t="s">
        <v>229</v>
      </c>
    </row>
    <row r="1638" spans="1:5" ht="40.5">
      <c r="A1638" s="271">
        <v>90795</v>
      </c>
      <c r="B1638" s="272" t="s">
        <v>12751</v>
      </c>
      <c r="C1638" s="272" t="s">
        <v>109</v>
      </c>
      <c r="D1638" s="273" t="s">
        <v>21999</v>
      </c>
      <c r="E1638" s="274" t="s">
        <v>229</v>
      </c>
    </row>
    <row r="1639" spans="1:5" ht="40.5">
      <c r="A1639" s="271">
        <v>90796</v>
      </c>
      <c r="B1639" s="272" t="s">
        <v>12752</v>
      </c>
      <c r="C1639" s="272" t="s">
        <v>109</v>
      </c>
      <c r="D1639" s="273" t="s">
        <v>22000</v>
      </c>
      <c r="E1639" s="274" t="s">
        <v>229</v>
      </c>
    </row>
    <row r="1640" spans="1:5" ht="40.5">
      <c r="A1640" s="271">
        <v>90797</v>
      </c>
      <c r="B1640" s="272" t="s">
        <v>12753</v>
      </c>
      <c r="C1640" s="272" t="s">
        <v>109</v>
      </c>
      <c r="D1640" s="273" t="s">
        <v>22001</v>
      </c>
      <c r="E1640" s="274" t="s">
        <v>229</v>
      </c>
    </row>
    <row r="1641" spans="1:5" ht="40.5">
      <c r="A1641" s="271">
        <v>90798</v>
      </c>
      <c r="B1641" s="272" t="s">
        <v>12754</v>
      </c>
      <c r="C1641" s="272" t="s">
        <v>109</v>
      </c>
      <c r="D1641" s="273" t="s">
        <v>22002</v>
      </c>
      <c r="E1641" s="274" t="s">
        <v>229</v>
      </c>
    </row>
    <row r="1642" spans="1:5" ht="40.5">
      <c r="A1642" s="271">
        <v>90799</v>
      </c>
      <c r="B1642" s="272" t="s">
        <v>12755</v>
      </c>
      <c r="C1642" s="272" t="s">
        <v>109</v>
      </c>
      <c r="D1642" s="273" t="s">
        <v>22003</v>
      </c>
      <c r="E1642" s="274" t="s">
        <v>229</v>
      </c>
    </row>
    <row r="1643" spans="1:5" ht="13.5">
      <c r="A1643" s="271">
        <v>90801</v>
      </c>
      <c r="B1643" s="272" t="s">
        <v>9055</v>
      </c>
      <c r="C1643" s="272" t="s">
        <v>109</v>
      </c>
      <c r="D1643" s="273" t="s">
        <v>22004</v>
      </c>
      <c r="E1643" s="274" t="s">
        <v>229</v>
      </c>
    </row>
    <row r="1644" spans="1:5" ht="27">
      <c r="A1644" s="271">
        <v>90806</v>
      </c>
      <c r="B1644" s="272" t="s">
        <v>9056</v>
      </c>
      <c r="C1644" s="272" t="s">
        <v>109</v>
      </c>
      <c r="D1644" s="273" t="s">
        <v>22005</v>
      </c>
      <c r="E1644" s="274" t="s">
        <v>229</v>
      </c>
    </row>
    <row r="1645" spans="1:5" ht="27">
      <c r="A1645" s="271">
        <v>90820</v>
      </c>
      <c r="B1645" s="272" t="s">
        <v>9057</v>
      </c>
      <c r="C1645" s="272" t="s">
        <v>109</v>
      </c>
      <c r="D1645" s="273" t="s">
        <v>22006</v>
      </c>
      <c r="E1645" s="274" t="s">
        <v>229</v>
      </c>
    </row>
    <row r="1646" spans="1:5" ht="27">
      <c r="A1646" s="271">
        <v>90821</v>
      </c>
      <c r="B1646" s="272" t="s">
        <v>9058</v>
      </c>
      <c r="C1646" s="272" t="s">
        <v>109</v>
      </c>
      <c r="D1646" s="273" t="s">
        <v>22007</v>
      </c>
      <c r="E1646" s="274" t="s">
        <v>229</v>
      </c>
    </row>
    <row r="1647" spans="1:5" ht="27">
      <c r="A1647" s="271">
        <v>90822</v>
      </c>
      <c r="B1647" s="272" t="s">
        <v>9059</v>
      </c>
      <c r="C1647" s="272" t="s">
        <v>109</v>
      </c>
      <c r="D1647" s="275" t="s">
        <v>22008</v>
      </c>
      <c r="E1647" s="274" t="s">
        <v>229</v>
      </c>
    </row>
    <row r="1648" spans="1:5" ht="27">
      <c r="A1648" s="271">
        <v>90823</v>
      </c>
      <c r="B1648" s="272" t="s">
        <v>9060</v>
      </c>
      <c r="C1648" s="272" t="s">
        <v>109</v>
      </c>
      <c r="D1648" s="273" t="s">
        <v>22009</v>
      </c>
      <c r="E1648" s="274" t="s">
        <v>229</v>
      </c>
    </row>
    <row r="1649" spans="1:5" ht="27">
      <c r="A1649" s="271">
        <v>90824</v>
      </c>
      <c r="B1649" s="272" t="s">
        <v>9061</v>
      </c>
      <c r="C1649" s="272" t="s">
        <v>109</v>
      </c>
      <c r="D1649" s="273" t="s">
        <v>22010</v>
      </c>
      <c r="E1649" s="274" t="s">
        <v>229</v>
      </c>
    </row>
    <row r="1650" spans="1:5" ht="27">
      <c r="A1650" s="271">
        <v>90825</v>
      </c>
      <c r="B1650" s="272" t="s">
        <v>9062</v>
      </c>
      <c r="C1650" s="272" t="s">
        <v>109</v>
      </c>
      <c r="D1650" s="273" t="s">
        <v>22011</v>
      </c>
      <c r="E1650" s="274" t="s">
        <v>229</v>
      </c>
    </row>
    <row r="1651" spans="1:5" ht="27">
      <c r="A1651" s="271">
        <v>90830</v>
      </c>
      <c r="B1651" s="272" t="s">
        <v>9063</v>
      </c>
      <c r="C1651" s="272" t="s">
        <v>109</v>
      </c>
      <c r="D1651" s="273" t="s">
        <v>16418</v>
      </c>
      <c r="E1651" s="274" t="s">
        <v>229</v>
      </c>
    </row>
    <row r="1652" spans="1:5" ht="27">
      <c r="A1652" s="271">
        <v>90831</v>
      </c>
      <c r="B1652" s="272" t="s">
        <v>9064</v>
      </c>
      <c r="C1652" s="272" t="s">
        <v>109</v>
      </c>
      <c r="D1652" s="273" t="s">
        <v>22012</v>
      </c>
      <c r="E1652" s="274" t="s">
        <v>229</v>
      </c>
    </row>
    <row r="1653" spans="1:5" ht="40.5">
      <c r="A1653" s="271">
        <v>90841</v>
      </c>
      <c r="B1653" s="272" t="s">
        <v>9065</v>
      </c>
      <c r="C1653" s="272" t="s">
        <v>109</v>
      </c>
      <c r="D1653" s="273" t="s">
        <v>22013</v>
      </c>
      <c r="E1653" s="274" t="s">
        <v>229</v>
      </c>
    </row>
    <row r="1654" spans="1:5" ht="40.5">
      <c r="A1654" s="271">
        <v>90842</v>
      </c>
      <c r="B1654" s="272" t="s">
        <v>9066</v>
      </c>
      <c r="C1654" s="272" t="s">
        <v>109</v>
      </c>
      <c r="D1654" s="273" t="s">
        <v>22014</v>
      </c>
      <c r="E1654" s="274" t="s">
        <v>229</v>
      </c>
    </row>
    <row r="1655" spans="1:5" ht="40.5">
      <c r="A1655" s="271">
        <v>90843</v>
      </c>
      <c r="B1655" s="272" t="s">
        <v>9067</v>
      </c>
      <c r="C1655" s="272" t="s">
        <v>109</v>
      </c>
      <c r="D1655" s="273" t="s">
        <v>22015</v>
      </c>
      <c r="E1655" s="274" t="s">
        <v>229</v>
      </c>
    </row>
    <row r="1656" spans="1:5" ht="40.5">
      <c r="A1656" s="271">
        <v>90844</v>
      </c>
      <c r="B1656" s="272" t="s">
        <v>9068</v>
      </c>
      <c r="C1656" s="272" t="s">
        <v>109</v>
      </c>
      <c r="D1656" s="273" t="s">
        <v>22016</v>
      </c>
      <c r="E1656" s="274" t="s">
        <v>229</v>
      </c>
    </row>
    <row r="1657" spans="1:5" ht="40.5">
      <c r="A1657" s="271">
        <v>90845</v>
      </c>
      <c r="B1657" s="272" t="s">
        <v>12756</v>
      </c>
      <c r="C1657" s="272" t="s">
        <v>109</v>
      </c>
      <c r="D1657" s="273" t="s">
        <v>22017</v>
      </c>
      <c r="E1657" s="274" t="s">
        <v>229</v>
      </c>
    </row>
    <row r="1658" spans="1:5" ht="40.5">
      <c r="A1658" s="271">
        <v>90846</v>
      </c>
      <c r="B1658" s="272" t="s">
        <v>12757</v>
      </c>
      <c r="C1658" s="272" t="s">
        <v>109</v>
      </c>
      <c r="D1658" s="273" t="s">
        <v>22018</v>
      </c>
      <c r="E1658" s="274" t="s">
        <v>229</v>
      </c>
    </row>
    <row r="1659" spans="1:5" ht="40.5">
      <c r="A1659" s="271">
        <v>90847</v>
      </c>
      <c r="B1659" s="272" t="s">
        <v>9069</v>
      </c>
      <c r="C1659" s="272" t="s">
        <v>109</v>
      </c>
      <c r="D1659" s="273" t="s">
        <v>22019</v>
      </c>
      <c r="E1659" s="274" t="s">
        <v>229</v>
      </c>
    </row>
    <row r="1660" spans="1:5" ht="40.5">
      <c r="A1660" s="271">
        <v>90848</v>
      </c>
      <c r="B1660" s="272" t="s">
        <v>9070</v>
      </c>
      <c r="C1660" s="272" t="s">
        <v>109</v>
      </c>
      <c r="D1660" s="273" t="s">
        <v>22020</v>
      </c>
      <c r="E1660" s="274" t="s">
        <v>229</v>
      </c>
    </row>
    <row r="1661" spans="1:5" ht="40.5">
      <c r="A1661" s="271">
        <v>90849</v>
      </c>
      <c r="B1661" s="272" t="s">
        <v>9071</v>
      </c>
      <c r="C1661" s="272" t="s">
        <v>109</v>
      </c>
      <c r="D1661" s="273" t="s">
        <v>22021</v>
      </c>
      <c r="E1661" s="274" t="s">
        <v>229</v>
      </c>
    </row>
    <row r="1662" spans="1:5" ht="40.5">
      <c r="A1662" s="271">
        <v>90850</v>
      </c>
      <c r="B1662" s="272" t="s">
        <v>9072</v>
      </c>
      <c r="C1662" s="272" t="s">
        <v>109</v>
      </c>
      <c r="D1662" s="273" t="s">
        <v>22022</v>
      </c>
      <c r="E1662" s="274" t="s">
        <v>229</v>
      </c>
    </row>
    <row r="1663" spans="1:5" ht="40.5">
      <c r="A1663" s="271">
        <v>90851</v>
      </c>
      <c r="B1663" s="272" t="s">
        <v>12758</v>
      </c>
      <c r="C1663" s="272" t="s">
        <v>109</v>
      </c>
      <c r="D1663" s="273" t="s">
        <v>22023</v>
      </c>
      <c r="E1663" s="274" t="s">
        <v>229</v>
      </c>
    </row>
    <row r="1664" spans="1:5" ht="40.5">
      <c r="A1664" s="271">
        <v>90852</v>
      </c>
      <c r="B1664" s="272" t="s">
        <v>12759</v>
      </c>
      <c r="C1664" s="272" t="s">
        <v>109</v>
      </c>
      <c r="D1664" s="273" t="s">
        <v>22024</v>
      </c>
      <c r="E1664" s="274" t="s">
        <v>229</v>
      </c>
    </row>
    <row r="1665" spans="1:5" ht="27">
      <c r="A1665" s="271">
        <v>91009</v>
      </c>
      <c r="B1665" s="272" t="s">
        <v>9073</v>
      </c>
      <c r="C1665" s="272" t="s">
        <v>109</v>
      </c>
      <c r="D1665" s="273" t="s">
        <v>22025</v>
      </c>
      <c r="E1665" s="274" t="s">
        <v>229</v>
      </c>
    </row>
    <row r="1666" spans="1:5" ht="27">
      <c r="A1666" s="271">
        <v>91010</v>
      </c>
      <c r="B1666" s="272" t="s">
        <v>9074</v>
      </c>
      <c r="C1666" s="272" t="s">
        <v>109</v>
      </c>
      <c r="D1666" s="273" t="s">
        <v>22026</v>
      </c>
      <c r="E1666" s="274" t="s">
        <v>229</v>
      </c>
    </row>
    <row r="1667" spans="1:5" ht="27">
      <c r="A1667" s="271">
        <v>91011</v>
      </c>
      <c r="B1667" s="272" t="s">
        <v>9075</v>
      </c>
      <c r="C1667" s="272" t="s">
        <v>109</v>
      </c>
      <c r="D1667" s="273" t="s">
        <v>22027</v>
      </c>
      <c r="E1667" s="274" t="s">
        <v>229</v>
      </c>
    </row>
    <row r="1668" spans="1:5" ht="27">
      <c r="A1668" s="271">
        <v>91012</v>
      </c>
      <c r="B1668" s="272" t="s">
        <v>9076</v>
      </c>
      <c r="C1668" s="272" t="s">
        <v>109</v>
      </c>
      <c r="D1668" s="273" t="s">
        <v>22028</v>
      </c>
      <c r="E1668" s="274" t="s">
        <v>229</v>
      </c>
    </row>
    <row r="1669" spans="1:5" ht="40.5">
      <c r="A1669" s="271">
        <v>91013</v>
      </c>
      <c r="B1669" s="272" t="s">
        <v>9077</v>
      </c>
      <c r="C1669" s="272" t="s">
        <v>109</v>
      </c>
      <c r="D1669" s="273" t="s">
        <v>22029</v>
      </c>
      <c r="E1669" s="274" t="s">
        <v>229</v>
      </c>
    </row>
    <row r="1670" spans="1:5" ht="40.5">
      <c r="A1670" s="271">
        <v>91014</v>
      </c>
      <c r="B1670" s="272" t="s">
        <v>9078</v>
      </c>
      <c r="C1670" s="272" t="s">
        <v>109</v>
      </c>
      <c r="D1670" s="273" t="s">
        <v>22030</v>
      </c>
      <c r="E1670" s="274" t="s">
        <v>229</v>
      </c>
    </row>
    <row r="1671" spans="1:5" ht="40.5">
      <c r="A1671" s="271">
        <v>91015</v>
      </c>
      <c r="B1671" s="272" t="s">
        <v>9079</v>
      </c>
      <c r="C1671" s="272" t="s">
        <v>109</v>
      </c>
      <c r="D1671" s="273" t="s">
        <v>22031</v>
      </c>
      <c r="E1671" s="274" t="s">
        <v>229</v>
      </c>
    </row>
    <row r="1672" spans="1:5" ht="40.5">
      <c r="A1672" s="271">
        <v>91016</v>
      </c>
      <c r="B1672" s="272" t="s">
        <v>9080</v>
      </c>
      <c r="C1672" s="272" t="s">
        <v>109</v>
      </c>
      <c r="D1672" s="273" t="s">
        <v>22032</v>
      </c>
      <c r="E1672" s="274" t="s">
        <v>229</v>
      </c>
    </row>
    <row r="1673" spans="1:5" ht="13.5">
      <c r="A1673" s="271">
        <v>91287</v>
      </c>
      <c r="B1673" s="272" t="s">
        <v>9081</v>
      </c>
      <c r="C1673" s="272" t="s">
        <v>109</v>
      </c>
      <c r="D1673" s="273" t="s">
        <v>22033</v>
      </c>
      <c r="E1673" s="274" t="s">
        <v>229</v>
      </c>
    </row>
    <row r="1674" spans="1:5" ht="27">
      <c r="A1674" s="271">
        <v>91292</v>
      </c>
      <c r="B1674" s="272" t="s">
        <v>9082</v>
      </c>
      <c r="C1674" s="272" t="s">
        <v>109</v>
      </c>
      <c r="D1674" s="273" t="s">
        <v>22034</v>
      </c>
      <c r="E1674" s="274" t="s">
        <v>229</v>
      </c>
    </row>
    <row r="1675" spans="1:5" ht="27">
      <c r="A1675" s="271">
        <v>91295</v>
      </c>
      <c r="B1675" s="272" t="s">
        <v>9083</v>
      </c>
      <c r="C1675" s="272" t="s">
        <v>109</v>
      </c>
      <c r="D1675" s="273" t="s">
        <v>16318</v>
      </c>
      <c r="E1675" s="274" t="s">
        <v>229</v>
      </c>
    </row>
    <row r="1676" spans="1:5" ht="27">
      <c r="A1676" s="271">
        <v>91296</v>
      </c>
      <c r="B1676" s="272" t="s">
        <v>9084</v>
      </c>
      <c r="C1676" s="272" t="s">
        <v>109</v>
      </c>
      <c r="D1676" s="273" t="s">
        <v>22035</v>
      </c>
      <c r="E1676" s="274" t="s">
        <v>229</v>
      </c>
    </row>
    <row r="1677" spans="1:5" ht="27">
      <c r="A1677" s="271">
        <v>91297</v>
      </c>
      <c r="B1677" s="272" t="s">
        <v>9085</v>
      </c>
      <c r="C1677" s="272" t="s">
        <v>109</v>
      </c>
      <c r="D1677" s="273" t="s">
        <v>22036</v>
      </c>
      <c r="E1677" s="274" t="s">
        <v>229</v>
      </c>
    </row>
    <row r="1678" spans="1:5" ht="27">
      <c r="A1678" s="271">
        <v>91298</v>
      </c>
      <c r="B1678" s="272" t="s">
        <v>9086</v>
      </c>
      <c r="C1678" s="272" t="s">
        <v>109</v>
      </c>
      <c r="D1678" s="273" t="s">
        <v>22037</v>
      </c>
      <c r="E1678" s="274" t="s">
        <v>229</v>
      </c>
    </row>
    <row r="1679" spans="1:5" ht="27">
      <c r="A1679" s="271">
        <v>91299</v>
      </c>
      <c r="B1679" s="272" t="s">
        <v>9087</v>
      </c>
      <c r="C1679" s="272" t="s">
        <v>109</v>
      </c>
      <c r="D1679" s="273" t="s">
        <v>22038</v>
      </c>
      <c r="E1679" s="274" t="s">
        <v>229</v>
      </c>
    </row>
    <row r="1680" spans="1:5" ht="27">
      <c r="A1680" s="271">
        <v>91304</v>
      </c>
      <c r="B1680" s="272" t="s">
        <v>9088</v>
      </c>
      <c r="C1680" s="272" t="s">
        <v>109</v>
      </c>
      <c r="D1680" s="273" t="s">
        <v>22039</v>
      </c>
      <c r="E1680" s="274" t="s">
        <v>229</v>
      </c>
    </row>
    <row r="1681" spans="1:5" ht="27">
      <c r="A1681" s="271">
        <v>91305</v>
      </c>
      <c r="B1681" s="272" t="s">
        <v>9089</v>
      </c>
      <c r="C1681" s="272" t="s">
        <v>109</v>
      </c>
      <c r="D1681" s="273" t="s">
        <v>22040</v>
      </c>
      <c r="E1681" s="274" t="s">
        <v>229</v>
      </c>
    </row>
    <row r="1682" spans="1:5" ht="27">
      <c r="A1682" s="271">
        <v>91306</v>
      </c>
      <c r="B1682" s="272" t="s">
        <v>9090</v>
      </c>
      <c r="C1682" s="272" t="s">
        <v>109</v>
      </c>
      <c r="D1682" s="273" t="s">
        <v>22012</v>
      </c>
      <c r="E1682" s="274" t="s">
        <v>229</v>
      </c>
    </row>
    <row r="1683" spans="1:5" ht="27">
      <c r="A1683" s="271">
        <v>91307</v>
      </c>
      <c r="B1683" s="272" t="s">
        <v>9091</v>
      </c>
      <c r="C1683" s="272" t="s">
        <v>109</v>
      </c>
      <c r="D1683" s="273" t="s">
        <v>12183</v>
      </c>
      <c r="E1683" s="274" t="s">
        <v>229</v>
      </c>
    </row>
    <row r="1684" spans="1:5" ht="40.5">
      <c r="A1684" s="271">
        <v>91312</v>
      </c>
      <c r="B1684" s="272" t="s">
        <v>9092</v>
      </c>
      <c r="C1684" s="272" t="s">
        <v>109</v>
      </c>
      <c r="D1684" s="275" t="s">
        <v>22041</v>
      </c>
      <c r="E1684" s="274" t="s">
        <v>229</v>
      </c>
    </row>
    <row r="1685" spans="1:5" ht="40.5">
      <c r="A1685" s="271">
        <v>91313</v>
      </c>
      <c r="B1685" s="272" t="s">
        <v>9093</v>
      </c>
      <c r="C1685" s="272" t="s">
        <v>109</v>
      </c>
      <c r="D1685" s="273" t="s">
        <v>22042</v>
      </c>
      <c r="E1685" s="274" t="s">
        <v>229</v>
      </c>
    </row>
    <row r="1686" spans="1:5" ht="40.5">
      <c r="A1686" s="271">
        <v>91314</v>
      </c>
      <c r="B1686" s="272" t="s">
        <v>9094</v>
      </c>
      <c r="C1686" s="272" t="s">
        <v>109</v>
      </c>
      <c r="D1686" s="275" t="s">
        <v>22043</v>
      </c>
      <c r="E1686" s="274" t="s">
        <v>229</v>
      </c>
    </row>
    <row r="1687" spans="1:5" ht="40.5">
      <c r="A1687" s="271">
        <v>91315</v>
      </c>
      <c r="B1687" s="272" t="s">
        <v>9095</v>
      </c>
      <c r="C1687" s="272" t="s">
        <v>109</v>
      </c>
      <c r="D1687" s="273" t="s">
        <v>22044</v>
      </c>
      <c r="E1687" s="274" t="s">
        <v>229</v>
      </c>
    </row>
    <row r="1688" spans="1:5" ht="54">
      <c r="A1688" s="271">
        <v>91316</v>
      </c>
      <c r="B1688" s="272" t="s">
        <v>12760</v>
      </c>
      <c r="C1688" s="272" t="s">
        <v>109</v>
      </c>
      <c r="D1688" s="273" t="s">
        <v>22045</v>
      </c>
      <c r="E1688" s="274" t="s">
        <v>229</v>
      </c>
    </row>
    <row r="1689" spans="1:5" ht="54">
      <c r="A1689" s="271">
        <v>91317</v>
      </c>
      <c r="B1689" s="272" t="s">
        <v>12761</v>
      </c>
      <c r="C1689" s="272" t="s">
        <v>109</v>
      </c>
      <c r="D1689" s="273" t="s">
        <v>22046</v>
      </c>
      <c r="E1689" s="274" t="s">
        <v>229</v>
      </c>
    </row>
    <row r="1690" spans="1:5" ht="40.5">
      <c r="A1690" s="271">
        <v>91318</v>
      </c>
      <c r="B1690" s="272" t="s">
        <v>9096</v>
      </c>
      <c r="C1690" s="272" t="s">
        <v>109</v>
      </c>
      <c r="D1690" s="273" t="s">
        <v>22047</v>
      </c>
      <c r="E1690" s="274" t="s">
        <v>229</v>
      </c>
    </row>
    <row r="1691" spans="1:5" ht="40.5">
      <c r="A1691" s="271">
        <v>91319</v>
      </c>
      <c r="B1691" s="272" t="s">
        <v>9097</v>
      </c>
      <c r="C1691" s="272" t="s">
        <v>109</v>
      </c>
      <c r="D1691" s="273" t="s">
        <v>22048</v>
      </c>
      <c r="E1691" s="274" t="s">
        <v>229</v>
      </c>
    </row>
    <row r="1692" spans="1:5" ht="40.5">
      <c r="A1692" s="271">
        <v>91320</v>
      </c>
      <c r="B1692" s="272" t="s">
        <v>9098</v>
      </c>
      <c r="C1692" s="272" t="s">
        <v>109</v>
      </c>
      <c r="D1692" s="273" t="s">
        <v>22049</v>
      </c>
      <c r="E1692" s="274" t="s">
        <v>229</v>
      </c>
    </row>
    <row r="1693" spans="1:5" ht="40.5">
      <c r="A1693" s="271">
        <v>91321</v>
      </c>
      <c r="B1693" s="272" t="s">
        <v>9099</v>
      </c>
      <c r="C1693" s="272" t="s">
        <v>109</v>
      </c>
      <c r="D1693" s="273" t="s">
        <v>22050</v>
      </c>
      <c r="E1693" s="274" t="s">
        <v>229</v>
      </c>
    </row>
    <row r="1694" spans="1:5" ht="40.5">
      <c r="A1694" s="271">
        <v>91322</v>
      </c>
      <c r="B1694" s="272" t="s">
        <v>12762</v>
      </c>
      <c r="C1694" s="272" t="s">
        <v>109</v>
      </c>
      <c r="D1694" s="273" t="s">
        <v>22051</v>
      </c>
      <c r="E1694" s="274" t="s">
        <v>229</v>
      </c>
    </row>
    <row r="1695" spans="1:5" ht="40.5">
      <c r="A1695" s="271">
        <v>91323</v>
      </c>
      <c r="B1695" s="272" t="s">
        <v>12763</v>
      </c>
      <c r="C1695" s="272" t="s">
        <v>109</v>
      </c>
      <c r="D1695" s="275" t="s">
        <v>22052</v>
      </c>
      <c r="E1695" s="274" t="s">
        <v>229</v>
      </c>
    </row>
    <row r="1696" spans="1:5" ht="40.5">
      <c r="A1696" s="271">
        <v>91324</v>
      </c>
      <c r="B1696" s="272" t="s">
        <v>9100</v>
      </c>
      <c r="C1696" s="272" t="s">
        <v>109</v>
      </c>
      <c r="D1696" s="273" t="s">
        <v>22053</v>
      </c>
      <c r="E1696" s="274" t="s">
        <v>229</v>
      </c>
    </row>
    <row r="1697" spans="1:5" ht="40.5">
      <c r="A1697" s="271">
        <v>91325</v>
      </c>
      <c r="B1697" s="272" t="s">
        <v>9101</v>
      </c>
      <c r="C1697" s="272" t="s">
        <v>109</v>
      </c>
      <c r="D1697" s="273" t="s">
        <v>22054</v>
      </c>
      <c r="E1697" s="274" t="s">
        <v>229</v>
      </c>
    </row>
    <row r="1698" spans="1:5" ht="40.5">
      <c r="A1698" s="271">
        <v>91326</v>
      </c>
      <c r="B1698" s="272" t="s">
        <v>9102</v>
      </c>
      <c r="C1698" s="272" t="s">
        <v>109</v>
      </c>
      <c r="D1698" s="273" t="s">
        <v>22055</v>
      </c>
      <c r="E1698" s="274" t="s">
        <v>229</v>
      </c>
    </row>
    <row r="1699" spans="1:5" ht="40.5">
      <c r="A1699" s="271">
        <v>91327</v>
      </c>
      <c r="B1699" s="272" t="s">
        <v>9103</v>
      </c>
      <c r="C1699" s="272" t="s">
        <v>109</v>
      </c>
      <c r="D1699" s="273" t="s">
        <v>22056</v>
      </c>
      <c r="E1699" s="274" t="s">
        <v>229</v>
      </c>
    </row>
    <row r="1700" spans="1:5" ht="40.5">
      <c r="A1700" s="271">
        <v>91328</v>
      </c>
      <c r="B1700" s="272" t="s">
        <v>9104</v>
      </c>
      <c r="C1700" s="272" t="s">
        <v>109</v>
      </c>
      <c r="D1700" s="273" t="s">
        <v>22057</v>
      </c>
      <c r="E1700" s="274" t="s">
        <v>229</v>
      </c>
    </row>
    <row r="1701" spans="1:5" ht="40.5">
      <c r="A1701" s="271">
        <v>91329</v>
      </c>
      <c r="B1701" s="272" t="s">
        <v>9105</v>
      </c>
      <c r="C1701" s="272" t="s">
        <v>109</v>
      </c>
      <c r="D1701" s="273" t="s">
        <v>22058</v>
      </c>
      <c r="E1701" s="274" t="s">
        <v>229</v>
      </c>
    </row>
    <row r="1702" spans="1:5" ht="40.5">
      <c r="A1702" s="271">
        <v>91330</v>
      </c>
      <c r="B1702" s="272" t="s">
        <v>9106</v>
      </c>
      <c r="C1702" s="272" t="s">
        <v>109</v>
      </c>
      <c r="D1702" s="273" t="s">
        <v>22059</v>
      </c>
      <c r="E1702" s="274" t="s">
        <v>229</v>
      </c>
    </row>
    <row r="1703" spans="1:5" ht="40.5">
      <c r="A1703" s="271">
        <v>91331</v>
      </c>
      <c r="B1703" s="272" t="s">
        <v>9107</v>
      </c>
      <c r="C1703" s="272" t="s">
        <v>109</v>
      </c>
      <c r="D1703" s="273" t="s">
        <v>22060</v>
      </c>
      <c r="E1703" s="274" t="s">
        <v>229</v>
      </c>
    </row>
    <row r="1704" spans="1:5" ht="40.5">
      <c r="A1704" s="271">
        <v>91332</v>
      </c>
      <c r="B1704" s="272" t="s">
        <v>9108</v>
      </c>
      <c r="C1704" s="272" t="s">
        <v>109</v>
      </c>
      <c r="D1704" s="273" t="s">
        <v>22061</v>
      </c>
      <c r="E1704" s="274" t="s">
        <v>229</v>
      </c>
    </row>
    <row r="1705" spans="1:5" ht="40.5">
      <c r="A1705" s="271">
        <v>91333</v>
      </c>
      <c r="B1705" s="272" t="s">
        <v>9109</v>
      </c>
      <c r="C1705" s="272" t="s">
        <v>109</v>
      </c>
      <c r="D1705" s="273" t="s">
        <v>22062</v>
      </c>
      <c r="E1705" s="274" t="s">
        <v>229</v>
      </c>
    </row>
    <row r="1706" spans="1:5" ht="40.5">
      <c r="A1706" s="271">
        <v>91334</v>
      </c>
      <c r="B1706" s="272" t="s">
        <v>9110</v>
      </c>
      <c r="C1706" s="272" t="s">
        <v>109</v>
      </c>
      <c r="D1706" s="273" t="s">
        <v>22063</v>
      </c>
      <c r="E1706" s="274" t="s">
        <v>229</v>
      </c>
    </row>
    <row r="1707" spans="1:5" ht="40.5">
      <c r="A1707" s="271">
        <v>91335</v>
      </c>
      <c r="B1707" s="272" t="s">
        <v>9111</v>
      </c>
      <c r="C1707" s="272" t="s">
        <v>109</v>
      </c>
      <c r="D1707" s="273" t="s">
        <v>22064</v>
      </c>
      <c r="E1707" s="274" t="s">
        <v>229</v>
      </c>
    </row>
    <row r="1708" spans="1:5" ht="40.5">
      <c r="A1708" s="271">
        <v>91336</v>
      </c>
      <c r="B1708" s="272" t="s">
        <v>9112</v>
      </c>
      <c r="C1708" s="272" t="s">
        <v>109</v>
      </c>
      <c r="D1708" s="273" t="s">
        <v>22065</v>
      </c>
      <c r="E1708" s="274" t="s">
        <v>229</v>
      </c>
    </row>
    <row r="1709" spans="1:5" ht="40.5">
      <c r="A1709" s="271">
        <v>91337</v>
      </c>
      <c r="B1709" s="272" t="s">
        <v>9113</v>
      </c>
      <c r="C1709" s="272" t="s">
        <v>109</v>
      </c>
      <c r="D1709" s="273" t="s">
        <v>22066</v>
      </c>
      <c r="E1709" s="274" t="s">
        <v>229</v>
      </c>
    </row>
    <row r="1710" spans="1:5" ht="27">
      <c r="A1710" s="271">
        <v>100659</v>
      </c>
      <c r="B1710" s="272" t="s">
        <v>9114</v>
      </c>
      <c r="C1710" s="272" t="s">
        <v>5</v>
      </c>
      <c r="D1710" s="275" t="s">
        <v>10833</v>
      </c>
      <c r="E1710" s="274" t="s">
        <v>229</v>
      </c>
    </row>
    <row r="1711" spans="1:5" ht="27">
      <c r="A1711" s="271">
        <v>100660</v>
      </c>
      <c r="B1711" s="272" t="s">
        <v>9115</v>
      </c>
      <c r="C1711" s="272" t="s">
        <v>5</v>
      </c>
      <c r="D1711" s="273" t="s">
        <v>12217</v>
      </c>
      <c r="E1711" s="274" t="s">
        <v>229</v>
      </c>
    </row>
    <row r="1712" spans="1:5" ht="40.5">
      <c r="A1712" s="271">
        <v>100675</v>
      </c>
      <c r="B1712" s="272" t="s">
        <v>9116</v>
      </c>
      <c r="C1712" s="272" t="s">
        <v>109</v>
      </c>
      <c r="D1712" s="273" t="s">
        <v>22067</v>
      </c>
      <c r="E1712" s="274" t="s">
        <v>229</v>
      </c>
    </row>
    <row r="1713" spans="1:5" ht="13.5">
      <c r="A1713" s="271">
        <v>100676</v>
      </c>
      <c r="B1713" s="272" t="s">
        <v>9117</v>
      </c>
      <c r="C1713" s="272" t="s">
        <v>109</v>
      </c>
      <c r="D1713" s="273" t="s">
        <v>22068</v>
      </c>
      <c r="E1713" s="274" t="s">
        <v>229</v>
      </c>
    </row>
    <row r="1714" spans="1:5" ht="40.5">
      <c r="A1714" s="271">
        <v>100678</v>
      </c>
      <c r="B1714" s="272" t="s">
        <v>9118</v>
      </c>
      <c r="C1714" s="272" t="s">
        <v>109</v>
      </c>
      <c r="D1714" s="273" t="s">
        <v>22069</v>
      </c>
      <c r="E1714" s="274" t="s">
        <v>229</v>
      </c>
    </row>
    <row r="1715" spans="1:5" ht="40.5">
      <c r="A1715" s="271">
        <v>100679</v>
      </c>
      <c r="B1715" s="272" t="s">
        <v>9119</v>
      </c>
      <c r="C1715" s="272" t="s">
        <v>109</v>
      </c>
      <c r="D1715" s="273" t="s">
        <v>22070</v>
      </c>
      <c r="E1715" s="274" t="s">
        <v>229</v>
      </c>
    </row>
    <row r="1716" spans="1:5" ht="40.5">
      <c r="A1716" s="271">
        <v>100680</v>
      </c>
      <c r="B1716" s="272" t="s">
        <v>9120</v>
      </c>
      <c r="C1716" s="272" t="s">
        <v>109</v>
      </c>
      <c r="D1716" s="273" t="s">
        <v>22071</v>
      </c>
      <c r="E1716" s="274" t="s">
        <v>229</v>
      </c>
    </row>
    <row r="1717" spans="1:5" ht="40.5">
      <c r="A1717" s="271">
        <v>100681</v>
      </c>
      <c r="B1717" s="272" t="s">
        <v>9121</v>
      </c>
      <c r="C1717" s="272" t="s">
        <v>109</v>
      </c>
      <c r="D1717" s="273" t="s">
        <v>22072</v>
      </c>
      <c r="E1717" s="274" t="s">
        <v>229</v>
      </c>
    </row>
    <row r="1718" spans="1:5" ht="40.5">
      <c r="A1718" s="271">
        <v>100682</v>
      </c>
      <c r="B1718" s="272" t="s">
        <v>9122</v>
      </c>
      <c r="C1718" s="272" t="s">
        <v>109</v>
      </c>
      <c r="D1718" s="273" t="s">
        <v>22073</v>
      </c>
      <c r="E1718" s="274" t="s">
        <v>229</v>
      </c>
    </row>
    <row r="1719" spans="1:5" ht="40.5">
      <c r="A1719" s="271">
        <v>100683</v>
      </c>
      <c r="B1719" s="272" t="s">
        <v>9123</v>
      </c>
      <c r="C1719" s="272" t="s">
        <v>109</v>
      </c>
      <c r="D1719" s="273" t="s">
        <v>22074</v>
      </c>
      <c r="E1719" s="274" t="s">
        <v>229</v>
      </c>
    </row>
    <row r="1720" spans="1:5" ht="40.5">
      <c r="A1720" s="271">
        <v>100684</v>
      </c>
      <c r="B1720" s="272" t="s">
        <v>9124</v>
      </c>
      <c r="C1720" s="272" t="s">
        <v>109</v>
      </c>
      <c r="D1720" s="273" t="s">
        <v>22075</v>
      </c>
      <c r="E1720" s="274" t="s">
        <v>229</v>
      </c>
    </row>
    <row r="1721" spans="1:5" ht="40.5">
      <c r="A1721" s="271">
        <v>100685</v>
      </c>
      <c r="B1721" s="272" t="s">
        <v>9125</v>
      </c>
      <c r="C1721" s="272" t="s">
        <v>109</v>
      </c>
      <c r="D1721" s="273" t="s">
        <v>22076</v>
      </c>
      <c r="E1721" s="274" t="s">
        <v>229</v>
      </c>
    </row>
    <row r="1722" spans="1:5" ht="40.5">
      <c r="A1722" s="271">
        <v>100686</v>
      </c>
      <c r="B1722" s="272" t="s">
        <v>9126</v>
      </c>
      <c r="C1722" s="272" t="s">
        <v>109</v>
      </c>
      <c r="D1722" s="273" t="s">
        <v>22077</v>
      </c>
      <c r="E1722" s="274" t="s">
        <v>229</v>
      </c>
    </row>
    <row r="1723" spans="1:5" ht="40.5">
      <c r="A1723" s="271">
        <v>100687</v>
      </c>
      <c r="B1723" s="272" t="s">
        <v>9127</v>
      </c>
      <c r="C1723" s="272" t="s">
        <v>109</v>
      </c>
      <c r="D1723" s="275" t="s">
        <v>22078</v>
      </c>
      <c r="E1723" s="274" t="s">
        <v>229</v>
      </c>
    </row>
    <row r="1724" spans="1:5" ht="40.5">
      <c r="A1724" s="271">
        <v>100688</v>
      </c>
      <c r="B1724" s="272" t="s">
        <v>9128</v>
      </c>
      <c r="C1724" s="272" t="s">
        <v>109</v>
      </c>
      <c r="D1724" s="273" t="s">
        <v>22079</v>
      </c>
      <c r="E1724" s="274" t="s">
        <v>229</v>
      </c>
    </row>
    <row r="1725" spans="1:5" ht="40.5">
      <c r="A1725" s="271">
        <v>100689</v>
      </c>
      <c r="B1725" s="272" t="s">
        <v>9129</v>
      </c>
      <c r="C1725" s="272" t="s">
        <v>109</v>
      </c>
      <c r="D1725" s="273" t="s">
        <v>22080</v>
      </c>
      <c r="E1725" s="274" t="s">
        <v>229</v>
      </c>
    </row>
    <row r="1726" spans="1:5" ht="40.5">
      <c r="A1726" s="271">
        <v>100690</v>
      </c>
      <c r="B1726" s="272" t="s">
        <v>9130</v>
      </c>
      <c r="C1726" s="272" t="s">
        <v>109</v>
      </c>
      <c r="D1726" s="273" t="s">
        <v>22081</v>
      </c>
      <c r="E1726" s="274" t="s">
        <v>229</v>
      </c>
    </row>
    <row r="1727" spans="1:5" ht="40.5">
      <c r="A1727" s="271">
        <v>100691</v>
      </c>
      <c r="B1727" s="272" t="s">
        <v>9131</v>
      </c>
      <c r="C1727" s="272" t="s">
        <v>109</v>
      </c>
      <c r="D1727" s="273" t="s">
        <v>22082</v>
      </c>
      <c r="E1727" s="274" t="s">
        <v>229</v>
      </c>
    </row>
    <row r="1728" spans="1:5" ht="40.5">
      <c r="A1728" s="271">
        <v>100692</v>
      </c>
      <c r="B1728" s="272" t="s">
        <v>9132</v>
      </c>
      <c r="C1728" s="272" t="s">
        <v>109</v>
      </c>
      <c r="D1728" s="273" t="s">
        <v>22083</v>
      </c>
      <c r="E1728" s="274" t="s">
        <v>229</v>
      </c>
    </row>
    <row r="1729" spans="1:5" ht="40.5">
      <c r="A1729" s="271">
        <v>100693</v>
      </c>
      <c r="B1729" s="272" t="s">
        <v>9133</v>
      </c>
      <c r="C1729" s="272" t="s">
        <v>109</v>
      </c>
      <c r="D1729" s="273" t="s">
        <v>22084</v>
      </c>
      <c r="E1729" s="274" t="s">
        <v>229</v>
      </c>
    </row>
    <row r="1730" spans="1:5" ht="54">
      <c r="A1730" s="271">
        <v>100694</v>
      </c>
      <c r="B1730" s="272" t="s">
        <v>9134</v>
      </c>
      <c r="C1730" s="272" t="s">
        <v>109</v>
      </c>
      <c r="D1730" s="273" t="s">
        <v>22085</v>
      </c>
      <c r="E1730" s="274" t="s">
        <v>229</v>
      </c>
    </row>
    <row r="1731" spans="1:5" ht="27">
      <c r="A1731" s="271">
        <v>100695</v>
      </c>
      <c r="B1731" s="272" t="s">
        <v>9135</v>
      </c>
      <c r="C1731" s="272" t="s">
        <v>109</v>
      </c>
      <c r="D1731" s="273" t="s">
        <v>21671</v>
      </c>
      <c r="E1731" s="274" t="s">
        <v>229</v>
      </c>
    </row>
    <row r="1732" spans="1:5" ht="27">
      <c r="A1732" s="271">
        <v>100696</v>
      </c>
      <c r="B1732" s="272" t="s">
        <v>9136</v>
      </c>
      <c r="C1732" s="272" t="s">
        <v>109</v>
      </c>
      <c r="D1732" s="273" t="s">
        <v>22086</v>
      </c>
      <c r="E1732" s="274" t="s">
        <v>229</v>
      </c>
    </row>
    <row r="1733" spans="1:5" ht="27">
      <c r="A1733" s="271">
        <v>100697</v>
      </c>
      <c r="B1733" s="272" t="s">
        <v>9137</v>
      </c>
      <c r="C1733" s="272" t="s">
        <v>109</v>
      </c>
      <c r="D1733" s="273" t="s">
        <v>22087</v>
      </c>
      <c r="E1733" s="274" t="s">
        <v>229</v>
      </c>
    </row>
    <row r="1734" spans="1:5" ht="27">
      <c r="A1734" s="271">
        <v>100698</v>
      </c>
      <c r="B1734" s="272" t="s">
        <v>9138</v>
      </c>
      <c r="C1734" s="272" t="s">
        <v>109</v>
      </c>
      <c r="D1734" s="273" t="s">
        <v>22088</v>
      </c>
      <c r="E1734" s="274" t="s">
        <v>229</v>
      </c>
    </row>
    <row r="1735" spans="1:5" ht="27">
      <c r="A1735" s="271">
        <v>100699</v>
      </c>
      <c r="B1735" s="272" t="s">
        <v>9139</v>
      </c>
      <c r="C1735" s="272" t="s">
        <v>109</v>
      </c>
      <c r="D1735" s="273" t="s">
        <v>22089</v>
      </c>
      <c r="E1735" s="274" t="s">
        <v>229</v>
      </c>
    </row>
    <row r="1736" spans="1:5" ht="27">
      <c r="A1736" s="271">
        <v>100700</v>
      </c>
      <c r="B1736" s="272" t="s">
        <v>9140</v>
      </c>
      <c r="C1736" s="272" t="s">
        <v>109</v>
      </c>
      <c r="D1736" s="273" t="s">
        <v>22090</v>
      </c>
      <c r="E1736" s="274" t="s">
        <v>229</v>
      </c>
    </row>
    <row r="1737" spans="1:5" ht="40.5">
      <c r="A1737" s="271">
        <v>100712</v>
      </c>
      <c r="B1737" s="272" t="s">
        <v>9141</v>
      </c>
      <c r="C1737" s="272" t="s">
        <v>109</v>
      </c>
      <c r="D1737" s="273" t="s">
        <v>22091</v>
      </c>
      <c r="E1737" s="274" t="s">
        <v>229</v>
      </c>
    </row>
    <row r="1738" spans="1:5" ht="40.5">
      <c r="A1738" s="271">
        <v>100665</v>
      </c>
      <c r="B1738" s="272" t="s">
        <v>9142</v>
      </c>
      <c r="C1738" s="272" t="s">
        <v>193</v>
      </c>
      <c r="D1738" s="273" t="s">
        <v>22092</v>
      </c>
      <c r="E1738" s="274" t="s">
        <v>229</v>
      </c>
    </row>
    <row r="1739" spans="1:5" ht="40.5">
      <c r="A1739" s="271">
        <v>100666</v>
      </c>
      <c r="B1739" s="272" t="s">
        <v>9143</v>
      </c>
      <c r="C1739" s="272" t="s">
        <v>193</v>
      </c>
      <c r="D1739" s="273" t="s">
        <v>22093</v>
      </c>
      <c r="E1739" s="274" t="s">
        <v>229</v>
      </c>
    </row>
    <row r="1740" spans="1:5" ht="40.5">
      <c r="A1740" s="271">
        <v>100667</v>
      </c>
      <c r="B1740" s="272" t="s">
        <v>9144</v>
      </c>
      <c r="C1740" s="272" t="s">
        <v>193</v>
      </c>
      <c r="D1740" s="273" t="s">
        <v>22094</v>
      </c>
      <c r="E1740" s="274" t="s">
        <v>229</v>
      </c>
    </row>
    <row r="1741" spans="1:5" ht="40.5">
      <c r="A1741" s="271">
        <v>100668</v>
      </c>
      <c r="B1741" s="272" t="s">
        <v>9145</v>
      </c>
      <c r="C1741" s="272" t="s">
        <v>193</v>
      </c>
      <c r="D1741" s="273" t="s">
        <v>22095</v>
      </c>
      <c r="E1741" s="274" t="s">
        <v>229</v>
      </c>
    </row>
    <row r="1742" spans="1:5" ht="40.5">
      <c r="A1742" s="271">
        <v>100669</v>
      </c>
      <c r="B1742" s="272" t="s">
        <v>9146</v>
      </c>
      <c r="C1742" s="272" t="s">
        <v>193</v>
      </c>
      <c r="D1742" s="273" t="s">
        <v>22096</v>
      </c>
      <c r="E1742" s="274" t="s">
        <v>229</v>
      </c>
    </row>
    <row r="1743" spans="1:5" ht="40.5">
      <c r="A1743" s="271">
        <v>100670</v>
      </c>
      <c r="B1743" s="272" t="s">
        <v>9147</v>
      </c>
      <c r="C1743" s="272" t="s">
        <v>193</v>
      </c>
      <c r="D1743" s="273" t="s">
        <v>22097</v>
      </c>
      <c r="E1743" s="274" t="s">
        <v>229</v>
      </c>
    </row>
    <row r="1744" spans="1:5" ht="40.5">
      <c r="A1744" s="271">
        <v>100671</v>
      </c>
      <c r="B1744" s="272" t="s">
        <v>9148</v>
      </c>
      <c r="C1744" s="272" t="s">
        <v>193</v>
      </c>
      <c r="D1744" s="273" t="s">
        <v>22098</v>
      </c>
      <c r="E1744" s="274" t="s">
        <v>229</v>
      </c>
    </row>
    <row r="1745" spans="1:5" ht="40.5">
      <c r="A1745" s="271">
        <v>100672</v>
      </c>
      <c r="B1745" s="272" t="s">
        <v>9149</v>
      </c>
      <c r="C1745" s="272" t="s">
        <v>193</v>
      </c>
      <c r="D1745" s="273" t="s">
        <v>22099</v>
      </c>
      <c r="E1745" s="274" t="s">
        <v>229</v>
      </c>
    </row>
    <row r="1746" spans="1:5" ht="13.5">
      <c r="A1746" s="271">
        <v>100701</v>
      </c>
      <c r="B1746" s="272" t="s">
        <v>9150</v>
      </c>
      <c r="C1746" s="272" t="s">
        <v>193</v>
      </c>
      <c r="D1746" s="273" t="s">
        <v>22100</v>
      </c>
      <c r="E1746" s="274" t="s">
        <v>229</v>
      </c>
    </row>
    <row r="1747" spans="1:5" ht="40.5">
      <c r="A1747" s="271">
        <v>94559</v>
      </c>
      <c r="B1747" s="272" t="s">
        <v>9151</v>
      </c>
      <c r="C1747" s="272" t="s">
        <v>193</v>
      </c>
      <c r="D1747" s="273" t="s">
        <v>22101</v>
      </c>
      <c r="E1747" s="274" t="s">
        <v>229</v>
      </c>
    </row>
    <row r="1748" spans="1:5" ht="40.5">
      <c r="A1748" s="271">
        <v>94562</v>
      </c>
      <c r="B1748" s="272" t="s">
        <v>9152</v>
      </c>
      <c r="C1748" s="272" t="s">
        <v>193</v>
      </c>
      <c r="D1748" s="273" t="s">
        <v>22102</v>
      </c>
      <c r="E1748" s="274" t="s">
        <v>229</v>
      </c>
    </row>
    <row r="1749" spans="1:5" ht="13.5">
      <c r="A1749" s="271">
        <v>94587</v>
      </c>
      <c r="B1749" s="272" t="s">
        <v>9153</v>
      </c>
      <c r="C1749" s="272" t="s">
        <v>5</v>
      </c>
      <c r="D1749" s="273" t="s">
        <v>22103</v>
      </c>
      <c r="E1749" s="274" t="s">
        <v>229</v>
      </c>
    </row>
    <row r="1750" spans="1:5" ht="13.5">
      <c r="A1750" s="271">
        <v>94588</v>
      </c>
      <c r="B1750" s="272" t="s">
        <v>9154</v>
      </c>
      <c r="C1750" s="272" t="s">
        <v>5</v>
      </c>
      <c r="D1750" s="273" t="s">
        <v>22104</v>
      </c>
      <c r="E1750" s="274" t="s">
        <v>229</v>
      </c>
    </row>
    <row r="1751" spans="1:5" ht="40.5">
      <c r="A1751" s="271">
        <v>99837</v>
      </c>
      <c r="B1751" s="272" t="s">
        <v>4012</v>
      </c>
      <c r="C1751" s="272" t="s">
        <v>5</v>
      </c>
      <c r="D1751" s="273" t="s">
        <v>22105</v>
      </c>
      <c r="E1751" s="274" t="s">
        <v>229</v>
      </c>
    </row>
    <row r="1752" spans="1:5" ht="40.5">
      <c r="A1752" s="271">
        <v>99839</v>
      </c>
      <c r="B1752" s="272" t="s">
        <v>4013</v>
      </c>
      <c r="C1752" s="272" t="s">
        <v>5</v>
      </c>
      <c r="D1752" s="273" t="s">
        <v>22106</v>
      </c>
      <c r="E1752" s="274" t="s">
        <v>229</v>
      </c>
    </row>
    <row r="1753" spans="1:5" ht="27">
      <c r="A1753" s="271">
        <v>99841</v>
      </c>
      <c r="B1753" s="272" t="s">
        <v>4014</v>
      </c>
      <c r="C1753" s="272" t="s">
        <v>5</v>
      </c>
      <c r="D1753" s="273" t="s">
        <v>22107</v>
      </c>
      <c r="E1753" s="274" t="s">
        <v>229</v>
      </c>
    </row>
    <row r="1754" spans="1:5" ht="13.5">
      <c r="A1754" s="271">
        <v>99855</v>
      </c>
      <c r="B1754" s="272" t="s">
        <v>4015</v>
      </c>
      <c r="C1754" s="272" t="s">
        <v>5</v>
      </c>
      <c r="D1754" s="273" t="s">
        <v>22108</v>
      </c>
      <c r="E1754" s="274" t="s">
        <v>229</v>
      </c>
    </row>
    <row r="1755" spans="1:5" ht="13.5">
      <c r="A1755" s="271">
        <v>99857</v>
      </c>
      <c r="B1755" s="272" t="s">
        <v>4016</v>
      </c>
      <c r="C1755" s="272" t="s">
        <v>5</v>
      </c>
      <c r="D1755" s="273" t="s">
        <v>22109</v>
      </c>
      <c r="E1755" s="274" t="s">
        <v>229</v>
      </c>
    </row>
    <row r="1756" spans="1:5" ht="27">
      <c r="A1756" s="271">
        <v>99861</v>
      </c>
      <c r="B1756" s="272" t="s">
        <v>4017</v>
      </c>
      <c r="C1756" s="272" t="s">
        <v>193</v>
      </c>
      <c r="D1756" s="273" t="s">
        <v>22110</v>
      </c>
      <c r="E1756" s="274" t="s">
        <v>229</v>
      </c>
    </row>
    <row r="1757" spans="1:5" ht="13.5">
      <c r="A1757" s="271">
        <v>99862</v>
      </c>
      <c r="B1757" s="272" t="s">
        <v>4018</v>
      </c>
      <c r="C1757" s="272" t="s">
        <v>193</v>
      </c>
      <c r="D1757" s="273" t="s">
        <v>22111</v>
      </c>
      <c r="E1757" s="274" t="s">
        <v>229</v>
      </c>
    </row>
    <row r="1758" spans="1:5" ht="13.5">
      <c r="A1758" s="271">
        <v>90838</v>
      </c>
      <c r="B1758" s="272" t="s">
        <v>9155</v>
      </c>
      <c r="C1758" s="272" t="s">
        <v>109</v>
      </c>
      <c r="D1758" s="273" t="s">
        <v>22112</v>
      </c>
      <c r="E1758" s="274" t="s">
        <v>229</v>
      </c>
    </row>
    <row r="1759" spans="1:5" ht="27">
      <c r="A1759" s="271">
        <v>91338</v>
      </c>
      <c r="B1759" s="272" t="s">
        <v>9156</v>
      </c>
      <c r="C1759" s="272" t="s">
        <v>193</v>
      </c>
      <c r="D1759" s="273" t="s">
        <v>22113</v>
      </c>
      <c r="E1759" s="274" t="s">
        <v>229</v>
      </c>
    </row>
    <row r="1760" spans="1:5" ht="27">
      <c r="A1760" s="271">
        <v>91341</v>
      </c>
      <c r="B1760" s="272" t="s">
        <v>9157</v>
      </c>
      <c r="C1760" s="272" t="s">
        <v>193</v>
      </c>
      <c r="D1760" s="273" t="s">
        <v>22114</v>
      </c>
      <c r="E1760" s="274" t="s">
        <v>229</v>
      </c>
    </row>
    <row r="1761" spans="1:5" ht="27">
      <c r="A1761" s="271">
        <v>94805</v>
      </c>
      <c r="B1761" s="272" t="s">
        <v>9158</v>
      </c>
      <c r="C1761" s="272" t="s">
        <v>109</v>
      </c>
      <c r="D1761" s="273" t="s">
        <v>22115</v>
      </c>
      <c r="E1761" s="274" t="s">
        <v>229</v>
      </c>
    </row>
    <row r="1762" spans="1:5" ht="27">
      <c r="A1762" s="271">
        <v>94806</v>
      </c>
      <c r="B1762" s="272" t="s">
        <v>9159</v>
      </c>
      <c r="C1762" s="272" t="s">
        <v>109</v>
      </c>
      <c r="D1762" s="273" t="s">
        <v>22116</v>
      </c>
      <c r="E1762" s="274" t="s">
        <v>229</v>
      </c>
    </row>
    <row r="1763" spans="1:5" ht="27">
      <c r="A1763" s="271">
        <v>94807</v>
      </c>
      <c r="B1763" s="272" t="s">
        <v>9160</v>
      </c>
      <c r="C1763" s="272" t="s">
        <v>109</v>
      </c>
      <c r="D1763" s="273" t="s">
        <v>22117</v>
      </c>
      <c r="E1763" s="274" t="s">
        <v>229</v>
      </c>
    </row>
    <row r="1764" spans="1:5" ht="27">
      <c r="A1764" s="271">
        <v>100702</v>
      </c>
      <c r="B1764" s="272" t="s">
        <v>9161</v>
      </c>
      <c r="C1764" s="272" t="s">
        <v>193</v>
      </c>
      <c r="D1764" s="273" t="s">
        <v>22118</v>
      </c>
      <c r="E1764" s="274" t="s">
        <v>229</v>
      </c>
    </row>
    <row r="1765" spans="1:5" ht="13.5">
      <c r="A1765" s="271">
        <v>102188</v>
      </c>
      <c r="B1765" s="272" t="s">
        <v>12764</v>
      </c>
      <c r="C1765" s="272" t="s">
        <v>109</v>
      </c>
      <c r="D1765" s="273" t="s">
        <v>22119</v>
      </c>
      <c r="E1765" s="274" t="s">
        <v>229</v>
      </c>
    </row>
    <row r="1766" spans="1:5" ht="40.5">
      <c r="A1766" s="271">
        <v>102189</v>
      </c>
      <c r="B1766" s="272" t="s">
        <v>12765</v>
      </c>
      <c r="C1766" s="272" t="s">
        <v>109</v>
      </c>
      <c r="D1766" s="273" t="s">
        <v>22120</v>
      </c>
      <c r="E1766" s="274" t="s">
        <v>229</v>
      </c>
    </row>
    <row r="1767" spans="1:5" ht="13.5">
      <c r="A1767" s="271">
        <v>100703</v>
      </c>
      <c r="B1767" s="272" t="s">
        <v>9162</v>
      </c>
      <c r="C1767" s="272" t="s">
        <v>109</v>
      </c>
      <c r="D1767" s="273" t="s">
        <v>20790</v>
      </c>
      <c r="E1767" s="274" t="s">
        <v>229</v>
      </c>
    </row>
    <row r="1768" spans="1:5" ht="27">
      <c r="A1768" s="271">
        <v>100704</v>
      </c>
      <c r="B1768" s="272" t="s">
        <v>9163</v>
      </c>
      <c r="C1768" s="272" t="s">
        <v>109</v>
      </c>
      <c r="D1768" s="273" t="s">
        <v>16002</v>
      </c>
      <c r="E1768" s="274" t="s">
        <v>229</v>
      </c>
    </row>
    <row r="1769" spans="1:5" ht="13.5">
      <c r="A1769" s="271">
        <v>100705</v>
      </c>
      <c r="B1769" s="272" t="s">
        <v>9164</v>
      </c>
      <c r="C1769" s="272" t="s">
        <v>109</v>
      </c>
      <c r="D1769" s="273" t="s">
        <v>22121</v>
      </c>
      <c r="E1769" s="274" t="s">
        <v>229</v>
      </c>
    </row>
    <row r="1770" spans="1:5" ht="13.5">
      <c r="A1770" s="271">
        <v>100706</v>
      </c>
      <c r="B1770" s="272" t="s">
        <v>9165</v>
      </c>
      <c r="C1770" s="272" t="s">
        <v>109</v>
      </c>
      <c r="D1770" s="273" t="s">
        <v>22122</v>
      </c>
      <c r="E1770" s="274" t="s">
        <v>229</v>
      </c>
    </row>
    <row r="1771" spans="1:5" ht="13.5">
      <c r="A1771" s="271">
        <v>100707</v>
      </c>
      <c r="B1771" s="272" t="s">
        <v>9166</v>
      </c>
      <c r="C1771" s="272" t="s">
        <v>109</v>
      </c>
      <c r="D1771" s="273" t="s">
        <v>22123</v>
      </c>
      <c r="E1771" s="274" t="s">
        <v>229</v>
      </c>
    </row>
    <row r="1772" spans="1:5" ht="13.5">
      <c r="A1772" s="271">
        <v>100708</v>
      </c>
      <c r="B1772" s="272" t="s">
        <v>9167</v>
      </c>
      <c r="C1772" s="272" t="s">
        <v>109</v>
      </c>
      <c r="D1772" s="273" t="s">
        <v>22124</v>
      </c>
      <c r="E1772" s="274" t="s">
        <v>229</v>
      </c>
    </row>
    <row r="1773" spans="1:5" ht="27">
      <c r="A1773" s="271">
        <v>100709</v>
      </c>
      <c r="B1773" s="272" t="s">
        <v>9168</v>
      </c>
      <c r="C1773" s="272" t="s">
        <v>109</v>
      </c>
      <c r="D1773" s="273" t="s">
        <v>15919</v>
      </c>
      <c r="E1773" s="274" t="s">
        <v>229</v>
      </c>
    </row>
    <row r="1774" spans="1:5" ht="13.5">
      <c r="A1774" s="271">
        <v>100710</v>
      </c>
      <c r="B1774" s="272" t="s">
        <v>9169</v>
      </c>
      <c r="C1774" s="272" t="s">
        <v>109</v>
      </c>
      <c r="D1774" s="273" t="s">
        <v>16593</v>
      </c>
      <c r="E1774" s="274" t="s">
        <v>229</v>
      </c>
    </row>
    <row r="1775" spans="1:5" ht="27">
      <c r="A1775" s="271">
        <v>102151</v>
      </c>
      <c r="B1775" s="272" t="s">
        <v>12766</v>
      </c>
      <c r="C1775" s="272" t="s">
        <v>193</v>
      </c>
      <c r="D1775" s="273" t="s">
        <v>22125</v>
      </c>
      <c r="E1775" s="274" t="s">
        <v>229</v>
      </c>
    </row>
    <row r="1776" spans="1:5" ht="27">
      <c r="A1776" s="271">
        <v>102152</v>
      </c>
      <c r="B1776" s="272" t="s">
        <v>12767</v>
      </c>
      <c r="C1776" s="272" t="s">
        <v>193</v>
      </c>
      <c r="D1776" s="273" t="s">
        <v>22126</v>
      </c>
      <c r="E1776" s="274" t="s">
        <v>229</v>
      </c>
    </row>
    <row r="1777" spans="1:5" ht="27">
      <c r="A1777" s="271">
        <v>102153</v>
      </c>
      <c r="B1777" s="272" t="s">
        <v>12768</v>
      </c>
      <c r="C1777" s="272" t="s">
        <v>193</v>
      </c>
      <c r="D1777" s="273" t="s">
        <v>15868</v>
      </c>
      <c r="E1777" s="274" t="s">
        <v>229</v>
      </c>
    </row>
    <row r="1778" spans="1:5" ht="27">
      <c r="A1778" s="271">
        <v>102154</v>
      </c>
      <c r="B1778" s="272" t="s">
        <v>12769</v>
      </c>
      <c r="C1778" s="272" t="s">
        <v>193</v>
      </c>
      <c r="D1778" s="273" t="s">
        <v>21427</v>
      </c>
      <c r="E1778" s="274" t="s">
        <v>229</v>
      </c>
    </row>
    <row r="1779" spans="1:5" ht="27">
      <c r="A1779" s="271">
        <v>102155</v>
      </c>
      <c r="B1779" s="272" t="s">
        <v>12770</v>
      </c>
      <c r="C1779" s="272" t="s">
        <v>193</v>
      </c>
      <c r="D1779" s="273" t="s">
        <v>22127</v>
      </c>
      <c r="E1779" s="274" t="s">
        <v>229</v>
      </c>
    </row>
    <row r="1780" spans="1:5" ht="27">
      <c r="A1780" s="271">
        <v>102156</v>
      </c>
      <c r="B1780" s="272" t="s">
        <v>12771</v>
      </c>
      <c r="C1780" s="272" t="s">
        <v>193</v>
      </c>
      <c r="D1780" s="273" t="s">
        <v>22128</v>
      </c>
      <c r="E1780" s="274" t="s">
        <v>229</v>
      </c>
    </row>
    <row r="1781" spans="1:5" ht="27">
      <c r="A1781" s="271">
        <v>102157</v>
      </c>
      <c r="B1781" s="272" t="s">
        <v>12772</v>
      </c>
      <c r="C1781" s="272" t="s">
        <v>193</v>
      </c>
      <c r="D1781" s="273" t="s">
        <v>22129</v>
      </c>
      <c r="E1781" s="274" t="s">
        <v>229</v>
      </c>
    </row>
    <row r="1782" spans="1:5" ht="27">
      <c r="A1782" s="271">
        <v>102158</v>
      </c>
      <c r="B1782" s="272" t="s">
        <v>12773</v>
      </c>
      <c r="C1782" s="272" t="s">
        <v>193</v>
      </c>
      <c r="D1782" s="273" t="s">
        <v>22130</v>
      </c>
      <c r="E1782" s="274" t="s">
        <v>229</v>
      </c>
    </row>
    <row r="1783" spans="1:5" ht="27">
      <c r="A1783" s="271">
        <v>102159</v>
      </c>
      <c r="B1783" s="272" t="s">
        <v>12774</v>
      </c>
      <c r="C1783" s="272" t="s">
        <v>193</v>
      </c>
      <c r="D1783" s="273" t="s">
        <v>22131</v>
      </c>
      <c r="E1783" s="274" t="s">
        <v>229</v>
      </c>
    </row>
    <row r="1784" spans="1:5" ht="27">
      <c r="A1784" s="271">
        <v>102160</v>
      </c>
      <c r="B1784" s="272" t="s">
        <v>12775</v>
      </c>
      <c r="C1784" s="272" t="s">
        <v>193</v>
      </c>
      <c r="D1784" s="273" t="s">
        <v>22132</v>
      </c>
      <c r="E1784" s="274" t="s">
        <v>229</v>
      </c>
    </row>
    <row r="1785" spans="1:5" ht="27">
      <c r="A1785" s="271">
        <v>102161</v>
      </c>
      <c r="B1785" s="272" t="s">
        <v>12776</v>
      </c>
      <c r="C1785" s="272" t="s">
        <v>193</v>
      </c>
      <c r="D1785" s="273" t="s">
        <v>22133</v>
      </c>
      <c r="E1785" s="274" t="s">
        <v>229</v>
      </c>
    </row>
    <row r="1786" spans="1:5" ht="27">
      <c r="A1786" s="271">
        <v>102162</v>
      </c>
      <c r="B1786" s="272" t="s">
        <v>12777</v>
      </c>
      <c r="C1786" s="272" t="s">
        <v>193</v>
      </c>
      <c r="D1786" s="273" t="s">
        <v>22134</v>
      </c>
      <c r="E1786" s="274" t="s">
        <v>229</v>
      </c>
    </row>
    <row r="1787" spans="1:5" ht="27">
      <c r="A1787" s="271">
        <v>102163</v>
      </c>
      <c r="B1787" s="272" t="s">
        <v>12778</v>
      </c>
      <c r="C1787" s="272" t="s">
        <v>193</v>
      </c>
      <c r="D1787" s="273" t="s">
        <v>22135</v>
      </c>
      <c r="E1787" s="274" t="s">
        <v>229</v>
      </c>
    </row>
    <row r="1788" spans="1:5" ht="27">
      <c r="A1788" s="271">
        <v>102164</v>
      </c>
      <c r="B1788" s="272" t="s">
        <v>12779</v>
      </c>
      <c r="C1788" s="272" t="s">
        <v>193</v>
      </c>
      <c r="D1788" s="273" t="s">
        <v>22136</v>
      </c>
      <c r="E1788" s="274" t="s">
        <v>229</v>
      </c>
    </row>
    <row r="1789" spans="1:5" ht="27">
      <c r="A1789" s="271">
        <v>102165</v>
      </c>
      <c r="B1789" s="272" t="s">
        <v>12780</v>
      </c>
      <c r="C1789" s="272" t="s">
        <v>193</v>
      </c>
      <c r="D1789" s="273" t="s">
        <v>22137</v>
      </c>
      <c r="E1789" s="274" t="s">
        <v>229</v>
      </c>
    </row>
    <row r="1790" spans="1:5" ht="27">
      <c r="A1790" s="271">
        <v>102166</v>
      </c>
      <c r="B1790" s="272" t="s">
        <v>12781</v>
      </c>
      <c r="C1790" s="272" t="s">
        <v>193</v>
      </c>
      <c r="D1790" s="273" t="s">
        <v>21000</v>
      </c>
      <c r="E1790" s="274" t="s">
        <v>229</v>
      </c>
    </row>
    <row r="1791" spans="1:5" ht="27">
      <c r="A1791" s="271">
        <v>102167</v>
      </c>
      <c r="B1791" s="272" t="s">
        <v>12782</v>
      </c>
      <c r="C1791" s="272" t="s">
        <v>193</v>
      </c>
      <c r="D1791" s="273" t="s">
        <v>22138</v>
      </c>
      <c r="E1791" s="274" t="s">
        <v>229</v>
      </c>
    </row>
    <row r="1792" spans="1:5" ht="27">
      <c r="A1792" s="271">
        <v>102168</v>
      </c>
      <c r="B1792" s="272" t="s">
        <v>12783</v>
      </c>
      <c r="C1792" s="272" t="s">
        <v>193</v>
      </c>
      <c r="D1792" s="273" t="s">
        <v>22139</v>
      </c>
      <c r="E1792" s="274" t="s">
        <v>229</v>
      </c>
    </row>
    <row r="1793" spans="1:5" ht="27">
      <c r="A1793" s="271">
        <v>102169</v>
      </c>
      <c r="B1793" s="272" t="s">
        <v>12784</v>
      </c>
      <c r="C1793" s="272" t="s">
        <v>193</v>
      </c>
      <c r="D1793" s="273" t="s">
        <v>22140</v>
      </c>
      <c r="E1793" s="274" t="s">
        <v>229</v>
      </c>
    </row>
    <row r="1794" spans="1:5" ht="27">
      <c r="A1794" s="271">
        <v>102170</v>
      </c>
      <c r="B1794" s="272" t="s">
        <v>12785</v>
      </c>
      <c r="C1794" s="272" t="s">
        <v>193</v>
      </c>
      <c r="D1794" s="273" t="s">
        <v>22141</v>
      </c>
      <c r="E1794" s="274" t="s">
        <v>229</v>
      </c>
    </row>
    <row r="1795" spans="1:5" ht="27">
      <c r="A1795" s="271">
        <v>102171</v>
      </c>
      <c r="B1795" s="272" t="s">
        <v>12786</v>
      </c>
      <c r="C1795" s="272" t="s">
        <v>193</v>
      </c>
      <c r="D1795" s="273" t="s">
        <v>22142</v>
      </c>
      <c r="E1795" s="274" t="s">
        <v>229</v>
      </c>
    </row>
    <row r="1796" spans="1:5" ht="27">
      <c r="A1796" s="271">
        <v>102172</v>
      </c>
      <c r="B1796" s="272" t="s">
        <v>12787</v>
      </c>
      <c r="C1796" s="272" t="s">
        <v>193</v>
      </c>
      <c r="D1796" s="273" t="s">
        <v>22143</v>
      </c>
      <c r="E1796" s="274" t="s">
        <v>229</v>
      </c>
    </row>
    <row r="1797" spans="1:5" ht="13.5">
      <c r="A1797" s="271">
        <v>102176</v>
      </c>
      <c r="B1797" s="272" t="s">
        <v>12788</v>
      </c>
      <c r="C1797" s="272" t="s">
        <v>193</v>
      </c>
      <c r="D1797" s="273" t="s">
        <v>22144</v>
      </c>
      <c r="E1797" s="274" t="s">
        <v>229</v>
      </c>
    </row>
    <row r="1798" spans="1:5" ht="13.5">
      <c r="A1798" s="271">
        <v>102177</v>
      </c>
      <c r="B1798" s="272" t="s">
        <v>12789</v>
      </c>
      <c r="C1798" s="272" t="s">
        <v>193</v>
      </c>
      <c r="D1798" s="273" t="s">
        <v>22145</v>
      </c>
      <c r="E1798" s="274" t="s">
        <v>229</v>
      </c>
    </row>
    <row r="1799" spans="1:5" ht="13.5">
      <c r="A1799" s="271">
        <v>102178</v>
      </c>
      <c r="B1799" s="272" t="s">
        <v>12790</v>
      </c>
      <c r="C1799" s="272" t="s">
        <v>193</v>
      </c>
      <c r="D1799" s="273" t="s">
        <v>22146</v>
      </c>
      <c r="E1799" s="274" t="s">
        <v>229</v>
      </c>
    </row>
    <row r="1800" spans="1:5" ht="13.5">
      <c r="A1800" s="271">
        <v>102179</v>
      </c>
      <c r="B1800" s="272" t="s">
        <v>12791</v>
      </c>
      <c r="C1800" s="272" t="s">
        <v>193</v>
      </c>
      <c r="D1800" s="273" t="s">
        <v>22147</v>
      </c>
      <c r="E1800" s="274" t="s">
        <v>229</v>
      </c>
    </row>
    <row r="1801" spans="1:5" ht="13.5">
      <c r="A1801" s="271">
        <v>102180</v>
      </c>
      <c r="B1801" s="272" t="s">
        <v>12792</v>
      </c>
      <c r="C1801" s="272" t="s">
        <v>193</v>
      </c>
      <c r="D1801" s="273" t="s">
        <v>22148</v>
      </c>
      <c r="E1801" s="274" t="s">
        <v>229</v>
      </c>
    </row>
    <row r="1802" spans="1:5" ht="13.5">
      <c r="A1802" s="271">
        <v>102181</v>
      </c>
      <c r="B1802" s="272" t="s">
        <v>12793</v>
      </c>
      <c r="C1802" s="272" t="s">
        <v>193</v>
      </c>
      <c r="D1802" s="273" t="s">
        <v>22149</v>
      </c>
      <c r="E1802" s="274" t="s">
        <v>229</v>
      </c>
    </row>
    <row r="1803" spans="1:5" ht="27">
      <c r="A1803" s="271">
        <v>102182</v>
      </c>
      <c r="B1803" s="272" t="s">
        <v>12794</v>
      </c>
      <c r="C1803" s="272" t="s">
        <v>109</v>
      </c>
      <c r="D1803" s="273" t="s">
        <v>22150</v>
      </c>
      <c r="E1803" s="274" t="s">
        <v>229</v>
      </c>
    </row>
    <row r="1804" spans="1:5" ht="27">
      <c r="A1804" s="271">
        <v>102183</v>
      </c>
      <c r="B1804" s="272" t="s">
        <v>12795</v>
      </c>
      <c r="C1804" s="272" t="s">
        <v>109</v>
      </c>
      <c r="D1804" s="273" t="s">
        <v>22151</v>
      </c>
      <c r="E1804" s="274" t="s">
        <v>229</v>
      </c>
    </row>
    <row r="1805" spans="1:5" ht="27">
      <c r="A1805" s="271">
        <v>102184</v>
      </c>
      <c r="B1805" s="272" t="s">
        <v>12796</v>
      </c>
      <c r="C1805" s="272" t="s">
        <v>109</v>
      </c>
      <c r="D1805" s="273" t="s">
        <v>22152</v>
      </c>
      <c r="E1805" s="274" t="s">
        <v>229</v>
      </c>
    </row>
    <row r="1806" spans="1:5" ht="27">
      <c r="A1806" s="271">
        <v>102185</v>
      </c>
      <c r="B1806" s="272" t="s">
        <v>12797</v>
      </c>
      <c r="C1806" s="272" t="s">
        <v>109</v>
      </c>
      <c r="D1806" s="273" t="s">
        <v>22153</v>
      </c>
      <c r="E1806" s="274" t="s">
        <v>229</v>
      </c>
    </row>
    <row r="1807" spans="1:5" ht="13.5">
      <c r="A1807" s="271">
        <v>102190</v>
      </c>
      <c r="B1807" s="272" t="s">
        <v>12798</v>
      </c>
      <c r="C1807" s="272" t="s">
        <v>193</v>
      </c>
      <c r="D1807" s="273" t="s">
        <v>10331</v>
      </c>
      <c r="E1807" s="274" t="s">
        <v>229</v>
      </c>
    </row>
    <row r="1808" spans="1:5" ht="13.5">
      <c r="A1808" s="271">
        <v>102191</v>
      </c>
      <c r="B1808" s="272" t="s">
        <v>12799</v>
      </c>
      <c r="C1808" s="272" t="s">
        <v>193</v>
      </c>
      <c r="D1808" s="273" t="s">
        <v>15929</v>
      </c>
      <c r="E1808" s="274" t="s">
        <v>229</v>
      </c>
    </row>
    <row r="1809" spans="1:5" ht="13.5">
      <c r="A1809" s="271">
        <v>102192</v>
      </c>
      <c r="B1809" s="272" t="s">
        <v>12800</v>
      </c>
      <c r="C1809" s="272" t="s">
        <v>193</v>
      </c>
      <c r="D1809" s="273" t="s">
        <v>10470</v>
      </c>
      <c r="E1809" s="274" t="s">
        <v>229</v>
      </c>
    </row>
    <row r="1810" spans="1:5" ht="27">
      <c r="A1810" s="271">
        <v>94569</v>
      </c>
      <c r="B1810" s="272" t="s">
        <v>9170</v>
      </c>
      <c r="C1810" s="272" t="s">
        <v>193</v>
      </c>
      <c r="D1810" s="273" t="s">
        <v>22154</v>
      </c>
      <c r="E1810" s="274" t="s">
        <v>229</v>
      </c>
    </row>
    <row r="1811" spans="1:5" ht="40.5">
      <c r="A1811" s="271">
        <v>94570</v>
      </c>
      <c r="B1811" s="272" t="s">
        <v>9171</v>
      </c>
      <c r="C1811" s="272" t="s">
        <v>193</v>
      </c>
      <c r="D1811" s="273" t="s">
        <v>22155</v>
      </c>
      <c r="E1811" s="274" t="s">
        <v>229</v>
      </c>
    </row>
    <row r="1812" spans="1:5" ht="40.5">
      <c r="A1812" s="271">
        <v>94572</v>
      </c>
      <c r="B1812" s="272" t="s">
        <v>9172</v>
      </c>
      <c r="C1812" s="272" t="s">
        <v>193</v>
      </c>
      <c r="D1812" s="273" t="s">
        <v>21262</v>
      </c>
      <c r="E1812" s="274" t="s">
        <v>229</v>
      </c>
    </row>
    <row r="1813" spans="1:5" ht="40.5">
      <c r="A1813" s="271">
        <v>94573</v>
      </c>
      <c r="B1813" s="272" t="s">
        <v>9173</v>
      </c>
      <c r="C1813" s="272" t="s">
        <v>193</v>
      </c>
      <c r="D1813" s="273" t="s">
        <v>22156</v>
      </c>
      <c r="E1813" s="274" t="s">
        <v>229</v>
      </c>
    </row>
    <row r="1814" spans="1:5" ht="40.5">
      <c r="A1814" s="271">
        <v>94580</v>
      </c>
      <c r="B1814" s="272" t="s">
        <v>9174</v>
      </c>
      <c r="C1814" s="272" t="s">
        <v>193</v>
      </c>
      <c r="D1814" s="273" t="s">
        <v>22157</v>
      </c>
      <c r="E1814" s="274" t="s">
        <v>229</v>
      </c>
    </row>
    <row r="1815" spans="1:5" ht="27">
      <c r="A1815" s="271">
        <v>100674</v>
      </c>
      <c r="B1815" s="272" t="s">
        <v>9175</v>
      </c>
      <c r="C1815" s="272" t="s">
        <v>193</v>
      </c>
      <c r="D1815" s="273" t="s">
        <v>22158</v>
      </c>
      <c r="E1815" s="274" t="s">
        <v>229</v>
      </c>
    </row>
    <row r="1816" spans="1:5" ht="27">
      <c r="A1816" s="271">
        <v>101096</v>
      </c>
      <c r="B1816" s="272" t="s">
        <v>10132</v>
      </c>
      <c r="C1816" s="272" t="s">
        <v>209</v>
      </c>
      <c r="D1816" s="273" t="s">
        <v>22159</v>
      </c>
      <c r="E1816" s="274" t="s">
        <v>229</v>
      </c>
    </row>
    <row r="1817" spans="1:5" ht="27">
      <c r="A1817" s="271">
        <v>101097</v>
      </c>
      <c r="B1817" s="272" t="s">
        <v>10133</v>
      </c>
      <c r="C1817" s="272" t="s">
        <v>209</v>
      </c>
      <c r="D1817" s="273" t="s">
        <v>22160</v>
      </c>
      <c r="E1817" s="274" t="s">
        <v>229</v>
      </c>
    </row>
    <row r="1818" spans="1:5" ht="27">
      <c r="A1818" s="271">
        <v>101098</v>
      </c>
      <c r="B1818" s="272" t="s">
        <v>10134</v>
      </c>
      <c r="C1818" s="272" t="s">
        <v>209</v>
      </c>
      <c r="D1818" s="273" t="s">
        <v>22161</v>
      </c>
      <c r="E1818" s="274" t="s">
        <v>229</v>
      </c>
    </row>
    <row r="1819" spans="1:5" ht="27">
      <c r="A1819" s="271">
        <v>101099</v>
      </c>
      <c r="B1819" s="272" t="s">
        <v>10135</v>
      </c>
      <c r="C1819" s="272" t="s">
        <v>209</v>
      </c>
      <c r="D1819" s="273" t="s">
        <v>22162</v>
      </c>
      <c r="E1819" s="274" t="s">
        <v>229</v>
      </c>
    </row>
    <row r="1820" spans="1:5" ht="27">
      <c r="A1820" s="271">
        <v>101100</v>
      </c>
      <c r="B1820" s="272" t="s">
        <v>10136</v>
      </c>
      <c r="C1820" s="272" t="s">
        <v>209</v>
      </c>
      <c r="D1820" s="273" t="s">
        <v>22163</v>
      </c>
      <c r="E1820" s="274" t="s">
        <v>229</v>
      </c>
    </row>
    <row r="1821" spans="1:5" ht="27">
      <c r="A1821" s="271">
        <v>101101</v>
      </c>
      <c r="B1821" s="272" t="s">
        <v>10137</v>
      </c>
      <c r="C1821" s="272" t="s">
        <v>209</v>
      </c>
      <c r="D1821" s="273" t="s">
        <v>22164</v>
      </c>
      <c r="E1821" s="274" t="s">
        <v>229</v>
      </c>
    </row>
    <row r="1822" spans="1:5" ht="27">
      <c r="A1822" s="271">
        <v>101102</v>
      </c>
      <c r="B1822" s="272" t="s">
        <v>10138</v>
      </c>
      <c r="C1822" s="272" t="s">
        <v>209</v>
      </c>
      <c r="D1822" s="273" t="s">
        <v>22165</v>
      </c>
      <c r="E1822" s="274" t="s">
        <v>229</v>
      </c>
    </row>
    <row r="1823" spans="1:5" ht="27">
      <c r="A1823" s="271">
        <v>101103</v>
      </c>
      <c r="B1823" s="272" t="s">
        <v>10139</v>
      </c>
      <c r="C1823" s="272" t="s">
        <v>209</v>
      </c>
      <c r="D1823" s="273" t="s">
        <v>22166</v>
      </c>
      <c r="E1823" s="274" t="s">
        <v>229</v>
      </c>
    </row>
    <row r="1824" spans="1:5" ht="27">
      <c r="A1824" s="271">
        <v>101104</v>
      </c>
      <c r="B1824" s="272" t="s">
        <v>10140</v>
      </c>
      <c r="C1824" s="272" t="s">
        <v>209</v>
      </c>
      <c r="D1824" s="273" t="s">
        <v>22167</v>
      </c>
      <c r="E1824" s="274" t="s">
        <v>229</v>
      </c>
    </row>
    <row r="1825" spans="1:5" ht="27">
      <c r="A1825" s="271">
        <v>101105</v>
      </c>
      <c r="B1825" s="272" t="s">
        <v>10141</v>
      </c>
      <c r="C1825" s="272" t="s">
        <v>209</v>
      </c>
      <c r="D1825" s="273" t="s">
        <v>22168</v>
      </c>
      <c r="E1825" s="274" t="s">
        <v>229</v>
      </c>
    </row>
    <row r="1826" spans="1:5" ht="27">
      <c r="A1826" s="271">
        <v>101106</v>
      </c>
      <c r="B1826" s="272" t="s">
        <v>10142</v>
      </c>
      <c r="C1826" s="272" t="s">
        <v>209</v>
      </c>
      <c r="D1826" s="273" t="s">
        <v>22169</v>
      </c>
      <c r="E1826" s="274" t="s">
        <v>229</v>
      </c>
    </row>
    <row r="1827" spans="1:5" ht="27">
      <c r="A1827" s="271">
        <v>101107</v>
      </c>
      <c r="B1827" s="272" t="s">
        <v>10143</v>
      </c>
      <c r="C1827" s="272" t="s">
        <v>209</v>
      </c>
      <c r="D1827" s="273" t="s">
        <v>22170</v>
      </c>
      <c r="E1827" s="274" t="s">
        <v>229</v>
      </c>
    </row>
    <row r="1828" spans="1:5" ht="27">
      <c r="A1828" s="271">
        <v>101108</v>
      </c>
      <c r="B1828" s="272" t="s">
        <v>10144</v>
      </c>
      <c r="C1828" s="272" t="s">
        <v>209</v>
      </c>
      <c r="D1828" s="273" t="s">
        <v>22171</v>
      </c>
      <c r="E1828" s="274" t="s">
        <v>229</v>
      </c>
    </row>
    <row r="1829" spans="1:5" ht="27">
      <c r="A1829" s="271">
        <v>101109</v>
      </c>
      <c r="B1829" s="272" t="s">
        <v>10145</v>
      </c>
      <c r="C1829" s="272" t="s">
        <v>209</v>
      </c>
      <c r="D1829" s="273" t="s">
        <v>22172</v>
      </c>
      <c r="E1829" s="274" t="s">
        <v>229</v>
      </c>
    </row>
    <row r="1830" spans="1:5" ht="27">
      <c r="A1830" s="271">
        <v>101110</v>
      </c>
      <c r="B1830" s="272" t="s">
        <v>10146</v>
      </c>
      <c r="C1830" s="272" t="s">
        <v>209</v>
      </c>
      <c r="D1830" s="273" t="s">
        <v>22173</v>
      </c>
      <c r="E1830" s="274" t="s">
        <v>229</v>
      </c>
    </row>
    <row r="1831" spans="1:5" ht="27">
      <c r="A1831" s="271">
        <v>101111</v>
      </c>
      <c r="B1831" s="272" t="s">
        <v>10147</v>
      </c>
      <c r="C1831" s="272" t="s">
        <v>209</v>
      </c>
      <c r="D1831" s="273" t="s">
        <v>22174</v>
      </c>
      <c r="E1831" s="274" t="s">
        <v>229</v>
      </c>
    </row>
    <row r="1832" spans="1:5" ht="27">
      <c r="A1832" s="271">
        <v>101112</v>
      </c>
      <c r="B1832" s="272" t="s">
        <v>10148</v>
      </c>
      <c r="C1832" s="272" t="s">
        <v>209</v>
      </c>
      <c r="D1832" s="273" t="s">
        <v>22175</v>
      </c>
      <c r="E1832" s="274" t="s">
        <v>229</v>
      </c>
    </row>
    <row r="1833" spans="1:5" ht="27">
      <c r="A1833" s="271">
        <v>101113</v>
      </c>
      <c r="B1833" s="272" t="s">
        <v>10149</v>
      </c>
      <c r="C1833" s="272" t="s">
        <v>209</v>
      </c>
      <c r="D1833" s="273" t="s">
        <v>22176</v>
      </c>
      <c r="E1833" s="274" t="s">
        <v>229</v>
      </c>
    </row>
    <row r="1834" spans="1:5" ht="13.5">
      <c r="A1834" s="271">
        <v>95601</v>
      </c>
      <c r="B1834" s="272" t="s">
        <v>22177</v>
      </c>
      <c r="C1834" s="272" t="s">
        <v>109</v>
      </c>
      <c r="D1834" s="273" t="s">
        <v>22178</v>
      </c>
      <c r="E1834" s="274" t="s">
        <v>229</v>
      </c>
    </row>
    <row r="1835" spans="1:5" ht="27">
      <c r="A1835" s="271">
        <v>95602</v>
      </c>
      <c r="B1835" s="272" t="s">
        <v>22179</v>
      </c>
      <c r="C1835" s="272" t="s">
        <v>109</v>
      </c>
      <c r="D1835" s="273" t="s">
        <v>22180</v>
      </c>
      <c r="E1835" s="274" t="s">
        <v>229</v>
      </c>
    </row>
    <row r="1836" spans="1:5" ht="27">
      <c r="A1836" s="271">
        <v>95603</v>
      </c>
      <c r="B1836" s="272" t="s">
        <v>22181</v>
      </c>
      <c r="C1836" s="272" t="s">
        <v>109</v>
      </c>
      <c r="D1836" s="273" t="s">
        <v>10177</v>
      </c>
      <c r="E1836" s="274" t="s">
        <v>229</v>
      </c>
    </row>
    <row r="1837" spans="1:5" ht="27">
      <c r="A1837" s="271">
        <v>95604</v>
      </c>
      <c r="B1837" s="272" t="s">
        <v>22182</v>
      </c>
      <c r="C1837" s="272" t="s">
        <v>109</v>
      </c>
      <c r="D1837" s="273" t="s">
        <v>22183</v>
      </c>
      <c r="E1837" s="274" t="s">
        <v>229</v>
      </c>
    </row>
    <row r="1838" spans="1:5" ht="27">
      <c r="A1838" s="271">
        <v>95605</v>
      </c>
      <c r="B1838" s="272" t="s">
        <v>22184</v>
      </c>
      <c r="C1838" s="272" t="s">
        <v>109</v>
      </c>
      <c r="D1838" s="273" t="s">
        <v>22185</v>
      </c>
      <c r="E1838" s="274" t="s">
        <v>229</v>
      </c>
    </row>
    <row r="1839" spans="1:5" ht="13.5">
      <c r="A1839" s="271">
        <v>95607</v>
      </c>
      <c r="B1839" s="272" t="s">
        <v>22186</v>
      </c>
      <c r="C1839" s="272" t="s">
        <v>109</v>
      </c>
      <c r="D1839" s="273" t="s">
        <v>10867</v>
      </c>
      <c r="E1839" s="274" t="s">
        <v>229</v>
      </c>
    </row>
    <row r="1840" spans="1:5" ht="27">
      <c r="A1840" s="271">
        <v>95608</v>
      </c>
      <c r="B1840" s="272" t="s">
        <v>22187</v>
      </c>
      <c r="C1840" s="272" t="s">
        <v>109</v>
      </c>
      <c r="D1840" s="273" t="s">
        <v>9733</v>
      </c>
      <c r="E1840" s="274" t="s">
        <v>229</v>
      </c>
    </row>
    <row r="1841" spans="1:5" ht="27">
      <c r="A1841" s="271">
        <v>95609</v>
      </c>
      <c r="B1841" s="272" t="s">
        <v>22188</v>
      </c>
      <c r="C1841" s="272" t="s">
        <v>109</v>
      </c>
      <c r="D1841" s="273" t="s">
        <v>16430</v>
      </c>
      <c r="E1841" s="274" t="s">
        <v>229</v>
      </c>
    </row>
    <row r="1842" spans="1:5" ht="27">
      <c r="A1842" s="271">
        <v>100651</v>
      </c>
      <c r="B1842" s="272" t="s">
        <v>12801</v>
      </c>
      <c r="C1842" s="272" t="s">
        <v>5</v>
      </c>
      <c r="D1842" s="273" t="s">
        <v>22189</v>
      </c>
      <c r="E1842" s="274" t="s">
        <v>229</v>
      </c>
    </row>
    <row r="1843" spans="1:5" ht="27">
      <c r="A1843" s="271">
        <v>100652</v>
      </c>
      <c r="B1843" s="272" t="s">
        <v>12802</v>
      </c>
      <c r="C1843" s="272" t="s">
        <v>5</v>
      </c>
      <c r="D1843" s="273" t="s">
        <v>22190</v>
      </c>
      <c r="E1843" s="274" t="s">
        <v>229</v>
      </c>
    </row>
    <row r="1844" spans="1:5" ht="27">
      <c r="A1844" s="271">
        <v>100653</v>
      </c>
      <c r="B1844" s="272" t="s">
        <v>12803</v>
      </c>
      <c r="C1844" s="272" t="s">
        <v>5</v>
      </c>
      <c r="D1844" s="273" t="s">
        <v>22191</v>
      </c>
      <c r="E1844" s="274" t="s">
        <v>229</v>
      </c>
    </row>
    <row r="1845" spans="1:5" ht="27">
      <c r="A1845" s="271">
        <v>100654</v>
      </c>
      <c r="B1845" s="272" t="s">
        <v>12804</v>
      </c>
      <c r="C1845" s="272" t="s">
        <v>5</v>
      </c>
      <c r="D1845" s="273" t="s">
        <v>22192</v>
      </c>
      <c r="E1845" s="274" t="s">
        <v>229</v>
      </c>
    </row>
    <row r="1846" spans="1:5" ht="27">
      <c r="A1846" s="271">
        <v>100655</v>
      </c>
      <c r="B1846" s="272" t="s">
        <v>12805</v>
      </c>
      <c r="C1846" s="272" t="s">
        <v>5</v>
      </c>
      <c r="D1846" s="273" t="s">
        <v>22193</v>
      </c>
      <c r="E1846" s="274" t="s">
        <v>229</v>
      </c>
    </row>
    <row r="1847" spans="1:5" ht="27">
      <c r="A1847" s="271">
        <v>100656</v>
      </c>
      <c r="B1847" s="272" t="s">
        <v>9176</v>
      </c>
      <c r="C1847" s="272" t="s">
        <v>5</v>
      </c>
      <c r="D1847" s="273" t="s">
        <v>16703</v>
      </c>
      <c r="E1847" s="274" t="s">
        <v>229</v>
      </c>
    </row>
    <row r="1848" spans="1:5" ht="27">
      <c r="A1848" s="271">
        <v>100657</v>
      </c>
      <c r="B1848" s="272" t="s">
        <v>9177</v>
      </c>
      <c r="C1848" s="272" t="s">
        <v>5</v>
      </c>
      <c r="D1848" s="273" t="s">
        <v>22194</v>
      </c>
      <c r="E1848" s="274" t="s">
        <v>229</v>
      </c>
    </row>
    <row r="1849" spans="1:5" ht="27">
      <c r="A1849" s="271">
        <v>100658</v>
      </c>
      <c r="B1849" s="272" t="s">
        <v>9178</v>
      </c>
      <c r="C1849" s="272" t="s">
        <v>5</v>
      </c>
      <c r="D1849" s="273" t="s">
        <v>22195</v>
      </c>
      <c r="E1849" s="274" t="s">
        <v>229</v>
      </c>
    </row>
    <row r="1850" spans="1:5" ht="27">
      <c r="A1850" s="271">
        <v>100889</v>
      </c>
      <c r="B1850" s="272" t="s">
        <v>10153</v>
      </c>
      <c r="C1850" s="272" t="s">
        <v>108</v>
      </c>
      <c r="D1850" s="273" t="s">
        <v>11460</v>
      </c>
      <c r="E1850" s="274" t="s">
        <v>229</v>
      </c>
    </row>
    <row r="1851" spans="1:5" ht="27">
      <c r="A1851" s="271">
        <v>100890</v>
      </c>
      <c r="B1851" s="272" t="s">
        <v>10155</v>
      </c>
      <c r="C1851" s="272" t="s">
        <v>108</v>
      </c>
      <c r="D1851" s="273" t="s">
        <v>11296</v>
      </c>
      <c r="E1851" s="274" t="s">
        <v>229</v>
      </c>
    </row>
    <row r="1852" spans="1:5" ht="27">
      <c r="A1852" s="271">
        <v>100892</v>
      </c>
      <c r="B1852" s="272" t="s">
        <v>10157</v>
      </c>
      <c r="C1852" s="272" t="s">
        <v>108</v>
      </c>
      <c r="D1852" s="273" t="s">
        <v>21097</v>
      </c>
      <c r="E1852" s="274" t="s">
        <v>229</v>
      </c>
    </row>
    <row r="1853" spans="1:5" ht="27">
      <c r="A1853" s="271">
        <v>100893</v>
      </c>
      <c r="B1853" s="272" t="s">
        <v>10159</v>
      </c>
      <c r="C1853" s="272" t="s">
        <v>108</v>
      </c>
      <c r="D1853" s="273" t="s">
        <v>16062</v>
      </c>
      <c r="E1853" s="274" t="s">
        <v>229</v>
      </c>
    </row>
    <row r="1854" spans="1:5" ht="27">
      <c r="A1854" s="271">
        <v>100894</v>
      </c>
      <c r="B1854" s="272" t="s">
        <v>10161</v>
      </c>
      <c r="C1854" s="272" t="s">
        <v>108</v>
      </c>
      <c r="D1854" s="273" t="s">
        <v>16548</v>
      </c>
      <c r="E1854" s="274" t="s">
        <v>229</v>
      </c>
    </row>
    <row r="1855" spans="1:5" ht="40.5">
      <c r="A1855" s="271">
        <v>100896</v>
      </c>
      <c r="B1855" s="272" t="s">
        <v>10162</v>
      </c>
      <c r="C1855" s="272" t="s">
        <v>5</v>
      </c>
      <c r="D1855" s="273" t="s">
        <v>19768</v>
      </c>
      <c r="E1855" s="274" t="s">
        <v>229</v>
      </c>
    </row>
    <row r="1856" spans="1:5" ht="40.5">
      <c r="A1856" s="271">
        <v>100897</v>
      </c>
      <c r="B1856" s="272" t="s">
        <v>10163</v>
      </c>
      <c r="C1856" s="272" t="s">
        <v>5</v>
      </c>
      <c r="D1856" s="273" t="s">
        <v>22196</v>
      </c>
      <c r="E1856" s="274" t="s">
        <v>229</v>
      </c>
    </row>
    <row r="1857" spans="1:5" ht="40.5">
      <c r="A1857" s="271">
        <v>100898</v>
      </c>
      <c r="B1857" s="272" t="s">
        <v>10164</v>
      </c>
      <c r="C1857" s="272" t="s">
        <v>5</v>
      </c>
      <c r="D1857" s="273" t="s">
        <v>22197</v>
      </c>
      <c r="E1857" s="274" t="s">
        <v>229</v>
      </c>
    </row>
    <row r="1858" spans="1:5" ht="27">
      <c r="A1858" s="271">
        <v>100899</v>
      </c>
      <c r="B1858" s="272" t="s">
        <v>10165</v>
      </c>
      <c r="C1858" s="272" t="s">
        <v>5</v>
      </c>
      <c r="D1858" s="273" t="s">
        <v>14176</v>
      </c>
      <c r="E1858" s="274" t="s">
        <v>229</v>
      </c>
    </row>
    <row r="1859" spans="1:5" ht="27">
      <c r="A1859" s="271">
        <v>100900</v>
      </c>
      <c r="B1859" s="272" t="s">
        <v>10166</v>
      </c>
      <c r="C1859" s="272" t="s">
        <v>5</v>
      </c>
      <c r="D1859" s="273" t="s">
        <v>22198</v>
      </c>
      <c r="E1859" s="274" t="s">
        <v>229</v>
      </c>
    </row>
    <row r="1860" spans="1:5" ht="27">
      <c r="A1860" s="271">
        <v>100929</v>
      </c>
      <c r="B1860" s="272" t="s">
        <v>22199</v>
      </c>
      <c r="C1860" s="272" t="s">
        <v>5</v>
      </c>
      <c r="D1860" s="273" t="s">
        <v>22200</v>
      </c>
      <c r="E1860" s="274" t="s">
        <v>229</v>
      </c>
    </row>
    <row r="1861" spans="1:5" ht="27">
      <c r="A1861" s="271">
        <v>100931</v>
      </c>
      <c r="B1861" s="272" t="s">
        <v>22201</v>
      </c>
      <c r="C1861" s="272" t="s">
        <v>5</v>
      </c>
      <c r="D1861" s="273" t="s">
        <v>22202</v>
      </c>
      <c r="E1861" s="274" t="s">
        <v>229</v>
      </c>
    </row>
    <row r="1862" spans="1:5" ht="27">
      <c r="A1862" s="271">
        <v>100932</v>
      </c>
      <c r="B1862" s="272" t="s">
        <v>22203</v>
      </c>
      <c r="C1862" s="272" t="s">
        <v>5</v>
      </c>
      <c r="D1862" s="273" t="s">
        <v>22204</v>
      </c>
      <c r="E1862" s="274" t="s">
        <v>229</v>
      </c>
    </row>
    <row r="1863" spans="1:5" ht="27">
      <c r="A1863" s="271">
        <v>100933</v>
      </c>
      <c r="B1863" s="272" t="s">
        <v>22205</v>
      </c>
      <c r="C1863" s="272" t="s">
        <v>5</v>
      </c>
      <c r="D1863" s="273" t="s">
        <v>22206</v>
      </c>
      <c r="E1863" s="274" t="s">
        <v>229</v>
      </c>
    </row>
    <row r="1864" spans="1:5" ht="27">
      <c r="A1864" s="271">
        <v>100934</v>
      </c>
      <c r="B1864" s="272" t="s">
        <v>22207</v>
      </c>
      <c r="C1864" s="272" t="s">
        <v>5</v>
      </c>
      <c r="D1864" s="273" t="s">
        <v>22208</v>
      </c>
      <c r="E1864" s="274" t="s">
        <v>229</v>
      </c>
    </row>
    <row r="1865" spans="1:5" ht="27">
      <c r="A1865" s="271">
        <v>100935</v>
      </c>
      <c r="B1865" s="272" t="s">
        <v>22209</v>
      </c>
      <c r="C1865" s="272" t="s">
        <v>5</v>
      </c>
      <c r="D1865" s="273" t="s">
        <v>22210</v>
      </c>
      <c r="E1865" s="274" t="s">
        <v>229</v>
      </c>
    </row>
    <row r="1866" spans="1:5" ht="27">
      <c r="A1866" s="271">
        <v>101173</v>
      </c>
      <c r="B1866" s="272" t="s">
        <v>10167</v>
      </c>
      <c r="C1866" s="272" t="s">
        <v>5</v>
      </c>
      <c r="D1866" s="273" t="s">
        <v>22211</v>
      </c>
      <c r="E1866" s="274" t="s">
        <v>229</v>
      </c>
    </row>
    <row r="1867" spans="1:5" ht="27">
      <c r="A1867" s="271">
        <v>101174</v>
      </c>
      <c r="B1867" s="272" t="s">
        <v>10168</v>
      </c>
      <c r="C1867" s="272" t="s">
        <v>5</v>
      </c>
      <c r="D1867" s="273" t="s">
        <v>22212</v>
      </c>
      <c r="E1867" s="274" t="s">
        <v>229</v>
      </c>
    </row>
    <row r="1868" spans="1:5" ht="27">
      <c r="A1868" s="271">
        <v>101175</v>
      </c>
      <c r="B1868" s="272" t="s">
        <v>10169</v>
      </c>
      <c r="C1868" s="272" t="s">
        <v>5</v>
      </c>
      <c r="D1868" s="273" t="s">
        <v>22213</v>
      </c>
      <c r="E1868" s="274" t="s">
        <v>229</v>
      </c>
    </row>
    <row r="1869" spans="1:5" ht="27">
      <c r="A1869" s="271">
        <v>101176</v>
      </c>
      <c r="B1869" s="272" t="s">
        <v>10170</v>
      </c>
      <c r="C1869" s="272" t="s">
        <v>5</v>
      </c>
      <c r="D1869" s="273" t="s">
        <v>22214</v>
      </c>
      <c r="E1869" s="274" t="s">
        <v>229</v>
      </c>
    </row>
    <row r="1870" spans="1:5" ht="27">
      <c r="A1870" s="271">
        <v>102521</v>
      </c>
      <c r="B1870" s="272" t="s">
        <v>22215</v>
      </c>
      <c r="C1870" s="272" t="s">
        <v>109</v>
      </c>
      <c r="D1870" s="273" t="s">
        <v>22216</v>
      </c>
      <c r="E1870" s="274" t="s">
        <v>229</v>
      </c>
    </row>
    <row r="1871" spans="1:5" ht="27">
      <c r="A1871" s="271">
        <v>102522</v>
      </c>
      <c r="B1871" s="272" t="s">
        <v>22217</v>
      </c>
      <c r="C1871" s="272" t="s">
        <v>109</v>
      </c>
      <c r="D1871" s="273" t="s">
        <v>22218</v>
      </c>
      <c r="E1871" s="274" t="s">
        <v>229</v>
      </c>
    </row>
    <row r="1872" spans="1:5" ht="27">
      <c r="A1872" s="271">
        <v>102523</v>
      </c>
      <c r="B1872" s="272" t="s">
        <v>22219</v>
      </c>
      <c r="C1872" s="272" t="s">
        <v>109</v>
      </c>
      <c r="D1872" s="273" t="s">
        <v>22220</v>
      </c>
      <c r="E1872" s="274" t="s">
        <v>229</v>
      </c>
    </row>
    <row r="1873" spans="1:5" ht="27">
      <c r="A1873" s="271">
        <v>95240</v>
      </c>
      <c r="B1873" s="272" t="s">
        <v>15892</v>
      </c>
      <c r="C1873" s="272" t="s">
        <v>193</v>
      </c>
      <c r="D1873" s="273" t="s">
        <v>11300</v>
      </c>
      <c r="E1873" s="274" t="s">
        <v>229</v>
      </c>
    </row>
    <row r="1874" spans="1:5" ht="27">
      <c r="A1874" s="271">
        <v>95241</v>
      </c>
      <c r="B1874" s="272" t="s">
        <v>15893</v>
      </c>
      <c r="C1874" s="272" t="s">
        <v>193</v>
      </c>
      <c r="D1874" s="273" t="s">
        <v>14160</v>
      </c>
      <c r="E1874" s="274" t="s">
        <v>229</v>
      </c>
    </row>
    <row r="1875" spans="1:5" ht="13.5">
      <c r="A1875" s="271">
        <v>96616</v>
      </c>
      <c r="B1875" s="272" t="s">
        <v>3415</v>
      </c>
      <c r="C1875" s="272" t="s">
        <v>209</v>
      </c>
      <c r="D1875" s="273" t="s">
        <v>22221</v>
      </c>
      <c r="E1875" s="274" t="s">
        <v>229</v>
      </c>
    </row>
    <row r="1876" spans="1:5" ht="27">
      <c r="A1876" s="271">
        <v>96617</v>
      </c>
      <c r="B1876" s="272" t="s">
        <v>3416</v>
      </c>
      <c r="C1876" s="272" t="s">
        <v>193</v>
      </c>
      <c r="D1876" s="273" t="s">
        <v>10524</v>
      </c>
      <c r="E1876" s="274" t="s">
        <v>229</v>
      </c>
    </row>
    <row r="1877" spans="1:5" ht="27">
      <c r="A1877" s="271">
        <v>96619</v>
      </c>
      <c r="B1877" s="272" t="s">
        <v>3417</v>
      </c>
      <c r="C1877" s="272" t="s">
        <v>193</v>
      </c>
      <c r="D1877" s="273" t="s">
        <v>14140</v>
      </c>
      <c r="E1877" s="274" t="s">
        <v>229</v>
      </c>
    </row>
    <row r="1878" spans="1:5" ht="13.5">
      <c r="A1878" s="271">
        <v>96620</v>
      </c>
      <c r="B1878" s="272" t="s">
        <v>15894</v>
      </c>
      <c r="C1878" s="272" t="s">
        <v>209</v>
      </c>
      <c r="D1878" s="273" t="s">
        <v>22222</v>
      </c>
      <c r="E1878" s="274" t="s">
        <v>229</v>
      </c>
    </row>
    <row r="1879" spans="1:5" ht="27">
      <c r="A1879" s="271">
        <v>96621</v>
      </c>
      <c r="B1879" s="272" t="s">
        <v>3418</v>
      </c>
      <c r="C1879" s="272" t="s">
        <v>209</v>
      </c>
      <c r="D1879" s="273" t="s">
        <v>22223</v>
      </c>
      <c r="E1879" s="274" t="s">
        <v>229</v>
      </c>
    </row>
    <row r="1880" spans="1:5" ht="27">
      <c r="A1880" s="271">
        <v>96622</v>
      </c>
      <c r="B1880" s="272" t="s">
        <v>15896</v>
      </c>
      <c r="C1880" s="272" t="s">
        <v>209</v>
      </c>
      <c r="D1880" s="273" t="s">
        <v>15924</v>
      </c>
      <c r="E1880" s="274" t="s">
        <v>229</v>
      </c>
    </row>
    <row r="1881" spans="1:5" ht="27">
      <c r="A1881" s="271">
        <v>96623</v>
      </c>
      <c r="B1881" s="272" t="s">
        <v>3419</v>
      </c>
      <c r="C1881" s="272" t="s">
        <v>209</v>
      </c>
      <c r="D1881" s="273" t="s">
        <v>15888</v>
      </c>
      <c r="E1881" s="274" t="s">
        <v>229</v>
      </c>
    </row>
    <row r="1882" spans="1:5" ht="27">
      <c r="A1882" s="271">
        <v>96624</v>
      </c>
      <c r="B1882" s="272" t="s">
        <v>15897</v>
      </c>
      <c r="C1882" s="272" t="s">
        <v>209</v>
      </c>
      <c r="D1882" s="273" t="s">
        <v>22224</v>
      </c>
      <c r="E1882" s="274" t="s">
        <v>229</v>
      </c>
    </row>
    <row r="1883" spans="1:5" ht="13.5">
      <c r="A1883" s="271">
        <v>97082</v>
      </c>
      <c r="B1883" s="272" t="s">
        <v>3420</v>
      </c>
      <c r="C1883" s="272" t="s">
        <v>209</v>
      </c>
      <c r="D1883" s="273" t="s">
        <v>20686</v>
      </c>
      <c r="E1883" s="274" t="s">
        <v>229</v>
      </c>
    </row>
    <row r="1884" spans="1:5" ht="27">
      <c r="A1884" s="271">
        <v>97083</v>
      </c>
      <c r="B1884" s="272" t="s">
        <v>3421</v>
      </c>
      <c r="C1884" s="272" t="s">
        <v>193</v>
      </c>
      <c r="D1884" s="273" t="s">
        <v>16200</v>
      </c>
      <c r="E1884" s="274" t="s">
        <v>229</v>
      </c>
    </row>
    <row r="1885" spans="1:5" ht="27">
      <c r="A1885" s="271">
        <v>97084</v>
      </c>
      <c r="B1885" s="272" t="s">
        <v>3422</v>
      </c>
      <c r="C1885" s="272" t="s">
        <v>193</v>
      </c>
      <c r="D1885" s="273" t="s">
        <v>12166</v>
      </c>
      <c r="E1885" s="274" t="s">
        <v>229</v>
      </c>
    </row>
    <row r="1886" spans="1:5" ht="27">
      <c r="A1886" s="271">
        <v>97086</v>
      </c>
      <c r="B1886" s="272" t="s">
        <v>3423</v>
      </c>
      <c r="C1886" s="272" t="s">
        <v>193</v>
      </c>
      <c r="D1886" s="273" t="s">
        <v>22225</v>
      </c>
      <c r="E1886" s="274" t="s">
        <v>229</v>
      </c>
    </row>
    <row r="1887" spans="1:5" ht="13.5">
      <c r="A1887" s="271">
        <v>97087</v>
      </c>
      <c r="B1887" s="272" t="s">
        <v>12806</v>
      </c>
      <c r="C1887" s="272" t="s">
        <v>193</v>
      </c>
      <c r="D1887" s="273" t="s">
        <v>11077</v>
      </c>
      <c r="E1887" s="274" t="s">
        <v>229</v>
      </c>
    </row>
    <row r="1888" spans="1:5" ht="13.5">
      <c r="A1888" s="271">
        <v>97088</v>
      </c>
      <c r="B1888" s="272" t="s">
        <v>12807</v>
      </c>
      <c r="C1888" s="272" t="s">
        <v>108</v>
      </c>
      <c r="D1888" s="273" t="s">
        <v>19547</v>
      </c>
      <c r="E1888" s="274" t="s">
        <v>229</v>
      </c>
    </row>
    <row r="1889" spans="1:5" ht="13.5">
      <c r="A1889" s="271">
        <v>97089</v>
      </c>
      <c r="B1889" s="272" t="s">
        <v>12808</v>
      </c>
      <c r="C1889" s="272" t="s">
        <v>108</v>
      </c>
      <c r="D1889" s="273" t="s">
        <v>10400</v>
      </c>
      <c r="E1889" s="274" t="s">
        <v>229</v>
      </c>
    </row>
    <row r="1890" spans="1:5" ht="13.5">
      <c r="A1890" s="271">
        <v>97090</v>
      </c>
      <c r="B1890" s="272" t="s">
        <v>12809</v>
      </c>
      <c r="C1890" s="272" t="s">
        <v>108</v>
      </c>
      <c r="D1890" s="273" t="s">
        <v>21431</v>
      </c>
      <c r="E1890" s="274" t="s">
        <v>229</v>
      </c>
    </row>
    <row r="1891" spans="1:5" ht="13.5">
      <c r="A1891" s="271">
        <v>97091</v>
      </c>
      <c r="B1891" s="272" t="s">
        <v>12810</v>
      </c>
      <c r="C1891" s="272" t="s">
        <v>108</v>
      </c>
      <c r="D1891" s="273" t="s">
        <v>16447</v>
      </c>
      <c r="E1891" s="274" t="s">
        <v>229</v>
      </c>
    </row>
    <row r="1892" spans="1:5" ht="13.5">
      <c r="A1892" s="271">
        <v>97092</v>
      </c>
      <c r="B1892" s="272" t="s">
        <v>12811</v>
      </c>
      <c r="C1892" s="272" t="s">
        <v>108</v>
      </c>
      <c r="D1892" s="273" t="s">
        <v>22226</v>
      </c>
      <c r="E1892" s="274" t="s">
        <v>229</v>
      </c>
    </row>
    <row r="1893" spans="1:5" ht="13.5">
      <c r="A1893" s="271">
        <v>97093</v>
      </c>
      <c r="B1893" s="272" t="s">
        <v>12812</v>
      </c>
      <c r="C1893" s="272" t="s">
        <v>108</v>
      </c>
      <c r="D1893" s="273" t="s">
        <v>11044</v>
      </c>
      <c r="E1893" s="274" t="s">
        <v>229</v>
      </c>
    </row>
    <row r="1894" spans="1:5" ht="27">
      <c r="A1894" s="271">
        <v>97094</v>
      </c>
      <c r="B1894" s="272" t="s">
        <v>3424</v>
      </c>
      <c r="C1894" s="272" t="s">
        <v>209</v>
      </c>
      <c r="D1894" s="273" t="s">
        <v>22227</v>
      </c>
      <c r="E1894" s="274" t="s">
        <v>229</v>
      </c>
    </row>
    <row r="1895" spans="1:5" ht="27">
      <c r="A1895" s="271">
        <v>97095</v>
      </c>
      <c r="B1895" s="272" t="s">
        <v>3425</v>
      </c>
      <c r="C1895" s="272" t="s">
        <v>209</v>
      </c>
      <c r="D1895" s="273" t="s">
        <v>22228</v>
      </c>
      <c r="E1895" s="274" t="s">
        <v>229</v>
      </c>
    </row>
    <row r="1896" spans="1:5" ht="27">
      <c r="A1896" s="271">
        <v>97096</v>
      </c>
      <c r="B1896" s="272" t="s">
        <v>3426</v>
      </c>
      <c r="C1896" s="272" t="s">
        <v>209</v>
      </c>
      <c r="D1896" s="273" t="s">
        <v>22229</v>
      </c>
      <c r="E1896" s="274" t="s">
        <v>229</v>
      </c>
    </row>
    <row r="1897" spans="1:5" ht="13.5">
      <c r="A1897" s="271">
        <v>97097</v>
      </c>
      <c r="B1897" s="272" t="s">
        <v>10171</v>
      </c>
      <c r="C1897" s="272" t="s">
        <v>193</v>
      </c>
      <c r="D1897" s="273" t="s">
        <v>10180</v>
      </c>
      <c r="E1897" s="274" t="s">
        <v>229</v>
      </c>
    </row>
    <row r="1898" spans="1:5" ht="27">
      <c r="A1898" s="271">
        <v>97101</v>
      </c>
      <c r="B1898" s="272" t="s">
        <v>12813</v>
      </c>
      <c r="C1898" s="272" t="s">
        <v>193</v>
      </c>
      <c r="D1898" s="273" t="s">
        <v>22230</v>
      </c>
      <c r="E1898" s="274" t="s">
        <v>229</v>
      </c>
    </row>
    <row r="1899" spans="1:5" ht="27">
      <c r="A1899" s="271">
        <v>97102</v>
      </c>
      <c r="B1899" s="272" t="s">
        <v>12814</v>
      </c>
      <c r="C1899" s="272" t="s">
        <v>193</v>
      </c>
      <c r="D1899" s="273" t="s">
        <v>22231</v>
      </c>
      <c r="E1899" s="274" t="s">
        <v>229</v>
      </c>
    </row>
    <row r="1900" spans="1:5" ht="27">
      <c r="A1900" s="271">
        <v>97103</v>
      </c>
      <c r="B1900" s="272" t="s">
        <v>12815</v>
      </c>
      <c r="C1900" s="272" t="s">
        <v>193</v>
      </c>
      <c r="D1900" s="273" t="s">
        <v>22232</v>
      </c>
      <c r="E1900" s="274" t="s">
        <v>229</v>
      </c>
    </row>
    <row r="1901" spans="1:5" ht="27">
      <c r="A1901" s="271">
        <v>100322</v>
      </c>
      <c r="B1901" s="272" t="s">
        <v>15901</v>
      </c>
      <c r="C1901" s="272" t="s">
        <v>209</v>
      </c>
      <c r="D1901" s="273" t="s">
        <v>22233</v>
      </c>
      <c r="E1901" s="274" t="s">
        <v>229</v>
      </c>
    </row>
    <row r="1902" spans="1:5" ht="27">
      <c r="A1902" s="271">
        <v>100323</v>
      </c>
      <c r="B1902" s="272" t="s">
        <v>15903</v>
      </c>
      <c r="C1902" s="272" t="s">
        <v>209</v>
      </c>
      <c r="D1902" s="273" t="s">
        <v>16380</v>
      </c>
      <c r="E1902" s="274" t="s">
        <v>229</v>
      </c>
    </row>
    <row r="1903" spans="1:5" ht="27">
      <c r="A1903" s="271">
        <v>100324</v>
      </c>
      <c r="B1903" s="272" t="s">
        <v>15904</v>
      </c>
      <c r="C1903" s="272" t="s">
        <v>209</v>
      </c>
      <c r="D1903" s="273" t="s">
        <v>22234</v>
      </c>
      <c r="E1903" s="274" t="s">
        <v>229</v>
      </c>
    </row>
    <row r="1904" spans="1:5" ht="27">
      <c r="A1904" s="271">
        <v>90996</v>
      </c>
      <c r="B1904" s="272" t="s">
        <v>1329</v>
      </c>
      <c r="C1904" s="272" t="s">
        <v>193</v>
      </c>
      <c r="D1904" s="273" t="s">
        <v>10011</v>
      </c>
      <c r="E1904" s="274" t="s">
        <v>229</v>
      </c>
    </row>
    <row r="1905" spans="1:5" ht="27">
      <c r="A1905" s="271">
        <v>90997</v>
      </c>
      <c r="B1905" s="272" t="s">
        <v>1330</v>
      </c>
      <c r="C1905" s="272" t="s">
        <v>193</v>
      </c>
      <c r="D1905" s="273" t="s">
        <v>19957</v>
      </c>
      <c r="E1905" s="274" t="s">
        <v>229</v>
      </c>
    </row>
    <row r="1906" spans="1:5" ht="27">
      <c r="A1906" s="271">
        <v>90998</v>
      </c>
      <c r="B1906" s="272" t="s">
        <v>1331</v>
      </c>
      <c r="C1906" s="272" t="s">
        <v>193</v>
      </c>
      <c r="D1906" s="273" t="s">
        <v>11055</v>
      </c>
      <c r="E1906" s="274" t="s">
        <v>229</v>
      </c>
    </row>
    <row r="1907" spans="1:5" ht="27">
      <c r="A1907" s="271">
        <v>91000</v>
      </c>
      <c r="B1907" s="272" t="s">
        <v>1332</v>
      </c>
      <c r="C1907" s="272" t="s">
        <v>193</v>
      </c>
      <c r="D1907" s="273" t="s">
        <v>9771</v>
      </c>
      <c r="E1907" s="274" t="s">
        <v>229</v>
      </c>
    </row>
    <row r="1908" spans="1:5" ht="27">
      <c r="A1908" s="271">
        <v>91002</v>
      </c>
      <c r="B1908" s="272" t="s">
        <v>1333</v>
      </c>
      <c r="C1908" s="272" t="s">
        <v>193</v>
      </c>
      <c r="D1908" s="273" t="s">
        <v>10125</v>
      </c>
      <c r="E1908" s="274" t="s">
        <v>229</v>
      </c>
    </row>
    <row r="1909" spans="1:5" ht="27">
      <c r="A1909" s="271">
        <v>91003</v>
      </c>
      <c r="B1909" s="272" t="s">
        <v>1334</v>
      </c>
      <c r="C1909" s="272" t="s">
        <v>193</v>
      </c>
      <c r="D1909" s="273" t="s">
        <v>12252</v>
      </c>
      <c r="E1909" s="274" t="s">
        <v>229</v>
      </c>
    </row>
    <row r="1910" spans="1:5" ht="27">
      <c r="A1910" s="271">
        <v>91004</v>
      </c>
      <c r="B1910" s="272" t="s">
        <v>1335</v>
      </c>
      <c r="C1910" s="272" t="s">
        <v>193</v>
      </c>
      <c r="D1910" s="273" t="s">
        <v>10536</v>
      </c>
      <c r="E1910" s="274" t="s">
        <v>229</v>
      </c>
    </row>
    <row r="1911" spans="1:5" ht="27">
      <c r="A1911" s="271">
        <v>91005</v>
      </c>
      <c r="B1911" s="272" t="s">
        <v>1336</v>
      </c>
      <c r="C1911" s="272" t="s">
        <v>193</v>
      </c>
      <c r="D1911" s="273" t="s">
        <v>10175</v>
      </c>
      <c r="E1911" s="274" t="s">
        <v>229</v>
      </c>
    </row>
    <row r="1912" spans="1:5" ht="27">
      <c r="A1912" s="271">
        <v>91006</v>
      </c>
      <c r="B1912" s="272" t="s">
        <v>1337</v>
      </c>
      <c r="C1912" s="272" t="s">
        <v>193</v>
      </c>
      <c r="D1912" s="273" t="s">
        <v>10860</v>
      </c>
      <c r="E1912" s="274" t="s">
        <v>229</v>
      </c>
    </row>
    <row r="1913" spans="1:5" s="181" customFormat="1" ht="27">
      <c r="A1913" s="276">
        <v>91007</v>
      </c>
      <c r="B1913" s="277" t="s">
        <v>1338</v>
      </c>
      <c r="C1913" s="277" t="s">
        <v>193</v>
      </c>
      <c r="D1913" s="278" t="s">
        <v>10634</v>
      </c>
      <c r="E1913" s="465" t="s">
        <v>229</v>
      </c>
    </row>
    <row r="1914" spans="1:5" s="181" customFormat="1" ht="27">
      <c r="A1914" s="276">
        <v>91008</v>
      </c>
      <c r="B1914" s="277" t="s">
        <v>1339</v>
      </c>
      <c r="C1914" s="277" t="s">
        <v>193</v>
      </c>
      <c r="D1914" s="278" t="s">
        <v>11296</v>
      </c>
      <c r="E1914" s="465" t="s">
        <v>229</v>
      </c>
    </row>
    <row r="1915" spans="1:5" s="181" customFormat="1" ht="27">
      <c r="A1915" s="276">
        <v>92263</v>
      </c>
      <c r="B1915" s="277" t="s">
        <v>12816</v>
      </c>
      <c r="C1915" s="277" t="s">
        <v>193</v>
      </c>
      <c r="D1915" s="278" t="s">
        <v>22235</v>
      </c>
      <c r="E1915" s="465" t="s">
        <v>229</v>
      </c>
    </row>
    <row r="1916" spans="1:5" s="181" customFormat="1" ht="27">
      <c r="A1916" s="276">
        <v>92264</v>
      </c>
      <c r="B1916" s="277" t="s">
        <v>12817</v>
      </c>
      <c r="C1916" s="277" t="s">
        <v>193</v>
      </c>
      <c r="D1916" s="278" t="s">
        <v>19208</v>
      </c>
      <c r="E1916" s="465" t="s">
        <v>229</v>
      </c>
    </row>
    <row r="1917" spans="1:5" ht="27">
      <c r="A1917" s="271">
        <v>92265</v>
      </c>
      <c r="B1917" s="272" t="s">
        <v>12818</v>
      </c>
      <c r="C1917" s="272" t="s">
        <v>193</v>
      </c>
      <c r="D1917" s="273" t="s">
        <v>15912</v>
      </c>
      <c r="E1917" s="274" t="s">
        <v>229</v>
      </c>
    </row>
    <row r="1918" spans="1:5" ht="27">
      <c r="A1918" s="271">
        <v>92266</v>
      </c>
      <c r="B1918" s="272" t="s">
        <v>12819</v>
      </c>
      <c r="C1918" s="272" t="s">
        <v>193</v>
      </c>
      <c r="D1918" s="273" t="s">
        <v>22236</v>
      </c>
      <c r="E1918" s="274" t="s">
        <v>229</v>
      </c>
    </row>
    <row r="1919" spans="1:5" ht="27">
      <c r="A1919" s="271">
        <v>92267</v>
      </c>
      <c r="B1919" s="272" t="s">
        <v>12820</v>
      </c>
      <c r="C1919" s="272" t="s">
        <v>193</v>
      </c>
      <c r="D1919" s="273" t="s">
        <v>14245</v>
      </c>
      <c r="E1919" s="274" t="s">
        <v>229</v>
      </c>
    </row>
    <row r="1920" spans="1:5" ht="27">
      <c r="A1920" s="271">
        <v>92268</v>
      </c>
      <c r="B1920" s="272" t="s">
        <v>12821</v>
      </c>
      <c r="C1920" s="272" t="s">
        <v>193</v>
      </c>
      <c r="D1920" s="273" t="s">
        <v>22237</v>
      </c>
      <c r="E1920" s="274" t="s">
        <v>229</v>
      </c>
    </row>
    <row r="1921" spans="1:5" ht="27">
      <c r="A1921" s="271">
        <v>92269</v>
      </c>
      <c r="B1921" s="272" t="s">
        <v>12822</v>
      </c>
      <c r="C1921" s="272" t="s">
        <v>193</v>
      </c>
      <c r="D1921" s="273" t="s">
        <v>22238</v>
      </c>
      <c r="E1921" s="274" t="s">
        <v>229</v>
      </c>
    </row>
    <row r="1922" spans="1:5" ht="13.5">
      <c r="A1922" s="271">
        <v>92270</v>
      </c>
      <c r="B1922" s="272" t="s">
        <v>12823</v>
      </c>
      <c r="C1922" s="272" t="s">
        <v>193</v>
      </c>
      <c r="D1922" s="273" t="s">
        <v>22239</v>
      </c>
      <c r="E1922" s="274" t="s">
        <v>229</v>
      </c>
    </row>
    <row r="1923" spans="1:5" ht="13.5">
      <c r="A1923" s="271">
        <v>92271</v>
      </c>
      <c r="B1923" s="272" t="s">
        <v>12824</v>
      </c>
      <c r="C1923" s="272" t="s">
        <v>193</v>
      </c>
      <c r="D1923" s="273" t="s">
        <v>22240</v>
      </c>
      <c r="E1923" s="274" t="s">
        <v>229</v>
      </c>
    </row>
    <row r="1924" spans="1:5" ht="13.5">
      <c r="A1924" s="271">
        <v>92272</v>
      </c>
      <c r="B1924" s="272" t="s">
        <v>12825</v>
      </c>
      <c r="C1924" s="272" t="s">
        <v>5</v>
      </c>
      <c r="D1924" s="273" t="s">
        <v>22241</v>
      </c>
      <c r="E1924" s="274" t="s">
        <v>229</v>
      </c>
    </row>
    <row r="1925" spans="1:5" ht="27">
      <c r="A1925" s="271">
        <v>92273</v>
      </c>
      <c r="B1925" s="272" t="s">
        <v>12826</v>
      </c>
      <c r="C1925" s="272" t="s">
        <v>5</v>
      </c>
      <c r="D1925" s="273" t="s">
        <v>9807</v>
      </c>
      <c r="E1925" s="274" t="s">
        <v>229</v>
      </c>
    </row>
    <row r="1926" spans="1:5" ht="27">
      <c r="A1926" s="271">
        <v>92409</v>
      </c>
      <c r="B1926" s="272" t="s">
        <v>12827</v>
      </c>
      <c r="C1926" s="272" t="s">
        <v>193</v>
      </c>
      <c r="D1926" s="273" t="s">
        <v>22242</v>
      </c>
      <c r="E1926" s="274" t="s">
        <v>229</v>
      </c>
    </row>
    <row r="1927" spans="1:5" ht="27">
      <c r="A1927" s="271">
        <v>92411</v>
      </c>
      <c r="B1927" s="272" t="s">
        <v>12828</v>
      </c>
      <c r="C1927" s="272" t="s">
        <v>193</v>
      </c>
      <c r="D1927" s="273" t="s">
        <v>22243</v>
      </c>
      <c r="E1927" s="274" t="s">
        <v>229</v>
      </c>
    </row>
    <row r="1928" spans="1:5" ht="27">
      <c r="A1928" s="271">
        <v>92413</v>
      </c>
      <c r="B1928" s="272" t="s">
        <v>12829</v>
      </c>
      <c r="C1928" s="272" t="s">
        <v>193</v>
      </c>
      <c r="D1928" s="273" t="s">
        <v>22244</v>
      </c>
      <c r="E1928" s="274" t="s">
        <v>229</v>
      </c>
    </row>
    <row r="1929" spans="1:5" ht="27">
      <c r="A1929" s="271">
        <v>92415</v>
      </c>
      <c r="B1929" s="272" t="s">
        <v>12830</v>
      </c>
      <c r="C1929" s="272" t="s">
        <v>193</v>
      </c>
      <c r="D1929" s="273" t="s">
        <v>22245</v>
      </c>
      <c r="E1929" s="274" t="s">
        <v>229</v>
      </c>
    </row>
    <row r="1930" spans="1:5" ht="27">
      <c r="A1930" s="271">
        <v>92417</v>
      </c>
      <c r="B1930" s="272" t="s">
        <v>12831</v>
      </c>
      <c r="C1930" s="272" t="s">
        <v>193</v>
      </c>
      <c r="D1930" s="273" t="s">
        <v>22246</v>
      </c>
      <c r="E1930" s="274" t="s">
        <v>229</v>
      </c>
    </row>
    <row r="1931" spans="1:5" ht="27">
      <c r="A1931" s="271">
        <v>92419</v>
      </c>
      <c r="B1931" s="272" t="s">
        <v>12832</v>
      </c>
      <c r="C1931" s="272" t="s">
        <v>193</v>
      </c>
      <c r="D1931" s="273" t="s">
        <v>22247</v>
      </c>
      <c r="E1931" s="274" t="s">
        <v>229</v>
      </c>
    </row>
    <row r="1932" spans="1:5" ht="27">
      <c r="A1932" s="271">
        <v>92421</v>
      </c>
      <c r="B1932" s="272" t="s">
        <v>12833</v>
      </c>
      <c r="C1932" s="272" t="s">
        <v>193</v>
      </c>
      <c r="D1932" s="273" t="s">
        <v>22248</v>
      </c>
      <c r="E1932" s="274" t="s">
        <v>229</v>
      </c>
    </row>
    <row r="1933" spans="1:5" ht="27">
      <c r="A1933" s="271">
        <v>92423</v>
      </c>
      <c r="B1933" s="272" t="s">
        <v>12834</v>
      </c>
      <c r="C1933" s="272" t="s">
        <v>193</v>
      </c>
      <c r="D1933" s="273" t="s">
        <v>22249</v>
      </c>
      <c r="E1933" s="274" t="s">
        <v>229</v>
      </c>
    </row>
    <row r="1934" spans="1:5" ht="27">
      <c r="A1934" s="271">
        <v>92425</v>
      </c>
      <c r="B1934" s="272" t="s">
        <v>12835</v>
      </c>
      <c r="C1934" s="272" t="s">
        <v>193</v>
      </c>
      <c r="D1934" s="273" t="s">
        <v>22250</v>
      </c>
      <c r="E1934" s="274" t="s">
        <v>229</v>
      </c>
    </row>
    <row r="1935" spans="1:5" ht="27">
      <c r="A1935" s="271">
        <v>92427</v>
      </c>
      <c r="B1935" s="272" t="s">
        <v>12836</v>
      </c>
      <c r="C1935" s="272" t="s">
        <v>193</v>
      </c>
      <c r="D1935" s="273" t="s">
        <v>20104</v>
      </c>
      <c r="E1935" s="274" t="s">
        <v>229</v>
      </c>
    </row>
    <row r="1936" spans="1:5" ht="27">
      <c r="A1936" s="271">
        <v>92429</v>
      </c>
      <c r="B1936" s="272" t="s">
        <v>12837</v>
      </c>
      <c r="C1936" s="272" t="s">
        <v>193</v>
      </c>
      <c r="D1936" s="273" t="s">
        <v>11289</v>
      </c>
      <c r="E1936" s="274" t="s">
        <v>229</v>
      </c>
    </row>
    <row r="1937" spans="1:5" ht="40.5">
      <c r="A1937" s="271">
        <v>92431</v>
      </c>
      <c r="B1937" s="272" t="s">
        <v>12838</v>
      </c>
      <c r="C1937" s="272" t="s">
        <v>193</v>
      </c>
      <c r="D1937" s="273" t="s">
        <v>22251</v>
      </c>
      <c r="E1937" s="274" t="s">
        <v>229</v>
      </c>
    </row>
    <row r="1938" spans="1:5" ht="40.5">
      <c r="A1938" s="271">
        <v>92433</v>
      </c>
      <c r="B1938" s="272" t="s">
        <v>12839</v>
      </c>
      <c r="C1938" s="272" t="s">
        <v>193</v>
      </c>
      <c r="D1938" s="273" t="s">
        <v>15960</v>
      </c>
      <c r="E1938" s="274" t="s">
        <v>229</v>
      </c>
    </row>
    <row r="1939" spans="1:5" ht="40.5">
      <c r="A1939" s="271">
        <v>92435</v>
      </c>
      <c r="B1939" s="272" t="s">
        <v>12840</v>
      </c>
      <c r="C1939" s="272" t="s">
        <v>193</v>
      </c>
      <c r="D1939" s="273" t="s">
        <v>10778</v>
      </c>
      <c r="E1939" s="274" t="s">
        <v>229</v>
      </c>
    </row>
    <row r="1940" spans="1:5" ht="40.5">
      <c r="A1940" s="271">
        <v>92437</v>
      </c>
      <c r="B1940" s="272" t="s">
        <v>12841</v>
      </c>
      <c r="C1940" s="272" t="s">
        <v>193</v>
      </c>
      <c r="D1940" s="273" t="s">
        <v>22252</v>
      </c>
      <c r="E1940" s="274" t="s">
        <v>229</v>
      </c>
    </row>
    <row r="1941" spans="1:5" ht="40.5">
      <c r="A1941" s="271">
        <v>92439</v>
      </c>
      <c r="B1941" s="272" t="s">
        <v>12842</v>
      </c>
      <c r="C1941" s="272" t="s">
        <v>193</v>
      </c>
      <c r="D1941" s="273" t="s">
        <v>22253</v>
      </c>
      <c r="E1941" s="274" t="s">
        <v>229</v>
      </c>
    </row>
    <row r="1942" spans="1:5" ht="40.5">
      <c r="A1942" s="271">
        <v>92441</v>
      </c>
      <c r="B1942" s="272" t="s">
        <v>12843</v>
      </c>
      <c r="C1942" s="272" t="s">
        <v>193</v>
      </c>
      <c r="D1942" s="273" t="s">
        <v>10131</v>
      </c>
      <c r="E1942" s="274" t="s">
        <v>229</v>
      </c>
    </row>
    <row r="1943" spans="1:5" ht="40.5">
      <c r="A1943" s="271">
        <v>92443</v>
      </c>
      <c r="B1943" s="272" t="s">
        <v>12844</v>
      </c>
      <c r="C1943" s="272" t="s">
        <v>193</v>
      </c>
      <c r="D1943" s="273" t="s">
        <v>16468</v>
      </c>
      <c r="E1943" s="274" t="s">
        <v>229</v>
      </c>
    </row>
    <row r="1944" spans="1:5" ht="40.5">
      <c r="A1944" s="271">
        <v>92445</v>
      </c>
      <c r="B1944" s="272" t="s">
        <v>12845</v>
      </c>
      <c r="C1944" s="272" t="s">
        <v>193</v>
      </c>
      <c r="D1944" s="273" t="s">
        <v>22254</v>
      </c>
      <c r="E1944" s="274" t="s">
        <v>229</v>
      </c>
    </row>
    <row r="1945" spans="1:5" ht="27">
      <c r="A1945" s="271">
        <v>92446</v>
      </c>
      <c r="B1945" s="272" t="s">
        <v>12846</v>
      </c>
      <c r="C1945" s="272" t="s">
        <v>193</v>
      </c>
      <c r="D1945" s="273" t="s">
        <v>22255</v>
      </c>
      <c r="E1945" s="274" t="s">
        <v>229</v>
      </c>
    </row>
    <row r="1946" spans="1:5" ht="27">
      <c r="A1946" s="271">
        <v>92447</v>
      </c>
      <c r="B1946" s="272" t="s">
        <v>12847</v>
      </c>
      <c r="C1946" s="272" t="s">
        <v>193</v>
      </c>
      <c r="D1946" s="273" t="s">
        <v>22256</v>
      </c>
      <c r="E1946" s="274" t="s">
        <v>229</v>
      </c>
    </row>
    <row r="1947" spans="1:5" ht="27">
      <c r="A1947" s="271">
        <v>92448</v>
      </c>
      <c r="B1947" s="272" t="s">
        <v>12848</v>
      </c>
      <c r="C1947" s="272" t="s">
        <v>193</v>
      </c>
      <c r="D1947" s="273" t="s">
        <v>22257</v>
      </c>
      <c r="E1947" s="274" t="s">
        <v>229</v>
      </c>
    </row>
    <row r="1948" spans="1:5" ht="27">
      <c r="A1948" s="271">
        <v>92449</v>
      </c>
      <c r="B1948" s="272" t="s">
        <v>12849</v>
      </c>
      <c r="C1948" s="272" t="s">
        <v>193</v>
      </c>
      <c r="D1948" s="273" t="s">
        <v>22258</v>
      </c>
      <c r="E1948" s="274" t="s">
        <v>229</v>
      </c>
    </row>
    <row r="1949" spans="1:5" ht="27">
      <c r="A1949" s="271">
        <v>92450</v>
      </c>
      <c r="B1949" s="272" t="s">
        <v>12850</v>
      </c>
      <c r="C1949" s="272" t="s">
        <v>193</v>
      </c>
      <c r="D1949" s="273" t="s">
        <v>22259</v>
      </c>
      <c r="E1949" s="274" t="s">
        <v>229</v>
      </c>
    </row>
    <row r="1950" spans="1:5" ht="27">
      <c r="A1950" s="271">
        <v>92451</v>
      </c>
      <c r="B1950" s="272" t="s">
        <v>12851</v>
      </c>
      <c r="C1950" s="272" t="s">
        <v>193</v>
      </c>
      <c r="D1950" s="273" t="s">
        <v>22260</v>
      </c>
      <c r="E1950" s="274" t="s">
        <v>229</v>
      </c>
    </row>
    <row r="1951" spans="1:5" ht="27">
      <c r="A1951" s="271">
        <v>92452</v>
      </c>
      <c r="B1951" s="272" t="s">
        <v>12852</v>
      </c>
      <c r="C1951" s="272" t="s">
        <v>193</v>
      </c>
      <c r="D1951" s="273" t="s">
        <v>22261</v>
      </c>
      <c r="E1951" s="274" t="s">
        <v>229</v>
      </c>
    </row>
    <row r="1952" spans="1:5" ht="27">
      <c r="A1952" s="271">
        <v>92453</v>
      </c>
      <c r="B1952" s="272" t="s">
        <v>12853</v>
      </c>
      <c r="C1952" s="272" t="s">
        <v>193</v>
      </c>
      <c r="D1952" s="273" t="s">
        <v>22262</v>
      </c>
      <c r="E1952" s="274" t="s">
        <v>229</v>
      </c>
    </row>
    <row r="1953" spans="1:5" ht="27">
      <c r="A1953" s="271">
        <v>92454</v>
      </c>
      <c r="B1953" s="272" t="s">
        <v>12854</v>
      </c>
      <c r="C1953" s="272" t="s">
        <v>193</v>
      </c>
      <c r="D1953" s="273" t="s">
        <v>22263</v>
      </c>
      <c r="E1953" s="274" t="s">
        <v>229</v>
      </c>
    </row>
    <row r="1954" spans="1:5" ht="27">
      <c r="A1954" s="271">
        <v>92455</v>
      </c>
      <c r="B1954" s="272" t="s">
        <v>12855</v>
      </c>
      <c r="C1954" s="272" t="s">
        <v>193</v>
      </c>
      <c r="D1954" s="273" t="s">
        <v>22264</v>
      </c>
      <c r="E1954" s="274" t="s">
        <v>229</v>
      </c>
    </row>
    <row r="1955" spans="1:5" ht="27">
      <c r="A1955" s="271">
        <v>92456</v>
      </c>
      <c r="B1955" s="272" t="s">
        <v>12856</v>
      </c>
      <c r="C1955" s="272" t="s">
        <v>193</v>
      </c>
      <c r="D1955" s="273" t="s">
        <v>22265</v>
      </c>
      <c r="E1955" s="274" t="s">
        <v>229</v>
      </c>
    </row>
    <row r="1956" spans="1:5" ht="27">
      <c r="A1956" s="271">
        <v>92457</v>
      </c>
      <c r="B1956" s="272" t="s">
        <v>12857</v>
      </c>
      <c r="C1956" s="272" t="s">
        <v>193</v>
      </c>
      <c r="D1956" s="273" t="s">
        <v>16020</v>
      </c>
      <c r="E1956" s="274" t="s">
        <v>229</v>
      </c>
    </row>
    <row r="1957" spans="1:5" ht="27">
      <c r="A1957" s="271">
        <v>92458</v>
      </c>
      <c r="B1957" s="272" t="s">
        <v>289</v>
      </c>
      <c r="C1957" s="272" t="s">
        <v>193</v>
      </c>
      <c r="D1957" s="273" t="s">
        <v>22266</v>
      </c>
      <c r="E1957" s="274" t="s">
        <v>229</v>
      </c>
    </row>
    <row r="1958" spans="1:5" ht="27">
      <c r="A1958" s="271">
        <v>92459</v>
      </c>
      <c r="B1958" s="272" t="s">
        <v>12858</v>
      </c>
      <c r="C1958" s="272" t="s">
        <v>193</v>
      </c>
      <c r="D1958" s="273" t="s">
        <v>22267</v>
      </c>
      <c r="E1958" s="274" t="s">
        <v>229</v>
      </c>
    </row>
    <row r="1959" spans="1:5" ht="27">
      <c r="A1959" s="271">
        <v>92460</v>
      </c>
      <c r="B1959" s="272" t="s">
        <v>12859</v>
      </c>
      <c r="C1959" s="272" t="s">
        <v>193</v>
      </c>
      <c r="D1959" s="273" t="s">
        <v>22268</v>
      </c>
      <c r="E1959" s="274" t="s">
        <v>229</v>
      </c>
    </row>
    <row r="1960" spans="1:5" ht="27">
      <c r="A1960" s="271">
        <v>92461</v>
      </c>
      <c r="B1960" s="272" t="s">
        <v>12860</v>
      </c>
      <c r="C1960" s="272" t="s">
        <v>193</v>
      </c>
      <c r="D1960" s="273" t="s">
        <v>22269</v>
      </c>
      <c r="E1960" s="274" t="s">
        <v>229</v>
      </c>
    </row>
    <row r="1961" spans="1:5" ht="27">
      <c r="A1961" s="271">
        <v>92462</v>
      </c>
      <c r="B1961" s="272" t="s">
        <v>12861</v>
      </c>
      <c r="C1961" s="272" t="s">
        <v>193</v>
      </c>
      <c r="D1961" s="273" t="s">
        <v>22270</v>
      </c>
      <c r="E1961" s="274" t="s">
        <v>229</v>
      </c>
    </row>
    <row r="1962" spans="1:5" ht="27">
      <c r="A1962" s="271">
        <v>92463</v>
      </c>
      <c r="B1962" s="272" t="s">
        <v>12862</v>
      </c>
      <c r="C1962" s="272" t="s">
        <v>193</v>
      </c>
      <c r="D1962" s="273" t="s">
        <v>22271</v>
      </c>
      <c r="E1962" s="274" t="s">
        <v>229</v>
      </c>
    </row>
    <row r="1963" spans="1:5" ht="27">
      <c r="A1963" s="271">
        <v>92464</v>
      </c>
      <c r="B1963" s="272" t="s">
        <v>12863</v>
      </c>
      <c r="C1963" s="272" t="s">
        <v>193</v>
      </c>
      <c r="D1963" s="273" t="s">
        <v>16567</v>
      </c>
      <c r="E1963" s="274" t="s">
        <v>229</v>
      </c>
    </row>
    <row r="1964" spans="1:5" ht="27">
      <c r="A1964" s="271">
        <v>92465</v>
      </c>
      <c r="B1964" s="272" t="s">
        <v>12864</v>
      </c>
      <c r="C1964" s="272" t="s">
        <v>193</v>
      </c>
      <c r="D1964" s="273" t="s">
        <v>22272</v>
      </c>
      <c r="E1964" s="274" t="s">
        <v>229</v>
      </c>
    </row>
    <row r="1965" spans="1:5" ht="27">
      <c r="A1965" s="271">
        <v>92466</v>
      </c>
      <c r="B1965" s="272" t="s">
        <v>12865</v>
      </c>
      <c r="C1965" s="272" t="s">
        <v>193</v>
      </c>
      <c r="D1965" s="273" t="s">
        <v>22273</v>
      </c>
      <c r="E1965" s="274" t="s">
        <v>229</v>
      </c>
    </row>
    <row r="1966" spans="1:5" ht="27">
      <c r="A1966" s="271">
        <v>92467</v>
      </c>
      <c r="B1966" s="272" t="s">
        <v>12866</v>
      </c>
      <c r="C1966" s="272" t="s">
        <v>193</v>
      </c>
      <c r="D1966" s="273" t="s">
        <v>15984</v>
      </c>
      <c r="E1966" s="274" t="s">
        <v>229</v>
      </c>
    </row>
    <row r="1967" spans="1:5" ht="27">
      <c r="A1967" s="271">
        <v>92468</v>
      </c>
      <c r="B1967" s="272" t="s">
        <v>12867</v>
      </c>
      <c r="C1967" s="272" t="s">
        <v>193</v>
      </c>
      <c r="D1967" s="273" t="s">
        <v>16620</v>
      </c>
      <c r="E1967" s="274" t="s">
        <v>229</v>
      </c>
    </row>
    <row r="1968" spans="1:5" ht="27">
      <c r="A1968" s="271">
        <v>92469</v>
      </c>
      <c r="B1968" s="272" t="s">
        <v>12868</v>
      </c>
      <c r="C1968" s="272" t="s">
        <v>193</v>
      </c>
      <c r="D1968" s="273" t="s">
        <v>22274</v>
      </c>
      <c r="E1968" s="274" t="s">
        <v>229</v>
      </c>
    </row>
    <row r="1969" spans="1:5" ht="27">
      <c r="A1969" s="271">
        <v>92470</v>
      </c>
      <c r="B1969" s="272" t="s">
        <v>12869</v>
      </c>
      <c r="C1969" s="272" t="s">
        <v>193</v>
      </c>
      <c r="D1969" s="273" t="s">
        <v>22275</v>
      </c>
      <c r="E1969" s="274" t="s">
        <v>229</v>
      </c>
    </row>
    <row r="1970" spans="1:5" ht="27">
      <c r="A1970" s="271">
        <v>92471</v>
      </c>
      <c r="B1970" s="272" t="s">
        <v>12870</v>
      </c>
      <c r="C1970" s="272" t="s">
        <v>193</v>
      </c>
      <c r="D1970" s="273" t="s">
        <v>22276</v>
      </c>
      <c r="E1970" s="274" t="s">
        <v>229</v>
      </c>
    </row>
    <row r="1971" spans="1:5" ht="27">
      <c r="A1971" s="271">
        <v>92472</v>
      </c>
      <c r="B1971" s="272" t="s">
        <v>12871</v>
      </c>
      <c r="C1971" s="272" t="s">
        <v>193</v>
      </c>
      <c r="D1971" s="273" t="s">
        <v>16370</v>
      </c>
      <c r="E1971" s="274" t="s">
        <v>229</v>
      </c>
    </row>
    <row r="1972" spans="1:5" ht="27">
      <c r="A1972" s="271">
        <v>92473</v>
      </c>
      <c r="B1972" s="272" t="s">
        <v>12872</v>
      </c>
      <c r="C1972" s="272" t="s">
        <v>193</v>
      </c>
      <c r="D1972" s="273" t="s">
        <v>22277</v>
      </c>
      <c r="E1972" s="274" t="s">
        <v>229</v>
      </c>
    </row>
    <row r="1973" spans="1:5" ht="27">
      <c r="A1973" s="271">
        <v>92474</v>
      </c>
      <c r="B1973" s="272" t="s">
        <v>12873</v>
      </c>
      <c r="C1973" s="272" t="s">
        <v>193</v>
      </c>
      <c r="D1973" s="273" t="s">
        <v>22278</v>
      </c>
      <c r="E1973" s="274" t="s">
        <v>229</v>
      </c>
    </row>
    <row r="1974" spans="1:5" ht="27">
      <c r="A1974" s="271">
        <v>92475</v>
      </c>
      <c r="B1974" s="272" t="s">
        <v>12874</v>
      </c>
      <c r="C1974" s="272" t="s">
        <v>193</v>
      </c>
      <c r="D1974" s="273" t="s">
        <v>16672</v>
      </c>
      <c r="E1974" s="274" t="s">
        <v>229</v>
      </c>
    </row>
    <row r="1975" spans="1:5" ht="27">
      <c r="A1975" s="271">
        <v>92476</v>
      </c>
      <c r="B1975" s="272" t="s">
        <v>12875</v>
      </c>
      <c r="C1975" s="272" t="s">
        <v>193</v>
      </c>
      <c r="D1975" s="273" t="s">
        <v>22279</v>
      </c>
      <c r="E1975" s="274" t="s">
        <v>229</v>
      </c>
    </row>
    <row r="1976" spans="1:5" ht="27">
      <c r="A1976" s="271">
        <v>92477</v>
      </c>
      <c r="B1976" s="272" t="s">
        <v>12876</v>
      </c>
      <c r="C1976" s="272" t="s">
        <v>193</v>
      </c>
      <c r="D1976" s="273" t="s">
        <v>22280</v>
      </c>
      <c r="E1976" s="274" t="s">
        <v>229</v>
      </c>
    </row>
    <row r="1977" spans="1:5" ht="27">
      <c r="A1977" s="271">
        <v>92478</v>
      </c>
      <c r="B1977" s="272" t="s">
        <v>12877</v>
      </c>
      <c r="C1977" s="272" t="s">
        <v>193</v>
      </c>
      <c r="D1977" s="273" t="s">
        <v>22281</v>
      </c>
      <c r="E1977" s="274" t="s">
        <v>229</v>
      </c>
    </row>
    <row r="1978" spans="1:5" ht="27">
      <c r="A1978" s="271">
        <v>92479</v>
      </c>
      <c r="B1978" s="272" t="s">
        <v>12878</v>
      </c>
      <c r="C1978" s="272" t="s">
        <v>193</v>
      </c>
      <c r="D1978" s="273" t="s">
        <v>22282</v>
      </c>
      <c r="E1978" s="274" t="s">
        <v>229</v>
      </c>
    </row>
    <row r="1979" spans="1:5" ht="27">
      <c r="A1979" s="271">
        <v>92480</v>
      </c>
      <c r="B1979" s="272" t="s">
        <v>12879</v>
      </c>
      <c r="C1979" s="272" t="s">
        <v>193</v>
      </c>
      <c r="D1979" s="273" t="s">
        <v>22283</v>
      </c>
      <c r="E1979" s="274" t="s">
        <v>229</v>
      </c>
    </row>
    <row r="1980" spans="1:5" ht="27">
      <c r="A1980" s="271">
        <v>92482</v>
      </c>
      <c r="B1980" s="272" t="s">
        <v>12880</v>
      </c>
      <c r="C1980" s="272" t="s">
        <v>193</v>
      </c>
      <c r="D1980" s="273" t="s">
        <v>22284</v>
      </c>
      <c r="E1980" s="274" t="s">
        <v>229</v>
      </c>
    </row>
    <row r="1981" spans="1:5" ht="27">
      <c r="A1981" s="271">
        <v>92484</v>
      </c>
      <c r="B1981" s="272" t="s">
        <v>12881</v>
      </c>
      <c r="C1981" s="272" t="s">
        <v>193</v>
      </c>
      <c r="D1981" s="273" t="s">
        <v>22285</v>
      </c>
      <c r="E1981" s="274" t="s">
        <v>229</v>
      </c>
    </row>
    <row r="1982" spans="1:5" ht="27">
      <c r="A1982" s="271">
        <v>92486</v>
      </c>
      <c r="B1982" s="272" t="s">
        <v>12882</v>
      </c>
      <c r="C1982" s="272" t="s">
        <v>193</v>
      </c>
      <c r="D1982" s="273" t="s">
        <v>22286</v>
      </c>
      <c r="E1982" s="274" t="s">
        <v>229</v>
      </c>
    </row>
    <row r="1983" spans="1:5" ht="27">
      <c r="A1983" s="271">
        <v>92488</v>
      </c>
      <c r="B1983" s="272" t="s">
        <v>12883</v>
      </c>
      <c r="C1983" s="272" t="s">
        <v>193</v>
      </c>
      <c r="D1983" s="273" t="s">
        <v>15914</v>
      </c>
      <c r="E1983" s="274" t="s">
        <v>229</v>
      </c>
    </row>
    <row r="1984" spans="1:5" ht="27">
      <c r="A1984" s="271">
        <v>92490</v>
      </c>
      <c r="B1984" s="272" t="s">
        <v>12884</v>
      </c>
      <c r="C1984" s="272" t="s">
        <v>193</v>
      </c>
      <c r="D1984" s="273" t="s">
        <v>16315</v>
      </c>
      <c r="E1984" s="274" t="s">
        <v>229</v>
      </c>
    </row>
    <row r="1985" spans="1:5" ht="27">
      <c r="A1985" s="271">
        <v>92492</v>
      </c>
      <c r="B1985" s="272" t="s">
        <v>12885</v>
      </c>
      <c r="C1985" s="272" t="s">
        <v>193</v>
      </c>
      <c r="D1985" s="273" t="s">
        <v>22287</v>
      </c>
      <c r="E1985" s="274" t="s">
        <v>229</v>
      </c>
    </row>
    <row r="1986" spans="1:5" ht="27">
      <c r="A1986" s="271">
        <v>92494</v>
      </c>
      <c r="B1986" s="272" t="s">
        <v>12886</v>
      </c>
      <c r="C1986" s="272" t="s">
        <v>193</v>
      </c>
      <c r="D1986" s="273" t="s">
        <v>22288</v>
      </c>
      <c r="E1986" s="274" t="s">
        <v>229</v>
      </c>
    </row>
    <row r="1987" spans="1:5" ht="27">
      <c r="A1987" s="271">
        <v>92496</v>
      </c>
      <c r="B1987" s="272" t="s">
        <v>12887</v>
      </c>
      <c r="C1987" s="272" t="s">
        <v>193</v>
      </c>
      <c r="D1987" s="273" t="s">
        <v>16022</v>
      </c>
      <c r="E1987" s="274" t="s">
        <v>229</v>
      </c>
    </row>
    <row r="1988" spans="1:5" ht="27">
      <c r="A1988" s="271">
        <v>92498</v>
      </c>
      <c r="B1988" s="272" t="s">
        <v>12888</v>
      </c>
      <c r="C1988" s="272" t="s">
        <v>193</v>
      </c>
      <c r="D1988" s="273" t="s">
        <v>12418</v>
      </c>
      <c r="E1988" s="274" t="s">
        <v>229</v>
      </c>
    </row>
    <row r="1989" spans="1:5" ht="27">
      <c r="A1989" s="271">
        <v>92500</v>
      </c>
      <c r="B1989" s="272" t="s">
        <v>12889</v>
      </c>
      <c r="C1989" s="272" t="s">
        <v>193</v>
      </c>
      <c r="D1989" s="273" t="s">
        <v>22289</v>
      </c>
      <c r="E1989" s="274" t="s">
        <v>229</v>
      </c>
    </row>
    <row r="1990" spans="1:5" ht="27">
      <c r="A1990" s="271">
        <v>92502</v>
      </c>
      <c r="B1990" s="272" t="s">
        <v>12890</v>
      </c>
      <c r="C1990" s="272" t="s">
        <v>193</v>
      </c>
      <c r="D1990" s="273" t="s">
        <v>14250</v>
      </c>
      <c r="E1990" s="274" t="s">
        <v>229</v>
      </c>
    </row>
    <row r="1991" spans="1:5" ht="27">
      <c r="A1991" s="271">
        <v>92504</v>
      </c>
      <c r="B1991" s="272" t="s">
        <v>12891</v>
      </c>
      <c r="C1991" s="272" t="s">
        <v>193</v>
      </c>
      <c r="D1991" s="273" t="s">
        <v>15849</v>
      </c>
      <c r="E1991" s="274" t="s">
        <v>229</v>
      </c>
    </row>
    <row r="1992" spans="1:5" ht="27">
      <c r="A1992" s="271">
        <v>92506</v>
      </c>
      <c r="B1992" s="272" t="s">
        <v>12892</v>
      </c>
      <c r="C1992" s="272" t="s">
        <v>193</v>
      </c>
      <c r="D1992" s="273" t="s">
        <v>15910</v>
      </c>
      <c r="E1992" s="274" t="s">
        <v>229</v>
      </c>
    </row>
    <row r="1993" spans="1:5" ht="27">
      <c r="A1993" s="271">
        <v>92508</v>
      </c>
      <c r="B1993" s="272" t="s">
        <v>12893</v>
      </c>
      <c r="C1993" s="272" t="s">
        <v>193</v>
      </c>
      <c r="D1993" s="273" t="s">
        <v>16299</v>
      </c>
      <c r="E1993" s="274" t="s">
        <v>229</v>
      </c>
    </row>
    <row r="1994" spans="1:5" ht="27">
      <c r="A1994" s="271">
        <v>92510</v>
      </c>
      <c r="B1994" s="272" t="s">
        <v>12894</v>
      </c>
      <c r="C1994" s="272" t="s">
        <v>193</v>
      </c>
      <c r="D1994" s="273" t="s">
        <v>19442</v>
      </c>
      <c r="E1994" s="274" t="s">
        <v>229</v>
      </c>
    </row>
    <row r="1995" spans="1:5" ht="27">
      <c r="A1995" s="271">
        <v>92512</v>
      </c>
      <c r="B1995" s="272" t="s">
        <v>12895</v>
      </c>
      <c r="C1995" s="272" t="s">
        <v>193</v>
      </c>
      <c r="D1995" s="273" t="s">
        <v>16414</v>
      </c>
      <c r="E1995" s="274" t="s">
        <v>229</v>
      </c>
    </row>
    <row r="1996" spans="1:5" ht="27">
      <c r="A1996" s="271">
        <v>92514</v>
      </c>
      <c r="B1996" s="272" t="s">
        <v>12896</v>
      </c>
      <c r="C1996" s="272" t="s">
        <v>193</v>
      </c>
      <c r="D1996" s="273" t="s">
        <v>10053</v>
      </c>
      <c r="E1996" s="274" t="s">
        <v>229</v>
      </c>
    </row>
    <row r="1997" spans="1:5" ht="27">
      <c r="A1997" s="271">
        <v>92515</v>
      </c>
      <c r="B1997" s="272" t="s">
        <v>12897</v>
      </c>
      <c r="C1997" s="272" t="s">
        <v>193</v>
      </c>
      <c r="D1997" s="273" t="s">
        <v>19248</v>
      </c>
      <c r="E1997" s="274" t="s">
        <v>229</v>
      </c>
    </row>
    <row r="1998" spans="1:5" ht="27">
      <c r="A1998" s="271">
        <v>92518</v>
      </c>
      <c r="B1998" s="272" t="s">
        <v>12898</v>
      </c>
      <c r="C1998" s="272" t="s">
        <v>193</v>
      </c>
      <c r="D1998" s="273" t="s">
        <v>10452</v>
      </c>
      <c r="E1998" s="274" t="s">
        <v>229</v>
      </c>
    </row>
    <row r="1999" spans="1:5" ht="27">
      <c r="A1999" s="271">
        <v>92520</v>
      </c>
      <c r="B1999" s="272" t="s">
        <v>12899</v>
      </c>
      <c r="C1999" s="272" t="s">
        <v>193</v>
      </c>
      <c r="D1999" s="273" t="s">
        <v>16564</v>
      </c>
      <c r="E1999" s="274" t="s">
        <v>229</v>
      </c>
    </row>
    <row r="2000" spans="1:5" ht="27">
      <c r="A2000" s="271">
        <v>92522</v>
      </c>
      <c r="B2000" s="272" t="s">
        <v>12900</v>
      </c>
      <c r="C2000" s="272" t="s">
        <v>193</v>
      </c>
      <c r="D2000" s="273" t="s">
        <v>22290</v>
      </c>
      <c r="E2000" s="274" t="s">
        <v>229</v>
      </c>
    </row>
    <row r="2001" spans="1:5" ht="27">
      <c r="A2001" s="271">
        <v>92524</v>
      </c>
      <c r="B2001" s="272" t="s">
        <v>12901</v>
      </c>
      <c r="C2001" s="272" t="s">
        <v>193</v>
      </c>
      <c r="D2001" s="273" t="s">
        <v>16100</v>
      </c>
      <c r="E2001" s="274" t="s">
        <v>229</v>
      </c>
    </row>
    <row r="2002" spans="1:5" ht="27">
      <c r="A2002" s="271">
        <v>92526</v>
      </c>
      <c r="B2002" s="272" t="s">
        <v>12902</v>
      </c>
      <c r="C2002" s="272" t="s">
        <v>193</v>
      </c>
      <c r="D2002" s="273" t="s">
        <v>22291</v>
      </c>
      <c r="E2002" s="274" t="s">
        <v>229</v>
      </c>
    </row>
    <row r="2003" spans="1:5" ht="27">
      <c r="A2003" s="271">
        <v>92528</v>
      </c>
      <c r="B2003" s="272" t="s">
        <v>12903</v>
      </c>
      <c r="C2003" s="272" t="s">
        <v>193</v>
      </c>
      <c r="D2003" s="273" t="s">
        <v>22292</v>
      </c>
      <c r="E2003" s="274" t="s">
        <v>229</v>
      </c>
    </row>
    <row r="2004" spans="1:5" ht="27">
      <c r="A2004" s="271">
        <v>92530</v>
      </c>
      <c r="B2004" s="272" t="s">
        <v>12904</v>
      </c>
      <c r="C2004" s="272" t="s">
        <v>193</v>
      </c>
      <c r="D2004" s="273" t="s">
        <v>21421</v>
      </c>
      <c r="E2004" s="274" t="s">
        <v>229</v>
      </c>
    </row>
    <row r="2005" spans="1:5" ht="27">
      <c r="A2005" s="271">
        <v>92532</v>
      </c>
      <c r="B2005" s="272" t="s">
        <v>12905</v>
      </c>
      <c r="C2005" s="272" t="s">
        <v>193</v>
      </c>
      <c r="D2005" s="273" t="s">
        <v>16320</v>
      </c>
      <c r="E2005" s="274" t="s">
        <v>229</v>
      </c>
    </row>
    <row r="2006" spans="1:5" ht="27">
      <c r="A2006" s="271">
        <v>92534</v>
      </c>
      <c r="B2006" s="272" t="s">
        <v>12906</v>
      </c>
      <c r="C2006" s="272" t="s">
        <v>193</v>
      </c>
      <c r="D2006" s="273" t="s">
        <v>11481</v>
      </c>
      <c r="E2006" s="274" t="s">
        <v>229</v>
      </c>
    </row>
    <row r="2007" spans="1:5" ht="27">
      <c r="A2007" s="271">
        <v>92536</v>
      </c>
      <c r="B2007" s="272" t="s">
        <v>12907</v>
      </c>
      <c r="C2007" s="272" t="s">
        <v>193</v>
      </c>
      <c r="D2007" s="273" t="s">
        <v>16055</v>
      </c>
      <c r="E2007" s="274" t="s">
        <v>229</v>
      </c>
    </row>
    <row r="2008" spans="1:5" ht="27">
      <c r="A2008" s="271">
        <v>92538</v>
      </c>
      <c r="B2008" s="272" t="s">
        <v>12908</v>
      </c>
      <c r="C2008" s="272" t="s">
        <v>193</v>
      </c>
      <c r="D2008" s="273" t="s">
        <v>16155</v>
      </c>
      <c r="E2008" s="274" t="s">
        <v>229</v>
      </c>
    </row>
    <row r="2009" spans="1:5" ht="27">
      <c r="A2009" s="271">
        <v>96252</v>
      </c>
      <c r="B2009" s="272" t="s">
        <v>1340</v>
      </c>
      <c r="C2009" s="272" t="s">
        <v>193</v>
      </c>
      <c r="D2009" s="273" t="s">
        <v>22293</v>
      </c>
      <c r="E2009" s="274" t="s">
        <v>229</v>
      </c>
    </row>
    <row r="2010" spans="1:5" ht="27">
      <c r="A2010" s="271">
        <v>96257</v>
      </c>
      <c r="B2010" s="272" t="s">
        <v>1341</v>
      </c>
      <c r="C2010" s="272" t="s">
        <v>193</v>
      </c>
      <c r="D2010" s="273" t="s">
        <v>22294</v>
      </c>
      <c r="E2010" s="274" t="s">
        <v>229</v>
      </c>
    </row>
    <row r="2011" spans="1:5" ht="27">
      <c r="A2011" s="271">
        <v>96258</v>
      </c>
      <c r="B2011" s="272" t="s">
        <v>1342</v>
      </c>
      <c r="C2011" s="272" t="s">
        <v>193</v>
      </c>
      <c r="D2011" s="273" t="s">
        <v>22295</v>
      </c>
      <c r="E2011" s="274" t="s">
        <v>229</v>
      </c>
    </row>
    <row r="2012" spans="1:5" ht="27">
      <c r="A2012" s="271">
        <v>96259</v>
      </c>
      <c r="B2012" s="272" t="s">
        <v>1343</v>
      </c>
      <c r="C2012" s="272" t="s">
        <v>193</v>
      </c>
      <c r="D2012" s="273" t="s">
        <v>22296</v>
      </c>
      <c r="E2012" s="274" t="s">
        <v>229</v>
      </c>
    </row>
    <row r="2013" spans="1:5" ht="27">
      <c r="A2013" s="271">
        <v>96529</v>
      </c>
      <c r="B2013" s="272" t="s">
        <v>1344</v>
      </c>
      <c r="C2013" s="272" t="s">
        <v>193</v>
      </c>
      <c r="D2013" s="273" t="s">
        <v>22297</v>
      </c>
      <c r="E2013" s="274" t="s">
        <v>229</v>
      </c>
    </row>
    <row r="2014" spans="1:5" ht="27">
      <c r="A2014" s="271">
        <v>96530</v>
      </c>
      <c r="B2014" s="272" t="s">
        <v>1345</v>
      </c>
      <c r="C2014" s="272" t="s">
        <v>193</v>
      </c>
      <c r="D2014" s="273" t="s">
        <v>22298</v>
      </c>
      <c r="E2014" s="274" t="s">
        <v>229</v>
      </c>
    </row>
    <row r="2015" spans="1:5" ht="27">
      <c r="A2015" s="271">
        <v>96531</v>
      </c>
      <c r="B2015" s="272" t="s">
        <v>1346</v>
      </c>
      <c r="C2015" s="272" t="s">
        <v>193</v>
      </c>
      <c r="D2015" s="273" t="s">
        <v>22299</v>
      </c>
      <c r="E2015" s="274" t="s">
        <v>229</v>
      </c>
    </row>
    <row r="2016" spans="1:5" ht="27">
      <c r="A2016" s="271">
        <v>96532</v>
      </c>
      <c r="B2016" s="272" t="s">
        <v>1347</v>
      </c>
      <c r="C2016" s="272" t="s">
        <v>193</v>
      </c>
      <c r="D2016" s="273" t="s">
        <v>22300</v>
      </c>
      <c r="E2016" s="274" t="s">
        <v>229</v>
      </c>
    </row>
    <row r="2017" spans="1:5" ht="27">
      <c r="A2017" s="271">
        <v>96533</v>
      </c>
      <c r="B2017" s="272" t="s">
        <v>1348</v>
      </c>
      <c r="C2017" s="272" t="s">
        <v>193</v>
      </c>
      <c r="D2017" s="273" t="s">
        <v>22301</v>
      </c>
      <c r="E2017" s="274" t="s">
        <v>229</v>
      </c>
    </row>
    <row r="2018" spans="1:5" ht="27">
      <c r="A2018" s="271">
        <v>96534</v>
      </c>
      <c r="B2018" s="272" t="s">
        <v>1349</v>
      </c>
      <c r="C2018" s="272" t="s">
        <v>193</v>
      </c>
      <c r="D2018" s="273" t="s">
        <v>22302</v>
      </c>
      <c r="E2018" s="274" t="s">
        <v>229</v>
      </c>
    </row>
    <row r="2019" spans="1:5" ht="27">
      <c r="A2019" s="271">
        <v>96535</v>
      </c>
      <c r="B2019" s="272" t="s">
        <v>1350</v>
      </c>
      <c r="C2019" s="272" t="s">
        <v>193</v>
      </c>
      <c r="D2019" s="273" t="s">
        <v>22303</v>
      </c>
      <c r="E2019" s="274" t="s">
        <v>229</v>
      </c>
    </row>
    <row r="2020" spans="1:5" ht="27">
      <c r="A2020" s="271">
        <v>96536</v>
      </c>
      <c r="B2020" s="272" t="s">
        <v>1351</v>
      </c>
      <c r="C2020" s="272" t="s">
        <v>193</v>
      </c>
      <c r="D2020" s="273" t="s">
        <v>16522</v>
      </c>
      <c r="E2020" s="274" t="s">
        <v>229</v>
      </c>
    </row>
    <row r="2021" spans="1:5" ht="27">
      <c r="A2021" s="271">
        <v>96537</v>
      </c>
      <c r="B2021" s="272" t="s">
        <v>1352</v>
      </c>
      <c r="C2021" s="272" t="s">
        <v>193</v>
      </c>
      <c r="D2021" s="273" t="s">
        <v>22304</v>
      </c>
      <c r="E2021" s="274" t="s">
        <v>229</v>
      </c>
    </row>
    <row r="2022" spans="1:5" ht="27">
      <c r="A2022" s="271">
        <v>96538</v>
      </c>
      <c r="B2022" s="272" t="s">
        <v>1353</v>
      </c>
      <c r="C2022" s="272" t="s">
        <v>193</v>
      </c>
      <c r="D2022" s="273" t="s">
        <v>22305</v>
      </c>
      <c r="E2022" s="274" t="s">
        <v>229</v>
      </c>
    </row>
    <row r="2023" spans="1:5" ht="27">
      <c r="A2023" s="271">
        <v>96539</v>
      </c>
      <c r="B2023" s="272" t="s">
        <v>1354</v>
      </c>
      <c r="C2023" s="272" t="s">
        <v>193</v>
      </c>
      <c r="D2023" s="273" t="s">
        <v>16500</v>
      </c>
      <c r="E2023" s="274" t="s">
        <v>229</v>
      </c>
    </row>
    <row r="2024" spans="1:5" ht="27">
      <c r="A2024" s="271">
        <v>96540</v>
      </c>
      <c r="B2024" s="272" t="s">
        <v>1355</v>
      </c>
      <c r="C2024" s="272" t="s">
        <v>193</v>
      </c>
      <c r="D2024" s="273" t="s">
        <v>22306</v>
      </c>
      <c r="E2024" s="274" t="s">
        <v>229</v>
      </c>
    </row>
    <row r="2025" spans="1:5" ht="27">
      <c r="A2025" s="271">
        <v>96541</v>
      </c>
      <c r="B2025" s="272" t="s">
        <v>1356</v>
      </c>
      <c r="C2025" s="272" t="s">
        <v>193</v>
      </c>
      <c r="D2025" s="273" t="s">
        <v>22307</v>
      </c>
      <c r="E2025" s="274" t="s">
        <v>229</v>
      </c>
    </row>
    <row r="2026" spans="1:5" ht="27">
      <c r="A2026" s="271">
        <v>96542</v>
      </c>
      <c r="B2026" s="272" t="s">
        <v>1357</v>
      </c>
      <c r="C2026" s="272" t="s">
        <v>193</v>
      </c>
      <c r="D2026" s="273" t="s">
        <v>22308</v>
      </c>
      <c r="E2026" s="274" t="s">
        <v>229</v>
      </c>
    </row>
    <row r="2027" spans="1:5" ht="27">
      <c r="A2027" s="271">
        <v>96543</v>
      </c>
      <c r="B2027" s="272" t="s">
        <v>1358</v>
      </c>
      <c r="C2027" s="272" t="s">
        <v>108</v>
      </c>
      <c r="D2027" s="273" t="s">
        <v>12153</v>
      </c>
      <c r="E2027" s="274" t="s">
        <v>229</v>
      </c>
    </row>
    <row r="2028" spans="1:5" ht="27">
      <c r="A2028" s="271">
        <v>97747</v>
      </c>
      <c r="B2028" s="272" t="s">
        <v>3427</v>
      </c>
      <c r="C2028" s="272" t="s">
        <v>193</v>
      </c>
      <c r="D2028" s="273" t="s">
        <v>22309</v>
      </c>
      <c r="E2028" s="274" t="s">
        <v>229</v>
      </c>
    </row>
    <row r="2029" spans="1:5" ht="27">
      <c r="A2029" s="271">
        <v>101791</v>
      </c>
      <c r="B2029" s="272" t="s">
        <v>12909</v>
      </c>
      <c r="C2029" s="272" t="s">
        <v>5</v>
      </c>
      <c r="D2029" s="273" t="s">
        <v>10604</v>
      </c>
      <c r="E2029" s="274" t="s">
        <v>229</v>
      </c>
    </row>
    <row r="2030" spans="1:5" ht="27">
      <c r="A2030" s="271">
        <v>101792</v>
      </c>
      <c r="B2030" s="272" t="s">
        <v>12910</v>
      </c>
      <c r="C2030" s="272" t="s">
        <v>209</v>
      </c>
      <c r="D2030" s="273" t="s">
        <v>20977</v>
      </c>
      <c r="E2030" s="274" t="s">
        <v>229</v>
      </c>
    </row>
    <row r="2031" spans="1:5" ht="27">
      <c r="A2031" s="271">
        <v>101793</v>
      </c>
      <c r="B2031" s="272" t="s">
        <v>12911</v>
      </c>
      <c r="C2031" s="272" t="s">
        <v>209</v>
      </c>
      <c r="D2031" s="273" t="s">
        <v>12331</v>
      </c>
      <c r="E2031" s="274" t="s">
        <v>229</v>
      </c>
    </row>
    <row r="2032" spans="1:5" ht="27">
      <c r="A2032" s="271">
        <v>101969</v>
      </c>
      <c r="B2032" s="272" t="s">
        <v>12912</v>
      </c>
      <c r="C2032" s="272" t="s">
        <v>193</v>
      </c>
      <c r="D2032" s="273" t="s">
        <v>22310</v>
      </c>
      <c r="E2032" s="274" t="s">
        <v>229</v>
      </c>
    </row>
    <row r="2033" spans="1:5" ht="27">
      <c r="A2033" s="271">
        <v>101971</v>
      </c>
      <c r="B2033" s="272" t="s">
        <v>12913</v>
      </c>
      <c r="C2033" s="272" t="s">
        <v>193</v>
      </c>
      <c r="D2033" s="273" t="s">
        <v>22311</v>
      </c>
      <c r="E2033" s="274" t="s">
        <v>229</v>
      </c>
    </row>
    <row r="2034" spans="1:5" ht="27">
      <c r="A2034" s="271">
        <v>101973</v>
      </c>
      <c r="B2034" s="272" t="s">
        <v>12914</v>
      </c>
      <c r="C2034" s="272" t="s">
        <v>193</v>
      </c>
      <c r="D2034" s="273" t="s">
        <v>22312</v>
      </c>
      <c r="E2034" s="274" t="s">
        <v>229</v>
      </c>
    </row>
    <row r="2035" spans="1:5" ht="27">
      <c r="A2035" s="271">
        <v>101974</v>
      </c>
      <c r="B2035" s="272" t="s">
        <v>12915</v>
      </c>
      <c r="C2035" s="272" t="s">
        <v>193</v>
      </c>
      <c r="D2035" s="273" t="s">
        <v>22313</v>
      </c>
      <c r="E2035" s="274" t="s">
        <v>229</v>
      </c>
    </row>
    <row r="2036" spans="1:5" ht="27">
      <c r="A2036" s="271">
        <v>101975</v>
      </c>
      <c r="B2036" s="272" t="s">
        <v>12916</v>
      </c>
      <c r="C2036" s="272" t="s">
        <v>193</v>
      </c>
      <c r="D2036" s="273" t="s">
        <v>22314</v>
      </c>
      <c r="E2036" s="274" t="s">
        <v>229</v>
      </c>
    </row>
    <row r="2037" spans="1:5" ht="27">
      <c r="A2037" s="271">
        <v>101977</v>
      </c>
      <c r="B2037" s="272" t="s">
        <v>12917</v>
      </c>
      <c r="C2037" s="272" t="s">
        <v>193</v>
      </c>
      <c r="D2037" s="273" t="s">
        <v>22315</v>
      </c>
      <c r="E2037" s="274" t="s">
        <v>229</v>
      </c>
    </row>
    <row r="2038" spans="1:5" ht="27">
      <c r="A2038" s="271">
        <v>101980</v>
      </c>
      <c r="B2038" s="272" t="s">
        <v>12918</v>
      </c>
      <c r="C2038" s="272" t="s">
        <v>193</v>
      </c>
      <c r="D2038" s="273" t="s">
        <v>22316</v>
      </c>
      <c r="E2038" s="274" t="s">
        <v>229</v>
      </c>
    </row>
    <row r="2039" spans="1:5" ht="27">
      <c r="A2039" s="271">
        <v>101981</v>
      </c>
      <c r="B2039" s="272" t="s">
        <v>12919</v>
      </c>
      <c r="C2039" s="272" t="s">
        <v>193</v>
      </c>
      <c r="D2039" s="273" t="s">
        <v>22317</v>
      </c>
      <c r="E2039" s="274" t="s">
        <v>229</v>
      </c>
    </row>
    <row r="2040" spans="1:5" ht="27">
      <c r="A2040" s="271">
        <v>101982</v>
      </c>
      <c r="B2040" s="272" t="s">
        <v>12920</v>
      </c>
      <c r="C2040" s="272" t="s">
        <v>193</v>
      </c>
      <c r="D2040" s="273" t="s">
        <v>22318</v>
      </c>
      <c r="E2040" s="274" t="s">
        <v>229</v>
      </c>
    </row>
    <row r="2041" spans="1:5" ht="27">
      <c r="A2041" s="271">
        <v>101983</v>
      </c>
      <c r="B2041" s="272" t="s">
        <v>12921</v>
      </c>
      <c r="C2041" s="272" t="s">
        <v>193</v>
      </c>
      <c r="D2041" s="273" t="s">
        <v>22319</v>
      </c>
      <c r="E2041" s="274" t="s">
        <v>229</v>
      </c>
    </row>
    <row r="2042" spans="1:5" ht="27">
      <c r="A2042" s="271">
        <v>101985</v>
      </c>
      <c r="B2042" s="272" t="s">
        <v>12922</v>
      </c>
      <c r="C2042" s="272" t="s">
        <v>193</v>
      </c>
      <c r="D2042" s="273" t="s">
        <v>22320</v>
      </c>
      <c r="E2042" s="274" t="s">
        <v>229</v>
      </c>
    </row>
    <row r="2043" spans="1:5" ht="27">
      <c r="A2043" s="271">
        <v>101986</v>
      </c>
      <c r="B2043" s="272" t="s">
        <v>12923</v>
      </c>
      <c r="C2043" s="272" t="s">
        <v>193</v>
      </c>
      <c r="D2043" s="273" t="s">
        <v>16421</v>
      </c>
      <c r="E2043" s="274" t="s">
        <v>229</v>
      </c>
    </row>
    <row r="2044" spans="1:5" ht="27">
      <c r="A2044" s="271">
        <v>101987</v>
      </c>
      <c r="B2044" s="272" t="s">
        <v>12924</v>
      </c>
      <c r="C2044" s="272" t="s">
        <v>193</v>
      </c>
      <c r="D2044" s="273" t="s">
        <v>22321</v>
      </c>
      <c r="E2044" s="274" t="s">
        <v>229</v>
      </c>
    </row>
    <row r="2045" spans="1:5" ht="27">
      <c r="A2045" s="271">
        <v>101988</v>
      </c>
      <c r="B2045" s="272" t="s">
        <v>12925</v>
      </c>
      <c r="C2045" s="272" t="s">
        <v>193</v>
      </c>
      <c r="D2045" s="273" t="s">
        <v>22322</v>
      </c>
      <c r="E2045" s="274" t="s">
        <v>229</v>
      </c>
    </row>
    <row r="2046" spans="1:5" ht="27">
      <c r="A2046" s="271">
        <v>101989</v>
      </c>
      <c r="B2046" s="272" t="s">
        <v>12926</v>
      </c>
      <c r="C2046" s="272" t="s">
        <v>193</v>
      </c>
      <c r="D2046" s="273" t="s">
        <v>12347</v>
      </c>
      <c r="E2046" s="274" t="s">
        <v>229</v>
      </c>
    </row>
    <row r="2047" spans="1:5" ht="27">
      <c r="A2047" s="271">
        <v>101990</v>
      </c>
      <c r="B2047" s="272" t="s">
        <v>12927</v>
      </c>
      <c r="C2047" s="272" t="s">
        <v>193</v>
      </c>
      <c r="D2047" s="273" t="s">
        <v>21481</v>
      </c>
      <c r="E2047" s="274" t="s">
        <v>229</v>
      </c>
    </row>
    <row r="2048" spans="1:5" ht="27">
      <c r="A2048" s="271">
        <v>101991</v>
      </c>
      <c r="B2048" s="272" t="s">
        <v>12928</v>
      </c>
      <c r="C2048" s="272" t="s">
        <v>193</v>
      </c>
      <c r="D2048" s="273" t="s">
        <v>22323</v>
      </c>
      <c r="E2048" s="274" t="s">
        <v>229</v>
      </c>
    </row>
    <row r="2049" spans="1:5" ht="27">
      <c r="A2049" s="271">
        <v>101992</v>
      </c>
      <c r="B2049" s="272" t="s">
        <v>12929</v>
      </c>
      <c r="C2049" s="272" t="s">
        <v>193</v>
      </c>
      <c r="D2049" s="273" t="s">
        <v>22324</v>
      </c>
      <c r="E2049" s="274" t="s">
        <v>229</v>
      </c>
    </row>
    <row r="2050" spans="1:5" ht="27">
      <c r="A2050" s="271">
        <v>101993</v>
      </c>
      <c r="B2050" s="272" t="s">
        <v>12930</v>
      </c>
      <c r="C2050" s="272" t="s">
        <v>193</v>
      </c>
      <c r="D2050" s="273" t="s">
        <v>20545</v>
      </c>
      <c r="E2050" s="274" t="s">
        <v>229</v>
      </c>
    </row>
    <row r="2051" spans="1:5" ht="27">
      <c r="A2051" s="271">
        <v>101994</v>
      </c>
      <c r="B2051" s="272" t="s">
        <v>12931</v>
      </c>
      <c r="C2051" s="272" t="s">
        <v>193</v>
      </c>
      <c r="D2051" s="273" t="s">
        <v>22325</v>
      </c>
      <c r="E2051" s="274" t="s">
        <v>229</v>
      </c>
    </row>
    <row r="2052" spans="1:5" ht="27">
      <c r="A2052" s="271">
        <v>101995</v>
      </c>
      <c r="B2052" s="272" t="s">
        <v>12932</v>
      </c>
      <c r="C2052" s="272" t="s">
        <v>193</v>
      </c>
      <c r="D2052" s="273" t="s">
        <v>14135</v>
      </c>
      <c r="E2052" s="274" t="s">
        <v>229</v>
      </c>
    </row>
    <row r="2053" spans="1:5" ht="27">
      <c r="A2053" s="271">
        <v>101996</v>
      </c>
      <c r="B2053" s="272" t="s">
        <v>12933</v>
      </c>
      <c r="C2053" s="272" t="s">
        <v>193</v>
      </c>
      <c r="D2053" s="273" t="s">
        <v>22326</v>
      </c>
      <c r="E2053" s="274" t="s">
        <v>229</v>
      </c>
    </row>
    <row r="2054" spans="1:5" ht="27">
      <c r="A2054" s="271">
        <v>101997</v>
      </c>
      <c r="B2054" s="272" t="s">
        <v>12934</v>
      </c>
      <c r="C2054" s="272" t="s">
        <v>193</v>
      </c>
      <c r="D2054" s="273" t="s">
        <v>22327</v>
      </c>
      <c r="E2054" s="274" t="s">
        <v>229</v>
      </c>
    </row>
    <row r="2055" spans="1:5" ht="27">
      <c r="A2055" s="271">
        <v>101998</v>
      </c>
      <c r="B2055" s="272" t="s">
        <v>12935</v>
      </c>
      <c r="C2055" s="272" t="s">
        <v>193</v>
      </c>
      <c r="D2055" s="273" t="s">
        <v>22328</v>
      </c>
      <c r="E2055" s="274" t="s">
        <v>229</v>
      </c>
    </row>
    <row r="2056" spans="1:5" ht="27">
      <c r="A2056" s="271">
        <v>101999</v>
      </c>
      <c r="B2056" s="272" t="s">
        <v>12936</v>
      </c>
      <c r="C2056" s="272" t="s">
        <v>193</v>
      </c>
      <c r="D2056" s="273" t="s">
        <v>22329</v>
      </c>
      <c r="E2056" s="274" t="s">
        <v>229</v>
      </c>
    </row>
    <row r="2057" spans="1:5" ht="27">
      <c r="A2057" s="271">
        <v>102000</v>
      </c>
      <c r="B2057" s="272" t="s">
        <v>12937</v>
      </c>
      <c r="C2057" s="272" t="s">
        <v>193</v>
      </c>
      <c r="D2057" s="273" t="s">
        <v>22330</v>
      </c>
      <c r="E2057" s="274" t="s">
        <v>229</v>
      </c>
    </row>
    <row r="2058" spans="1:5" ht="27">
      <c r="A2058" s="271">
        <v>102001</v>
      </c>
      <c r="B2058" s="272" t="s">
        <v>12938</v>
      </c>
      <c r="C2058" s="272" t="s">
        <v>193</v>
      </c>
      <c r="D2058" s="273" t="s">
        <v>22331</v>
      </c>
      <c r="E2058" s="274" t="s">
        <v>229</v>
      </c>
    </row>
    <row r="2059" spans="1:5" ht="27">
      <c r="A2059" s="271">
        <v>102002</v>
      </c>
      <c r="B2059" s="272" t="s">
        <v>12939</v>
      </c>
      <c r="C2059" s="272" t="s">
        <v>193</v>
      </c>
      <c r="D2059" s="273" t="s">
        <v>22332</v>
      </c>
      <c r="E2059" s="274" t="s">
        <v>229</v>
      </c>
    </row>
    <row r="2060" spans="1:5" ht="27">
      <c r="A2060" s="271">
        <v>102003</v>
      </c>
      <c r="B2060" s="272" t="s">
        <v>12940</v>
      </c>
      <c r="C2060" s="272" t="s">
        <v>193</v>
      </c>
      <c r="D2060" s="273" t="s">
        <v>22333</v>
      </c>
      <c r="E2060" s="274" t="s">
        <v>229</v>
      </c>
    </row>
    <row r="2061" spans="1:5" ht="27">
      <c r="A2061" s="271">
        <v>102004</v>
      </c>
      <c r="B2061" s="272" t="s">
        <v>12941</v>
      </c>
      <c r="C2061" s="272" t="s">
        <v>193</v>
      </c>
      <c r="D2061" s="273" t="s">
        <v>22334</v>
      </c>
      <c r="E2061" s="274" t="s">
        <v>229</v>
      </c>
    </row>
    <row r="2062" spans="1:5" ht="27">
      <c r="A2062" s="271">
        <v>102005</v>
      </c>
      <c r="B2062" s="272" t="s">
        <v>12942</v>
      </c>
      <c r="C2062" s="272" t="s">
        <v>193</v>
      </c>
      <c r="D2062" s="273" t="s">
        <v>22335</v>
      </c>
      <c r="E2062" s="274" t="s">
        <v>229</v>
      </c>
    </row>
    <row r="2063" spans="1:5" ht="27">
      <c r="A2063" s="271">
        <v>102006</v>
      </c>
      <c r="B2063" s="272" t="s">
        <v>12943</v>
      </c>
      <c r="C2063" s="272" t="s">
        <v>193</v>
      </c>
      <c r="D2063" s="273" t="s">
        <v>22336</v>
      </c>
      <c r="E2063" s="274" t="s">
        <v>229</v>
      </c>
    </row>
    <row r="2064" spans="1:5" ht="27">
      <c r="A2064" s="271">
        <v>102007</v>
      </c>
      <c r="B2064" s="272" t="s">
        <v>12944</v>
      </c>
      <c r="C2064" s="272" t="s">
        <v>193</v>
      </c>
      <c r="D2064" s="273" t="s">
        <v>22337</v>
      </c>
      <c r="E2064" s="274" t="s">
        <v>229</v>
      </c>
    </row>
    <row r="2065" spans="1:5" ht="27">
      <c r="A2065" s="271">
        <v>102008</v>
      </c>
      <c r="B2065" s="272" t="s">
        <v>12945</v>
      </c>
      <c r="C2065" s="272" t="s">
        <v>193</v>
      </c>
      <c r="D2065" s="273" t="s">
        <v>22338</v>
      </c>
      <c r="E2065" s="274" t="s">
        <v>229</v>
      </c>
    </row>
    <row r="2066" spans="1:5" ht="27">
      <c r="A2066" s="271">
        <v>102009</v>
      </c>
      <c r="B2066" s="272" t="s">
        <v>12946</v>
      </c>
      <c r="C2066" s="272" t="s">
        <v>193</v>
      </c>
      <c r="D2066" s="273" t="s">
        <v>22339</v>
      </c>
      <c r="E2066" s="274" t="s">
        <v>229</v>
      </c>
    </row>
    <row r="2067" spans="1:5" ht="27">
      <c r="A2067" s="271">
        <v>102010</v>
      </c>
      <c r="B2067" s="272" t="s">
        <v>12947</v>
      </c>
      <c r="C2067" s="272" t="s">
        <v>193</v>
      </c>
      <c r="D2067" s="273" t="s">
        <v>22340</v>
      </c>
      <c r="E2067" s="274" t="s">
        <v>229</v>
      </c>
    </row>
    <row r="2068" spans="1:5" ht="27">
      <c r="A2068" s="271">
        <v>102011</v>
      </c>
      <c r="B2068" s="272" t="s">
        <v>12948</v>
      </c>
      <c r="C2068" s="272" t="s">
        <v>193</v>
      </c>
      <c r="D2068" s="273" t="s">
        <v>22341</v>
      </c>
      <c r="E2068" s="274" t="s">
        <v>229</v>
      </c>
    </row>
    <row r="2069" spans="1:5" ht="27">
      <c r="A2069" s="271">
        <v>102012</v>
      </c>
      <c r="B2069" s="272" t="s">
        <v>12949</v>
      </c>
      <c r="C2069" s="272" t="s">
        <v>193</v>
      </c>
      <c r="D2069" s="273" t="s">
        <v>22342</v>
      </c>
      <c r="E2069" s="274" t="s">
        <v>229</v>
      </c>
    </row>
    <row r="2070" spans="1:5" ht="27">
      <c r="A2070" s="271">
        <v>102013</v>
      </c>
      <c r="B2070" s="272" t="s">
        <v>12950</v>
      </c>
      <c r="C2070" s="272" t="s">
        <v>193</v>
      </c>
      <c r="D2070" s="273" t="s">
        <v>22343</v>
      </c>
      <c r="E2070" s="274" t="s">
        <v>229</v>
      </c>
    </row>
    <row r="2071" spans="1:5" ht="27">
      <c r="A2071" s="271">
        <v>102014</v>
      </c>
      <c r="B2071" s="272" t="s">
        <v>12951</v>
      </c>
      <c r="C2071" s="272" t="s">
        <v>193</v>
      </c>
      <c r="D2071" s="273" t="s">
        <v>22344</v>
      </c>
      <c r="E2071" s="274" t="s">
        <v>229</v>
      </c>
    </row>
    <row r="2072" spans="1:5" ht="27">
      <c r="A2072" s="271">
        <v>102015</v>
      </c>
      <c r="B2072" s="272" t="s">
        <v>12952</v>
      </c>
      <c r="C2072" s="272" t="s">
        <v>193</v>
      </c>
      <c r="D2072" s="273" t="s">
        <v>22345</v>
      </c>
      <c r="E2072" s="274" t="s">
        <v>229</v>
      </c>
    </row>
    <row r="2073" spans="1:5" ht="27">
      <c r="A2073" s="271">
        <v>102016</v>
      </c>
      <c r="B2073" s="272" t="s">
        <v>12953</v>
      </c>
      <c r="C2073" s="272" t="s">
        <v>193</v>
      </c>
      <c r="D2073" s="273" t="s">
        <v>12404</v>
      </c>
      <c r="E2073" s="274" t="s">
        <v>229</v>
      </c>
    </row>
    <row r="2074" spans="1:5" ht="27">
      <c r="A2074" s="271">
        <v>102017</v>
      </c>
      <c r="B2074" s="272" t="s">
        <v>12954</v>
      </c>
      <c r="C2074" s="272" t="s">
        <v>193</v>
      </c>
      <c r="D2074" s="273" t="s">
        <v>22346</v>
      </c>
      <c r="E2074" s="274" t="s">
        <v>229</v>
      </c>
    </row>
    <row r="2075" spans="1:5" ht="27">
      <c r="A2075" s="271">
        <v>102036</v>
      </c>
      <c r="B2075" s="272" t="s">
        <v>12955</v>
      </c>
      <c r="C2075" s="272" t="s">
        <v>193</v>
      </c>
      <c r="D2075" s="273" t="s">
        <v>12475</v>
      </c>
      <c r="E2075" s="274" t="s">
        <v>229</v>
      </c>
    </row>
    <row r="2076" spans="1:5" ht="27">
      <c r="A2076" s="271">
        <v>102037</v>
      </c>
      <c r="B2076" s="272" t="s">
        <v>12956</v>
      </c>
      <c r="C2076" s="272" t="s">
        <v>193</v>
      </c>
      <c r="D2076" s="273" t="s">
        <v>22347</v>
      </c>
      <c r="E2076" s="274" t="s">
        <v>229</v>
      </c>
    </row>
    <row r="2077" spans="1:5" ht="27">
      <c r="A2077" s="271">
        <v>102038</v>
      </c>
      <c r="B2077" s="272" t="s">
        <v>12957</v>
      </c>
      <c r="C2077" s="272" t="s">
        <v>193</v>
      </c>
      <c r="D2077" s="273" t="s">
        <v>22319</v>
      </c>
      <c r="E2077" s="274" t="s">
        <v>229</v>
      </c>
    </row>
    <row r="2078" spans="1:5" ht="27">
      <c r="A2078" s="271">
        <v>102039</v>
      </c>
      <c r="B2078" s="272" t="s">
        <v>12958</v>
      </c>
      <c r="C2078" s="272" t="s">
        <v>193</v>
      </c>
      <c r="D2078" s="273" t="s">
        <v>22348</v>
      </c>
      <c r="E2078" s="274" t="s">
        <v>229</v>
      </c>
    </row>
    <row r="2079" spans="1:5" ht="27">
      <c r="A2079" s="271">
        <v>102040</v>
      </c>
      <c r="B2079" s="272" t="s">
        <v>12959</v>
      </c>
      <c r="C2079" s="272" t="s">
        <v>193</v>
      </c>
      <c r="D2079" s="273" t="s">
        <v>22349</v>
      </c>
      <c r="E2079" s="274" t="s">
        <v>229</v>
      </c>
    </row>
    <row r="2080" spans="1:5" ht="27">
      <c r="A2080" s="271">
        <v>102041</v>
      </c>
      <c r="B2080" s="272" t="s">
        <v>12960</v>
      </c>
      <c r="C2080" s="272" t="s">
        <v>193</v>
      </c>
      <c r="D2080" s="273" t="s">
        <v>22350</v>
      </c>
      <c r="E2080" s="274" t="s">
        <v>229</v>
      </c>
    </row>
    <row r="2081" spans="1:5" ht="27">
      <c r="A2081" s="271">
        <v>102042</v>
      </c>
      <c r="B2081" s="272" t="s">
        <v>12961</v>
      </c>
      <c r="C2081" s="272" t="s">
        <v>193</v>
      </c>
      <c r="D2081" s="273" t="s">
        <v>22351</v>
      </c>
      <c r="E2081" s="274" t="s">
        <v>229</v>
      </c>
    </row>
    <row r="2082" spans="1:5" ht="27">
      <c r="A2082" s="271">
        <v>102043</v>
      </c>
      <c r="B2082" s="272" t="s">
        <v>12962</v>
      </c>
      <c r="C2082" s="272" t="s">
        <v>193</v>
      </c>
      <c r="D2082" s="273" t="s">
        <v>22317</v>
      </c>
      <c r="E2082" s="274" t="s">
        <v>229</v>
      </c>
    </row>
    <row r="2083" spans="1:5" ht="27">
      <c r="A2083" s="271">
        <v>102044</v>
      </c>
      <c r="B2083" s="272" t="s">
        <v>12963</v>
      </c>
      <c r="C2083" s="272" t="s">
        <v>193</v>
      </c>
      <c r="D2083" s="273" t="s">
        <v>22352</v>
      </c>
      <c r="E2083" s="274" t="s">
        <v>229</v>
      </c>
    </row>
    <row r="2084" spans="1:5" ht="27">
      <c r="A2084" s="271">
        <v>102045</v>
      </c>
      <c r="B2084" s="272" t="s">
        <v>12964</v>
      </c>
      <c r="C2084" s="272" t="s">
        <v>193</v>
      </c>
      <c r="D2084" s="273" t="s">
        <v>22353</v>
      </c>
      <c r="E2084" s="274" t="s">
        <v>229</v>
      </c>
    </row>
    <row r="2085" spans="1:5" ht="27">
      <c r="A2085" s="271">
        <v>102046</v>
      </c>
      <c r="B2085" s="272" t="s">
        <v>12965</v>
      </c>
      <c r="C2085" s="272" t="s">
        <v>193</v>
      </c>
      <c r="D2085" s="273" t="s">
        <v>22354</v>
      </c>
      <c r="E2085" s="274" t="s">
        <v>229</v>
      </c>
    </row>
    <row r="2086" spans="1:5" ht="27">
      <c r="A2086" s="271">
        <v>102047</v>
      </c>
      <c r="B2086" s="272" t="s">
        <v>12966</v>
      </c>
      <c r="C2086" s="272" t="s">
        <v>193</v>
      </c>
      <c r="D2086" s="273" t="s">
        <v>22355</v>
      </c>
      <c r="E2086" s="274" t="s">
        <v>229</v>
      </c>
    </row>
    <row r="2087" spans="1:5" ht="27">
      <c r="A2087" s="271">
        <v>102048</v>
      </c>
      <c r="B2087" s="272" t="s">
        <v>12967</v>
      </c>
      <c r="C2087" s="272" t="s">
        <v>193</v>
      </c>
      <c r="D2087" s="273" t="s">
        <v>22356</v>
      </c>
      <c r="E2087" s="274" t="s">
        <v>229</v>
      </c>
    </row>
    <row r="2088" spans="1:5" ht="27">
      <c r="A2088" s="271">
        <v>102049</v>
      </c>
      <c r="B2088" s="272" t="s">
        <v>12968</v>
      </c>
      <c r="C2088" s="272" t="s">
        <v>193</v>
      </c>
      <c r="D2088" s="273" t="s">
        <v>22357</v>
      </c>
      <c r="E2088" s="274" t="s">
        <v>229</v>
      </c>
    </row>
    <row r="2089" spans="1:5" ht="27">
      <c r="A2089" s="271">
        <v>102050</v>
      </c>
      <c r="B2089" s="272" t="s">
        <v>12969</v>
      </c>
      <c r="C2089" s="272" t="s">
        <v>193</v>
      </c>
      <c r="D2089" s="273" t="s">
        <v>22358</v>
      </c>
      <c r="E2089" s="274" t="s">
        <v>229</v>
      </c>
    </row>
    <row r="2090" spans="1:5" ht="27">
      <c r="A2090" s="271">
        <v>102051</v>
      </c>
      <c r="B2090" s="272" t="s">
        <v>12970</v>
      </c>
      <c r="C2090" s="272" t="s">
        <v>193</v>
      </c>
      <c r="D2090" s="273" t="s">
        <v>22359</v>
      </c>
      <c r="E2090" s="274" t="s">
        <v>229</v>
      </c>
    </row>
    <row r="2091" spans="1:5" ht="27">
      <c r="A2091" s="271">
        <v>102052</v>
      </c>
      <c r="B2091" s="272" t="s">
        <v>12971</v>
      </c>
      <c r="C2091" s="272" t="s">
        <v>193</v>
      </c>
      <c r="D2091" s="273" t="s">
        <v>22360</v>
      </c>
      <c r="E2091" s="274" t="s">
        <v>229</v>
      </c>
    </row>
    <row r="2092" spans="1:5" ht="27">
      <c r="A2092" s="271">
        <v>102059</v>
      </c>
      <c r="B2092" s="272" t="s">
        <v>12972</v>
      </c>
      <c r="C2092" s="272" t="s">
        <v>193</v>
      </c>
      <c r="D2092" s="273" t="s">
        <v>22361</v>
      </c>
      <c r="E2092" s="274" t="s">
        <v>229</v>
      </c>
    </row>
    <row r="2093" spans="1:5" ht="27">
      <c r="A2093" s="271">
        <v>102060</v>
      </c>
      <c r="B2093" s="272" t="s">
        <v>12973</v>
      </c>
      <c r="C2093" s="272" t="s">
        <v>193</v>
      </c>
      <c r="D2093" s="273" t="s">
        <v>22362</v>
      </c>
      <c r="E2093" s="274" t="s">
        <v>229</v>
      </c>
    </row>
    <row r="2094" spans="1:5" ht="27">
      <c r="A2094" s="271">
        <v>102061</v>
      </c>
      <c r="B2094" s="272" t="s">
        <v>12974</v>
      </c>
      <c r="C2094" s="272" t="s">
        <v>193</v>
      </c>
      <c r="D2094" s="273" t="s">
        <v>22363</v>
      </c>
      <c r="E2094" s="274" t="s">
        <v>229</v>
      </c>
    </row>
    <row r="2095" spans="1:5" ht="27">
      <c r="A2095" s="271">
        <v>102062</v>
      </c>
      <c r="B2095" s="272" t="s">
        <v>12975</v>
      </c>
      <c r="C2095" s="272" t="s">
        <v>193</v>
      </c>
      <c r="D2095" s="273" t="s">
        <v>22364</v>
      </c>
      <c r="E2095" s="274" t="s">
        <v>229</v>
      </c>
    </row>
    <row r="2096" spans="1:5" ht="27">
      <c r="A2096" s="271">
        <v>102063</v>
      </c>
      <c r="B2096" s="272" t="s">
        <v>12976</v>
      </c>
      <c r="C2096" s="272" t="s">
        <v>193</v>
      </c>
      <c r="D2096" s="273" t="s">
        <v>19161</v>
      </c>
      <c r="E2096" s="274" t="s">
        <v>229</v>
      </c>
    </row>
    <row r="2097" spans="1:5" ht="27">
      <c r="A2097" s="271">
        <v>102064</v>
      </c>
      <c r="B2097" s="272" t="s">
        <v>12977</v>
      </c>
      <c r="C2097" s="272" t="s">
        <v>193</v>
      </c>
      <c r="D2097" s="273" t="s">
        <v>22365</v>
      </c>
      <c r="E2097" s="274" t="s">
        <v>229</v>
      </c>
    </row>
    <row r="2098" spans="1:5" ht="27">
      <c r="A2098" s="271">
        <v>102065</v>
      </c>
      <c r="B2098" s="272" t="s">
        <v>12978</v>
      </c>
      <c r="C2098" s="272" t="s">
        <v>193</v>
      </c>
      <c r="D2098" s="273" t="s">
        <v>22366</v>
      </c>
      <c r="E2098" s="274" t="s">
        <v>229</v>
      </c>
    </row>
    <row r="2099" spans="1:5" ht="27">
      <c r="A2099" s="271">
        <v>102066</v>
      </c>
      <c r="B2099" s="272" t="s">
        <v>12979</v>
      </c>
      <c r="C2099" s="272" t="s">
        <v>193</v>
      </c>
      <c r="D2099" s="273" t="s">
        <v>22367</v>
      </c>
      <c r="E2099" s="274" t="s">
        <v>229</v>
      </c>
    </row>
    <row r="2100" spans="1:5" ht="27">
      <c r="A2100" s="271">
        <v>102067</v>
      </c>
      <c r="B2100" s="272" t="s">
        <v>12980</v>
      </c>
      <c r="C2100" s="272" t="s">
        <v>193</v>
      </c>
      <c r="D2100" s="273" t="s">
        <v>22368</v>
      </c>
      <c r="E2100" s="274" t="s">
        <v>229</v>
      </c>
    </row>
    <row r="2101" spans="1:5" ht="27">
      <c r="A2101" s="271">
        <v>102068</v>
      </c>
      <c r="B2101" s="272" t="s">
        <v>12981</v>
      </c>
      <c r="C2101" s="272" t="s">
        <v>193</v>
      </c>
      <c r="D2101" s="273" t="s">
        <v>22369</v>
      </c>
      <c r="E2101" s="274" t="s">
        <v>229</v>
      </c>
    </row>
    <row r="2102" spans="1:5" ht="27">
      <c r="A2102" s="271">
        <v>102069</v>
      </c>
      <c r="B2102" s="272" t="s">
        <v>12982</v>
      </c>
      <c r="C2102" s="272" t="s">
        <v>193</v>
      </c>
      <c r="D2102" s="273" t="s">
        <v>15987</v>
      </c>
      <c r="E2102" s="274" t="s">
        <v>229</v>
      </c>
    </row>
    <row r="2103" spans="1:5" ht="27">
      <c r="A2103" s="271">
        <v>102070</v>
      </c>
      <c r="B2103" s="272" t="s">
        <v>12983</v>
      </c>
      <c r="C2103" s="272" t="s">
        <v>193</v>
      </c>
      <c r="D2103" s="273" t="s">
        <v>22370</v>
      </c>
      <c r="E2103" s="274" t="s">
        <v>229</v>
      </c>
    </row>
    <row r="2104" spans="1:5" ht="27">
      <c r="A2104" s="271">
        <v>102071</v>
      </c>
      <c r="B2104" s="272" t="s">
        <v>12984</v>
      </c>
      <c r="C2104" s="272" t="s">
        <v>193</v>
      </c>
      <c r="D2104" s="273" t="s">
        <v>22371</v>
      </c>
      <c r="E2104" s="274" t="s">
        <v>229</v>
      </c>
    </row>
    <row r="2105" spans="1:5" ht="27">
      <c r="A2105" s="271">
        <v>102072</v>
      </c>
      <c r="B2105" s="272" t="s">
        <v>12985</v>
      </c>
      <c r="C2105" s="272" t="s">
        <v>193</v>
      </c>
      <c r="D2105" s="273" t="s">
        <v>22372</v>
      </c>
      <c r="E2105" s="274" t="s">
        <v>229</v>
      </c>
    </row>
    <row r="2106" spans="1:5" ht="27">
      <c r="A2106" s="271">
        <v>102073</v>
      </c>
      <c r="B2106" s="272" t="s">
        <v>12986</v>
      </c>
      <c r="C2106" s="272" t="s">
        <v>209</v>
      </c>
      <c r="D2106" s="273" t="s">
        <v>22373</v>
      </c>
      <c r="E2106" s="274" t="s">
        <v>229</v>
      </c>
    </row>
    <row r="2107" spans="1:5" ht="27">
      <c r="A2107" s="271">
        <v>102074</v>
      </c>
      <c r="B2107" s="272" t="s">
        <v>12987</v>
      </c>
      <c r="C2107" s="272" t="s">
        <v>209</v>
      </c>
      <c r="D2107" s="273" t="s">
        <v>22374</v>
      </c>
      <c r="E2107" s="274" t="s">
        <v>229</v>
      </c>
    </row>
    <row r="2108" spans="1:5" ht="27">
      <c r="A2108" s="271">
        <v>102075</v>
      </c>
      <c r="B2108" s="272" t="s">
        <v>12988</v>
      </c>
      <c r="C2108" s="272" t="s">
        <v>209</v>
      </c>
      <c r="D2108" s="273" t="s">
        <v>22375</v>
      </c>
      <c r="E2108" s="274" t="s">
        <v>229</v>
      </c>
    </row>
    <row r="2109" spans="1:5" ht="27">
      <c r="A2109" s="271">
        <v>102076</v>
      </c>
      <c r="B2109" s="272" t="s">
        <v>12989</v>
      </c>
      <c r="C2109" s="272" t="s">
        <v>209</v>
      </c>
      <c r="D2109" s="273" t="s">
        <v>22376</v>
      </c>
      <c r="E2109" s="274" t="s">
        <v>229</v>
      </c>
    </row>
    <row r="2110" spans="1:5" ht="27">
      <c r="A2110" s="271">
        <v>102077</v>
      </c>
      <c r="B2110" s="272" t="s">
        <v>12990</v>
      </c>
      <c r="C2110" s="272" t="s">
        <v>209</v>
      </c>
      <c r="D2110" s="273" t="s">
        <v>22377</v>
      </c>
      <c r="E2110" s="274" t="s">
        <v>229</v>
      </c>
    </row>
    <row r="2111" spans="1:5" ht="27">
      <c r="A2111" s="271">
        <v>102078</v>
      </c>
      <c r="B2111" s="272" t="s">
        <v>12991</v>
      </c>
      <c r="C2111" s="272" t="s">
        <v>209</v>
      </c>
      <c r="D2111" s="273" t="s">
        <v>22378</v>
      </c>
      <c r="E2111" s="274" t="s">
        <v>229</v>
      </c>
    </row>
    <row r="2112" spans="1:5" ht="27">
      <c r="A2112" s="271">
        <v>102079</v>
      </c>
      <c r="B2112" s="272" t="s">
        <v>12992</v>
      </c>
      <c r="C2112" s="272" t="s">
        <v>209</v>
      </c>
      <c r="D2112" s="273" t="s">
        <v>22379</v>
      </c>
      <c r="E2112" s="274" t="s">
        <v>229</v>
      </c>
    </row>
    <row r="2113" spans="1:5" ht="27">
      <c r="A2113" s="271">
        <v>102080</v>
      </c>
      <c r="B2113" s="272" t="s">
        <v>12993</v>
      </c>
      <c r="C2113" s="272" t="s">
        <v>209</v>
      </c>
      <c r="D2113" s="273" t="s">
        <v>22380</v>
      </c>
      <c r="E2113" s="274" t="s">
        <v>229</v>
      </c>
    </row>
    <row r="2114" spans="1:5" ht="27">
      <c r="A2114" s="271">
        <v>102086</v>
      </c>
      <c r="B2114" s="272" t="s">
        <v>12994</v>
      </c>
      <c r="C2114" s="272" t="s">
        <v>193</v>
      </c>
      <c r="D2114" s="273" t="s">
        <v>15864</v>
      </c>
      <c r="E2114" s="274" t="s">
        <v>229</v>
      </c>
    </row>
    <row r="2115" spans="1:5" ht="27">
      <c r="A2115" s="271">
        <v>102087</v>
      </c>
      <c r="B2115" s="272" t="s">
        <v>12995</v>
      </c>
      <c r="C2115" s="272" t="s">
        <v>193</v>
      </c>
      <c r="D2115" s="273" t="s">
        <v>22381</v>
      </c>
      <c r="E2115" s="274" t="s">
        <v>229</v>
      </c>
    </row>
    <row r="2116" spans="1:5" ht="27">
      <c r="A2116" s="271">
        <v>102088</v>
      </c>
      <c r="B2116" s="272" t="s">
        <v>12996</v>
      </c>
      <c r="C2116" s="272" t="s">
        <v>193</v>
      </c>
      <c r="D2116" s="273" t="s">
        <v>22382</v>
      </c>
      <c r="E2116" s="274" t="s">
        <v>229</v>
      </c>
    </row>
    <row r="2117" spans="1:5" ht="27">
      <c r="A2117" s="271">
        <v>102089</v>
      </c>
      <c r="B2117" s="272" t="s">
        <v>12997</v>
      </c>
      <c r="C2117" s="272" t="s">
        <v>193</v>
      </c>
      <c r="D2117" s="273" t="s">
        <v>16454</v>
      </c>
      <c r="E2117" s="274" t="s">
        <v>229</v>
      </c>
    </row>
    <row r="2118" spans="1:5" ht="27">
      <c r="A2118" s="271">
        <v>102090</v>
      </c>
      <c r="B2118" s="272" t="s">
        <v>12998</v>
      </c>
      <c r="C2118" s="272" t="s">
        <v>193</v>
      </c>
      <c r="D2118" s="273" t="s">
        <v>22383</v>
      </c>
      <c r="E2118" s="274" t="s">
        <v>229</v>
      </c>
    </row>
    <row r="2119" spans="1:5" ht="27">
      <c r="A2119" s="271">
        <v>102091</v>
      </c>
      <c r="B2119" s="272" t="s">
        <v>12999</v>
      </c>
      <c r="C2119" s="272" t="s">
        <v>193</v>
      </c>
      <c r="D2119" s="273" t="s">
        <v>16686</v>
      </c>
      <c r="E2119" s="274" t="s">
        <v>229</v>
      </c>
    </row>
    <row r="2120" spans="1:5" ht="13.5">
      <c r="A2120" s="271">
        <v>89996</v>
      </c>
      <c r="B2120" s="272" t="s">
        <v>1359</v>
      </c>
      <c r="C2120" s="272" t="s">
        <v>108</v>
      </c>
      <c r="D2120" s="273" t="s">
        <v>10576</v>
      </c>
      <c r="E2120" s="274" t="s">
        <v>229</v>
      </c>
    </row>
    <row r="2121" spans="1:5" ht="13.5">
      <c r="A2121" s="271">
        <v>89997</v>
      </c>
      <c r="B2121" s="272" t="s">
        <v>1360</v>
      </c>
      <c r="C2121" s="272" t="s">
        <v>108</v>
      </c>
      <c r="D2121" s="273" t="s">
        <v>14247</v>
      </c>
      <c r="E2121" s="274" t="s">
        <v>229</v>
      </c>
    </row>
    <row r="2122" spans="1:5" ht="13.5">
      <c r="A2122" s="271">
        <v>89998</v>
      </c>
      <c r="B2122" s="272" t="s">
        <v>1361</v>
      </c>
      <c r="C2122" s="272" t="s">
        <v>108</v>
      </c>
      <c r="D2122" s="273" t="s">
        <v>10207</v>
      </c>
      <c r="E2122" s="274" t="s">
        <v>229</v>
      </c>
    </row>
    <row r="2123" spans="1:5" ht="27">
      <c r="A2123" s="271">
        <v>89999</v>
      </c>
      <c r="B2123" s="272" t="s">
        <v>1362</v>
      </c>
      <c r="C2123" s="272" t="s">
        <v>108</v>
      </c>
      <c r="D2123" s="273" t="s">
        <v>10331</v>
      </c>
      <c r="E2123" s="274" t="s">
        <v>229</v>
      </c>
    </row>
    <row r="2124" spans="1:5" ht="27">
      <c r="A2124" s="271">
        <v>90000</v>
      </c>
      <c r="B2124" s="272" t="s">
        <v>1363</v>
      </c>
      <c r="C2124" s="272" t="s">
        <v>108</v>
      </c>
      <c r="D2124" s="273" t="s">
        <v>22384</v>
      </c>
      <c r="E2124" s="274" t="s">
        <v>229</v>
      </c>
    </row>
    <row r="2125" spans="1:5" ht="27">
      <c r="A2125" s="271">
        <v>91593</v>
      </c>
      <c r="B2125" s="272" t="s">
        <v>4019</v>
      </c>
      <c r="C2125" s="272" t="s">
        <v>108</v>
      </c>
      <c r="D2125" s="273" t="s">
        <v>16120</v>
      </c>
      <c r="E2125" s="274" t="s">
        <v>229</v>
      </c>
    </row>
    <row r="2126" spans="1:5" ht="27">
      <c r="A2126" s="271">
        <v>91594</v>
      </c>
      <c r="B2126" s="272" t="s">
        <v>4020</v>
      </c>
      <c r="C2126" s="272" t="s">
        <v>108</v>
      </c>
      <c r="D2126" s="273" t="s">
        <v>22385</v>
      </c>
      <c r="E2126" s="274" t="s">
        <v>229</v>
      </c>
    </row>
    <row r="2127" spans="1:5" ht="27">
      <c r="A2127" s="271">
        <v>91595</v>
      </c>
      <c r="B2127" s="272" t="s">
        <v>4021</v>
      </c>
      <c r="C2127" s="272" t="s">
        <v>108</v>
      </c>
      <c r="D2127" s="273" t="s">
        <v>22386</v>
      </c>
      <c r="E2127" s="274" t="s">
        <v>229</v>
      </c>
    </row>
    <row r="2128" spans="1:5" ht="27">
      <c r="A2128" s="271">
        <v>91596</v>
      </c>
      <c r="B2128" s="272" t="s">
        <v>4022</v>
      </c>
      <c r="C2128" s="272" t="s">
        <v>108</v>
      </c>
      <c r="D2128" s="273" t="s">
        <v>10623</v>
      </c>
      <c r="E2128" s="274" t="s">
        <v>229</v>
      </c>
    </row>
    <row r="2129" spans="1:5" ht="27">
      <c r="A2129" s="271">
        <v>91597</v>
      </c>
      <c r="B2129" s="272" t="s">
        <v>4023</v>
      </c>
      <c r="C2129" s="272" t="s">
        <v>108</v>
      </c>
      <c r="D2129" s="273" t="s">
        <v>11533</v>
      </c>
      <c r="E2129" s="274" t="s">
        <v>229</v>
      </c>
    </row>
    <row r="2130" spans="1:5" ht="27">
      <c r="A2130" s="271">
        <v>91598</v>
      </c>
      <c r="B2130" s="272" t="s">
        <v>4024</v>
      </c>
      <c r="C2130" s="272" t="s">
        <v>108</v>
      </c>
      <c r="D2130" s="273" t="s">
        <v>11136</v>
      </c>
      <c r="E2130" s="274" t="s">
        <v>229</v>
      </c>
    </row>
    <row r="2131" spans="1:5" ht="27">
      <c r="A2131" s="271">
        <v>91599</v>
      </c>
      <c r="B2131" s="272" t="s">
        <v>4025</v>
      </c>
      <c r="C2131" s="272" t="s">
        <v>108</v>
      </c>
      <c r="D2131" s="273" t="s">
        <v>9722</v>
      </c>
      <c r="E2131" s="274" t="s">
        <v>229</v>
      </c>
    </row>
    <row r="2132" spans="1:5" ht="27">
      <c r="A2132" s="271">
        <v>91600</v>
      </c>
      <c r="B2132" s="272" t="s">
        <v>4026</v>
      </c>
      <c r="C2132" s="272" t="s">
        <v>108</v>
      </c>
      <c r="D2132" s="273" t="s">
        <v>10102</v>
      </c>
      <c r="E2132" s="274" t="s">
        <v>229</v>
      </c>
    </row>
    <row r="2133" spans="1:5" ht="27">
      <c r="A2133" s="271">
        <v>91601</v>
      </c>
      <c r="B2133" s="272" t="s">
        <v>4027</v>
      </c>
      <c r="C2133" s="272" t="s">
        <v>108</v>
      </c>
      <c r="D2133" s="273" t="s">
        <v>11388</v>
      </c>
      <c r="E2133" s="274" t="s">
        <v>229</v>
      </c>
    </row>
    <row r="2134" spans="1:5" ht="27">
      <c r="A2134" s="271">
        <v>91602</v>
      </c>
      <c r="B2134" s="272" t="s">
        <v>4028</v>
      </c>
      <c r="C2134" s="272" t="s">
        <v>108</v>
      </c>
      <c r="D2134" s="273" t="s">
        <v>11523</v>
      </c>
      <c r="E2134" s="274" t="s">
        <v>229</v>
      </c>
    </row>
    <row r="2135" spans="1:5" ht="27">
      <c r="A2135" s="271">
        <v>91603</v>
      </c>
      <c r="B2135" s="272" t="s">
        <v>4029</v>
      </c>
      <c r="C2135" s="272" t="s">
        <v>108</v>
      </c>
      <c r="D2135" s="273" t="s">
        <v>14045</v>
      </c>
      <c r="E2135" s="274" t="s">
        <v>229</v>
      </c>
    </row>
    <row r="2136" spans="1:5" ht="40.5">
      <c r="A2136" s="271">
        <v>92759</v>
      </c>
      <c r="B2136" s="272" t="s">
        <v>1364</v>
      </c>
      <c r="C2136" s="272" t="s">
        <v>108</v>
      </c>
      <c r="D2136" s="273" t="s">
        <v>9955</v>
      </c>
      <c r="E2136" s="274" t="s">
        <v>229</v>
      </c>
    </row>
    <row r="2137" spans="1:5" ht="40.5">
      <c r="A2137" s="271">
        <v>92760</v>
      </c>
      <c r="B2137" s="272" t="s">
        <v>1365</v>
      </c>
      <c r="C2137" s="272" t="s">
        <v>108</v>
      </c>
      <c r="D2137" s="273" t="s">
        <v>10536</v>
      </c>
      <c r="E2137" s="274" t="s">
        <v>229</v>
      </c>
    </row>
    <row r="2138" spans="1:5" ht="40.5">
      <c r="A2138" s="271">
        <v>92761</v>
      </c>
      <c r="B2138" s="272" t="s">
        <v>1366</v>
      </c>
      <c r="C2138" s="272" t="s">
        <v>108</v>
      </c>
      <c r="D2138" s="273" t="s">
        <v>22387</v>
      </c>
      <c r="E2138" s="274" t="s">
        <v>229</v>
      </c>
    </row>
    <row r="2139" spans="1:5" ht="40.5">
      <c r="A2139" s="271">
        <v>92762</v>
      </c>
      <c r="B2139" s="272" t="s">
        <v>1367</v>
      </c>
      <c r="C2139" s="272" t="s">
        <v>108</v>
      </c>
      <c r="D2139" s="273" t="s">
        <v>15946</v>
      </c>
      <c r="E2139" s="274" t="s">
        <v>229</v>
      </c>
    </row>
    <row r="2140" spans="1:5" ht="40.5">
      <c r="A2140" s="271">
        <v>92763</v>
      </c>
      <c r="B2140" s="272" t="s">
        <v>1368</v>
      </c>
      <c r="C2140" s="272" t="s">
        <v>108</v>
      </c>
      <c r="D2140" s="273" t="s">
        <v>10534</v>
      </c>
      <c r="E2140" s="274" t="s">
        <v>229</v>
      </c>
    </row>
    <row r="2141" spans="1:5" ht="40.5">
      <c r="A2141" s="271">
        <v>92764</v>
      </c>
      <c r="B2141" s="272" t="s">
        <v>1369</v>
      </c>
      <c r="C2141" s="272" t="s">
        <v>108</v>
      </c>
      <c r="D2141" s="273" t="s">
        <v>11075</v>
      </c>
      <c r="E2141" s="274" t="s">
        <v>229</v>
      </c>
    </row>
    <row r="2142" spans="1:5" ht="40.5">
      <c r="A2142" s="271">
        <v>92765</v>
      </c>
      <c r="B2142" s="272" t="s">
        <v>1370</v>
      </c>
      <c r="C2142" s="272" t="s">
        <v>108</v>
      </c>
      <c r="D2142" s="273" t="s">
        <v>10904</v>
      </c>
      <c r="E2142" s="274" t="s">
        <v>229</v>
      </c>
    </row>
    <row r="2143" spans="1:5" ht="40.5">
      <c r="A2143" s="271">
        <v>92766</v>
      </c>
      <c r="B2143" s="272" t="s">
        <v>1371</v>
      </c>
      <c r="C2143" s="272" t="s">
        <v>108</v>
      </c>
      <c r="D2143" s="273" t="s">
        <v>10879</v>
      </c>
      <c r="E2143" s="274" t="s">
        <v>229</v>
      </c>
    </row>
    <row r="2144" spans="1:5" ht="27">
      <c r="A2144" s="271">
        <v>92767</v>
      </c>
      <c r="B2144" s="272" t="s">
        <v>1372</v>
      </c>
      <c r="C2144" s="272" t="s">
        <v>108</v>
      </c>
      <c r="D2144" s="273" t="s">
        <v>16070</v>
      </c>
      <c r="E2144" s="274" t="s">
        <v>229</v>
      </c>
    </row>
    <row r="2145" spans="1:5" ht="27">
      <c r="A2145" s="271">
        <v>92768</v>
      </c>
      <c r="B2145" s="272" t="s">
        <v>1373</v>
      </c>
      <c r="C2145" s="272" t="s">
        <v>108</v>
      </c>
      <c r="D2145" s="273" t="s">
        <v>22388</v>
      </c>
      <c r="E2145" s="274" t="s">
        <v>229</v>
      </c>
    </row>
    <row r="2146" spans="1:5" ht="27">
      <c r="A2146" s="271">
        <v>92769</v>
      </c>
      <c r="B2146" s="272" t="s">
        <v>1374</v>
      </c>
      <c r="C2146" s="272" t="s">
        <v>108</v>
      </c>
      <c r="D2146" s="273" t="s">
        <v>16434</v>
      </c>
      <c r="E2146" s="274" t="s">
        <v>229</v>
      </c>
    </row>
    <row r="2147" spans="1:5" ht="27">
      <c r="A2147" s="271">
        <v>92770</v>
      </c>
      <c r="B2147" s="272" t="s">
        <v>1375</v>
      </c>
      <c r="C2147" s="272" t="s">
        <v>108</v>
      </c>
      <c r="D2147" s="273" t="s">
        <v>16704</v>
      </c>
      <c r="E2147" s="274" t="s">
        <v>229</v>
      </c>
    </row>
    <row r="2148" spans="1:5" ht="27">
      <c r="A2148" s="271">
        <v>92771</v>
      </c>
      <c r="B2148" s="272" t="s">
        <v>1376</v>
      </c>
      <c r="C2148" s="272" t="s">
        <v>108</v>
      </c>
      <c r="D2148" s="273" t="s">
        <v>16205</v>
      </c>
      <c r="E2148" s="274" t="s">
        <v>229</v>
      </c>
    </row>
    <row r="2149" spans="1:5" ht="27">
      <c r="A2149" s="271">
        <v>92772</v>
      </c>
      <c r="B2149" s="272" t="s">
        <v>1377</v>
      </c>
      <c r="C2149" s="272" t="s">
        <v>108</v>
      </c>
      <c r="D2149" s="273" t="s">
        <v>12146</v>
      </c>
      <c r="E2149" s="274" t="s">
        <v>229</v>
      </c>
    </row>
    <row r="2150" spans="1:5" ht="27">
      <c r="A2150" s="271">
        <v>92773</v>
      </c>
      <c r="B2150" s="272" t="s">
        <v>1378</v>
      </c>
      <c r="C2150" s="272" t="s">
        <v>108</v>
      </c>
      <c r="D2150" s="273" t="s">
        <v>22389</v>
      </c>
      <c r="E2150" s="274" t="s">
        <v>229</v>
      </c>
    </row>
    <row r="2151" spans="1:5" ht="27">
      <c r="A2151" s="271">
        <v>92774</v>
      </c>
      <c r="B2151" s="272" t="s">
        <v>1379</v>
      </c>
      <c r="C2151" s="272" t="s">
        <v>108</v>
      </c>
      <c r="D2151" s="273" t="s">
        <v>10972</v>
      </c>
      <c r="E2151" s="274" t="s">
        <v>229</v>
      </c>
    </row>
    <row r="2152" spans="1:5" ht="27">
      <c r="A2152" s="271">
        <v>92775</v>
      </c>
      <c r="B2152" s="272" t="s">
        <v>1380</v>
      </c>
      <c r="C2152" s="272" t="s">
        <v>108</v>
      </c>
      <c r="D2152" s="273" t="s">
        <v>10985</v>
      </c>
      <c r="E2152" s="274" t="s">
        <v>229</v>
      </c>
    </row>
    <row r="2153" spans="1:5" ht="27">
      <c r="A2153" s="271">
        <v>92776</v>
      </c>
      <c r="B2153" s="272" t="s">
        <v>1381</v>
      </c>
      <c r="C2153" s="272" t="s">
        <v>108</v>
      </c>
      <c r="D2153" s="273" t="s">
        <v>12372</v>
      </c>
      <c r="E2153" s="274" t="s">
        <v>229</v>
      </c>
    </row>
    <row r="2154" spans="1:5" ht="27">
      <c r="A2154" s="271">
        <v>92777</v>
      </c>
      <c r="B2154" s="272" t="s">
        <v>1382</v>
      </c>
      <c r="C2154" s="272" t="s">
        <v>108</v>
      </c>
      <c r="D2154" s="273" t="s">
        <v>12380</v>
      </c>
      <c r="E2154" s="274" t="s">
        <v>229</v>
      </c>
    </row>
    <row r="2155" spans="1:5" ht="27">
      <c r="A2155" s="271">
        <v>92778</v>
      </c>
      <c r="B2155" s="272" t="s">
        <v>1383</v>
      </c>
      <c r="C2155" s="272" t="s">
        <v>108</v>
      </c>
      <c r="D2155" s="273" t="s">
        <v>16434</v>
      </c>
      <c r="E2155" s="274" t="s">
        <v>229</v>
      </c>
    </row>
    <row r="2156" spans="1:5" ht="27">
      <c r="A2156" s="271">
        <v>92779</v>
      </c>
      <c r="B2156" s="272" t="s">
        <v>1384</v>
      </c>
      <c r="C2156" s="272" t="s">
        <v>108</v>
      </c>
      <c r="D2156" s="273" t="s">
        <v>10056</v>
      </c>
      <c r="E2156" s="274" t="s">
        <v>229</v>
      </c>
    </row>
    <row r="2157" spans="1:5" ht="27">
      <c r="A2157" s="271">
        <v>92780</v>
      </c>
      <c r="B2157" s="272" t="s">
        <v>1385</v>
      </c>
      <c r="C2157" s="272" t="s">
        <v>108</v>
      </c>
      <c r="D2157" s="273" t="s">
        <v>16113</v>
      </c>
      <c r="E2157" s="274" t="s">
        <v>229</v>
      </c>
    </row>
    <row r="2158" spans="1:5" ht="27">
      <c r="A2158" s="271">
        <v>92781</v>
      </c>
      <c r="B2158" s="272" t="s">
        <v>1386</v>
      </c>
      <c r="C2158" s="272" t="s">
        <v>108</v>
      </c>
      <c r="D2158" s="273" t="s">
        <v>11358</v>
      </c>
      <c r="E2158" s="274" t="s">
        <v>229</v>
      </c>
    </row>
    <row r="2159" spans="1:5" ht="27">
      <c r="A2159" s="271">
        <v>92782</v>
      </c>
      <c r="B2159" s="272" t="s">
        <v>1387</v>
      </c>
      <c r="C2159" s="272" t="s">
        <v>108</v>
      </c>
      <c r="D2159" s="273" t="s">
        <v>14116</v>
      </c>
      <c r="E2159" s="274" t="s">
        <v>229</v>
      </c>
    </row>
    <row r="2160" spans="1:5" ht="27">
      <c r="A2160" s="271">
        <v>92783</v>
      </c>
      <c r="B2160" s="272" t="s">
        <v>1388</v>
      </c>
      <c r="C2160" s="272" t="s">
        <v>108</v>
      </c>
      <c r="D2160" s="273" t="s">
        <v>10661</v>
      </c>
      <c r="E2160" s="274" t="s">
        <v>229</v>
      </c>
    </row>
    <row r="2161" spans="1:5" ht="27">
      <c r="A2161" s="271">
        <v>92784</v>
      </c>
      <c r="B2161" s="272" t="s">
        <v>1389</v>
      </c>
      <c r="C2161" s="272" t="s">
        <v>108</v>
      </c>
      <c r="D2161" s="273" t="s">
        <v>10248</v>
      </c>
      <c r="E2161" s="274" t="s">
        <v>229</v>
      </c>
    </row>
    <row r="2162" spans="1:5" ht="27">
      <c r="A2162" s="271">
        <v>92785</v>
      </c>
      <c r="B2162" s="272" t="s">
        <v>1390</v>
      </c>
      <c r="C2162" s="272" t="s">
        <v>108</v>
      </c>
      <c r="D2162" s="273" t="s">
        <v>12213</v>
      </c>
      <c r="E2162" s="274" t="s">
        <v>229</v>
      </c>
    </row>
    <row r="2163" spans="1:5" ht="27">
      <c r="A2163" s="271">
        <v>92786</v>
      </c>
      <c r="B2163" s="272" t="s">
        <v>1391</v>
      </c>
      <c r="C2163" s="272" t="s">
        <v>108</v>
      </c>
      <c r="D2163" s="273" t="s">
        <v>15857</v>
      </c>
      <c r="E2163" s="274" t="s">
        <v>229</v>
      </c>
    </row>
    <row r="2164" spans="1:5" ht="27">
      <c r="A2164" s="271">
        <v>92787</v>
      </c>
      <c r="B2164" s="272" t="s">
        <v>1392</v>
      </c>
      <c r="C2164" s="272" t="s">
        <v>108</v>
      </c>
      <c r="D2164" s="273" t="s">
        <v>14053</v>
      </c>
      <c r="E2164" s="274" t="s">
        <v>229</v>
      </c>
    </row>
    <row r="2165" spans="1:5" ht="27">
      <c r="A2165" s="271">
        <v>92788</v>
      </c>
      <c r="B2165" s="272" t="s">
        <v>1393</v>
      </c>
      <c r="C2165" s="272" t="s">
        <v>108</v>
      </c>
      <c r="D2165" s="273" t="s">
        <v>10313</v>
      </c>
      <c r="E2165" s="274" t="s">
        <v>229</v>
      </c>
    </row>
    <row r="2166" spans="1:5" ht="27">
      <c r="A2166" s="271">
        <v>92789</v>
      </c>
      <c r="B2166" s="272" t="s">
        <v>1394</v>
      </c>
      <c r="C2166" s="272" t="s">
        <v>108</v>
      </c>
      <c r="D2166" s="273" t="s">
        <v>12146</v>
      </c>
      <c r="E2166" s="274" t="s">
        <v>229</v>
      </c>
    </row>
    <row r="2167" spans="1:5" ht="27">
      <c r="A2167" s="271">
        <v>92790</v>
      </c>
      <c r="B2167" s="272" t="s">
        <v>1395</v>
      </c>
      <c r="C2167" s="272" t="s">
        <v>108</v>
      </c>
      <c r="D2167" s="273" t="s">
        <v>14049</v>
      </c>
      <c r="E2167" s="274" t="s">
        <v>229</v>
      </c>
    </row>
    <row r="2168" spans="1:5" ht="27">
      <c r="A2168" s="271">
        <v>92791</v>
      </c>
      <c r="B2168" s="272" t="s">
        <v>1396</v>
      </c>
      <c r="C2168" s="272" t="s">
        <v>108</v>
      </c>
      <c r="D2168" s="273" t="s">
        <v>16337</v>
      </c>
      <c r="E2168" s="274" t="s">
        <v>229</v>
      </c>
    </row>
    <row r="2169" spans="1:5" ht="27">
      <c r="A2169" s="271">
        <v>92792</v>
      </c>
      <c r="B2169" s="272" t="s">
        <v>1397</v>
      </c>
      <c r="C2169" s="272" t="s">
        <v>108</v>
      </c>
      <c r="D2169" s="273" t="s">
        <v>14116</v>
      </c>
      <c r="E2169" s="274" t="s">
        <v>229</v>
      </c>
    </row>
    <row r="2170" spans="1:5" ht="27">
      <c r="A2170" s="271">
        <v>92793</v>
      </c>
      <c r="B2170" s="272" t="s">
        <v>1398</v>
      </c>
      <c r="C2170" s="272" t="s">
        <v>108</v>
      </c>
      <c r="D2170" s="273" t="s">
        <v>10887</v>
      </c>
      <c r="E2170" s="274" t="s">
        <v>229</v>
      </c>
    </row>
    <row r="2171" spans="1:5" ht="27">
      <c r="A2171" s="271">
        <v>92794</v>
      </c>
      <c r="B2171" s="272" t="s">
        <v>1399</v>
      </c>
      <c r="C2171" s="272" t="s">
        <v>108</v>
      </c>
      <c r="D2171" s="273" t="s">
        <v>10534</v>
      </c>
      <c r="E2171" s="274" t="s">
        <v>229</v>
      </c>
    </row>
    <row r="2172" spans="1:5" ht="27">
      <c r="A2172" s="271">
        <v>92795</v>
      </c>
      <c r="B2172" s="272" t="s">
        <v>1400</v>
      </c>
      <c r="C2172" s="272" t="s">
        <v>108</v>
      </c>
      <c r="D2172" s="273" t="s">
        <v>16021</v>
      </c>
      <c r="E2172" s="274" t="s">
        <v>229</v>
      </c>
    </row>
    <row r="2173" spans="1:5" ht="27">
      <c r="A2173" s="271">
        <v>92796</v>
      </c>
      <c r="B2173" s="272" t="s">
        <v>1401</v>
      </c>
      <c r="C2173" s="272" t="s">
        <v>108</v>
      </c>
      <c r="D2173" s="273" t="s">
        <v>10611</v>
      </c>
      <c r="E2173" s="274" t="s">
        <v>229</v>
      </c>
    </row>
    <row r="2174" spans="1:5" ht="27">
      <c r="A2174" s="271">
        <v>92797</v>
      </c>
      <c r="B2174" s="272" t="s">
        <v>1402</v>
      </c>
      <c r="C2174" s="272" t="s">
        <v>108</v>
      </c>
      <c r="D2174" s="273" t="s">
        <v>10534</v>
      </c>
      <c r="E2174" s="274" t="s">
        <v>229</v>
      </c>
    </row>
    <row r="2175" spans="1:5" ht="27">
      <c r="A2175" s="271">
        <v>92798</v>
      </c>
      <c r="B2175" s="272" t="s">
        <v>1403</v>
      </c>
      <c r="C2175" s="272" t="s">
        <v>108</v>
      </c>
      <c r="D2175" s="273" t="s">
        <v>10196</v>
      </c>
      <c r="E2175" s="274" t="s">
        <v>229</v>
      </c>
    </row>
    <row r="2176" spans="1:5" ht="13.5">
      <c r="A2176" s="271">
        <v>92799</v>
      </c>
      <c r="B2176" s="272" t="s">
        <v>1404</v>
      </c>
      <c r="C2176" s="272" t="s">
        <v>108</v>
      </c>
      <c r="D2176" s="273" t="s">
        <v>10622</v>
      </c>
      <c r="E2176" s="274" t="s">
        <v>229</v>
      </c>
    </row>
    <row r="2177" spans="1:5" ht="13.5">
      <c r="A2177" s="271">
        <v>92800</v>
      </c>
      <c r="B2177" s="272" t="s">
        <v>1405</v>
      </c>
      <c r="C2177" s="272" t="s">
        <v>108</v>
      </c>
      <c r="D2177" s="273" t="s">
        <v>10545</v>
      </c>
      <c r="E2177" s="274" t="s">
        <v>229</v>
      </c>
    </row>
    <row r="2178" spans="1:5" ht="13.5">
      <c r="A2178" s="271">
        <v>92801</v>
      </c>
      <c r="B2178" s="272" t="s">
        <v>1406</v>
      </c>
      <c r="C2178" s="272" t="s">
        <v>108</v>
      </c>
      <c r="D2178" s="273" t="s">
        <v>12367</v>
      </c>
      <c r="E2178" s="274" t="s">
        <v>229</v>
      </c>
    </row>
    <row r="2179" spans="1:5" ht="13.5">
      <c r="A2179" s="271">
        <v>92802</v>
      </c>
      <c r="B2179" s="272" t="s">
        <v>1407</v>
      </c>
      <c r="C2179" s="272" t="s">
        <v>108</v>
      </c>
      <c r="D2179" s="273" t="s">
        <v>10293</v>
      </c>
      <c r="E2179" s="274" t="s">
        <v>229</v>
      </c>
    </row>
    <row r="2180" spans="1:5" ht="13.5">
      <c r="A2180" s="271">
        <v>92803</v>
      </c>
      <c r="B2180" s="272" t="s">
        <v>1408</v>
      </c>
      <c r="C2180" s="272" t="s">
        <v>108</v>
      </c>
      <c r="D2180" s="273" t="s">
        <v>11255</v>
      </c>
      <c r="E2180" s="274" t="s">
        <v>229</v>
      </c>
    </row>
    <row r="2181" spans="1:5" ht="13.5">
      <c r="A2181" s="271">
        <v>92804</v>
      </c>
      <c r="B2181" s="272" t="s">
        <v>1409</v>
      </c>
      <c r="C2181" s="272" t="s">
        <v>108</v>
      </c>
      <c r="D2181" s="273" t="s">
        <v>10110</v>
      </c>
      <c r="E2181" s="274" t="s">
        <v>229</v>
      </c>
    </row>
    <row r="2182" spans="1:5" ht="13.5">
      <c r="A2182" s="271">
        <v>92805</v>
      </c>
      <c r="B2182" s="272" t="s">
        <v>1410</v>
      </c>
      <c r="C2182" s="272" t="s">
        <v>108</v>
      </c>
      <c r="D2182" s="273" t="s">
        <v>10080</v>
      </c>
      <c r="E2182" s="274" t="s">
        <v>229</v>
      </c>
    </row>
    <row r="2183" spans="1:5" ht="13.5">
      <c r="A2183" s="271">
        <v>92806</v>
      </c>
      <c r="B2183" s="272" t="s">
        <v>1411</v>
      </c>
      <c r="C2183" s="272" t="s">
        <v>108</v>
      </c>
      <c r="D2183" s="273" t="s">
        <v>11387</v>
      </c>
      <c r="E2183" s="274" t="s">
        <v>229</v>
      </c>
    </row>
    <row r="2184" spans="1:5" ht="13.5">
      <c r="A2184" s="271">
        <v>92875</v>
      </c>
      <c r="B2184" s="272" t="s">
        <v>1412</v>
      </c>
      <c r="C2184" s="272" t="s">
        <v>108</v>
      </c>
      <c r="D2184" s="273" t="s">
        <v>12421</v>
      </c>
      <c r="E2184" s="274" t="s">
        <v>229</v>
      </c>
    </row>
    <row r="2185" spans="1:5" ht="13.5">
      <c r="A2185" s="271">
        <v>92876</v>
      </c>
      <c r="B2185" s="272" t="s">
        <v>1413</v>
      </c>
      <c r="C2185" s="272" t="s">
        <v>108</v>
      </c>
      <c r="D2185" s="273" t="s">
        <v>11493</v>
      </c>
      <c r="E2185" s="274" t="s">
        <v>229</v>
      </c>
    </row>
    <row r="2186" spans="1:5" ht="13.5">
      <c r="A2186" s="271">
        <v>92877</v>
      </c>
      <c r="B2186" s="272" t="s">
        <v>1414</v>
      </c>
      <c r="C2186" s="272" t="s">
        <v>108</v>
      </c>
      <c r="D2186" s="273" t="s">
        <v>9962</v>
      </c>
      <c r="E2186" s="274" t="s">
        <v>229</v>
      </c>
    </row>
    <row r="2187" spans="1:5" ht="13.5">
      <c r="A2187" s="271">
        <v>92878</v>
      </c>
      <c r="B2187" s="272" t="s">
        <v>1415</v>
      </c>
      <c r="C2187" s="272" t="s">
        <v>108</v>
      </c>
      <c r="D2187" s="273" t="s">
        <v>16326</v>
      </c>
      <c r="E2187" s="274" t="s">
        <v>229</v>
      </c>
    </row>
    <row r="2188" spans="1:5" ht="13.5">
      <c r="A2188" s="271">
        <v>92879</v>
      </c>
      <c r="B2188" s="272" t="s">
        <v>1416</v>
      </c>
      <c r="C2188" s="272" t="s">
        <v>108</v>
      </c>
      <c r="D2188" s="273" t="s">
        <v>10356</v>
      </c>
      <c r="E2188" s="274" t="s">
        <v>229</v>
      </c>
    </row>
    <row r="2189" spans="1:5" ht="13.5">
      <c r="A2189" s="271">
        <v>92880</v>
      </c>
      <c r="B2189" s="272" t="s">
        <v>1417</v>
      </c>
      <c r="C2189" s="272" t="s">
        <v>108</v>
      </c>
      <c r="D2189" s="273" t="s">
        <v>12433</v>
      </c>
      <c r="E2189" s="274" t="s">
        <v>229</v>
      </c>
    </row>
    <row r="2190" spans="1:5" ht="13.5">
      <c r="A2190" s="271">
        <v>92881</v>
      </c>
      <c r="B2190" s="272" t="s">
        <v>1418</v>
      </c>
      <c r="C2190" s="272" t="s">
        <v>108</v>
      </c>
      <c r="D2190" s="273" t="s">
        <v>10338</v>
      </c>
      <c r="E2190" s="274" t="s">
        <v>229</v>
      </c>
    </row>
    <row r="2191" spans="1:5" ht="13.5">
      <c r="A2191" s="271">
        <v>92882</v>
      </c>
      <c r="B2191" s="272" t="s">
        <v>1419</v>
      </c>
      <c r="C2191" s="272" t="s">
        <v>108</v>
      </c>
      <c r="D2191" s="273" t="s">
        <v>11435</v>
      </c>
      <c r="E2191" s="274" t="s">
        <v>229</v>
      </c>
    </row>
    <row r="2192" spans="1:5" ht="13.5">
      <c r="A2192" s="271">
        <v>92883</v>
      </c>
      <c r="B2192" s="272" t="s">
        <v>1420</v>
      </c>
      <c r="C2192" s="272" t="s">
        <v>108</v>
      </c>
      <c r="D2192" s="273" t="s">
        <v>11395</v>
      </c>
      <c r="E2192" s="274" t="s">
        <v>229</v>
      </c>
    </row>
    <row r="2193" spans="1:5" ht="13.5">
      <c r="A2193" s="271">
        <v>92884</v>
      </c>
      <c r="B2193" s="272" t="s">
        <v>1421</v>
      </c>
      <c r="C2193" s="272" t="s">
        <v>108</v>
      </c>
      <c r="D2193" s="273" t="s">
        <v>15941</v>
      </c>
      <c r="E2193" s="274" t="s">
        <v>229</v>
      </c>
    </row>
    <row r="2194" spans="1:5" ht="13.5">
      <c r="A2194" s="271">
        <v>92885</v>
      </c>
      <c r="B2194" s="272" t="s">
        <v>1422</v>
      </c>
      <c r="C2194" s="272" t="s">
        <v>108</v>
      </c>
      <c r="D2194" s="273" t="s">
        <v>12227</v>
      </c>
      <c r="E2194" s="274" t="s">
        <v>229</v>
      </c>
    </row>
    <row r="2195" spans="1:5" ht="13.5">
      <c r="A2195" s="271">
        <v>92886</v>
      </c>
      <c r="B2195" s="272" t="s">
        <v>1423</v>
      </c>
      <c r="C2195" s="272" t="s">
        <v>108</v>
      </c>
      <c r="D2195" s="273" t="s">
        <v>12256</v>
      </c>
      <c r="E2195" s="274" t="s">
        <v>229</v>
      </c>
    </row>
    <row r="2196" spans="1:5" ht="13.5">
      <c r="A2196" s="271">
        <v>92887</v>
      </c>
      <c r="B2196" s="272" t="s">
        <v>1424</v>
      </c>
      <c r="C2196" s="272" t="s">
        <v>108</v>
      </c>
      <c r="D2196" s="273" t="s">
        <v>10236</v>
      </c>
      <c r="E2196" s="274" t="s">
        <v>229</v>
      </c>
    </row>
    <row r="2197" spans="1:5" ht="13.5">
      <c r="A2197" s="271">
        <v>92888</v>
      </c>
      <c r="B2197" s="272" t="s">
        <v>1425</v>
      </c>
      <c r="C2197" s="272" t="s">
        <v>108</v>
      </c>
      <c r="D2197" s="273" t="s">
        <v>11496</v>
      </c>
      <c r="E2197" s="274" t="s">
        <v>229</v>
      </c>
    </row>
    <row r="2198" spans="1:5" ht="27">
      <c r="A2198" s="271">
        <v>92915</v>
      </c>
      <c r="B2198" s="272" t="s">
        <v>3428</v>
      </c>
      <c r="C2198" s="272" t="s">
        <v>108</v>
      </c>
      <c r="D2198" s="273" t="s">
        <v>10123</v>
      </c>
      <c r="E2198" s="274" t="s">
        <v>229</v>
      </c>
    </row>
    <row r="2199" spans="1:5" ht="27">
      <c r="A2199" s="271">
        <v>92916</v>
      </c>
      <c r="B2199" s="272" t="s">
        <v>3429</v>
      </c>
      <c r="C2199" s="272" t="s">
        <v>108</v>
      </c>
      <c r="D2199" s="273" t="s">
        <v>22390</v>
      </c>
      <c r="E2199" s="274" t="s">
        <v>229</v>
      </c>
    </row>
    <row r="2200" spans="1:5" ht="27">
      <c r="A2200" s="271">
        <v>92917</v>
      </c>
      <c r="B2200" s="272" t="s">
        <v>3430</v>
      </c>
      <c r="C2200" s="272" t="s">
        <v>108</v>
      </c>
      <c r="D2200" s="273" t="s">
        <v>11296</v>
      </c>
      <c r="E2200" s="274" t="s">
        <v>229</v>
      </c>
    </row>
    <row r="2201" spans="1:5" ht="27">
      <c r="A2201" s="271">
        <v>92919</v>
      </c>
      <c r="B2201" s="272" t="s">
        <v>3431</v>
      </c>
      <c r="C2201" s="272" t="s">
        <v>108</v>
      </c>
      <c r="D2201" s="273" t="s">
        <v>10174</v>
      </c>
      <c r="E2201" s="274" t="s">
        <v>229</v>
      </c>
    </row>
    <row r="2202" spans="1:5" ht="27">
      <c r="A2202" s="271">
        <v>92921</v>
      </c>
      <c r="B2202" s="272" t="s">
        <v>3432</v>
      </c>
      <c r="C2202" s="272" t="s">
        <v>108</v>
      </c>
      <c r="D2202" s="273" t="s">
        <v>22391</v>
      </c>
      <c r="E2202" s="274" t="s">
        <v>229</v>
      </c>
    </row>
    <row r="2203" spans="1:5" ht="27">
      <c r="A2203" s="271">
        <v>92922</v>
      </c>
      <c r="B2203" s="272" t="s">
        <v>3433</v>
      </c>
      <c r="C2203" s="272" t="s">
        <v>108</v>
      </c>
      <c r="D2203" s="273" t="s">
        <v>11536</v>
      </c>
      <c r="E2203" s="274" t="s">
        <v>229</v>
      </c>
    </row>
    <row r="2204" spans="1:5" ht="27">
      <c r="A2204" s="271">
        <v>92923</v>
      </c>
      <c r="B2204" s="272" t="s">
        <v>3434</v>
      </c>
      <c r="C2204" s="272" t="s">
        <v>108</v>
      </c>
      <c r="D2204" s="273" t="s">
        <v>11313</v>
      </c>
      <c r="E2204" s="274" t="s">
        <v>229</v>
      </c>
    </row>
    <row r="2205" spans="1:5" ht="27">
      <c r="A2205" s="271">
        <v>92924</v>
      </c>
      <c r="B2205" s="272" t="s">
        <v>3435</v>
      </c>
      <c r="C2205" s="272" t="s">
        <v>108</v>
      </c>
      <c r="D2205" s="273" t="s">
        <v>10056</v>
      </c>
      <c r="E2205" s="274" t="s">
        <v>229</v>
      </c>
    </row>
    <row r="2206" spans="1:5" ht="27">
      <c r="A2206" s="271">
        <v>95445</v>
      </c>
      <c r="B2206" s="272" t="s">
        <v>1426</v>
      </c>
      <c r="C2206" s="272" t="s">
        <v>108</v>
      </c>
      <c r="D2206" s="273" t="s">
        <v>9720</v>
      </c>
      <c r="E2206" s="274" t="s">
        <v>229</v>
      </c>
    </row>
    <row r="2207" spans="1:5" ht="27">
      <c r="A2207" s="271">
        <v>95446</v>
      </c>
      <c r="B2207" s="272" t="s">
        <v>1427</v>
      </c>
      <c r="C2207" s="272" t="s">
        <v>108</v>
      </c>
      <c r="D2207" s="273" t="s">
        <v>11406</v>
      </c>
      <c r="E2207" s="274" t="s">
        <v>229</v>
      </c>
    </row>
    <row r="2208" spans="1:5" ht="27">
      <c r="A2208" s="271">
        <v>95448</v>
      </c>
      <c r="B2208" s="272" t="s">
        <v>10230</v>
      </c>
      <c r="C2208" s="272" t="s">
        <v>108</v>
      </c>
      <c r="D2208" s="273" t="s">
        <v>11484</v>
      </c>
      <c r="E2208" s="274" t="s">
        <v>229</v>
      </c>
    </row>
    <row r="2209" spans="1:5" ht="27">
      <c r="A2209" s="271">
        <v>95576</v>
      </c>
      <c r="B2209" s="272" t="s">
        <v>3436</v>
      </c>
      <c r="C2209" s="272" t="s">
        <v>108</v>
      </c>
      <c r="D2209" s="273" t="s">
        <v>10624</v>
      </c>
      <c r="E2209" s="274" t="s">
        <v>229</v>
      </c>
    </row>
    <row r="2210" spans="1:5" ht="27">
      <c r="A2210" s="271">
        <v>95577</v>
      </c>
      <c r="B2210" s="272" t="s">
        <v>1428</v>
      </c>
      <c r="C2210" s="272" t="s">
        <v>108</v>
      </c>
      <c r="D2210" s="273" t="s">
        <v>11384</v>
      </c>
      <c r="E2210" s="274" t="s">
        <v>229</v>
      </c>
    </row>
    <row r="2211" spans="1:5" ht="27">
      <c r="A2211" s="271">
        <v>95578</v>
      </c>
      <c r="B2211" s="272" t="s">
        <v>3437</v>
      </c>
      <c r="C2211" s="272" t="s">
        <v>108</v>
      </c>
      <c r="D2211" s="273" t="s">
        <v>10457</v>
      </c>
      <c r="E2211" s="274" t="s">
        <v>229</v>
      </c>
    </row>
    <row r="2212" spans="1:5" ht="27">
      <c r="A2212" s="271">
        <v>95579</v>
      </c>
      <c r="B2212" s="272" t="s">
        <v>1429</v>
      </c>
      <c r="C2212" s="272" t="s">
        <v>108</v>
      </c>
      <c r="D2212" s="273" t="s">
        <v>14071</v>
      </c>
      <c r="E2212" s="274" t="s">
        <v>229</v>
      </c>
    </row>
    <row r="2213" spans="1:5" ht="27">
      <c r="A2213" s="271">
        <v>95580</v>
      </c>
      <c r="B2213" s="272" t="s">
        <v>1430</v>
      </c>
      <c r="C2213" s="272" t="s">
        <v>108</v>
      </c>
      <c r="D2213" s="273" t="s">
        <v>10260</v>
      </c>
      <c r="E2213" s="274" t="s">
        <v>229</v>
      </c>
    </row>
    <row r="2214" spans="1:5" ht="27">
      <c r="A2214" s="271">
        <v>95581</v>
      </c>
      <c r="B2214" s="272" t="s">
        <v>1431</v>
      </c>
      <c r="C2214" s="272" t="s">
        <v>108</v>
      </c>
      <c r="D2214" s="273" t="s">
        <v>11320</v>
      </c>
      <c r="E2214" s="274" t="s">
        <v>229</v>
      </c>
    </row>
    <row r="2215" spans="1:5" ht="27">
      <c r="A2215" s="271">
        <v>95582</v>
      </c>
      <c r="B2215" s="272" t="s">
        <v>10234</v>
      </c>
      <c r="C2215" s="272" t="s">
        <v>108</v>
      </c>
      <c r="D2215" s="273" t="s">
        <v>18778</v>
      </c>
      <c r="E2215" s="274" t="s">
        <v>229</v>
      </c>
    </row>
    <row r="2216" spans="1:5" ht="27">
      <c r="A2216" s="271">
        <v>95583</v>
      </c>
      <c r="B2216" s="272" t="s">
        <v>1432</v>
      </c>
      <c r="C2216" s="272" t="s">
        <v>108</v>
      </c>
      <c r="D2216" s="273" t="s">
        <v>10454</v>
      </c>
      <c r="E2216" s="274" t="s">
        <v>229</v>
      </c>
    </row>
    <row r="2217" spans="1:5" ht="27">
      <c r="A2217" s="271">
        <v>95584</v>
      </c>
      <c r="B2217" s="272" t="s">
        <v>1433</v>
      </c>
      <c r="C2217" s="272" t="s">
        <v>108</v>
      </c>
      <c r="D2217" s="273" t="s">
        <v>19965</v>
      </c>
      <c r="E2217" s="274" t="s">
        <v>229</v>
      </c>
    </row>
    <row r="2218" spans="1:5" ht="27">
      <c r="A2218" s="271">
        <v>95585</v>
      </c>
      <c r="B2218" s="272" t="s">
        <v>3438</v>
      </c>
      <c r="C2218" s="272" t="s">
        <v>108</v>
      </c>
      <c r="D2218" s="273" t="s">
        <v>10438</v>
      </c>
      <c r="E2218" s="274" t="s">
        <v>229</v>
      </c>
    </row>
    <row r="2219" spans="1:5" ht="27">
      <c r="A2219" s="271">
        <v>95586</v>
      </c>
      <c r="B2219" s="272" t="s">
        <v>1434</v>
      </c>
      <c r="C2219" s="272" t="s">
        <v>108</v>
      </c>
      <c r="D2219" s="273" t="s">
        <v>20977</v>
      </c>
      <c r="E2219" s="274" t="s">
        <v>229</v>
      </c>
    </row>
    <row r="2220" spans="1:5" ht="27">
      <c r="A2220" s="271">
        <v>95587</v>
      </c>
      <c r="B2220" s="272" t="s">
        <v>3439</v>
      </c>
      <c r="C2220" s="272" t="s">
        <v>108</v>
      </c>
      <c r="D2220" s="273" t="s">
        <v>10356</v>
      </c>
      <c r="E2220" s="274" t="s">
        <v>229</v>
      </c>
    </row>
    <row r="2221" spans="1:5" ht="27">
      <c r="A2221" s="271">
        <v>95588</v>
      </c>
      <c r="B2221" s="272" t="s">
        <v>1435</v>
      </c>
      <c r="C2221" s="272" t="s">
        <v>108</v>
      </c>
      <c r="D2221" s="273" t="s">
        <v>10633</v>
      </c>
      <c r="E2221" s="274" t="s">
        <v>229</v>
      </c>
    </row>
    <row r="2222" spans="1:5" ht="27">
      <c r="A2222" s="271">
        <v>95589</v>
      </c>
      <c r="B2222" s="272" t="s">
        <v>1436</v>
      </c>
      <c r="C2222" s="272" t="s">
        <v>108</v>
      </c>
      <c r="D2222" s="273" t="s">
        <v>11336</v>
      </c>
      <c r="E2222" s="274" t="s">
        <v>229</v>
      </c>
    </row>
    <row r="2223" spans="1:5" ht="27">
      <c r="A2223" s="271">
        <v>95590</v>
      </c>
      <c r="B2223" s="272" t="s">
        <v>1437</v>
      </c>
      <c r="C2223" s="272" t="s">
        <v>108</v>
      </c>
      <c r="D2223" s="273" t="s">
        <v>10310</v>
      </c>
      <c r="E2223" s="274" t="s">
        <v>229</v>
      </c>
    </row>
    <row r="2224" spans="1:5" ht="27">
      <c r="A2224" s="271">
        <v>95591</v>
      </c>
      <c r="B2224" s="272" t="s">
        <v>10239</v>
      </c>
      <c r="C2224" s="272" t="s">
        <v>108</v>
      </c>
      <c r="D2224" s="273" t="s">
        <v>10573</v>
      </c>
      <c r="E2224" s="274" t="s">
        <v>229</v>
      </c>
    </row>
    <row r="2225" spans="1:5" ht="27">
      <c r="A2225" s="271">
        <v>95592</v>
      </c>
      <c r="B2225" s="272" t="s">
        <v>1438</v>
      </c>
      <c r="C2225" s="272" t="s">
        <v>108</v>
      </c>
      <c r="D2225" s="273" t="s">
        <v>22392</v>
      </c>
      <c r="E2225" s="274" t="s">
        <v>229</v>
      </c>
    </row>
    <row r="2226" spans="1:5" ht="27">
      <c r="A2226" s="271">
        <v>95593</v>
      </c>
      <c r="B2226" s="272" t="s">
        <v>1439</v>
      </c>
      <c r="C2226" s="272" t="s">
        <v>108</v>
      </c>
      <c r="D2226" s="273" t="s">
        <v>12371</v>
      </c>
      <c r="E2226" s="274" t="s">
        <v>229</v>
      </c>
    </row>
    <row r="2227" spans="1:5" ht="27">
      <c r="A2227" s="271">
        <v>95943</v>
      </c>
      <c r="B2227" s="272" t="s">
        <v>13000</v>
      </c>
      <c r="C2227" s="272" t="s">
        <v>108</v>
      </c>
      <c r="D2227" s="273" t="s">
        <v>11329</v>
      </c>
      <c r="E2227" s="274" t="s">
        <v>229</v>
      </c>
    </row>
    <row r="2228" spans="1:5" ht="27">
      <c r="A2228" s="271">
        <v>95944</v>
      </c>
      <c r="B2228" s="272" t="s">
        <v>13001</v>
      </c>
      <c r="C2228" s="272" t="s">
        <v>108</v>
      </c>
      <c r="D2228" s="273" t="s">
        <v>19955</v>
      </c>
      <c r="E2228" s="274" t="s">
        <v>229</v>
      </c>
    </row>
    <row r="2229" spans="1:5" ht="27">
      <c r="A2229" s="271">
        <v>95945</v>
      </c>
      <c r="B2229" s="272" t="s">
        <v>13002</v>
      </c>
      <c r="C2229" s="272" t="s">
        <v>108</v>
      </c>
      <c r="D2229" s="273" t="s">
        <v>16683</v>
      </c>
      <c r="E2229" s="274" t="s">
        <v>229</v>
      </c>
    </row>
    <row r="2230" spans="1:5" ht="27">
      <c r="A2230" s="271">
        <v>95946</v>
      </c>
      <c r="B2230" s="272" t="s">
        <v>13003</v>
      </c>
      <c r="C2230" s="272" t="s">
        <v>108</v>
      </c>
      <c r="D2230" s="273" t="s">
        <v>11314</v>
      </c>
      <c r="E2230" s="274" t="s">
        <v>229</v>
      </c>
    </row>
    <row r="2231" spans="1:5" ht="27">
      <c r="A2231" s="271">
        <v>95947</v>
      </c>
      <c r="B2231" s="272" t="s">
        <v>13004</v>
      </c>
      <c r="C2231" s="272" t="s">
        <v>108</v>
      </c>
      <c r="D2231" s="273" t="s">
        <v>10357</v>
      </c>
      <c r="E2231" s="274" t="s">
        <v>229</v>
      </c>
    </row>
    <row r="2232" spans="1:5" ht="27">
      <c r="A2232" s="271">
        <v>95948</v>
      </c>
      <c r="B2232" s="272" t="s">
        <v>13005</v>
      </c>
      <c r="C2232" s="272" t="s">
        <v>108</v>
      </c>
      <c r="D2232" s="273" t="s">
        <v>10518</v>
      </c>
      <c r="E2232" s="274" t="s">
        <v>229</v>
      </c>
    </row>
    <row r="2233" spans="1:5" ht="27">
      <c r="A2233" s="271">
        <v>96544</v>
      </c>
      <c r="B2233" s="272" t="s">
        <v>1440</v>
      </c>
      <c r="C2233" s="272" t="s">
        <v>108</v>
      </c>
      <c r="D2233" s="273" t="s">
        <v>10577</v>
      </c>
      <c r="E2233" s="274" t="s">
        <v>229</v>
      </c>
    </row>
    <row r="2234" spans="1:5" ht="27">
      <c r="A2234" s="271">
        <v>96545</v>
      </c>
      <c r="B2234" s="272" t="s">
        <v>1441</v>
      </c>
      <c r="C2234" s="272" t="s">
        <v>108</v>
      </c>
      <c r="D2234" s="273" t="s">
        <v>11215</v>
      </c>
      <c r="E2234" s="274" t="s">
        <v>229</v>
      </c>
    </row>
    <row r="2235" spans="1:5" ht="27">
      <c r="A2235" s="271">
        <v>96546</v>
      </c>
      <c r="B2235" s="272" t="s">
        <v>1442</v>
      </c>
      <c r="C2235" s="272" t="s">
        <v>108</v>
      </c>
      <c r="D2235" s="273" t="s">
        <v>11376</v>
      </c>
      <c r="E2235" s="274" t="s">
        <v>229</v>
      </c>
    </row>
    <row r="2236" spans="1:5" ht="27">
      <c r="A2236" s="271">
        <v>96547</v>
      </c>
      <c r="B2236" s="272" t="s">
        <v>1443</v>
      </c>
      <c r="C2236" s="272" t="s">
        <v>108</v>
      </c>
      <c r="D2236" s="273" t="s">
        <v>15943</v>
      </c>
      <c r="E2236" s="274" t="s">
        <v>229</v>
      </c>
    </row>
    <row r="2237" spans="1:5" ht="27">
      <c r="A2237" s="271">
        <v>96548</v>
      </c>
      <c r="B2237" s="272" t="s">
        <v>1444</v>
      </c>
      <c r="C2237" s="272" t="s">
        <v>108</v>
      </c>
      <c r="D2237" s="273" t="s">
        <v>10318</v>
      </c>
      <c r="E2237" s="274" t="s">
        <v>229</v>
      </c>
    </row>
    <row r="2238" spans="1:5" ht="27">
      <c r="A2238" s="271">
        <v>96549</v>
      </c>
      <c r="B2238" s="272" t="s">
        <v>1445</v>
      </c>
      <c r="C2238" s="272" t="s">
        <v>108</v>
      </c>
      <c r="D2238" s="273" t="s">
        <v>10634</v>
      </c>
      <c r="E2238" s="274" t="s">
        <v>229</v>
      </c>
    </row>
    <row r="2239" spans="1:5" ht="27">
      <c r="A2239" s="271">
        <v>96550</v>
      </c>
      <c r="B2239" s="272" t="s">
        <v>1446</v>
      </c>
      <c r="C2239" s="272" t="s">
        <v>108</v>
      </c>
      <c r="D2239" s="273" t="s">
        <v>10991</v>
      </c>
      <c r="E2239" s="274" t="s">
        <v>229</v>
      </c>
    </row>
    <row r="2240" spans="1:5" ht="27">
      <c r="A2240" s="271">
        <v>100064</v>
      </c>
      <c r="B2240" s="272" t="s">
        <v>22393</v>
      </c>
      <c r="C2240" s="272" t="s">
        <v>108</v>
      </c>
      <c r="D2240" s="273" t="s">
        <v>22394</v>
      </c>
      <c r="E2240" s="274" t="s">
        <v>229</v>
      </c>
    </row>
    <row r="2241" spans="1:6" ht="27">
      <c r="A2241" s="271">
        <v>100066</v>
      </c>
      <c r="B2241" s="272" t="s">
        <v>4030</v>
      </c>
      <c r="C2241" s="272" t="s">
        <v>108</v>
      </c>
      <c r="D2241" s="273" t="s">
        <v>12153</v>
      </c>
      <c r="E2241" s="274" t="s">
        <v>229</v>
      </c>
    </row>
    <row r="2242" spans="1:6" ht="27">
      <c r="A2242" s="271">
        <v>100067</v>
      </c>
      <c r="B2242" s="272" t="s">
        <v>4031</v>
      </c>
      <c r="C2242" s="272" t="s">
        <v>108</v>
      </c>
      <c r="D2242" s="273" t="s">
        <v>10079</v>
      </c>
      <c r="E2242" s="274" t="s">
        <v>229</v>
      </c>
    </row>
    <row r="2243" spans="1:6" ht="27">
      <c r="A2243" s="271">
        <v>100068</v>
      </c>
      <c r="B2243" s="272" t="s">
        <v>4032</v>
      </c>
      <c r="C2243" s="272" t="s">
        <v>108</v>
      </c>
      <c r="D2243" s="273" t="s">
        <v>20875</v>
      </c>
      <c r="E2243" s="274" t="s">
        <v>229</v>
      </c>
    </row>
    <row r="2244" spans="1:6" ht="13.5">
      <c r="A2244" s="271">
        <v>89993</v>
      </c>
      <c r="B2244" s="272" t="s">
        <v>1447</v>
      </c>
      <c r="C2244" s="272" t="s">
        <v>209</v>
      </c>
      <c r="D2244" s="273" t="s">
        <v>20753</v>
      </c>
      <c r="E2244" s="274" t="s">
        <v>229</v>
      </c>
    </row>
    <row r="2245" spans="1:6" ht="27">
      <c r="A2245" s="271">
        <v>89994</v>
      </c>
      <c r="B2245" s="272" t="s">
        <v>1448</v>
      </c>
      <c r="C2245" s="272" t="s">
        <v>209</v>
      </c>
      <c r="D2245" s="273" t="s">
        <v>22395</v>
      </c>
      <c r="E2245" s="274" t="s">
        <v>229</v>
      </c>
      <c r="F2245" s="192"/>
    </row>
    <row r="2246" spans="1:6" ht="13.5">
      <c r="A2246" s="271">
        <v>89995</v>
      </c>
      <c r="B2246" s="272" t="s">
        <v>1449</v>
      </c>
      <c r="C2246" s="272" t="s">
        <v>209</v>
      </c>
      <c r="D2246" s="273" t="s">
        <v>22396</v>
      </c>
      <c r="E2246" s="274" t="s">
        <v>229</v>
      </c>
    </row>
    <row r="2247" spans="1:6" ht="27">
      <c r="A2247" s="271">
        <v>90278</v>
      </c>
      <c r="B2247" s="272" t="s">
        <v>1450</v>
      </c>
      <c r="C2247" s="272" t="s">
        <v>209</v>
      </c>
      <c r="D2247" s="273" t="s">
        <v>22397</v>
      </c>
      <c r="E2247" s="274" t="s">
        <v>229</v>
      </c>
    </row>
    <row r="2248" spans="1:6" ht="27">
      <c r="A2248" s="271">
        <v>90279</v>
      </c>
      <c r="B2248" s="272" t="s">
        <v>1451</v>
      </c>
      <c r="C2248" s="272" t="s">
        <v>209</v>
      </c>
      <c r="D2248" s="273" t="s">
        <v>22398</v>
      </c>
      <c r="E2248" s="274" t="s">
        <v>229</v>
      </c>
    </row>
    <row r="2249" spans="1:6" ht="27">
      <c r="A2249" s="271">
        <v>90280</v>
      </c>
      <c r="B2249" s="272" t="s">
        <v>1452</v>
      </c>
      <c r="C2249" s="272" t="s">
        <v>209</v>
      </c>
      <c r="D2249" s="273" t="s">
        <v>22399</v>
      </c>
      <c r="E2249" s="274" t="s">
        <v>229</v>
      </c>
    </row>
    <row r="2250" spans="1:6" ht="27">
      <c r="A2250" s="271">
        <v>90281</v>
      </c>
      <c r="B2250" s="272" t="s">
        <v>1453</v>
      </c>
      <c r="C2250" s="272" t="s">
        <v>209</v>
      </c>
      <c r="D2250" s="273" t="s">
        <v>22400</v>
      </c>
      <c r="E2250" s="274" t="s">
        <v>229</v>
      </c>
    </row>
    <row r="2251" spans="1:6" ht="27">
      <c r="A2251" s="271">
        <v>90282</v>
      </c>
      <c r="B2251" s="272" t="s">
        <v>1454</v>
      </c>
      <c r="C2251" s="272" t="s">
        <v>209</v>
      </c>
      <c r="D2251" s="273" t="s">
        <v>22401</v>
      </c>
      <c r="E2251" s="274" t="s">
        <v>229</v>
      </c>
    </row>
    <row r="2252" spans="1:6" ht="27">
      <c r="A2252" s="271">
        <v>90283</v>
      </c>
      <c r="B2252" s="272" t="s">
        <v>1455</v>
      </c>
      <c r="C2252" s="272" t="s">
        <v>209</v>
      </c>
      <c r="D2252" s="273" t="s">
        <v>22402</v>
      </c>
      <c r="E2252" s="274" t="s">
        <v>229</v>
      </c>
    </row>
    <row r="2253" spans="1:6" ht="27">
      <c r="A2253" s="271">
        <v>90284</v>
      </c>
      <c r="B2253" s="272" t="s">
        <v>1456</v>
      </c>
      <c r="C2253" s="272" t="s">
        <v>209</v>
      </c>
      <c r="D2253" s="273" t="s">
        <v>22403</v>
      </c>
      <c r="E2253" s="274" t="s">
        <v>229</v>
      </c>
    </row>
    <row r="2254" spans="1:6" ht="27">
      <c r="A2254" s="271">
        <v>90285</v>
      </c>
      <c r="B2254" s="272" t="s">
        <v>1457</v>
      </c>
      <c r="C2254" s="272" t="s">
        <v>209</v>
      </c>
      <c r="D2254" s="273" t="s">
        <v>22404</v>
      </c>
      <c r="E2254" s="274" t="s">
        <v>229</v>
      </c>
    </row>
    <row r="2255" spans="1:6" ht="40.5">
      <c r="A2255" s="271">
        <v>90853</v>
      </c>
      <c r="B2255" s="272" t="s">
        <v>4033</v>
      </c>
      <c r="C2255" s="272" t="s">
        <v>209</v>
      </c>
      <c r="D2255" s="273" t="s">
        <v>22405</v>
      </c>
      <c r="E2255" s="274" t="s">
        <v>229</v>
      </c>
    </row>
    <row r="2256" spans="1:6" ht="40.5">
      <c r="A2256" s="271">
        <v>90854</v>
      </c>
      <c r="B2256" s="272" t="s">
        <v>4034</v>
      </c>
      <c r="C2256" s="272" t="s">
        <v>209</v>
      </c>
      <c r="D2256" s="273" t="s">
        <v>22406</v>
      </c>
      <c r="E2256" s="274" t="s">
        <v>229</v>
      </c>
    </row>
    <row r="2257" spans="1:5" ht="40.5">
      <c r="A2257" s="271">
        <v>90855</v>
      </c>
      <c r="B2257" s="272" t="s">
        <v>4035</v>
      </c>
      <c r="C2257" s="272" t="s">
        <v>209</v>
      </c>
      <c r="D2257" s="273" t="s">
        <v>22407</v>
      </c>
      <c r="E2257" s="274" t="s">
        <v>229</v>
      </c>
    </row>
    <row r="2258" spans="1:5" ht="40.5">
      <c r="A2258" s="271">
        <v>90856</v>
      </c>
      <c r="B2258" s="272" t="s">
        <v>4036</v>
      </c>
      <c r="C2258" s="272" t="s">
        <v>209</v>
      </c>
      <c r="D2258" s="273" t="s">
        <v>22408</v>
      </c>
      <c r="E2258" s="274" t="s">
        <v>229</v>
      </c>
    </row>
    <row r="2259" spans="1:5" ht="40.5">
      <c r="A2259" s="271">
        <v>90857</v>
      </c>
      <c r="B2259" s="272" t="s">
        <v>4037</v>
      </c>
      <c r="C2259" s="272" t="s">
        <v>209</v>
      </c>
      <c r="D2259" s="273" t="s">
        <v>22409</v>
      </c>
      <c r="E2259" s="274" t="s">
        <v>229</v>
      </c>
    </row>
    <row r="2260" spans="1:5" ht="40.5">
      <c r="A2260" s="271">
        <v>90858</v>
      </c>
      <c r="B2260" s="272" t="s">
        <v>4038</v>
      </c>
      <c r="C2260" s="272" t="s">
        <v>209</v>
      </c>
      <c r="D2260" s="273" t="s">
        <v>22410</v>
      </c>
      <c r="E2260" s="274" t="s">
        <v>229</v>
      </c>
    </row>
    <row r="2261" spans="1:5" ht="40.5">
      <c r="A2261" s="271">
        <v>90859</v>
      </c>
      <c r="B2261" s="272" t="s">
        <v>4039</v>
      </c>
      <c r="C2261" s="272" t="s">
        <v>209</v>
      </c>
      <c r="D2261" s="273" t="s">
        <v>22411</v>
      </c>
      <c r="E2261" s="274" t="s">
        <v>229</v>
      </c>
    </row>
    <row r="2262" spans="1:5" ht="40.5">
      <c r="A2262" s="271">
        <v>90860</v>
      </c>
      <c r="B2262" s="272" t="s">
        <v>4040</v>
      </c>
      <c r="C2262" s="272" t="s">
        <v>209</v>
      </c>
      <c r="D2262" s="273" t="s">
        <v>22412</v>
      </c>
      <c r="E2262" s="274" t="s">
        <v>229</v>
      </c>
    </row>
    <row r="2263" spans="1:5" ht="40.5">
      <c r="A2263" s="271">
        <v>90861</v>
      </c>
      <c r="B2263" s="272" t="s">
        <v>4041</v>
      </c>
      <c r="C2263" s="272" t="s">
        <v>209</v>
      </c>
      <c r="D2263" s="273" t="s">
        <v>22413</v>
      </c>
      <c r="E2263" s="274" t="s">
        <v>229</v>
      </c>
    </row>
    <row r="2264" spans="1:5" ht="40.5">
      <c r="A2264" s="271">
        <v>90862</v>
      </c>
      <c r="B2264" s="272" t="s">
        <v>4042</v>
      </c>
      <c r="C2264" s="272" t="s">
        <v>209</v>
      </c>
      <c r="D2264" s="273" t="s">
        <v>22414</v>
      </c>
      <c r="E2264" s="274" t="s">
        <v>229</v>
      </c>
    </row>
    <row r="2265" spans="1:5" ht="40.5">
      <c r="A2265" s="271">
        <v>92718</v>
      </c>
      <c r="B2265" s="272" t="s">
        <v>1458</v>
      </c>
      <c r="C2265" s="272" t="s">
        <v>209</v>
      </c>
      <c r="D2265" s="273" t="s">
        <v>22415</v>
      </c>
      <c r="E2265" s="274" t="s">
        <v>229</v>
      </c>
    </row>
    <row r="2266" spans="1:5" ht="40.5">
      <c r="A2266" s="271">
        <v>92719</v>
      </c>
      <c r="B2266" s="272" t="s">
        <v>1459</v>
      </c>
      <c r="C2266" s="272" t="s">
        <v>209</v>
      </c>
      <c r="D2266" s="273" t="s">
        <v>22416</v>
      </c>
      <c r="E2266" s="274" t="s">
        <v>229</v>
      </c>
    </row>
    <row r="2267" spans="1:5" ht="40.5">
      <c r="A2267" s="271">
        <v>92720</v>
      </c>
      <c r="B2267" s="272" t="s">
        <v>1460</v>
      </c>
      <c r="C2267" s="272" t="s">
        <v>209</v>
      </c>
      <c r="D2267" s="273" t="s">
        <v>22417</v>
      </c>
      <c r="E2267" s="274" t="s">
        <v>229</v>
      </c>
    </row>
    <row r="2268" spans="1:5" ht="27">
      <c r="A2268" s="271">
        <v>92721</v>
      </c>
      <c r="B2268" s="272" t="s">
        <v>1461</v>
      </c>
      <c r="C2268" s="272" t="s">
        <v>209</v>
      </c>
      <c r="D2268" s="273" t="s">
        <v>22418</v>
      </c>
      <c r="E2268" s="274" t="s">
        <v>229</v>
      </c>
    </row>
    <row r="2269" spans="1:5" ht="27">
      <c r="A2269" s="271">
        <v>92722</v>
      </c>
      <c r="B2269" s="272" t="s">
        <v>1462</v>
      </c>
      <c r="C2269" s="272" t="s">
        <v>209</v>
      </c>
      <c r="D2269" s="273" t="s">
        <v>22419</v>
      </c>
      <c r="E2269" s="274" t="s">
        <v>229</v>
      </c>
    </row>
    <row r="2270" spans="1:5" ht="40.5">
      <c r="A2270" s="271">
        <v>92723</v>
      </c>
      <c r="B2270" s="272" t="s">
        <v>1463</v>
      </c>
      <c r="C2270" s="272" t="s">
        <v>209</v>
      </c>
      <c r="D2270" s="273" t="s">
        <v>22420</v>
      </c>
      <c r="E2270" s="274" t="s">
        <v>229</v>
      </c>
    </row>
    <row r="2271" spans="1:5" ht="40.5">
      <c r="A2271" s="271">
        <v>92724</v>
      </c>
      <c r="B2271" s="272" t="s">
        <v>1464</v>
      </c>
      <c r="C2271" s="272" t="s">
        <v>209</v>
      </c>
      <c r="D2271" s="273" t="s">
        <v>22421</v>
      </c>
      <c r="E2271" s="274" t="s">
        <v>229</v>
      </c>
    </row>
    <row r="2272" spans="1:5" ht="40.5">
      <c r="A2272" s="271">
        <v>92725</v>
      </c>
      <c r="B2272" s="272" t="s">
        <v>1465</v>
      </c>
      <c r="C2272" s="272" t="s">
        <v>209</v>
      </c>
      <c r="D2272" s="273" t="s">
        <v>22422</v>
      </c>
      <c r="E2272" s="274" t="s">
        <v>229</v>
      </c>
    </row>
    <row r="2273" spans="1:5" ht="40.5">
      <c r="A2273" s="271">
        <v>92726</v>
      </c>
      <c r="B2273" s="272" t="s">
        <v>290</v>
      </c>
      <c r="C2273" s="272" t="s">
        <v>209</v>
      </c>
      <c r="D2273" s="273" t="s">
        <v>15933</v>
      </c>
      <c r="E2273" s="274" t="s">
        <v>229</v>
      </c>
    </row>
    <row r="2274" spans="1:5" ht="40.5">
      <c r="A2274" s="271">
        <v>92727</v>
      </c>
      <c r="B2274" s="272" t="s">
        <v>1466</v>
      </c>
      <c r="C2274" s="272" t="s">
        <v>209</v>
      </c>
      <c r="D2274" s="273" t="s">
        <v>22423</v>
      </c>
      <c r="E2274" s="274" t="s">
        <v>229</v>
      </c>
    </row>
    <row r="2275" spans="1:5" ht="40.5">
      <c r="A2275" s="271">
        <v>92728</v>
      </c>
      <c r="B2275" s="272" t="s">
        <v>1467</v>
      </c>
      <c r="C2275" s="272" t="s">
        <v>209</v>
      </c>
      <c r="D2275" s="273" t="s">
        <v>22424</v>
      </c>
      <c r="E2275" s="274" t="s">
        <v>229</v>
      </c>
    </row>
    <row r="2276" spans="1:5" ht="40.5">
      <c r="A2276" s="271">
        <v>92729</v>
      </c>
      <c r="B2276" s="272" t="s">
        <v>4043</v>
      </c>
      <c r="C2276" s="272" t="s">
        <v>209</v>
      </c>
      <c r="D2276" s="273" t="s">
        <v>22425</v>
      </c>
      <c r="E2276" s="274" t="s">
        <v>229</v>
      </c>
    </row>
    <row r="2277" spans="1:5" ht="40.5">
      <c r="A2277" s="271">
        <v>92730</v>
      </c>
      <c r="B2277" s="272" t="s">
        <v>1468</v>
      </c>
      <c r="C2277" s="272" t="s">
        <v>209</v>
      </c>
      <c r="D2277" s="273" t="s">
        <v>22426</v>
      </c>
      <c r="E2277" s="274" t="s">
        <v>229</v>
      </c>
    </row>
    <row r="2278" spans="1:5" ht="40.5">
      <c r="A2278" s="271">
        <v>92731</v>
      </c>
      <c r="B2278" s="272" t="s">
        <v>1469</v>
      </c>
      <c r="C2278" s="272" t="s">
        <v>209</v>
      </c>
      <c r="D2278" s="273" t="s">
        <v>22427</v>
      </c>
      <c r="E2278" s="274" t="s">
        <v>229</v>
      </c>
    </row>
    <row r="2279" spans="1:5" ht="40.5">
      <c r="A2279" s="271">
        <v>92732</v>
      </c>
      <c r="B2279" s="272" t="s">
        <v>1470</v>
      </c>
      <c r="C2279" s="272" t="s">
        <v>209</v>
      </c>
      <c r="D2279" s="273" t="s">
        <v>22428</v>
      </c>
      <c r="E2279" s="274" t="s">
        <v>229</v>
      </c>
    </row>
    <row r="2280" spans="1:5" ht="54">
      <c r="A2280" s="271">
        <v>92733</v>
      </c>
      <c r="B2280" s="272" t="s">
        <v>1471</v>
      </c>
      <c r="C2280" s="272" t="s">
        <v>209</v>
      </c>
      <c r="D2280" s="273" t="s">
        <v>22429</v>
      </c>
      <c r="E2280" s="274" t="s">
        <v>229</v>
      </c>
    </row>
    <row r="2281" spans="1:5" ht="40.5">
      <c r="A2281" s="271">
        <v>92734</v>
      </c>
      <c r="B2281" s="272" t="s">
        <v>1472</v>
      </c>
      <c r="C2281" s="272" t="s">
        <v>209</v>
      </c>
      <c r="D2281" s="273" t="s">
        <v>22430</v>
      </c>
      <c r="E2281" s="274" t="s">
        <v>229</v>
      </c>
    </row>
    <row r="2282" spans="1:5" ht="40.5">
      <c r="A2282" s="271">
        <v>92735</v>
      </c>
      <c r="B2282" s="272" t="s">
        <v>1473</v>
      </c>
      <c r="C2282" s="272" t="s">
        <v>209</v>
      </c>
      <c r="D2282" s="273" t="s">
        <v>22431</v>
      </c>
      <c r="E2282" s="274" t="s">
        <v>229</v>
      </c>
    </row>
    <row r="2283" spans="1:5" ht="40.5">
      <c r="A2283" s="271">
        <v>92736</v>
      </c>
      <c r="B2283" s="272" t="s">
        <v>1474</v>
      </c>
      <c r="C2283" s="272" t="s">
        <v>209</v>
      </c>
      <c r="D2283" s="273" t="s">
        <v>22432</v>
      </c>
      <c r="E2283" s="274" t="s">
        <v>229</v>
      </c>
    </row>
    <row r="2284" spans="1:5" ht="40.5">
      <c r="A2284" s="271">
        <v>92739</v>
      </c>
      <c r="B2284" s="272" t="s">
        <v>1475</v>
      </c>
      <c r="C2284" s="272" t="s">
        <v>209</v>
      </c>
      <c r="D2284" s="273" t="s">
        <v>22433</v>
      </c>
      <c r="E2284" s="274" t="s">
        <v>229</v>
      </c>
    </row>
    <row r="2285" spans="1:5" ht="40.5">
      <c r="A2285" s="271">
        <v>92740</v>
      </c>
      <c r="B2285" s="272" t="s">
        <v>1476</v>
      </c>
      <c r="C2285" s="272" t="s">
        <v>209</v>
      </c>
      <c r="D2285" s="273" t="s">
        <v>22434</v>
      </c>
      <c r="E2285" s="274" t="s">
        <v>229</v>
      </c>
    </row>
    <row r="2286" spans="1:5" ht="40.5">
      <c r="A2286" s="271">
        <v>92741</v>
      </c>
      <c r="B2286" s="272" t="s">
        <v>1477</v>
      </c>
      <c r="C2286" s="272" t="s">
        <v>209</v>
      </c>
      <c r="D2286" s="273" t="s">
        <v>22435</v>
      </c>
      <c r="E2286" s="274" t="s">
        <v>229</v>
      </c>
    </row>
    <row r="2287" spans="1:5" ht="40.5">
      <c r="A2287" s="271">
        <v>92742</v>
      </c>
      <c r="B2287" s="272" t="s">
        <v>1478</v>
      </c>
      <c r="C2287" s="272" t="s">
        <v>209</v>
      </c>
      <c r="D2287" s="273" t="s">
        <v>22436</v>
      </c>
      <c r="E2287" s="274" t="s">
        <v>229</v>
      </c>
    </row>
    <row r="2288" spans="1:5" ht="27">
      <c r="A2288" s="271">
        <v>92873</v>
      </c>
      <c r="B2288" s="272" t="s">
        <v>144</v>
      </c>
      <c r="C2288" s="272" t="s">
        <v>209</v>
      </c>
      <c r="D2288" s="273" t="s">
        <v>22437</v>
      </c>
      <c r="E2288" s="274" t="s">
        <v>229</v>
      </c>
    </row>
    <row r="2289" spans="1:5" ht="27">
      <c r="A2289" s="271">
        <v>92874</v>
      </c>
      <c r="B2289" s="272" t="s">
        <v>1479</v>
      </c>
      <c r="C2289" s="272" t="s">
        <v>209</v>
      </c>
      <c r="D2289" s="273" t="s">
        <v>10605</v>
      </c>
      <c r="E2289" s="274" t="s">
        <v>229</v>
      </c>
    </row>
    <row r="2290" spans="1:5" ht="27">
      <c r="A2290" s="271">
        <v>94962</v>
      </c>
      <c r="B2290" s="272" t="s">
        <v>22438</v>
      </c>
      <c r="C2290" s="272" t="s">
        <v>209</v>
      </c>
      <c r="D2290" s="273" t="s">
        <v>22439</v>
      </c>
      <c r="E2290" s="274" t="s">
        <v>229</v>
      </c>
    </row>
    <row r="2291" spans="1:5" ht="27">
      <c r="A2291" s="271">
        <v>94963</v>
      </c>
      <c r="B2291" s="272" t="s">
        <v>22440</v>
      </c>
      <c r="C2291" s="272" t="s">
        <v>209</v>
      </c>
      <c r="D2291" s="273" t="s">
        <v>22441</v>
      </c>
      <c r="E2291" s="274" t="s">
        <v>229</v>
      </c>
    </row>
    <row r="2292" spans="1:5" ht="27">
      <c r="A2292" s="271">
        <v>94964</v>
      </c>
      <c r="B2292" s="272" t="s">
        <v>22442</v>
      </c>
      <c r="C2292" s="272" t="s">
        <v>209</v>
      </c>
      <c r="D2292" s="273" t="s">
        <v>22443</v>
      </c>
      <c r="E2292" s="274" t="s">
        <v>229</v>
      </c>
    </row>
    <row r="2293" spans="1:5" ht="27">
      <c r="A2293" s="271">
        <v>94965</v>
      </c>
      <c r="B2293" s="272" t="s">
        <v>22444</v>
      </c>
      <c r="C2293" s="272" t="s">
        <v>209</v>
      </c>
      <c r="D2293" s="273" t="s">
        <v>22445</v>
      </c>
      <c r="E2293" s="274" t="s">
        <v>229</v>
      </c>
    </row>
    <row r="2294" spans="1:5" ht="27">
      <c r="A2294" s="271">
        <v>94966</v>
      </c>
      <c r="B2294" s="272" t="s">
        <v>22446</v>
      </c>
      <c r="C2294" s="272" t="s">
        <v>209</v>
      </c>
      <c r="D2294" s="273" t="s">
        <v>22447</v>
      </c>
      <c r="E2294" s="274" t="s">
        <v>229</v>
      </c>
    </row>
    <row r="2295" spans="1:5" ht="27">
      <c r="A2295" s="271">
        <v>94967</v>
      </c>
      <c r="B2295" s="272" t="s">
        <v>22448</v>
      </c>
      <c r="C2295" s="272" t="s">
        <v>209</v>
      </c>
      <c r="D2295" s="273" t="s">
        <v>15953</v>
      </c>
      <c r="E2295" s="274" t="s">
        <v>229</v>
      </c>
    </row>
    <row r="2296" spans="1:5" ht="27">
      <c r="A2296" s="271">
        <v>94968</v>
      </c>
      <c r="B2296" s="272" t="s">
        <v>22449</v>
      </c>
      <c r="C2296" s="272" t="s">
        <v>209</v>
      </c>
      <c r="D2296" s="273" t="s">
        <v>22450</v>
      </c>
      <c r="E2296" s="274" t="s">
        <v>229</v>
      </c>
    </row>
    <row r="2297" spans="1:5" ht="27">
      <c r="A2297" s="271">
        <v>94969</v>
      </c>
      <c r="B2297" s="272" t="s">
        <v>22451</v>
      </c>
      <c r="C2297" s="272" t="s">
        <v>209</v>
      </c>
      <c r="D2297" s="273" t="s">
        <v>22452</v>
      </c>
      <c r="E2297" s="274" t="s">
        <v>229</v>
      </c>
    </row>
    <row r="2298" spans="1:5" ht="27">
      <c r="A2298" s="271">
        <v>94970</v>
      </c>
      <c r="B2298" s="272" t="s">
        <v>22453</v>
      </c>
      <c r="C2298" s="272" t="s">
        <v>209</v>
      </c>
      <c r="D2298" s="273" t="s">
        <v>22454</v>
      </c>
      <c r="E2298" s="274" t="s">
        <v>229</v>
      </c>
    </row>
    <row r="2299" spans="1:5" ht="27">
      <c r="A2299" s="271">
        <v>94971</v>
      </c>
      <c r="B2299" s="272" t="s">
        <v>22455</v>
      </c>
      <c r="C2299" s="272" t="s">
        <v>209</v>
      </c>
      <c r="D2299" s="273" t="s">
        <v>22456</v>
      </c>
      <c r="E2299" s="274" t="s">
        <v>229</v>
      </c>
    </row>
    <row r="2300" spans="1:5" ht="27">
      <c r="A2300" s="271">
        <v>94972</v>
      </c>
      <c r="B2300" s="272" t="s">
        <v>22457</v>
      </c>
      <c r="C2300" s="272" t="s">
        <v>209</v>
      </c>
      <c r="D2300" s="273" t="s">
        <v>22458</v>
      </c>
      <c r="E2300" s="274" t="s">
        <v>229</v>
      </c>
    </row>
    <row r="2301" spans="1:5" ht="27">
      <c r="A2301" s="271">
        <v>94973</v>
      </c>
      <c r="B2301" s="272" t="s">
        <v>22459</v>
      </c>
      <c r="C2301" s="272" t="s">
        <v>209</v>
      </c>
      <c r="D2301" s="273" t="s">
        <v>22460</v>
      </c>
      <c r="E2301" s="274" t="s">
        <v>229</v>
      </c>
    </row>
    <row r="2302" spans="1:5" ht="27">
      <c r="A2302" s="271">
        <v>94974</v>
      </c>
      <c r="B2302" s="272" t="s">
        <v>22461</v>
      </c>
      <c r="C2302" s="272" t="s">
        <v>209</v>
      </c>
      <c r="D2302" s="273" t="s">
        <v>22462</v>
      </c>
      <c r="E2302" s="274" t="s">
        <v>229</v>
      </c>
    </row>
    <row r="2303" spans="1:5" ht="27">
      <c r="A2303" s="271">
        <v>94975</v>
      </c>
      <c r="B2303" s="272" t="s">
        <v>22463</v>
      </c>
      <c r="C2303" s="272" t="s">
        <v>209</v>
      </c>
      <c r="D2303" s="275" t="s">
        <v>22464</v>
      </c>
      <c r="E2303" s="274" t="s">
        <v>229</v>
      </c>
    </row>
    <row r="2304" spans="1:5" ht="27">
      <c r="A2304" s="271">
        <v>96555</v>
      </c>
      <c r="B2304" s="272" t="s">
        <v>1480</v>
      </c>
      <c r="C2304" s="272" t="s">
        <v>209</v>
      </c>
      <c r="D2304" s="275" t="s">
        <v>22465</v>
      </c>
      <c r="E2304" s="274" t="s">
        <v>229</v>
      </c>
    </row>
    <row r="2305" spans="1:5" ht="27">
      <c r="A2305" s="271">
        <v>96556</v>
      </c>
      <c r="B2305" s="272" t="s">
        <v>1481</v>
      </c>
      <c r="C2305" s="272" t="s">
        <v>209</v>
      </c>
      <c r="D2305" s="275" t="s">
        <v>22466</v>
      </c>
      <c r="E2305" s="274" t="s">
        <v>229</v>
      </c>
    </row>
    <row r="2306" spans="1:5" ht="27">
      <c r="A2306" s="271">
        <v>96557</v>
      </c>
      <c r="B2306" s="272" t="s">
        <v>1482</v>
      </c>
      <c r="C2306" s="272" t="s">
        <v>209</v>
      </c>
      <c r="D2306" s="275" t="s">
        <v>22467</v>
      </c>
      <c r="E2306" s="274" t="s">
        <v>229</v>
      </c>
    </row>
    <row r="2307" spans="1:5" ht="27">
      <c r="A2307" s="271">
        <v>96558</v>
      </c>
      <c r="B2307" s="272" t="s">
        <v>1483</v>
      </c>
      <c r="C2307" s="272" t="s">
        <v>209</v>
      </c>
      <c r="D2307" s="275" t="s">
        <v>22468</v>
      </c>
      <c r="E2307" s="274" t="s">
        <v>229</v>
      </c>
    </row>
    <row r="2308" spans="1:5" ht="40.5">
      <c r="A2308" s="271">
        <v>99235</v>
      </c>
      <c r="B2308" s="272" t="s">
        <v>4044</v>
      </c>
      <c r="C2308" s="272" t="s">
        <v>209</v>
      </c>
      <c r="D2308" s="275" t="s">
        <v>22469</v>
      </c>
      <c r="E2308" s="274" t="s">
        <v>229</v>
      </c>
    </row>
    <row r="2309" spans="1:5" ht="40.5">
      <c r="A2309" s="271">
        <v>99431</v>
      </c>
      <c r="B2309" s="272" t="s">
        <v>4045</v>
      </c>
      <c r="C2309" s="272" t="s">
        <v>209</v>
      </c>
      <c r="D2309" s="275" t="s">
        <v>22470</v>
      </c>
      <c r="E2309" s="274" t="s">
        <v>229</v>
      </c>
    </row>
    <row r="2310" spans="1:5" ht="40.5">
      <c r="A2310" s="271">
        <v>99432</v>
      </c>
      <c r="B2310" s="272" t="s">
        <v>4046</v>
      </c>
      <c r="C2310" s="272" t="s">
        <v>209</v>
      </c>
      <c r="D2310" s="275" t="s">
        <v>22471</v>
      </c>
      <c r="E2310" s="274" t="s">
        <v>229</v>
      </c>
    </row>
    <row r="2311" spans="1:5" ht="40.5">
      <c r="A2311" s="271">
        <v>99433</v>
      </c>
      <c r="B2311" s="272" t="s">
        <v>4047</v>
      </c>
      <c r="C2311" s="272" t="s">
        <v>209</v>
      </c>
      <c r="D2311" s="275" t="s">
        <v>22472</v>
      </c>
      <c r="E2311" s="274" t="s">
        <v>229</v>
      </c>
    </row>
    <row r="2312" spans="1:5" ht="40.5">
      <c r="A2312" s="271">
        <v>99434</v>
      </c>
      <c r="B2312" s="272" t="s">
        <v>4048</v>
      </c>
      <c r="C2312" s="272" t="s">
        <v>209</v>
      </c>
      <c r="D2312" s="275" t="s">
        <v>22473</v>
      </c>
      <c r="E2312" s="274" t="s">
        <v>229</v>
      </c>
    </row>
    <row r="2313" spans="1:5" ht="40.5">
      <c r="A2313" s="271">
        <v>99435</v>
      </c>
      <c r="B2313" s="272" t="s">
        <v>4049</v>
      </c>
      <c r="C2313" s="272" t="s">
        <v>209</v>
      </c>
      <c r="D2313" s="275" t="s">
        <v>22474</v>
      </c>
      <c r="E2313" s="274" t="s">
        <v>229</v>
      </c>
    </row>
    <row r="2314" spans="1:5" ht="40.5">
      <c r="A2314" s="271">
        <v>99436</v>
      </c>
      <c r="B2314" s="272" t="s">
        <v>4050</v>
      </c>
      <c r="C2314" s="272" t="s">
        <v>209</v>
      </c>
      <c r="D2314" s="275" t="s">
        <v>22475</v>
      </c>
      <c r="E2314" s="274" t="s">
        <v>229</v>
      </c>
    </row>
    <row r="2315" spans="1:5" ht="40.5">
      <c r="A2315" s="271">
        <v>99437</v>
      </c>
      <c r="B2315" s="272" t="s">
        <v>4051</v>
      </c>
      <c r="C2315" s="272" t="s">
        <v>209</v>
      </c>
      <c r="D2315" s="275" t="s">
        <v>22476</v>
      </c>
      <c r="E2315" s="274" t="s">
        <v>229</v>
      </c>
    </row>
    <row r="2316" spans="1:5" ht="40.5">
      <c r="A2316" s="271">
        <v>99438</v>
      </c>
      <c r="B2316" s="272" t="s">
        <v>4052</v>
      </c>
      <c r="C2316" s="272" t="s">
        <v>209</v>
      </c>
      <c r="D2316" s="275" t="s">
        <v>22477</v>
      </c>
      <c r="E2316" s="274" t="s">
        <v>229</v>
      </c>
    </row>
    <row r="2317" spans="1:5" ht="40.5">
      <c r="A2317" s="271">
        <v>99439</v>
      </c>
      <c r="B2317" s="272" t="s">
        <v>4053</v>
      </c>
      <c r="C2317" s="272" t="s">
        <v>209</v>
      </c>
      <c r="D2317" s="275" t="s">
        <v>22478</v>
      </c>
      <c r="E2317" s="274" t="s">
        <v>229</v>
      </c>
    </row>
    <row r="2318" spans="1:5" ht="27">
      <c r="A2318" s="271">
        <v>102473</v>
      </c>
      <c r="B2318" s="272" t="s">
        <v>22479</v>
      </c>
      <c r="C2318" s="272" t="s">
        <v>209</v>
      </c>
      <c r="D2318" s="273" t="s">
        <v>22480</v>
      </c>
      <c r="E2318" s="274" t="s">
        <v>229</v>
      </c>
    </row>
    <row r="2319" spans="1:5" ht="27">
      <c r="A2319" s="271">
        <v>102474</v>
      </c>
      <c r="B2319" s="272" t="s">
        <v>22481</v>
      </c>
      <c r="C2319" s="272" t="s">
        <v>209</v>
      </c>
      <c r="D2319" s="273" t="s">
        <v>22482</v>
      </c>
      <c r="E2319" s="274" t="s">
        <v>229</v>
      </c>
    </row>
    <row r="2320" spans="1:5" ht="27">
      <c r="A2320" s="271">
        <v>102475</v>
      </c>
      <c r="B2320" s="272" t="s">
        <v>22483</v>
      </c>
      <c r="C2320" s="272" t="s">
        <v>209</v>
      </c>
      <c r="D2320" s="273" t="s">
        <v>22484</v>
      </c>
      <c r="E2320" s="274" t="s">
        <v>229</v>
      </c>
    </row>
    <row r="2321" spans="1:5" ht="27">
      <c r="A2321" s="271">
        <v>102476</v>
      </c>
      <c r="B2321" s="272" t="s">
        <v>22485</v>
      </c>
      <c r="C2321" s="272" t="s">
        <v>209</v>
      </c>
      <c r="D2321" s="273" t="s">
        <v>22486</v>
      </c>
      <c r="E2321" s="274" t="s">
        <v>229</v>
      </c>
    </row>
    <row r="2322" spans="1:5" ht="27">
      <c r="A2322" s="271">
        <v>102477</v>
      </c>
      <c r="B2322" s="272" t="s">
        <v>22487</v>
      </c>
      <c r="C2322" s="272" t="s">
        <v>209</v>
      </c>
      <c r="D2322" s="273" t="s">
        <v>22488</v>
      </c>
      <c r="E2322" s="274" t="s">
        <v>229</v>
      </c>
    </row>
    <row r="2323" spans="1:5" ht="27">
      <c r="A2323" s="271">
        <v>102478</v>
      </c>
      <c r="B2323" s="272" t="s">
        <v>22489</v>
      </c>
      <c r="C2323" s="272" t="s">
        <v>209</v>
      </c>
      <c r="D2323" s="273" t="s">
        <v>22490</v>
      </c>
      <c r="E2323" s="274" t="s">
        <v>229</v>
      </c>
    </row>
    <row r="2324" spans="1:5" ht="27">
      <c r="A2324" s="271">
        <v>102479</v>
      </c>
      <c r="B2324" s="272" t="s">
        <v>22491</v>
      </c>
      <c r="C2324" s="272" t="s">
        <v>209</v>
      </c>
      <c r="D2324" s="273" t="s">
        <v>22492</v>
      </c>
      <c r="E2324" s="274" t="s">
        <v>229</v>
      </c>
    </row>
    <row r="2325" spans="1:5" ht="27">
      <c r="A2325" s="271">
        <v>102480</v>
      </c>
      <c r="B2325" s="272" t="s">
        <v>22493</v>
      </c>
      <c r="C2325" s="272" t="s">
        <v>209</v>
      </c>
      <c r="D2325" s="273" t="s">
        <v>22494</v>
      </c>
      <c r="E2325" s="274" t="s">
        <v>229</v>
      </c>
    </row>
    <row r="2326" spans="1:5" ht="27">
      <c r="A2326" s="271">
        <v>102481</v>
      </c>
      <c r="B2326" s="272" t="s">
        <v>22495</v>
      </c>
      <c r="C2326" s="272" t="s">
        <v>209</v>
      </c>
      <c r="D2326" s="273" t="s">
        <v>22496</v>
      </c>
      <c r="E2326" s="274" t="s">
        <v>229</v>
      </c>
    </row>
    <row r="2327" spans="1:5" ht="27">
      <c r="A2327" s="271">
        <v>102482</v>
      </c>
      <c r="B2327" s="272" t="s">
        <v>22497</v>
      </c>
      <c r="C2327" s="272" t="s">
        <v>209</v>
      </c>
      <c r="D2327" s="273" t="s">
        <v>22498</v>
      </c>
      <c r="E2327" s="274" t="s">
        <v>229</v>
      </c>
    </row>
    <row r="2328" spans="1:5" ht="27">
      <c r="A2328" s="271">
        <v>102483</v>
      </c>
      <c r="B2328" s="272" t="s">
        <v>22499</v>
      </c>
      <c r="C2328" s="272" t="s">
        <v>209</v>
      </c>
      <c r="D2328" s="273" t="s">
        <v>22500</v>
      </c>
      <c r="E2328" s="274" t="s">
        <v>229</v>
      </c>
    </row>
    <row r="2329" spans="1:5" ht="27">
      <c r="A2329" s="271">
        <v>102484</v>
      </c>
      <c r="B2329" s="272" t="s">
        <v>22501</v>
      </c>
      <c r="C2329" s="272" t="s">
        <v>209</v>
      </c>
      <c r="D2329" s="273" t="s">
        <v>22502</v>
      </c>
      <c r="E2329" s="274" t="s">
        <v>229</v>
      </c>
    </row>
    <row r="2330" spans="1:5" ht="27">
      <c r="A2330" s="271">
        <v>102485</v>
      </c>
      <c r="B2330" s="272" t="s">
        <v>22503</v>
      </c>
      <c r="C2330" s="272" t="s">
        <v>209</v>
      </c>
      <c r="D2330" s="273" t="s">
        <v>22504</v>
      </c>
      <c r="E2330" s="274" t="s">
        <v>229</v>
      </c>
    </row>
    <row r="2331" spans="1:5" ht="27">
      <c r="A2331" s="271">
        <v>102486</v>
      </c>
      <c r="B2331" s="272" t="s">
        <v>22505</v>
      </c>
      <c r="C2331" s="272" t="s">
        <v>209</v>
      </c>
      <c r="D2331" s="273" t="s">
        <v>22425</v>
      </c>
      <c r="E2331" s="274" t="s">
        <v>229</v>
      </c>
    </row>
    <row r="2332" spans="1:5" ht="27">
      <c r="A2332" s="271">
        <v>102487</v>
      </c>
      <c r="B2332" s="272" t="s">
        <v>22506</v>
      </c>
      <c r="C2332" s="272" t="s">
        <v>209</v>
      </c>
      <c r="D2332" s="273" t="s">
        <v>22507</v>
      </c>
      <c r="E2332" s="274" t="s">
        <v>229</v>
      </c>
    </row>
    <row r="2333" spans="1:5" ht="27">
      <c r="A2333" s="271">
        <v>101963</v>
      </c>
      <c r="B2333" s="272" t="s">
        <v>13006</v>
      </c>
      <c r="C2333" s="272" t="s">
        <v>193</v>
      </c>
      <c r="D2333" s="273" t="s">
        <v>22508</v>
      </c>
      <c r="E2333" s="274" t="s">
        <v>229</v>
      </c>
    </row>
    <row r="2334" spans="1:5" ht="27">
      <c r="A2334" s="271">
        <v>101964</v>
      </c>
      <c r="B2334" s="272" t="s">
        <v>13007</v>
      </c>
      <c r="C2334" s="272" t="s">
        <v>193</v>
      </c>
      <c r="D2334" s="273" t="s">
        <v>22509</v>
      </c>
      <c r="E2334" s="274" t="s">
        <v>229</v>
      </c>
    </row>
    <row r="2335" spans="1:5" ht="27">
      <c r="A2335" s="271">
        <v>101165</v>
      </c>
      <c r="B2335" s="272" t="s">
        <v>10246</v>
      </c>
      <c r="C2335" s="272" t="s">
        <v>209</v>
      </c>
      <c r="D2335" s="273" t="s">
        <v>22510</v>
      </c>
      <c r="E2335" s="274" t="s">
        <v>229</v>
      </c>
    </row>
    <row r="2336" spans="1:5" ht="27">
      <c r="A2336" s="271">
        <v>101166</v>
      </c>
      <c r="B2336" s="272" t="s">
        <v>10247</v>
      </c>
      <c r="C2336" s="272" t="s">
        <v>209</v>
      </c>
      <c r="D2336" s="273" t="s">
        <v>22511</v>
      </c>
      <c r="E2336" s="274" t="s">
        <v>229</v>
      </c>
    </row>
    <row r="2337" spans="1:5" ht="13.5">
      <c r="A2337" s="271">
        <v>98576</v>
      </c>
      <c r="B2337" s="272" t="s">
        <v>4054</v>
      </c>
      <c r="C2337" s="272" t="s">
        <v>5</v>
      </c>
      <c r="D2337" s="273" t="s">
        <v>10095</v>
      </c>
      <c r="E2337" s="274" t="s">
        <v>229</v>
      </c>
    </row>
    <row r="2338" spans="1:5" ht="13.5">
      <c r="A2338" s="271">
        <v>93182</v>
      </c>
      <c r="B2338" s="272" t="s">
        <v>1484</v>
      </c>
      <c r="C2338" s="272" t="s">
        <v>5</v>
      </c>
      <c r="D2338" s="273" t="s">
        <v>22512</v>
      </c>
      <c r="E2338" s="274" t="s">
        <v>229</v>
      </c>
    </row>
    <row r="2339" spans="1:5" ht="13.5">
      <c r="A2339" s="271">
        <v>93183</v>
      </c>
      <c r="B2339" s="272" t="s">
        <v>1485</v>
      </c>
      <c r="C2339" s="272" t="s">
        <v>5</v>
      </c>
      <c r="D2339" s="273" t="s">
        <v>20033</v>
      </c>
      <c r="E2339" s="274" t="s">
        <v>229</v>
      </c>
    </row>
    <row r="2340" spans="1:5" ht="13.5">
      <c r="A2340" s="271">
        <v>93184</v>
      </c>
      <c r="B2340" s="272" t="s">
        <v>1486</v>
      </c>
      <c r="C2340" s="272" t="s">
        <v>5</v>
      </c>
      <c r="D2340" s="273" t="s">
        <v>22513</v>
      </c>
      <c r="E2340" s="274" t="s">
        <v>229</v>
      </c>
    </row>
    <row r="2341" spans="1:5" ht="13.5">
      <c r="A2341" s="271">
        <v>93185</v>
      </c>
      <c r="B2341" s="272" t="s">
        <v>1487</v>
      </c>
      <c r="C2341" s="272" t="s">
        <v>5</v>
      </c>
      <c r="D2341" s="273" t="s">
        <v>10176</v>
      </c>
      <c r="E2341" s="274" t="s">
        <v>229</v>
      </c>
    </row>
    <row r="2342" spans="1:5" ht="13.5">
      <c r="A2342" s="271">
        <v>93186</v>
      </c>
      <c r="B2342" s="272" t="s">
        <v>1488</v>
      </c>
      <c r="C2342" s="272" t="s">
        <v>5</v>
      </c>
      <c r="D2342" s="273" t="s">
        <v>22514</v>
      </c>
      <c r="E2342" s="274" t="s">
        <v>229</v>
      </c>
    </row>
    <row r="2343" spans="1:5" ht="13.5">
      <c r="A2343" s="271">
        <v>93187</v>
      </c>
      <c r="B2343" s="272" t="s">
        <v>1489</v>
      </c>
      <c r="C2343" s="272" t="s">
        <v>5</v>
      </c>
      <c r="D2343" s="273" t="s">
        <v>19794</v>
      </c>
      <c r="E2343" s="274" t="s">
        <v>229</v>
      </c>
    </row>
    <row r="2344" spans="1:5" ht="13.5">
      <c r="A2344" s="271">
        <v>93188</v>
      </c>
      <c r="B2344" s="272" t="s">
        <v>1490</v>
      </c>
      <c r="C2344" s="272" t="s">
        <v>5</v>
      </c>
      <c r="D2344" s="273" t="s">
        <v>22515</v>
      </c>
      <c r="E2344" s="274" t="s">
        <v>229</v>
      </c>
    </row>
    <row r="2345" spans="1:5" ht="13.5">
      <c r="A2345" s="271">
        <v>93189</v>
      </c>
      <c r="B2345" s="272" t="s">
        <v>1491</v>
      </c>
      <c r="C2345" s="272" t="s">
        <v>5</v>
      </c>
      <c r="D2345" s="273" t="s">
        <v>22516</v>
      </c>
      <c r="E2345" s="274" t="s">
        <v>229</v>
      </c>
    </row>
    <row r="2346" spans="1:5" ht="27">
      <c r="A2346" s="271">
        <v>93190</v>
      </c>
      <c r="B2346" s="272" t="s">
        <v>1492</v>
      </c>
      <c r="C2346" s="272" t="s">
        <v>5</v>
      </c>
      <c r="D2346" s="273" t="s">
        <v>22517</v>
      </c>
      <c r="E2346" s="274" t="s">
        <v>229</v>
      </c>
    </row>
    <row r="2347" spans="1:5" ht="27">
      <c r="A2347" s="271">
        <v>93191</v>
      </c>
      <c r="B2347" s="272" t="s">
        <v>1493</v>
      </c>
      <c r="C2347" s="272" t="s">
        <v>5</v>
      </c>
      <c r="D2347" s="273" t="s">
        <v>22518</v>
      </c>
      <c r="E2347" s="274" t="s">
        <v>229</v>
      </c>
    </row>
    <row r="2348" spans="1:5" ht="27">
      <c r="A2348" s="271">
        <v>93192</v>
      </c>
      <c r="B2348" s="272" t="s">
        <v>1494</v>
      </c>
      <c r="C2348" s="272" t="s">
        <v>5</v>
      </c>
      <c r="D2348" s="273" t="s">
        <v>14175</v>
      </c>
      <c r="E2348" s="274" t="s">
        <v>229</v>
      </c>
    </row>
    <row r="2349" spans="1:5" ht="27">
      <c r="A2349" s="271">
        <v>93193</v>
      </c>
      <c r="B2349" s="272" t="s">
        <v>1495</v>
      </c>
      <c r="C2349" s="272" t="s">
        <v>5</v>
      </c>
      <c r="D2349" s="273" t="s">
        <v>22519</v>
      </c>
      <c r="E2349" s="274" t="s">
        <v>229</v>
      </c>
    </row>
    <row r="2350" spans="1:5" ht="13.5">
      <c r="A2350" s="271">
        <v>93194</v>
      </c>
      <c r="B2350" s="272" t="s">
        <v>1496</v>
      </c>
      <c r="C2350" s="272" t="s">
        <v>5</v>
      </c>
      <c r="D2350" s="273" t="s">
        <v>22520</v>
      </c>
      <c r="E2350" s="274" t="s">
        <v>229</v>
      </c>
    </row>
    <row r="2351" spans="1:5" ht="13.5">
      <c r="A2351" s="271">
        <v>93195</v>
      </c>
      <c r="B2351" s="272" t="s">
        <v>1497</v>
      </c>
      <c r="C2351" s="272" t="s">
        <v>5</v>
      </c>
      <c r="D2351" s="273" t="s">
        <v>22521</v>
      </c>
      <c r="E2351" s="274" t="s">
        <v>229</v>
      </c>
    </row>
    <row r="2352" spans="1:5" ht="27">
      <c r="A2352" s="271">
        <v>93196</v>
      </c>
      <c r="B2352" s="272" t="s">
        <v>1498</v>
      </c>
      <c r="C2352" s="272" t="s">
        <v>5</v>
      </c>
      <c r="D2352" s="273" t="s">
        <v>22522</v>
      </c>
      <c r="E2352" s="274" t="s">
        <v>229</v>
      </c>
    </row>
    <row r="2353" spans="1:5" ht="27">
      <c r="A2353" s="271">
        <v>93197</v>
      </c>
      <c r="B2353" s="272" t="s">
        <v>1499</v>
      </c>
      <c r="C2353" s="272" t="s">
        <v>5</v>
      </c>
      <c r="D2353" s="273" t="s">
        <v>22523</v>
      </c>
      <c r="E2353" s="274" t="s">
        <v>229</v>
      </c>
    </row>
    <row r="2354" spans="1:5" ht="27">
      <c r="A2354" s="271">
        <v>93198</v>
      </c>
      <c r="B2354" s="272" t="s">
        <v>1500</v>
      </c>
      <c r="C2354" s="272" t="s">
        <v>5</v>
      </c>
      <c r="D2354" s="273" t="s">
        <v>16057</v>
      </c>
      <c r="E2354" s="274" t="s">
        <v>229</v>
      </c>
    </row>
    <row r="2355" spans="1:5" ht="27">
      <c r="A2355" s="271">
        <v>93199</v>
      </c>
      <c r="B2355" s="272" t="s">
        <v>1501</v>
      </c>
      <c r="C2355" s="272" t="s">
        <v>5</v>
      </c>
      <c r="D2355" s="273" t="s">
        <v>15824</v>
      </c>
      <c r="E2355" s="274" t="s">
        <v>229</v>
      </c>
    </row>
    <row r="2356" spans="1:5" ht="27">
      <c r="A2356" s="271">
        <v>93200</v>
      </c>
      <c r="B2356" s="272" t="s">
        <v>1502</v>
      </c>
      <c r="C2356" s="272" t="s">
        <v>5</v>
      </c>
      <c r="D2356" s="273" t="s">
        <v>9974</v>
      </c>
      <c r="E2356" s="274" t="s">
        <v>229</v>
      </c>
    </row>
    <row r="2357" spans="1:5" ht="27">
      <c r="A2357" s="271">
        <v>93201</v>
      </c>
      <c r="B2357" s="272" t="s">
        <v>1503</v>
      </c>
      <c r="C2357" s="272" t="s">
        <v>5</v>
      </c>
      <c r="D2357" s="273" t="s">
        <v>11176</v>
      </c>
      <c r="E2357" s="274" t="s">
        <v>229</v>
      </c>
    </row>
    <row r="2358" spans="1:5" ht="13.5">
      <c r="A2358" s="271">
        <v>93202</v>
      </c>
      <c r="B2358" s="272" t="s">
        <v>204</v>
      </c>
      <c r="C2358" s="272" t="s">
        <v>5</v>
      </c>
      <c r="D2358" s="273" t="s">
        <v>16388</v>
      </c>
      <c r="E2358" s="274" t="s">
        <v>229</v>
      </c>
    </row>
    <row r="2359" spans="1:5" ht="27">
      <c r="A2359" s="271">
        <v>93203</v>
      </c>
      <c r="B2359" s="272" t="s">
        <v>3440</v>
      </c>
      <c r="C2359" s="272" t="s">
        <v>5</v>
      </c>
      <c r="D2359" s="273" t="s">
        <v>16113</v>
      </c>
      <c r="E2359" s="274" t="s">
        <v>229</v>
      </c>
    </row>
    <row r="2360" spans="1:5" ht="13.5">
      <c r="A2360" s="271">
        <v>93204</v>
      </c>
      <c r="B2360" s="272" t="s">
        <v>1504</v>
      </c>
      <c r="C2360" s="272" t="s">
        <v>5</v>
      </c>
      <c r="D2360" s="273" t="s">
        <v>22524</v>
      </c>
      <c r="E2360" s="274" t="s">
        <v>229</v>
      </c>
    </row>
    <row r="2361" spans="1:5" ht="27">
      <c r="A2361" s="271">
        <v>93205</v>
      </c>
      <c r="B2361" s="272" t="s">
        <v>1505</v>
      </c>
      <c r="C2361" s="272" t="s">
        <v>5</v>
      </c>
      <c r="D2361" s="273" t="s">
        <v>16680</v>
      </c>
      <c r="E2361" s="274" t="s">
        <v>229</v>
      </c>
    </row>
    <row r="2362" spans="1:5" ht="27">
      <c r="A2362" s="271">
        <v>95952</v>
      </c>
      <c r="B2362" s="272" t="s">
        <v>1506</v>
      </c>
      <c r="C2362" s="272" t="s">
        <v>209</v>
      </c>
      <c r="D2362" s="273" t="s">
        <v>22525</v>
      </c>
      <c r="E2362" s="274" t="s">
        <v>229</v>
      </c>
    </row>
    <row r="2363" spans="1:5" ht="40.5">
      <c r="A2363" s="271">
        <v>95953</v>
      </c>
      <c r="B2363" s="272" t="s">
        <v>1507</v>
      </c>
      <c r="C2363" s="272" t="s">
        <v>209</v>
      </c>
      <c r="D2363" s="273" t="s">
        <v>22526</v>
      </c>
      <c r="E2363" s="274" t="s">
        <v>229</v>
      </c>
    </row>
    <row r="2364" spans="1:5" ht="40.5">
      <c r="A2364" s="271">
        <v>95954</v>
      </c>
      <c r="B2364" s="272" t="s">
        <v>1508</v>
      </c>
      <c r="C2364" s="272" t="s">
        <v>209</v>
      </c>
      <c r="D2364" s="273" t="s">
        <v>22527</v>
      </c>
      <c r="E2364" s="274" t="s">
        <v>229</v>
      </c>
    </row>
    <row r="2365" spans="1:5" ht="27">
      <c r="A2365" s="271">
        <v>95955</v>
      </c>
      <c r="B2365" s="272" t="s">
        <v>1509</v>
      </c>
      <c r="C2365" s="272" t="s">
        <v>209</v>
      </c>
      <c r="D2365" s="273" t="s">
        <v>22528</v>
      </c>
      <c r="E2365" s="274" t="s">
        <v>229</v>
      </c>
    </row>
    <row r="2366" spans="1:5" ht="40.5">
      <c r="A2366" s="271">
        <v>95956</v>
      </c>
      <c r="B2366" s="272" t="s">
        <v>1510</v>
      </c>
      <c r="C2366" s="272" t="s">
        <v>209</v>
      </c>
      <c r="D2366" s="273" t="s">
        <v>22529</v>
      </c>
      <c r="E2366" s="274" t="s">
        <v>229</v>
      </c>
    </row>
    <row r="2367" spans="1:5" ht="27">
      <c r="A2367" s="271">
        <v>95957</v>
      </c>
      <c r="B2367" s="272" t="s">
        <v>1511</v>
      </c>
      <c r="C2367" s="272" t="s">
        <v>209</v>
      </c>
      <c r="D2367" s="273" t="s">
        <v>22530</v>
      </c>
      <c r="E2367" s="274" t="s">
        <v>229</v>
      </c>
    </row>
    <row r="2368" spans="1:5" ht="27">
      <c r="A2368" s="271">
        <v>95969</v>
      </c>
      <c r="B2368" s="272" t="s">
        <v>1512</v>
      </c>
      <c r="C2368" s="272" t="s">
        <v>209</v>
      </c>
      <c r="D2368" s="273" t="s">
        <v>22531</v>
      </c>
      <c r="E2368" s="274" t="s">
        <v>229</v>
      </c>
    </row>
    <row r="2369" spans="1:5" ht="27">
      <c r="A2369" s="271">
        <v>97733</v>
      </c>
      <c r="B2369" s="272" t="s">
        <v>3441</v>
      </c>
      <c r="C2369" s="272" t="s">
        <v>209</v>
      </c>
      <c r="D2369" s="273" t="s">
        <v>22532</v>
      </c>
      <c r="E2369" s="274" t="s">
        <v>229</v>
      </c>
    </row>
    <row r="2370" spans="1:5" ht="27">
      <c r="A2370" s="271">
        <v>97734</v>
      </c>
      <c r="B2370" s="272" t="s">
        <v>3442</v>
      </c>
      <c r="C2370" s="272" t="s">
        <v>209</v>
      </c>
      <c r="D2370" s="273" t="s">
        <v>22533</v>
      </c>
      <c r="E2370" s="274" t="s">
        <v>229</v>
      </c>
    </row>
    <row r="2371" spans="1:5" ht="27">
      <c r="A2371" s="271">
        <v>97735</v>
      </c>
      <c r="B2371" s="272" t="s">
        <v>3443</v>
      </c>
      <c r="C2371" s="272" t="s">
        <v>209</v>
      </c>
      <c r="D2371" s="273" t="s">
        <v>22534</v>
      </c>
      <c r="E2371" s="274" t="s">
        <v>229</v>
      </c>
    </row>
    <row r="2372" spans="1:5" ht="27">
      <c r="A2372" s="271">
        <v>97736</v>
      </c>
      <c r="B2372" s="272" t="s">
        <v>3444</v>
      </c>
      <c r="C2372" s="272" t="s">
        <v>209</v>
      </c>
      <c r="D2372" s="273" t="s">
        <v>22535</v>
      </c>
      <c r="E2372" s="274" t="s">
        <v>229</v>
      </c>
    </row>
    <row r="2373" spans="1:5" ht="27">
      <c r="A2373" s="271">
        <v>97737</v>
      </c>
      <c r="B2373" s="272" t="s">
        <v>3445</v>
      </c>
      <c r="C2373" s="272" t="s">
        <v>209</v>
      </c>
      <c r="D2373" s="273" t="s">
        <v>22536</v>
      </c>
      <c r="E2373" s="274" t="s">
        <v>229</v>
      </c>
    </row>
    <row r="2374" spans="1:5" ht="27">
      <c r="A2374" s="271">
        <v>97738</v>
      </c>
      <c r="B2374" s="272" t="s">
        <v>4055</v>
      </c>
      <c r="C2374" s="272" t="s">
        <v>209</v>
      </c>
      <c r="D2374" s="273" t="s">
        <v>22537</v>
      </c>
      <c r="E2374" s="274" t="s">
        <v>229</v>
      </c>
    </row>
    <row r="2375" spans="1:5" ht="27">
      <c r="A2375" s="271">
        <v>97739</v>
      </c>
      <c r="B2375" s="272" t="s">
        <v>3446</v>
      </c>
      <c r="C2375" s="272" t="s">
        <v>209</v>
      </c>
      <c r="D2375" s="273" t="s">
        <v>22538</v>
      </c>
      <c r="E2375" s="274" t="s">
        <v>229</v>
      </c>
    </row>
    <row r="2376" spans="1:5" ht="27">
      <c r="A2376" s="271">
        <v>97740</v>
      </c>
      <c r="B2376" s="272" t="s">
        <v>3447</v>
      </c>
      <c r="C2376" s="272" t="s">
        <v>209</v>
      </c>
      <c r="D2376" s="273" t="s">
        <v>22539</v>
      </c>
      <c r="E2376" s="274" t="s">
        <v>229</v>
      </c>
    </row>
    <row r="2377" spans="1:5" ht="27">
      <c r="A2377" s="271">
        <v>98615</v>
      </c>
      <c r="B2377" s="272" t="s">
        <v>4056</v>
      </c>
      <c r="C2377" s="272" t="s">
        <v>193</v>
      </c>
      <c r="D2377" s="273" t="s">
        <v>22540</v>
      </c>
      <c r="E2377" s="274" t="s">
        <v>229</v>
      </c>
    </row>
    <row r="2378" spans="1:5" ht="27">
      <c r="A2378" s="271">
        <v>98616</v>
      </c>
      <c r="B2378" s="272" t="s">
        <v>4057</v>
      </c>
      <c r="C2378" s="272" t="s">
        <v>193</v>
      </c>
      <c r="D2378" s="273" t="s">
        <v>12473</v>
      </c>
      <c r="E2378" s="274" t="s">
        <v>229</v>
      </c>
    </row>
    <row r="2379" spans="1:5" ht="27">
      <c r="A2379" s="271">
        <v>98617</v>
      </c>
      <c r="B2379" s="272" t="s">
        <v>4058</v>
      </c>
      <c r="C2379" s="272" t="s">
        <v>193</v>
      </c>
      <c r="D2379" s="273" t="s">
        <v>12464</v>
      </c>
      <c r="E2379" s="274" t="s">
        <v>229</v>
      </c>
    </row>
    <row r="2380" spans="1:5" ht="27">
      <c r="A2380" s="271">
        <v>98618</v>
      </c>
      <c r="B2380" s="272" t="s">
        <v>4059</v>
      </c>
      <c r="C2380" s="272" t="s">
        <v>193</v>
      </c>
      <c r="D2380" s="273" t="s">
        <v>22541</v>
      </c>
      <c r="E2380" s="274" t="s">
        <v>229</v>
      </c>
    </row>
    <row r="2381" spans="1:5" ht="27">
      <c r="A2381" s="271">
        <v>98619</v>
      </c>
      <c r="B2381" s="272" t="s">
        <v>4060</v>
      </c>
      <c r="C2381" s="272" t="s">
        <v>193</v>
      </c>
      <c r="D2381" s="273" t="s">
        <v>22542</v>
      </c>
      <c r="E2381" s="274" t="s">
        <v>229</v>
      </c>
    </row>
    <row r="2382" spans="1:5" ht="27">
      <c r="A2382" s="271">
        <v>98620</v>
      </c>
      <c r="B2382" s="272" t="s">
        <v>4061</v>
      </c>
      <c r="C2382" s="272" t="s">
        <v>193</v>
      </c>
      <c r="D2382" s="273" t="s">
        <v>22543</v>
      </c>
      <c r="E2382" s="274" t="s">
        <v>229</v>
      </c>
    </row>
    <row r="2383" spans="1:5" ht="27">
      <c r="A2383" s="271">
        <v>98621</v>
      </c>
      <c r="B2383" s="272" t="s">
        <v>4062</v>
      </c>
      <c r="C2383" s="272" t="s">
        <v>193</v>
      </c>
      <c r="D2383" s="273" t="s">
        <v>22544</v>
      </c>
      <c r="E2383" s="274" t="s">
        <v>229</v>
      </c>
    </row>
    <row r="2384" spans="1:5" ht="27">
      <c r="A2384" s="271">
        <v>98622</v>
      </c>
      <c r="B2384" s="272" t="s">
        <v>4063</v>
      </c>
      <c r="C2384" s="272" t="s">
        <v>193</v>
      </c>
      <c r="D2384" s="273" t="s">
        <v>22545</v>
      </c>
      <c r="E2384" s="274" t="s">
        <v>229</v>
      </c>
    </row>
    <row r="2385" spans="1:5" ht="27">
      <c r="A2385" s="271">
        <v>98623</v>
      </c>
      <c r="B2385" s="272" t="s">
        <v>4064</v>
      </c>
      <c r="C2385" s="272" t="s">
        <v>193</v>
      </c>
      <c r="D2385" s="273" t="s">
        <v>22546</v>
      </c>
      <c r="E2385" s="274" t="s">
        <v>229</v>
      </c>
    </row>
    <row r="2386" spans="1:5" ht="27">
      <c r="A2386" s="271">
        <v>98624</v>
      </c>
      <c r="B2386" s="272" t="s">
        <v>4065</v>
      </c>
      <c r="C2386" s="272" t="s">
        <v>193</v>
      </c>
      <c r="D2386" s="273" t="s">
        <v>22547</v>
      </c>
      <c r="E2386" s="274" t="s">
        <v>229</v>
      </c>
    </row>
    <row r="2387" spans="1:5" ht="27">
      <c r="A2387" s="271">
        <v>98625</v>
      </c>
      <c r="B2387" s="272" t="s">
        <v>4066</v>
      </c>
      <c r="C2387" s="272" t="s">
        <v>193</v>
      </c>
      <c r="D2387" s="273" t="s">
        <v>22548</v>
      </c>
      <c r="E2387" s="274" t="s">
        <v>229</v>
      </c>
    </row>
    <row r="2388" spans="1:5" ht="27">
      <c r="A2388" s="271">
        <v>98626</v>
      </c>
      <c r="B2388" s="272" t="s">
        <v>4067</v>
      </c>
      <c r="C2388" s="272" t="s">
        <v>193</v>
      </c>
      <c r="D2388" s="273" t="s">
        <v>22549</v>
      </c>
      <c r="E2388" s="274" t="s">
        <v>229</v>
      </c>
    </row>
    <row r="2389" spans="1:5" ht="13.5">
      <c r="A2389" s="271">
        <v>98655</v>
      </c>
      <c r="B2389" s="272" t="s">
        <v>4068</v>
      </c>
      <c r="C2389" s="272" t="s">
        <v>5</v>
      </c>
      <c r="D2389" s="273" t="s">
        <v>22550</v>
      </c>
      <c r="E2389" s="274" t="s">
        <v>229</v>
      </c>
    </row>
    <row r="2390" spans="1:5" ht="13.5">
      <c r="A2390" s="271">
        <v>98656</v>
      </c>
      <c r="B2390" s="272" t="s">
        <v>4069</v>
      </c>
      <c r="C2390" s="272" t="s">
        <v>5</v>
      </c>
      <c r="D2390" s="273" t="s">
        <v>22551</v>
      </c>
      <c r="E2390" s="274" t="s">
        <v>229</v>
      </c>
    </row>
    <row r="2391" spans="1:5" ht="13.5">
      <c r="A2391" s="271">
        <v>98657</v>
      </c>
      <c r="B2391" s="272" t="s">
        <v>4070</v>
      </c>
      <c r="C2391" s="272" t="s">
        <v>5</v>
      </c>
      <c r="D2391" s="273" t="s">
        <v>22552</v>
      </c>
      <c r="E2391" s="274" t="s">
        <v>229</v>
      </c>
    </row>
    <row r="2392" spans="1:5" ht="13.5">
      <c r="A2392" s="271">
        <v>98658</v>
      </c>
      <c r="B2392" s="272" t="s">
        <v>4071</v>
      </c>
      <c r="C2392" s="272" t="s">
        <v>5</v>
      </c>
      <c r="D2392" s="273" t="s">
        <v>22553</v>
      </c>
      <c r="E2392" s="274" t="s">
        <v>229</v>
      </c>
    </row>
    <row r="2393" spans="1:5" ht="13.5">
      <c r="A2393" s="271">
        <v>98659</v>
      </c>
      <c r="B2393" s="272" t="s">
        <v>4072</v>
      </c>
      <c r="C2393" s="272" t="s">
        <v>5</v>
      </c>
      <c r="D2393" s="273" t="s">
        <v>22554</v>
      </c>
      <c r="E2393" s="274" t="s">
        <v>229</v>
      </c>
    </row>
    <row r="2394" spans="1:5" ht="13.5">
      <c r="A2394" s="271">
        <v>98746</v>
      </c>
      <c r="B2394" s="272" t="s">
        <v>4073</v>
      </c>
      <c r="C2394" s="272" t="s">
        <v>5</v>
      </c>
      <c r="D2394" s="273" t="s">
        <v>22555</v>
      </c>
      <c r="E2394" s="274" t="s">
        <v>229</v>
      </c>
    </row>
    <row r="2395" spans="1:5" ht="13.5">
      <c r="A2395" s="271">
        <v>98749</v>
      </c>
      <c r="B2395" s="272" t="s">
        <v>4074</v>
      </c>
      <c r="C2395" s="272" t="s">
        <v>5</v>
      </c>
      <c r="D2395" s="273" t="s">
        <v>22556</v>
      </c>
      <c r="E2395" s="274" t="s">
        <v>229</v>
      </c>
    </row>
    <row r="2396" spans="1:5" ht="13.5">
      <c r="A2396" s="271">
        <v>98750</v>
      </c>
      <c r="B2396" s="272" t="s">
        <v>4075</v>
      </c>
      <c r="C2396" s="272" t="s">
        <v>5</v>
      </c>
      <c r="D2396" s="273" t="s">
        <v>22557</v>
      </c>
      <c r="E2396" s="274" t="s">
        <v>229</v>
      </c>
    </row>
    <row r="2397" spans="1:5" ht="13.5">
      <c r="A2397" s="271">
        <v>98751</v>
      </c>
      <c r="B2397" s="272" t="s">
        <v>4076</v>
      </c>
      <c r="C2397" s="272" t="s">
        <v>5</v>
      </c>
      <c r="D2397" s="273" t="s">
        <v>22558</v>
      </c>
      <c r="E2397" s="274" t="s">
        <v>229</v>
      </c>
    </row>
    <row r="2398" spans="1:5" ht="13.5">
      <c r="A2398" s="271">
        <v>98752</v>
      </c>
      <c r="B2398" s="272" t="s">
        <v>4077</v>
      </c>
      <c r="C2398" s="272" t="s">
        <v>5</v>
      </c>
      <c r="D2398" s="273" t="s">
        <v>22559</v>
      </c>
      <c r="E2398" s="274" t="s">
        <v>229</v>
      </c>
    </row>
    <row r="2399" spans="1:5" ht="13.5">
      <c r="A2399" s="271">
        <v>98753</v>
      </c>
      <c r="B2399" s="272" t="s">
        <v>4078</v>
      </c>
      <c r="C2399" s="272" t="s">
        <v>5</v>
      </c>
      <c r="D2399" s="273" t="s">
        <v>15809</v>
      </c>
      <c r="E2399" s="274" t="s">
        <v>229</v>
      </c>
    </row>
    <row r="2400" spans="1:5" ht="40.5">
      <c r="A2400" s="271">
        <v>100763</v>
      </c>
      <c r="B2400" s="272" t="s">
        <v>10251</v>
      </c>
      <c r="C2400" s="272" t="s">
        <v>108</v>
      </c>
      <c r="D2400" s="273" t="s">
        <v>20143</v>
      </c>
      <c r="E2400" s="274" t="s">
        <v>229</v>
      </c>
    </row>
    <row r="2401" spans="1:5" ht="40.5">
      <c r="A2401" s="271">
        <v>100764</v>
      </c>
      <c r="B2401" s="272" t="s">
        <v>10252</v>
      </c>
      <c r="C2401" s="272" t="s">
        <v>108</v>
      </c>
      <c r="D2401" s="273" t="s">
        <v>10450</v>
      </c>
      <c r="E2401" s="274" t="s">
        <v>229</v>
      </c>
    </row>
    <row r="2402" spans="1:5" ht="40.5">
      <c r="A2402" s="271">
        <v>100765</v>
      </c>
      <c r="B2402" s="272" t="s">
        <v>10253</v>
      </c>
      <c r="C2402" s="272" t="s">
        <v>108</v>
      </c>
      <c r="D2402" s="273" t="s">
        <v>11485</v>
      </c>
      <c r="E2402" s="274" t="s">
        <v>229</v>
      </c>
    </row>
    <row r="2403" spans="1:5" ht="40.5">
      <c r="A2403" s="271">
        <v>100766</v>
      </c>
      <c r="B2403" s="272" t="s">
        <v>22560</v>
      </c>
      <c r="C2403" s="272" t="s">
        <v>108</v>
      </c>
      <c r="D2403" s="273" t="s">
        <v>11509</v>
      </c>
      <c r="E2403" s="274" t="s">
        <v>229</v>
      </c>
    </row>
    <row r="2404" spans="1:5" ht="40.5">
      <c r="A2404" s="271">
        <v>100767</v>
      </c>
      <c r="B2404" s="272" t="s">
        <v>10255</v>
      </c>
      <c r="C2404" s="272" t="s">
        <v>108</v>
      </c>
      <c r="D2404" s="273" t="s">
        <v>11477</v>
      </c>
      <c r="E2404" s="274" t="s">
        <v>229</v>
      </c>
    </row>
    <row r="2405" spans="1:5" ht="40.5">
      <c r="A2405" s="271">
        <v>100768</v>
      </c>
      <c r="B2405" s="272" t="s">
        <v>22561</v>
      </c>
      <c r="C2405" s="272" t="s">
        <v>108</v>
      </c>
      <c r="D2405" s="273" t="s">
        <v>14069</v>
      </c>
      <c r="E2405" s="274" t="s">
        <v>229</v>
      </c>
    </row>
    <row r="2406" spans="1:5" ht="40.5">
      <c r="A2406" s="271">
        <v>100769</v>
      </c>
      <c r="B2406" s="272" t="s">
        <v>10256</v>
      </c>
      <c r="C2406" s="272" t="s">
        <v>108</v>
      </c>
      <c r="D2406" s="273" t="s">
        <v>16557</v>
      </c>
      <c r="E2406" s="274" t="s">
        <v>229</v>
      </c>
    </row>
    <row r="2407" spans="1:5" ht="40.5">
      <c r="A2407" s="271">
        <v>100770</v>
      </c>
      <c r="B2407" s="272" t="s">
        <v>22562</v>
      </c>
      <c r="C2407" s="272" t="s">
        <v>108</v>
      </c>
      <c r="D2407" s="273" t="s">
        <v>10614</v>
      </c>
      <c r="E2407" s="274" t="s">
        <v>229</v>
      </c>
    </row>
    <row r="2408" spans="1:5" ht="40.5">
      <c r="A2408" s="271">
        <v>100771</v>
      </c>
      <c r="B2408" s="272" t="s">
        <v>10258</v>
      </c>
      <c r="C2408" s="272" t="s">
        <v>108</v>
      </c>
      <c r="D2408" s="273" t="s">
        <v>21562</v>
      </c>
      <c r="E2408" s="274" t="s">
        <v>229</v>
      </c>
    </row>
    <row r="2409" spans="1:5" ht="40.5">
      <c r="A2409" s="271">
        <v>100772</v>
      </c>
      <c r="B2409" s="272" t="s">
        <v>22563</v>
      </c>
      <c r="C2409" s="272" t="s">
        <v>108</v>
      </c>
      <c r="D2409" s="273" t="s">
        <v>11552</v>
      </c>
      <c r="E2409" s="274" t="s">
        <v>229</v>
      </c>
    </row>
    <row r="2410" spans="1:5" ht="40.5">
      <c r="A2410" s="271">
        <v>100773</v>
      </c>
      <c r="B2410" s="272" t="s">
        <v>10259</v>
      </c>
      <c r="C2410" s="272" t="s">
        <v>108</v>
      </c>
      <c r="D2410" s="273" t="s">
        <v>11051</v>
      </c>
      <c r="E2410" s="274" t="s">
        <v>229</v>
      </c>
    </row>
    <row r="2411" spans="1:5" ht="40.5">
      <c r="A2411" s="271">
        <v>100774</v>
      </c>
      <c r="B2411" s="272" t="s">
        <v>10261</v>
      </c>
      <c r="C2411" s="272" t="s">
        <v>108</v>
      </c>
      <c r="D2411" s="273" t="s">
        <v>10003</v>
      </c>
      <c r="E2411" s="274" t="s">
        <v>229</v>
      </c>
    </row>
    <row r="2412" spans="1:5" ht="40.5">
      <c r="A2412" s="271">
        <v>100775</v>
      </c>
      <c r="B2412" s="272" t="s">
        <v>10262</v>
      </c>
      <c r="C2412" s="272" t="s">
        <v>108</v>
      </c>
      <c r="D2412" s="273" t="s">
        <v>15941</v>
      </c>
      <c r="E2412" s="274" t="s">
        <v>229</v>
      </c>
    </row>
    <row r="2413" spans="1:5" ht="40.5">
      <c r="A2413" s="271">
        <v>100776</v>
      </c>
      <c r="B2413" s="272" t="s">
        <v>10264</v>
      </c>
      <c r="C2413" s="272" t="s">
        <v>108</v>
      </c>
      <c r="D2413" s="273" t="s">
        <v>21155</v>
      </c>
      <c r="E2413" s="274" t="s">
        <v>229</v>
      </c>
    </row>
    <row r="2414" spans="1:5" ht="40.5">
      <c r="A2414" s="271">
        <v>100777</v>
      </c>
      <c r="B2414" s="272" t="s">
        <v>10266</v>
      </c>
      <c r="C2414" s="272" t="s">
        <v>108</v>
      </c>
      <c r="D2414" s="273" t="s">
        <v>20730</v>
      </c>
      <c r="E2414" s="274" t="s">
        <v>229</v>
      </c>
    </row>
    <row r="2415" spans="1:5" ht="40.5">
      <c r="A2415" s="271">
        <v>100778</v>
      </c>
      <c r="B2415" s="272" t="s">
        <v>10268</v>
      </c>
      <c r="C2415" s="272" t="s">
        <v>108</v>
      </c>
      <c r="D2415" s="273" t="s">
        <v>9782</v>
      </c>
      <c r="E2415" s="274" t="s">
        <v>229</v>
      </c>
    </row>
    <row r="2416" spans="1:5" ht="27">
      <c r="A2416" s="271">
        <v>98560</v>
      </c>
      <c r="B2416" s="272" t="s">
        <v>4079</v>
      </c>
      <c r="C2416" s="272" t="s">
        <v>193</v>
      </c>
      <c r="D2416" s="273" t="s">
        <v>22564</v>
      </c>
      <c r="E2416" s="274" t="s">
        <v>229</v>
      </c>
    </row>
    <row r="2417" spans="1:5" ht="27">
      <c r="A2417" s="271">
        <v>98561</v>
      </c>
      <c r="B2417" s="272" t="s">
        <v>4080</v>
      </c>
      <c r="C2417" s="272" t="s">
        <v>193</v>
      </c>
      <c r="D2417" s="273" t="s">
        <v>16030</v>
      </c>
      <c r="E2417" s="274" t="s">
        <v>229</v>
      </c>
    </row>
    <row r="2418" spans="1:5" ht="27">
      <c r="A2418" s="271">
        <v>98562</v>
      </c>
      <c r="B2418" s="272" t="s">
        <v>4081</v>
      </c>
      <c r="C2418" s="272" t="s">
        <v>193</v>
      </c>
      <c r="D2418" s="273" t="s">
        <v>16088</v>
      </c>
      <c r="E2418" s="274" t="s">
        <v>229</v>
      </c>
    </row>
    <row r="2419" spans="1:5" ht="27">
      <c r="A2419" s="271">
        <v>98555</v>
      </c>
      <c r="B2419" s="272" t="s">
        <v>4082</v>
      </c>
      <c r="C2419" s="272" t="s">
        <v>193</v>
      </c>
      <c r="D2419" s="273" t="s">
        <v>22565</v>
      </c>
      <c r="E2419" s="274" t="s">
        <v>229</v>
      </c>
    </row>
    <row r="2420" spans="1:5" ht="27">
      <c r="A2420" s="271">
        <v>98556</v>
      </c>
      <c r="B2420" s="272" t="s">
        <v>4083</v>
      </c>
      <c r="C2420" s="272" t="s">
        <v>193</v>
      </c>
      <c r="D2420" s="273" t="s">
        <v>12306</v>
      </c>
      <c r="E2420" s="274" t="s">
        <v>229</v>
      </c>
    </row>
    <row r="2421" spans="1:5" ht="27">
      <c r="A2421" s="271">
        <v>98558</v>
      </c>
      <c r="B2421" s="272" t="s">
        <v>4084</v>
      </c>
      <c r="C2421" s="272" t="s">
        <v>109</v>
      </c>
      <c r="D2421" s="273" t="s">
        <v>16255</v>
      </c>
      <c r="E2421" s="274" t="s">
        <v>229</v>
      </c>
    </row>
    <row r="2422" spans="1:5" ht="13.5">
      <c r="A2422" s="271">
        <v>98559</v>
      </c>
      <c r="B2422" s="272" t="s">
        <v>4085</v>
      </c>
      <c r="C2422" s="272" t="s">
        <v>5</v>
      </c>
      <c r="D2422" s="273" t="s">
        <v>10055</v>
      </c>
      <c r="E2422" s="274" t="s">
        <v>229</v>
      </c>
    </row>
    <row r="2423" spans="1:5" ht="27">
      <c r="A2423" s="271">
        <v>98546</v>
      </c>
      <c r="B2423" s="272" t="s">
        <v>4086</v>
      </c>
      <c r="C2423" s="272" t="s">
        <v>193</v>
      </c>
      <c r="D2423" s="273" t="s">
        <v>16098</v>
      </c>
      <c r="E2423" s="274" t="s">
        <v>229</v>
      </c>
    </row>
    <row r="2424" spans="1:5" ht="27">
      <c r="A2424" s="271">
        <v>98547</v>
      </c>
      <c r="B2424" s="272" t="s">
        <v>4087</v>
      </c>
      <c r="C2424" s="272" t="s">
        <v>193</v>
      </c>
      <c r="D2424" s="273" t="s">
        <v>22566</v>
      </c>
      <c r="E2424" s="274" t="s">
        <v>229</v>
      </c>
    </row>
    <row r="2425" spans="1:5" ht="27">
      <c r="A2425" s="271">
        <v>98553</v>
      </c>
      <c r="B2425" s="272" t="s">
        <v>10272</v>
      </c>
      <c r="C2425" s="272" t="s">
        <v>193</v>
      </c>
      <c r="D2425" s="273" t="s">
        <v>16612</v>
      </c>
      <c r="E2425" s="274" t="s">
        <v>229</v>
      </c>
    </row>
    <row r="2426" spans="1:5" ht="27">
      <c r="A2426" s="271">
        <v>98554</v>
      </c>
      <c r="B2426" s="272" t="s">
        <v>10273</v>
      </c>
      <c r="C2426" s="272" t="s">
        <v>193</v>
      </c>
      <c r="D2426" s="273" t="s">
        <v>12418</v>
      </c>
      <c r="E2426" s="274" t="s">
        <v>229</v>
      </c>
    </row>
    <row r="2427" spans="1:5" ht="13.5">
      <c r="A2427" s="271">
        <v>98557</v>
      </c>
      <c r="B2427" s="272" t="s">
        <v>4088</v>
      </c>
      <c r="C2427" s="272" t="s">
        <v>193</v>
      </c>
      <c r="D2427" s="273" t="s">
        <v>22567</v>
      </c>
      <c r="E2427" s="274" t="s">
        <v>229</v>
      </c>
    </row>
    <row r="2428" spans="1:5" ht="27">
      <c r="A2428" s="271">
        <v>98563</v>
      </c>
      <c r="B2428" s="272" t="s">
        <v>4089</v>
      </c>
      <c r="C2428" s="272" t="s">
        <v>193</v>
      </c>
      <c r="D2428" s="273" t="s">
        <v>11205</v>
      </c>
      <c r="E2428" s="274" t="s">
        <v>229</v>
      </c>
    </row>
    <row r="2429" spans="1:5" ht="27">
      <c r="A2429" s="271">
        <v>98564</v>
      </c>
      <c r="B2429" s="272" t="s">
        <v>4090</v>
      </c>
      <c r="C2429" s="272" t="s">
        <v>193</v>
      </c>
      <c r="D2429" s="273" t="s">
        <v>12133</v>
      </c>
      <c r="E2429" s="274" t="s">
        <v>229</v>
      </c>
    </row>
    <row r="2430" spans="1:5" ht="27">
      <c r="A2430" s="271">
        <v>98565</v>
      </c>
      <c r="B2430" s="272" t="s">
        <v>4091</v>
      </c>
      <c r="C2430" s="272" t="s">
        <v>193</v>
      </c>
      <c r="D2430" s="273" t="s">
        <v>22568</v>
      </c>
      <c r="E2430" s="274" t="s">
        <v>229</v>
      </c>
    </row>
    <row r="2431" spans="1:5" ht="27">
      <c r="A2431" s="271">
        <v>98566</v>
      </c>
      <c r="B2431" s="272" t="s">
        <v>4092</v>
      </c>
      <c r="C2431" s="272" t="s">
        <v>193</v>
      </c>
      <c r="D2431" s="273" t="s">
        <v>22569</v>
      </c>
      <c r="E2431" s="274" t="s">
        <v>229</v>
      </c>
    </row>
    <row r="2432" spans="1:5" ht="27">
      <c r="A2432" s="271">
        <v>98567</v>
      </c>
      <c r="B2432" s="272" t="s">
        <v>4093</v>
      </c>
      <c r="C2432" s="272" t="s">
        <v>193</v>
      </c>
      <c r="D2432" s="273" t="s">
        <v>14163</v>
      </c>
      <c r="E2432" s="274" t="s">
        <v>229</v>
      </c>
    </row>
    <row r="2433" spans="1:5" ht="27">
      <c r="A2433" s="271">
        <v>98568</v>
      </c>
      <c r="B2433" s="272" t="s">
        <v>4094</v>
      </c>
      <c r="C2433" s="272" t="s">
        <v>193</v>
      </c>
      <c r="D2433" s="273" t="s">
        <v>22570</v>
      </c>
      <c r="E2433" s="274" t="s">
        <v>229</v>
      </c>
    </row>
    <row r="2434" spans="1:5" ht="27">
      <c r="A2434" s="271">
        <v>98569</v>
      </c>
      <c r="B2434" s="272" t="s">
        <v>4095</v>
      </c>
      <c r="C2434" s="272" t="s">
        <v>193</v>
      </c>
      <c r="D2434" s="273" t="s">
        <v>21616</v>
      </c>
      <c r="E2434" s="274" t="s">
        <v>229</v>
      </c>
    </row>
    <row r="2435" spans="1:5" ht="27">
      <c r="A2435" s="271">
        <v>98570</v>
      </c>
      <c r="B2435" s="272" t="s">
        <v>4096</v>
      </c>
      <c r="C2435" s="272" t="s">
        <v>193</v>
      </c>
      <c r="D2435" s="273" t="s">
        <v>22571</v>
      </c>
      <c r="E2435" s="274" t="s">
        <v>229</v>
      </c>
    </row>
    <row r="2436" spans="1:5" ht="13.5">
      <c r="A2436" s="271">
        <v>98571</v>
      </c>
      <c r="B2436" s="272" t="s">
        <v>4097</v>
      </c>
      <c r="C2436" s="272" t="s">
        <v>193</v>
      </c>
      <c r="D2436" s="273" t="s">
        <v>14273</v>
      </c>
      <c r="E2436" s="274" t="s">
        <v>229</v>
      </c>
    </row>
    <row r="2437" spans="1:5" ht="13.5">
      <c r="A2437" s="271">
        <v>98572</v>
      </c>
      <c r="B2437" s="272" t="s">
        <v>4098</v>
      </c>
      <c r="C2437" s="272" t="s">
        <v>193</v>
      </c>
      <c r="D2437" s="273" t="s">
        <v>20415</v>
      </c>
      <c r="E2437" s="274" t="s">
        <v>229</v>
      </c>
    </row>
    <row r="2438" spans="1:5" ht="13.5">
      <c r="A2438" s="271">
        <v>98573</v>
      </c>
      <c r="B2438" s="272" t="s">
        <v>4099</v>
      </c>
      <c r="C2438" s="272" t="s">
        <v>193</v>
      </c>
      <c r="D2438" s="273" t="s">
        <v>19668</v>
      </c>
      <c r="E2438" s="274" t="s">
        <v>229</v>
      </c>
    </row>
    <row r="2439" spans="1:5" ht="27">
      <c r="A2439" s="271">
        <v>91831</v>
      </c>
      <c r="B2439" s="272" t="s">
        <v>1513</v>
      </c>
      <c r="C2439" s="272" t="s">
        <v>5</v>
      </c>
      <c r="D2439" s="273" t="s">
        <v>10297</v>
      </c>
      <c r="E2439" s="274" t="s">
        <v>229</v>
      </c>
    </row>
    <row r="2440" spans="1:5" ht="27">
      <c r="A2440" s="271">
        <v>91833</v>
      </c>
      <c r="B2440" s="272" t="s">
        <v>4100</v>
      </c>
      <c r="C2440" s="272" t="s">
        <v>5</v>
      </c>
      <c r="D2440" s="273" t="s">
        <v>12182</v>
      </c>
      <c r="E2440" s="274" t="s">
        <v>229</v>
      </c>
    </row>
    <row r="2441" spans="1:5" ht="27">
      <c r="A2441" s="271">
        <v>91834</v>
      </c>
      <c r="B2441" s="272" t="s">
        <v>1514</v>
      </c>
      <c r="C2441" s="272" t="s">
        <v>5</v>
      </c>
      <c r="D2441" s="273" t="s">
        <v>11146</v>
      </c>
      <c r="E2441" s="274" t="s">
        <v>229</v>
      </c>
    </row>
    <row r="2442" spans="1:5" ht="27">
      <c r="A2442" s="271">
        <v>91835</v>
      </c>
      <c r="B2442" s="272" t="s">
        <v>4101</v>
      </c>
      <c r="C2442" s="272" t="s">
        <v>5</v>
      </c>
      <c r="D2442" s="273" t="s">
        <v>15942</v>
      </c>
      <c r="E2442" s="274" t="s">
        <v>229</v>
      </c>
    </row>
    <row r="2443" spans="1:5" ht="27">
      <c r="A2443" s="271">
        <v>91836</v>
      </c>
      <c r="B2443" s="272" t="s">
        <v>1515</v>
      </c>
      <c r="C2443" s="272" t="s">
        <v>5</v>
      </c>
      <c r="D2443" s="273" t="s">
        <v>10501</v>
      </c>
      <c r="E2443" s="274" t="s">
        <v>229</v>
      </c>
    </row>
    <row r="2444" spans="1:5" ht="27">
      <c r="A2444" s="271">
        <v>91837</v>
      </c>
      <c r="B2444" s="272" t="s">
        <v>4102</v>
      </c>
      <c r="C2444" s="272" t="s">
        <v>5</v>
      </c>
      <c r="D2444" s="273" t="s">
        <v>19321</v>
      </c>
      <c r="E2444" s="274" t="s">
        <v>229</v>
      </c>
    </row>
    <row r="2445" spans="1:5" ht="27">
      <c r="A2445" s="271">
        <v>91839</v>
      </c>
      <c r="B2445" s="272" t="s">
        <v>4103</v>
      </c>
      <c r="C2445" s="272" t="s">
        <v>5</v>
      </c>
      <c r="D2445" s="273" t="s">
        <v>11310</v>
      </c>
      <c r="E2445" s="274" t="s">
        <v>229</v>
      </c>
    </row>
    <row r="2446" spans="1:5" ht="27">
      <c r="A2446" s="271">
        <v>91840</v>
      </c>
      <c r="B2446" s="272" t="s">
        <v>4104</v>
      </c>
      <c r="C2446" s="272" t="s">
        <v>5</v>
      </c>
      <c r="D2446" s="273" t="s">
        <v>11328</v>
      </c>
      <c r="E2446" s="274" t="s">
        <v>229</v>
      </c>
    </row>
    <row r="2447" spans="1:5" ht="27">
      <c r="A2447" s="271">
        <v>91841</v>
      </c>
      <c r="B2447" s="272" t="s">
        <v>4105</v>
      </c>
      <c r="C2447" s="272" t="s">
        <v>5</v>
      </c>
      <c r="D2447" s="273" t="s">
        <v>14183</v>
      </c>
      <c r="E2447" s="274" t="s">
        <v>229</v>
      </c>
    </row>
    <row r="2448" spans="1:5" ht="27">
      <c r="A2448" s="271">
        <v>91842</v>
      </c>
      <c r="B2448" s="272" t="s">
        <v>1516</v>
      </c>
      <c r="C2448" s="272" t="s">
        <v>5</v>
      </c>
      <c r="D2448" s="273" t="s">
        <v>9799</v>
      </c>
      <c r="E2448" s="274" t="s">
        <v>229</v>
      </c>
    </row>
    <row r="2449" spans="1:5" ht="27">
      <c r="A2449" s="271">
        <v>91843</v>
      </c>
      <c r="B2449" s="272" t="s">
        <v>4106</v>
      </c>
      <c r="C2449" s="272" t="s">
        <v>5</v>
      </c>
      <c r="D2449" s="273" t="s">
        <v>22572</v>
      </c>
      <c r="E2449" s="274" t="s">
        <v>229</v>
      </c>
    </row>
    <row r="2450" spans="1:5" ht="27">
      <c r="A2450" s="271">
        <v>91844</v>
      </c>
      <c r="B2450" s="272" t="s">
        <v>1517</v>
      </c>
      <c r="C2450" s="272" t="s">
        <v>5</v>
      </c>
      <c r="D2450" s="273" t="s">
        <v>9800</v>
      </c>
      <c r="E2450" s="274" t="s">
        <v>229</v>
      </c>
    </row>
    <row r="2451" spans="1:5" ht="27">
      <c r="A2451" s="271">
        <v>91845</v>
      </c>
      <c r="B2451" s="272" t="s">
        <v>4107</v>
      </c>
      <c r="C2451" s="272" t="s">
        <v>5</v>
      </c>
      <c r="D2451" s="273" t="s">
        <v>22573</v>
      </c>
      <c r="E2451" s="274" t="s">
        <v>229</v>
      </c>
    </row>
    <row r="2452" spans="1:5" ht="27">
      <c r="A2452" s="271">
        <v>91846</v>
      </c>
      <c r="B2452" s="272" t="s">
        <v>1518</v>
      </c>
      <c r="C2452" s="272" t="s">
        <v>5</v>
      </c>
      <c r="D2452" s="273" t="s">
        <v>12260</v>
      </c>
      <c r="E2452" s="274" t="s">
        <v>229</v>
      </c>
    </row>
    <row r="2453" spans="1:5" ht="27">
      <c r="A2453" s="271">
        <v>91847</v>
      </c>
      <c r="B2453" s="272" t="s">
        <v>4108</v>
      </c>
      <c r="C2453" s="272" t="s">
        <v>5</v>
      </c>
      <c r="D2453" s="273" t="s">
        <v>10356</v>
      </c>
      <c r="E2453" s="274" t="s">
        <v>229</v>
      </c>
    </row>
    <row r="2454" spans="1:5" ht="27">
      <c r="A2454" s="271">
        <v>91849</v>
      </c>
      <c r="B2454" s="272" t="s">
        <v>4109</v>
      </c>
      <c r="C2454" s="272" t="s">
        <v>5</v>
      </c>
      <c r="D2454" s="273" t="s">
        <v>16410</v>
      </c>
      <c r="E2454" s="274" t="s">
        <v>229</v>
      </c>
    </row>
    <row r="2455" spans="1:5" ht="27">
      <c r="A2455" s="271">
        <v>91850</v>
      </c>
      <c r="B2455" s="272" t="s">
        <v>4110</v>
      </c>
      <c r="C2455" s="272" t="s">
        <v>5</v>
      </c>
      <c r="D2455" s="273" t="s">
        <v>20666</v>
      </c>
      <c r="E2455" s="274" t="s">
        <v>229</v>
      </c>
    </row>
    <row r="2456" spans="1:5" ht="27">
      <c r="A2456" s="271">
        <v>91851</v>
      </c>
      <c r="B2456" s="272" t="s">
        <v>4111</v>
      </c>
      <c r="C2456" s="272" t="s">
        <v>5</v>
      </c>
      <c r="D2456" s="273" t="s">
        <v>10526</v>
      </c>
      <c r="E2456" s="274" t="s">
        <v>229</v>
      </c>
    </row>
    <row r="2457" spans="1:5" ht="27">
      <c r="A2457" s="271">
        <v>91852</v>
      </c>
      <c r="B2457" s="272" t="s">
        <v>1519</v>
      </c>
      <c r="C2457" s="272" t="s">
        <v>5</v>
      </c>
      <c r="D2457" s="273" t="s">
        <v>9761</v>
      </c>
      <c r="E2457" s="274" t="s">
        <v>229</v>
      </c>
    </row>
    <row r="2458" spans="1:5" ht="27">
      <c r="A2458" s="271">
        <v>91853</v>
      </c>
      <c r="B2458" s="272" t="s">
        <v>4112</v>
      </c>
      <c r="C2458" s="272" t="s">
        <v>5</v>
      </c>
      <c r="D2458" s="273" t="s">
        <v>9818</v>
      </c>
      <c r="E2458" s="274" t="s">
        <v>229</v>
      </c>
    </row>
    <row r="2459" spans="1:5" ht="27">
      <c r="A2459" s="271">
        <v>91854</v>
      </c>
      <c r="B2459" s="272" t="s">
        <v>1520</v>
      </c>
      <c r="C2459" s="272" t="s">
        <v>5</v>
      </c>
      <c r="D2459" s="273" t="s">
        <v>14073</v>
      </c>
      <c r="E2459" s="274" t="s">
        <v>229</v>
      </c>
    </row>
    <row r="2460" spans="1:5" ht="27">
      <c r="A2460" s="271">
        <v>91855</v>
      </c>
      <c r="B2460" s="272" t="s">
        <v>4113</v>
      </c>
      <c r="C2460" s="272" t="s">
        <v>5</v>
      </c>
      <c r="D2460" s="273" t="s">
        <v>10570</v>
      </c>
      <c r="E2460" s="274" t="s">
        <v>229</v>
      </c>
    </row>
    <row r="2461" spans="1:5" ht="27">
      <c r="A2461" s="271">
        <v>91856</v>
      </c>
      <c r="B2461" s="272" t="s">
        <v>1521</v>
      </c>
      <c r="C2461" s="272" t="s">
        <v>5</v>
      </c>
      <c r="D2461" s="273" t="s">
        <v>9912</v>
      </c>
      <c r="E2461" s="274" t="s">
        <v>229</v>
      </c>
    </row>
    <row r="2462" spans="1:5" ht="27">
      <c r="A2462" s="271">
        <v>91857</v>
      </c>
      <c r="B2462" s="272" t="s">
        <v>4114</v>
      </c>
      <c r="C2462" s="272" t="s">
        <v>5</v>
      </c>
      <c r="D2462" s="273" t="s">
        <v>9731</v>
      </c>
      <c r="E2462" s="274" t="s">
        <v>229</v>
      </c>
    </row>
    <row r="2463" spans="1:5" ht="27">
      <c r="A2463" s="271">
        <v>91859</v>
      </c>
      <c r="B2463" s="272" t="s">
        <v>4115</v>
      </c>
      <c r="C2463" s="272" t="s">
        <v>5</v>
      </c>
      <c r="D2463" s="273" t="s">
        <v>10343</v>
      </c>
      <c r="E2463" s="274" t="s">
        <v>229</v>
      </c>
    </row>
    <row r="2464" spans="1:5" ht="27">
      <c r="A2464" s="271">
        <v>91860</v>
      </c>
      <c r="B2464" s="272" t="s">
        <v>4116</v>
      </c>
      <c r="C2464" s="272" t="s">
        <v>5</v>
      </c>
      <c r="D2464" s="273" t="s">
        <v>15943</v>
      </c>
      <c r="E2464" s="274" t="s">
        <v>229</v>
      </c>
    </row>
    <row r="2465" spans="1:5" ht="27">
      <c r="A2465" s="271">
        <v>91861</v>
      </c>
      <c r="B2465" s="272" t="s">
        <v>4117</v>
      </c>
      <c r="C2465" s="272" t="s">
        <v>5</v>
      </c>
      <c r="D2465" s="273" t="s">
        <v>21567</v>
      </c>
      <c r="E2465" s="274" t="s">
        <v>229</v>
      </c>
    </row>
    <row r="2466" spans="1:5" ht="27">
      <c r="A2466" s="271">
        <v>91862</v>
      </c>
      <c r="B2466" s="272" t="s">
        <v>1522</v>
      </c>
      <c r="C2466" s="272" t="s">
        <v>5</v>
      </c>
      <c r="D2466" s="273" t="s">
        <v>10521</v>
      </c>
      <c r="E2466" s="274" t="s">
        <v>229</v>
      </c>
    </row>
    <row r="2467" spans="1:5" ht="27">
      <c r="A2467" s="271">
        <v>91863</v>
      </c>
      <c r="B2467" s="272" t="s">
        <v>1523</v>
      </c>
      <c r="C2467" s="272" t="s">
        <v>5</v>
      </c>
      <c r="D2467" s="273" t="s">
        <v>12218</v>
      </c>
      <c r="E2467" s="274" t="s">
        <v>229</v>
      </c>
    </row>
    <row r="2468" spans="1:5" ht="27">
      <c r="A2468" s="271">
        <v>91864</v>
      </c>
      <c r="B2468" s="272" t="s">
        <v>1524</v>
      </c>
      <c r="C2468" s="272" t="s">
        <v>5</v>
      </c>
      <c r="D2468" s="273" t="s">
        <v>16704</v>
      </c>
      <c r="E2468" s="274" t="s">
        <v>229</v>
      </c>
    </row>
    <row r="2469" spans="1:5" ht="27">
      <c r="A2469" s="271">
        <v>91865</v>
      </c>
      <c r="B2469" s="272" t="s">
        <v>1525</v>
      </c>
      <c r="C2469" s="272" t="s">
        <v>5</v>
      </c>
      <c r="D2469" s="273" t="s">
        <v>16683</v>
      </c>
      <c r="E2469" s="274" t="s">
        <v>229</v>
      </c>
    </row>
    <row r="2470" spans="1:5" ht="27">
      <c r="A2470" s="271">
        <v>91866</v>
      </c>
      <c r="B2470" s="272" t="s">
        <v>1526</v>
      </c>
      <c r="C2470" s="272" t="s">
        <v>5</v>
      </c>
      <c r="D2470" s="273" t="s">
        <v>21566</v>
      </c>
      <c r="E2470" s="274" t="s">
        <v>229</v>
      </c>
    </row>
    <row r="2471" spans="1:5" ht="27">
      <c r="A2471" s="271">
        <v>91867</v>
      </c>
      <c r="B2471" s="272" t="s">
        <v>264</v>
      </c>
      <c r="C2471" s="272" t="s">
        <v>5</v>
      </c>
      <c r="D2471" s="273" t="s">
        <v>10532</v>
      </c>
      <c r="E2471" s="274" t="s">
        <v>229</v>
      </c>
    </row>
    <row r="2472" spans="1:5" ht="27">
      <c r="A2472" s="271">
        <v>91868</v>
      </c>
      <c r="B2472" s="272" t="s">
        <v>1527</v>
      </c>
      <c r="C2472" s="272" t="s">
        <v>5</v>
      </c>
      <c r="D2472" s="273" t="s">
        <v>11270</v>
      </c>
      <c r="E2472" s="274" t="s">
        <v>229</v>
      </c>
    </row>
    <row r="2473" spans="1:5" ht="27">
      <c r="A2473" s="271">
        <v>91869</v>
      </c>
      <c r="B2473" s="272" t="s">
        <v>1528</v>
      </c>
      <c r="C2473" s="272" t="s">
        <v>5</v>
      </c>
      <c r="D2473" s="273" t="s">
        <v>11460</v>
      </c>
      <c r="E2473" s="274" t="s">
        <v>229</v>
      </c>
    </row>
    <row r="2474" spans="1:5" ht="27">
      <c r="A2474" s="271">
        <v>91870</v>
      </c>
      <c r="B2474" s="272" t="s">
        <v>1529</v>
      </c>
      <c r="C2474" s="272" t="s">
        <v>5</v>
      </c>
      <c r="D2474" s="273" t="s">
        <v>16038</v>
      </c>
      <c r="E2474" s="274" t="s">
        <v>229</v>
      </c>
    </row>
    <row r="2475" spans="1:5" ht="27">
      <c r="A2475" s="271">
        <v>91871</v>
      </c>
      <c r="B2475" s="272" t="s">
        <v>265</v>
      </c>
      <c r="C2475" s="272" t="s">
        <v>5</v>
      </c>
      <c r="D2475" s="273" t="s">
        <v>12229</v>
      </c>
      <c r="E2475" s="274" t="s">
        <v>229</v>
      </c>
    </row>
    <row r="2476" spans="1:5" ht="27">
      <c r="A2476" s="271">
        <v>91872</v>
      </c>
      <c r="B2476" s="272" t="s">
        <v>266</v>
      </c>
      <c r="C2476" s="272" t="s">
        <v>5</v>
      </c>
      <c r="D2476" s="273" t="s">
        <v>10539</v>
      </c>
      <c r="E2476" s="274" t="s">
        <v>229</v>
      </c>
    </row>
    <row r="2477" spans="1:5" ht="27">
      <c r="A2477" s="271">
        <v>91873</v>
      </c>
      <c r="B2477" s="272" t="s">
        <v>275</v>
      </c>
      <c r="C2477" s="272" t="s">
        <v>5</v>
      </c>
      <c r="D2477" s="273" t="s">
        <v>10630</v>
      </c>
      <c r="E2477" s="274" t="s">
        <v>229</v>
      </c>
    </row>
    <row r="2478" spans="1:5" ht="27">
      <c r="A2478" s="271">
        <v>93008</v>
      </c>
      <c r="B2478" s="272" t="s">
        <v>1530</v>
      </c>
      <c r="C2478" s="272" t="s">
        <v>5</v>
      </c>
      <c r="D2478" s="273" t="s">
        <v>11271</v>
      </c>
      <c r="E2478" s="274" t="s">
        <v>229</v>
      </c>
    </row>
    <row r="2479" spans="1:5" ht="27">
      <c r="A2479" s="271">
        <v>93009</v>
      </c>
      <c r="B2479" s="272" t="s">
        <v>1531</v>
      </c>
      <c r="C2479" s="272" t="s">
        <v>5</v>
      </c>
      <c r="D2479" s="273" t="s">
        <v>11415</v>
      </c>
      <c r="E2479" s="274" t="s">
        <v>229</v>
      </c>
    </row>
    <row r="2480" spans="1:5" ht="27">
      <c r="A2480" s="271">
        <v>93010</v>
      </c>
      <c r="B2480" s="272" t="s">
        <v>1532</v>
      </c>
      <c r="C2480" s="272" t="s">
        <v>5</v>
      </c>
      <c r="D2480" s="273" t="s">
        <v>22574</v>
      </c>
      <c r="E2480" s="274" t="s">
        <v>229</v>
      </c>
    </row>
    <row r="2481" spans="1:5" ht="27">
      <c r="A2481" s="271">
        <v>93011</v>
      </c>
      <c r="B2481" s="272" t="s">
        <v>1533</v>
      </c>
      <c r="C2481" s="272" t="s">
        <v>5</v>
      </c>
      <c r="D2481" s="273" t="s">
        <v>14187</v>
      </c>
      <c r="E2481" s="274" t="s">
        <v>229</v>
      </c>
    </row>
    <row r="2482" spans="1:5" ht="27">
      <c r="A2482" s="271">
        <v>93012</v>
      </c>
      <c r="B2482" s="272" t="s">
        <v>1534</v>
      </c>
      <c r="C2482" s="272" t="s">
        <v>5</v>
      </c>
      <c r="D2482" s="273" t="s">
        <v>16032</v>
      </c>
      <c r="E2482" s="274" t="s">
        <v>229</v>
      </c>
    </row>
    <row r="2483" spans="1:5" ht="27">
      <c r="A2483" s="271">
        <v>95726</v>
      </c>
      <c r="B2483" s="272" t="s">
        <v>1535</v>
      </c>
      <c r="C2483" s="272" t="s">
        <v>5</v>
      </c>
      <c r="D2483" s="273" t="s">
        <v>9729</v>
      </c>
      <c r="E2483" s="274" t="s">
        <v>229</v>
      </c>
    </row>
    <row r="2484" spans="1:5" ht="27">
      <c r="A2484" s="271">
        <v>95727</v>
      </c>
      <c r="B2484" s="272" t="s">
        <v>1536</v>
      </c>
      <c r="C2484" s="272" t="s">
        <v>5</v>
      </c>
      <c r="D2484" s="273" t="s">
        <v>11504</v>
      </c>
      <c r="E2484" s="274" t="s">
        <v>229</v>
      </c>
    </row>
    <row r="2485" spans="1:5" ht="27">
      <c r="A2485" s="271">
        <v>95728</v>
      </c>
      <c r="B2485" s="272" t="s">
        <v>1537</v>
      </c>
      <c r="C2485" s="272" t="s">
        <v>5</v>
      </c>
      <c r="D2485" s="273" t="s">
        <v>10238</v>
      </c>
      <c r="E2485" s="274" t="s">
        <v>229</v>
      </c>
    </row>
    <row r="2486" spans="1:5" ht="27">
      <c r="A2486" s="271">
        <v>95729</v>
      </c>
      <c r="B2486" s="272" t="s">
        <v>1538</v>
      </c>
      <c r="C2486" s="272" t="s">
        <v>5</v>
      </c>
      <c r="D2486" s="273" t="s">
        <v>10278</v>
      </c>
      <c r="E2486" s="274" t="s">
        <v>229</v>
      </c>
    </row>
    <row r="2487" spans="1:5" ht="27">
      <c r="A2487" s="271">
        <v>95730</v>
      </c>
      <c r="B2487" s="272" t="s">
        <v>1539</v>
      </c>
      <c r="C2487" s="272" t="s">
        <v>5</v>
      </c>
      <c r="D2487" s="273" t="s">
        <v>10540</v>
      </c>
      <c r="E2487" s="274" t="s">
        <v>229</v>
      </c>
    </row>
    <row r="2488" spans="1:5" ht="27">
      <c r="A2488" s="271">
        <v>95731</v>
      </c>
      <c r="B2488" s="272" t="s">
        <v>1540</v>
      </c>
      <c r="C2488" s="272" t="s">
        <v>5</v>
      </c>
      <c r="D2488" s="273" t="s">
        <v>11397</v>
      </c>
      <c r="E2488" s="274" t="s">
        <v>229</v>
      </c>
    </row>
    <row r="2489" spans="1:5" ht="27">
      <c r="A2489" s="271">
        <v>95732</v>
      </c>
      <c r="B2489" s="272" t="s">
        <v>1541</v>
      </c>
      <c r="C2489" s="272" t="s">
        <v>109</v>
      </c>
      <c r="D2489" s="273" t="s">
        <v>10954</v>
      </c>
      <c r="E2489" s="274" t="s">
        <v>229</v>
      </c>
    </row>
    <row r="2490" spans="1:5" ht="27">
      <c r="A2490" s="271">
        <v>95745</v>
      </c>
      <c r="B2490" s="272" t="s">
        <v>1542</v>
      </c>
      <c r="C2490" s="272" t="s">
        <v>5</v>
      </c>
      <c r="D2490" s="273" t="s">
        <v>22575</v>
      </c>
      <c r="E2490" s="274" t="s">
        <v>229</v>
      </c>
    </row>
    <row r="2491" spans="1:5" ht="27">
      <c r="A2491" s="271">
        <v>95746</v>
      </c>
      <c r="B2491" s="272" t="s">
        <v>1543</v>
      </c>
      <c r="C2491" s="272" t="s">
        <v>5</v>
      </c>
      <c r="D2491" s="273" t="s">
        <v>15921</v>
      </c>
      <c r="E2491" s="274" t="s">
        <v>229</v>
      </c>
    </row>
    <row r="2492" spans="1:5" ht="27">
      <c r="A2492" s="271">
        <v>95747</v>
      </c>
      <c r="B2492" s="272" t="s">
        <v>1544</v>
      </c>
      <c r="C2492" s="272" t="s">
        <v>5</v>
      </c>
      <c r="D2492" s="273" t="s">
        <v>22576</v>
      </c>
      <c r="E2492" s="274" t="s">
        <v>229</v>
      </c>
    </row>
    <row r="2493" spans="1:5" ht="27">
      <c r="A2493" s="271">
        <v>95748</v>
      </c>
      <c r="B2493" s="272" t="s">
        <v>1545</v>
      </c>
      <c r="C2493" s="272" t="s">
        <v>5</v>
      </c>
      <c r="D2493" s="273" t="s">
        <v>15997</v>
      </c>
      <c r="E2493" s="274" t="s">
        <v>229</v>
      </c>
    </row>
    <row r="2494" spans="1:5" ht="27">
      <c r="A2494" s="271">
        <v>95749</v>
      </c>
      <c r="B2494" s="272" t="s">
        <v>1546</v>
      </c>
      <c r="C2494" s="272" t="s">
        <v>5</v>
      </c>
      <c r="D2494" s="273" t="s">
        <v>12438</v>
      </c>
      <c r="E2494" s="274" t="s">
        <v>229</v>
      </c>
    </row>
    <row r="2495" spans="1:5" ht="27">
      <c r="A2495" s="271">
        <v>95750</v>
      </c>
      <c r="B2495" s="272" t="s">
        <v>1547</v>
      </c>
      <c r="C2495" s="272" t="s">
        <v>5</v>
      </c>
      <c r="D2495" s="273" t="s">
        <v>12402</v>
      </c>
      <c r="E2495" s="274" t="s">
        <v>229</v>
      </c>
    </row>
    <row r="2496" spans="1:5" ht="27">
      <c r="A2496" s="271">
        <v>95751</v>
      </c>
      <c r="B2496" s="272" t="s">
        <v>1548</v>
      </c>
      <c r="C2496" s="272" t="s">
        <v>5</v>
      </c>
      <c r="D2496" s="273" t="s">
        <v>16161</v>
      </c>
      <c r="E2496" s="274" t="s">
        <v>229</v>
      </c>
    </row>
    <row r="2497" spans="1:5" ht="27">
      <c r="A2497" s="271">
        <v>95752</v>
      </c>
      <c r="B2497" s="272" t="s">
        <v>1549</v>
      </c>
      <c r="C2497" s="272" t="s">
        <v>5</v>
      </c>
      <c r="D2497" s="273" t="s">
        <v>16314</v>
      </c>
      <c r="E2497" s="274" t="s">
        <v>229</v>
      </c>
    </row>
    <row r="2498" spans="1:5" ht="27">
      <c r="A2498" s="271">
        <v>97667</v>
      </c>
      <c r="B2498" s="272" t="s">
        <v>4118</v>
      </c>
      <c r="C2498" s="272" t="s">
        <v>5</v>
      </c>
      <c r="D2498" s="273" t="s">
        <v>22577</v>
      </c>
      <c r="E2498" s="274" t="s">
        <v>229</v>
      </c>
    </row>
    <row r="2499" spans="1:5" ht="27">
      <c r="A2499" s="271">
        <v>97668</v>
      </c>
      <c r="B2499" s="272" t="s">
        <v>4119</v>
      </c>
      <c r="C2499" s="272" t="s">
        <v>5</v>
      </c>
      <c r="D2499" s="273" t="s">
        <v>11537</v>
      </c>
      <c r="E2499" s="274" t="s">
        <v>229</v>
      </c>
    </row>
    <row r="2500" spans="1:5" ht="27">
      <c r="A2500" s="271">
        <v>97669</v>
      </c>
      <c r="B2500" s="272" t="s">
        <v>4120</v>
      </c>
      <c r="C2500" s="272" t="s">
        <v>5</v>
      </c>
      <c r="D2500" s="273" t="s">
        <v>10993</v>
      </c>
      <c r="E2500" s="274" t="s">
        <v>229</v>
      </c>
    </row>
    <row r="2501" spans="1:5" ht="27">
      <c r="A2501" s="271">
        <v>97670</v>
      </c>
      <c r="B2501" s="272" t="s">
        <v>4121</v>
      </c>
      <c r="C2501" s="272" t="s">
        <v>5</v>
      </c>
      <c r="D2501" s="273" t="s">
        <v>11325</v>
      </c>
      <c r="E2501" s="274" t="s">
        <v>229</v>
      </c>
    </row>
    <row r="2502" spans="1:5" ht="27">
      <c r="A2502" s="271">
        <v>91874</v>
      </c>
      <c r="B2502" s="272" t="s">
        <v>1550</v>
      </c>
      <c r="C2502" s="272" t="s">
        <v>109</v>
      </c>
      <c r="D2502" s="273" t="s">
        <v>11028</v>
      </c>
      <c r="E2502" s="274" t="s">
        <v>229</v>
      </c>
    </row>
    <row r="2503" spans="1:5" ht="27">
      <c r="A2503" s="271">
        <v>91875</v>
      </c>
      <c r="B2503" s="272" t="s">
        <v>1551</v>
      </c>
      <c r="C2503" s="272" t="s">
        <v>109</v>
      </c>
      <c r="D2503" s="273" t="s">
        <v>11176</v>
      </c>
      <c r="E2503" s="274" t="s">
        <v>229</v>
      </c>
    </row>
    <row r="2504" spans="1:5" ht="27">
      <c r="A2504" s="271">
        <v>91876</v>
      </c>
      <c r="B2504" s="272" t="s">
        <v>1552</v>
      </c>
      <c r="C2504" s="272" t="s">
        <v>109</v>
      </c>
      <c r="D2504" s="273" t="s">
        <v>12131</v>
      </c>
      <c r="E2504" s="274" t="s">
        <v>229</v>
      </c>
    </row>
    <row r="2505" spans="1:5" ht="27">
      <c r="A2505" s="271">
        <v>91877</v>
      </c>
      <c r="B2505" s="272" t="s">
        <v>1553</v>
      </c>
      <c r="C2505" s="272" t="s">
        <v>109</v>
      </c>
      <c r="D2505" s="273" t="s">
        <v>9720</v>
      </c>
      <c r="E2505" s="274" t="s">
        <v>229</v>
      </c>
    </row>
    <row r="2506" spans="1:5" ht="27">
      <c r="A2506" s="271">
        <v>91878</v>
      </c>
      <c r="B2506" s="272" t="s">
        <v>1554</v>
      </c>
      <c r="C2506" s="272" t="s">
        <v>109</v>
      </c>
      <c r="D2506" s="273" t="s">
        <v>10048</v>
      </c>
      <c r="E2506" s="274" t="s">
        <v>229</v>
      </c>
    </row>
    <row r="2507" spans="1:5" ht="27">
      <c r="A2507" s="271">
        <v>91879</v>
      </c>
      <c r="B2507" s="272" t="s">
        <v>1555</v>
      </c>
      <c r="C2507" s="272" t="s">
        <v>109</v>
      </c>
      <c r="D2507" s="273" t="s">
        <v>10216</v>
      </c>
      <c r="E2507" s="274" t="s">
        <v>229</v>
      </c>
    </row>
    <row r="2508" spans="1:5" ht="27">
      <c r="A2508" s="271">
        <v>91880</v>
      </c>
      <c r="B2508" s="272" t="s">
        <v>1556</v>
      </c>
      <c r="C2508" s="272" t="s">
        <v>109</v>
      </c>
      <c r="D2508" s="273" t="s">
        <v>10238</v>
      </c>
      <c r="E2508" s="274" t="s">
        <v>229</v>
      </c>
    </row>
    <row r="2509" spans="1:5" ht="27">
      <c r="A2509" s="271">
        <v>91881</v>
      </c>
      <c r="B2509" s="272" t="s">
        <v>1557</v>
      </c>
      <c r="C2509" s="272" t="s">
        <v>109</v>
      </c>
      <c r="D2509" s="273" t="s">
        <v>10357</v>
      </c>
      <c r="E2509" s="274" t="s">
        <v>229</v>
      </c>
    </row>
    <row r="2510" spans="1:5" ht="27">
      <c r="A2510" s="271">
        <v>91882</v>
      </c>
      <c r="B2510" s="272" t="s">
        <v>1558</v>
      </c>
      <c r="C2510" s="272" t="s">
        <v>109</v>
      </c>
      <c r="D2510" s="273" t="s">
        <v>10216</v>
      </c>
      <c r="E2510" s="274" t="s">
        <v>229</v>
      </c>
    </row>
    <row r="2511" spans="1:5" ht="27">
      <c r="A2511" s="271">
        <v>91884</v>
      </c>
      <c r="B2511" s="272" t="s">
        <v>1559</v>
      </c>
      <c r="C2511" s="272" t="s">
        <v>109</v>
      </c>
      <c r="D2511" s="273" t="s">
        <v>10477</v>
      </c>
      <c r="E2511" s="274" t="s">
        <v>229</v>
      </c>
    </row>
    <row r="2512" spans="1:5" ht="27">
      <c r="A2512" s="271">
        <v>91885</v>
      </c>
      <c r="B2512" s="272" t="s">
        <v>1560</v>
      </c>
      <c r="C2512" s="272" t="s">
        <v>109</v>
      </c>
      <c r="D2512" s="273" t="s">
        <v>22578</v>
      </c>
      <c r="E2512" s="274" t="s">
        <v>229</v>
      </c>
    </row>
    <row r="2513" spans="1:5" ht="27">
      <c r="A2513" s="271">
        <v>91886</v>
      </c>
      <c r="B2513" s="272" t="s">
        <v>1561</v>
      </c>
      <c r="C2513" s="272" t="s">
        <v>109</v>
      </c>
      <c r="D2513" s="273" t="s">
        <v>9730</v>
      </c>
      <c r="E2513" s="274" t="s">
        <v>229</v>
      </c>
    </row>
    <row r="2514" spans="1:5" ht="27">
      <c r="A2514" s="271">
        <v>91887</v>
      </c>
      <c r="B2514" s="272" t="s">
        <v>1562</v>
      </c>
      <c r="C2514" s="272" t="s">
        <v>109</v>
      </c>
      <c r="D2514" s="273" t="s">
        <v>10278</v>
      </c>
      <c r="E2514" s="274" t="s">
        <v>229</v>
      </c>
    </row>
    <row r="2515" spans="1:5" ht="27">
      <c r="A2515" s="271">
        <v>91889</v>
      </c>
      <c r="B2515" s="272" t="s">
        <v>1563</v>
      </c>
      <c r="C2515" s="272" t="s">
        <v>109</v>
      </c>
      <c r="D2515" s="273" t="s">
        <v>19703</v>
      </c>
      <c r="E2515" s="274" t="s">
        <v>229</v>
      </c>
    </row>
    <row r="2516" spans="1:5" ht="27">
      <c r="A2516" s="271">
        <v>91890</v>
      </c>
      <c r="B2516" s="272" t="s">
        <v>1564</v>
      </c>
      <c r="C2516" s="272" t="s">
        <v>109</v>
      </c>
      <c r="D2516" s="273" t="s">
        <v>11310</v>
      </c>
      <c r="E2516" s="274" t="s">
        <v>229</v>
      </c>
    </row>
    <row r="2517" spans="1:5" ht="27">
      <c r="A2517" s="271">
        <v>91892</v>
      </c>
      <c r="B2517" s="272" t="s">
        <v>1565</v>
      </c>
      <c r="C2517" s="272" t="s">
        <v>109</v>
      </c>
      <c r="D2517" s="273" t="s">
        <v>11432</v>
      </c>
      <c r="E2517" s="274" t="s">
        <v>229</v>
      </c>
    </row>
    <row r="2518" spans="1:5" ht="27">
      <c r="A2518" s="271">
        <v>91893</v>
      </c>
      <c r="B2518" s="272" t="s">
        <v>267</v>
      </c>
      <c r="C2518" s="272" t="s">
        <v>109</v>
      </c>
      <c r="D2518" s="273" t="s">
        <v>12139</v>
      </c>
      <c r="E2518" s="274" t="s">
        <v>229</v>
      </c>
    </row>
    <row r="2519" spans="1:5" ht="27">
      <c r="A2519" s="271">
        <v>91895</v>
      </c>
      <c r="B2519" s="272" t="s">
        <v>4122</v>
      </c>
      <c r="C2519" s="272" t="s">
        <v>109</v>
      </c>
      <c r="D2519" s="273" t="s">
        <v>11521</v>
      </c>
      <c r="E2519" s="274" t="s">
        <v>229</v>
      </c>
    </row>
    <row r="2520" spans="1:5" ht="27">
      <c r="A2520" s="271">
        <v>91896</v>
      </c>
      <c r="B2520" s="272" t="s">
        <v>1566</v>
      </c>
      <c r="C2520" s="272" t="s">
        <v>109</v>
      </c>
      <c r="D2520" s="273" t="s">
        <v>19691</v>
      </c>
      <c r="E2520" s="274" t="s">
        <v>229</v>
      </c>
    </row>
    <row r="2521" spans="1:5" ht="27">
      <c r="A2521" s="271">
        <v>91898</v>
      </c>
      <c r="B2521" s="272" t="s">
        <v>1567</v>
      </c>
      <c r="C2521" s="272" t="s">
        <v>109</v>
      </c>
      <c r="D2521" s="273" t="s">
        <v>11478</v>
      </c>
      <c r="E2521" s="274" t="s">
        <v>229</v>
      </c>
    </row>
    <row r="2522" spans="1:5" ht="27">
      <c r="A2522" s="271">
        <v>91899</v>
      </c>
      <c r="B2522" s="272" t="s">
        <v>1568</v>
      </c>
      <c r="C2522" s="272" t="s">
        <v>109</v>
      </c>
      <c r="D2522" s="273" t="s">
        <v>9745</v>
      </c>
      <c r="E2522" s="274" t="s">
        <v>229</v>
      </c>
    </row>
    <row r="2523" spans="1:5" ht="27">
      <c r="A2523" s="271">
        <v>91901</v>
      </c>
      <c r="B2523" s="272" t="s">
        <v>1569</v>
      </c>
      <c r="C2523" s="272" t="s">
        <v>109</v>
      </c>
      <c r="D2523" s="273" t="s">
        <v>10788</v>
      </c>
      <c r="E2523" s="274" t="s">
        <v>229</v>
      </c>
    </row>
    <row r="2524" spans="1:5" ht="27">
      <c r="A2524" s="271">
        <v>91902</v>
      </c>
      <c r="B2524" s="272" t="s">
        <v>1570</v>
      </c>
      <c r="C2524" s="272" t="s">
        <v>109</v>
      </c>
      <c r="D2524" s="273" t="s">
        <v>14120</v>
      </c>
      <c r="E2524" s="274" t="s">
        <v>229</v>
      </c>
    </row>
    <row r="2525" spans="1:5" ht="27">
      <c r="A2525" s="271">
        <v>91904</v>
      </c>
      <c r="B2525" s="272" t="s">
        <v>1571</v>
      </c>
      <c r="C2525" s="272" t="s">
        <v>109</v>
      </c>
      <c r="D2525" s="273" t="s">
        <v>10662</v>
      </c>
      <c r="E2525" s="274" t="s">
        <v>229</v>
      </c>
    </row>
    <row r="2526" spans="1:5" ht="27">
      <c r="A2526" s="271">
        <v>91905</v>
      </c>
      <c r="B2526" s="272" t="s">
        <v>1572</v>
      </c>
      <c r="C2526" s="272" t="s">
        <v>109</v>
      </c>
      <c r="D2526" s="273" t="s">
        <v>22579</v>
      </c>
      <c r="E2526" s="274" t="s">
        <v>229</v>
      </c>
    </row>
    <row r="2527" spans="1:5" ht="27">
      <c r="A2527" s="271">
        <v>91907</v>
      </c>
      <c r="B2527" s="272" t="s">
        <v>4123</v>
      </c>
      <c r="C2527" s="272" t="s">
        <v>109</v>
      </c>
      <c r="D2527" s="273" t="s">
        <v>15965</v>
      </c>
      <c r="E2527" s="274" t="s">
        <v>229</v>
      </c>
    </row>
    <row r="2528" spans="1:5" ht="27">
      <c r="A2528" s="271">
        <v>91908</v>
      </c>
      <c r="B2528" s="272" t="s">
        <v>1573</v>
      </c>
      <c r="C2528" s="272" t="s">
        <v>109</v>
      </c>
      <c r="D2528" s="273" t="s">
        <v>9952</v>
      </c>
      <c r="E2528" s="274" t="s">
        <v>229</v>
      </c>
    </row>
    <row r="2529" spans="1:5" ht="27">
      <c r="A2529" s="271">
        <v>91910</v>
      </c>
      <c r="B2529" s="272" t="s">
        <v>1574</v>
      </c>
      <c r="C2529" s="272" t="s">
        <v>109</v>
      </c>
      <c r="D2529" s="273" t="s">
        <v>11505</v>
      </c>
      <c r="E2529" s="274" t="s">
        <v>229</v>
      </c>
    </row>
    <row r="2530" spans="1:5" ht="27">
      <c r="A2530" s="271">
        <v>91911</v>
      </c>
      <c r="B2530" s="272" t="s">
        <v>1575</v>
      </c>
      <c r="C2530" s="272" t="s">
        <v>109</v>
      </c>
      <c r="D2530" s="273" t="s">
        <v>10356</v>
      </c>
      <c r="E2530" s="274" t="s">
        <v>229</v>
      </c>
    </row>
    <row r="2531" spans="1:5" ht="27">
      <c r="A2531" s="271">
        <v>91913</v>
      </c>
      <c r="B2531" s="272" t="s">
        <v>1576</v>
      </c>
      <c r="C2531" s="272" t="s">
        <v>109</v>
      </c>
      <c r="D2531" s="273" t="s">
        <v>11431</v>
      </c>
      <c r="E2531" s="274" t="s">
        <v>229</v>
      </c>
    </row>
    <row r="2532" spans="1:5" ht="27">
      <c r="A2532" s="271">
        <v>91914</v>
      </c>
      <c r="B2532" s="272" t="s">
        <v>1577</v>
      </c>
      <c r="C2532" s="272" t="s">
        <v>109</v>
      </c>
      <c r="D2532" s="273" t="s">
        <v>19912</v>
      </c>
      <c r="E2532" s="274" t="s">
        <v>229</v>
      </c>
    </row>
    <row r="2533" spans="1:5" ht="27">
      <c r="A2533" s="271">
        <v>91916</v>
      </c>
      <c r="B2533" s="272" t="s">
        <v>1578</v>
      </c>
      <c r="C2533" s="272" t="s">
        <v>109</v>
      </c>
      <c r="D2533" s="273" t="s">
        <v>11521</v>
      </c>
      <c r="E2533" s="274" t="s">
        <v>229</v>
      </c>
    </row>
    <row r="2534" spans="1:5" ht="27">
      <c r="A2534" s="271">
        <v>91917</v>
      </c>
      <c r="B2534" s="272" t="s">
        <v>1579</v>
      </c>
      <c r="C2534" s="272" t="s">
        <v>109</v>
      </c>
      <c r="D2534" s="273" t="s">
        <v>10968</v>
      </c>
      <c r="E2534" s="274" t="s">
        <v>229</v>
      </c>
    </row>
    <row r="2535" spans="1:5" ht="27">
      <c r="A2535" s="271">
        <v>91919</v>
      </c>
      <c r="B2535" s="272" t="s">
        <v>4124</v>
      </c>
      <c r="C2535" s="272" t="s">
        <v>109</v>
      </c>
      <c r="D2535" s="273" t="s">
        <v>9785</v>
      </c>
      <c r="E2535" s="274" t="s">
        <v>229</v>
      </c>
    </row>
    <row r="2536" spans="1:5" ht="27">
      <c r="A2536" s="271">
        <v>91920</v>
      </c>
      <c r="B2536" s="272" t="s">
        <v>1580</v>
      </c>
      <c r="C2536" s="272" t="s">
        <v>109</v>
      </c>
      <c r="D2536" s="273" t="s">
        <v>11025</v>
      </c>
      <c r="E2536" s="274" t="s">
        <v>229</v>
      </c>
    </row>
    <row r="2537" spans="1:5" ht="27">
      <c r="A2537" s="271">
        <v>91922</v>
      </c>
      <c r="B2537" s="272" t="s">
        <v>1581</v>
      </c>
      <c r="C2537" s="272" t="s">
        <v>109</v>
      </c>
      <c r="D2537" s="273" t="s">
        <v>10515</v>
      </c>
      <c r="E2537" s="274" t="s">
        <v>229</v>
      </c>
    </row>
    <row r="2538" spans="1:5" ht="27">
      <c r="A2538" s="271">
        <v>93013</v>
      </c>
      <c r="B2538" s="272" t="s">
        <v>1582</v>
      </c>
      <c r="C2538" s="272" t="s">
        <v>109</v>
      </c>
      <c r="D2538" s="273" t="s">
        <v>15938</v>
      </c>
      <c r="E2538" s="274" t="s">
        <v>229</v>
      </c>
    </row>
    <row r="2539" spans="1:5" ht="27">
      <c r="A2539" s="271">
        <v>93014</v>
      </c>
      <c r="B2539" s="272" t="s">
        <v>1583</v>
      </c>
      <c r="C2539" s="272" t="s">
        <v>109</v>
      </c>
      <c r="D2539" s="273" t="s">
        <v>11300</v>
      </c>
      <c r="E2539" s="274" t="s">
        <v>229</v>
      </c>
    </row>
    <row r="2540" spans="1:5" ht="27">
      <c r="A2540" s="271">
        <v>93015</v>
      </c>
      <c r="B2540" s="272" t="s">
        <v>1584</v>
      </c>
      <c r="C2540" s="272" t="s">
        <v>109</v>
      </c>
      <c r="D2540" s="273" t="s">
        <v>19695</v>
      </c>
      <c r="E2540" s="274" t="s">
        <v>229</v>
      </c>
    </row>
    <row r="2541" spans="1:5" ht="27">
      <c r="A2541" s="271">
        <v>93016</v>
      </c>
      <c r="B2541" s="272" t="s">
        <v>1585</v>
      </c>
      <c r="C2541" s="272" t="s">
        <v>109</v>
      </c>
      <c r="D2541" s="273" t="s">
        <v>19338</v>
      </c>
      <c r="E2541" s="274" t="s">
        <v>229</v>
      </c>
    </row>
    <row r="2542" spans="1:5" ht="27">
      <c r="A2542" s="271">
        <v>93017</v>
      </c>
      <c r="B2542" s="272" t="s">
        <v>1586</v>
      </c>
      <c r="C2542" s="272" t="s">
        <v>109</v>
      </c>
      <c r="D2542" s="273" t="s">
        <v>20259</v>
      </c>
      <c r="E2542" s="274" t="s">
        <v>229</v>
      </c>
    </row>
    <row r="2543" spans="1:5" ht="27">
      <c r="A2543" s="271">
        <v>93018</v>
      </c>
      <c r="B2543" s="272" t="s">
        <v>1587</v>
      </c>
      <c r="C2543" s="272" t="s">
        <v>109</v>
      </c>
      <c r="D2543" s="273" t="s">
        <v>15861</v>
      </c>
      <c r="E2543" s="274" t="s">
        <v>229</v>
      </c>
    </row>
    <row r="2544" spans="1:5" ht="27">
      <c r="A2544" s="271">
        <v>93020</v>
      </c>
      <c r="B2544" s="272" t="s">
        <v>1588</v>
      </c>
      <c r="C2544" s="272" t="s">
        <v>109</v>
      </c>
      <c r="D2544" s="273" t="s">
        <v>16437</v>
      </c>
      <c r="E2544" s="274" t="s">
        <v>229</v>
      </c>
    </row>
    <row r="2545" spans="1:6" ht="27">
      <c r="A2545" s="271">
        <v>93022</v>
      </c>
      <c r="B2545" s="272" t="s">
        <v>1589</v>
      </c>
      <c r="C2545" s="272" t="s">
        <v>109</v>
      </c>
      <c r="D2545" s="273" t="s">
        <v>22580</v>
      </c>
      <c r="E2545" s="274" t="s">
        <v>229</v>
      </c>
    </row>
    <row r="2546" spans="1:6" ht="27">
      <c r="A2546" s="271">
        <v>93024</v>
      </c>
      <c r="B2546" s="272" t="s">
        <v>1590</v>
      </c>
      <c r="C2546" s="272" t="s">
        <v>109</v>
      </c>
      <c r="D2546" s="273" t="s">
        <v>16084</v>
      </c>
      <c r="E2546" s="274" t="s">
        <v>229</v>
      </c>
    </row>
    <row r="2547" spans="1:6" ht="27">
      <c r="A2547" s="271">
        <v>93026</v>
      </c>
      <c r="B2547" s="272" t="s">
        <v>1591</v>
      </c>
      <c r="C2547" s="272" t="s">
        <v>109</v>
      </c>
      <c r="D2547" s="273" t="s">
        <v>10918</v>
      </c>
      <c r="E2547" s="274" t="s">
        <v>229</v>
      </c>
    </row>
    <row r="2548" spans="1:6" ht="27">
      <c r="A2548" s="271">
        <v>95733</v>
      </c>
      <c r="B2548" s="272" t="s">
        <v>1592</v>
      </c>
      <c r="C2548" s="272" t="s">
        <v>109</v>
      </c>
      <c r="D2548" s="273" t="s">
        <v>10508</v>
      </c>
      <c r="E2548" s="274" t="s">
        <v>229</v>
      </c>
    </row>
    <row r="2549" spans="1:6" ht="27">
      <c r="A2549" s="271">
        <v>95734</v>
      </c>
      <c r="B2549" s="272" t="s">
        <v>1593</v>
      </c>
      <c r="C2549" s="272" t="s">
        <v>109</v>
      </c>
      <c r="D2549" s="273" t="s">
        <v>10209</v>
      </c>
      <c r="E2549" s="274" t="s">
        <v>229</v>
      </c>
    </row>
    <row r="2550" spans="1:6" ht="27">
      <c r="A2550" s="271">
        <v>95735</v>
      </c>
      <c r="B2550" s="272" t="s">
        <v>1594</v>
      </c>
      <c r="C2550" s="272" t="s">
        <v>109</v>
      </c>
      <c r="D2550" s="273" t="s">
        <v>9749</v>
      </c>
      <c r="E2550" s="274" t="s">
        <v>229</v>
      </c>
      <c r="F2550" s="192"/>
    </row>
    <row r="2551" spans="1:6" ht="27">
      <c r="A2551" s="271">
        <v>95736</v>
      </c>
      <c r="B2551" s="272" t="s">
        <v>1595</v>
      </c>
      <c r="C2551" s="272" t="s">
        <v>109</v>
      </c>
      <c r="D2551" s="273" t="s">
        <v>10500</v>
      </c>
      <c r="E2551" s="274" t="s">
        <v>229</v>
      </c>
    </row>
    <row r="2552" spans="1:6" ht="27">
      <c r="A2552" s="271">
        <v>95738</v>
      </c>
      <c r="B2552" s="272" t="s">
        <v>1596</v>
      </c>
      <c r="C2552" s="272" t="s">
        <v>109</v>
      </c>
      <c r="D2552" s="273" t="s">
        <v>12141</v>
      </c>
      <c r="E2552" s="274" t="s">
        <v>229</v>
      </c>
    </row>
    <row r="2553" spans="1:6" ht="27">
      <c r="A2553" s="271">
        <v>95753</v>
      </c>
      <c r="B2553" s="272" t="s">
        <v>1597</v>
      </c>
      <c r="C2553" s="272" t="s">
        <v>109</v>
      </c>
      <c r="D2553" s="273" t="s">
        <v>10198</v>
      </c>
      <c r="E2553" s="274" t="s">
        <v>229</v>
      </c>
    </row>
    <row r="2554" spans="1:6" ht="27">
      <c r="A2554" s="271">
        <v>95754</v>
      </c>
      <c r="B2554" s="272" t="s">
        <v>1598</v>
      </c>
      <c r="C2554" s="272" t="s">
        <v>109</v>
      </c>
      <c r="D2554" s="273" t="s">
        <v>14235</v>
      </c>
      <c r="E2554" s="274" t="s">
        <v>229</v>
      </c>
    </row>
    <row r="2555" spans="1:6" ht="27">
      <c r="A2555" s="271">
        <v>95755</v>
      </c>
      <c r="B2555" s="272" t="s">
        <v>1599</v>
      </c>
      <c r="C2555" s="272" t="s">
        <v>109</v>
      </c>
      <c r="D2555" s="273" t="s">
        <v>10545</v>
      </c>
      <c r="E2555" s="274" t="s">
        <v>229</v>
      </c>
    </row>
    <row r="2556" spans="1:6" ht="27">
      <c r="A2556" s="271">
        <v>95756</v>
      </c>
      <c r="B2556" s="272" t="s">
        <v>1600</v>
      </c>
      <c r="C2556" s="272" t="s">
        <v>109</v>
      </c>
      <c r="D2556" s="273" t="s">
        <v>19324</v>
      </c>
      <c r="E2556" s="274" t="s">
        <v>229</v>
      </c>
    </row>
    <row r="2557" spans="1:6" ht="27">
      <c r="A2557" s="271">
        <v>95757</v>
      </c>
      <c r="B2557" s="272" t="s">
        <v>1601</v>
      </c>
      <c r="C2557" s="272" t="s">
        <v>109</v>
      </c>
      <c r="D2557" s="273" t="s">
        <v>11084</v>
      </c>
      <c r="E2557" s="274" t="s">
        <v>229</v>
      </c>
    </row>
    <row r="2558" spans="1:6" ht="27">
      <c r="A2558" s="271">
        <v>95758</v>
      </c>
      <c r="B2558" s="272" t="s">
        <v>1602</v>
      </c>
      <c r="C2558" s="272" t="s">
        <v>109</v>
      </c>
      <c r="D2558" s="273" t="s">
        <v>10353</v>
      </c>
      <c r="E2558" s="274" t="s">
        <v>229</v>
      </c>
    </row>
    <row r="2559" spans="1:6" ht="27">
      <c r="A2559" s="271">
        <v>95759</v>
      </c>
      <c r="B2559" s="272" t="s">
        <v>1603</v>
      </c>
      <c r="C2559" s="272" t="s">
        <v>109</v>
      </c>
      <c r="D2559" s="273" t="s">
        <v>10470</v>
      </c>
      <c r="E2559" s="274" t="s">
        <v>229</v>
      </c>
    </row>
    <row r="2560" spans="1:6" ht="27">
      <c r="A2560" s="271">
        <v>95760</v>
      </c>
      <c r="B2560" s="272" t="s">
        <v>1604</v>
      </c>
      <c r="C2560" s="272" t="s">
        <v>109</v>
      </c>
      <c r="D2560" s="273" t="s">
        <v>19420</v>
      </c>
      <c r="E2560" s="274" t="s">
        <v>229</v>
      </c>
    </row>
    <row r="2561" spans="1:5" ht="27">
      <c r="A2561" s="271">
        <v>97559</v>
      </c>
      <c r="B2561" s="272" t="s">
        <v>4125</v>
      </c>
      <c r="C2561" s="272" t="s">
        <v>109</v>
      </c>
      <c r="D2561" s="275" t="s">
        <v>9781</v>
      </c>
      <c r="E2561" s="274" t="s">
        <v>229</v>
      </c>
    </row>
    <row r="2562" spans="1:5" ht="27">
      <c r="A2562" s="271">
        <v>97562</v>
      </c>
      <c r="B2562" s="272" t="s">
        <v>4126</v>
      </c>
      <c r="C2562" s="272" t="s">
        <v>109</v>
      </c>
      <c r="D2562" s="273" t="s">
        <v>10643</v>
      </c>
      <c r="E2562" s="274" t="s">
        <v>229</v>
      </c>
    </row>
    <row r="2563" spans="1:5" ht="27">
      <c r="A2563" s="271">
        <v>97564</v>
      </c>
      <c r="B2563" s="272" t="s">
        <v>4127</v>
      </c>
      <c r="C2563" s="272" t="s">
        <v>109</v>
      </c>
      <c r="D2563" s="273" t="s">
        <v>11208</v>
      </c>
      <c r="E2563" s="274" t="s">
        <v>229</v>
      </c>
    </row>
    <row r="2564" spans="1:5" ht="27">
      <c r="A2564" s="271">
        <v>91924</v>
      </c>
      <c r="B2564" s="272" t="s">
        <v>1605</v>
      </c>
      <c r="C2564" s="272" t="s">
        <v>5</v>
      </c>
      <c r="D2564" s="273" t="s">
        <v>21538</v>
      </c>
      <c r="E2564" s="274" t="s">
        <v>229</v>
      </c>
    </row>
    <row r="2565" spans="1:5" ht="27">
      <c r="A2565" s="271">
        <v>91925</v>
      </c>
      <c r="B2565" s="272" t="s">
        <v>1606</v>
      </c>
      <c r="C2565" s="272" t="s">
        <v>5</v>
      </c>
      <c r="D2565" s="275" t="s">
        <v>11342</v>
      </c>
      <c r="E2565" s="274" t="s">
        <v>229</v>
      </c>
    </row>
    <row r="2566" spans="1:5" ht="27">
      <c r="A2566" s="271">
        <v>91926</v>
      </c>
      <c r="B2566" s="272" t="s">
        <v>124</v>
      </c>
      <c r="C2566" s="272" t="s">
        <v>5</v>
      </c>
      <c r="D2566" s="275" t="s">
        <v>9940</v>
      </c>
      <c r="E2566" s="274" t="s">
        <v>229</v>
      </c>
    </row>
    <row r="2567" spans="1:5" ht="27">
      <c r="A2567" s="271">
        <v>91927</v>
      </c>
      <c r="B2567" s="272" t="s">
        <v>1607</v>
      </c>
      <c r="C2567" s="272" t="s">
        <v>5</v>
      </c>
      <c r="D2567" s="273" t="s">
        <v>20147</v>
      </c>
      <c r="E2567" s="274" t="s">
        <v>229</v>
      </c>
    </row>
    <row r="2568" spans="1:5" ht="27">
      <c r="A2568" s="271">
        <v>91928</v>
      </c>
      <c r="B2568" s="272" t="s">
        <v>125</v>
      </c>
      <c r="C2568" s="272" t="s">
        <v>5</v>
      </c>
      <c r="D2568" s="273" t="s">
        <v>10232</v>
      </c>
      <c r="E2568" s="274" t="s">
        <v>229</v>
      </c>
    </row>
    <row r="2569" spans="1:5" ht="27">
      <c r="A2569" s="271">
        <v>91929</v>
      </c>
      <c r="B2569" s="272" t="s">
        <v>1608</v>
      </c>
      <c r="C2569" s="272" t="s">
        <v>5</v>
      </c>
      <c r="D2569" s="273" t="s">
        <v>19785</v>
      </c>
      <c r="E2569" s="274" t="s">
        <v>229</v>
      </c>
    </row>
    <row r="2570" spans="1:5" ht="27">
      <c r="A2570" s="271">
        <v>91930</v>
      </c>
      <c r="B2570" s="272" t="s">
        <v>297</v>
      </c>
      <c r="C2570" s="272" t="s">
        <v>5</v>
      </c>
      <c r="D2570" s="273" t="s">
        <v>16478</v>
      </c>
      <c r="E2570" s="274" t="s">
        <v>229</v>
      </c>
    </row>
    <row r="2571" spans="1:5" ht="27">
      <c r="A2571" s="271">
        <v>91931</v>
      </c>
      <c r="B2571" s="272" t="s">
        <v>126</v>
      </c>
      <c r="C2571" s="272" t="s">
        <v>5</v>
      </c>
      <c r="D2571" s="273" t="s">
        <v>12467</v>
      </c>
      <c r="E2571" s="274" t="s">
        <v>229</v>
      </c>
    </row>
    <row r="2572" spans="1:5" ht="27">
      <c r="A2572" s="271">
        <v>91932</v>
      </c>
      <c r="B2572" s="272" t="s">
        <v>1609</v>
      </c>
      <c r="C2572" s="272" t="s">
        <v>5</v>
      </c>
      <c r="D2572" s="273" t="s">
        <v>10493</v>
      </c>
      <c r="E2572" s="274" t="s">
        <v>229</v>
      </c>
    </row>
    <row r="2573" spans="1:5" ht="27">
      <c r="A2573" s="271">
        <v>91933</v>
      </c>
      <c r="B2573" s="272" t="s">
        <v>1610</v>
      </c>
      <c r="C2573" s="272" t="s">
        <v>5</v>
      </c>
      <c r="D2573" s="273" t="s">
        <v>15965</v>
      </c>
      <c r="E2573" s="274" t="s">
        <v>229</v>
      </c>
    </row>
    <row r="2574" spans="1:5" ht="27">
      <c r="A2574" s="271">
        <v>91934</v>
      </c>
      <c r="B2574" s="272" t="s">
        <v>1611</v>
      </c>
      <c r="C2574" s="272" t="s">
        <v>5</v>
      </c>
      <c r="D2574" s="275" t="s">
        <v>11253</v>
      </c>
      <c r="E2574" s="274" t="s">
        <v>229</v>
      </c>
    </row>
    <row r="2575" spans="1:5" ht="27">
      <c r="A2575" s="271">
        <v>91935</v>
      </c>
      <c r="B2575" s="272" t="s">
        <v>1612</v>
      </c>
      <c r="C2575" s="272" t="s">
        <v>5</v>
      </c>
      <c r="D2575" s="275" t="s">
        <v>11241</v>
      </c>
      <c r="E2575" s="274" t="s">
        <v>229</v>
      </c>
    </row>
    <row r="2576" spans="1:5" ht="27">
      <c r="A2576" s="271">
        <v>92979</v>
      </c>
      <c r="B2576" s="272" t="s">
        <v>1613</v>
      </c>
      <c r="C2576" s="272" t="s">
        <v>5</v>
      </c>
      <c r="D2576" s="273" t="s">
        <v>12146</v>
      </c>
      <c r="E2576" s="274" t="s">
        <v>229</v>
      </c>
    </row>
    <row r="2577" spans="1:5" ht="27">
      <c r="A2577" s="271">
        <v>92980</v>
      </c>
      <c r="B2577" s="272" t="s">
        <v>1614</v>
      </c>
      <c r="C2577" s="272" t="s">
        <v>5</v>
      </c>
      <c r="D2577" s="273" t="s">
        <v>9721</v>
      </c>
      <c r="E2577" s="274" t="s">
        <v>229</v>
      </c>
    </row>
    <row r="2578" spans="1:5" ht="27">
      <c r="A2578" s="271">
        <v>92981</v>
      </c>
      <c r="B2578" s="272" t="s">
        <v>1615</v>
      </c>
      <c r="C2578" s="272" t="s">
        <v>5</v>
      </c>
      <c r="D2578" s="273" t="s">
        <v>9821</v>
      </c>
      <c r="E2578" s="274" t="s">
        <v>229</v>
      </c>
    </row>
    <row r="2579" spans="1:5" ht="27">
      <c r="A2579" s="271">
        <v>92982</v>
      </c>
      <c r="B2579" s="272" t="s">
        <v>1616</v>
      </c>
      <c r="C2579" s="272" t="s">
        <v>5</v>
      </c>
      <c r="D2579" s="273" t="s">
        <v>10172</v>
      </c>
      <c r="E2579" s="274" t="s">
        <v>229</v>
      </c>
    </row>
    <row r="2580" spans="1:5" ht="27">
      <c r="A2580" s="271">
        <v>92983</v>
      </c>
      <c r="B2580" s="272" t="s">
        <v>1617</v>
      </c>
      <c r="C2580" s="272" t="s">
        <v>5</v>
      </c>
      <c r="D2580" s="275" t="s">
        <v>12334</v>
      </c>
      <c r="E2580" s="274" t="s">
        <v>229</v>
      </c>
    </row>
    <row r="2581" spans="1:5" ht="27">
      <c r="A2581" s="271">
        <v>92984</v>
      </c>
      <c r="B2581" s="272" t="s">
        <v>1618</v>
      </c>
      <c r="C2581" s="272" t="s">
        <v>5</v>
      </c>
      <c r="D2581" s="273" t="s">
        <v>22581</v>
      </c>
      <c r="E2581" s="274" t="s">
        <v>229</v>
      </c>
    </row>
    <row r="2582" spans="1:5" ht="27">
      <c r="A2582" s="271">
        <v>92985</v>
      </c>
      <c r="B2582" s="272" t="s">
        <v>1619</v>
      </c>
      <c r="C2582" s="272" t="s">
        <v>5</v>
      </c>
      <c r="D2582" s="275" t="s">
        <v>16005</v>
      </c>
      <c r="E2582" s="274" t="s">
        <v>229</v>
      </c>
    </row>
    <row r="2583" spans="1:5" ht="27">
      <c r="A2583" s="271">
        <v>92986</v>
      </c>
      <c r="B2583" s="272" t="s">
        <v>127</v>
      </c>
      <c r="C2583" s="272" t="s">
        <v>5</v>
      </c>
      <c r="D2583" s="273" t="s">
        <v>22582</v>
      </c>
      <c r="E2583" s="274" t="s">
        <v>229</v>
      </c>
    </row>
    <row r="2584" spans="1:5" ht="27">
      <c r="A2584" s="271">
        <v>92987</v>
      </c>
      <c r="B2584" s="272" t="s">
        <v>1620</v>
      </c>
      <c r="C2584" s="272" t="s">
        <v>5</v>
      </c>
      <c r="D2584" s="273" t="s">
        <v>22583</v>
      </c>
      <c r="E2584" s="274" t="s">
        <v>229</v>
      </c>
    </row>
    <row r="2585" spans="1:5" ht="27">
      <c r="A2585" s="271">
        <v>92988</v>
      </c>
      <c r="B2585" s="272" t="s">
        <v>1621</v>
      </c>
      <c r="C2585" s="272" t="s">
        <v>5</v>
      </c>
      <c r="D2585" s="273" t="s">
        <v>22584</v>
      </c>
      <c r="E2585" s="274" t="s">
        <v>229</v>
      </c>
    </row>
    <row r="2586" spans="1:5" ht="27">
      <c r="A2586" s="271">
        <v>92989</v>
      </c>
      <c r="B2586" s="272" t="s">
        <v>1622</v>
      </c>
      <c r="C2586" s="272" t="s">
        <v>5</v>
      </c>
      <c r="D2586" s="273" t="s">
        <v>22585</v>
      </c>
      <c r="E2586" s="274" t="s">
        <v>229</v>
      </c>
    </row>
    <row r="2587" spans="1:5" ht="27">
      <c r="A2587" s="271">
        <v>92990</v>
      </c>
      <c r="B2587" s="272" t="s">
        <v>1623</v>
      </c>
      <c r="C2587" s="272" t="s">
        <v>5</v>
      </c>
      <c r="D2587" s="273" t="s">
        <v>15804</v>
      </c>
      <c r="E2587" s="274" t="s">
        <v>229</v>
      </c>
    </row>
    <row r="2588" spans="1:5" ht="27">
      <c r="A2588" s="271">
        <v>92991</v>
      </c>
      <c r="B2588" s="272" t="s">
        <v>1624</v>
      </c>
      <c r="C2588" s="272" t="s">
        <v>5</v>
      </c>
      <c r="D2588" s="273" t="s">
        <v>22586</v>
      </c>
      <c r="E2588" s="274" t="s">
        <v>229</v>
      </c>
    </row>
    <row r="2589" spans="1:5" ht="27">
      <c r="A2589" s="271">
        <v>92992</v>
      </c>
      <c r="B2589" s="272" t="s">
        <v>1625</v>
      </c>
      <c r="C2589" s="272" t="s">
        <v>5</v>
      </c>
      <c r="D2589" s="273" t="s">
        <v>22587</v>
      </c>
      <c r="E2589" s="274" t="s">
        <v>229</v>
      </c>
    </row>
    <row r="2590" spans="1:5" ht="27">
      <c r="A2590" s="271">
        <v>92993</v>
      </c>
      <c r="B2590" s="272" t="s">
        <v>1626</v>
      </c>
      <c r="C2590" s="272" t="s">
        <v>5</v>
      </c>
      <c r="D2590" s="273" t="s">
        <v>22588</v>
      </c>
      <c r="E2590" s="274" t="s">
        <v>229</v>
      </c>
    </row>
    <row r="2591" spans="1:5" ht="27">
      <c r="A2591" s="271">
        <v>92994</v>
      </c>
      <c r="B2591" s="272" t="s">
        <v>1627</v>
      </c>
      <c r="C2591" s="272" t="s">
        <v>5</v>
      </c>
      <c r="D2591" s="273" t="s">
        <v>22589</v>
      </c>
      <c r="E2591" s="274" t="s">
        <v>229</v>
      </c>
    </row>
    <row r="2592" spans="1:5" ht="27">
      <c r="A2592" s="271">
        <v>92995</v>
      </c>
      <c r="B2592" s="272" t="s">
        <v>1628</v>
      </c>
      <c r="C2592" s="272" t="s">
        <v>5</v>
      </c>
      <c r="D2592" s="273" t="s">
        <v>22590</v>
      </c>
      <c r="E2592" s="274" t="s">
        <v>229</v>
      </c>
    </row>
    <row r="2593" spans="1:5" ht="27">
      <c r="A2593" s="271">
        <v>92996</v>
      </c>
      <c r="B2593" s="272" t="s">
        <v>1629</v>
      </c>
      <c r="C2593" s="272" t="s">
        <v>5</v>
      </c>
      <c r="D2593" s="273" t="s">
        <v>22591</v>
      </c>
      <c r="E2593" s="274" t="s">
        <v>229</v>
      </c>
    </row>
    <row r="2594" spans="1:5" ht="27">
      <c r="A2594" s="271">
        <v>92997</v>
      </c>
      <c r="B2594" s="272" t="s">
        <v>1630</v>
      </c>
      <c r="C2594" s="272" t="s">
        <v>5</v>
      </c>
      <c r="D2594" s="273" t="s">
        <v>22592</v>
      </c>
      <c r="E2594" s="274" t="s">
        <v>229</v>
      </c>
    </row>
    <row r="2595" spans="1:5" ht="27">
      <c r="A2595" s="271">
        <v>92998</v>
      </c>
      <c r="B2595" s="272" t="s">
        <v>1631</v>
      </c>
      <c r="C2595" s="272" t="s">
        <v>5</v>
      </c>
      <c r="D2595" s="273" t="s">
        <v>14099</v>
      </c>
      <c r="E2595" s="274" t="s">
        <v>229</v>
      </c>
    </row>
    <row r="2596" spans="1:5" ht="27">
      <c r="A2596" s="271">
        <v>92999</v>
      </c>
      <c r="B2596" s="272" t="s">
        <v>1632</v>
      </c>
      <c r="C2596" s="272" t="s">
        <v>5</v>
      </c>
      <c r="D2596" s="273" t="s">
        <v>22593</v>
      </c>
      <c r="E2596" s="274" t="s">
        <v>229</v>
      </c>
    </row>
    <row r="2597" spans="1:5" ht="27">
      <c r="A2597" s="271">
        <v>93000</v>
      </c>
      <c r="B2597" s="272" t="s">
        <v>1633</v>
      </c>
      <c r="C2597" s="272" t="s">
        <v>5</v>
      </c>
      <c r="D2597" s="273" t="s">
        <v>22594</v>
      </c>
      <c r="E2597" s="274" t="s">
        <v>229</v>
      </c>
    </row>
    <row r="2598" spans="1:5" ht="27">
      <c r="A2598" s="271">
        <v>93001</v>
      </c>
      <c r="B2598" s="272" t="s">
        <v>1634</v>
      </c>
      <c r="C2598" s="272" t="s">
        <v>5</v>
      </c>
      <c r="D2598" s="273" t="s">
        <v>22595</v>
      </c>
      <c r="E2598" s="274" t="s">
        <v>229</v>
      </c>
    </row>
    <row r="2599" spans="1:5" ht="27">
      <c r="A2599" s="271">
        <v>93002</v>
      </c>
      <c r="B2599" s="272" t="s">
        <v>1635</v>
      </c>
      <c r="C2599" s="272" t="s">
        <v>5</v>
      </c>
      <c r="D2599" s="273" t="s">
        <v>22596</v>
      </c>
      <c r="E2599" s="274" t="s">
        <v>229</v>
      </c>
    </row>
    <row r="2600" spans="1:5" ht="27">
      <c r="A2600" s="271">
        <v>101884</v>
      </c>
      <c r="B2600" s="272" t="s">
        <v>13008</v>
      </c>
      <c r="C2600" s="272" t="s">
        <v>5</v>
      </c>
      <c r="D2600" s="273" t="s">
        <v>12235</v>
      </c>
      <c r="E2600" s="274" t="s">
        <v>229</v>
      </c>
    </row>
    <row r="2601" spans="1:5" ht="27">
      <c r="A2601" s="271">
        <v>101885</v>
      </c>
      <c r="B2601" s="272" t="s">
        <v>13009</v>
      </c>
      <c r="C2601" s="272" t="s">
        <v>5</v>
      </c>
      <c r="D2601" s="273" t="s">
        <v>10545</v>
      </c>
      <c r="E2601" s="274" t="s">
        <v>229</v>
      </c>
    </row>
    <row r="2602" spans="1:5" ht="27">
      <c r="A2602" s="271">
        <v>101886</v>
      </c>
      <c r="B2602" s="272" t="s">
        <v>13010</v>
      </c>
      <c r="C2602" s="272" t="s">
        <v>5</v>
      </c>
      <c r="D2602" s="273" t="s">
        <v>10450</v>
      </c>
      <c r="E2602" s="274" t="s">
        <v>229</v>
      </c>
    </row>
    <row r="2603" spans="1:5" ht="27">
      <c r="A2603" s="271">
        <v>101887</v>
      </c>
      <c r="B2603" s="272" t="s">
        <v>13011</v>
      </c>
      <c r="C2603" s="272" t="s">
        <v>5</v>
      </c>
      <c r="D2603" s="273" t="s">
        <v>22597</v>
      </c>
      <c r="E2603" s="274" t="s">
        <v>229</v>
      </c>
    </row>
    <row r="2604" spans="1:5" ht="27">
      <c r="A2604" s="271">
        <v>101888</v>
      </c>
      <c r="B2604" s="272" t="s">
        <v>13012</v>
      </c>
      <c r="C2604" s="272" t="s">
        <v>5</v>
      </c>
      <c r="D2604" s="273" t="s">
        <v>20824</v>
      </c>
      <c r="E2604" s="274" t="s">
        <v>229</v>
      </c>
    </row>
    <row r="2605" spans="1:5" ht="27">
      <c r="A2605" s="271">
        <v>101889</v>
      </c>
      <c r="B2605" s="272" t="s">
        <v>13013</v>
      </c>
      <c r="C2605" s="272" t="s">
        <v>5</v>
      </c>
      <c r="D2605" s="273" t="s">
        <v>22598</v>
      </c>
      <c r="E2605" s="274" t="s">
        <v>229</v>
      </c>
    </row>
    <row r="2606" spans="1:5" ht="27">
      <c r="A2606" s="271">
        <v>91936</v>
      </c>
      <c r="B2606" s="272" t="s">
        <v>1636</v>
      </c>
      <c r="C2606" s="272" t="s">
        <v>109</v>
      </c>
      <c r="D2606" s="273" t="s">
        <v>10997</v>
      </c>
      <c r="E2606" s="274" t="s">
        <v>229</v>
      </c>
    </row>
    <row r="2607" spans="1:5" ht="27">
      <c r="A2607" s="271">
        <v>91937</v>
      </c>
      <c r="B2607" s="272" t="s">
        <v>1637</v>
      </c>
      <c r="C2607" s="272" t="s">
        <v>109</v>
      </c>
      <c r="D2607" s="273" t="s">
        <v>10505</v>
      </c>
      <c r="E2607" s="274" t="s">
        <v>229</v>
      </c>
    </row>
    <row r="2608" spans="1:5" ht="27">
      <c r="A2608" s="271">
        <v>91939</v>
      </c>
      <c r="B2608" s="272" t="s">
        <v>137</v>
      </c>
      <c r="C2608" s="272" t="s">
        <v>109</v>
      </c>
      <c r="D2608" s="273" t="s">
        <v>16594</v>
      </c>
      <c r="E2608" s="274" t="s">
        <v>229</v>
      </c>
    </row>
    <row r="2609" spans="1:5" ht="27">
      <c r="A2609" s="271">
        <v>91940</v>
      </c>
      <c r="B2609" s="272" t="s">
        <v>138</v>
      </c>
      <c r="C2609" s="272" t="s">
        <v>109</v>
      </c>
      <c r="D2609" s="273" t="s">
        <v>16204</v>
      </c>
      <c r="E2609" s="274" t="s">
        <v>229</v>
      </c>
    </row>
    <row r="2610" spans="1:5" ht="27">
      <c r="A2610" s="271">
        <v>91941</v>
      </c>
      <c r="B2610" s="272" t="s">
        <v>129</v>
      </c>
      <c r="C2610" s="272" t="s">
        <v>109</v>
      </c>
      <c r="D2610" s="273" t="s">
        <v>10521</v>
      </c>
      <c r="E2610" s="274" t="s">
        <v>229</v>
      </c>
    </row>
    <row r="2611" spans="1:5" ht="27">
      <c r="A2611" s="271">
        <v>91942</v>
      </c>
      <c r="B2611" s="272" t="s">
        <v>1638</v>
      </c>
      <c r="C2611" s="272" t="s">
        <v>109</v>
      </c>
      <c r="D2611" s="273" t="s">
        <v>22599</v>
      </c>
      <c r="E2611" s="274" t="s">
        <v>229</v>
      </c>
    </row>
    <row r="2612" spans="1:5" ht="27">
      <c r="A2612" s="271">
        <v>91943</v>
      </c>
      <c r="B2612" s="272" t="s">
        <v>274</v>
      </c>
      <c r="C2612" s="272" t="s">
        <v>109</v>
      </c>
      <c r="D2612" s="273" t="s">
        <v>9763</v>
      </c>
      <c r="E2612" s="274" t="s">
        <v>229</v>
      </c>
    </row>
    <row r="2613" spans="1:5" ht="27">
      <c r="A2613" s="271">
        <v>91944</v>
      </c>
      <c r="B2613" s="272" t="s">
        <v>1639</v>
      </c>
      <c r="C2613" s="272" t="s">
        <v>109</v>
      </c>
      <c r="D2613" s="273" t="s">
        <v>12433</v>
      </c>
      <c r="E2613" s="274" t="s">
        <v>229</v>
      </c>
    </row>
    <row r="2614" spans="1:5" ht="27">
      <c r="A2614" s="271">
        <v>92865</v>
      </c>
      <c r="B2614" s="272" t="s">
        <v>1640</v>
      </c>
      <c r="C2614" s="272" t="s">
        <v>109</v>
      </c>
      <c r="D2614" s="273" t="s">
        <v>14208</v>
      </c>
      <c r="E2614" s="274" t="s">
        <v>229</v>
      </c>
    </row>
    <row r="2615" spans="1:5" ht="27">
      <c r="A2615" s="271">
        <v>92866</v>
      </c>
      <c r="B2615" s="272" t="s">
        <v>1641</v>
      </c>
      <c r="C2615" s="272" t="s">
        <v>109</v>
      </c>
      <c r="D2615" s="273" t="s">
        <v>11330</v>
      </c>
      <c r="E2615" s="274" t="s">
        <v>229</v>
      </c>
    </row>
    <row r="2616" spans="1:5" ht="27">
      <c r="A2616" s="271">
        <v>92867</v>
      </c>
      <c r="B2616" s="272" t="s">
        <v>1642</v>
      </c>
      <c r="C2616" s="272" t="s">
        <v>109</v>
      </c>
      <c r="D2616" s="273" t="s">
        <v>12336</v>
      </c>
      <c r="E2616" s="274" t="s">
        <v>229</v>
      </c>
    </row>
    <row r="2617" spans="1:5" ht="27">
      <c r="A2617" s="271">
        <v>92868</v>
      </c>
      <c r="B2617" s="272" t="s">
        <v>1643</v>
      </c>
      <c r="C2617" s="272" t="s">
        <v>109</v>
      </c>
      <c r="D2617" s="273" t="s">
        <v>14119</v>
      </c>
      <c r="E2617" s="274" t="s">
        <v>229</v>
      </c>
    </row>
    <row r="2618" spans="1:5" ht="27">
      <c r="A2618" s="271">
        <v>92869</v>
      </c>
      <c r="B2618" s="272" t="s">
        <v>1644</v>
      </c>
      <c r="C2618" s="272" t="s">
        <v>109</v>
      </c>
      <c r="D2618" s="273" t="s">
        <v>10267</v>
      </c>
      <c r="E2618" s="274" t="s">
        <v>229</v>
      </c>
    </row>
    <row r="2619" spans="1:5" ht="27">
      <c r="A2619" s="271">
        <v>92870</v>
      </c>
      <c r="B2619" s="272" t="s">
        <v>1645</v>
      </c>
      <c r="C2619" s="272" t="s">
        <v>109</v>
      </c>
      <c r="D2619" s="273" t="s">
        <v>22600</v>
      </c>
      <c r="E2619" s="274" t="s">
        <v>229</v>
      </c>
    </row>
    <row r="2620" spans="1:5" ht="27">
      <c r="A2620" s="271">
        <v>92871</v>
      </c>
      <c r="B2620" s="272" t="s">
        <v>1646</v>
      </c>
      <c r="C2620" s="272" t="s">
        <v>109</v>
      </c>
      <c r="D2620" s="273" t="s">
        <v>11470</v>
      </c>
      <c r="E2620" s="274" t="s">
        <v>229</v>
      </c>
    </row>
    <row r="2621" spans="1:5" ht="27">
      <c r="A2621" s="271">
        <v>92872</v>
      </c>
      <c r="B2621" s="272" t="s">
        <v>1647</v>
      </c>
      <c r="C2621" s="272" t="s">
        <v>109</v>
      </c>
      <c r="D2621" s="273" t="s">
        <v>10564</v>
      </c>
      <c r="E2621" s="274" t="s">
        <v>229</v>
      </c>
    </row>
    <row r="2622" spans="1:5" ht="27">
      <c r="A2622" s="271">
        <v>95777</v>
      </c>
      <c r="B2622" s="272" t="s">
        <v>1648</v>
      </c>
      <c r="C2622" s="272" t="s">
        <v>109</v>
      </c>
      <c r="D2622" s="273" t="s">
        <v>12273</v>
      </c>
      <c r="E2622" s="274" t="s">
        <v>229</v>
      </c>
    </row>
    <row r="2623" spans="1:5" ht="27">
      <c r="A2623" s="271">
        <v>95778</v>
      </c>
      <c r="B2623" s="272" t="s">
        <v>268</v>
      </c>
      <c r="C2623" s="272" t="s">
        <v>109</v>
      </c>
      <c r="D2623" s="273" t="s">
        <v>11121</v>
      </c>
      <c r="E2623" s="274" t="s">
        <v>229</v>
      </c>
    </row>
    <row r="2624" spans="1:5" ht="27">
      <c r="A2624" s="271">
        <v>95779</v>
      </c>
      <c r="B2624" s="272" t="s">
        <v>270</v>
      </c>
      <c r="C2624" s="272" t="s">
        <v>109</v>
      </c>
      <c r="D2624" s="273" t="s">
        <v>21119</v>
      </c>
      <c r="E2624" s="274" t="s">
        <v>229</v>
      </c>
    </row>
    <row r="2625" spans="1:5" ht="27">
      <c r="A2625" s="271">
        <v>95780</v>
      </c>
      <c r="B2625" s="272" t="s">
        <v>1649</v>
      </c>
      <c r="C2625" s="272" t="s">
        <v>109</v>
      </c>
      <c r="D2625" s="273" t="s">
        <v>16131</v>
      </c>
      <c r="E2625" s="274" t="s">
        <v>229</v>
      </c>
    </row>
    <row r="2626" spans="1:5" ht="27">
      <c r="A2626" s="271">
        <v>95781</v>
      </c>
      <c r="B2626" s="272" t="s">
        <v>273</v>
      </c>
      <c r="C2626" s="272" t="s">
        <v>109</v>
      </c>
      <c r="D2626" s="273" t="s">
        <v>11539</v>
      </c>
      <c r="E2626" s="274" t="s">
        <v>229</v>
      </c>
    </row>
    <row r="2627" spans="1:5" ht="27">
      <c r="A2627" s="271">
        <v>95782</v>
      </c>
      <c r="B2627" s="272" t="s">
        <v>1650</v>
      </c>
      <c r="C2627" s="272" t="s">
        <v>109</v>
      </c>
      <c r="D2627" s="273" t="s">
        <v>22601</v>
      </c>
      <c r="E2627" s="274" t="s">
        <v>229</v>
      </c>
    </row>
    <row r="2628" spans="1:5" ht="27">
      <c r="A2628" s="271">
        <v>95785</v>
      </c>
      <c r="B2628" s="272" t="s">
        <v>1651</v>
      </c>
      <c r="C2628" s="272" t="s">
        <v>109</v>
      </c>
      <c r="D2628" s="273" t="s">
        <v>22602</v>
      </c>
      <c r="E2628" s="274" t="s">
        <v>229</v>
      </c>
    </row>
    <row r="2629" spans="1:5" ht="27">
      <c r="A2629" s="271">
        <v>95787</v>
      </c>
      <c r="B2629" s="272" t="s">
        <v>271</v>
      </c>
      <c r="C2629" s="272" t="s">
        <v>109</v>
      </c>
      <c r="D2629" s="273" t="s">
        <v>10673</v>
      </c>
      <c r="E2629" s="274" t="s">
        <v>229</v>
      </c>
    </row>
    <row r="2630" spans="1:5" ht="27">
      <c r="A2630" s="271">
        <v>95789</v>
      </c>
      <c r="B2630" s="272" t="s">
        <v>1652</v>
      </c>
      <c r="C2630" s="272" t="s">
        <v>109</v>
      </c>
      <c r="D2630" s="273" t="s">
        <v>22603</v>
      </c>
      <c r="E2630" s="274" t="s">
        <v>229</v>
      </c>
    </row>
    <row r="2631" spans="1:5" ht="27">
      <c r="A2631" s="271">
        <v>95791</v>
      </c>
      <c r="B2631" s="272" t="s">
        <v>1653</v>
      </c>
      <c r="C2631" s="272" t="s">
        <v>109</v>
      </c>
      <c r="D2631" s="273" t="s">
        <v>22604</v>
      </c>
      <c r="E2631" s="274" t="s">
        <v>229</v>
      </c>
    </row>
    <row r="2632" spans="1:5" ht="27">
      <c r="A2632" s="271">
        <v>95795</v>
      </c>
      <c r="B2632" s="272" t="s">
        <v>269</v>
      </c>
      <c r="C2632" s="272" t="s">
        <v>109</v>
      </c>
      <c r="D2632" s="273" t="s">
        <v>22605</v>
      </c>
      <c r="E2632" s="274" t="s">
        <v>229</v>
      </c>
    </row>
    <row r="2633" spans="1:5" ht="27">
      <c r="A2633" s="271">
        <v>95796</v>
      </c>
      <c r="B2633" s="272" t="s">
        <v>272</v>
      </c>
      <c r="C2633" s="272" t="s">
        <v>109</v>
      </c>
      <c r="D2633" s="273" t="s">
        <v>16348</v>
      </c>
      <c r="E2633" s="274" t="s">
        <v>229</v>
      </c>
    </row>
    <row r="2634" spans="1:5" ht="27">
      <c r="A2634" s="271">
        <v>95797</v>
      </c>
      <c r="B2634" s="272" t="s">
        <v>1654</v>
      </c>
      <c r="C2634" s="272" t="s">
        <v>109</v>
      </c>
      <c r="D2634" s="273" t="s">
        <v>21469</v>
      </c>
      <c r="E2634" s="274" t="s">
        <v>229</v>
      </c>
    </row>
    <row r="2635" spans="1:5" ht="27">
      <c r="A2635" s="271">
        <v>95801</v>
      </c>
      <c r="B2635" s="272" t="s">
        <v>1655</v>
      </c>
      <c r="C2635" s="272" t="s">
        <v>109</v>
      </c>
      <c r="D2635" s="273" t="s">
        <v>19434</v>
      </c>
      <c r="E2635" s="274" t="s">
        <v>229</v>
      </c>
    </row>
    <row r="2636" spans="1:5" ht="27">
      <c r="A2636" s="271">
        <v>95802</v>
      </c>
      <c r="B2636" s="272" t="s">
        <v>1656</v>
      </c>
      <c r="C2636" s="272" t="s">
        <v>109</v>
      </c>
      <c r="D2636" s="273" t="s">
        <v>16057</v>
      </c>
      <c r="E2636" s="274" t="s">
        <v>229</v>
      </c>
    </row>
    <row r="2637" spans="1:5" ht="27">
      <c r="A2637" s="271">
        <v>95803</v>
      </c>
      <c r="B2637" s="272" t="s">
        <v>1657</v>
      </c>
      <c r="C2637" s="272" t="s">
        <v>109</v>
      </c>
      <c r="D2637" s="273" t="s">
        <v>10463</v>
      </c>
      <c r="E2637" s="274" t="s">
        <v>229</v>
      </c>
    </row>
    <row r="2638" spans="1:5" ht="27">
      <c r="A2638" s="271">
        <v>95804</v>
      </c>
      <c r="B2638" s="272" t="s">
        <v>1658</v>
      </c>
      <c r="C2638" s="272" t="s">
        <v>109</v>
      </c>
      <c r="D2638" s="273" t="s">
        <v>22606</v>
      </c>
      <c r="E2638" s="274" t="s">
        <v>229</v>
      </c>
    </row>
    <row r="2639" spans="1:5" ht="27">
      <c r="A2639" s="271">
        <v>95805</v>
      </c>
      <c r="B2639" s="272" t="s">
        <v>1659</v>
      </c>
      <c r="C2639" s="272" t="s">
        <v>109</v>
      </c>
      <c r="D2639" s="273" t="s">
        <v>14194</v>
      </c>
      <c r="E2639" s="274" t="s">
        <v>229</v>
      </c>
    </row>
    <row r="2640" spans="1:5" ht="27">
      <c r="A2640" s="271">
        <v>95806</v>
      </c>
      <c r="B2640" s="272" t="s">
        <v>1660</v>
      </c>
      <c r="C2640" s="272" t="s">
        <v>109</v>
      </c>
      <c r="D2640" s="273" t="s">
        <v>14281</v>
      </c>
      <c r="E2640" s="274" t="s">
        <v>229</v>
      </c>
    </row>
    <row r="2641" spans="1:5" ht="27">
      <c r="A2641" s="271">
        <v>95807</v>
      </c>
      <c r="B2641" s="272" t="s">
        <v>1661</v>
      </c>
      <c r="C2641" s="272" t="s">
        <v>109</v>
      </c>
      <c r="D2641" s="273" t="s">
        <v>22607</v>
      </c>
      <c r="E2641" s="274" t="s">
        <v>229</v>
      </c>
    </row>
    <row r="2642" spans="1:5" ht="27">
      <c r="A2642" s="271">
        <v>95808</v>
      </c>
      <c r="B2642" s="272" t="s">
        <v>1662</v>
      </c>
      <c r="C2642" s="272" t="s">
        <v>109</v>
      </c>
      <c r="D2642" s="273" t="s">
        <v>22608</v>
      </c>
      <c r="E2642" s="274" t="s">
        <v>229</v>
      </c>
    </row>
    <row r="2643" spans="1:5" ht="27">
      <c r="A2643" s="271">
        <v>95809</v>
      </c>
      <c r="B2643" s="272" t="s">
        <v>1663</v>
      </c>
      <c r="C2643" s="272" t="s">
        <v>109</v>
      </c>
      <c r="D2643" s="273" t="s">
        <v>22609</v>
      </c>
      <c r="E2643" s="274" t="s">
        <v>229</v>
      </c>
    </row>
    <row r="2644" spans="1:5" ht="27">
      <c r="A2644" s="271">
        <v>95810</v>
      </c>
      <c r="B2644" s="272" t="s">
        <v>1664</v>
      </c>
      <c r="C2644" s="272" t="s">
        <v>109</v>
      </c>
      <c r="D2644" s="273" t="s">
        <v>14053</v>
      </c>
      <c r="E2644" s="274" t="s">
        <v>229</v>
      </c>
    </row>
    <row r="2645" spans="1:5" ht="27">
      <c r="A2645" s="271">
        <v>95811</v>
      </c>
      <c r="B2645" s="272" t="s">
        <v>1665</v>
      </c>
      <c r="C2645" s="272" t="s">
        <v>109</v>
      </c>
      <c r="D2645" s="273" t="s">
        <v>22178</v>
      </c>
      <c r="E2645" s="274" t="s">
        <v>229</v>
      </c>
    </row>
    <row r="2646" spans="1:5" ht="27">
      <c r="A2646" s="271">
        <v>95812</v>
      </c>
      <c r="B2646" s="272" t="s">
        <v>1666</v>
      </c>
      <c r="C2646" s="272" t="s">
        <v>109</v>
      </c>
      <c r="D2646" s="273" t="s">
        <v>22610</v>
      </c>
      <c r="E2646" s="274" t="s">
        <v>229</v>
      </c>
    </row>
    <row r="2647" spans="1:5" ht="27">
      <c r="A2647" s="271">
        <v>95813</v>
      </c>
      <c r="B2647" s="272" t="s">
        <v>1667</v>
      </c>
      <c r="C2647" s="272" t="s">
        <v>109</v>
      </c>
      <c r="D2647" s="273" t="s">
        <v>10301</v>
      </c>
      <c r="E2647" s="274" t="s">
        <v>229</v>
      </c>
    </row>
    <row r="2648" spans="1:5" ht="27">
      <c r="A2648" s="271">
        <v>95814</v>
      </c>
      <c r="B2648" s="272" t="s">
        <v>1668</v>
      </c>
      <c r="C2648" s="272" t="s">
        <v>109</v>
      </c>
      <c r="D2648" s="273" t="s">
        <v>15940</v>
      </c>
      <c r="E2648" s="274" t="s">
        <v>229</v>
      </c>
    </row>
    <row r="2649" spans="1:5" ht="27">
      <c r="A2649" s="271">
        <v>95815</v>
      </c>
      <c r="B2649" s="272" t="s">
        <v>1669</v>
      </c>
      <c r="C2649" s="272" t="s">
        <v>109</v>
      </c>
      <c r="D2649" s="273" t="s">
        <v>16689</v>
      </c>
      <c r="E2649" s="274" t="s">
        <v>229</v>
      </c>
    </row>
    <row r="2650" spans="1:5" ht="27">
      <c r="A2650" s="271">
        <v>95816</v>
      </c>
      <c r="B2650" s="272" t="s">
        <v>1670</v>
      </c>
      <c r="C2650" s="272" t="s">
        <v>109</v>
      </c>
      <c r="D2650" s="273" t="s">
        <v>22611</v>
      </c>
      <c r="E2650" s="274" t="s">
        <v>229</v>
      </c>
    </row>
    <row r="2651" spans="1:5" ht="27">
      <c r="A2651" s="271">
        <v>95817</v>
      </c>
      <c r="B2651" s="272" t="s">
        <v>1671</v>
      </c>
      <c r="C2651" s="272" t="s">
        <v>109</v>
      </c>
      <c r="D2651" s="273" t="s">
        <v>22612</v>
      </c>
      <c r="E2651" s="274" t="s">
        <v>229</v>
      </c>
    </row>
    <row r="2652" spans="1:5" ht="27">
      <c r="A2652" s="271">
        <v>95818</v>
      </c>
      <c r="B2652" s="272" t="s">
        <v>1672</v>
      </c>
      <c r="C2652" s="272" t="s">
        <v>109</v>
      </c>
      <c r="D2652" s="273" t="s">
        <v>19810</v>
      </c>
      <c r="E2652" s="274" t="s">
        <v>229</v>
      </c>
    </row>
    <row r="2653" spans="1:5" ht="27">
      <c r="A2653" s="271">
        <v>97881</v>
      </c>
      <c r="B2653" s="272" t="s">
        <v>13014</v>
      </c>
      <c r="C2653" s="272" t="s">
        <v>109</v>
      </c>
      <c r="D2653" s="273" t="s">
        <v>22613</v>
      </c>
      <c r="E2653" s="274" t="s">
        <v>229</v>
      </c>
    </row>
    <row r="2654" spans="1:5" ht="27">
      <c r="A2654" s="271">
        <v>97882</v>
      </c>
      <c r="B2654" s="272" t="s">
        <v>13015</v>
      </c>
      <c r="C2654" s="272" t="s">
        <v>109</v>
      </c>
      <c r="D2654" s="273" t="s">
        <v>22614</v>
      </c>
      <c r="E2654" s="274" t="s">
        <v>229</v>
      </c>
    </row>
    <row r="2655" spans="1:5" ht="27">
      <c r="A2655" s="271">
        <v>97883</v>
      </c>
      <c r="B2655" s="272" t="s">
        <v>13016</v>
      </c>
      <c r="C2655" s="272" t="s">
        <v>109</v>
      </c>
      <c r="D2655" s="273" t="s">
        <v>22615</v>
      </c>
      <c r="E2655" s="274" t="s">
        <v>229</v>
      </c>
    </row>
    <row r="2656" spans="1:5" ht="27">
      <c r="A2656" s="271">
        <v>97884</v>
      </c>
      <c r="B2656" s="272" t="s">
        <v>13017</v>
      </c>
      <c r="C2656" s="272" t="s">
        <v>109</v>
      </c>
      <c r="D2656" s="273" t="s">
        <v>22616</v>
      </c>
      <c r="E2656" s="274" t="s">
        <v>229</v>
      </c>
    </row>
    <row r="2657" spans="1:5" ht="27">
      <c r="A2657" s="271">
        <v>97885</v>
      </c>
      <c r="B2657" s="272" t="s">
        <v>13018</v>
      </c>
      <c r="C2657" s="272" t="s">
        <v>109</v>
      </c>
      <c r="D2657" s="273" t="s">
        <v>22617</v>
      </c>
      <c r="E2657" s="274" t="s">
        <v>229</v>
      </c>
    </row>
    <row r="2658" spans="1:5" ht="27">
      <c r="A2658" s="271">
        <v>97886</v>
      </c>
      <c r="B2658" s="272" t="s">
        <v>13019</v>
      </c>
      <c r="C2658" s="272" t="s">
        <v>109</v>
      </c>
      <c r="D2658" s="273" t="s">
        <v>22618</v>
      </c>
      <c r="E2658" s="274" t="s">
        <v>229</v>
      </c>
    </row>
    <row r="2659" spans="1:5" ht="27">
      <c r="A2659" s="271">
        <v>97887</v>
      </c>
      <c r="B2659" s="272" t="s">
        <v>13020</v>
      </c>
      <c r="C2659" s="272" t="s">
        <v>109</v>
      </c>
      <c r="D2659" s="273" t="s">
        <v>22619</v>
      </c>
      <c r="E2659" s="274" t="s">
        <v>229</v>
      </c>
    </row>
    <row r="2660" spans="1:5" ht="27">
      <c r="A2660" s="271">
        <v>97888</v>
      </c>
      <c r="B2660" s="272" t="s">
        <v>13021</v>
      </c>
      <c r="C2660" s="272" t="s">
        <v>109</v>
      </c>
      <c r="D2660" s="273" t="s">
        <v>22620</v>
      </c>
      <c r="E2660" s="274" t="s">
        <v>229</v>
      </c>
    </row>
    <row r="2661" spans="1:5" ht="27">
      <c r="A2661" s="271">
        <v>97889</v>
      </c>
      <c r="B2661" s="272" t="s">
        <v>13022</v>
      </c>
      <c r="C2661" s="272" t="s">
        <v>109</v>
      </c>
      <c r="D2661" s="273" t="s">
        <v>22621</v>
      </c>
      <c r="E2661" s="274" t="s">
        <v>229</v>
      </c>
    </row>
    <row r="2662" spans="1:5" ht="27">
      <c r="A2662" s="271">
        <v>97890</v>
      </c>
      <c r="B2662" s="272" t="s">
        <v>13023</v>
      </c>
      <c r="C2662" s="272" t="s">
        <v>109</v>
      </c>
      <c r="D2662" s="273" t="s">
        <v>22622</v>
      </c>
      <c r="E2662" s="274" t="s">
        <v>229</v>
      </c>
    </row>
    <row r="2663" spans="1:5" ht="27">
      <c r="A2663" s="271">
        <v>97891</v>
      </c>
      <c r="B2663" s="272" t="s">
        <v>13024</v>
      </c>
      <c r="C2663" s="272" t="s">
        <v>109</v>
      </c>
      <c r="D2663" s="273" t="s">
        <v>22623</v>
      </c>
      <c r="E2663" s="274" t="s">
        <v>229</v>
      </c>
    </row>
    <row r="2664" spans="1:5" ht="27">
      <c r="A2664" s="271">
        <v>97892</v>
      </c>
      <c r="B2664" s="272" t="s">
        <v>13025</v>
      </c>
      <c r="C2664" s="272" t="s">
        <v>109</v>
      </c>
      <c r="D2664" s="273" t="s">
        <v>22624</v>
      </c>
      <c r="E2664" s="274" t="s">
        <v>229</v>
      </c>
    </row>
    <row r="2665" spans="1:5" ht="27">
      <c r="A2665" s="271">
        <v>97893</v>
      </c>
      <c r="B2665" s="272" t="s">
        <v>13026</v>
      </c>
      <c r="C2665" s="272" t="s">
        <v>109</v>
      </c>
      <c r="D2665" s="273" t="s">
        <v>22625</v>
      </c>
      <c r="E2665" s="274" t="s">
        <v>229</v>
      </c>
    </row>
    <row r="2666" spans="1:5" ht="27">
      <c r="A2666" s="271">
        <v>97894</v>
      </c>
      <c r="B2666" s="272" t="s">
        <v>13027</v>
      </c>
      <c r="C2666" s="272" t="s">
        <v>109</v>
      </c>
      <c r="D2666" s="273" t="s">
        <v>22626</v>
      </c>
      <c r="E2666" s="274" t="s">
        <v>229</v>
      </c>
    </row>
    <row r="2667" spans="1:5" ht="27">
      <c r="A2667" s="271">
        <v>93653</v>
      </c>
      <c r="B2667" s="272" t="s">
        <v>13028</v>
      </c>
      <c r="C2667" s="272" t="s">
        <v>109</v>
      </c>
      <c r="D2667" s="273" t="s">
        <v>16337</v>
      </c>
      <c r="E2667" s="274" t="s">
        <v>229</v>
      </c>
    </row>
    <row r="2668" spans="1:5" ht="27">
      <c r="A2668" s="271">
        <v>93654</v>
      </c>
      <c r="B2668" s="272" t="s">
        <v>13029</v>
      </c>
      <c r="C2668" s="272" t="s">
        <v>109</v>
      </c>
      <c r="D2668" s="273" t="s">
        <v>15947</v>
      </c>
      <c r="E2668" s="274" t="s">
        <v>229</v>
      </c>
    </row>
    <row r="2669" spans="1:5" ht="27">
      <c r="A2669" s="271">
        <v>93655</v>
      </c>
      <c r="B2669" s="272" t="s">
        <v>13030</v>
      </c>
      <c r="C2669" s="272" t="s">
        <v>109</v>
      </c>
      <c r="D2669" s="273" t="s">
        <v>11433</v>
      </c>
      <c r="E2669" s="274" t="s">
        <v>229</v>
      </c>
    </row>
    <row r="2670" spans="1:5" ht="27">
      <c r="A2670" s="271">
        <v>93656</v>
      </c>
      <c r="B2670" s="272" t="s">
        <v>13031</v>
      </c>
      <c r="C2670" s="272" t="s">
        <v>109</v>
      </c>
      <c r="D2670" s="273" t="s">
        <v>11433</v>
      </c>
      <c r="E2670" s="274" t="s">
        <v>229</v>
      </c>
    </row>
    <row r="2671" spans="1:5" ht="27">
      <c r="A2671" s="271">
        <v>93657</v>
      </c>
      <c r="B2671" s="272" t="s">
        <v>13032</v>
      </c>
      <c r="C2671" s="272" t="s">
        <v>109</v>
      </c>
      <c r="D2671" s="273" t="s">
        <v>14197</v>
      </c>
      <c r="E2671" s="274" t="s">
        <v>229</v>
      </c>
    </row>
    <row r="2672" spans="1:5" ht="27">
      <c r="A2672" s="271">
        <v>93658</v>
      </c>
      <c r="B2672" s="272" t="s">
        <v>13033</v>
      </c>
      <c r="C2672" s="272" t="s">
        <v>109</v>
      </c>
      <c r="D2672" s="273" t="s">
        <v>19910</v>
      </c>
      <c r="E2672" s="274" t="s">
        <v>229</v>
      </c>
    </row>
    <row r="2673" spans="1:5" ht="27">
      <c r="A2673" s="271">
        <v>93659</v>
      </c>
      <c r="B2673" s="272" t="s">
        <v>13034</v>
      </c>
      <c r="C2673" s="272" t="s">
        <v>109</v>
      </c>
      <c r="D2673" s="273" t="s">
        <v>21052</v>
      </c>
      <c r="E2673" s="274" t="s">
        <v>229</v>
      </c>
    </row>
    <row r="2674" spans="1:5" ht="27">
      <c r="A2674" s="271">
        <v>93660</v>
      </c>
      <c r="B2674" s="272" t="s">
        <v>13035</v>
      </c>
      <c r="C2674" s="272" t="s">
        <v>109</v>
      </c>
      <c r="D2674" s="273" t="s">
        <v>19332</v>
      </c>
      <c r="E2674" s="274" t="s">
        <v>229</v>
      </c>
    </row>
    <row r="2675" spans="1:5" ht="27">
      <c r="A2675" s="271">
        <v>93661</v>
      </c>
      <c r="B2675" s="272" t="s">
        <v>13036</v>
      </c>
      <c r="C2675" s="272" t="s">
        <v>109</v>
      </c>
      <c r="D2675" s="273" t="s">
        <v>19764</v>
      </c>
      <c r="E2675" s="274" t="s">
        <v>229</v>
      </c>
    </row>
    <row r="2676" spans="1:5" ht="27">
      <c r="A2676" s="271">
        <v>93662</v>
      </c>
      <c r="B2676" s="272" t="s">
        <v>13037</v>
      </c>
      <c r="C2676" s="272" t="s">
        <v>109</v>
      </c>
      <c r="D2676" s="273" t="s">
        <v>22627</v>
      </c>
      <c r="E2676" s="274" t="s">
        <v>229</v>
      </c>
    </row>
    <row r="2677" spans="1:5" ht="27">
      <c r="A2677" s="271">
        <v>93663</v>
      </c>
      <c r="B2677" s="272" t="s">
        <v>13038</v>
      </c>
      <c r="C2677" s="272" t="s">
        <v>109</v>
      </c>
      <c r="D2677" s="273" t="s">
        <v>22627</v>
      </c>
      <c r="E2677" s="274" t="s">
        <v>229</v>
      </c>
    </row>
    <row r="2678" spans="1:5" ht="27">
      <c r="A2678" s="271">
        <v>93664</v>
      </c>
      <c r="B2678" s="272" t="s">
        <v>13039</v>
      </c>
      <c r="C2678" s="272" t="s">
        <v>109</v>
      </c>
      <c r="D2678" s="273" t="s">
        <v>22628</v>
      </c>
      <c r="E2678" s="274" t="s">
        <v>229</v>
      </c>
    </row>
    <row r="2679" spans="1:5" ht="27">
      <c r="A2679" s="271">
        <v>93665</v>
      </c>
      <c r="B2679" s="272" t="s">
        <v>13040</v>
      </c>
      <c r="C2679" s="272" t="s">
        <v>109</v>
      </c>
      <c r="D2679" s="273" t="s">
        <v>22629</v>
      </c>
      <c r="E2679" s="274" t="s">
        <v>229</v>
      </c>
    </row>
    <row r="2680" spans="1:5" ht="27">
      <c r="A2680" s="271">
        <v>93666</v>
      </c>
      <c r="B2680" s="272" t="s">
        <v>13041</v>
      </c>
      <c r="C2680" s="272" t="s">
        <v>109</v>
      </c>
      <c r="D2680" s="273" t="s">
        <v>22287</v>
      </c>
      <c r="E2680" s="274" t="s">
        <v>229</v>
      </c>
    </row>
    <row r="2681" spans="1:5" ht="27">
      <c r="A2681" s="271">
        <v>93667</v>
      </c>
      <c r="B2681" s="272" t="s">
        <v>13042</v>
      </c>
      <c r="C2681" s="272" t="s">
        <v>109</v>
      </c>
      <c r="D2681" s="273" t="s">
        <v>16457</v>
      </c>
      <c r="E2681" s="274" t="s">
        <v>229</v>
      </c>
    </row>
    <row r="2682" spans="1:5" ht="27">
      <c r="A2682" s="271">
        <v>93668</v>
      </c>
      <c r="B2682" s="272" t="s">
        <v>13043</v>
      </c>
      <c r="C2682" s="272" t="s">
        <v>109</v>
      </c>
      <c r="D2682" s="273" t="s">
        <v>22630</v>
      </c>
      <c r="E2682" s="274" t="s">
        <v>229</v>
      </c>
    </row>
    <row r="2683" spans="1:5" ht="27">
      <c r="A2683" s="271">
        <v>93669</v>
      </c>
      <c r="B2683" s="272" t="s">
        <v>13044</v>
      </c>
      <c r="C2683" s="272" t="s">
        <v>109</v>
      </c>
      <c r="D2683" s="273" t="s">
        <v>22631</v>
      </c>
      <c r="E2683" s="274" t="s">
        <v>229</v>
      </c>
    </row>
    <row r="2684" spans="1:5" ht="27">
      <c r="A2684" s="271">
        <v>93670</v>
      </c>
      <c r="B2684" s="272" t="s">
        <v>13045</v>
      </c>
      <c r="C2684" s="272" t="s">
        <v>109</v>
      </c>
      <c r="D2684" s="273" t="s">
        <v>22631</v>
      </c>
      <c r="E2684" s="274" t="s">
        <v>229</v>
      </c>
    </row>
    <row r="2685" spans="1:5" ht="27">
      <c r="A2685" s="271">
        <v>93671</v>
      </c>
      <c r="B2685" s="272" t="s">
        <v>13046</v>
      </c>
      <c r="C2685" s="272" t="s">
        <v>109</v>
      </c>
      <c r="D2685" s="273" t="s">
        <v>22632</v>
      </c>
      <c r="E2685" s="274" t="s">
        <v>229</v>
      </c>
    </row>
    <row r="2686" spans="1:5" ht="27">
      <c r="A2686" s="271">
        <v>93672</v>
      </c>
      <c r="B2686" s="272" t="s">
        <v>13047</v>
      </c>
      <c r="C2686" s="272" t="s">
        <v>109</v>
      </c>
      <c r="D2686" s="273" t="s">
        <v>22633</v>
      </c>
      <c r="E2686" s="274" t="s">
        <v>229</v>
      </c>
    </row>
    <row r="2687" spans="1:5" ht="27">
      <c r="A2687" s="271">
        <v>93673</v>
      </c>
      <c r="B2687" s="272" t="s">
        <v>13048</v>
      </c>
      <c r="C2687" s="272" t="s">
        <v>109</v>
      </c>
      <c r="D2687" s="273" t="s">
        <v>22634</v>
      </c>
      <c r="E2687" s="274" t="s">
        <v>229</v>
      </c>
    </row>
    <row r="2688" spans="1:5" ht="27">
      <c r="A2688" s="271">
        <v>97359</v>
      </c>
      <c r="B2688" s="272" t="s">
        <v>13049</v>
      </c>
      <c r="C2688" s="272" t="s">
        <v>109</v>
      </c>
      <c r="D2688" s="273" t="s">
        <v>22635</v>
      </c>
      <c r="E2688" s="274" t="s">
        <v>229</v>
      </c>
    </row>
    <row r="2689" spans="1:5" ht="27">
      <c r="A2689" s="271">
        <v>97360</v>
      </c>
      <c r="B2689" s="272" t="s">
        <v>13050</v>
      </c>
      <c r="C2689" s="272" t="s">
        <v>109</v>
      </c>
      <c r="D2689" s="273" t="s">
        <v>22636</v>
      </c>
      <c r="E2689" s="274" t="s">
        <v>229</v>
      </c>
    </row>
    <row r="2690" spans="1:5" ht="27">
      <c r="A2690" s="271">
        <v>97361</v>
      </c>
      <c r="B2690" s="272" t="s">
        <v>13051</v>
      </c>
      <c r="C2690" s="272" t="s">
        <v>109</v>
      </c>
      <c r="D2690" s="273" t="s">
        <v>22637</v>
      </c>
      <c r="E2690" s="274" t="s">
        <v>229</v>
      </c>
    </row>
    <row r="2691" spans="1:5" ht="27">
      <c r="A2691" s="271">
        <v>97362</v>
      </c>
      <c r="B2691" s="272" t="s">
        <v>13052</v>
      </c>
      <c r="C2691" s="272" t="s">
        <v>109</v>
      </c>
      <c r="D2691" s="273" t="s">
        <v>22638</v>
      </c>
      <c r="E2691" s="274" t="s">
        <v>229</v>
      </c>
    </row>
    <row r="2692" spans="1:5" ht="40.5">
      <c r="A2692" s="271">
        <v>101875</v>
      </c>
      <c r="B2692" s="272" t="s">
        <v>13053</v>
      </c>
      <c r="C2692" s="272" t="s">
        <v>109</v>
      </c>
      <c r="D2692" s="273" t="s">
        <v>22639</v>
      </c>
      <c r="E2692" s="274" t="s">
        <v>229</v>
      </c>
    </row>
    <row r="2693" spans="1:5" ht="27">
      <c r="A2693" s="271">
        <v>101876</v>
      </c>
      <c r="B2693" s="272" t="s">
        <v>13054</v>
      </c>
      <c r="C2693" s="272" t="s">
        <v>109</v>
      </c>
      <c r="D2693" s="273" t="s">
        <v>22640</v>
      </c>
      <c r="E2693" s="274" t="s">
        <v>229</v>
      </c>
    </row>
    <row r="2694" spans="1:5" ht="27">
      <c r="A2694" s="271">
        <v>101877</v>
      </c>
      <c r="B2694" s="272" t="s">
        <v>13055</v>
      </c>
      <c r="C2694" s="272" t="s">
        <v>109</v>
      </c>
      <c r="D2694" s="273" t="s">
        <v>22641</v>
      </c>
      <c r="E2694" s="274" t="s">
        <v>229</v>
      </c>
    </row>
    <row r="2695" spans="1:5" ht="40.5">
      <c r="A2695" s="271">
        <v>101878</v>
      </c>
      <c r="B2695" s="272" t="s">
        <v>13056</v>
      </c>
      <c r="C2695" s="272" t="s">
        <v>109</v>
      </c>
      <c r="D2695" s="273" t="s">
        <v>22642</v>
      </c>
      <c r="E2695" s="274" t="s">
        <v>229</v>
      </c>
    </row>
    <row r="2696" spans="1:5" ht="40.5">
      <c r="A2696" s="271">
        <v>101879</v>
      </c>
      <c r="B2696" s="272" t="s">
        <v>13057</v>
      </c>
      <c r="C2696" s="272" t="s">
        <v>109</v>
      </c>
      <c r="D2696" s="273" t="s">
        <v>22643</v>
      </c>
      <c r="E2696" s="274" t="s">
        <v>229</v>
      </c>
    </row>
    <row r="2697" spans="1:5" ht="40.5">
      <c r="A2697" s="271">
        <v>101880</v>
      </c>
      <c r="B2697" s="272" t="s">
        <v>13058</v>
      </c>
      <c r="C2697" s="272" t="s">
        <v>109</v>
      </c>
      <c r="D2697" s="273" t="s">
        <v>22644</v>
      </c>
      <c r="E2697" s="274" t="s">
        <v>229</v>
      </c>
    </row>
    <row r="2698" spans="1:5" ht="40.5">
      <c r="A2698" s="271">
        <v>101881</v>
      </c>
      <c r="B2698" s="272" t="s">
        <v>13059</v>
      </c>
      <c r="C2698" s="272" t="s">
        <v>109</v>
      </c>
      <c r="D2698" s="273" t="s">
        <v>22645</v>
      </c>
      <c r="E2698" s="274" t="s">
        <v>229</v>
      </c>
    </row>
    <row r="2699" spans="1:5" ht="40.5">
      <c r="A2699" s="271">
        <v>101882</v>
      </c>
      <c r="B2699" s="272" t="s">
        <v>13060</v>
      </c>
      <c r="C2699" s="272" t="s">
        <v>109</v>
      </c>
      <c r="D2699" s="273" t="s">
        <v>22646</v>
      </c>
      <c r="E2699" s="274" t="s">
        <v>229</v>
      </c>
    </row>
    <row r="2700" spans="1:5" ht="40.5">
      <c r="A2700" s="271">
        <v>101883</v>
      </c>
      <c r="B2700" s="272" t="s">
        <v>13061</v>
      </c>
      <c r="C2700" s="272" t="s">
        <v>109</v>
      </c>
      <c r="D2700" s="273" t="s">
        <v>22647</v>
      </c>
      <c r="E2700" s="274" t="s">
        <v>229</v>
      </c>
    </row>
    <row r="2701" spans="1:5" ht="27">
      <c r="A2701" s="271">
        <v>101890</v>
      </c>
      <c r="B2701" s="272" t="s">
        <v>13062</v>
      </c>
      <c r="C2701" s="272" t="s">
        <v>109</v>
      </c>
      <c r="D2701" s="273" t="s">
        <v>10619</v>
      </c>
      <c r="E2701" s="274" t="s">
        <v>229</v>
      </c>
    </row>
    <row r="2702" spans="1:5" ht="27">
      <c r="A2702" s="271">
        <v>101891</v>
      </c>
      <c r="B2702" s="272" t="s">
        <v>13063</v>
      </c>
      <c r="C2702" s="272" t="s">
        <v>109</v>
      </c>
      <c r="D2702" s="273" t="s">
        <v>11081</v>
      </c>
      <c r="E2702" s="274" t="s">
        <v>229</v>
      </c>
    </row>
    <row r="2703" spans="1:5" ht="27">
      <c r="A2703" s="271">
        <v>101892</v>
      </c>
      <c r="B2703" s="272" t="s">
        <v>13064</v>
      </c>
      <c r="C2703" s="272" t="s">
        <v>109</v>
      </c>
      <c r="D2703" s="273" t="s">
        <v>11148</v>
      </c>
      <c r="E2703" s="274" t="s">
        <v>229</v>
      </c>
    </row>
    <row r="2704" spans="1:5" ht="27">
      <c r="A2704" s="271">
        <v>101893</v>
      </c>
      <c r="B2704" s="272" t="s">
        <v>13065</v>
      </c>
      <c r="C2704" s="272" t="s">
        <v>109</v>
      </c>
      <c r="D2704" s="273" t="s">
        <v>22648</v>
      </c>
      <c r="E2704" s="274" t="s">
        <v>229</v>
      </c>
    </row>
    <row r="2705" spans="1:5" ht="27">
      <c r="A2705" s="271">
        <v>101894</v>
      </c>
      <c r="B2705" s="272" t="s">
        <v>13066</v>
      </c>
      <c r="C2705" s="272" t="s">
        <v>109</v>
      </c>
      <c r="D2705" s="273" t="s">
        <v>22649</v>
      </c>
      <c r="E2705" s="274" t="s">
        <v>229</v>
      </c>
    </row>
    <row r="2706" spans="1:5" ht="27">
      <c r="A2706" s="271">
        <v>101895</v>
      </c>
      <c r="B2706" s="272" t="s">
        <v>13067</v>
      </c>
      <c r="C2706" s="272" t="s">
        <v>109</v>
      </c>
      <c r="D2706" s="273" t="s">
        <v>22650</v>
      </c>
      <c r="E2706" s="274" t="s">
        <v>229</v>
      </c>
    </row>
    <row r="2707" spans="1:5" ht="27">
      <c r="A2707" s="271">
        <v>101896</v>
      </c>
      <c r="B2707" s="272" t="s">
        <v>13068</v>
      </c>
      <c r="C2707" s="272" t="s">
        <v>109</v>
      </c>
      <c r="D2707" s="273" t="s">
        <v>22651</v>
      </c>
      <c r="E2707" s="274" t="s">
        <v>229</v>
      </c>
    </row>
    <row r="2708" spans="1:5" ht="27">
      <c r="A2708" s="271">
        <v>101897</v>
      </c>
      <c r="B2708" s="272" t="s">
        <v>13069</v>
      </c>
      <c r="C2708" s="272" t="s">
        <v>109</v>
      </c>
      <c r="D2708" s="273" t="s">
        <v>22652</v>
      </c>
      <c r="E2708" s="274" t="s">
        <v>229</v>
      </c>
    </row>
    <row r="2709" spans="1:5" ht="27">
      <c r="A2709" s="271">
        <v>101898</v>
      </c>
      <c r="B2709" s="272" t="s">
        <v>13070</v>
      </c>
      <c r="C2709" s="272" t="s">
        <v>109</v>
      </c>
      <c r="D2709" s="273" t="s">
        <v>22653</v>
      </c>
      <c r="E2709" s="274" t="s">
        <v>229</v>
      </c>
    </row>
    <row r="2710" spans="1:5" ht="27">
      <c r="A2710" s="271">
        <v>101899</v>
      </c>
      <c r="B2710" s="272" t="s">
        <v>13071</v>
      </c>
      <c r="C2710" s="272" t="s">
        <v>109</v>
      </c>
      <c r="D2710" s="273" t="s">
        <v>22654</v>
      </c>
      <c r="E2710" s="274" t="s">
        <v>229</v>
      </c>
    </row>
    <row r="2711" spans="1:5" ht="27">
      <c r="A2711" s="271">
        <v>101900</v>
      </c>
      <c r="B2711" s="272" t="s">
        <v>13072</v>
      </c>
      <c r="C2711" s="272" t="s">
        <v>109</v>
      </c>
      <c r="D2711" s="273" t="s">
        <v>22655</v>
      </c>
      <c r="E2711" s="274" t="s">
        <v>229</v>
      </c>
    </row>
    <row r="2712" spans="1:5" ht="13.5">
      <c r="A2712" s="271">
        <v>101901</v>
      </c>
      <c r="B2712" s="272" t="s">
        <v>13073</v>
      </c>
      <c r="C2712" s="272" t="s">
        <v>109</v>
      </c>
      <c r="D2712" s="273" t="s">
        <v>22656</v>
      </c>
      <c r="E2712" s="274" t="s">
        <v>229</v>
      </c>
    </row>
    <row r="2713" spans="1:5" ht="13.5">
      <c r="A2713" s="271">
        <v>101902</v>
      </c>
      <c r="B2713" s="272" t="s">
        <v>13074</v>
      </c>
      <c r="C2713" s="272" t="s">
        <v>109</v>
      </c>
      <c r="D2713" s="273" t="s">
        <v>22657</v>
      </c>
      <c r="E2713" s="274" t="s">
        <v>229</v>
      </c>
    </row>
    <row r="2714" spans="1:5" ht="13.5">
      <c r="A2714" s="271">
        <v>101903</v>
      </c>
      <c r="B2714" s="272" t="s">
        <v>13075</v>
      </c>
      <c r="C2714" s="272" t="s">
        <v>109</v>
      </c>
      <c r="D2714" s="273" t="s">
        <v>20624</v>
      </c>
      <c r="E2714" s="274" t="s">
        <v>229</v>
      </c>
    </row>
    <row r="2715" spans="1:5" ht="13.5">
      <c r="A2715" s="271">
        <v>101904</v>
      </c>
      <c r="B2715" s="272" t="s">
        <v>13076</v>
      </c>
      <c r="C2715" s="272" t="s">
        <v>109</v>
      </c>
      <c r="D2715" s="273" t="s">
        <v>22658</v>
      </c>
      <c r="E2715" s="274" t="s">
        <v>229</v>
      </c>
    </row>
    <row r="2716" spans="1:5" ht="27">
      <c r="A2716" s="271">
        <v>101938</v>
      </c>
      <c r="B2716" s="272" t="s">
        <v>13077</v>
      </c>
      <c r="C2716" s="272" t="s">
        <v>109</v>
      </c>
      <c r="D2716" s="273" t="s">
        <v>22659</v>
      </c>
      <c r="E2716" s="274" t="s">
        <v>229</v>
      </c>
    </row>
    <row r="2717" spans="1:5" ht="27">
      <c r="A2717" s="271">
        <v>101946</v>
      </c>
      <c r="B2717" s="272" t="s">
        <v>13078</v>
      </c>
      <c r="C2717" s="272" t="s">
        <v>109</v>
      </c>
      <c r="D2717" s="273" t="s">
        <v>16351</v>
      </c>
      <c r="E2717" s="274" t="s">
        <v>229</v>
      </c>
    </row>
    <row r="2718" spans="1:5" ht="27">
      <c r="A2718" s="271">
        <v>91945</v>
      </c>
      <c r="B2718" s="272" t="s">
        <v>1673</v>
      </c>
      <c r="C2718" s="272" t="s">
        <v>109</v>
      </c>
      <c r="D2718" s="273" t="s">
        <v>9883</v>
      </c>
      <c r="E2718" s="274" t="s">
        <v>229</v>
      </c>
    </row>
    <row r="2719" spans="1:5" ht="27">
      <c r="A2719" s="271">
        <v>91946</v>
      </c>
      <c r="B2719" s="272" t="s">
        <v>1674</v>
      </c>
      <c r="C2719" s="272" t="s">
        <v>109</v>
      </c>
      <c r="D2719" s="273" t="s">
        <v>16402</v>
      </c>
      <c r="E2719" s="274" t="s">
        <v>229</v>
      </c>
    </row>
    <row r="2720" spans="1:5" ht="27">
      <c r="A2720" s="271">
        <v>91947</v>
      </c>
      <c r="B2720" s="272" t="s">
        <v>1675</v>
      </c>
      <c r="C2720" s="272" t="s">
        <v>109</v>
      </c>
      <c r="D2720" s="273" t="s">
        <v>9884</v>
      </c>
      <c r="E2720" s="274" t="s">
        <v>229</v>
      </c>
    </row>
    <row r="2721" spans="1:5" ht="27">
      <c r="A2721" s="271">
        <v>91949</v>
      </c>
      <c r="B2721" s="272" t="s">
        <v>1676</v>
      </c>
      <c r="C2721" s="272" t="s">
        <v>109</v>
      </c>
      <c r="D2721" s="273" t="s">
        <v>19449</v>
      </c>
      <c r="E2721" s="274" t="s">
        <v>229</v>
      </c>
    </row>
    <row r="2722" spans="1:5" ht="27">
      <c r="A2722" s="271">
        <v>91950</v>
      </c>
      <c r="B2722" s="272" t="s">
        <v>1677</v>
      </c>
      <c r="C2722" s="272" t="s">
        <v>109</v>
      </c>
      <c r="D2722" s="273" t="s">
        <v>10504</v>
      </c>
      <c r="E2722" s="274" t="s">
        <v>229</v>
      </c>
    </row>
    <row r="2723" spans="1:5" ht="27">
      <c r="A2723" s="271">
        <v>91951</v>
      </c>
      <c r="B2723" s="272" t="s">
        <v>1678</v>
      </c>
      <c r="C2723" s="272" t="s">
        <v>109</v>
      </c>
      <c r="D2723" s="273" t="s">
        <v>14247</v>
      </c>
      <c r="E2723" s="274" t="s">
        <v>229</v>
      </c>
    </row>
    <row r="2724" spans="1:5" ht="27">
      <c r="A2724" s="271">
        <v>91952</v>
      </c>
      <c r="B2724" s="272" t="s">
        <v>1679</v>
      </c>
      <c r="C2724" s="272" t="s">
        <v>109</v>
      </c>
      <c r="D2724" s="273" t="s">
        <v>22660</v>
      </c>
      <c r="E2724" s="274" t="s">
        <v>229</v>
      </c>
    </row>
    <row r="2725" spans="1:5" ht="27">
      <c r="A2725" s="271">
        <v>91953</v>
      </c>
      <c r="B2725" s="272" t="s">
        <v>120</v>
      </c>
      <c r="C2725" s="272" t="s">
        <v>109</v>
      </c>
      <c r="D2725" s="273" t="s">
        <v>19802</v>
      </c>
      <c r="E2725" s="274" t="s">
        <v>229</v>
      </c>
    </row>
    <row r="2726" spans="1:5" ht="27">
      <c r="A2726" s="271">
        <v>91954</v>
      </c>
      <c r="B2726" s="272" t="s">
        <v>1680</v>
      </c>
      <c r="C2726" s="272" t="s">
        <v>109</v>
      </c>
      <c r="D2726" s="273" t="s">
        <v>16176</v>
      </c>
      <c r="E2726" s="274" t="s">
        <v>229</v>
      </c>
    </row>
    <row r="2727" spans="1:5" ht="27">
      <c r="A2727" s="271">
        <v>91955</v>
      </c>
      <c r="B2727" s="272" t="s">
        <v>1681</v>
      </c>
      <c r="C2727" s="272" t="s">
        <v>109</v>
      </c>
      <c r="D2727" s="273" t="s">
        <v>16392</v>
      </c>
      <c r="E2727" s="274" t="s">
        <v>229</v>
      </c>
    </row>
    <row r="2728" spans="1:5" ht="27">
      <c r="A2728" s="271">
        <v>91956</v>
      </c>
      <c r="B2728" s="272" t="s">
        <v>1682</v>
      </c>
      <c r="C2728" s="272" t="s">
        <v>109</v>
      </c>
      <c r="D2728" s="273" t="s">
        <v>16680</v>
      </c>
      <c r="E2728" s="274" t="s">
        <v>229</v>
      </c>
    </row>
    <row r="2729" spans="1:5" ht="27">
      <c r="A2729" s="271">
        <v>91957</v>
      </c>
      <c r="B2729" s="272" t="s">
        <v>1683</v>
      </c>
      <c r="C2729" s="272" t="s">
        <v>109</v>
      </c>
      <c r="D2729" s="273" t="s">
        <v>20719</v>
      </c>
      <c r="E2729" s="274" t="s">
        <v>229</v>
      </c>
    </row>
    <row r="2730" spans="1:5" ht="27">
      <c r="A2730" s="271">
        <v>91958</v>
      </c>
      <c r="B2730" s="272" t="s">
        <v>1684</v>
      </c>
      <c r="C2730" s="272" t="s">
        <v>109</v>
      </c>
      <c r="D2730" s="273" t="s">
        <v>21118</v>
      </c>
      <c r="E2730" s="274" t="s">
        <v>229</v>
      </c>
    </row>
    <row r="2731" spans="1:5" ht="27">
      <c r="A2731" s="271">
        <v>91959</v>
      </c>
      <c r="B2731" s="272" t="s">
        <v>1685</v>
      </c>
      <c r="C2731" s="272" t="s">
        <v>109</v>
      </c>
      <c r="D2731" s="273" t="s">
        <v>16372</v>
      </c>
      <c r="E2731" s="274" t="s">
        <v>229</v>
      </c>
    </row>
    <row r="2732" spans="1:5" ht="27">
      <c r="A2732" s="271">
        <v>91960</v>
      </c>
      <c r="B2732" s="272" t="s">
        <v>1686</v>
      </c>
      <c r="C2732" s="272" t="s">
        <v>109</v>
      </c>
      <c r="D2732" s="273" t="s">
        <v>12415</v>
      </c>
      <c r="E2732" s="274" t="s">
        <v>229</v>
      </c>
    </row>
    <row r="2733" spans="1:5" ht="27">
      <c r="A2733" s="271">
        <v>91961</v>
      </c>
      <c r="B2733" s="272" t="s">
        <v>1687</v>
      </c>
      <c r="C2733" s="272" t="s">
        <v>109</v>
      </c>
      <c r="D2733" s="273" t="s">
        <v>20988</v>
      </c>
      <c r="E2733" s="274" t="s">
        <v>229</v>
      </c>
    </row>
    <row r="2734" spans="1:5" ht="27">
      <c r="A2734" s="271">
        <v>91962</v>
      </c>
      <c r="B2734" s="272" t="s">
        <v>1688</v>
      </c>
      <c r="C2734" s="272" t="s">
        <v>109</v>
      </c>
      <c r="D2734" s="273" t="s">
        <v>10922</v>
      </c>
      <c r="E2734" s="274" t="s">
        <v>229</v>
      </c>
    </row>
    <row r="2735" spans="1:5" ht="27">
      <c r="A2735" s="271">
        <v>91963</v>
      </c>
      <c r="B2735" s="272" t="s">
        <v>1689</v>
      </c>
      <c r="C2735" s="272" t="s">
        <v>109</v>
      </c>
      <c r="D2735" s="273" t="s">
        <v>20758</v>
      </c>
      <c r="E2735" s="274" t="s">
        <v>229</v>
      </c>
    </row>
    <row r="2736" spans="1:5" ht="27">
      <c r="A2736" s="271">
        <v>91964</v>
      </c>
      <c r="B2736" s="272" t="s">
        <v>1690</v>
      </c>
      <c r="C2736" s="272" t="s">
        <v>109</v>
      </c>
      <c r="D2736" s="273" t="s">
        <v>19762</v>
      </c>
      <c r="E2736" s="274" t="s">
        <v>229</v>
      </c>
    </row>
    <row r="2737" spans="1:5" ht="27">
      <c r="A2737" s="271">
        <v>91965</v>
      </c>
      <c r="B2737" s="272" t="s">
        <v>1691</v>
      </c>
      <c r="C2737" s="272" t="s">
        <v>109</v>
      </c>
      <c r="D2737" s="273" t="s">
        <v>22661</v>
      </c>
      <c r="E2737" s="274" t="s">
        <v>229</v>
      </c>
    </row>
    <row r="2738" spans="1:5" ht="27">
      <c r="A2738" s="271">
        <v>91966</v>
      </c>
      <c r="B2738" s="272" t="s">
        <v>1692</v>
      </c>
      <c r="C2738" s="272" t="s">
        <v>109</v>
      </c>
      <c r="D2738" s="273" t="s">
        <v>11247</v>
      </c>
      <c r="E2738" s="274" t="s">
        <v>229</v>
      </c>
    </row>
    <row r="2739" spans="1:5" ht="27">
      <c r="A2739" s="271">
        <v>91967</v>
      </c>
      <c r="B2739" s="272" t="s">
        <v>1693</v>
      </c>
      <c r="C2739" s="272" t="s">
        <v>109</v>
      </c>
      <c r="D2739" s="273" t="s">
        <v>16565</v>
      </c>
      <c r="E2739" s="274" t="s">
        <v>229</v>
      </c>
    </row>
    <row r="2740" spans="1:5" ht="27">
      <c r="A2740" s="271">
        <v>91968</v>
      </c>
      <c r="B2740" s="272" t="s">
        <v>1694</v>
      </c>
      <c r="C2740" s="272" t="s">
        <v>109</v>
      </c>
      <c r="D2740" s="273" t="s">
        <v>16393</v>
      </c>
      <c r="E2740" s="274" t="s">
        <v>229</v>
      </c>
    </row>
    <row r="2741" spans="1:5" ht="27">
      <c r="A2741" s="271">
        <v>91969</v>
      </c>
      <c r="B2741" s="272" t="s">
        <v>1695</v>
      </c>
      <c r="C2741" s="272" t="s">
        <v>109</v>
      </c>
      <c r="D2741" s="273" t="s">
        <v>22662</v>
      </c>
      <c r="E2741" s="274" t="s">
        <v>229</v>
      </c>
    </row>
    <row r="2742" spans="1:5" ht="27">
      <c r="A2742" s="271">
        <v>91970</v>
      </c>
      <c r="B2742" s="272" t="s">
        <v>1696</v>
      </c>
      <c r="C2742" s="272" t="s">
        <v>109</v>
      </c>
      <c r="D2742" s="275" t="s">
        <v>22663</v>
      </c>
      <c r="E2742" s="274" t="s">
        <v>229</v>
      </c>
    </row>
    <row r="2743" spans="1:5" ht="27">
      <c r="A2743" s="271">
        <v>91971</v>
      </c>
      <c r="B2743" s="272" t="s">
        <v>1697</v>
      </c>
      <c r="C2743" s="272" t="s">
        <v>109</v>
      </c>
      <c r="D2743" s="273" t="s">
        <v>22664</v>
      </c>
      <c r="E2743" s="274" t="s">
        <v>229</v>
      </c>
    </row>
    <row r="2744" spans="1:5" ht="27">
      <c r="A2744" s="271">
        <v>91972</v>
      </c>
      <c r="B2744" s="272" t="s">
        <v>1698</v>
      </c>
      <c r="C2744" s="272" t="s">
        <v>109</v>
      </c>
      <c r="D2744" s="273" t="s">
        <v>19082</v>
      </c>
      <c r="E2744" s="274" t="s">
        <v>229</v>
      </c>
    </row>
    <row r="2745" spans="1:5" ht="27">
      <c r="A2745" s="271">
        <v>91973</v>
      </c>
      <c r="B2745" s="272" t="s">
        <v>1699</v>
      </c>
      <c r="C2745" s="272" t="s">
        <v>109</v>
      </c>
      <c r="D2745" s="273" t="s">
        <v>22665</v>
      </c>
      <c r="E2745" s="274" t="s">
        <v>229</v>
      </c>
    </row>
    <row r="2746" spans="1:5" ht="27">
      <c r="A2746" s="271">
        <v>91974</v>
      </c>
      <c r="B2746" s="272" t="s">
        <v>1700</v>
      </c>
      <c r="C2746" s="272" t="s">
        <v>109</v>
      </c>
      <c r="D2746" s="273" t="s">
        <v>22666</v>
      </c>
      <c r="E2746" s="274" t="s">
        <v>229</v>
      </c>
    </row>
    <row r="2747" spans="1:5" ht="27">
      <c r="A2747" s="271">
        <v>91975</v>
      </c>
      <c r="B2747" s="272" t="s">
        <v>1701</v>
      </c>
      <c r="C2747" s="272" t="s">
        <v>109</v>
      </c>
      <c r="D2747" s="273" t="s">
        <v>14238</v>
      </c>
      <c r="E2747" s="274" t="s">
        <v>229</v>
      </c>
    </row>
    <row r="2748" spans="1:5" ht="27">
      <c r="A2748" s="271">
        <v>91976</v>
      </c>
      <c r="B2748" s="272" t="s">
        <v>1702</v>
      </c>
      <c r="C2748" s="272" t="s">
        <v>109</v>
      </c>
      <c r="D2748" s="273" t="s">
        <v>21256</v>
      </c>
      <c r="E2748" s="274" t="s">
        <v>229</v>
      </c>
    </row>
    <row r="2749" spans="1:5" ht="27">
      <c r="A2749" s="271">
        <v>91977</v>
      </c>
      <c r="B2749" s="272" t="s">
        <v>1703</v>
      </c>
      <c r="C2749" s="272" t="s">
        <v>109</v>
      </c>
      <c r="D2749" s="273" t="s">
        <v>22667</v>
      </c>
      <c r="E2749" s="274" t="s">
        <v>229</v>
      </c>
    </row>
    <row r="2750" spans="1:5" ht="27">
      <c r="A2750" s="271">
        <v>91978</v>
      </c>
      <c r="B2750" s="272" t="s">
        <v>3448</v>
      </c>
      <c r="C2750" s="272" t="s">
        <v>109</v>
      </c>
      <c r="D2750" s="273" t="s">
        <v>9861</v>
      </c>
      <c r="E2750" s="274" t="s">
        <v>229</v>
      </c>
    </row>
    <row r="2751" spans="1:5" ht="27">
      <c r="A2751" s="271">
        <v>91979</v>
      </c>
      <c r="B2751" s="272" t="s">
        <v>3449</v>
      </c>
      <c r="C2751" s="272" t="s">
        <v>109</v>
      </c>
      <c r="D2751" s="273" t="s">
        <v>9736</v>
      </c>
      <c r="E2751" s="274" t="s">
        <v>229</v>
      </c>
    </row>
    <row r="2752" spans="1:5" ht="27">
      <c r="A2752" s="271">
        <v>91980</v>
      </c>
      <c r="B2752" s="272" t="s">
        <v>3450</v>
      </c>
      <c r="C2752" s="272" t="s">
        <v>109</v>
      </c>
      <c r="D2752" s="273" t="s">
        <v>22668</v>
      </c>
      <c r="E2752" s="274" t="s">
        <v>229</v>
      </c>
    </row>
    <row r="2753" spans="1:5" ht="27">
      <c r="A2753" s="271">
        <v>91981</v>
      </c>
      <c r="B2753" s="272" t="s">
        <v>3451</v>
      </c>
      <c r="C2753" s="272" t="s">
        <v>109</v>
      </c>
      <c r="D2753" s="273" t="s">
        <v>22669</v>
      </c>
      <c r="E2753" s="274" t="s">
        <v>229</v>
      </c>
    </row>
    <row r="2754" spans="1:5" ht="27">
      <c r="A2754" s="271">
        <v>91982</v>
      </c>
      <c r="B2754" s="272" t="s">
        <v>3452</v>
      </c>
      <c r="C2754" s="272" t="s">
        <v>109</v>
      </c>
      <c r="D2754" s="273" t="s">
        <v>22670</v>
      </c>
      <c r="E2754" s="274" t="s">
        <v>229</v>
      </c>
    </row>
    <row r="2755" spans="1:5" ht="27">
      <c r="A2755" s="271">
        <v>91983</v>
      </c>
      <c r="B2755" s="272" t="s">
        <v>3453</v>
      </c>
      <c r="C2755" s="272" t="s">
        <v>109</v>
      </c>
      <c r="D2755" s="273" t="s">
        <v>22671</v>
      </c>
      <c r="E2755" s="274" t="s">
        <v>229</v>
      </c>
    </row>
    <row r="2756" spans="1:5" ht="27">
      <c r="A2756" s="271">
        <v>91984</v>
      </c>
      <c r="B2756" s="272" t="s">
        <v>3454</v>
      </c>
      <c r="C2756" s="272" t="s">
        <v>109</v>
      </c>
      <c r="D2756" s="273" t="s">
        <v>19070</v>
      </c>
      <c r="E2756" s="274" t="s">
        <v>229</v>
      </c>
    </row>
    <row r="2757" spans="1:5" ht="27">
      <c r="A2757" s="271">
        <v>91985</v>
      </c>
      <c r="B2757" s="272" t="s">
        <v>3455</v>
      </c>
      <c r="C2757" s="272" t="s">
        <v>109</v>
      </c>
      <c r="D2757" s="273" t="s">
        <v>11392</v>
      </c>
      <c r="E2757" s="274" t="s">
        <v>229</v>
      </c>
    </row>
    <row r="2758" spans="1:5" ht="27">
      <c r="A2758" s="271">
        <v>91986</v>
      </c>
      <c r="B2758" s="272" t="s">
        <v>3456</v>
      </c>
      <c r="C2758" s="272" t="s">
        <v>109</v>
      </c>
      <c r="D2758" s="273" t="s">
        <v>10594</v>
      </c>
      <c r="E2758" s="274" t="s">
        <v>229</v>
      </c>
    </row>
    <row r="2759" spans="1:5" ht="27">
      <c r="A2759" s="271">
        <v>91987</v>
      </c>
      <c r="B2759" s="272" t="s">
        <v>3457</v>
      </c>
      <c r="C2759" s="272" t="s">
        <v>109</v>
      </c>
      <c r="D2759" s="273" t="s">
        <v>18796</v>
      </c>
      <c r="E2759" s="274" t="s">
        <v>229</v>
      </c>
    </row>
    <row r="2760" spans="1:5" ht="27">
      <c r="A2760" s="271">
        <v>91988</v>
      </c>
      <c r="B2760" s="272" t="s">
        <v>3458</v>
      </c>
      <c r="C2760" s="272" t="s">
        <v>109</v>
      </c>
      <c r="D2760" s="275" t="s">
        <v>11312</v>
      </c>
      <c r="E2760" s="274" t="s">
        <v>229</v>
      </c>
    </row>
    <row r="2761" spans="1:5" ht="27">
      <c r="A2761" s="271">
        <v>91989</v>
      </c>
      <c r="B2761" s="272" t="s">
        <v>3459</v>
      </c>
      <c r="C2761" s="272" t="s">
        <v>109</v>
      </c>
      <c r="D2761" s="275" t="s">
        <v>12267</v>
      </c>
      <c r="E2761" s="274" t="s">
        <v>229</v>
      </c>
    </row>
    <row r="2762" spans="1:5" ht="27">
      <c r="A2762" s="271">
        <v>91990</v>
      </c>
      <c r="B2762" s="272" t="s">
        <v>1704</v>
      </c>
      <c r="C2762" s="272" t="s">
        <v>109</v>
      </c>
      <c r="D2762" s="275" t="s">
        <v>22672</v>
      </c>
      <c r="E2762" s="274" t="s">
        <v>229</v>
      </c>
    </row>
    <row r="2763" spans="1:5" ht="27">
      <c r="A2763" s="271">
        <v>91991</v>
      </c>
      <c r="B2763" s="272" t="s">
        <v>1705</v>
      </c>
      <c r="C2763" s="272" t="s">
        <v>109</v>
      </c>
      <c r="D2763" s="275" t="s">
        <v>22673</v>
      </c>
      <c r="E2763" s="274" t="s">
        <v>229</v>
      </c>
    </row>
    <row r="2764" spans="1:5" ht="27">
      <c r="A2764" s="271">
        <v>91992</v>
      </c>
      <c r="B2764" s="272" t="s">
        <v>121</v>
      </c>
      <c r="C2764" s="272" t="s">
        <v>109</v>
      </c>
      <c r="D2764" s="273" t="s">
        <v>22674</v>
      </c>
      <c r="E2764" s="274" t="s">
        <v>229</v>
      </c>
    </row>
    <row r="2765" spans="1:5" ht="27">
      <c r="A2765" s="271">
        <v>91993</v>
      </c>
      <c r="B2765" s="272" t="s">
        <v>1706</v>
      </c>
      <c r="C2765" s="272" t="s">
        <v>109</v>
      </c>
      <c r="D2765" s="273" t="s">
        <v>22675</v>
      </c>
      <c r="E2765" s="274" t="s">
        <v>229</v>
      </c>
    </row>
    <row r="2766" spans="1:5" ht="27">
      <c r="A2766" s="271">
        <v>91994</v>
      </c>
      <c r="B2766" s="272" t="s">
        <v>1707</v>
      </c>
      <c r="C2766" s="272" t="s">
        <v>109</v>
      </c>
      <c r="D2766" s="273" t="s">
        <v>10436</v>
      </c>
      <c r="E2766" s="274" t="s">
        <v>229</v>
      </c>
    </row>
    <row r="2767" spans="1:5" ht="27">
      <c r="A2767" s="271">
        <v>91995</v>
      </c>
      <c r="B2767" s="272" t="s">
        <v>1708</v>
      </c>
      <c r="C2767" s="272" t="s">
        <v>109</v>
      </c>
      <c r="D2767" s="275" t="s">
        <v>22676</v>
      </c>
      <c r="E2767" s="274" t="s">
        <v>229</v>
      </c>
    </row>
    <row r="2768" spans="1:5" ht="27">
      <c r="A2768" s="271">
        <v>91996</v>
      </c>
      <c r="B2768" s="272" t="s">
        <v>122</v>
      </c>
      <c r="C2768" s="272" t="s">
        <v>109</v>
      </c>
      <c r="D2768" s="275" t="s">
        <v>22677</v>
      </c>
      <c r="E2768" s="274" t="s">
        <v>229</v>
      </c>
    </row>
    <row r="2769" spans="1:5" ht="27">
      <c r="A2769" s="271">
        <v>91997</v>
      </c>
      <c r="B2769" s="272" t="s">
        <v>1709</v>
      </c>
      <c r="C2769" s="272" t="s">
        <v>109</v>
      </c>
      <c r="D2769" s="273" t="s">
        <v>22678</v>
      </c>
      <c r="E2769" s="274" t="s">
        <v>229</v>
      </c>
    </row>
    <row r="2770" spans="1:5" ht="27">
      <c r="A2770" s="271">
        <v>91998</v>
      </c>
      <c r="B2770" s="272" t="s">
        <v>1710</v>
      </c>
      <c r="C2770" s="272" t="s">
        <v>109</v>
      </c>
      <c r="D2770" s="273" t="s">
        <v>10321</v>
      </c>
      <c r="E2770" s="274" t="s">
        <v>229</v>
      </c>
    </row>
    <row r="2771" spans="1:5" ht="27">
      <c r="A2771" s="271">
        <v>91999</v>
      </c>
      <c r="B2771" s="272" t="s">
        <v>1711</v>
      </c>
      <c r="C2771" s="272" t="s">
        <v>109</v>
      </c>
      <c r="D2771" s="275" t="s">
        <v>22679</v>
      </c>
      <c r="E2771" s="274" t="s">
        <v>229</v>
      </c>
    </row>
    <row r="2772" spans="1:5" ht="27">
      <c r="A2772" s="271">
        <v>92000</v>
      </c>
      <c r="B2772" s="272" t="s">
        <v>123</v>
      </c>
      <c r="C2772" s="272" t="s">
        <v>109</v>
      </c>
      <c r="D2772" s="273" t="s">
        <v>22680</v>
      </c>
      <c r="E2772" s="274" t="s">
        <v>229</v>
      </c>
    </row>
    <row r="2773" spans="1:5" ht="27">
      <c r="A2773" s="271">
        <v>92001</v>
      </c>
      <c r="B2773" s="272" t="s">
        <v>1712</v>
      </c>
      <c r="C2773" s="272" t="s">
        <v>109</v>
      </c>
      <c r="D2773" s="275" t="s">
        <v>22681</v>
      </c>
      <c r="E2773" s="274" t="s">
        <v>229</v>
      </c>
    </row>
    <row r="2774" spans="1:5" ht="27">
      <c r="A2774" s="271">
        <v>92002</v>
      </c>
      <c r="B2774" s="272" t="s">
        <v>1713</v>
      </c>
      <c r="C2774" s="272" t="s">
        <v>109</v>
      </c>
      <c r="D2774" s="275" t="s">
        <v>22682</v>
      </c>
      <c r="E2774" s="274" t="s">
        <v>229</v>
      </c>
    </row>
    <row r="2775" spans="1:5" ht="27">
      <c r="A2775" s="271">
        <v>92003</v>
      </c>
      <c r="B2775" s="272" t="s">
        <v>1714</v>
      </c>
      <c r="C2775" s="272" t="s">
        <v>109</v>
      </c>
      <c r="D2775" s="275" t="s">
        <v>16072</v>
      </c>
      <c r="E2775" s="274" t="s">
        <v>229</v>
      </c>
    </row>
    <row r="2776" spans="1:5" ht="27">
      <c r="A2776" s="271">
        <v>92004</v>
      </c>
      <c r="B2776" s="272" t="s">
        <v>1715</v>
      </c>
      <c r="C2776" s="272" t="s">
        <v>109</v>
      </c>
      <c r="D2776" s="275" t="s">
        <v>11560</v>
      </c>
      <c r="E2776" s="274" t="s">
        <v>229</v>
      </c>
    </row>
    <row r="2777" spans="1:5" ht="27">
      <c r="A2777" s="271">
        <v>92005</v>
      </c>
      <c r="B2777" s="272" t="s">
        <v>1716</v>
      </c>
      <c r="C2777" s="272" t="s">
        <v>109</v>
      </c>
      <c r="D2777" s="273" t="s">
        <v>22683</v>
      </c>
      <c r="E2777" s="274" t="s">
        <v>229</v>
      </c>
    </row>
    <row r="2778" spans="1:5" ht="27">
      <c r="A2778" s="271">
        <v>92006</v>
      </c>
      <c r="B2778" s="272" t="s">
        <v>1717</v>
      </c>
      <c r="C2778" s="272" t="s">
        <v>109</v>
      </c>
      <c r="D2778" s="273" t="s">
        <v>19973</v>
      </c>
      <c r="E2778" s="274" t="s">
        <v>229</v>
      </c>
    </row>
    <row r="2779" spans="1:5" ht="27">
      <c r="A2779" s="271">
        <v>92007</v>
      </c>
      <c r="B2779" s="272" t="s">
        <v>1718</v>
      </c>
      <c r="C2779" s="272" t="s">
        <v>109</v>
      </c>
      <c r="D2779" s="273" t="s">
        <v>11490</v>
      </c>
      <c r="E2779" s="274" t="s">
        <v>229</v>
      </c>
    </row>
    <row r="2780" spans="1:5" ht="27">
      <c r="A2780" s="271">
        <v>92008</v>
      </c>
      <c r="B2780" s="272" t="s">
        <v>1719</v>
      </c>
      <c r="C2780" s="272" t="s">
        <v>109</v>
      </c>
      <c r="D2780" s="273" t="s">
        <v>22684</v>
      </c>
      <c r="E2780" s="274" t="s">
        <v>229</v>
      </c>
    </row>
    <row r="2781" spans="1:5" ht="27">
      <c r="A2781" s="271">
        <v>92009</v>
      </c>
      <c r="B2781" s="272" t="s">
        <v>1720</v>
      </c>
      <c r="C2781" s="272" t="s">
        <v>109</v>
      </c>
      <c r="D2781" s="273" t="s">
        <v>22685</v>
      </c>
      <c r="E2781" s="274" t="s">
        <v>229</v>
      </c>
    </row>
    <row r="2782" spans="1:5" ht="27">
      <c r="A2782" s="271">
        <v>92010</v>
      </c>
      <c r="B2782" s="272" t="s">
        <v>1721</v>
      </c>
      <c r="C2782" s="272" t="s">
        <v>109</v>
      </c>
      <c r="D2782" s="273" t="s">
        <v>22686</v>
      </c>
      <c r="E2782" s="274" t="s">
        <v>229</v>
      </c>
    </row>
    <row r="2783" spans="1:5" ht="27">
      <c r="A2783" s="271">
        <v>92011</v>
      </c>
      <c r="B2783" s="272" t="s">
        <v>1722</v>
      </c>
      <c r="C2783" s="272" t="s">
        <v>109</v>
      </c>
      <c r="D2783" s="273" t="s">
        <v>16452</v>
      </c>
      <c r="E2783" s="274" t="s">
        <v>229</v>
      </c>
    </row>
    <row r="2784" spans="1:5" ht="27">
      <c r="A2784" s="271">
        <v>92012</v>
      </c>
      <c r="B2784" s="272" t="s">
        <v>1723</v>
      </c>
      <c r="C2784" s="272" t="s">
        <v>109</v>
      </c>
      <c r="D2784" s="273" t="s">
        <v>22687</v>
      </c>
      <c r="E2784" s="274" t="s">
        <v>229</v>
      </c>
    </row>
    <row r="2785" spans="1:5" ht="27">
      <c r="A2785" s="271">
        <v>92013</v>
      </c>
      <c r="B2785" s="272" t="s">
        <v>1724</v>
      </c>
      <c r="C2785" s="272" t="s">
        <v>109</v>
      </c>
      <c r="D2785" s="273" t="s">
        <v>22688</v>
      </c>
      <c r="E2785" s="274" t="s">
        <v>229</v>
      </c>
    </row>
    <row r="2786" spans="1:5" ht="27">
      <c r="A2786" s="271">
        <v>92014</v>
      </c>
      <c r="B2786" s="272" t="s">
        <v>1725</v>
      </c>
      <c r="C2786" s="272" t="s">
        <v>109</v>
      </c>
      <c r="D2786" s="273" t="s">
        <v>14181</v>
      </c>
      <c r="E2786" s="274" t="s">
        <v>229</v>
      </c>
    </row>
    <row r="2787" spans="1:5" ht="27">
      <c r="A2787" s="271">
        <v>92015</v>
      </c>
      <c r="B2787" s="272" t="s">
        <v>1726</v>
      </c>
      <c r="C2787" s="272" t="s">
        <v>109</v>
      </c>
      <c r="D2787" s="273" t="s">
        <v>16709</v>
      </c>
      <c r="E2787" s="274" t="s">
        <v>229</v>
      </c>
    </row>
    <row r="2788" spans="1:5" ht="27">
      <c r="A2788" s="271">
        <v>92016</v>
      </c>
      <c r="B2788" s="272" t="s">
        <v>1727</v>
      </c>
      <c r="C2788" s="272" t="s">
        <v>109</v>
      </c>
      <c r="D2788" s="273" t="s">
        <v>21191</v>
      </c>
      <c r="E2788" s="274" t="s">
        <v>229</v>
      </c>
    </row>
    <row r="2789" spans="1:5" ht="27">
      <c r="A2789" s="271">
        <v>92017</v>
      </c>
      <c r="B2789" s="272" t="s">
        <v>1728</v>
      </c>
      <c r="C2789" s="272" t="s">
        <v>109</v>
      </c>
      <c r="D2789" s="273" t="s">
        <v>19983</v>
      </c>
      <c r="E2789" s="274" t="s">
        <v>229</v>
      </c>
    </row>
    <row r="2790" spans="1:5" ht="27">
      <c r="A2790" s="271">
        <v>92018</v>
      </c>
      <c r="B2790" s="272" t="s">
        <v>1729</v>
      </c>
      <c r="C2790" s="272" t="s">
        <v>109</v>
      </c>
      <c r="D2790" s="273" t="s">
        <v>22689</v>
      </c>
      <c r="E2790" s="274" t="s">
        <v>229</v>
      </c>
    </row>
    <row r="2791" spans="1:5" ht="27">
      <c r="A2791" s="271">
        <v>92019</v>
      </c>
      <c r="B2791" s="272" t="s">
        <v>1730</v>
      </c>
      <c r="C2791" s="272" t="s">
        <v>109</v>
      </c>
      <c r="D2791" s="273" t="s">
        <v>22690</v>
      </c>
      <c r="E2791" s="274" t="s">
        <v>229</v>
      </c>
    </row>
    <row r="2792" spans="1:5" ht="27">
      <c r="A2792" s="271">
        <v>92020</v>
      </c>
      <c r="B2792" s="272" t="s">
        <v>1731</v>
      </c>
      <c r="C2792" s="272" t="s">
        <v>109</v>
      </c>
      <c r="D2792" s="273" t="s">
        <v>22691</v>
      </c>
      <c r="E2792" s="274" t="s">
        <v>229</v>
      </c>
    </row>
    <row r="2793" spans="1:5" ht="27">
      <c r="A2793" s="271">
        <v>92021</v>
      </c>
      <c r="B2793" s="272" t="s">
        <v>1732</v>
      </c>
      <c r="C2793" s="272" t="s">
        <v>109</v>
      </c>
      <c r="D2793" s="273" t="s">
        <v>22692</v>
      </c>
      <c r="E2793" s="274" t="s">
        <v>229</v>
      </c>
    </row>
    <row r="2794" spans="1:5" ht="27">
      <c r="A2794" s="271">
        <v>92022</v>
      </c>
      <c r="B2794" s="272" t="s">
        <v>1733</v>
      </c>
      <c r="C2794" s="272" t="s">
        <v>109</v>
      </c>
      <c r="D2794" s="273" t="s">
        <v>20135</v>
      </c>
      <c r="E2794" s="274" t="s">
        <v>229</v>
      </c>
    </row>
    <row r="2795" spans="1:5" ht="27">
      <c r="A2795" s="271">
        <v>92023</v>
      </c>
      <c r="B2795" s="272" t="s">
        <v>1734</v>
      </c>
      <c r="C2795" s="272" t="s">
        <v>109</v>
      </c>
      <c r="D2795" s="273" t="s">
        <v>22693</v>
      </c>
      <c r="E2795" s="274" t="s">
        <v>229</v>
      </c>
    </row>
    <row r="2796" spans="1:5" ht="27">
      <c r="A2796" s="271">
        <v>92024</v>
      </c>
      <c r="B2796" s="272" t="s">
        <v>1735</v>
      </c>
      <c r="C2796" s="272" t="s">
        <v>109</v>
      </c>
      <c r="D2796" s="273" t="s">
        <v>22694</v>
      </c>
      <c r="E2796" s="274" t="s">
        <v>229</v>
      </c>
    </row>
    <row r="2797" spans="1:5" ht="27">
      <c r="A2797" s="271">
        <v>92025</v>
      </c>
      <c r="B2797" s="272" t="s">
        <v>1736</v>
      </c>
      <c r="C2797" s="272" t="s">
        <v>109</v>
      </c>
      <c r="D2797" s="273" t="s">
        <v>22695</v>
      </c>
      <c r="E2797" s="274" t="s">
        <v>229</v>
      </c>
    </row>
    <row r="2798" spans="1:5" ht="27">
      <c r="A2798" s="271">
        <v>92026</v>
      </c>
      <c r="B2798" s="272" t="s">
        <v>1737</v>
      </c>
      <c r="C2798" s="272" t="s">
        <v>109</v>
      </c>
      <c r="D2798" s="273" t="s">
        <v>14109</v>
      </c>
      <c r="E2798" s="274" t="s">
        <v>229</v>
      </c>
    </row>
    <row r="2799" spans="1:5" ht="27">
      <c r="A2799" s="271">
        <v>92027</v>
      </c>
      <c r="B2799" s="272" t="s">
        <v>1738</v>
      </c>
      <c r="C2799" s="272" t="s">
        <v>109</v>
      </c>
      <c r="D2799" s="273" t="s">
        <v>14190</v>
      </c>
      <c r="E2799" s="274" t="s">
        <v>229</v>
      </c>
    </row>
    <row r="2800" spans="1:5" ht="27">
      <c r="A2800" s="271">
        <v>92028</v>
      </c>
      <c r="B2800" s="272" t="s">
        <v>1739</v>
      </c>
      <c r="C2800" s="272" t="s">
        <v>109</v>
      </c>
      <c r="D2800" s="273" t="s">
        <v>10087</v>
      </c>
      <c r="E2800" s="274" t="s">
        <v>229</v>
      </c>
    </row>
    <row r="2801" spans="1:5" ht="27">
      <c r="A2801" s="271">
        <v>92029</v>
      </c>
      <c r="B2801" s="272" t="s">
        <v>1740</v>
      </c>
      <c r="C2801" s="272" t="s">
        <v>109</v>
      </c>
      <c r="D2801" s="273" t="s">
        <v>12364</v>
      </c>
      <c r="E2801" s="274" t="s">
        <v>229</v>
      </c>
    </row>
    <row r="2802" spans="1:5" ht="27">
      <c r="A2802" s="271">
        <v>92030</v>
      </c>
      <c r="B2802" s="272" t="s">
        <v>1741</v>
      </c>
      <c r="C2802" s="272" t="s">
        <v>109</v>
      </c>
      <c r="D2802" s="273" t="s">
        <v>10323</v>
      </c>
      <c r="E2802" s="274" t="s">
        <v>229</v>
      </c>
    </row>
    <row r="2803" spans="1:5" ht="27">
      <c r="A2803" s="271">
        <v>92031</v>
      </c>
      <c r="B2803" s="272" t="s">
        <v>1742</v>
      </c>
      <c r="C2803" s="272" t="s">
        <v>109</v>
      </c>
      <c r="D2803" s="273" t="s">
        <v>22696</v>
      </c>
      <c r="E2803" s="274" t="s">
        <v>229</v>
      </c>
    </row>
    <row r="2804" spans="1:5" ht="27">
      <c r="A2804" s="271">
        <v>92032</v>
      </c>
      <c r="B2804" s="272" t="s">
        <v>1743</v>
      </c>
      <c r="C2804" s="272" t="s">
        <v>109</v>
      </c>
      <c r="D2804" s="273" t="s">
        <v>16633</v>
      </c>
      <c r="E2804" s="274" t="s">
        <v>229</v>
      </c>
    </row>
    <row r="2805" spans="1:5" ht="27">
      <c r="A2805" s="271">
        <v>92033</v>
      </c>
      <c r="B2805" s="272" t="s">
        <v>1744</v>
      </c>
      <c r="C2805" s="272" t="s">
        <v>109</v>
      </c>
      <c r="D2805" s="275" t="s">
        <v>22697</v>
      </c>
      <c r="E2805" s="274" t="s">
        <v>229</v>
      </c>
    </row>
    <row r="2806" spans="1:5" ht="27">
      <c r="A2806" s="271">
        <v>92034</v>
      </c>
      <c r="B2806" s="272" t="s">
        <v>1745</v>
      </c>
      <c r="C2806" s="272" t="s">
        <v>109</v>
      </c>
      <c r="D2806" s="275" t="s">
        <v>22698</v>
      </c>
      <c r="E2806" s="274" t="s">
        <v>229</v>
      </c>
    </row>
    <row r="2807" spans="1:5" ht="27">
      <c r="A2807" s="271">
        <v>92035</v>
      </c>
      <c r="B2807" s="272" t="s">
        <v>1746</v>
      </c>
      <c r="C2807" s="272" t="s">
        <v>109</v>
      </c>
      <c r="D2807" s="275" t="s">
        <v>22699</v>
      </c>
      <c r="E2807" s="274" t="s">
        <v>229</v>
      </c>
    </row>
    <row r="2808" spans="1:5" ht="27">
      <c r="A2808" s="271">
        <v>97583</v>
      </c>
      <c r="B2808" s="272" t="s">
        <v>10368</v>
      </c>
      <c r="C2808" s="272" t="s">
        <v>109</v>
      </c>
      <c r="D2808" s="275" t="s">
        <v>11408</v>
      </c>
      <c r="E2808" s="274" t="s">
        <v>229</v>
      </c>
    </row>
    <row r="2809" spans="1:5" ht="27">
      <c r="A2809" s="271">
        <v>97584</v>
      </c>
      <c r="B2809" s="272" t="s">
        <v>10369</v>
      </c>
      <c r="C2809" s="272" t="s">
        <v>109</v>
      </c>
      <c r="D2809" s="275" t="s">
        <v>22700</v>
      </c>
      <c r="E2809" s="274" t="s">
        <v>229</v>
      </c>
    </row>
    <row r="2810" spans="1:5" ht="27">
      <c r="A2810" s="271">
        <v>97585</v>
      </c>
      <c r="B2810" s="272" t="s">
        <v>10370</v>
      </c>
      <c r="C2810" s="272" t="s">
        <v>109</v>
      </c>
      <c r="D2810" s="275" t="s">
        <v>16682</v>
      </c>
      <c r="E2810" s="274" t="s">
        <v>229</v>
      </c>
    </row>
    <row r="2811" spans="1:5" ht="27">
      <c r="A2811" s="271">
        <v>97586</v>
      </c>
      <c r="B2811" s="272" t="s">
        <v>10371</v>
      </c>
      <c r="C2811" s="272" t="s">
        <v>109</v>
      </c>
      <c r="D2811" s="275" t="s">
        <v>22701</v>
      </c>
      <c r="E2811" s="274" t="s">
        <v>229</v>
      </c>
    </row>
    <row r="2812" spans="1:5" ht="27">
      <c r="A2812" s="271">
        <v>97587</v>
      </c>
      <c r="B2812" s="272" t="s">
        <v>10372</v>
      </c>
      <c r="C2812" s="272" t="s">
        <v>109</v>
      </c>
      <c r="D2812" s="275" t="s">
        <v>22702</v>
      </c>
      <c r="E2812" s="274" t="s">
        <v>229</v>
      </c>
    </row>
    <row r="2813" spans="1:5" ht="27">
      <c r="A2813" s="271">
        <v>97589</v>
      </c>
      <c r="B2813" s="272" t="s">
        <v>10373</v>
      </c>
      <c r="C2813" s="272" t="s">
        <v>109</v>
      </c>
      <c r="D2813" s="275" t="s">
        <v>10519</v>
      </c>
      <c r="E2813" s="274" t="s">
        <v>229</v>
      </c>
    </row>
    <row r="2814" spans="1:5" ht="27">
      <c r="A2814" s="271">
        <v>97590</v>
      </c>
      <c r="B2814" s="272" t="s">
        <v>10375</v>
      </c>
      <c r="C2814" s="272" t="s">
        <v>109</v>
      </c>
      <c r="D2814" s="275" t="s">
        <v>22703</v>
      </c>
      <c r="E2814" s="274" t="s">
        <v>229</v>
      </c>
    </row>
    <row r="2815" spans="1:5" ht="27">
      <c r="A2815" s="271">
        <v>97591</v>
      </c>
      <c r="B2815" s="272" t="s">
        <v>10376</v>
      </c>
      <c r="C2815" s="272" t="s">
        <v>109</v>
      </c>
      <c r="D2815" s="273" t="s">
        <v>22704</v>
      </c>
      <c r="E2815" s="274" t="s">
        <v>229</v>
      </c>
    </row>
    <row r="2816" spans="1:5" ht="27">
      <c r="A2816" s="271">
        <v>97592</v>
      </c>
      <c r="B2816" s="272" t="s">
        <v>10377</v>
      </c>
      <c r="C2816" s="272" t="s">
        <v>109</v>
      </c>
      <c r="D2816" s="273" t="s">
        <v>22705</v>
      </c>
      <c r="E2816" s="274" t="s">
        <v>229</v>
      </c>
    </row>
    <row r="2817" spans="1:5" ht="27">
      <c r="A2817" s="271">
        <v>97593</v>
      </c>
      <c r="B2817" s="272" t="s">
        <v>10378</v>
      </c>
      <c r="C2817" s="272" t="s">
        <v>109</v>
      </c>
      <c r="D2817" s="273" t="s">
        <v>16169</v>
      </c>
      <c r="E2817" s="274" t="s">
        <v>229</v>
      </c>
    </row>
    <row r="2818" spans="1:5" ht="27">
      <c r="A2818" s="271">
        <v>97594</v>
      </c>
      <c r="B2818" s="272" t="s">
        <v>10379</v>
      </c>
      <c r="C2818" s="272" t="s">
        <v>109</v>
      </c>
      <c r="D2818" s="273" t="s">
        <v>20231</v>
      </c>
      <c r="E2818" s="274" t="s">
        <v>229</v>
      </c>
    </row>
    <row r="2819" spans="1:5" ht="27">
      <c r="A2819" s="271">
        <v>97595</v>
      </c>
      <c r="B2819" s="272" t="s">
        <v>10380</v>
      </c>
      <c r="C2819" s="272" t="s">
        <v>109</v>
      </c>
      <c r="D2819" s="273" t="s">
        <v>19632</v>
      </c>
      <c r="E2819" s="274" t="s">
        <v>229</v>
      </c>
    </row>
    <row r="2820" spans="1:5" ht="27">
      <c r="A2820" s="271">
        <v>97596</v>
      </c>
      <c r="B2820" s="272" t="s">
        <v>10382</v>
      </c>
      <c r="C2820" s="272" t="s">
        <v>109</v>
      </c>
      <c r="D2820" s="273" t="s">
        <v>22706</v>
      </c>
      <c r="E2820" s="274" t="s">
        <v>229</v>
      </c>
    </row>
    <row r="2821" spans="1:5" ht="27">
      <c r="A2821" s="271">
        <v>97597</v>
      </c>
      <c r="B2821" s="272" t="s">
        <v>10384</v>
      </c>
      <c r="C2821" s="272" t="s">
        <v>109</v>
      </c>
      <c r="D2821" s="273" t="s">
        <v>16519</v>
      </c>
      <c r="E2821" s="274" t="s">
        <v>229</v>
      </c>
    </row>
    <row r="2822" spans="1:5" ht="27">
      <c r="A2822" s="271">
        <v>97598</v>
      </c>
      <c r="B2822" s="272" t="s">
        <v>10385</v>
      </c>
      <c r="C2822" s="272" t="s">
        <v>109</v>
      </c>
      <c r="D2822" s="273" t="s">
        <v>22707</v>
      </c>
      <c r="E2822" s="274" t="s">
        <v>229</v>
      </c>
    </row>
    <row r="2823" spans="1:5" ht="27">
      <c r="A2823" s="271">
        <v>97599</v>
      </c>
      <c r="B2823" s="272" t="s">
        <v>10386</v>
      </c>
      <c r="C2823" s="272" t="s">
        <v>109</v>
      </c>
      <c r="D2823" s="273" t="s">
        <v>12430</v>
      </c>
      <c r="E2823" s="274" t="s">
        <v>229</v>
      </c>
    </row>
    <row r="2824" spans="1:5" ht="13.5">
      <c r="A2824" s="271">
        <v>97609</v>
      </c>
      <c r="B2824" s="272" t="s">
        <v>10387</v>
      </c>
      <c r="C2824" s="272" t="s">
        <v>109</v>
      </c>
      <c r="D2824" s="273" t="s">
        <v>19243</v>
      </c>
      <c r="E2824" s="274" t="s">
        <v>229</v>
      </c>
    </row>
    <row r="2825" spans="1:5" ht="13.5">
      <c r="A2825" s="271">
        <v>97610</v>
      </c>
      <c r="B2825" s="272" t="s">
        <v>10388</v>
      </c>
      <c r="C2825" s="272" t="s">
        <v>109</v>
      </c>
      <c r="D2825" s="273" t="s">
        <v>11542</v>
      </c>
      <c r="E2825" s="274" t="s">
        <v>229</v>
      </c>
    </row>
    <row r="2826" spans="1:5" ht="27">
      <c r="A2826" s="271">
        <v>97611</v>
      </c>
      <c r="B2826" s="272" t="s">
        <v>10389</v>
      </c>
      <c r="C2826" s="272" t="s">
        <v>109</v>
      </c>
      <c r="D2826" s="273" t="s">
        <v>11121</v>
      </c>
      <c r="E2826" s="274" t="s">
        <v>229</v>
      </c>
    </row>
    <row r="2827" spans="1:5" ht="27">
      <c r="A2827" s="271">
        <v>97612</v>
      </c>
      <c r="B2827" s="272" t="s">
        <v>10391</v>
      </c>
      <c r="C2827" s="272" t="s">
        <v>109</v>
      </c>
      <c r="D2827" s="275" t="s">
        <v>21598</v>
      </c>
      <c r="E2827" s="274" t="s">
        <v>229</v>
      </c>
    </row>
    <row r="2828" spans="1:5" ht="27">
      <c r="A2828" s="271">
        <v>97613</v>
      </c>
      <c r="B2828" s="272" t="s">
        <v>10393</v>
      </c>
      <c r="C2828" s="272" t="s">
        <v>109</v>
      </c>
      <c r="D2828" s="273" t="s">
        <v>20176</v>
      </c>
      <c r="E2828" s="274" t="s">
        <v>229</v>
      </c>
    </row>
    <row r="2829" spans="1:5" ht="27">
      <c r="A2829" s="271">
        <v>97614</v>
      </c>
      <c r="B2829" s="272" t="s">
        <v>10394</v>
      </c>
      <c r="C2829" s="272" t="s">
        <v>109</v>
      </c>
      <c r="D2829" s="273" t="s">
        <v>20865</v>
      </c>
      <c r="E2829" s="274" t="s">
        <v>229</v>
      </c>
    </row>
    <row r="2830" spans="1:5" ht="27">
      <c r="A2830" s="271">
        <v>97615</v>
      </c>
      <c r="B2830" s="272" t="s">
        <v>10395</v>
      </c>
      <c r="C2830" s="272" t="s">
        <v>109</v>
      </c>
      <c r="D2830" s="273" t="s">
        <v>20126</v>
      </c>
      <c r="E2830" s="274" t="s">
        <v>229</v>
      </c>
    </row>
    <row r="2831" spans="1:5" ht="27">
      <c r="A2831" s="271">
        <v>97616</v>
      </c>
      <c r="B2831" s="272" t="s">
        <v>10396</v>
      </c>
      <c r="C2831" s="272" t="s">
        <v>109</v>
      </c>
      <c r="D2831" s="273" t="s">
        <v>16698</v>
      </c>
      <c r="E2831" s="274" t="s">
        <v>229</v>
      </c>
    </row>
    <row r="2832" spans="1:5" ht="27">
      <c r="A2832" s="271">
        <v>97617</v>
      </c>
      <c r="B2832" s="272" t="s">
        <v>10397</v>
      </c>
      <c r="C2832" s="272" t="s">
        <v>109</v>
      </c>
      <c r="D2832" s="273" t="s">
        <v>22708</v>
      </c>
      <c r="E2832" s="274" t="s">
        <v>229</v>
      </c>
    </row>
    <row r="2833" spans="1:5" ht="27">
      <c r="A2833" s="271">
        <v>97618</v>
      </c>
      <c r="B2833" s="272" t="s">
        <v>10398</v>
      </c>
      <c r="C2833" s="272" t="s">
        <v>109</v>
      </c>
      <c r="D2833" s="273" t="s">
        <v>22709</v>
      </c>
      <c r="E2833" s="274" t="s">
        <v>229</v>
      </c>
    </row>
    <row r="2834" spans="1:5" ht="13.5">
      <c r="A2834" s="271">
        <v>100902</v>
      </c>
      <c r="B2834" s="272" t="s">
        <v>10399</v>
      </c>
      <c r="C2834" s="272" t="s">
        <v>109</v>
      </c>
      <c r="D2834" s="273" t="s">
        <v>14160</v>
      </c>
      <c r="E2834" s="274" t="s">
        <v>229</v>
      </c>
    </row>
    <row r="2835" spans="1:5" ht="13.5">
      <c r="A2835" s="271">
        <v>100903</v>
      </c>
      <c r="B2835" s="272" t="s">
        <v>10401</v>
      </c>
      <c r="C2835" s="272" t="s">
        <v>109</v>
      </c>
      <c r="D2835" s="273" t="s">
        <v>21466</v>
      </c>
      <c r="E2835" s="274" t="s">
        <v>229</v>
      </c>
    </row>
    <row r="2836" spans="1:5" ht="27">
      <c r="A2836" s="271">
        <v>100904</v>
      </c>
      <c r="B2836" s="272" t="s">
        <v>10402</v>
      </c>
      <c r="C2836" s="272" t="s">
        <v>109</v>
      </c>
      <c r="D2836" s="273" t="s">
        <v>11408</v>
      </c>
      <c r="E2836" s="274" t="s">
        <v>229</v>
      </c>
    </row>
    <row r="2837" spans="1:5" ht="27">
      <c r="A2837" s="271">
        <v>100905</v>
      </c>
      <c r="B2837" s="272" t="s">
        <v>10403</v>
      </c>
      <c r="C2837" s="272" t="s">
        <v>109</v>
      </c>
      <c r="D2837" s="273" t="s">
        <v>22710</v>
      </c>
      <c r="E2837" s="274" t="s">
        <v>229</v>
      </c>
    </row>
    <row r="2838" spans="1:5" ht="27">
      <c r="A2838" s="271">
        <v>100906</v>
      </c>
      <c r="B2838" s="272" t="s">
        <v>10404</v>
      </c>
      <c r="C2838" s="272" t="s">
        <v>109</v>
      </c>
      <c r="D2838" s="273" t="s">
        <v>22711</v>
      </c>
      <c r="E2838" s="274" t="s">
        <v>229</v>
      </c>
    </row>
    <row r="2839" spans="1:5" ht="27">
      <c r="A2839" s="271">
        <v>100919</v>
      </c>
      <c r="B2839" s="272" t="s">
        <v>10405</v>
      </c>
      <c r="C2839" s="272" t="s">
        <v>109</v>
      </c>
      <c r="D2839" s="273" t="s">
        <v>20121</v>
      </c>
      <c r="E2839" s="274" t="s">
        <v>229</v>
      </c>
    </row>
    <row r="2840" spans="1:5" ht="27">
      <c r="A2840" s="271">
        <v>100920</v>
      </c>
      <c r="B2840" s="272" t="s">
        <v>10406</v>
      </c>
      <c r="C2840" s="272" t="s">
        <v>109</v>
      </c>
      <c r="D2840" s="273" t="s">
        <v>22712</v>
      </c>
      <c r="E2840" s="274" t="s">
        <v>229</v>
      </c>
    </row>
    <row r="2841" spans="1:5" ht="27">
      <c r="A2841" s="271">
        <v>100921</v>
      </c>
      <c r="B2841" s="272" t="s">
        <v>10407</v>
      </c>
      <c r="C2841" s="272" t="s">
        <v>109</v>
      </c>
      <c r="D2841" s="273" t="s">
        <v>22713</v>
      </c>
      <c r="E2841" s="274" t="s">
        <v>229</v>
      </c>
    </row>
    <row r="2842" spans="1:5" ht="27">
      <c r="A2842" s="271">
        <v>100922</v>
      </c>
      <c r="B2842" s="272" t="s">
        <v>10408</v>
      </c>
      <c r="C2842" s="272" t="s">
        <v>109</v>
      </c>
      <c r="D2842" s="273" t="s">
        <v>18949</v>
      </c>
      <c r="E2842" s="274" t="s">
        <v>229</v>
      </c>
    </row>
    <row r="2843" spans="1:5" ht="27">
      <c r="A2843" s="271">
        <v>100923</v>
      </c>
      <c r="B2843" s="272" t="s">
        <v>10410</v>
      </c>
      <c r="C2843" s="272" t="s">
        <v>109</v>
      </c>
      <c r="D2843" s="273" t="s">
        <v>20621</v>
      </c>
      <c r="E2843" s="274" t="s">
        <v>229</v>
      </c>
    </row>
    <row r="2844" spans="1:5" ht="27">
      <c r="A2844" s="271">
        <v>101489</v>
      </c>
      <c r="B2844" s="272" t="s">
        <v>13079</v>
      </c>
      <c r="C2844" s="272" t="s">
        <v>109</v>
      </c>
      <c r="D2844" s="273" t="s">
        <v>22714</v>
      </c>
      <c r="E2844" s="274" t="s">
        <v>229</v>
      </c>
    </row>
    <row r="2845" spans="1:5" ht="27">
      <c r="A2845" s="271">
        <v>101490</v>
      </c>
      <c r="B2845" s="272" t="s">
        <v>13080</v>
      </c>
      <c r="C2845" s="272" t="s">
        <v>109</v>
      </c>
      <c r="D2845" s="273" t="s">
        <v>22715</v>
      </c>
      <c r="E2845" s="274" t="s">
        <v>229</v>
      </c>
    </row>
    <row r="2846" spans="1:5" ht="27">
      <c r="A2846" s="271">
        <v>101491</v>
      </c>
      <c r="B2846" s="272" t="s">
        <v>13081</v>
      </c>
      <c r="C2846" s="272" t="s">
        <v>109</v>
      </c>
      <c r="D2846" s="273" t="s">
        <v>22716</v>
      </c>
      <c r="E2846" s="274" t="s">
        <v>229</v>
      </c>
    </row>
    <row r="2847" spans="1:5" ht="27">
      <c r="A2847" s="271">
        <v>101492</v>
      </c>
      <c r="B2847" s="272" t="s">
        <v>13082</v>
      </c>
      <c r="C2847" s="272" t="s">
        <v>109</v>
      </c>
      <c r="D2847" s="273" t="s">
        <v>22717</v>
      </c>
      <c r="E2847" s="274" t="s">
        <v>229</v>
      </c>
    </row>
    <row r="2848" spans="1:5" ht="27">
      <c r="A2848" s="271">
        <v>101493</v>
      </c>
      <c r="B2848" s="272" t="s">
        <v>13083</v>
      </c>
      <c r="C2848" s="272" t="s">
        <v>109</v>
      </c>
      <c r="D2848" s="273" t="s">
        <v>22718</v>
      </c>
      <c r="E2848" s="274" t="s">
        <v>229</v>
      </c>
    </row>
    <row r="2849" spans="1:5" ht="27">
      <c r="A2849" s="271">
        <v>101494</v>
      </c>
      <c r="B2849" s="272" t="s">
        <v>13084</v>
      </c>
      <c r="C2849" s="272" t="s">
        <v>109</v>
      </c>
      <c r="D2849" s="273" t="s">
        <v>22719</v>
      </c>
      <c r="E2849" s="274" t="s">
        <v>229</v>
      </c>
    </row>
    <row r="2850" spans="1:5" ht="27">
      <c r="A2850" s="271">
        <v>101495</v>
      </c>
      <c r="B2850" s="272" t="s">
        <v>13085</v>
      </c>
      <c r="C2850" s="272" t="s">
        <v>109</v>
      </c>
      <c r="D2850" s="273" t="s">
        <v>22720</v>
      </c>
      <c r="E2850" s="274" t="s">
        <v>229</v>
      </c>
    </row>
    <row r="2851" spans="1:5" ht="27">
      <c r="A2851" s="271">
        <v>101496</v>
      </c>
      <c r="B2851" s="272" t="s">
        <v>13086</v>
      </c>
      <c r="C2851" s="272" t="s">
        <v>109</v>
      </c>
      <c r="D2851" s="273" t="s">
        <v>22721</v>
      </c>
      <c r="E2851" s="274" t="s">
        <v>229</v>
      </c>
    </row>
    <row r="2852" spans="1:5" ht="27">
      <c r="A2852" s="271">
        <v>101497</v>
      </c>
      <c r="B2852" s="272" t="s">
        <v>13087</v>
      </c>
      <c r="C2852" s="272" t="s">
        <v>109</v>
      </c>
      <c r="D2852" s="273" t="s">
        <v>22722</v>
      </c>
      <c r="E2852" s="274" t="s">
        <v>229</v>
      </c>
    </row>
    <row r="2853" spans="1:5" ht="27">
      <c r="A2853" s="271">
        <v>101498</v>
      </c>
      <c r="B2853" s="272" t="s">
        <v>13088</v>
      </c>
      <c r="C2853" s="272" t="s">
        <v>109</v>
      </c>
      <c r="D2853" s="273" t="s">
        <v>22723</v>
      </c>
      <c r="E2853" s="274" t="s">
        <v>229</v>
      </c>
    </row>
    <row r="2854" spans="1:5" ht="27">
      <c r="A2854" s="271">
        <v>101499</v>
      </c>
      <c r="B2854" s="272" t="s">
        <v>13089</v>
      </c>
      <c r="C2854" s="272" t="s">
        <v>109</v>
      </c>
      <c r="D2854" s="273" t="s">
        <v>22724</v>
      </c>
      <c r="E2854" s="274" t="s">
        <v>229</v>
      </c>
    </row>
    <row r="2855" spans="1:5" ht="27">
      <c r="A2855" s="271">
        <v>101500</v>
      </c>
      <c r="B2855" s="272" t="s">
        <v>13090</v>
      </c>
      <c r="C2855" s="272" t="s">
        <v>109</v>
      </c>
      <c r="D2855" s="273" t="s">
        <v>22725</v>
      </c>
      <c r="E2855" s="274" t="s">
        <v>229</v>
      </c>
    </row>
    <row r="2856" spans="1:5" ht="27">
      <c r="A2856" s="271">
        <v>101501</v>
      </c>
      <c r="B2856" s="272" t="s">
        <v>13091</v>
      </c>
      <c r="C2856" s="272" t="s">
        <v>109</v>
      </c>
      <c r="D2856" s="273" t="s">
        <v>22726</v>
      </c>
      <c r="E2856" s="274" t="s">
        <v>229</v>
      </c>
    </row>
    <row r="2857" spans="1:5" ht="27">
      <c r="A2857" s="271">
        <v>101502</v>
      </c>
      <c r="B2857" s="272" t="s">
        <v>13092</v>
      </c>
      <c r="C2857" s="272" t="s">
        <v>109</v>
      </c>
      <c r="D2857" s="273" t="s">
        <v>22727</v>
      </c>
      <c r="E2857" s="274" t="s">
        <v>229</v>
      </c>
    </row>
    <row r="2858" spans="1:5" ht="27">
      <c r="A2858" s="271">
        <v>101503</v>
      </c>
      <c r="B2858" s="272" t="s">
        <v>13093</v>
      </c>
      <c r="C2858" s="272" t="s">
        <v>109</v>
      </c>
      <c r="D2858" s="273" t="s">
        <v>22728</v>
      </c>
      <c r="E2858" s="274" t="s">
        <v>229</v>
      </c>
    </row>
    <row r="2859" spans="1:5" ht="27">
      <c r="A2859" s="271">
        <v>101504</v>
      </c>
      <c r="B2859" s="272" t="s">
        <v>13094</v>
      </c>
      <c r="C2859" s="272" t="s">
        <v>109</v>
      </c>
      <c r="D2859" s="273" t="s">
        <v>22729</v>
      </c>
      <c r="E2859" s="274" t="s">
        <v>229</v>
      </c>
    </row>
    <row r="2860" spans="1:5" ht="27">
      <c r="A2860" s="271">
        <v>101505</v>
      </c>
      <c r="B2860" s="272" t="s">
        <v>13095</v>
      </c>
      <c r="C2860" s="272" t="s">
        <v>109</v>
      </c>
      <c r="D2860" s="273" t="s">
        <v>22730</v>
      </c>
      <c r="E2860" s="274" t="s">
        <v>229</v>
      </c>
    </row>
    <row r="2861" spans="1:5" ht="27">
      <c r="A2861" s="271">
        <v>101506</v>
      </c>
      <c r="B2861" s="272" t="s">
        <v>13096</v>
      </c>
      <c r="C2861" s="272" t="s">
        <v>109</v>
      </c>
      <c r="D2861" s="273" t="s">
        <v>22731</v>
      </c>
      <c r="E2861" s="274" t="s">
        <v>229</v>
      </c>
    </row>
    <row r="2862" spans="1:5" ht="27">
      <c r="A2862" s="271">
        <v>101507</v>
      </c>
      <c r="B2862" s="272" t="s">
        <v>13097</v>
      </c>
      <c r="C2862" s="272" t="s">
        <v>109</v>
      </c>
      <c r="D2862" s="273" t="s">
        <v>22732</v>
      </c>
      <c r="E2862" s="274" t="s">
        <v>229</v>
      </c>
    </row>
    <row r="2863" spans="1:5" ht="27">
      <c r="A2863" s="271">
        <v>101508</v>
      </c>
      <c r="B2863" s="272" t="s">
        <v>13098</v>
      </c>
      <c r="C2863" s="272" t="s">
        <v>109</v>
      </c>
      <c r="D2863" s="273" t="s">
        <v>22733</v>
      </c>
      <c r="E2863" s="274" t="s">
        <v>229</v>
      </c>
    </row>
    <row r="2864" spans="1:5" ht="27">
      <c r="A2864" s="271">
        <v>101509</v>
      </c>
      <c r="B2864" s="272" t="s">
        <v>13099</v>
      </c>
      <c r="C2864" s="272" t="s">
        <v>109</v>
      </c>
      <c r="D2864" s="273" t="s">
        <v>22734</v>
      </c>
      <c r="E2864" s="274" t="s">
        <v>229</v>
      </c>
    </row>
    <row r="2865" spans="1:5" ht="27">
      <c r="A2865" s="271">
        <v>101510</v>
      </c>
      <c r="B2865" s="272" t="s">
        <v>13100</v>
      </c>
      <c r="C2865" s="272" t="s">
        <v>109</v>
      </c>
      <c r="D2865" s="273" t="s">
        <v>22735</v>
      </c>
      <c r="E2865" s="274" t="s">
        <v>229</v>
      </c>
    </row>
    <row r="2866" spans="1:5" ht="27">
      <c r="A2866" s="271">
        <v>101511</v>
      </c>
      <c r="B2866" s="272" t="s">
        <v>13101</v>
      </c>
      <c r="C2866" s="272" t="s">
        <v>109</v>
      </c>
      <c r="D2866" s="273" t="s">
        <v>22736</v>
      </c>
      <c r="E2866" s="274" t="s">
        <v>229</v>
      </c>
    </row>
    <row r="2867" spans="1:5" ht="27">
      <c r="A2867" s="271">
        <v>101512</v>
      </c>
      <c r="B2867" s="272" t="s">
        <v>13102</v>
      </c>
      <c r="C2867" s="272" t="s">
        <v>109</v>
      </c>
      <c r="D2867" s="273" t="s">
        <v>22737</v>
      </c>
      <c r="E2867" s="274" t="s">
        <v>229</v>
      </c>
    </row>
    <row r="2868" spans="1:5" ht="27">
      <c r="A2868" s="271">
        <v>101513</v>
      </c>
      <c r="B2868" s="272" t="s">
        <v>13103</v>
      </c>
      <c r="C2868" s="272" t="s">
        <v>109</v>
      </c>
      <c r="D2868" s="273" t="s">
        <v>22738</v>
      </c>
      <c r="E2868" s="274" t="s">
        <v>229</v>
      </c>
    </row>
    <row r="2869" spans="1:5" ht="27">
      <c r="A2869" s="271">
        <v>101514</v>
      </c>
      <c r="B2869" s="272" t="s">
        <v>13104</v>
      </c>
      <c r="C2869" s="272" t="s">
        <v>109</v>
      </c>
      <c r="D2869" s="273" t="s">
        <v>22739</v>
      </c>
      <c r="E2869" s="274" t="s">
        <v>229</v>
      </c>
    </row>
    <row r="2870" spans="1:5" ht="27">
      <c r="A2870" s="271">
        <v>101515</v>
      </c>
      <c r="B2870" s="272" t="s">
        <v>13105</v>
      </c>
      <c r="C2870" s="272" t="s">
        <v>109</v>
      </c>
      <c r="D2870" s="275" t="s">
        <v>22740</v>
      </c>
      <c r="E2870" s="274" t="s">
        <v>229</v>
      </c>
    </row>
    <row r="2871" spans="1:5" ht="27">
      <c r="A2871" s="271">
        <v>101516</v>
      </c>
      <c r="B2871" s="272" t="s">
        <v>13106</v>
      </c>
      <c r="C2871" s="272" t="s">
        <v>109</v>
      </c>
      <c r="D2871" s="273" t="s">
        <v>22741</v>
      </c>
      <c r="E2871" s="274" t="s">
        <v>229</v>
      </c>
    </row>
    <row r="2872" spans="1:5" ht="27">
      <c r="A2872" s="271">
        <v>101517</v>
      </c>
      <c r="B2872" s="272" t="s">
        <v>13107</v>
      </c>
      <c r="C2872" s="272" t="s">
        <v>109</v>
      </c>
      <c r="D2872" s="273" t="s">
        <v>22742</v>
      </c>
      <c r="E2872" s="274" t="s">
        <v>229</v>
      </c>
    </row>
    <row r="2873" spans="1:5" ht="27">
      <c r="A2873" s="271">
        <v>101518</v>
      </c>
      <c r="B2873" s="272" t="s">
        <v>13108</v>
      </c>
      <c r="C2873" s="272" t="s">
        <v>109</v>
      </c>
      <c r="D2873" s="273" t="s">
        <v>22743</v>
      </c>
      <c r="E2873" s="274" t="s">
        <v>229</v>
      </c>
    </row>
    <row r="2874" spans="1:5" ht="27">
      <c r="A2874" s="271">
        <v>101519</v>
      </c>
      <c r="B2874" s="272" t="s">
        <v>13109</v>
      </c>
      <c r="C2874" s="272" t="s">
        <v>109</v>
      </c>
      <c r="D2874" s="273" t="s">
        <v>22744</v>
      </c>
      <c r="E2874" s="274" t="s">
        <v>229</v>
      </c>
    </row>
    <row r="2875" spans="1:5" ht="27">
      <c r="A2875" s="271">
        <v>101520</v>
      </c>
      <c r="B2875" s="272" t="s">
        <v>13110</v>
      </c>
      <c r="C2875" s="272" t="s">
        <v>109</v>
      </c>
      <c r="D2875" s="273" t="s">
        <v>22745</v>
      </c>
      <c r="E2875" s="274" t="s">
        <v>229</v>
      </c>
    </row>
    <row r="2876" spans="1:5" ht="27">
      <c r="A2876" s="271">
        <v>101521</v>
      </c>
      <c r="B2876" s="272" t="s">
        <v>13111</v>
      </c>
      <c r="C2876" s="272" t="s">
        <v>109</v>
      </c>
      <c r="D2876" s="273" t="s">
        <v>22746</v>
      </c>
      <c r="E2876" s="274" t="s">
        <v>229</v>
      </c>
    </row>
    <row r="2877" spans="1:5" ht="27">
      <c r="A2877" s="271">
        <v>101522</v>
      </c>
      <c r="B2877" s="272" t="s">
        <v>13112</v>
      </c>
      <c r="C2877" s="272" t="s">
        <v>109</v>
      </c>
      <c r="D2877" s="273" t="s">
        <v>22747</v>
      </c>
      <c r="E2877" s="274" t="s">
        <v>229</v>
      </c>
    </row>
    <row r="2878" spans="1:5" ht="27">
      <c r="A2878" s="271">
        <v>101523</v>
      </c>
      <c r="B2878" s="272" t="s">
        <v>13113</v>
      </c>
      <c r="C2878" s="272" t="s">
        <v>109</v>
      </c>
      <c r="D2878" s="273" t="s">
        <v>22748</v>
      </c>
      <c r="E2878" s="274" t="s">
        <v>229</v>
      </c>
    </row>
    <row r="2879" spans="1:5" ht="27">
      <c r="A2879" s="271">
        <v>101524</v>
      </c>
      <c r="B2879" s="272" t="s">
        <v>13114</v>
      </c>
      <c r="C2879" s="272" t="s">
        <v>109</v>
      </c>
      <c r="D2879" s="273" t="s">
        <v>22749</v>
      </c>
      <c r="E2879" s="274" t="s">
        <v>229</v>
      </c>
    </row>
    <row r="2880" spans="1:5" ht="27">
      <c r="A2880" s="271">
        <v>101525</v>
      </c>
      <c r="B2880" s="272" t="s">
        <v>13115</v>
      </c>
      <c r="C2880" s="272" t="s">
        <v>109</v>
      </c>
      <c r="D2880" s="275" t="s">
        <v>22750</v>
      </c>
      <c r="E2880" s="274" t="s">
        <v>229</v>
      </c>
    </row>
    <row r="2881" spans="1:5" ht="27">
      <c r="A2881" s="271">
        <v>101526</v>
      </c>
      <c r="B2881" s="272" t="s">
        <v>13116</v>
      </c>
      <c r="C2881" s="272" t="s">
        <v>109</v>
      </c>
      <c r="D2881" s="273" t="s">
        <v>22751</v>
      </c>
      <c r="E2881" s="274" t="s">
        <v>229</v>
      </c>
    </row>
    <row r="2882" spans="1:5" ht="27">
      <c r="A2882" s="271">
        <v>101527</v>
      </c>
      <c r="B2882" s="272" t="s">
        <v>13117</v>
      </c>
      <c r="C2882" s="272" t="s">
        <v>109</v>
      </c>
      <c r="D2882" s="273" t="s">
        <v>22752</v>
      </c>
      <c r="E2882" s="274" t="s">
        <v>229</v>
      </c>
    </row>
    <row r="2883" spans="1:5" ht="27">
      <c r="A2883" s="271">
        <v>101528</v>
      </c>
      <c r="B2883" s="272" t="s">
        <v>13118</v>
      </c>
      <c r="C2883" s="272" t="s">
        <v>109</v>
      </c>
      <c r="D2883" s="273" t="s">
        <v>22753</v>
      </c>
      <c r="E2883" s="274" t="s">
        <v>229</v>
      </c>
    </row>
    <row r="2884" spans="1:5" ht="27">
      <c r="A2884" s="271">
        <v>101529</v>
      </c>
      <c r="B2884" s="272" t="s">
        <v>13119</v>
      </c>
      <c r="C2884" s="272" t="s">
        <v>109</v>
      </c>
      <c r="D2884" s="273" t="s">
        <v>22754</v>
      </c>
      <c r="E2884" s="274" t="s">
        <v>229</v>
      </c>
    </row>
    <row r="2885" spans="1:5" ht="27">
      <c r="A2885" s="271">
        <v>101530</v>
      </c>
      <c r="B2885" s="272" t="s">
        <v>13120</v>
      </c>
      <c r="C2885" s="272" t="s">
        <v>109</v>
      </c>
      <c r="D2885" s="273" t="s">
        <v>22755</v>
      </c>
      <c r="E2885" s="274" t="s">
        <v>229</v>
      </c>
    </row>
    <row r="2886" spans="1:5" ht="27">
      <c r="A2886" s="271">
        <v>101531</v>
      </c>
      <c r="B2886" s="272" t="s">
        <v>13121</v>
      </c>
      <c r="C2886" s="272" t="s">
        <v>109</v>
      </c>
      <c r="D2886" s="273" t="s">
        <v>22756</v>
      </c>
      <c r="E2886" s="274" t="s">
        <v>229</v>
      </c>
    </row>
    <row r="2887" spans="1:5" ht="27">
      <c r="A2887" s="271">
        <v>101532</v>
      </c>
      <c r="B2887" s="272" t="s">
        <v>13122</v>
      </c>
      <c r="C2887" s="272" t="s">
        <v>109</v>
      </c>
      <c r="D2887" s="273" t="s">
        <v>22757</v>
      </c>
      <c r="E2887" s="274" t="s">
        <v>229</v>
      </c>
    </row>
    <row r="2888" spans="1:5" ht="27">
      <c r="A2888" s="271">
        <v>101533</v>
      </c>
      <c r="B2888" s="272" t="s">
        <v>13123</v>
      </c>
      <c r="C2888" s="272" t="s">
        <v>109</v>
      </c>
      <c r="D2888" s="273" t="s">
        <v>22758</v>
      </c>
      <c r="E2888" s="274" t="s">
        <v>229</v>
      </c>
    </row>
    <row r="2889" spans="1:5" ht="27">
      <c r="A2889" s="271">
        <v>101534</v>
      </c>
      <c r="B2889" s="272" t="s">
        <v>13124</v>
      </c>
      <c r="C2889" s="272" t="s">
        <v>109</v>
      </c>
      <c r="D2889" s="273" t="s">
        <v>22759</v>
      </c>
      <c r="E2889" s="274" t="s">
        <v>229</v>
      </c>
    </row>
    <row r="2890" spans="1:5" ht="27">
      <c r="A2890" s="271">
        <v>101535</v>
      </c>
      <c r="B2890" s="272" t="s">
        <v>13125</v>
      </c>
      <c r="C2890" s="272" t="s">
        <v>109</v>
      </c>
      <c r="D2890" s="273" t="s">
        <v>22760</v>
      </c>
      <c r="E2890" s="274" t="s">
        <v>229</v>
      </c>
    </row>
    <row r="2891" spans="1:5" ht="27">
      <c r="A2891" s="271">
        <v>101536</v>
      </c>
      <c r="B2891" s="272" t="s">
        <v>13126</v>
      </c>
      <c r="C2891" s="272" t="s">
        <v>109</v>
      </c>
      <c r="D2891" s="273" t="s">
        <v>22761</v>
      </c>
      <c r="E2891" s="274" t="s">
        <v>229</v>
      </c>
    </row>
    <row r="2892" spans="1:5" ht="27">
      <c r="A2892" s="271">
        <v>101537</v>
      </c>
      <c r="B2892" s="272" t="s">
        <v>13127</v>
      </c>
      <c r="C2892" s="272" t="s">
        <v>109</v>
      </c>
      <c r="D2892" s="273" t="s">
        <v>16426</v>
      </c>
      <c r="E2892" s="274" t="s">
        <v>229</v>
      </c>
    </row>
    <row r="2893" spans="1:5" ht="27">
      <c r="A2893" s="271">
        <v>101538</v>
      </c>
      <c r="B2893" s="272" t="s">
        <v>13128</v>
      </c>
      <c r="C2893" s="272" t="s">
        <v>109</v>
      </c>
      <c r="D2893" s="273" t="s">
        <v>22762</v>
      </c>
      <c r="E2893" s="274" t="s">
        <v>229</v>
      </c>
    </row>
    <row r="2894" spans="1:5" ht="27">
      <c r="A2894" s="271">
        <v>101539</v>
      </c>
      <c r="B2894" s="272" t="s">
        <v>13129</v>
      </c>
      <c r="C2894" s="272" t="s">
        <v>109</v>
      </c>
      <c r="D2894" s="273" t="s">
        <v>22763</v>
      </c>
      <c r="E2894" s="274" t="s">
        <v>229</v>
      </c>
    </row>
    <row r="2895" spans="1:5" ht="27">
      <c r="A2895" s="271">
        <v>101540</v>
      </c>
      <c r="B2895" s="272" t="s">
        <v>13130</v>
      </c>
      <c r="C2895" s="272" t="s">
        <v>109</v>
      </c>
      <c r="D2895" s="273" t="s">
        <v>22764</v>
      </c>
      <c r="E2895" s="274" t="s">
        <v>229</v>
      </c>
    </row>
    <row r="2896" spans="1:5" ht="27">
      <c r="A2896" s="271">
        <v>101541</v>
      </c>
      <c r="B2896" s="272" t="s">
        <v>13131</v>
      </c>
      <c r="C2896" s="272" t="s">
        <v>109</v>
      </c>
      <c r="D2896" s="273" t="s">
        <v>22765</v>
      </c>
      <c r="E2896" s="274" t="s">
        <v>229</v>
      </c>
    </row>
    <row r="2897" spans="1:5" ht="27">
      <c r="A2897" s="271">
        <v>101542</v>
      </c>
      <c r="B2897" s="272" t="s">
        <v>13132</v>
      </c>
      <c r="C2897" s="272" t="s">
        <v>109</v>
      </c>
      <c r="D2897" s="275" t="s">
        <v>19338</v>
      </c>
      <c r="E2897" s="274" t="s">
        <v>229</v>
      </c>
    </row>
    <row r="2898" spans="1:5" ht="27">
      <c r="A2898" s="271">
        <v>101543</v>
      </c>
      <c r="B2898" s="272" t="s">
        <v>13133</v>
      </c>
      <c r="C2898" s="272" t="s">
        <v>109</v>
      </c>
      <c r="D2898" s="273" t="s">
        <v>16559</v>
      </c>
      <c r="E2898" s="274" t="s">
        <v>229</v>
      </c>
    </row>
    <row r="2899" spans="1:5" ht="27">
      <c r="A2899" s="271">
        <v>101544</v>
      </c>
      <c r="B2899" s="272" t="s">
        <v>13134</v>
      </c>
      <c r="C2899" s="272" t="s">
        <v>109</v>
      </c>
      <c r="D2899" s="273" t="s">
        <v>14243</v>
      </c>
      <c r="E2899" s="274" t="s">
        <v>229</v>
      </c>
    </row>
    <row r="2900" spans="1:5" ht="27">
      <c r="A2900" s="271">
        <v>101545</v>
      </c>
      <c r="B2900" s="272" t="s">
        <v>13135</v>
      </c>
      <c r="C2900" s="272" t="s">
        <v>109</v>
      </c>
      <c r="D2900" s="273" t="s">
        <v>22766</v>
      </c>
      <c r="E2900" s="274" t="s">
        <v>229</v>
      </c>
    </row>
    <row r="2901" spans="1:5" ht="13.5">
      <c r="A2901" s="271">
        <v>101546</v>
      </c>
      <c r="B2901" s="272" t="s">
        <v>13136</v>
      </c>
      <c r="C2901" s="272" t="s">
        <v>109</v>
      </c>
      <c r="D2901" s="273" t="s">
        <v>16333</v>
      </c>
      <c r="E2901" s="274" t="s">
        <v>229</v>
      </c>
    </row>
    <row r="2902" spans="1:5" ht="13.5">
      <c r="A2902" s="271">
        <v>101547</v>
      </c>
      <c r="B2902" s="272" t="s">
        <v>13137</v>
      </c>
      <c r="C2902" s="272" t="s">
        <v>109</v>
      </c>
      <c r="D2902" s="273" t="s">
        <v>22767</v>
      </c>
      <c r="E2902" s="274" t="s">
        <v>229</v>
      </c>
    </row>
    <row r="2903" spans="1:5" ht="13.5">
      <c r="A2903" s="271">
        <v>101548</v>
      </c>
      <c r="B2903" s="272" t="s">
        <v>13138</v>
      </c>
      <c r="C2903" s="272" t="s">
        <v>109</v>
      </c>
      <c r="D2903" s="273" t="s">
        <v>19757</v>
      </c>
      <c r="E2903" s="274" t="s">
        <v>229</v>
      </c>
    </row>
    <row r="2904" spans="1:5" ht="27">
      <c r="A2904" s="271">
        <v>101549</v>
      </c>
      <c r="B2904" s="272" t="s">
        <v>13139</v>
      </c>
      <c r="C2904" s="272" t="s">
        <v>109</v>
      </c>
      <c r="D2904" s="273" t="s">
        <v>11485</v>
      </c>
      <c r="E2904" s="274" t="s">
        <v>229</v>
      </c>
    </row>
    <row r="2905" spans="1:5" ht="27">
      <c r="A2905" s="271">
        <v>101553</v>
      </c>
      <c r="B2905" s="272" t="s">
        <v>13140</v>
      </c>
      <c r="C2905" s="272" t="s">
        <v>109</v>
      </c>
      <c r="D2905" s="273" t="s">
        <v>20252</v>
      </c>
      <c r="E2905" s="274" t="s">
        <v>229</v>
      </c>
    </row>
    <row r="2906" spans="1:5" ht="27">
      <c r="A2906" s="271">
        <v>101554</v>
      </c>
      <c r="B2906" s="272" t="s">
        <v>13141</v>
      </c>
      <c r="C2906" s="272" t="s">
        <v>109</v>
      </c>
      <c r="D2906" s="273" t="s">
        <v>14137</v>
      </c>
      <c r="E2906" s="274" t="s">
        <v>229</v>
      </c>
    </row>
    <row r="2907" spans="1:5" ht="27">
      <c r="A2907" s="271">
        <v>101555</v>
      </c>
      <c r="B2907" s="272" t="s">
        <v>13142</v>
      </c>
      <c r="C2907" s="272" t="s">
        <v>109</v>
      </c>
      <c r="D2907" s="275" t="s">
        <v>10529</v>
      </c>
      <c r="E2907" s="274" t="s">
        <v>229</v>
      </c>
    </row>
    <row r="2908" spans="1:5" ht="27">
      <c r="A2908" s="271">
        <v>101556</v>
      </c>
      <c r="B2908" s="272" t="s">
        <v>13143</v>
      </c>
      <c r="C2908" s="272" t="s">
        <v>109</v>
      </c>
      <c r="D2908" s="273" t="s">
        <v>19548</v>
      </c>
      <c r="E2908" s="274" t="s">
        <v>229</v>
      </c>
    </row>
    <row r="2909" spans="1:5" ht="27">
      <c r="A2909" s="271">
        <v>101560</v>
      </c>
      <c r="B2909" s="272" t="s">
        <v>13144</v>
      </c>
      <c r="C2909" s="272" t="s">
        <v>5</v>
      </c>
      <c r="D2909" s="275" t="s">
        <v>10457</v>
      </c>
      <c r="E2909" s="274" t="s">
        <v>229</v>
      </c>
    </row>
    <row r="2910" spans="1:5" ht="27">
      <c r="A2910" s="271">
        <v>101561</v>
      </c>
      <c r="B2910" s="272" t="s">
        <v>13145</v>
      </c>
      <c r="C2910" s="272" t="s">
        <v>5</v>
      </c>
      <c r="D2910" s="275" t="s">
        <v>12192</v>
      </c>
      <c r="E2910" s="274" t="s">
        <v>229</v>
      </c>
    </row>
    <row r="2911" spans="1:5" ht="27">
      <c r="A2911" s="271">
        <v>101562</v>
      </c>
      <c r="B2911" s="272" t="s">
        <v>13146</v>
      </c>
      <c r="C2911" s="272" t="s">
        <v>5</v>
      </c>
      <c r="D2911" s="275" t="s">
        <v>9788</v>
      </c>
      <c r="E2911" s="274" t="s">
        <v>229</v>
      </c>
    </row>
    <row r="2912" spans="1:5" ht="27">
      <c r="A2912" s="271">
        <v>101563</v>
      </c>
      <c r="B2912" s="272" t="s">
        <v>13147</v>
      </c>
      <c r="C2912" s="272" t="s">
        <v>5</v>
      </c>
      <c r="D2912" s="275" t="s">
        <v>16707</v>
      </c>
      <c r="E2912" s="274" t="s">
        <v>229</v>
      </c>
    </row>
    <row r="2913" spans="1:5" ht="27">
      <c r="A2913" s="271">
        <v>101564</v>
      </c>
      <c r="B2913" s="272" t="s">
        <v>13148</v>
      </c>
      <c r="C2913" s="272" t="s">
        <v>5</v>
      </c>
      <c r="D2913" s="275" t="s">
        <v>15970</v>
      </c>
      <c r="E2913" s="274" t="s">
        <v>229</v>
      </c>
    </row>
    <row r="2914" spans="1:5" ht="27">
      <c r="A2914" s="271">
        <v>101565</v>
      </c>
      <c r="B2914" s="272" t="s">
        <v>13149</v>
      </c>
      <c r="C2914" s="272" t="s">
        <v>5</v>
      </c>
      <c r="D2914" s="275" t="s">
        <v>15927</v>
      </c>
      <c r="E2914" s="274" t="s">
        <v>229</v>
      </c>
    </row>
    <row r="2915" spans="1:5" ht="27">
      <c r="A2915" s="271">
        <v>101567</v>
      </c>
      <c r="B2915" s="272" t="s">
        <v>13150</v>
      </c>
      <c r="C2915" s="272" t="s">
        <v>5</v>
      </c>
      <c r="D2915" s="273" t="s">
        <v>22768</v>
      </c>
      <c r="E2915" s="274" t="s">
        <v>229</v>
      </c>
    </row>
    <row r="2916" spans="1:5" ht="27">
      <c r="A2916" s="271">
        <v>101568</v>
      </c>
      <c r="B2916" s="272" t="s">
        <v>13151</v>
      </c>
      <c r="C2916" s="272" t="s">
        <v>5</v>
      </c>
      <c r="D2916" s="275" t="s">
        <v>22769</v>
      </c>
      <c r="E2916" s="274" t="s">
        <v>229</v>
      </c>
    </row>
    <row r="2917" spans="1:5" ht="27">
      <c r="A2917" s="271">
        <v>101626</v>
      </c>
      <c r="B2917" s="272" t="s">
        <v>13152</v>
      </c>
      <c r="C2917" s="272" t="s">
        <v>109</v>
      </c>
      <c r="D2917" s="275" t="s">
        <v>22770</v>
      </c>
      <c r="E2917" s="274" t="s">
        <v>229</v>
      </c>
    </row>
    <row r="2918" spans="1:5" ht="27">
      <c r="A2918" s="271">
        <v>101627</v>
      </c>
      <c r="B2918" s="272" t="s">
        <v>13153</v>
      </c>
      <c r="C2918" s="272" t="s">
        <v>109</v>
      </c>
      <c r="D2918" s="273" t="s">
        <v>22771</v>
      </c>
      <c r="E2918" s="274" t="s">
        <v>229</v>
      </c>
    </row>
    <row r="2919" spans="1:5" ht="27">
      <c r="A2919" s="271">
        <v>101628</v>
      </c>
      <c r="B2919" s="272" t="s">
        <v>13154</v>
      </c>
      <c r="C2919" s="272" t="s">
        <v>109</v>
      </c>
      <c r="D2919" s="273" t="s">
        <v>22772</v>
      </c>
      <c r="E2919" s="274" t="s">
        <v>229</v>
      </c>
    </row>
    <row r="2920" spans="1:5" ht="27">
      <c r="A2920" s="271">
        <v>101629</v>
      </c>
      <c r="B2920" s="272" t="s">
        <v>13155</v>
      </c>
      <c r="C2920" s="272" t="s">
        <v>109</v>
      </c>
      <c r="D2920" s="273" t="s">
        <v>22773</v>
      </c>
      <c r="E2920" s="274" t="s">
        <v>229</v>
      </c>
    </row>
    <row r="2921" spans="1:5" ht="13.5">
      <c r="A2921" s="271">
        <v>101630</v>
      </c>
      <c r="B2921" s="272" t="s">
        <v>13156</v>
      </c>
      <c r="C2921" s="272" t="s">
        <v>109</v>
      </c>
      <c r="D2921" s="273" t="s">
        <v>11550</v>
      </c>
      <c r="E2921" s="274" t="s">
        <v>229</v>
      </c>
    </row>
    <row r="2922" spans="1:5" ht="27">
      <c r="A2922" s="271">
        <v>101631</v>
      </c>
      <c r="B2922" s="272" t="s">
        <v>13157</v>
      </c>
      <c r="C2922" s="272" t="s">
        <v>109</v>
      </c>
      <c r="D2922" s="273" t="s">
        <v>10355</v>
      </c>
      <c r="E2922" s="274" t="s">
        <v>229</v>
      </c>
    </row>
    <row r="2923" spans="1:5" ht="27">
      <c r="A2923" s="271">
        <v>101632</v>
      </c>
      <c r="B2923" s="272" t="s">
        <v>13158</v>
      </c>
      <c r="C2923" s="272" t="s">
        <v>109</v>
      </c>
      <c r="D2923" s="273" t="s">
        <v>12209</v>
      </c>
      <c r="E2923" s="274" t="s">
        <v>229</v>
      </c>
    </row>
    <row r="2924" spans="1:5" ht="27">
      <c r="A2924" s="271">
        <v>101633</v>
      </c>
      <c r="B2924" s="272" t="s">
        <v>13159</v>
      </c>
      <c r="C2924" s="272" t="s">
        <v>109</v>
      </c>
      <c r="D2924" s="273" t="s">
        <v>22774</v>
      </c>
      <c r="E2924" s="274" t="s">
        <v>229</v>
      </c>
    </row>
    <row r="2925" spans="1:5" ht="27">
      <c r="A2925" s="271">
        <v>101636</v>
      </c>
      <c r="B2925" s="272" t="s">
        <v>13160</v>
      </c>
      <c r="C2925" s="272" t="s">
        <v>109</v>
      </c>
      <c r="D2925" s="273" t="s">
        <v>22775</v>
      </c>
      <c r="E2925" s="274" t="s">
        <v>229</v>
      </c>
    </row>
    <row r="2926" spans="1:5" ht="27">
      <c r="A2926" s="271">
        <v>101637</v>
      </c>
      <c r="B2926" s="272" t="s">
        <v>13161</v>
      </c>
      <c r="C2926" s="272" t="s">
        <v>109</v>
      </c>
      <c r="D2926" s="273" t="s">
        <v>22776</v>
      </c>
      <c r="E2926" s="274" t="s">
        <v>229</v>
      </c>
    </row>
    <row r="2927" spans="1:5" ht="13.5">
      <c r="A2927" s="271">
        <v>101640</v>
      </c>
      <c r="B2927" s="272" t="s">
        <v>13162</v>
      </c>
      <c r="C2927" s="272" t="s">
        <v>109</v>
      </c>
      <c r="D2927" s="273" t="s">
        <v>22777</v>
      </c>
      <c r="E2927" s="274" t="s">
        <v>229</v>
      </c>
    </row>
    <row r="2928" spans="1:5" ht="13.5">
      <c r="A2928" s="271">
        <v>101641</v>
      </c>
      <c r="B2928" s="272" t="s">
        <v>13163</v>
      </c>
      <c r="C2928" s="272" t="s">
        <v>109</v>
      </c>
      <c r="D2928" s="273" t="s">
        <v>16560</v>
      </c>
      <c r="E2928" s="274" t="s">
        <v>229</v>
      </c>
    </row>
    <row r="2929" spans="1:5" ht="13.5">
      <c r="A2929" s="271">
        <v>101642</v>
      </c>
      <c r="B2929" s="272" t="s">
        <v>13164</v>
      </c>
      <c r="C2929" s="272" t="s">
        <v>109</v>
      </c>
      <c r="D2929" s="273" t="s">
        <v>16024</v>
      </c>
      <c r="E2929" s="274" t="s">
        <v>229</v>
      </c>
    </row>
    <row r="2930" spans="1:5" ht="13.5">
      <c r="A2930" s="271">
        <v>101643</v>
      </c>
      <c r="B2930" s="272" t="s">
        <v>13165</v>
      </c>
      <c r="C2930" s="272" t="s">
        <v>109</v>
      </c>
      <c r="D2930" s="273" t="s">
        <v>16588</v>
      </c>
      <c r="E2930" s="274" t="s">
        <v>229</v>
      </c>
    </row>
    <row r="2931" spans="1:5" ht="13.5">
      <c r="A2931" s="271">
        <v>101644</v>
      </c>
      <c r="B2931" s="272" t="s">
        <v>13166</v>
      </c>
      <c r="C2931" s="272" t="s">
        <v>109</v>
      </c>
      <c r="D2931" s="273" t="s">
        <v>22778</v>
      </c>
      <c r="E2931" s="274" t="s">
        <v>229</v>
      </c>
    </row>
    <row r="2932" spans="1:5" ht="13.5">
      <c r="A2932" s="271">
        <v>101645</v>
      </c>
      <c r="B2932" s="272" t="s">
        <v>13167</v>
      </c>
      <c r="C2932" s="272" t="s">
        <v>109</v>
      </c>
      <c r="D2932" s="273" t="s">
        <v>22779</v>
      </c>
      <c r="E2932" s="274" t="s">
        <v>229</v>
      </c>
    </row>
    <row r="2933" spans="1:5" ht="13.5">
      <c r="A2933" s="271">
        <v>101646</v>
      </c>
      <c r="B2933" s="272" t="s">
        <v>13168</v>
      </c>
      <c r="C2933" s="272" t="s">
        <v>109</v>
      </c>
      <c r="D2933" s="273" t="s">
        <v>22567</v>
      </c>
      <c r="E2933" s="274" t="s">
        <v>229</v>
      </c>
    </row>
    <row r="2934" spans="1:5" ht="13.5">
      <c r="A2934" s="271">
        <v>101647</v>
      </c>
      <c r="B2934" s="272" t="s">
        <v>13169</v>
      </c>
      <c r="C2934" s="272" t="s">
        <v>109</v>
      </c>
      <c r="D2934" s="273" t="s">
        <v>14204</v>
      </c>
      <c r="E2934" s="274" t="s">
        <v>229</v>
      </c>
    </row>
    <row r="2935" spans="1:5" ht="13.5">
      <c r="A2935" s="271">
        <v>101648</v>
      </c>
      <c r="B2935" s="272" t="s">
        <v>13170</v>
      </c>
      <c r="C2935" s="272" t="s">
        <v>109</v>
      </c>
      <c r="D2935" s="273" t="s">
        <v>16010</v>
      </c>
      <c r="E2935" s="274" t="s">
        <v>229</v>
      </c>
    </row>
    <row r="2936" spans="1:5" ht="13.5">
      <c r="A2936" s="271">
        <v>101649</v>
      </c>
      <c r="B2936" s="272" t="s">
        <v>13171</v>
      </c>
      <c r="C2936" s="272" t="s">
        <v>109</v>
      </c>
      <c r="D2936" s="273" t="s">
        <v>22780</v>
      </c>
      <c r="E2936" s="274" t="s">
        <v>229</v>
      </c>
    </row>
    <row r="2937" spans="1:5" ht="13.5">
      <c r="A2937" s="271">
        <v>101650</v>
      </c>
      <c r="B2937" s="272" t="s">
        <v>13172</v>
      </c>
      <c r="C2937" s="272" t="s">
        <v>109</v>
      </c>
      <c r="D2937" s="273" t="s">
        <v>22781</v>
      </c>
      <c r="E2937" s="274" t="s">
        <v>229</v>
      </c>
    </row>
    <row r="2938" spans="1:5" ht="13.5">
      <c r="A2938" s="271">
        <v>101651</v>
      </c>
      <c r="B2938" s="272" t="s">
        <v>13173</v>
      </c>
      <c r="C2938" s="272" t="s">
        <v>109</v>
      </c>
      <c r="D2938" s="273" t="s">
        <v>10638</v>
      </c>
      <c r="E2938" s="274" t="s">
        <v>229</v>
      </c>
    </row>
    <row r="2939" spans="1:5" ht="27">
      <c r="A2939" s="271">
        <v>101652</v>
      </c>
      <c r="B2939" s="272" t="s">
        <v>13174</v>
      </c>
      <c r="C2939" s="272" t="s">
        <v>109</v>
      </c>
      <c r="D2939" s="273" t="s">
        <v>22782</v>
      </c>
      <c r="E2939" s="274" t="s">
        <v>229</v>
      </c>
    </row>
    <row r="2940" spans="1:5" ht="40.5">
      <c r="A2940" s="271">
        <v>101653</v>
      </c>
      <c r="B2940" s="272" t="s">
        <v>13175</v>
      </c>
      <c r="C2940" s="272" t="s">
        <v>109</v>
      </c>
      <c r="D2940" s="273" t="s">
        <v>22783</v>
      </c>
      <c r="E2940" s="274" t="s">
        <v>229</v>
      </c>
    </row>
    <row r="2941" spans="1:5" ht="27">
      <c r="A2941" s="271">
        <v>101654</v>
      </c>
      <c r="B2941" s="272" t="s">
        <v>13176</v>
      </c>
      <c r="C2941" s="272" t="s">
        <v>109</v>
      </c>
      <c r="D2941" s="273" t="s">
        <v>22784</v>
      </c>
      <c r="E2941" s="274" t="s">
        <v>229</v>
      </c>
    </row>
    <row r="2942" spans="1:5" ht="27">
      <c r="A2942" s="271">
        <v>101655</v>
      </c>
      <c r="B2942" s="272" t="s">
        <v>13177</v>
      </c>
      <c r="C2942" s="272" t="s">
        <v>109</v>
      </c>
      <c r="D2942" s="273" t="s">
        <v>22785</v>
      </c>
      <c r="E2942" s="274" t="s">
        <v>229</v>
      </c>
    </row>
    <row r="2943" spans="1:5" ht="27">
      <c r="A2943" s="271">
        <v>101656</v>
      </c>
      <c r="B2943" s="272" t="s">
        <v>13178</v>
      </c>
      <c r="C2943" s="272" t="s">
        <v>109</v>
      </c>
      <c r="D2943" s="273" t="s">
        <v>22786</v>
      </c>
      <c r="E2943" s="274" t="s">
        <v>229</v>
      </c>
    </row>
    <row r="2944" spans="1:5" ht="27">
      <c r="A2944" s="271">
        <v>101657</v>
      </c>
      <c r="B2944" s="272" t="s">
        <v>13179</v>
      </c>
      <c r="C2944" s="272" t="s">
        <v>109</v>
      </c>
      <c r="D2944" s="273" t="s">
        <v>22787</v>
      </c>
      <c r="E2944" s="274" t="s">
        <v>229</v>
      </c>
    </row>
    <row r="2945" spans="1:5" ht="27">
      <c r="A2945" s="271">
        <v>101658</v>
      </c>
      <c r="B2945" s="272" t="s">
        <v>13180</v>
      </c>
      <c r="C2945" s="272" t="s">
        <v>109</v>
      </c>
      <c r="D2945" s="273" t="s">
        <v>22788</v>
      </c>
      <c r="E2945" s="274" t="s">
        <v>229</v>
      </c>
    </row>
    <row r="2946" spans="1:5" ht="27">
      <c r="A2946" s="271">
        <v>101659</v>
      </c>
      <c r="B2946" s="272" t="s">
        <v>13181</v>
      </c>
      <c r="C2946" s="272" t="s">
        <v>109</v>
      </c>
      <c r="D2946" s="273" t="s">
        <v>22789</v>
      </c>
      <c r="E2946" s="274" t="s">
        <v>229</v>
      </c>
    </row>
    <row r="2947" spans="1:5" ht="27">
      <c r="A2947" s="271">
        <v>101660</v>
      </c>
      <c r="B2947" s="272" t="s">
        <v>13182</v>
      </c>
      <c r="C2947" s="272" t="s">
        <v>109</v>
      </c>
      <c r="D2947" s="273" t="s">
        <v>22790</v>
      </c>
      <c r="E2947" s="274" t="s">
        <v>229</v>
      </c>
    </row>
    <row r="2948" spans="1:5" ht="27">
      <c r="A2948" s="271">
        <v>101661</v>
      </c>
      <c r="B2948" s="272" t="s">
        <v>13183</v>
      </c>
      <c r="C2948" s="272" t="s">
        <v>109</v>
      </c>
      <c r="D2948" s="273" t="s">
        <v>22791</v>
      </c>
      <c r="E2948" s="274" t="s">
        <v>229</v>
      </c>
    </row>
    <row r="2949" spans="1:5" ht="27">
      <c r="A2949" s="271">
        <v>101662</v>
      </c>
      <c r="B2949" s="272" t="s">
        <v>13184</v>
      </c>
      <c r="C2949" s="272" t="s">
        <v>109</v>
      </c>
      <c r="D2949" s="273" t="s">
        <v>22792</v>
      </c>
      <c r="E2949" s="274" t="s">
        <v>229</v>
      </c>
    </row>
    <row r="2950" spans="1:5" ht="27">
      <c r="A2950" s="271">
        <v>101663</v>
      </c>
      <c r="B2950" s="272" t="s">
        <v>13185</v>
      </c>
      <c r="C2950" s="272" t="s">
        <v>109</v>
      </c>
      <c r="D2950" s="273" t="s">
        <v>10436</v>
      </c>
      <c r="E2950" s="274" t="s">
        <v>229</v>
      </c>
    </row>
    <row r="2951" spans="1:5" ht="27">
      <c r="A2951" s="271">
        <v>101664</v>
      </c>
      <c r="B2951" s="272" t="s">
        <v>13186</v>
      </c>
      <c r="C2951" s="272" t="s">
        <v>109</v>
      </c>
      <c r="D2951" s="273" t="s">
        <v>16557</v>
      </c>
      <c r="E2951" s="274" t="s">
        <v>229</v>
      </c>
    </row>
    <row r="2952" spans="1:5" ht="27">
      <c r="A2952" s="271">
        <v>101665</v>
      </c>
      <c r="B2952" s="272" t="s">
        <v>13187</v>
      </c>
      <c r="C2952" s="272" t="s">
        <v>109</v>
      </c>
      <c r="D2952" s="273" t="s">
        <v>12222</v>
      </c>
      <c r="E2952" s="274" t="s">
        <v>229</v>
      </c>
    </row>
    <row r="2953" spans="1:5" ht="27">
      <c r="A2953" s="271">
        <v>101666</v>
      </c>
      <c r="B2953" s="272" t="s">
        <v>13188</v>
      </c>
      <c r="C2953" s="272" t="s">
        <v>109</v>
      </c>
      <c r="D2953" s="273" t="s">
        <v>22793</v>
      </c>
      <c r="E2953" s="274" t="s">
        <v>229</v>
      </c>
    </row>
    <row r="2954" spans="1:5" ht="27">
      <c r="A2954" s="271">
        <v>102085</v>
      </c>
      <c r="B2954" s="272" t="s">
        <v>13189</v>
      </c>
      <c r="C2954" s="272" t="s">
        <v>109</v>
      </c>
      <c r="D2954" s="273" t="s">
        <v>22794</v>
      </c>
      <c r="E2954" s="274" t="s">
        <v>229</v>
      </c>
    </row>
    <row r="2955" spans="1:5" ht="40.5">
      <c r="A2955" s="271">
        <v>100578</v>
      </c>
      <c r="B2955" s="272" t="s">
        <v>9179</v>
      </c>
      <c r="C2955" s="272" t="s">
        <v>109</v>
      </c>
      <c r="D2955" s="273" t="s">
        <v>22795</v>
      </c>
      <c r="E2955" s="274" t="s">
        <v>229</v>
      </c>
    </row>
    <row r="2956" spans="1:5" ht="40.5">
      <c r="A2956" s="271">
        <v>100579</v>
      </c>
      <c r="B2956" s="272" t="s">
        <v>9180</v>
      </c>
      <c r="C2956" s="272" t="s">
        <v>109</v>
      </c>
      <c r="D2956" s="273" t="s">
        <v>22796</v>
      </c>
      <c r="E2956" s="274" t="s">
        <v>229</v>
      </c>
    </row>
    <row r="2957" spans="1:5" ht="40.5">
      <c r="A2957" s="271">
        <v>100580</v>
      </c>
      <c r="B2957" s="272" t="s">
        <v>9181</v>
      </c>
      <c r="C2957" s="272" t="s">
        <v>109</v>
      </c>
      <c r="D2957" s="273" t="s">
        <v>22797</v>
      </c>
      <c r="E2957" s="274" t="s">
        <v>229</v>
      </c>
    </row>
    <row r="2958" spans="1:5" ht="40.5">
      <c r="A2958" s="271">
        <v>100581</v>
      </c>
      <c r="B2958" s="272" t="s">
        <v>9182</v>
      </c>
      <c r="C2958" s="272" t="s">
        <v>109</v>
      </c>
      <c r="D2958" s="273" t="s">
        <v>18858</v>
      </c>
      <c r="E2958" s="274" t="s">
        <v>229</v>
      </c>
    </row>
    <row r="2959" spans="1:5" ht="40.5">
      <c r="A2959" s="271">
        <v>100582</v>
      </c>
      <c r="B2959" s="272" t="s">
        <v>9183</v>
      </c>
      <c r="C2959" s="272" t="s">
        <v>109</v>
      </c>
      <c r="D2959" s="273" t="s">
        <v>22798</v>
      </c>
      <c r="E2959" s="274" t="s">
        <v>229</v>
      </c>
    </row>
    <row r="2960" spans="1:5" ht="40.5">
      <c r="A2960" s="271">
        <v>100583</v>
      </c>
      <c r="B2960" s="272" t="s">
        <v>9184</v>
      </c>
      <c r="C2960" s="272" t="s">
        <v>109</v>
      </c>
      <c r="D2960" s="273" t="s">
        <v>22799</v>
      </c>
      <c r="E2960" s="274" t="s">
        <v>229</v>
      </c>
    </row>
    <row r="2961" spans="1:5" ht="40.5">
      <c r="A2961" s="271">
        <v>100584</v>
      </c>
      <c r="B2961" s="272" t="s">
        <v>9185</v>
      </c>
      <c r="C2961" s="272" t="s">
        <v>109</v>
      </c>
      <c r="D2961" s="273" t="s">
        <v>22800</v>
      </c>
      <c r="E2961" s="274" t="s">
        <v>229</v>
      </c>
    </row>
    <row r="2962" spans="1:5" ht="40.5">
      <c r="A2962" s="271">
        <v>100585</v>
      </c>
      <c r="B2962" s="272" t="s">
        <v>9186</v>
      </c>
      <c r="C2962" s="272" t="s">
        <v>109</v>
      </c>
      <c r="D2962" s="273" t="s">
        <v>22801</v>
      </c>
      <c r="E2962" s="274" t="s">
        <v>229</v>
      </c>
    </row>
    <row r="2963" spans="1:5" ht="40.5">
      <c r="A2963" s="271">
        <v>100586</v>
      </c>
      <c r="B2963" s="272" t="s">
        <v>9187</v>
      </c>
      <c r="C2963" s="272" t="s">
        <v>109</v>
      </c>
      <c r="D2963" s="273" t="s">
        <v>22802</v>
      </c>
      <c r="E2963" s="274" t="s">
        <v>229</v>
      </c>
    </row>
    <row r="2964" spans="1:5" ht="40.5">
      <c r="A2964" s="271">
        <v>100587</v>
      </c>
      <c r="B2964" s="272" t="s">
        <v>9188</v>
      </c>
      <c r="C2964" s="272" t="s">
        <v>109</v>
      </c>
      <c r="D2964" s="273" t="s">
        <v>22803</v>
      </c>
      <c r="E2964" s="274" t="s">
        <v>229</v>
      </c>
    </row>
    <row r="2965" spans="1:5" ht="40.5">
      <c r="A2965" s="271">
        <v>100588</v>
      </c>
      <c r="B2965" s="272" t="s">
        <v>9189</v>
      </c>
      <c r="C2965" s="272" t="s">
        <v>109</v>
      </c>
      <c r="D2965" s="273" t="s">
        <v>22804</v>
      </c>
      <c r="E2965" s="274" t="s">
        <v>229</v>
      </c>
    </row>
    <row r="2966" spans="1:5" ht="40.5">
      <c r="A2966" s="271">
        <v>100589</v>
      </c>
      <c r="B2966" s="272" t="s">
        <v>9190</v>
      </c>
      <c r="C2966" s="272" t="s">
        <v>109</v>
      </c>
      <c r="D2966" s="273" t="s">
        <v>22805</v>
      </c>
      <c r="E2966" s="274" t="s">
        <v>229</v>
      </c>
    </row>
    <row r="2967" spans="1:5" ht="40.5">
      <c r="A2967" s="271">
        <v>100590</v>
      </c>
      <c r="B2967" s="272" t="s">
        <v>9191</v>
      </c>
      <c r="C2967" s="272" t="s">
        <v>109</v>
      </c>
      <c r="D2967" s="273" t="s">
        <v>16424</v>
      </c>
      <c r="E2967" s="274" t="s">
        <v>229</v>
      </c>
    </row>
    <row r="2968" spans="1:5" ht="40.5">
      <c r="A2968" s="271">
        <v>100591</v>
      </c>
      <c r="B2968" s="272" t="s">
        <v>9192</v>
      </c>
      <c r="C2968" s="272" t="s">
        <v>109</v>
      </c>
      <c r="D2968" s="273" t="s">
        <v>22806</v>
      </c>
      <c r="E2968" s="274" t="s">
        <v>229</v>
      </c>
    </row>
    <row r="2969" spans="1:5" ht="40.5">
      <c r="A2969" s="271">
        <v>100592</v>
      </c>
      <c r="B2969" s="272" t="s">
        <v>9193</v>
      </c>
      <c r="C2969" s="272" t="s">
        <v>109</v>
      </c>
      <c r="D2969" s="273" t="s">
        <v>22807</v>
      </c>
      <c r="E2969" s="274" t="s">
        <v>229</v>
      </c>
    </row>
    <row r="2970" spans="1:5" ht="40.5">
      <c r="A2970" s="271">
        <v>100593</v>
      </c>
      <c r="B2970" s="272" t="s">
        <v>9194</v>
      </c>
      <c r="C2970" s="272" t="s">
        <v>109</v>
      </c>
      <c r="D2970" s="273" t="s">
        <v>22808</v>
      </c>
      <c r="E2970" s="274" t="s">
        <v>229</v>
      </c>
    </row>
    <row r="2971" spans="1:5" ht="40.5">
      <c r="A2971" s="271">
        <v>100594</v>
      </c>
      <c r="B2971" s="272" t="s">
        <v>9195</v>
      </c>
      <c r="C2971" s="272" t="s">
        <v>109</v>
      </c>
      <c r="D2971" s="273" t="s">
        <v>22809</v>
      </c>
      <c r="E2971" s="274" t="s">
        <v>229</v>
      </c>
    </row>
    <row r="2972" spans="1:5" ht="40.5">
      <c r="A2972" s="271">
        <v>100595</v>
      </c>
      <c r="B2972" s="272" t="s">
        <v>9196</v>
      </c>
      <c r="C2972" s="272" t="s">
        <v>109</v>
      </c>
      <c r="D2972" s="273" t="s">
        <v>22810</v>
      </c>
      <c r="E2972" s="274" t="s">
        <v>229</v>
      </c>
    </row>
    <row r="2973" spans="1:5" ht="40.5">
      <c r="A2973" s="271">
        <v>100596</v>
      </c>
      <c r="B2973" s="272" t="s">
        <v>9197</v>
      </c>
      <c r="C2973" s="272" t="s">
        <v>109</v>
      </c>
      <c r="D2973" s="273" t="s">
        <v>22811</v>
      </c>
      <c r="E2973" s="274" t="s">
        <v>229</v>
      </c>
    </row>
    <row r="2974" spans="1:5" ht="40.5">
      <c r="A2974" s="271">
        <v>100597</v>
      </c>
      <c r="B2974" s="272" t="s">
        <v>9198</v>
      </c>
      <c r="C2974" s="272" t="s">
        <v>109</v>
      </c>
      <c r="D2974" s="273" t="s">
        <v>22812</v>
      </c>
      <c r="E2974" s="274" t="s">
        <v>229</v>
      </c>
    </row>
    <row r="2975" spans="1:5" ht="40.5">
      <c r="A2975" s="271">
        <v>100598</v>
      </c>
      <c r="B2975" s="272" t="s">
        <v>9199</v>
      </c>
      <c r="C2975" s="272" t="s">
        <v>109</v>
      </c>
      <c r="D2975" s="273" t="s">
        <v>22813</v>
      </c>
      <c r="E2975" s="274" t="s">
        <v>229</v>
      </c>
    </row>
    <row r="2976" spans="1:5" ht="40.5">
      <c r="A2976" s="271">
        <v>100599</v>
      </c>
      <c r="B2976" s="272" t="s">
        <v>9200</v>
      </c>
      <c r="C2976" s="272" t="s">
        <v>109</v>
      </c>
      <c r="D2976" s="273" t="s">
        <v>22814</v>
      </c>
      <c r="E2976" s="274" t="s">
        <v>229</v>
      </c>
    </row>
    <row r="2977" spans="1:5" ht="40.5">
      <c r="A2977" s="271">
        <v>100600</v>
      </c>
      <c r="B2977" s="272" t="s">
        <v>9201</v>
      </c>
      <c r="C2977" s="272" t="s">
        <v>109</v>
      </c>
      <c r="D2977" s="273" t="s">
        <v>22815</v>
      </c>
      <c r="E2977" s="274" t="s">
        <v>229</v>
      </c>
    </row>
    <row r="2978" spans="1:5" ht="40.5">
      <c r="A2978" s="271">
        <v>100601</v>
      </c>
      <c r="B2978" s="272" t="s">
        <v>9202</v>
      </c>
      <c r="C2978" s="272" t="s">
        <v>109</v>
      </c>
      <c r="D2978" s="273" t="s">
        <v>22816</v>
      </c>
      <c r="E2978" s="274" t="s">
        <v>229</v>
      </c>
    </row>
    <row r="2979" spans="1:5" ht="40.5">
      <c r="A2979" s="271">
        <v>100602</v>
      </c>
      <c r="B2979" s="272" t="s">
        <v>9203</v>
      </c>
      <c r="C2979" s="272" t="s">
        <v>109</v>
      </c>
      <c r="D2979" s="273" t="s">
        <v>16617</v>
      </c>
      <c r="E2979" s="274" t="s">
        <v>229</v>
      </c>
    </row>
    <row r="2980" spans="1:5" ht="40.5">
      <c r="A2980" s="271">
        <v>100603</v>
      </c>
      <c r="B2980" s="272" t="s">
        <v>9204</v>
      </c>
      <c r="C2980" s="272" t="s">
        <v>109</v>
      </c>
      <c r="D2980" s="273" t="s">
        <v>22817</v>
      </c>
      <c r="E2980" s="274" t="s">
        <v>229</v>
      </c>
    </row>
    <row r="2981" spans="1:5" ht="40.5">
      <c r="A2981" s="271">
        <v>100604</v>
      </c>
      <c r="B2981" s="272" t="s">
        <v>9205</v>
      </c>
      <c r="C2981" s="272" t="s">
        <v>109</v>
      </c>
      <c r="D2981" s="273" t="s">
        <v>22818</v>
      </c>
      <c r="E2981" s="274" t="s">
        <v>229</v>
      </c>
    </row>
    <row r="2982" spans="1:5" ht="40.5">
      <c r="A2982" s="271">
        <v>100605</v>
      </c>
      <c r="B2982" s="272" t="s">
        <v>9206</v>
      </c>
      <c r="C2982" s="272" t="s">
        <v>109</v>
      </c>
      <c r="D2982" s="273" t="s">
        <v>22819</v>
      </c>
      <c r="E2982" s="274" t="s">
        <v>229</v>
      </c>
    </row>
    <row r="2983" spans="1:5" ht="40.5">
      <c r="A2983" s="271">
        <v>100606</v>
      </c>
      <c r="B2983" s="272" t="s">
        <v>9207</v>
      </c>
      <c r="C2983" s="272" t="s">
        <v>109</v>
      </c>
      <c r="D2983" s="273" t="s">
        <v>22820</v>
      </c>
      <c r="E2983" s="274" t="s">
        <v>229</v>
      </c>
    </row>
    <row r="2984" spans="1:5" ht="40.5">
      <c r="A2984" s="271">
        <v>100607</v>
      </c>
      <c r="B2984" s="272" t="s">
        <v>9208</v>
      </c>
      <c r="C2984" s="272" t="s">
        <v>109</v>
      </c>
      <c r="D2984" s="273" t="s">
        <v>22821</v>
      </c>
      <c r="E2984" s="274" t="s">
        <v>229</v>
      </c>
    </row>
    <row r="2985" spans="1:5" ht="40.5">
      <c r="A2985" s="271">
        <v>100608</v>
      </c>
      <c r="B2985" s="272" t="s">
        <v>9209</v>
      </c>
      <c r="C2985" s="272" t="s">
        <v>109</v>
      </c>
      <c r="D2985" s="273" t="s">
        <v>22822</v>
      </c>
      <c r="E2985" s="274" t="s">
        <v>229</v>
      </c>
    </row>
    <row r="2986" spans="1:5" ht="40.5">
      <c r="A2986" s="271">
        <v>100609</v>
      </c>
      <c r="B2986" s="272" t="s">
        <v>9210</v>
      </c>
      <c r="C2986" s="272" t="s">
        <v>109</v>
      </c>
      <c r="D2986" s="273" t="s">
        <v>22823</v>
      </c>
      <c r="E2986" s="274" t="s">
        <v>229</v>
      </c>
    </row>
    <row r="2987" spans="1:5" ht="40.5">
      <c r="A2987" s="271">
        <v>100610</v>
      </c>
      <c r="B2987" s="272" t="s">
        <v>9211</v>
      </c>
      <c r="C2987" s="272" t="s">
        <v>109</v>
      </c>
      <c r="D2987" s="273" t="s">
        <v>22824</v>
      </c>
      <c r="E2987" s="274" t="s">
        <v>229</v>
      </c>
    </row>
    <row r="2988" spans="1:5" ht="40.5">
      <c r="A2988" s="271">
        <v>100611</v>
      </c>
      <c r="B2988" s="272" t="s">
        <v>9212</v>
      </c>
      <c r="C2988" s="272" t="s">
        <v>109</v>
      </c>
      <c r="D2988" s="273" t="s">
        <v>22825</v>
      </c>
      <c r="E2988" s="274" t="s">
        <v>229</v>
      </c>
    </row>
    <row r="2989" spans="1:5" ht="40.5">
      <c r="A2989" s="271">
        <v>100612</v>
      </c>
      <c r="B2989" s="272" t="s">
        <v>9213</v>
      </c>
      <c r="C2989" s="272" t="s">
        <v>109</v>
      </c>
      <c r="D2989" s="273" t="s">
        <v>22826</v>
      </c>
      <c r="E2989" s="274" t="s">
        <v>229</v>
      </c>
    </row>
    <row r="2990" spans="1:5" ht="40.5">
      <c r="A2990" s="271">
        <v>100613</v>
      </c>
      <c r="B2990" s="272" t="s">
        <v>9214</v>
      </c>
      <c r="C2990" s="272" t="s">
        <v>109</v>
      </c>
      <c r="D2990" s="273" t="s">
        <v>22827</v>
      </c>
      <c r="E2990" s="274" t="s">
        <v>229</v>
      </c>
    </row>
    <row r="2991" spans="1:5" ht="40.5">
      <c r="A2991" s="271">
        <v>100614</v>
      </c>
      <c r="B2991" s="272" t="s">
        <v>9215</v>
      </c>
      <c r="C2991" s="272" t="s">
        <v>109</v>
      </c>
      <c r="D2991" s="273" t="s">
        <v>22828</v>
      </c>
      <c r="E2991" s="274" t="s">
        <v>229</v>
      </c>
    </row>
    <row r="2992" spans="1:5" ht="40.5">
      <c r="A2992" s="271">
        <v>100615</v>
      </c>
      <c r="B2992" s="272" t="s">
        <v>9216</v>
      </c>
      <c r="C2992" s="272" t="s">
        <v>109</v>
      </c>
      <c r="D2992" s="273" t="s">
        <v>22829</v>
      </c>
      <c r="E2992" s="274" t="s">
        <v>229</v>
      </c>
    </row>
    <row r="2993" spans="1:5" ht="40.5">
      <c r="A2993" s="271">
        <v>100616</v>
      </c>
      <c r="B2993" s="272" t="s">
        <v>9217</v>
      </c>
      <c r="C2993" s="272" t="s">
        <v>109</v>
      </c>
      <c r="D2993" s="273" t="s">
        <v>22830</v>
      </c>
      <c r="E2993" s="274" t="s">
        <v>229</v>
      </c>
    </row>
    <row r="2994" spans="1:5" ht="40.5">
      <c r="A2994" s="271">
        <v>100617</v>
      </c>
      <c r="B2994" s="272" t="s">
        <v>9218</v>
      </c>
      <c r="C2994" s="272" t="s">
        <v>109</v>
      </c>
      <c r="D2994" s="273" t="s">
        <v>22831</v>
      </c>
      <c r="E2994" s="274" t="s">
        <v>229</v>
      </c>
    </row>
    <row r="2995" spans="1:5" ht="40.5">
      <c r="A2995" s="271">
        <v>100618</v>
      </c>
      <c r="B2995" s="272" t="s">
        <v>9219</v>
      </c>
      <c r="C2995" s="272" t="s">
        <v>109</v>
      </c>
      <c r="D2995" s="273" t="s">
        <v>22832</v>
      </c>
      <c r="E2995" s="274" t="s">
        <v>229</v>
      </c>
    </row>
    <row r="2996" spans="1:5" ht="27">
      <c r="A2996" s="271">
        <v>100619</v>
      </c>
      <c r="B2996" s="272" t="s">
        <v>9220</v>
      </c>
      <c r="C2996" s="272" t="s">
        <v>109</v>
      </c>
      <c r="D2996" s="273" t="s">
        <v>22833</v>
      </c>
      <c r="E2996" s="274" t="s">
        <v>229</v>
      </c>
    </row>
    <row r="2997" spans="1:5" ht="27">
      <c r="A2997" s="271">
        <v>100620</v>
      </c>
      <c r="B2997" s="272" t="s">
        <v>9221</v>
      </c>
      <c r="C2997" s="272" t="s">
        <v>109</v>
      </c>
      <c r="D2997" s="273" t="s">
        <v>22834</v>
      </c>
      <c r="E2997" s="274" t="s">
        <v>229</v>
      </c>
    </row>
    <row r="2998" spans="1:5" ht="27">
      <c r="A2998" s="271">
        <v>100621</v>
      </c>
      <c r="B2998" s="272" t="s">
        <v>9222</v>
      </c>
      <c r="C2998" s="272" t="s">
        <v>109</v>
      </c>
      <c r="D2998" s="273" t="s">
        <v>22835</v>
      </c>
      <c r="E2998" s="274" t="s">
        <v>229</v>
      </c>
    </row>
    <row r="2999" spans="1:5" ht="27">
      <c r="A2999" s="271">
        <v>100622</v>
      </c>
      <c r="B2999" s="272" t="s">
        <v>9223</v>
      </c>
      <c r="C2999" s="272" t="s">
        <v>109</v>
      </c>
      <c r="D2999" s="273" t="s">
        <v>22836</v>
      </c>
      <c r="E2999" s="274" t="s">
        <v>229</v>
      </c>
    </row>
    <row r="3000" spans="1:5" ht="27">
      <c r="A3000" s="271">
        <v>100623</v>
      </c>
      <c r="B3000" s="272" t="s">
        <v>9224</v>
      </c>
      <c r="C3000" s="272" t="s">
        <v>109</v>
      </c>
      <c r="D3000" s="273" t="s">
        <v>22837</v>
      </c>
      <c r="E3000" s="274" t="s">
        <v>229</v>
      </c>
    </row>
    <row r="3001" spans="1:5" ht="27">
      <c r="A3001" s="271">
        <v>97600</v>
      </c>
      <c r="B3001" s="272" t="s">
        <v>10413</v>
      </c>
      <c r="C3001" s="272" t="s">
        <v>109</v>
      </c>
      <c r="D3001" s="273" t="s">
        <v>22838</v>
      </c>
      <c r="E3001" s="274" t="s">
        <v>229</v>
      </c>
    </row>
    <row r="3002" spans="1:5" ht="27">
      <c r="A3002" s="271">
        <v>97601</v>
      </c>
      <c r="B3002" s="272" t="s">
        <v>10414</v>
      </c>
      <c r="C3002" s="272" t="s">
        <v>109</v>
      </c>
      <c r="D3002" s="273" t="s">
        <v>22839</v>
      </c>
      <c r="E3002" s="274" t="s">
        <v>229</v>
      </c>
    </row>
    <row r="3003" spans="1:5" ht="27">
      <c r="A3003" s="271">
        <v>97605</v>
      </c>
      <c r="B3003" s="272" t="s">
        <v>10415</v>
      </c>
      <c r="C3003" s="272" t="s">
        <v>109</v>
      </c>
      <c r="D3003" s="273" t="s">
        <v>16190</v>
      </c>
      <c r="E3003" s="274" t="s">
        <v>229</v>
      </c>
    </row>
    <row r="3004" spans="1:5" ht="27">
      <c r="A3004" s="271">
        <v>97606</v>
      </c>
      <c r="B3004" s="272" t="s">
        <v>10416</v>
      </c>
      <c r="C3004" s="272" t="s">
        <v>109</v>
      </c>
      <c r="D3004" s="273" t="s">
        <v>16416</v>
      </c>
      <c r="E3004" s="274" t="s">
        <v>229</v>
      </c>
    </row>
    <row r="3005" spans="1:5" ht="27">
      <c r="A3005" s="271">
        <v>97607</v>
      </c>
      <c r="B3005" s="272" t="s">
        <v>10417</v>
      </c>
      <c r="C3005" s="272" t="s">
        <v>109</v>
      </c>
      <c r="D3005" s="273" t="s">
        <v>22840</v>
      </c>
      <c r="E3005" s="274" t="s">
        <v>229</v>
      </c>
    </row>
    <row r="3006" spans="1:5" ht="27">
      <c r="A3006" s="271">
        <v>97608</v>
      </c>
      <c r="B3006" s="272" t="s">
        <v>10418</v>
      </c>
      <c r="C3006" s="272" t="s">
        <v>109</v>
      </c>
      <c r="D3006" s="273" t="s">
        <v>22841</v>
      </c>
      <c r="E3006" s="274" t="s">
        <v>229</v>
      </c>
    </row>
    <row r="3007" spans="1:5" ht="40.5">
      <c r="A3007" s="271">
        <v>102102</v>
      </c>
      <c r="B3007" s="272" t="s">
        <v>13190</v>
      </c>
      <c r="C3007" s="272" t="s">
        <v>109</v>
      </c>
      <c r="D3007" s="273" t="s">
        <v>22842</v>
      </c>
      <c r="E3007" s="274" t="s">
        <v>229</v>
      </c>
    </row>
    <row r="3008" spans="1:5" ht="40.5">
      <c r="A3008" s="271">
        <v>102103</v>
      </c>
      <c r="B3008" s="272" t="s">
        <v>13191</v>
      </c>
      <c r="C3008" s="272" t="s">
        <v>109</v>
      </c>
      <c r="D3008" s="273" t="s">
        <v>22843</v>
      </c>
      <c r="E3008" s="274" t="s">
        <v>229</v>
      </c>
    </row>
    <row r="3009" spans="1:5" ht="40.5">
      <c r="A3009" s="271">
        <v>102104</v>
      </c>
      <c r="B3009" s="272" t="s">
        <v>13192</v>
      </c>
      <c r="C3009" s="272" t="s">
        <v>109</v>
      </c>
      <c r="D3009" s="273" t="s">
        <v>22844</v>
      </c>
      <c r="E3009" s="274" t="s">
        <v>229</v>
      </c>
    </row>
    <row r="3010" spans="1:5" ht="40.5">
      <c r="A3010" s="271">
        <v>102105</v>
      </c>
      <c r="B3010" s="272" t="s">
        <v>13193</v>
      </c>
      <c r="C3010" s="272" t="s">
        <v>109</v>
      </c>
      <c r="D3010" s="273" t="s">
        <v>22845</v>
      </c>
      <c r="E3010" s="274" t="s">
        <v>229</v>
      </c>
    </row>
    <row r="3011" spans="1:5" ht="40.5">
      <c r="A3011" s="271">
        <v>102106</v>
      </c>
      <c r="B3011" s="272" t="s">
        <v>13194</v>
      </c>
      <c r="C3011" s="272" t="s">
        <v>109</v>
      </c>
      <c r="D3011" s="273" t="s">
        <v>22846</v>
      </c>
      <c r="E3011" s="274" t="s">
        <v>229</v>
      </c>
    </row>
    <row r="3012" spans="1:5" ht="40.5">
      <c r="A3012" s="271">
        <v>102107</v>
      </c>
      <c r="B3012" s="272" t="s">
        <v>13195</v>
      </c>
      <c r="C3012" s="272" t="s">
        <v>109</v>
      </c>
      <c r="D3012" s="273" t="s">
        <v>22847</v>
      </c>
      <c r="E3012" s="274" t="s">
        <v>229</v>
      </c>
    </row>
    <row r="3013" spans="1:5" ht="40.5">
      <c r="A3013" s="271">
        <v>102108</v>
      </c>
      <c r="B3013" s="272" t="s">
        <v>13196</v>
      </c>
      <c r="C3013" s="272" t="s">
        <v>109</v>
      </c>
      <c r="D3013" s="273" t="s">
        <v>22848</v>
      </c>
      <c r="E3013" s="274" t="s">
        <v>229</v>
      </c>
    </row>
    <row r="3014" spans="1:5" ht="27">
      <c r="A3014" s="271">
        <v>102109</v>
      </c>
      <c r="B3014" s="272" t="s">
        <v>13197</v>
      </c>
      <c r="C3014" s="272" t="s">
        <v>109</v>
      </c>
      <c r="D3014" s="273" t="s">
        <v>22849</v>
      </c>
      <c r="E3014" s="274" t="s">
        <v>229</v>
      </c>
    </row>
    <row r="3015" spans="1:5" ht="27">
      <c r="A3015" s="271">
        <v>102110</v>
      </c>
      <c r="B3015" s="272" t="s">
        <v>13198</v>
      </c>
      <c r="C3015" s="272" t="s">
        <v>109</v>
      </c>
      <c r="D3015" s="273" t="s">
        <v>22850</v>
      </c>
      <c r="E3015" s="274" t="s">
        <v>229</v>
      </c>
    </row>
    <row r="3016" spans="1:5" ht="40.5">
      <c r="A3016" s="271">
        <v>93128</v>
      </c>
      <c r="B3016" s="272" t="s">
        <v>1747</v>
      </c>
      <c r="C3016" s="272" t="s">
        <v>109</v>
      </c>
      <c r="D3016" s="273" t="s">
        <v>22851</v>
      </c>
      <c r="E3016" s="274" t="s">
        <v>229</v>
      </c>
    </row>
    <row r="3017" spans="1:5" ht="40.5">
      <c r="A3017" s="271">
        <v>93137</v>
      </c>
      <c r="B3017" s="272" t="s">
        <v>1748</v>
      </c>
      <c r="C3017" s="272" t="s">
        <v>109</v>
      </c>
      <c r="D3017" s="273" t="s">
        <v>22852</v>
      </c>
      <c r="E3017" s="274" t="s">
        <v>229</v>
      </c>
    </row>
    <row r="3018" spans="1:5" ht="40.5">
      <c r="A3018" s="271">
        <v>93138</v>
      </c>
      <c r="B3018" s="272" t="s">
        <v>1749</v>
      </c>
      <c r="C3018" s="272" t="s">
        <v>109</v>
      </c>
      <c r="D3018" s="273" t="s">
        <v>22853</v>
      </c>
      <c r="E3018" s="274" t="s">
        <v>229</v>
      </c>
    </row>
    <row r="3019" spans="1:5" ht="40.5">
      <c r="A3019" s="271">
        <v>93139</v>
      </c>
      <c r="B3019" s="272" t="s">
        <v>1750</v>
      </c>
      <c r="C3019" s="272" t="s">
        <v>109</v>
      </c>
      <c r="D3019" s="273" t="s">
        <v>22854</v>
      </c>
      <c r="E3019" s="274" t="s">
        <v>229</v>
      </c>
    </row>
    <row r="3020" spans="1:5" ht="40.5">
      <c r="A3020" s="271">
        <v>93140</v>
      </c>
      <c r="B3020" s="272" t="s">
        <v>1751</v>
      </c>
      <c r="C3020" s="272" t="s">
        <v>109</v>
      </c>
      <c r="D3020" s="273" t="s">
        <v>22855</v>
      </c>
      <c r="E3020" s="274" t="s">
        <v>229</v>
      </c>
    </row>
    <row r="3021" spans="1:5" ht="27">
      <c r="A3021" s="271">
        <v>93141</v>
      </c>
      <c r="B3021" s="272" t="s">
        <v>1752</v>
      </c>
      <c r="C3021" s="272" t="s">
        <v>109</v>
      </c>
      <c r="D3021" s="273" t="s">
        <v>22856</v>
      </c>
      <c r="E3021" s="274" t="s">
        <v>229</v>
      </c>
    </row>
    <row r="3022" spans="1:5" ht="27">
      <c r="A3022" s="271">
        <v>93142</v>
      </c>
      <c r="B3022" s="272" t="s">
        <v>1753</v>
      </c>
      <c r="C3022" s="272" t="s">
        <v>109</v>
      </c>
      <c r="D3022" s="273" t="s">
        <v>22857</v>
      </c>
      <c r="E3022" s="274" t="s">
        <v>229</v>
      </c>
    </row>
    <row r="3023" spans="1:5" ht="27">
      <c r="A3023" s="271">
        <v>93143</v>
      </c>
      <c r="B3023" s="272" t="s">
        <v>1754</v>
      </c>
      <c r="C3023" s="272" t="s">
        <v>109</v>
      </c>
      <c r="D3023" s="273" t="s">
        <v>22858</v>
      </c>
      <c r="E3023" s="274" t="s">
        <v>229</v>
      </c>
    </row>
    <row r="3024" spans="1:5" ht="27">
      <c r="A3024" s="271">
        <v>93144</v>
      </c>
      <c r="B3024" s="272" t="s">
        <v>1755</v>
      </c>
      <c r="C3024" s="272" t="s">
        <v>109</v>
      </c>
      <c r="D3024" s="273" t="s">
        <v>22859</v>
      </c>
      <c r="E3024" s="274" t="s">
        <v>229</v>
      </c>
    </row>
    <row r="3025" spans="1:5" ht="40.5">
      <c r="A3025" s="271">
        <v>93145</v>
      </c>
      <c r="B3025" s="272" t="s">
        <v>1756</v>
      </c>
      <c r="C3025" s="272" t="s">
        <v>109</v>
      </c>
      <c r="D3025" s="273" t="s">
        <v>22860</v>
      </c>
      <c r="E3025" s="274" t="s">
        <v>229</v>
      </c>
    </row>
    <row r="3026" spans="1:5" ht="40.5">
      <c r="A3026" s="271">
        <v>93146</v>
      </c>
      <c r="B3026" s="272" t="s">
        <v>1757</v>
      </c>
      <c r="C3026" s="272" t="s">
        <v>109</v>
      </c>
      <c r="D3026" s="273" t="s">
        <v>22861</v>
      </c>
      <c r="E3026" s="274" t="s">
        <v>229</v>
      </c>
    </row>
    <row r="3027" spans="1:5" ht="40.5">
      <c r="A3027" s="271">
        <v>93147</v>
      </c>
      <c r="B3027" s="272" t="s">
        <v>1758</v>
      </c>
      <c r="C3027" s="272" t="s">
        <v>109</v>
      </c>
      <c r="D3027" s="273" t="s">
        <v>22862</v>
      </c>
      <c r="E3027" s="274" t="s">
        <v>229</v>
      </c>
    </row>
    <row r="3028" spans="1:5" ht="27">
      <c r="A3028" s="271">
        <v>96971</v>
      </c>
      <c r="B3028" s="272" t="s">
        <v>3460</v>
      </c>
      <c r="C3028" s="272" t="s">
        <v>5</v>
      </c>
      <c r="D3028" s="273" t="s">
        <v>22863</v>
      </c>
      <c r="E3028" s="274" t="s">
        <v>229</v>
      </c>
    </row>
    <row r="3029" spans="1:5" ht="27">
      <c r="A3029" s="271">
        <v>96972</v>
      </c>
      <c r="B3029" s="272" t="s">
        <v>3461</v>
      </c>
      <c r="C3029" s="272" t="s">
        <v>5</v>
      </c>
      <c r="D3029" s="273" t="s">
        <v>16051</v>
      </c>
      <c r="E3029" s="274" t="s">
        <v>229</v>
      </c>
    </row>
    <row r="3030" spans="1:5" ht="27">
      <c r="A3030" s="271">
        <v>96973</v>
      </c>
      <c r="B3030" s="272" t="s">
        <v>3462</v>
      </c>
      <c r="C3030" s="272" t="s">
        <v>5</v>
      </c>
      <c r="D3030" s="273" t="s">
        <v>14064</v>
      </c>
      <c r="E3030" s="274" t="s">
        <v>229</v>
      </c>
    </row>
    <row r="3031" spans="1:5" ht="27">
      <c r="A3031" s="271">
        <v>96974</v>
      </c>
      <c r="B3031" s="272" t="s">
        <v>3463</v>
      </c>
      <c r="C3031" s="272" t="s">
        <v>5</v>
      </c>
      <c r="D3031" s="273" t="s">
        <v>16321</v>
      </c>
      <c r="E3031" s="274" t="s">
        <v>229</v>
      </c>
    </row>
    <row r="3032" spans="1:5" ht="27">
      <c r="A3032" s="271">
        <v>96975</v>
      </c>
      <c r="B3032" s="272" t="s">
        <v>3464</v>
      </c>
      <c r="C3032" s="272" t="s">
        <v>5</v>
      </c>
      <c r="D3032" s="273" t="s">
        <v>22864</v>
      </c>
      <c r="E3032" s="274" t="s">
        <v>229</v>
      </c>
    </row>
    <row r="3033" spans="1:5" ht="27">
      <c r="A3033" s="271">
        <v>96976</v>
      </c>
      <c r="B3033" s="272" t="s">
        <v>3465</v>
      </c>
      <c r="C3033" s="272" t="s">
        <v>5</v>
      </c>
      <c r="D3033" s="273" t="s">
        <v>22865</v>
      </c>
      <c r="E3033" s="274" t="s">
        <v>229</v>
      </c>
    </row>
    <row r="3034" spans="1:5" ht="27">
      <c r="A3034" s="271">
        <v>96977</v>
      </c>
      <c r="B3034" s="272" t="s">
        <v>3466</v>
      </c>
      <c r="C3034" s="272" t="s">
        <v>5</v>
      </c>
      <c r="D3034" s="273" t="s">
        <v>9882</v>
      </c>
      <c r="E3034" s="274" t="s">
        <v>229</v>
      </c>
    </row>
    <row r="3035" spans="1:5" ht="27">
      <c r="A3035" s="271">
        <v>96978</v>
      </c>
      <c r="B3035" s="272" t="s">
        <v>3467</v>
      </c>
      <c r="C3035" s="272" t="s">
        <v>5</v>
      </c>
      <c r="D3035" s="273" t="s">
        <v>22866</v>
      </c>
      <c r="E3035" s="274" t="s">
        <v>229</v>
      </c>
    </row>
    <row r="3036" spans="1:5" ht="27">
      <c r="A3036" s="271">
        <v>96979</v>
      </c>
      <c r="B3036" s="272" t="s">
        <v>3468</v>
      </c>
      <c r="C3036" s="272" t="s">
        <v>5</v>
      </c>
      <c r="D3036" s="273" t="s">
        <v>22867</v>
      </c>
      <c r="E3036" s="274" t="s">
        <v>229</v>
      </c>
    </row>
    <row r="3037" spans="1:5" ht="13.5">
      <c r="A3037" s="271">
        <v>96984</v>
      </c>
      <c r="B3037" s="272" t="s">
        <v>3470</v>
      </c>
      <c r="C3037" s="272" t="s">
        <v>109</v>
      </c>
      <c r="D3037" s="273" t="s">
        <v>22868</v>
      </c>
      <c r="E3037" s="274" t="s">
        <v>229</v>
      </c>
    </row>
    <row r="3038" spans="1:5" ht="13.5">
      <c r="A3038" s="271">
        <v>96985</v>
      </c>
      <c r="B3038" s="272" t="s">
        <v>3471</v>
      </c>
      <c r="C3038" s="272" t="s">
        <v>109</v>
      </c>
      <c r="D3038" s="273" t="s">
        <v>22869</v>
      </c>
      <c r="E3038" s="274" t="s">
        <v>229</v>
      </c>
    </row>
    <row r="3039" spans="1:5" ht="13.5">
      <c r="A3039" s="271">
        <v>96986</v>
      </c>
      <c r="B3039" s="272" t="s">
        <v>3472</v>
      </c>
      <c r="C3039" s="272" t="s">
        <v>109</v>
      </c>
      <c r="D3039" s="273" t="s">
        <v>22870</v>
      </c>
      <c r="E3039" s="274" t="s">
        <v>229</v>
      </c>
    </row>
    <row r="3040" spans="1:5" ht="13.5">
      <c r="A3040" s="271">
        <v>96987</v>
      </c>
      <c r="B3040" s="272" t="s">
        <v>3473</v>
      </c>
      <c r="C3040" s="272" t="s">
        <v>109</v>
      </c>
      <c r="D3040" s="273" t="s">
        <v>21292</v>
      </c>
      <c r="E3040" s="274" t="s">
        <v>229</v>
      </c>
    </row>
    <row r="3041" spans="1:5" ht="13.5">
      <c r="A3041" s="271">
        <v>96988</v>
      </c>
      <c r="B3041" s="272" t="s">
        <v>3474</v>
      </c>
      <c r="C3041" s="272" t="s">
        <v>109</v>
      </c>
      <c r="D3041" s="273" t="s">
        <v>22871</v>
      </c>
      <c r="E3041" s="274" t="s">
        <v>229</v>
      </c>
    </row>
    <row r="3042" spans="1:5" ht="13.5">
      <c r="A3042" s="271">
        <v>96989</v>
      </c>
      <c r="B3042" s="272" t="s">
        <v>3475</v>
      </c>
      <c r="C3042" s="272" t="s">
        <v>109</v>
      </c>
      <c r="D3042" s="273" t="s">
        <v>15932</v>
      </c>
      <c r="E3042" s="274" t="s">
        <v>229</v>
      </c>
    </row>
    <row r="3043" spans="1:5" ht="13.5">
      <c r="A3043" s="271">
        <v>98463</v>
      </c>
      <c r="B3043" s="272" t="s">
        <v>3469</v>
      </c>
      <c r="C3043" s="272" t="s">
        <v>109</v>
      </c>
      <c r="D3043" s="273" t="s">
        <v>16430</v>
      </c>
      <c r="E3043" s="274" t="s">
        <v>229</v>
      </c>
    </row>
    <row r="3044" spans="1:5" ht="40.5">
      <c r="A3044" s="271">
        <v>96765</v>
      </c>
      <c r="B3044" s="272" t="s">
        <v>13199</v>
      </c>
      <c r="C3044" s="272" t="s">
        <v>109</v>
      </c>
      <c r="D3044" s="273" t="s">
        <v>22872</v>
      </c>
      <c r="E3044" s="274" t="s">
        <v>229</v>
      </c>
    </row>
    <row r="3045" spans="1:5" ht="27">
      <c r="A3045" s="271">
        <v>101905</v>
      </c>
      <c r="B3045" s="272" t="s">
        <v>13200</v>
      </c>
      <c r="C3045" s="272" t="s">
        <v>109</v>
      </c>
      <c r="D3045" s="273" t="s">
        <v>22873</v>
      </c>
      <c r="E3045" s="274" t="s">
        <v>229</v>
      </c>
    </row>
    <row r="3046" spans="1:5" ht="27">
      <c r="A3046" s="271">
        <v>101906</v>
      </c>
      <c r="B3046" s="272" t="s">
        <v>13201</v>
      </c>
      <c r="C3046" s="272" t="s">
        <v>109</v>
      </c>
      <c r="D3046" s="273" t="s">
        <v>22874</v>
      </c>
      <c r="E3046" s="274" t="s">
        <v>229</v>
      </c>
    </row>
    <row r="3047" spans="1:5" ht="27">
      <c r="A3047" s="271">
        <v>101907</v>
      </c>
      <c r="B3047" s="272" t="s">
        <v>13202</v>
      </c>
      <c r="C3047" s="272" t="s">
        <v>109</v>
      </c>
      <c r="D3047" s="273" t="s">
        <v>22875</v>
      </c>
      <c r="E3047" s="274" t="s">
        <v>229</v>
      </c>
    </row>
    <row r="3048" spans="1:5" ht="27">
      <c r="A3048" s="271">
        <v>101908</v>
      </c>
      <c r="B3048" s="272" t="s">
        <v>13203</v>
      </c>
      <c r="C3048" s="272" t="s">
        <v>109</v>
      </c>
      <c r="D3048" s="273" t="s">
        <v>22876</v>
      </c>
      <c r="E3048" s="274" t="s">
        <v>229</v>
      </c>
    </row>
    <row r="3049" spans="1:5" ht="27">
      <c r="A3049" s="271">
        <v>101909</v>
      </c>
      <c r="B3049" s="272" t="s">
        <v>13204</v>
      </c>
      <c r="C3049" s="272" t="s">
        <v>109</v>
      </c>
      <c r="D3049" s="273" t="s">
        <v>22877</v>
      </c>
      <c r="E3049" s="274" t="s">
        <v>229</v>
      </c>
    </row>
    <row r="3050" spans="1:5" ht="27">
      <c r="A3050" s="271">
        <v>101910</v>
      </c>
      <c r="B3050" s="272" t="s">
        <v>13205</v>
      </c>
      <c r="C3050" s="272" t="s">
        <v>109</v>
      </c>
      <c r="D3050" s="273" t="s">
        <v>22878</v>
      </c>
      <c r="E3050" s="274" t="s">
        <v>229</v>
      </c>
    </row>
    <row r="3051" spans="1:5" ht="27">
      <c r="A3051" s="271">
        <v>101911</v>
      </c>
      <c r="B3051" s="272" t="s">
        <v>13206</v>
      </c>
      <c r="C3051" s="272" t="s">
        <v>109</v>
      </c>
      <c r="D3051" s="273" t="s">
        <v>22879</v>
      </c>
      <c r="E3051" s="274" t="s">
        <v>229</v>
      </c>
    </row>
    <row r="3052" spans="1:5" ht="40.5">
      <c r="A3052" s="271">
        <v>101912</v>
      </c>
      <c r="B3052" s="272" t="s">
        <v>13207</v>
      </c>
      <c r="C3052" s="272" t="s">
        <v>109</v>
      </c>
      <c r="D3052" s="273" t="s">
        <v>22880</v>
      </c>
      <c r="E3052" s="274" t="s">
        <v>229</v>
      </c>
    </row>
    <row r="3053" spans="1:5" ht="13.5">
      <c r="A3053" s="271">
        <v>101913</v>
      </c>
      <c r="B3053" s="272" t="s">
        <v>13208</v>
      </c>
      <c r="C3053" s="272" t="s">
        <v>109</v>
      </c>
      <c r="D3053" s="273" t="s">
        <v>22881</v>
      </c>
      <c r="E3053" s="274" t="s">
        <v>229</v>
      </c>
    </row>
    <row r="3054" spans="1:5" ht="13.5">
      <c r="A3054" s="271">
        <v>101914</v>
      </c>
      <c r="B3054" s="272" t="s">
        <v>13209</v>
      </c>
      <c r="C3054" s="272" t="s">
        <v>109</v>
      </c>
      <c r="D3054" s="273" t="s">
        <v>22882</v>
      </c>
      <c r="E3054" s="274" t="s">
        <v>229</v>
      </c>
    </row>
    <row r="3055" spans="1:5" ht="27">
      <c r="A3055" s="271">
        <v>101915</v>
      </c>
      <c r="B3055" s="272" t="s">
        <v>13210</v>
      </c>
      <c r="C3055" s="272" t="s">
        <v>109</v>
      </c>
      <c r="D3055" s="273" t="s">
        <v>22883</v>
      </c>
      <c r="E3055" s="274" t="s">
        <v>229</v>
      </c>
    </row>
    <row r="3056" spans="1:5" ht="27">
      <c r="A3056" s="271">
        <v>101916</v>
      </c>
      <c r="B3056" s="272" t="s">
        <v>13211</v>
      </c>
      <c r="C3056" s="272" t="s">
        <v>109</v>
      </c>
      <c r="D3056" s="273" t="s">
        <v>22884</v>
      </c>
      <c r="E3056" s="274" t="s">
        <v>229</v>
      </c>
    </row>
    <row r="3057" spans="1:5" ht="27">
      <c r="A3057" s="271">
        <v>101917</v>
      </c>
      <c r="B3057" s="272" t="s">
        <v>13212</v>
      </c>
      <c r="C3057" s="272" t="s">
        <v>109</v>
      </c>
      <c r="D3057" s="273" t="s">
        <v>22885</v>
      </c>
      <c r="E3057" s="274" t="s">
        <v>229</v>
      </c>
    </row>
    <row r="3058" spans="1:5" ht="27">
      <c r="A3058" s="271">
        <v>98261</v>
      </c>
      <c r="B3058" s="272" t="s">
        <v>9225</v>
      </c>
      <c r="C3058" s="272" t="s">
        <v>5</v>
      </c>
      <c r="D3058" s="273" t="s">
        <v>10425</v>
      </c>
      <c r="E3058" s="274" t="s">
        <v>229</v>
      </c>
    </row>
    <row r="3059" spans="1:5" ht="27">
      <c r="A3059" s="271">
        <v>98262</v>
      </c>
      <c r="B3059" s="272" t="s">
        <v>9226</v>
      </c>
      <c r="C3059" s="272" t="s">
        <v>5</v>
      </c>
      <c r="D3059" s="273" t="s">
        <v>11519</v>
      </c>
      <c r="E3059" s="274" t="s">
        <v>229</v>
      </c>
    </row>
    <row r="3060" spans="1:5" ht="27">
      <c r="A3060" s="271">
        <v>98263</v>
      </c>
      <c r="B3060" s="272" t="s">
        <v>9227</v>
      </c>
      <c r="C3060" s="272" t="s">
        <v>5</v>
      </c>
      <c r="D3060" s="273" t="s">
        <v>19272</v>
      </c>
      <c r="E3060" s="274" t="s">
        <v>229</v>
      </c>
    </row>
    <row r="3061" spans="1:5" ht="27">
      <c r="A3061" s="271">
        <v>98264</v>
      </c>
      <c r="B3061" s="272" t="s">
        <v>9228</v>
      </c>
      <c r="C3061" s="272" t="s">
        <v>5</v>
      </c>
      <c r="D3061" s="273" t="s">
        <v>11219</v>
      </c>
      <c r="E3061" s="274" t="s">
        <v>229</v>
      </c>
    </row>
    <row r="3062" spans="1:5" ht="27">
      <c r="A3062" s="271">
        <v>98265</v>
      </c>
      <c r="B3062" s="272" t="s">
        <v>9229</v>
      </c>
      <c r="C3062" s="272" t="s">
        <v>5</v>
      </c>
      <c r="D3062" s="273" t="s">
        <v>19521</v>
      </c>
      <c r="E3062" s="274" t="s">
        <v>229</v>
      </c>
    </row>
    <row r="3063" spans="1:5" ht="27">
      <c r="A3063" s="271">
        <v>98266</v>
      </c>
      <c r="B3063" s="272" t="s">
        <v>9230</v>
      </c>
      <c r="C3063" s="272" t="s">
        <v>5</v>
      </c>
      <c r="D3063" s="273" t="s">
        <v>10232</v>
      </c>
      <c r="E3063" s="274" t="s">
        <v>229</v>
      </c>
    </row>
    <row r="3064" spans="1:5" ht="27">
      <c r="A3064" s="271">
        <v>98267</v>
      </c>
      <c r="B3064" s="272" t="s">
        <v>9231</v>
      </c>
      <c r="C3064" s="272" t="s">
        <v>5</v>
      </c>
      <c r="D3064" s="273" t="s">
        <v>11387</v>
      </c>
      <c r="E3064" s="274" t="s">
        <v>229</v>
      </c>
    </row>
    <row r="3065" spans="1:5" ht="27">
      <c r="A3065" s="271">
        <v>98268</v>
      </c>
      <c r="B3065" s="272" t="s">
        <v>9232</v>
      </c>
      <c r="C3065" s="272" t="s">
        <v>5</v>
      </c>
      <c r="D3065" s="273" t="s">
        <v>19155</v>
      </c>
      <c r="E3065" s="274" t="s">
        <v>229</v>
      </c>
    </row>
    <row r="3066" spans="1:5" ht="27">
      <c r="A3066" s="271">
        <v>98269</v>
      </c>
      <c r="B3066" s="272" t="s">
        <v>9233</v>
      </c>
      <c r="C3066" s="272" t="s">
        <v>5</v>
      </c>
      <c r="D3066" s="273" t="s">
        <v>21562</v>
      </c>
      <c r="E3066" s="274" t="s">
        <v>229</v>
      </c>
    </row>
    <row r="3067" spans="1:5" ht="27">
      <c r="A3067" s="271">
        <v>98270</v>
      </c>
      <c r="B3067" s="272" t="s">
        <v>9234</v>
      </c>
      <c r="C3067" s="272" t="s">
        <v>5</v>
      </c>
      <c r="D3067" s="273" t="s">
        <v>20720</v>
      </c>
      <c r="E3067" s="274" t="s">
        <v>229</v>
      </c>
    </row>
    <row r="3068" spans="1:5" ht="27">
      <c r="A3068" s="271">
        <v>98271</v>
      </c>
      <c r="B3068" s="272" t="s">
        <v>9235</v>
      </c>
      <c r="C3068" s="272" t="s">
        <v>5</v>
      </c>
      <c r="D3068" s="273" t="s">
        <v>22886</v>
      </c>
      <c r="E3068" s="274" t="s">
        <v>229</v>
      </c>
    </row>
    <row r="3069" spans="1:5" ht="27">
      <c r="A3069" s="271">
        <v>98272</v>
      </c>
      <c r="B3069" s="272" t="s">
        <v>9236</v>
      </c>
      <c r="C3069" s="272" t="s">
        <v>5</v>
      </c>
      <c r="D3069" s="273" t="s">
        <v>22887</v>
      </c>
      <c r="E3069" s="274" t="s">
        <v>229</v>
      </c>
    </row>
    <row r="3070" spans="1:5" ht="27">
      <c r="A3070" s="271">
        <v>98273</v>
      </c>
      <c r="B3070" s="272" t="s">
        <v>9237</v>
      </c>
      <c r="C3070" s="272" t="s">
        <v>5</v>
      </c>
      <c r="D3070" s="273" t="s">
        <v>9974</v>
      </c>
      <c r="E3070" s="274" t="s">
        <v>229</v>
      </c>
    </row>
    <row r="3071" spans="1:5" ht="27">
      <c r="A3071" s="271">
        <v>98274</v>
      </c>
      <c r="B3071" s="272" t="s">
        <v>9238</v>
      </c>
      <c r="C3071" s="272" t="s">
        <v>5</v>
      </c>
      <c r="D3071" s="273" t="s">
        <v>10057</v>
      </c>
      <c r="E3071" s="274" t="s">
        <v>229</v>
      </c>
    </row>
    <row r="3072" spans="1:5" ht="27">
      <c r="A3072" s="271">
        <v>98275</v>
      </c>
      <c r="B3072" s="272" t="s">
        <v>9239</v>
      </c>
      <c r="C3072" s="272" t="s">
        <v>5</v>
      </c>
      <c r="D3072" s="273" t="s">
        <v>10496</v>
      </c>
      <c r="E3072" s="274" t="s">
        <v>229</v>
      </c>
    </row>
    <row r="3073" spans="1:5" ht="27">
      <c r="A3073" s="271">
        <v>98276</v>
      </c>
      <c r="B3073" s="272" t="s">
        <v>9240</v>
      </c>
      <c r="C3073" s="272" t="s">
        <v>5</v>
      </c>
      <c r="D3073" s="273" t="s">
        <v>10344</v>
      </c>
      <c r="E3073" s="274" t="s">
        <v>229</v>
      </c>
    </row>
    <row r="3074" spans="1:5" ht="27">
      <c r="A3074" s="271">
        <v>98277</v>
      </c>
      <c r="B3074" s="272" t="s">
        <v>9241</v>
      </c>
      <c r="C3074" s="272" t="s">
        <v>5</v>
      </c>
      <c r="D3074" s="273" t="s">
        <v>22660</v>
      </c>
      <c r="E3074" s="274" t="s">
        <v>229</v>
      </c>
    </row>
    <row r="3075" spans="1:5" ht="27">
      <c r="A3075" s="271">
        <v>98278</v>
      </c>
      <c r="B3075" s="272" t="s">
        <v>9242</v>
      </c>
      <c r="C3075" s="272" t="s">
        <v>5</v>
      </c>
      <c r="D3075" s="273" t="s">
        <v>21514</v>
      </c>
      <c r="E3075" s="274" t="s">
        <v>229</v>
      </c>
    </row>
    <row r="3076" spans="1:5" ht="27">
      <c r="A3076" s="271">
        <v>98279</v>
      </c>
      <c r="B3076" s="272" t="s">
        <v>9243</v>
      </c>
      <c r="C3076" s="272" t="s">
        <v>5</v>
      </c>
      <c r="D3076" s="273" t="s">
        <v>22888</v>
      </c>
      <c r="E3076" s="274" t="s">
        <v>229</v>
      </c>
    </row>
    <row r="3077" spans="1:5" ht="27">
      <c r="A3077" s="271">
        <v>98280</v>
      </c>
      <c r="B3077" s="272" t="s">
        <v>9244</v>
      </c>
      <c r="C3077" s="272" t="s">
        <v>5</v>
      </c>
      <c r="D3077" s="273" t="s">
        <v>16044</v>
      </c>
      <c r="E3077" s="274" t="s">
        <v>229</v>
      </c>
    </row>
    <row r="3078" spans="1:5" ht="27">
      <c r="A3078" s="271">
        <v>98281</v>
      </c>
      <c r="B3078" s="272" t="s">
        <v>9245</v>
      </c>
      <c r="C3078" s="272" t="s">
        <v>5</v>
      </c>
      <c r="D3078" s="273" t="s">
        <v>10326</v>
      </c>
      <c r="E3078" s="274" t="s">
        <v>229</v>
      </c>
    </row>
    <row r="3079" spans="1:5" ht="27">
      <c r="A3079" s="271">
        <v>98282</v>
      </c>
      <c r="B3079" s="272" t="s">
        <v>9246</v>
      </c>
      <c r="C3079" s="272" t="s">
        <v>5</v>
      </c>
      <c r="D3079" s="273" t="s">
        <v>9818</v>
      </c>
      <c r="E3079" s="274" t="s">
        <v>229</v>
      </c>
    </row>
    <row r="3080" spans="1:5" ht="27">
      <c r="A3080" s="271">
        <v>98283</v>
      </c>
      <c r="B3080" s="272" t="s">
        <v>9247</v>
      </c>
      <c r="C3080" s="272" t="s">
        <v>5</v>
      </c>
      <c r="D3080" s="273" t="s">
        <v>10532</v>
      </c>
      <c r="E3080" s="274" t="s">
        <v>229</v>
      </c>
    </row>
    <row r="3081" spans="1:5" ht="27">
      <c r="A3081" s="271">
        <v>98284</v>
      </c>
      <c r="B3081" s="272" t="s">
        <v>9248</v>
      </c>
      <c r="C3081" s="272" t="s">
        <v>5</v>
      </c>
      <c r="D3081" s="273" t="s">
        <v>16021</v>
      </c>
      <c r="E3081" s="274" t="s">
        <v>229</v>
      </c>
    </row>
    <row r="3082" spans="1:5" ht="27">
      <c r="A3082" s="271">
        <v>98285</v>
      </c>
      <c r="B3082" s="272" t="s">
        <v>9249</v>
      </c>
      <c r="C3082" s="272" t="s">
        <v>5</v>
      </c>
      <c r="D3082" s="273" t="s">
        <v>9964</v>
      </c>
      <c r="E3082" s="274" t="s">
        <v>229</v>
      </c>
    </row>
    <row r="3083" spans="1:5" ht="27">
      <c r="A3083" s="271">
        <v>98286</v>
      </c>
      <c r="B3083" s="272" t="s">
        <v>9250</v>
      </c>
      <c r="C3083" s="272" t="s">
        <v>5</v>
      </c>
      <c r="D3083" s="273" t="s">
        <v>20730</v>
      </c>
      <c r="E3083" s="274" t="s">
        <v>229</v>
      </c>
    </row>
    <row r="3084" spans="1:5" ht="27">
      <c r="A3084" s="271">
        <v>98287</v>
      </c>
      <c r="B3084" s="272" t="s">
        <v>9251</v>
      </c>
      <c r="C3084" s="272" t="s">
        <v>5</v>
      </c>
      <c r="D3084" s="273" t="s">
        <v>10083</v>
      </c>
      <c r="E3084" s="274" t="s">
        <v>229</v>
      </c>
    </row>
    <row r="3085" spans="1:5" ht="27">
      <c r="A3085" s="271">
        <v>98288</v>
      </c>
      <c r="B3085" s="272" t="s">
        <v>9252</v>
      </c>
      <c r="C3085" s="272" t="s">
        <v>5</v>
      </c>
      <c r="D3085" s="273" t="s">
        <v>9887</v>
      </c>
      <c r="E3085" s="274" t="s">
        <v>229</v>
      </c>
    </row>
    <row r="3086" spans="1:5" ht="27">
      <c r="A3086" s="271">
        <v>98289</v>
      </c>
      <c r="B3086" s="272" t="s">
        <v>9253</v>
      </c>
      <c r="C3086" s="272" t="s">
        <v>5</v>
      </c>
      <c r="D3086" s="273" t="s">
        <v>11242</v>
      </c>
      <c r="E3086" s="274" t="s">
        <v>229</v>
      </c>
    </row>
    <row r="3087" spans="1:5" ht="27">
      <c r="A3087" s="271">
        <v>98290</v>
      </c>
      <c r="B3087" s="272" t="s">
        <v>9254</v>
      </c>
      <c r="C3087" s="272" t="s">
        <v>5</v>
      </c>
      <c r="D3087" s="273" t="s">
        <v>10068</v>
      </c>
      <c r="E3087" s="274" t="s">
        <v>229</v>
      </c>
    </row>
    <row r="3088" spans="1:5" ht="27">
      <c r="A3088" s="271">
        <v>98291</v>
      </c>
      <c r="B3088" s="272" t="s">
        <v>9255</v>
      </c>
      <c r="C3088" s="272" t="s">
        <v>5</v>
      </c>
      <c r="D3088" s="273" t="s">
        <v>14048</v>
      </c>
      <c r="E3088" s="274" t="s">
        <v>229</v>
      </c>
    </row>
    <row r="3089" spans="1:5" ht="27">
      <c r="A3089" s="271">
        <v>98292</v>
      </c>
      <c r="B3089" s="272" t="s">
        <v>9256</v>
      </c>
      <c r="C3089" s="272" t="s">
        <v>5</v>
      </c>
      <c r="D3089" s="273" t="s">
        <v>19272</v>
      </c>
      <c r="E3089" s="274" t="s">
        <v>229</v>
      </c>
    </row>
    <row r="3090" spans="1:5" ht="27">
      <c r="A3090" s="271">
        <v>98293</v>
      </c>
      <c r="B3090" s="272" t="s">
        <v>9257</v>
      </c>
      <c r="C3090" s="272" t="s">
        <v>5</v>
      </c>
      <c r="D3090" s="273" t="s">
        <v>10201</v>
      </c>
      <c r="E3090" s="274" t="s">
        <v>229</v>
      </c>
    </row>
    <row r="3091" spans="1:5" ht="27">
      <c r="A3091" s="271">
        <v>98400</v>
      </c>
      <c r="B3091" s="272" t="s">
        <v>9258</v>
      </c>
      <c r="C3091" s="272" t="s">
        <v>5</v>
      </c>
      <c r="D3091" s="273" t="s">
        <v>19283</v>
      </c>
      <c r="E3091" s="274" t="s">
        <v>229</v>
      </c>
    </row>
    <row r="3092" spans="1:5" ht="27">
      <c r="A3092" s="271">
        <v>98401</v>
      </c>
      <c r="B3092" s="272" t="s">
        <v>9259</v>
      </c>
      <c r="C3092" s="272" t="s">
        <v>5</v>
      </c>
      <c r="D3092" s="273" t="s">
        <v>20664</v>
      </c>
      <c r="E3092" s="274" t="s">
        <v>229</v>
      </c>
    </row>
    <row r="3093" spans="1:5" ht="27">
      <c r="A3093" s="271">
        <v>98402</v>
      </c>
      <c r="B3093" s="272" t="s">
        <v>9260</v>
      </c>
      <c r="C3093" s="272" t="s">
        <v>5</v>
      </c>
      <c r="D3093" s="273" t="s">
        <v>10446</v>
      </c>
      <c r="E3093" s="274" t="s">
        <v>229</v>
      </c>
    </row>
    <row r="3094" spans="1:5" ht="27">
      <c r="A3094" s="271">
        <v>100556</v>
      </c>
      <c r="B3094" s="272" t="s">
        <v>9261</v>
      </c>
      <c r="C3094" s="272" t="s">
        <v>109</v>
      </c>
      <c r="D3094" s="273" t="s">
        <v>14081</v>
      </c>
      <c r="E3094" s="274" t="s">
        <v>229</v>
      </c>
    </row>
    <row r="3095" spans="1:5" ht="27">
      <c r="A3095" s="271">
        <v>100557</v>
      </c>
      <c r="B3095" s="272" t="s">
        <v>9262</v>
      </c>
      <c r="C3095" s="272" t="s">
        <v>109</v>
      </c>
      <c r="D3095" s="273" t="s">
        <v>22889</v>
      </c>
      <c r="E3095" s="274" t="s">
        <v>229</v>
      </c>
    </row>
    <row r="3096" spans="1:5" ht="27">
      <c r="A3096" s="271">
        <v>100560</v>
      </c>
      <c r="B3096" s="272" t="s">
        <v>9263</v>
      </c>
      <c r="C3096" s="272" t="s">
        <v>109</v>
      </c>
      <c r="D3096" s="273" t="s">
        <v>14051</v>
      </c>
      <c r="E3096" s="274" t="s">
        <v>229</v>
      </c>
    </row>
    <row r="3097" spans="1:5" ht="27">
      <c r="A3097" s="271">
        <v>100561</v>
      </c>
      <c r="B3097" s="272" t="s">
        <v>9264</v>
      </c>
      <c r="C3097" s="272" t="s">
        <v>109</v>
      </c>
      <c r="D3097" s="273" t="s">
        <v>22890</v>
      </c>
      <c r="E3097" s="274" t="s">
        <v>229</v>
      </c>
    </row>
    <row r="3098" spans="1:5" ht="27">
      <c r="A3098" s="271">
        <v>100562</v>
      </c>
      <c r="B3098" s="272" t="s">
        <v>9265</v>
      </c>
      <c r="C3098" s="272" t="s">
        <v>109</v>
      </c>
      <c r="D3098" s="273" t="s">
        <v>22891</v>
      </c>
      <c r="E3098" s="274" t="s">
        <v>229</v>
      </c>
    </row>
    <row r="3099" spans="1:5" ht="27">
      <c r="A3099" s="271">
        <v>100563</v>
      </c>
      <c r="B3099" s="272" t="s">
        <v>9266</v>
      </c>
      <c r="C3099" s="272" t="s">
        <v>109</v>
      </c>
      <c r="D3099" s="273" t="s">
        <v>22892</v>
      </c>
      <c r="E3099" s="274" t="s">
        <v>229</v>
      </c>
    </row>
    <row r="3100" spans="1:5" ht="27">
      <c r="A3100" s="271">
        <v>101795</v>
      </c>
      <c r="B3100" s="272" t="s">
        <v>13213</v>
      </c>
      <c r="C3100" s="272" t="s">
        <v>109</v>
      </c>
      <c r="D3100" s="273" t="s">
        <v>22893</v>
      </c>
      <c r="E3100" s="274" t="s">
        <v>229</v>
      </c>
    </row>
    <row r="3101" spans="1:5" ht="27">
      <c r="A3101" s="271">
        <v>101798</v>
      </c>
      <c r="B3101" s="272" t="s">
        <v>13214</v>
      </c>
      <c r="C3101" s="272" t="s">
        <v>109</v>
      </c>
      <c r="D3101" s="273" t="s">
        <v>22894</v>
      </c>
      <c r="E3101" s="274" t="s">
        <v>229</v>
      </c>
    </row>
    <row r="3102" spans="1:5" ht="27">
      <c r="A3102" s="271">
        <v>101799</v>
      </c>
      <c r="B3102" s="272" t="s">
        <v>13215</v>
      </c>
      <c r="C3102" s="272" t="s">
        <v>109</v>
      </c>
      <c r="D3102" s="273" t="s">
        <v>22895</v>
      </c>
      <c r="E3102" s="274" t="s">
        <v>229</v>
      </c>
    </row>
    <row r="3103" spans="1:5" ht="13.5">
      <c r="A3103" s="271">
        <v>98397</v>
      </c>
      <c r="B3103" s="272" t="s">
        <v>4128</v>
      </c>
      <c r="C3103" s="272" t="s">
        <v>193</v>
      </c>
      <c r="D3103" s="273" t="s">
        <v>10600</v>
      </c>
      <c r="E3103" s="274" t="s">
        <v>229</v>
      </c>
    </row>
    <row r="3104" spans="1:5" ht="40.5">
      <c r="A3104" s="271">
        <v>101936</v>
      </c>
      <c r="B3104" s="272" t="s">
        <v>13216</v>
      </c>
      <c r="C3104" s="272" t="s">
        <v>109</v>
      </c>
      <c r="D3104" s="273" t="s">
        <v>22896</v>
      </c>
      <c r="E3104" s="274" t="s">
        <v>229</v>
      </c>
    </row>
    <row r="3105" spans="1:5" ht="40.5">
      <c r="A3105" s="271">
        <v>101937</v>
      </c>
      <c r="B3105" s="272" t="s">
        <v>13217</v>
      </c>
      <c r="C3105" s="272" t="s">
        <v>109</v>
      </c>
      <c r="D3105" s="273" t="s">
        <v>22897</v>
      </c>
      <c r="E3105" s="274" t="s">
        <v>229</v>
      </c>
    </row>
    <row r="3106" spans="1:5" ht="27">
      <c r="A3106" s="271">
        <v>98294</v>
      </c>
      <c r="B3106" s="272" t="s">
        <v>9267</v>
      </c>
      <c r="C3106" s="272" t="s">
        <v>5</v>
      </c>
      <c r="D3106" s="273" t="s">
        <v>10021</v>
      </c>
      <c r="E3106" s="274" t="s">
        <v>229</v>
      </c>
    </row>
    <row r="3107" spans="1:5" ht="27">
      <c r="A3107" s="271">
        <v>98295</v>
      </c>
      <c r="B3107" s="272" t="s">
        <v>9268</v>
      </c>
      <c r="C3107" s="272" t="s">
        <v>5</v>
      </c>
      <c r="D3107" s="273" t="s">
        <v>11064</v>
      </c>
      <c r="E3107" s="274" t="s">
        <v>229</v>
      </c>
    </row>
    <row r="3108" spans="1:5" ht="27">
      <c r="A3108" s="271">
        <v>98296</v>
      </c>
      <c r="B3108" s="272" t="s">
        <v>9269</v>
      </c>
      <c r="C3108" s="272" t="s">
        <v>5</v>
      </c>
      <c r="D3108" s="273" t="s">
        <v>10018</v>
      </c>
      <c r="E3108" s="274" t="s">
        <v>229</v>
      </c>
    </row>
    <row r="3109" spans="1:5" ht="27">
      <c r="A3109" s="271">
        <v>98297</v>
      </c>
      <c r="B3109" s="272" t="s">
        <v>9270</v>
      </c>
      <c r="C3109" s="272" t="s">
        <v>5</v>
      </c>
      <c r="D3109" s="273" t="s">
        <v>10803</v>
      </c>
      <c r="E3109" s="274" t="s">
        <v>229</v>
      </c>
    </row>
    <row r="3110" spans="1:5" ht="13.5">
      <c r="A3110" s="271">
        <v>98301</v>
      </c>
      <c r="B3110" s="272" t="s">
        <v>9271</v>
      </c>
      <c r="C3110" s="272" t="s">
        <v>109</v>
      </c>
      <c r="D3110" s="273" t="s">
        <v>22898</v>
      </c>
      <c r="E3110" s="274" t="s">
        <v>229</v>
      </c>
    </row>
    <row r="3111" spans="1:5" ht="13.5">
      <c r="A3111" s="271">
        <v>98302</v>
      </c>
      <c r="B3111" s="272" t="s">
        <v>9272</v>
      </c>
      <c r="C3111" s="272" t="s">
        <v>109</v>
      </c>
      <c r="D3111" s="273" t="s">
        <v>22899</v>
      </c>
      <c r="E3111" s="274" t="s">
        <v>229</v>
      </c>
    </row>
    <row r="3112" spans="1:5" ht="13.5">
      <c r="A3112" s="271">
        <v>98304</v>
      </c>
      <c r="B3112" s="272" t="s">
        <v>9273</v>
      </c>
      <c r="C3112" s="272" t="s">
        <v>109</v>
      </c>
      <c r="D3112" s="273" t="s">
        <v>22900</v>
      </c>
      <c r="E3112" s="274" t="s">
        <v>229</v>
      </c>
    </row>
    <row r="3113" spans="1:5" ht="13.5">
      <c r="A3113" s="271">
        <v>98307</v>
      </c>
      <c r="B3113" s="272" t="s">
        <v>9274</v>
      </c>
      <c r="C3113" s="272" t="s">
        <v>109</v>
      </c>
      <c r="D3113" s="273" t="s">
        <v>20783</v>
      </c>
      <c r="E3113" s="274" t="s">
        <v>229</v>
      </c>
    </row>
    <row r="3114" spans="1:5" ht="13.5">
      <c r="A3114" s="271">
        <v>98308</v>
      </c>
      <c r="B3114" s="272" t="s">
        <v>9275</v>
      </c>
      <c r="C3114" s="272" t="s">
        <v>109</v>
      </c>
      <c r="D3114" s="273" t="s">
        <v>22901</v>
      </c>
      <c r="E3114" s="274" t="s">
        <v>229</v>
      </c>
    </row>
    <row r="3115" spans="1:5" ht="13.5">
      <c r="A3115" s="271">
        <v>98593</v>
      </c>
      <c r="B3115" s="272" t="s">
        <v>9276</v>
      </c>
      <c r="C3115" s="272" t="s">
        <v>109</v>
      </c>
      <c r="D3115" s="273" t="s">
        <v>22902</v>
      </c>
      <c r="E3115" s="274" t="s">
        <v>229</v>
      </c>
    </row>
    <row r="3116" spans="1:5" ht="27">
      <c r="A3116" s="271">
        <v>89355</v>
      </c>
      <c r="B3116" s="272" t="s">
        <v>1759</v>
      </c>
      <c r="C3116" s="272" t="s">
        <v>5</v>
      </c>
      <c r="D3116" s="273" t="s">
        <v>15940</v>
      </c>
      <c r="E3116" s="274" t="s">
        <v>229</v>
      </c>
    </row>
    <row r="3117" spans="1:5" ht="27">
      <c r="A3117" s="271">
        <v>89356</v>
      </c>
      <c r="B3117" s="272" t="s">
        <v>1760</v>
      </c>
      <c r="C3117" s="272" t="s">
        <v>5</v>
      </c>
      <c r="D3117" s="273" t="s">
        <v>19017</v>
      </c>
      <c r="E3117" s="274" t="s">
        <v>229</v>
      </c>
    </row>
    <row r="3118" spans="1:5" ht="27">
      <c r="A3118" s="271">
        <v>89357</v>
      </c>
      <c r="B3118" s="272" t="s">
        <v>1761</v>
      </c>
      <c r="C3118" s="272" t="s">
        <v>5</v>
      </c>
      <c r="D3118" s="273" t="s">
        <v>19693</v>
      </c>
      <c r="E3118" s="274" t="s">
        <v>229</v>
      </c>
    </row>
    <row r="3119" spans="1:5" ht="27">
      <c r="A3119" s="271">
        <v>89401</v>
      </c>
      <c r="B3119" s="272" t="s">
        <v>240</v>
      </c>
      <c r="C3119" s="272" t="s">
        <v>5</v>
      </c>
      <c r="D3119" s="273" t="s">
        <v>10335</v>
      </c>
      <c r="E3119" s="274" t="s">
        <v>229</v>
      </c>
    </row>
    <row r="3120" spans="1:5" ht="27">
      <c r="A3120" s="271">
        <v>89402</v>
      </c>
      <c r="B3120" s="272" t="s">
        <v>241</v>
      </c>
      <c r="C3120" s="272" t="s">
        <v>5</v>
      </c>
      <c r="D3120" s="273" t="s">
        <v>10328</v>
      </c>
      <c r="E3120" s="274" t="s">
        <v>229</v>
      </c>
    </row>
    <row r="3121" spans="1:5" ht="27">
      <c r="A3121" s="271">
        <v>89403</v>
      </c>
      <c r="B3121" s="272" t="s">
        <v>242</v>
      </c>
      <c r="C3121" s="272" t="s">
        <v>5</v>
      </c>
      <c r="D3121" s="273" t="s">
        <v>22903</v>
      </c>
      <c r="E3121" s="274" t="s">
        <v>229</v>
      </c>
    </row>
    <row r="3122" spans="1:5" ht="27">
      <c r="A3122" s="271">
        <v>89446</v>
      </c>
      <c r="B3122" s="272" t="s">
        <v>1762</v>
      </c>
      <c r="C3122" s="272" t="s">
        <v>5</v>
      </c>
      <c r="D3122" s="273" t="s">
        <v>11465</v>
      </c>
      <c r="E3122" s="274" t="s">
        <v>229</v>
      </c>
    </row>
    <row r="3123" spans="1:5" ht="27">
      <c r="A3123" s="271">
        <v>89447</v>
      </c>
      <c r="B3123" s="272" t="s">
        <v>1763</v>
      </c>
      <c r="C3123" s="272" t="s">
        <v>5</v>
      </c>
      <c r="D3123" s="273" t="s">
        <v>22904</v>
      </c>
      <c r="E3123" s="274" t="s">
        <v>229</v>
      </c>
    </row>
    <row r="3124" spans="1:5" ht="27">
      <c r="A3124" s="271">
        <v>89448</v>
      </c>
      <c r="B3124" s="272" t="s">
        <v>243</v>
      </c>
      <c r="C3124" s="272" t="s">
        <v>5</v>
      </c>
      <c r="D3124" s="273" t="s">
        <v>22905</v>
      </c>
      <c r="E3124" s="274" t="s">
        <v>229</v>
      </c>
    </row>
    <row r="3125" spans="1:5" ht="27">
      <c r="A3125" s="271">
        <v>89449</v>
      </c>
      <c r="B3125" s="272" t="s">
        <v>244</v>
      </c>
      <c r="C3125" s="272" t="s">
        <v>5</v>
      </c>
      <c r="D3125" s="273" t="s">
        <v>22906</v>
      </c>
      <c r="E3125" s="274" t="s">
        <v>229</v>
      </c>
    </row>
    <row r="3126" spans="1:5" ht="27">
      <c r="A3126" s="271">
        <v>89450</v>
      </c>
      <c r="B3126" s="272" t="s">
        <v>245</v>
      </c>
      <c r="C3126" s="272" t="s">
        <v>5</v>
      </c>
      <c r="D3126" s="273" t="s">
        <v>15799</v>
      </c>
      <c r="E3126" s="274" t="s">
        <v>229</v>
      </c>
    </row>
    <row r="3127" spans="1:5" ht="27">
      <c r="A3127" s="271">
        <v>89451</v>
      </c>
      <c r="B3127" s="272" t="s">
        <v>246</v>
      </c>
      <c r="C3127" s="272" t="s">
        <v>5</v>
      </c>
      <c r="D3127" s="273" t="s">
        <v>20112</v>
      </c>
      <c r="E3127" s="274" t="s">
        <v>229</v>
      </c>
    </row>
    <row r="3128" spans="1:5" ht="27">
      <c r="A3128" s="271">
        <v>89452</v>
      </c>
      <c r="B3128" s="272" t="s">
        <v>1764</v>
      </c>
      <c r="C3128" s="272" t="s">
        <v>5</v>
      </c>
      <c r="D3128" s="273" t="s">
        <v>22907</v>
      </c>
      <c r="E3128" s="274" t="s">
        <v>229</v>
      </c>
    </row>
    <row r="3129" spans="1:5" ht="27">
      <c r="A3129" s="271">
        <v>89508</v>
      </c>
      <c r="B3129" s="272" t="s">
        <v>1765</v>
      </c>
      <c r="C3129" s="272" t="s">
        <v>5</v>
      </c>
      <c r="D3129" s="273" t="s">
        <v>19017</v>
      </c>
      <c r="E3129" s="274" t="s">
        <v>229</v>
      </c>
    </row>
    <row r="3130" spans="1:5" ht="27">
      <c r="A3130" s="271">
        <v>89509</v>
      </c>
      <c r="B3130" s="272" t="s">
        <v>1766</v>
      </c>
      <c r="C3130" s="272" t="s">
        <v>5</v>
      </c>
      <c r="D3130" s="273" t="s">
        <v>14089</v>
      </c>
      <c r="E3130" s="274" t="s">
        <v>229</v>
      </c>
    </row>
    <row r="3131" spans="1:5" ht="27">
      <c r="A3131" s="271">
        <v>89511</v>
      </c>
      <c r="B3131" s="272" t="s">
        <v>1767</v>
      </c>
      <c r="C3131" s="272" t="s">
        <v>5</v>
      </c>
      <c r="D3131" s="273" t="s">
        <v>15980</v>
      </c>
      <c r="E3131" s="274" t="s">
        <v>229</v>
      </c>
    </row>
    <row r="3132" spans="1:5" ht="27">
      <c r="A3132" s="271">
        <v>89512</v>
      </c>
      <c r="B3132" s="272" t="s">
        <v>1768</v>
      </c>
      <c r="C3132" s="272" t="s">
        <v>5</v>
      </c>
      <c r="D3132" s="273" t="s">
        <v>20939</v>
      </c>
      <c r="E3132" s="274" t="s">
        <v>229</v>
      </c>
    </row>
    <row r="3133" spans="1:5" ht="27">
      <c r="A3133" s="271">
        <v>89576</v>
      </c>
      <c r="B3133" s="272" t="s">
        <v>1769</v>
      </c>
      <c r="C3133" s="272" t="s">
        <v>5</v>
      </c>
      <c r="D3133" s="273" t="s">
        <v>9893</v>
      </c>
      <c r="E3133" s="274" t="s">
        <v>229</v>
      </c>
    </row>
    <row r="3134" spans="1:5" ht="27">
      <c r="A3134" s="271">
        <v>89578</v>
      </c>
      <c r="B3134" s="272" t="s">
        <v>1770</v>
      </c>
      <c r="C3134" s="272" t="s">
        <v>5</v>
      </c>
      <c r="D3134" s="273" t="s">
        <v>16586</v>
      </c>
      <c r="E3134" s="274" t="s">
        <v>229</v>
      </c>
    </row>
    <row r="3135" spans="1:5" ht="27">
      <c r="A3135" s="271">
        <v>89580</v>
      </c>
      <c r="B3135" s="272" t="s">
        <v>1771</v>
      </c>
      <c r="C3135" s="272" t="s">
        <v>5</v>
      </c>
      <c r="D3135" s="273" t="s">
        <v>22542</v>
      </c>
      <c r="E3135" s="274" t="s">
        <v>229</v>
      </c>
    </row>
    <row r="3136" spans="1:5" ht="27">
      <c r="A3136" s="271">
        <v>89633</v>
      </c>
      <c r="B3136" s="272" t="s">
        <v>1772</v>
      </c>
      <c r="C3136" s="272" t="s">
        <v>5</v>
      </c>
      <c r="D3136" s="273" t="s">
        <v>10604</v>
      </c>
      <c r="E3136" s="274" t="s">
        <v>229</v>
      </c>
    </row>
    <row r="3137" spans="1:5" ht="27">
      <c r="A3137" s="271">
        <v>89634</v>
      </c>
      <c r="B3137" s="272" t="s">
        <v>1773</v>
      </c>
      <c r="C3137" s="272" t="s">
        <v>5</v>
      </c>
      <c r="D3137" s="273" t="s">
        <v>10580</v>
      </c>
      <c r="E3137" s="274" t="s">
        <v>229</v>
      </c>
    </row>
    <row r="3138" spans="1:5" ht="27">
      <c r="A3138" s="271">
        <v>89635</v>
      </c>
      <c r="B3138" s="272" t="s">
        <v>1774</v>
      </c>
      <c r="C3138" s="272" t="s">
        <v>5</v>
      </c>
      <c r="D3138" s="273" t="s">
        <v>9835</v>
      </c>
      <c r="E3138" s="274" t="s">
        <v>229</v>
      </c>
    </row>
    <row r="3139" spans="1:5" ht="27">
      <c r="A3139" s="271">
        <v>89636</v>
      </c>
      <c r="B3139" s="272" t="s">
        <v>1775</v>
      </c>
      <c r="C3139" s="272" t="s">
        <v>5</v>
      </c>
      <c r="D3139" s="273" t="s">
        <v>16091</v>
      </c>
      <c r="E3139" s="274" t="s">
        <v>229</v>
      </c>
    </row>
    <row r="3140" spans="1:5" ht="27">
      <c r="A3140" s="271">
        <v>89711</v>
      </c>
      <c r="B3140" s="272" t="s">
        <v>1776</v>
      </c>
      <c r="C3140" s="272" t="s">
        <v>5</v>
      </c>
      <c r="D3140" s="273" t="s">
        <v>10351</v>
      </c>
      <c r="E3140" s="274" t="s">
        <v>229</v>
      </c>
    </row>
    <row r="3141" spans="1:5" ht="27">
      <c r="A3141" s="271">
        <v>89712</v>
      </c>
      <c r="B3141" s="272" t="s">
        <v>1777</v>
      </c>
      <c r="C3141" s="272" t="s">
        <v>5</v>
      </c>
      <c r="D3141" s="273" t="s">
        <v>11417</v>
      </c>
      <c r="E3141" s="274" t="s">
        <v>229</v>
      </c>
    </row>
    <row r="3142" spans="1:5" ht="27">
      <c r="A3142" s="271">
        <v>89713</v>
      </c>
      <c r="B3142" s="272" t="s">
        <v>1778</v>
      </c>
      <c r="C3142" s="272" t="s">
        <v>5</v>
      </c>
      <c r="D3142" s="273" t="s">
        <v>14151</v>
      </c>
      <c r="E3142" s="274" t="s">
        <v>229</v>
      </c>
    </row>
    <row r="3143" spans="1:5" ht="27">
      <c r="A3143" s="271">
        <v>89714</v>
      </c>
      <c r="B3143" s="272" t="s">
        <v>1779</v>
      </c>
      <c r="C3143" s="272" t="s">
        <v>5</v>
      </c>
      <c r="D3143" s="273" t="s">
        <v>22908</v>
      </c>
      <c r="E3143" s="274" t="s">
        <v>229</v>
      </c>
    </row>
    <row r="3144" spans="1:5" ht="27">
      <c r="A3144" s="271">
        <v>89716</v>
      </c>
      <c r="B3144" s="272" t="s">
        <v>1780</v>
      </c>
      <c r="C3144" s="272" t="s">
        <v>5</v>
      </c>
      <c r="D3144" s="273" t="s">
        <v>11231</v>
      </c>
      <c r="E3144" s="274" t="s">
        <v>229</v>
      </c>
    </row>
    <row r="3145" spans="1:5" ht="27">
      <c r="A3145" s="271">
        <v>89717</v>
      </c>
      <c r="B3145" s="272" t="s">
        <v>1781</v>
      </c>
      <c r="C3145" s="272" t="s">
        <v>5</v>
      </c>
      <c r="D3145" s="273" t="s">
        <v>22909</v>
      </c>
      <c r="E3145" s="274" t="s">
        <v>229</v>
      </c>
    </row>
    <row r="3146" spans="1:5" ht="27">
      <c r="A3146" s="271">
        <v>89770</v>
      </c>
      <c r="B3146" s="272" t="s">
        <v>1782</v>
      </c>
      <c r="C3146" s="272" t="s">
        <v>5</v>
      </c>
      <c r="D3146" s="273" t="s">
        <v>16027</v>
      </c>
      <c r="E3146" s="274" t="s">
        <v>229</v>
      </c>
    </row>
    <row r="3147" spans="1:5" ht="27">
      <c r="A3147" s="271">
        <v>89771</v>
      </c>
      <c r="B3147" s="272" t="s">
        <v>1783</v>
      </c>
      <c r="C3147" s="272" t="s">
        <v>5</v>
      </c>
      <c r="D3147" s="273" t="s">
        <v>16695</v>
      </c>
      <c r="E3147" s="274" t="s">
        <v>229</v>
      </c>
    </row>
    <row r="3148" spans="1:5" ht="27">
      <c r="A3148" s="271">
        <v>89773</v>
      </c>
      <c r="B3148" s="272" t="s">
        <v>1784</v>
      </c>
      <c r="C3148" s="272" t="s">
        <v>5</v>
      </c>
      <c r="D3148" s="273" t="s">
        <v>22910</v>
      </c>
      <c r="E3148" s="274" t="s">
        <v>229</v>
      </c>
    </row>
    <row r="3149" spans="1:5" ht="27">
      <c r="A3149" s="271">
        <v>89775</v>
      </c>
      <c r="B3149" s="272" t="s">
        <v>1785</v>
      </c>
      <c r="C3149" s="272" t="s">
        <v>5</v>
      </c>
      <c r="D3149" s="273" t="s">
        <v>22911</v>
      </c>
      <c r="E3149" s="274" t="s">
        <v>229</v>
      </c>
    </row>
    <row r="3150" spans="1:5" ht="27">
      <c r="A3150" s="271">
        <v>89798</v>
      </c>
      <c r="B3150" s="272" t="s">
        <v>1786</v>
      </c>
      <c r="C3150" s="272" t="s">
        <v>5</v>
      </c>
      <c r="D3150" s="273" t="s">
        <v>10460</v>
      </c>
      <c r="E3150" s="274" t="s">
        <v>229</v>
      </c>
    </row>
    <row r="3151" spans="1:5" ht="27">
      <c r="A3151" s="271">
        <v>89799</v>
      </c>
      <c r="B3151" s="272" t="s">
        <v>1787</v>
      </c>
      <c r="C3151" s="272" t="s">
        <v>5</v>
      </c>
      <c r="D3151" s="273" t="s">
        <v>22912</v>
      </c>
      <c r="E3151" s="274" t="s">
        <v>229</v>
      </c>
    </row>
    <row r="3152" spans="1:5" ht="27">
      <c r="A3152" s="271">
        <v>89800</v>
      </c>
      <c r="B3152" s="272" t="s">
        <v>1788</v>
      </c>
      <c r="C3152" s="272" t="s">
        <v>5</v>
      </c>
      <c r="D3152" s="273" t="s">
        <v>16333</v>
      </c>
      <c r="E3152" s="274" t="s">
        <v>229</v>
      </c>
    </row>
    <row r="3153" spans="1:5" ht="27">
      <c r="A3153" s="271">
        <v>89848</v>
      </c>
      <c r="B3153" s="272" t="s">
        <v>1789</v>
      </c>
      <c r="C3153" s="272" t="s">
        <v>5</v>
      </c>
      <c r="D3153" s="273" t="s">
        <v>15829</v>
      </c>
      <c r="E3153" s="274" t="s">
        <v>229</v>
      </c>
    </row>
    <row r="3154" spans="1:5" ht="27">
      <c r="A3154" s="271">
        <v>89849</v>
      </c>
      <c r="B3154" s="272" t="s">
        <v>1790</v>
      </c>
      <c r="C3154" s="272" t="s">
        <v>5</v>
      </c>
      <c r="D3154" s="273" t="s">
        <v>22913</v>
      </c>
      <c r="E3154" s="274" t="s">
        <v>229</v>
      </c>
    </row>
    <row r="3155" spans="1:5" ht="27">
      <c r="A3155" s="271">
        <v>89865</v>
      </c>
      <c r="B3155" s="272" t="s">
        <v>1791</v>
      </c>
      <c r="C3155" s="272" t="s">
        <v>5</v>
      </c>
      <c r="D3155" s="273" t="s">
        <v>9794</v>
      </c>
      <c r="E3155" s="274" t="s">
        <v>229</v>
      </c>
    </row>
    <row r="3156" spans="1:5" ht="40.5">
      <c r="A3156" s="271">
        <v>91784</v>
      </c>
      <c r="B3156" s="272" t="s">
        <v>1792</v>
      </c>
      <c r="C3156" s="272" t="s">
        <v>5</v>
      </c>
      <c r="D3156" s="273" t="s">
        <v>22914</v>
      </c>
      <c r="E3156" s="274" t="s">
        <v>229</v>
      </c>
    </row>
    <row r="3157" spans="1:5" ht="40.5">
      <c r="A3157" s="271">
        <v>91785</v>
      </c>
      <c r="B3157" s="272" t="s">
        <v>1793</v>
      </c>
      <c r="C3157" s="272" t="s">
        <v>5</v>
      </c>
      <c r="D3157" s="273" t="s">
        <v>22915</v>
      </c>
      <c r="E3157" s="274" t="s">
        <v>229</v>
      </c>
    </row>
    <row r="3158" spans="1:5" ht="40.5">
      <c r="A3158" s="271">
        <v>91786</v>
      </c>
      <c r="B3158" s="272" t="s">
        <v>1794</v>
      </c>
      <c r="C3158" s="272" t="s">
        <v>5</v>
      </c>
      <c r="D3158" s="273" t="s">
        <v>14169</v>
      </c>
      <c r="E3158" s="274" t="s">
        <v>229</v>
      </c>
    </row>
    <row r="3159" spans="1:5" ht="40.5">
      <c r="A3159" s="271">
        <v>91787</v>
      </c>
      <c r="B3159" s="272" t="s">
        <v>1795</v>
      </c>
      <c r="C3159" s="272" t="s">
        <v>5</v>
      </c>
      <c r="D3159" s="273" t="s">
        <v>22916</v>
      </c>
      <c r="E3159" s="274" t="s">
        <v>229</v>
      </c>
    </row>
    <row r="3160" spans="1:5" ht="40.5">
      <c r="A3160" s="271">
        <v>91788</v>
      </c>
      <c r="B3160" s="272" t="s">
        <v>1796</v>
      </c>
      <c r="C3160" s="272" t="s">
        <v>5</v>
      </c>
      <c r="D3160" s="273" t="s">
        <v>22580</v>
      </c>
      <c r="E3160" s="274" t="s">
        <v>229</v>
      </c>
    </row>
    <row r="3161" spans="1:5" ht="40.5">
      <c r="A3161" s="271">
        <v>91789</v>
      </c>
      <c r="B3161" s="272" t="s">
        <v>1797</v>
      </c>
      <c r="C3161" s="272" t="s">
        <v>5</v>
      </c>
      <c r="D3161" s="273" t="s">
        <v>22917</v>
      </c>
      <c r="E3161" s="274" t="s">
        <v>229</v>
      </c>
    </row>
    <row r="3162" spans="1:5" ht="40.5">
      <c r="A3162" s="271">
        <v>91790</v>
      </c>
      <c r="B3162" s="272" t="s">
        <v>1798</v>
      </c>
      <c r="C3162" s="272" t="s">
        <v>5</v>
      </c>
      <c r="D3162" s="273" t="s">
        <v>14242</v>
      </c>
      <c r="E3162" s="274" t="s">
        <v>229</v>
      </c>
    </row>
    <row r="3163" spans="1:5" ht="40.5">
      <c r="A3163" s="271">
        <v>91791</v>
      </c>
      <c r="B3163" s="272" t="s">
        <v>1799</v>
      </c>
      <c r="C3163" s="272" t="s">
        <v>5</v>
      </c>
      <c r="D3163" s="273" t="s">
        <v>22918</v>
      </c>
      <c r="E3163" s="274" t="s">
        <v>229</v>
      </c>
    </row>
    <row r="3164" spans="1:5" ht="40.5">
      <c r="A3164" s="271">
        <v>91792</v>
      </c>
      <c r="B3164" s="272" t="s">
        <v>1800</v>
      </c>
      <c r="C3164" s="272" t="s">
        <v>5</v>
      </c>
      <c r="D3164" s="273" t="s">
        <v>22919</v>
      </c>
      <c r="E3164" s="274" t="s">
        <v>229</v>
      </c>
    </row>
    <row r="3165" spans="1:5" ht="40.5">
      <c r="A3165" s="271">
        <v>91793</v>
      </c>
      <c r="B3165" s="272" t="s">
        <v>1801</v>
      </c>
      <c r="C3165" s="272" t="s">
        <v>5</v>
      </c>
      <c r="D3165" s="273" t="s">
        <v>19556</v>
      </c>
      <c r="E3165" s="274" t="s">
        <v>229</v>
      </c>
    </row>
    <row r="3166" spans="1:5" ht="40.5">
      <c r="A3166" s="271">
        <v>91794</v>
      </c>
      <c r="B3166" s="272" t="s">
        <v>1802</v>
      </c>
      <c r="C3166" s="272" t="s">
        <v>5</v>
      </c>
      <c r="D3166" s="273" t="s">
        <v>18949</v>
      </c>
      <c r="E3166" s="274" t="s">
        <v>229</v>
      </c>
    </row>
    <row r="3167" spans="1:5" ht="40.5">
      <c r="A3167" s="271">
        <v>91795</v>
      </c>
      <c r="B3167" s="272" t="s">
        <v>1803</v>
      </c>
      <c r="C3167" s="272" t="s">
        <v>5</v>
      </c>
      <c r="D3167" s="273" t="s">
        <v>16510</v>
      </c>
      <c r="E3167" s="274" t="s">
        <v>229</v>
      </c>
    </row>
    <row r="3168" spans="1:5" ht="40.5">
      <c r="A3168" s="271">
        <v>91796</v>
      </c>
      <c r="B3168" s="272" t="s">
        <v>1804</v>
      </c>
      <c r="C3168" s="272" t="s">
        <v>5</v>
      </c>
      <c r="D3168" s="273" t="s">
        <v>22920</v>
      </c>
      <c r="E3168" s="274" t="s">
        <v>229</v>
      </c>
    </row>
    <row r="3169" spans="1:5" ht="27">
      <c r="A3169" s="271">
        <v>92275</v>
      </c>
      <c r="B3169" s="272" t="s">
        <v>4129</v>
      </c>
      <c r="C3169" s="272" t="s">
        <v>5</v>
      </c>
      <c r="D3169" s="273" t="s">
        <v>22921</v>
      </c>
      <c r="E3169" s="274" t="s">
        <v>229</v>
      </c>
    </row>
    <row r="3170" spans="1:5" ht="27">
      <c r="A3170" s="271">
        <v>92276</v>
      </c>
      <c r="B3170" s="272" t="s">
        <v>4130</v>
      </c>
      <c r="C3170" s="272" t="s">
        <v>5</v>
      </c>
      <c r="D3170" s="273" t="s">
        <v>22922</v>
      </c>
      <c r="E3170" s="274" t="s">
        <v>229</v>
      </c>
    </row>
    <row r="3171" spans="1:5" ht="27">
      <c r="A3171" s="271">
        <v>92277</v>
      </c>
      <c r="B3171" s="272" t="s">
        <v>4131</v>
      </c>
      <c r="C3171" s="272" t="s">
        <v>5</v>
      </c>
      <c r="D3171" s="273" t="s">
        <v>22923</v>
      </c>
      <c r="E3171" s="274" t="s">
        <v>229</v>
      </c>
    </row>
    <row r="3172" spans="1:5" ht="27">
      <c r="A3172" s="271">
        <v>92278</v>
      </c>
      <c r="B3172" s="272" t="s">
        <v>4132</v>
      </c>
      <c r="C3172" s="272" t="s">
        <v>5</v>
      </c>
      <c r="D3172" s="273" t="s">
        <v>16650</v>
      </c>
      <c r="E3172" s="274" t="s">
        <v>229</v>
      </c>
    </row>
    <row r="3173" spans="1:5" ht="27">
      <c r="A3173" s="271">
        <v>92279</v>
      </c>
      <c r="B3173" s="272" t="s">
        <v>4133</v>
      </c>
      <c r="C3173" s="272" t="s">
        <v>5</v>
      </c>
      <c r="D3173" s="273" t="s">
        <v>15987</v>
      </c>
      <c r="E3173" s="274" t="s">
        <v>229</v>
      </c>
    </row>
    <row r="3174" spans="1:5" ht="27">
      <c r="A3174" s="271">
        <v>92280</v>
      </c>
      <c r="B3174" s="272" t="s">
        <v>4134</v>
      </c>
      <c r="C3174" s="272" t="s">
        <v>5</v>
      </c>
      <c r="D3174" s="273" t="s">
        <v>22924</v>
      </c>
      <c r="E3174" s="274" t="s">
        <v>229</v>
      </c>
    </row>
    <row r="3175" spans="1:5" ht="27">
      <c r="A3175" s="271">
        <v>92281</v>
      </c>
      <c r="B3175" s="272" t="s">
        <v>4135</v>
      </c>
      <c r="C3175" s="272" t="s">
        <v>5</v>
      </c>
      <c r="D3175" s="273" t="s">
        <v>22925</v>
      </c>
      <c r="E3175" s="274" t="s">
        <v>229</v>
      </c>
    </row>
    <row r="3176" spans="1:5" ht="27">
      <c r="A3176" s="271">
        <v>92282</v>
      </c>
      <c r="B3176" s="272" t="s">
        <v>4136</v>
      </c>
      <c r="C3176" s="272" t="s">
        <v>5</v>
      </c>
      <c r="D3176" s="273" t="s">
        <v>15928</v>
      </c>
      <c r="E3176" s="274" t="s">
        <v>229</v>
      </c>
    </row>
    <row r="3177" spans="1:5" ht="27">
      <c r="A3177" s="271">
        <v>92283</v>
      </c>
      <c r="B3177" s="272" t="s">
        <v>4137</v>
      </c>
      <c r="C3177" s="272" t="s">
        <v>5</v>
      </c>
      <c r="D3177" s="273" t="s">
        <v>22926</v>
      </c>
      <c r="E3177" s="274" t="s">
        <v>229</v>
      </c>
    </row>
    <row r="3178" spans="1:5" ht="27">
      <c r="A3178" s="271">
        <v>92284</v>
      </c>
      <c r="B3178" s="272" t="s">
        <v>4138</v>
      </c>
      <c r="C3178" s="272" t="s">
        <v>5</v>
      </c>
      <c r="D3178" s="273" t="s">
        <v>22927</v>
      </c>
      <c r="E3178" s="274" t="s">
        <v>229</v>
      </c>
    </row>
    <row r="3179" spans="1:5" ht="27">
      <c r="A3179" s="271">
        <v>92285</v>
      </c>
      <c r="B3179" s="272" t="s">
        <v>4139</v>
      </c>
      <c r="C3179" s="272" t="s">
        <v>5</v>
      </c>
      <c r="D3179" s="273" t="s">
        <v>22928</v>
      </c>
      <c r="E3179" s="274" t="s">
        <v>229</v>
      </c>
    </row>
    <row r="3180" spans="1:5" ht="27">
      <c r="A3180" s="271">
        <v>92286</v>
      </c>
      <c r="B3180" s="272" t="s">
        <v>4140</v>
      </c>
      <c r="C3180" s="272" t="s">
        <v>5</v>
      </c>
      <c r="D3180" s="273" t="s">
        <v>22929</v>
      </c>
      <c r="E3180" s="274" t="s">
        <v>229</v>
      </c>
    </row>
    <row r="3181" spans="1:5" ht="27">
      <c r="A3181" s="271">
        <v>92305</v>
      </c>
      <c r="B3181" s="272" t="s">
        <v>4141</v>
      </c>
      <c r="C3181" s="272" t="s">
        <v>5</v>
      </c>
      <c r="D3181" s="273" t="s">
        <v>21117</v>
      </c>
      <c r="E3181" s="274" t="s">
        <v>229</v>
      </c>
    </row>
    <row r="3182" spans="1:5" ht="27">
      <c r="A3182" s="271">
        <v>92306</v>
      </c>
      <c r="B3182" s="272" t="s">
        <v>4142</v>
      </c>
      <c r="C3182" s="272" t="s">
        <v>5</v>
      </c>
      <c r="D3182" s="273" t="s">
        <v>22930</v>
      </c>
      <c r="E3182" s="274" t="s">
        <v>229</v>
      </c>
    </row>
    <row r="3183" spans="1:5" ht="27">
      <c r="A3183" s="271">
        <v>92307</v>
      </c>
      <c r="B3183" s="272" t="s">
        <v>4143</v>
      </c>
      <c r="C3183" s="272" t="s">
        <v>5</v>
      </c>
      <c r="D3183" s="273" t="s">
        <v>22931</v>
      </c>
      <c r="E3183" s="274" t="s">
        <v>229</v>
      </c>
    </row>
    <row r="3184" spans="1:5" ht="27">
      <c r="A3184" s="271">
        <v>92308</v>
      </c>
      <c r="B3184" s="272" t="s">
        <v>4144</v>
      </c>
      <c r="C3184" s="272" t="s">
        <v>5</v>
      </c>
      <c r="D3184" s="273" t="s">
        <v>22932</v>
      </c>
      <c r="E3184" s="274" t="s">
        <v>229</v>
      </c>
    </row>
    <row r="3185" spans="1:5" ht="27">
      <c r="A3185" s="271">
        <v>92309</v>
      </c>
      <c r="B3185" s="272" t="s">
        <v>4145</v>
      </c>
      <c r="C3185" s="272" t="s">
        <v>5</v>
      </c>
      <c r="D3185" s="273" t="s">
        <v>22933</v>
      </c>
      <c r="E3185" s="274" t="s">
        <v>229</v>
      </c>
    </row>
    <row r="3186" spans="1:5" ht="27">
      <c r="A3186" s="271">
        <v>92310</v>
      </c>
      <c r="B3186" s="272" t="s">
        <v>4146</v>
      </c>
      <c r="C3186" s="272" t="s">
        <v>5</v>
      </c>
      <c r="D3186" s="273" t="s">
        <v>15902</v>
      </c>
      <c r="E3186" s="274" t="s">
        <v>229</v>
      </c>
    </row>
    <row r="3187" spans="1:5" ht="27">
      <c r="A3187" s="271">
        <v>92320</v>
      </c>
      <c r="B3187" s="272" t="s">
        <v>4147</v>
      </c>
      <c r="C3187" s="272" t="s">
        <v>5</v>
      </c>
      <c r="D3187" s="273" t="s">
        <v>22934</v>
      </c>
      <c r="E3187" s="274" t="s">
        <v>229</v>
      </c>
    </row>
    <row r="3188" spans="1:5" ht="27">
      <c r="A3188" s="271">
        <v>92321</v>
      </c>
      <c r="B3188" s="272" t="s">
        <v>4148</v>
      </c>
      <c r="C3188" s="272" t="s">
        <v>5</v>
      </c>
      <c r="D3188" s="273" t="s">
        <v>22935</v>
      </c>
      <c r="E3188" s="274" t="s">
        <v>229</v>
      </c>
    </row>
    <row r="3189" spans="1:5" ht="27">
      <c r="A3189" s="271">
        <v>92322</v>
      </c>
      <c r="B3189" s="272" t="s">
        <v>4149</v>
      </c>
      <c r="C3189" s="272" t="s">
        <v>5</v>
      </c>
      <c r="D3189" s="273" t="s">
        <v>20795</v>
      </c>
      <c r="E3189" s="274" t="s">
        <v>229</v>
      </c>
    </row>
    <row r="3190" spans="1:5" ht="27">
      <c r="A3190" s="271">
        <v>92323</v>
      </c>
      <c r="B3190" s="272" t="s">
        <v>4150</v>
      </c>
      <c r="C3190" s="272" t="s">
        <v>5</v>
      </c>
      <c r="D3190" s="273" t="s">
        <v>16487</v>
      </c>
      <c r="E3190" s="274" t="s">
        <v>229</v>
      </c>
    </row>
    <row r="3191" spans="1:5" ht="27">
      <c r="A3191" s="271">
        <v>92324</v>
      </c>
      <c r="B3191" s="272" t="s">
        <v>4151</v>
      </c>
      <c r="C3191" s="272" t="s">
        <v>5</v>
      </c>
      <c r="D3191" s="273" t="s">
        <v>22936</v>
      </c>
      <c r="E3191" s="274" t="s">
        <v>229</v>
      </c>
    </row>
    <row r="3192" spans="1:5" ht="27">
      <c r="A3192" s="271">
        <v>92325</v>
      </c>
      <c r="B3192" s="272" t="s">
        <v>4152</v>
      </c>
      <c r="C3192" s="272" t="s">
        <v>5</v>
      </c>
      <c r="D3192" s="273" t="s">
        <v>22937</v>
      </c>
      <c r="E3192" s="274" t="s">
        <v>229</v>
      </c>
    </row>
    <row r="3193" spans="1:5" ht="27">
      <c r="A3193" s="271">
        <v>92335</v>
      </c>
      <c r="B3193" s="272" t="s">
        <v>13218</v>
      </c>
      <c r="C3193" s="272" t="s">
        <v>5</v>
      </c>
      <c r="D3193" s="273" t="s">
        <v>21291</v>
      </c>
      <c r="E3193" s="274" t="s">
        <v>229</v>
      </c>
    </row>
    <row r="3194" spans="1:5" ht="27">
      <c r="A3194" s="271">
        <v>92336</v>
      </c>
      <c r="B3194" s="272" t="s">
        <v>13219</v>
      </c>
      <c r="C3194" s="272" t="s">
        <v>5</v>
      </c>
      <c r="D3194" s="273" t="s">
        <v>22938</v>
      </c>
      <c r="E3194" s="274" t="s">
        <v>229</v>
      </c>
    </row>
    <row r="3195" spans="1:5" ht="27">
      <c r="A3195" s="271">
        <v>92337</v>
      </c>
      <c r="B3195" s="272" t="s">
        <v>13220</v>
      </c>
      <c r="C3195" s="272" t="s">
        <v>5</v>
      </c>
      <c r="D3195" s="273" t="s">
        <v>22939</v>
      </c>
      <c r="E3195" s="274" t="s">
        <v>229</v>
      </c>
    </row>
    <row r="3196" spans="1:5" ht="27">
      <c r="A3196" s="271">
        <v>92338</v>
      </c>
      <c r="B3196" s="272" t="s">
        <v>13221</v>
      </c>
      <c r="C3196" s="272" t="s">
        <v>5</v>
      </c>
      <c r="D3196" s="273" t="s">
        <v>16354</v>
      </c>
      <c r="E3196" s="274" t="s">
        <v>229</v>
      </c>
    </row>
    <row r="3197" spans="1:5" ht="27">
      <c r="A3197" s="271">
        <v>92339</v>
      </c>
      <c r="B3197" s="272" t="s">
        <v>13222</v>
      </c>
      <c r="C3197" s="272" t="s">
        <v>5</v>
      </c>
      <c r="D3197" s="273" t="s">
        <v>22940</v>
      </c>
      <c r="E3197" s="274" t="s">
        <v>229</v>
      </c>
    </row>
    <row r="3198" spans="1:5" ht="27">
      <c r="A3198" s="271">
        <v>92341</v>
      </c>
      <c r="B3198" s="272" t="s">
        <v>13223</v>
      </c>
      <c r="C3198" s="272" t="s">
        <v>5</v>
      </c>
      <c r="D3198" s="273" t="s">
        <v>22941</v>
      </c>
      <c r="E3198" s="274" t="s">
        <v>229</v>
      </c>
    </row>
    <row r="3199" spans="1:5" ht="27">
      <c r="A3199" s="271">
        <v>92342</v>
      </c>
      <c r="B3199" s="272" t="s">
        <v>13224</v>
      </c>
      <c r="C3199" s="272" t="s">
        <v>5</v>
      </c>
      <c r="D3199" s="273" t="s">
        <v>22942</v>
      </c>
      <c r="E3199" s="274" t="s">
        <v>229</v>
      </c>
    </row>
    <row r="3200" spans="1:5" ht="27">
      <c r="A3200" s="271">
        <v>92343</v>
      </c>
      <c r="B3200" s="272" t="s">
        <v>13225</v>
      </c>
      <c r="C3200" s="272" t="s">
        <v>5</v>
      </c>
      <c r="D3200" s="273" t="s">
        <v>22943</v>
      </c>
      <c r="E3200" s="274" t="s">
        <v>229</v>
      </c>
    </row>
    <row r="3201" spans="1:5" ht="27">
      <c r="A3201" s="271">
        <v>92359</v>
      </c>
      <c r="B3201" s="272" t="s">
        <v>13226</v>
      </c>
      <c r="C3201" s="272" t="s">
        <v>5</v>
      </c>
      <c r="D3201" s="273" t="s">
        <v>22944</v>
      </c>
      <c r="E3201" s="274" t="s">
        <v>229</v>
      </c>
    </row>
    <row r="3202" spans="1:5" ht="27">
      <c r="A3202" s="271">
        <v>92360</v>
      </c>
      <c r="B3202" s="272" t="s">
        <v>13227</v>
      </c>
      <c r="C3202" s="272" t="s">
        <v>5</v>
      </c>
      <c r="D3202" s="273" t="s">
        <v>22945</v>
      </c>
      <c r="E3202" s="274" t="s">
        <v>229</v>
      </c>
    </row>
    <row r="3203" spans="1:5" ht="27">
      <c r="A3203" s="271">
        <v>92361</v>
      </c>
      <c r="B3203" s="272" t="s">
        <v>13228</v>
      </c>
      <c r="C3203" s="272" t="s">
        <v>5</v>
      </c>
      <c r="D3203" s="273" t="s">
        <v>22946</v>
      </c>
      <c r="E3203" s="274" t="s">
        <v>229</v>
      </c>
    </row>
    <row r="3204" spans="1:5" ht="27">
      <c r="A3204" s="271">
        <v>92362</v>
      </c>
      <c r="B3204" s="272" t="s">
        <v>13229</v>
      </c>
      <c r="C3204" s="272" t="s">
        <v>5</v>
      </c>
      <c r="D3204" s="273" t="s">
        <v>22947</v>
      </c>
      <c r="E3204" s="274" t="s">
        <v>229</v>
      </c>
    </row>
    <row r="3205" spans="1:5" ht="40.5">
      <c r="A3205" s="271">
        <v>92364</v>
      </c>
      <c r="B3205" s="272" t="s">
        <v>13230</v>
      </c>
      <c r="C3205" s="272" t="s">
        <v>5</v>
      </c>
      <c r="D3205" s="273" t="s">
        <v>11174</v>
      </c>
      <c r="E3205" s="274" t="s">
        <v>229</v>
      </c>
    </row>
    <row r="3206" spans="1:5" ht="40.5">
      <c r="A3206" s="271">
        <v>92365</v>
      </c>
      <c r="B3206" s="272" t="s">
        <v>13231</v>
      </c>
      <c r="C3206" s="272" t="s">
        <v>5</v>
      </c>
      <c r="D3206" s="273" t="s">
        <v>22948</v>
      </c>
      <c r="E3206" s="274" t="s">
        <v>229</v>
      </c>
    </row>
    <row r="3207" spans="1:5" ht="40.5">
      <c r="A3207" s="271">
        <v>92366</v>
      </c>
      <c r="B3207" s="272" t="s">
        <v>13232</v>
      </c>
      <c r="C3207" s="272" t="s">
        <v>5</v>
      </c>
      <c r="D3207" s="273" t="s">
        <v>22949</v>
      </c>
      <c r="E3207" s="274" t="s">
        <v>229</v>
      </c>
    </row>
    <row r="3208" spans="1:5" ht="40.5">
      <c r="A3208" s="271">
        <v>92367</v>
      </c>
      <c r="B3208" s="272" t="s">
        <v>13233</v>
      </c>
      <c r="C3208" s="272" t="s">
        <v>5</v>
      </c>
      <c r="D3208" s="273" t="s">
        <v>22950</v>
      </c>
      <c r="E3208" s="274" t="s">
        <v>229</v>
      </c>
    </row>
    <row r="3209" spans="1:5" ht="40.5">
      <c r="A3209" s="271">
        <v>92368</v>
      </c>
      <c r="B3209" s="272" t="s">
        <v>13234</v>
      </c>
      <c r="C3209" s="272" t="s">
        <v>5</v>
      </c>
      <c r="D3209" s="273" t="s">
        <v>22951</v>
      </c>
      <c r="E3209" s="274" t="s">
        <v>229</v>
      </c>
    </row>
    <row r="3210" spans="1:5" ht="27">
      <c r="A3210" s="271">
        <v>92645</v>
      </c>
      <c r="B3210" s="272" t="s">
        <v>13235</v>
      </c>
      <c r="C3210" s="272" t="s">
        <v>5</v>
      </c>
      <c r="D3210" s="273" t="s">
        <v>20039</v>
      </c>
      <c r="E3210" s="274" t="s">
        <v>229</v>
      </c>
    </row>
    <row r="3211" spans="1:5" ht="27">
      <c r="A3211" s="271">
        <v>92646</v>
      </c>
      <c r="B3211" s="272" t="s">
        <v>13236</v>
      </c>
      <c r="C3211" s="272" t="s">
        <v>5</v>
      </c>
      <c r="D3211" s="273" t="s">
        <v>22952</v>
      </c>
      <c r="E3211" s="274" t="s">
        <v>229</v>
      </c>
    </row>
    <row r="3212" spans="1:5" ht="27">
      <c r="A3212" s="271">
        <v>92648</v>
      </c>
      <c r="B3212" s="272" t="s">
        <v>13237</v>
      </c>
      <c r="C3212" s="272" t="s">
        <v>5</v>
      </c>
      <c r="D3212" s="273" t="s">
        <v>22953</v>
      </c>
      <c r="E3212" s="274" t="s">
        <v>229</v>
      </c>
    </row>
    <row r="3213" spans="1:5" ht="27">
      <c r="A3213" s="271">
        <v>92649</v>
      </c>
      <c r="B3213" s="272" t="s">
        <v>13238</v>
      </c>
      <c r="C3213" s="272" t="s">
        <v>5</v>
      </c>
      <c r="D3213" s="273" t="s">
        <v>22954</v>
      </c>
      <c r="E3213" s="274" t="s">
        <v>229</v>
      </c>
    </row>
    <row r="3214" spans="1:5" ht="27">
      <c r="A3214" s="271">
        <v>92650</v>
      </c>
      <c r="B3214" s="272" t="s">
        <v>13239</v>
      </c>
      <c r="C3214" s="272" t="s">
        <v>5</v>
      </c>
      <c r="D3214" s="273" t="s">
        <v>22955</v>
      </c>
      <c r="E3214" s="274" t="s">
        <v>229</v>
      </c>
    </row>
    <row r="3215" spans="1:5" ht="40.5">
      <c r="A3215" s="271">
        <v>92652</v>
      </c>
      <c r="B3215" s="272" t="s">
        <v>13240</v>
      </c>
      <c r="C3215" s="272" t="s">
        <v>5</v>
      </c>
      <c r="D3215" s="273" t="s">
        <v>9791</v>
      </c>
      <c r="E3215" s="274" t="s">
        <v>229</v>
      </c>
    </row>
    <row r="3216" spans="1:5" ht="40.5">
      <c r="A3216" s="271">
        <v>92653</v>
      </c>
      <c r="B3216" s="272" t="s">
        <v>13241</v>
      </c>
      <c r="C3216" s="272" t="s">
        <v>5</v>
      </c>
      <c r="D3216" s="273" t="s">
        <v>18850</v>
      </c>
      <c r="E3216" s="274" t="s">
        <v>229</v>
      </c>
    </row>
    <row r="3217" spans="1:5" ht="40.5">
      <c r="A3217" s="271">
        <v>92654</v>
      </c>
      <c r="B3217" s="272" t="s">
        <v>13242</v>
      </c>
      <c r="C3217" s="272" t="s">
        <v>5</v>
      </c>
      <c r="D3217" s="273" t="s">
        <v>22956</v>
      </c>
      <c r="E3217" s="274" t="s">
        <v>229</v>
      </c>
    </row>
    <row r="3218" spans="1:5" ht="40.5">
      <c r="A3218" s="271">
        <v>92655</v>
      </c>
      <c r="B3218" s="272" t="s">
        <v>13243</v>
      </c>
      <c r="C3218" s="272" t="s">
        <v>5</v>
      </c>
      <c r="D3218" s="273" t="s">
        <v>22957</v>
      </c>
      <c r="E3218" s="274" t="s">
        <v>229</v>
      </c>
    </row>
    <row r="3219" spans="1:5" ht="40.5">
      <c r="A3219" s="271">
        <v>92656</v>
      </c>
      <c r="B3219" s="272" t="s">
        <v>13244</v>
      </c>
      <c r="C3219" s="272" t="s">
        <v>5</v>
      </c>
      <c r="D3219" s="273" t="s">
        <v>22958</v>
      </c>
      <c r="E3219" s="274" t="s">
        <v>229</v>
      </c>
    </row>
    <row r="3220" spans="1:5" ht="27">
      <c r="A3220" s="271">
        <v>92687</v>
      </c>
      <c r="B3220" s="272" t="s">
        <v>13245</v>
      </c>
      <c r="C3220" s="272" t="s">
        <v>5</v>
      </c>
      <c r="D3220" s="273" t="s">
        <v>10605</v>
      </c>
      <c r="E3220" s="274" t="s">
        <v>229</v>
      </c>
    </row>
    <row r="3221" spans="1:5" ht="27">
      <c r="A3221" s="271">
        <v>92688</v>
      </c>
      <c r="B3221" s="272" t="s">
        <v>13246</v>
      </c>
      <c r="C3221" s="272" t="s">
        <v>5</v>
      </c>
      <c r="D3221" s="273" t="s">
        <v>19600</v>
      </c>
      <c r="E3221" s="274" t="s">
        <v>229</v>
      </c>
    </row>
    <row r="3222" spans="1:5" ht="27">
      <c r="A3222" s="271">
        <v>92689</v>
      </c>
      <c r="B3222" s="272" t="s">
        <v>13247</v>
      </c>
      <c r="C3222" s="272" t="s">
        <v>5</v>
      </c>
      <c r="D3222" s="273" t="s">
        <v>22959</v>
      </c>
      <c r="E3222" s="274" t="s">
        <v>229</v>
      </c>
    </row>
    <row r="3223" spans="1:5" ht="27">
      <c r="A3223" s="271">
        <v>92690</v>
      </c>
      <c r="B3223" s="272" t="s">
        <v>13248</v>
      </c>
      <c r="C3223" s="272" t="s">
        <v>5</v>
      </c>
      <c r="D3223" s="273" t="s">
        <v>11372</v>
      </c>
      <c r="E3223" s="274" t="s">
        <v>229</v>
      </c>
    </row>
    <row r="3224" spans="1:5" ht="27">
      <c r="A3224" s="271">
        <v>92691</v>
      </c>
      <c r="B3224" s="272" t="s">
        <v>13249</v>
      </c>
      <c r="C3224" s="272" t="s">
        <v>5</v>
      </c>
      <c r="D3224" s="273" t="s">
        <v>22960</v>
      </c>
      <c r="E3224" s="274" t="s">
        <v>229</v>
      </c>
    </row>
    <row r="3225" spans="1:5" ht="40.5">
      <c r="A3225" s="271">
        <v>94462</v>
      </c>
      <c r="B3225" s="272" t="s">
        <v>1805</v>
      </c>
      <c r="C3225" s="272" t="s">
        <v>5</v>
      </c>
      <c r="D3225" s="273" t="s">
        <v>22961</v>
      </c>
      <c r="E3225" s="274" t="s">
        <v>229</v>
      </c>
    </row>
    <row r="3226" spans="1:5" ht="40.5">
      <c r="A3226" s="271">
        <v>94463</v>
      </c>
      <c r="B3226" s="272" t="s">
        <v>1806</v>
      </c>
      <c r="C3226" s="272" t="s">
        <v>5</v>
      </c>
      <c r="D3226" s="273" t="s">
        <v>22962</v>
      </c>
      <c r="E3226" s="274" t="s">
        <v>229</v>
      </c>
    </row>
    <row r="3227" spans="1:5" ht="40.5">
      <c r="A3227" s="271">
        <v>94464</v>
      </c>
      <c r="B3227" s="272" t="s">
        <v>1807</v>
      </c>
      <c r="C3227" s="272" t="s">
        <v>5</v>
      </c>
      <c r="D3227" s="273" t="s">
        <v>22963</v>
      </c>
      <c r="E3227" s="274" t="s">
        <v>229</v>
      </c>
    </row>
    <row r="3228" spans="1:5" ht="40.5">
      <c r="A3228" s="271">
        <v>94602</v>
      </c>
      <c r="B3228" s="272" t="s">
        <v>4153</v>
      </c>
      <c r="C3228" s="272" t="s">
        <v>5</v>
      </c>
      <c r="D3228" s="273" t="s">
        <v>22964</v>
      </c>
      <c r="E3228" s="274" t="s">
        <v>229</v>
      </c>
    </row>
    <row r="3229" spans="1:5" ht="40.5">
      <c r="A3229" s="271">
        <v>94603</v>
      </c>
      <c r="B3229" s="272" t="s">
        <v>4154</v>
      </c>
      <c r="C3229" s="272" t="s">
        <v>5</v>
      </c>
      <c r="D3229" s="273" t="s">
        <v>22965</v>
      </c>
      <c r="E3229" s="274" t="s">
        <v>229</v>
      </c>
    </row>
    <row r="3230" spans="1:5" ht="40.5">
      <c r="A3230" s="271">
        <v>94604</v>
      </c>
      <c r="B3230" s="272" t="s">
        <v>4155</v>
      </c>
      <c r="C3230" s="272" t="s">
        <v>5</v>
      </c>
      <c r="D3230" s="273" t="s">
        <v>22966</v>
      </c>
      <c r="E3230" s="274" t="s">
        <v>229</v>
      </c>
    </row>
    <row r="3231" spans="1:5" ht="40.5">
      <c r="A3231" s="271">
        <v>94605</v>
      </c>
      <c r="B3231" s="272" t="s">
        <v>4156</v>
      </c>
      <c r="C3231" s="272" t="s">
        <v>5</v>
      </c>
      <c r="D3231" s="273" t="s">
        <v>22967</v>
      </c>
      <c r="E3231" s="274" t="s">
        <v>229</v>
      </c>
    </row>
    <row r="3232" spans="1:5" ht="27">
      <c r="A3232" s="271">
        <v>94648</v>
      </c>
      <c r="B3232" s="272" t="s">
        <v>1808</v>
      </c>
      <c r="C3232" s="272" t="s">
        <v>5</v>
      </c>
      <c r="D3232" s="273" t="s">
        <v>11303</v>
      </c>
      <c r="E3232" s="274" t="s">
        <v>229</v>
      </c>
    </row>
    <row r="3233" spans="1:5" ht="27">
      <c r="A3233" s="271">
        <v>94649</v>
      </c>
      <c r="B3233" s="272" t="s">
        <v>1809</v>
      </c>
      <c r="C3233" s="272" t="s">
        <v>5</v>
      </c>
      <c r="D3233" s="273" t="s">
        <v>19324</v>
      </c>
      <c r="E3233" s="274" t="s">
        <v>229</v>
      </c>
    </row>
    <row r="3234" spans="1:5" ht="27">
      <c r="A3234" s="271">
        <v>94650</v>
      </c>
      <c r="B3234" s="272" t="s">
        <v>1810</v>
      </c>
      <c r="C3234" s="272" t="s">
        <v>5</v>
      </c>
      <c r="D3234" s="273" t="s">
        <v>11407</v>
      </c>
      <c r="E3234" s="274" t="s">
        <v>229</v>
      </c>
    </row>
    <row r="3235" spans="1:5" ht="27">
      <c r="A3235" s="271">
        <v>94651</v>
      </c>
      <c r="B3235" s="272" t="s">
        <v>1811</v>
      </c>
      <c r="C3235" s="272" t="s">
        <v>5</v>
      </c>
      <c r="D3235" s="273" t="s">
        <v>11551</v>
      </c>
      <c r="E3235" s="274" t="s">
        <v>229</v>
      </c>
    </row>
    <row r="3236" spans="1:5" ht="27">
      <c r="A3236" s="271">
        <v>94652</v>
      </c>
      <c r="B3236" s="272" t="s">
        <v>1812</v>
      </c>
      <c r="C3236" s="272" t="s">
        <v>5</v>
      </c>
      <c r="D3236" s="273" t="s">
        <v>12181</v>
      </c>
      <c r="E3236" s="274" t="s">
        <v>229</v>
      </c>
    </row>
    <row r="3237" spans="1:5" ht="27">
      <c r="A3237" s="271">
        <v>94653</v>
      </c>
      <c r="B3237" s="272" t="s">
        <v>1813</v>
      </c>
      <c r="C3237" s="272" t="s">
        <v>5</v>
      </c>
      <c r="D3237" s="273" t="s">
        <v>22968</v>
      </c>
      <c r="E3237" s="274" t="s">
        <v>229</v>
      </c>
    </row>
    <row r="3238" spans="1:5" ht="27">
      <c r="A3238" s="271">
        <v>94654</v>
      </c>
      <c r="B3238" s="272" t="s">
        <v>1814</v>
      </c>
      <c r="C3238" s="272" t="s">
        <v>5</v>
      </c>
      <c r="D3238" s="273" t="s">
        <v>16488</v>
      </c>
      <c r="E3238" s="274" t="s">
        <v>229</v>
      </c>
    </row>
    <row r="3239" spans="1:5" ht="27">
      <c r="A3239" s="271">
        <v>94655</v>
      </c>
      <c r="B3239" s="272" t="s">
        <v>1815</v>
      </c>
      <c r="C3239" s="272" t="s">
        <v>5</v>
      </c>
      <c r="D3239" s="273" t="s">
        <v>14111</v>
      </c>
      <c r="E3239" s="274" t="s">
        <v>229</v>
      </c>
    </row>
    <row r="3240" spans="1:5" ht="27">
      <c r="A3240" s="271">
        <v>94716</v>
      </c>
      <c r="B3240" s="272" t="s">
        <v>1816</v>
      </c>
      <c r="C3240" s="272" t="s">
        <v>5</v>
      </c>
      <c r="D3240" s="273" t="s">
        <v>14214</v>
      </c>
      <c r="E3240" s="274" t="s">
        <v>229</v>
      </c>
    </row>
    <row r="3241" spans="1:5" ht="27">
      <c r="A3241" s="271">
        <v>94717</v>
      </c>
      <c r="B3241" s="272" t="s">
        <v>1817</v>
      </c>
      <c r="C3241" s="272" t="s">
        <v>5</v>
      </c>
      <c r="D3241" s="273" t="s">
        <v>12257</v>
      </c>
      <c r="E3241" s="274" t="s">
        <v>229</v>
      </c>
    </row>
    <row r="3242" spans="1:5" ht="27">
      <c r="A3242" s="271">
        <v>94718</v>
      </c>
      <c r="B3242" s="272" t="s">
        <v>1818</v>
      </c>
      <c r="C3242" s="272" t="s">
        <v>5</v>
      </c>
      <c r="D3242" s="273" t="s">
        <v>20508</v>
      </c>
      <c r="E3242" s="274" t="s">
        <v>229</v>
      </c>
    </row>
    <row r="3243" spans="1:5" ht="27">
      <c r="A3243" s="271">
        <v>94719</v>
      </c>
      <c r="B3243" s="272" t="s">
        <v>1819</v>
      </c>
      <c r="C3243" s="272" t="s">
        <v>5</v>
      </c>
      <c r="D3243" s="273" t="s">
        <v>22969</v>
      </c>
      <c r="E3243" s="274" t="s">
        <v>229</v>
      </c>
    </row>
    <row r="3244" spans="1:5" ht="27">
      <c r="A3244" s="271">
        <v>94720</v>
      </c>
      <c r="B3244" s="272" t="s">
        <v>1820</v>
      </c>
      <c r="C3244" s="272" t="s">
        <v>5</v>
      </c>
      <c r="D3244" s="273" t="s">
        <v>16484</v>
      </c>
      <c r="E3244" s="274" t="s">
        <v>229</v>
      </c>
    </row>
    <row r="3245" spans="1:5" ht="27">
      <c r="A3245" s="271">
        <v>94721</v>
      </c>
      <c r="B3245" s="272" t="s">
        <v>1821</v>
      </c>
      <c r="C3245" s="272" t="s">
        <v>5</v>
      </c>
      <c r="D3245" s="273" t="s">
        <v>22970</v>
      </c>
      <c r="E3245" s="274" t="s">
        <v>229</v>
      </c>
    </row>
    <row r="3246" spans="1:5" ht="27">
      <c r="A3246" s="271">
        <v>94722</v>
      </c>
      <c r="B3246" s="272" t="s">
        <v>1822</v>
      </c>
      <c r="C3246" s="272" t="s">
        <v>5</v>
      </c>
      <c r="D3246" s="273" t="s">
        <v>22971</v>
      </c>
      <c r="E3246" s="274" t="s">
        <v>229</v>
      </c>
    </row>
    <row r="3247" spans="1:5" ht="27">
      <c r="A3247" s="271">
        <v>95697</v>
      </c>
      <c r="B3247" s="272" t="s">
        <v>13250</v>
      </c>
      <c r="C3247" s="272" t="s">
        <v>5</v>
      </c>
      <c r="D3247" s="273" t="s">
        <v>22972</v>
      </c>
      <c r="E3247" s="274" t="s">
        <v>229</v>
      </c>
    </row>
    <row r="3248" spans="1:5" ht="27">
      <c r="A3248" s="271">
        <v>96635</v>
      </c>
      <c r="B3248" s="272" t="s">
        <v>3476</v>
      </c>
      <c r="C3248" s="272" t="s">
        <v>5</v>
      </c>
      <c r="D3248" s="273" t="s">
        <v>11346</v>
      </c>
      <c r="E3248" s="274" t="s">
        <v>229</v>
      </c>
    </row>
    <row r="3249" spans="1:5" ht="27">
      <c r="A3249" s="271">
        <v>96636</v>
      </c>
      <c r="B3249" s="272" t="s">
        <v>3477</v>
      </c>
      <c r="C3249" s="272" t="s">
        <v>5</v>
      </c>
      <c r="D3249" s="273" t="s">
        <v>22973</v>
      </c>
      <c r="E3249" s="274" t="s">
        <v>229</v>
      </c>
    </row>
    <row r="3250" spans="1:5" ht="27">
      <c r="A3250" s="271">
        <v>96644</v>
      </c>
      <c r="B3250" s="272" t="s">
        <v>3478</v>
      </c>
      <c r="C3250" s="272" t="s">
        <v>5</v>
      </c>
      <c r="D3250" s="273" t="s">
        <v>12263</v>
      </c>
      <c r="E3250" s="274" t="s">
        <v>229</v>
      </c>
    </row>
    <row r="3251" spans="1:5" ht="27">
      <c r="A3251" s="271">
        <v>96645</v>
      </c>
      <c r="B3251" s="272" t="s">
        <v>3479</v>
      </c>
      <c r="C3251" s="272" t="s">
        <v>5</v>
      </c>
      <c r="D3251" s="273" t="s">
        <v>11473</v>
      </c>
      <c r="E3251" s="274" t="s">
        <v>229</v>
      </c>
    </row>
    <row r="3252" spans="1:5" ht="27">
      <c r="A3252" s="271">
        <v>96646</v>
      </c>
      <c r="B3252" s="272" t="s">
        <v>3480</v>
      </c>
      <c r="C3252" s="272" t="s">
        <v>5</v>
      </c>
      <c r="D3252" s="273" t="s">
        <v>16561</v>
      </c>
      <c r="E3252" s="274" t="s">
        <v>229</v>
      </c>
    </row>
    <row r="3253" spans="1:5" ht="27">
      <c r="A3253" s="271">
        <v>96647</v>
      </c>
      <c r="B3253" s="272" t="s">
        <v>3481</v>
      </c>
      <c r="C3253" s="272" t="s">
        <v>5</v>
      </c>
      <c r="D3253" s="273" t="s">
        <v>12132</v>
      </c>
      <c r="E3253" s="274" t="s">
        <v>229</v>
      </c>
    </row>
    <row r="3254" spans="1:5" ht="27">
      <c r="A3254" s="271">
        <v>96648</v>
      </c>
      <c r="B3254" s="272" t="s">
        <v>3482</v>
      </c>
      <c r="C3254" s="272" t="s">
        <v>5</v>
      </c>
      <c r="D3254" s="273" t="s">
        <v>10360</v>
      </c>
      <c r="E3254" s="274" t="s">
        <v>229</v>
      </c>
    </row>
    <row r="3255" spans="1:5" ht="27">
      <c r="A3255" s="271">
        <v>96649</v>
      </c>
      <c r="B3255" s="272" t="s">
        <v>3483</v>
      </c>
      <c r="C3255" s="272" t="s">
        <v>5</v>
      </c>
      <c r="D3255" s="273" t="s">
        <v>16565</v>
      </c>
      <c r="E3255" s="274" t="s">
        <v>229</v>
      </c>
    </row>
    <row r="3256" spans="1:5" ht="27">
      <c r="A3256" s="271">
        <v>96668</v>
      </c>
      <c r="B3256" s="272" t="s">
        <v>3484</v>
      </c>
      <c r="C3256" s="272" t="s">
        <v>5</v>
      </c>
      <c r="D3256" s="273" t="s">
        <v>22178</v>
      </c>
      <c r="E3256" s="274" t="s">
        <v>229</v>
      </c>
    </row>
    <row r="3257" spans="1:5" ht="27">
      <c r="A3257" s="271">
        <v>96669</v>
      </c>
      <c r="B3257" s="272" t="s">
        <v>3485</v>
      </c>
      <c r="C3257" s="272" t="s">
        <v>5</v>
      </c>
      <c r="D3257" s="273" t="s">
        <v>12326</v>
      </c>
      <c r="E3257" s="274" t="s">
        <v>229</v>
      </c>
    </row>
    <row r="3258" spans="1:5" ht="27">
      <c r="A3258" s="271">
        <v>96670</v>
      </c>
      <c r="B3258" s="272" t="s">
        <v>3486</v>
      </c>
      <c r="C3258" s="272" t="s">
        <v>5</v>
      </c>
      <c r="D3258" s="273" t="s">
        <v>22974</v>
      </c>
      <c r="E3258" s="274" t="s">
        <v>229</v>
      </c>
    </row>
    <row r="3259" spans="1:5" ht="27">
      <c r="A3259" s="271">
        <v>96671</v>
      </c>
      <c r="B3259" s="272" t="s">
        <v>3487</v>
      </c>
      <c r="C3259" s="272" t="s">
        <v>5</v>
      </c>
      <c r="D3259" s="273" t="s">
        <v>22975</v>
      </c>
      <c r="E3259" s="274" t="s">
        <v>229</v>
      </c>
    </row>
    <row r="3260" spans="1:5" ht="27">
      <c r="A3260" s="271">
        <v>96672</v>
      </c>
      <c r="B3260" s="272" t="s">
        <v>3488</v>
      </c>
      <c r="C3260" s="272" t="s">
        <v>5</v>
      </c>
      <c r="D3260" s="273" t="s">
        <v>19940</v>
      </c>
      <c r="E3260" s="274" t="s">
        <v>229</v>
      </c>
    </row>
    <row r="3261" spans="1:5" ht="27">
      <c r="A3261" s="271">
        <v>96673</v>
      </c>
      <c r="B3261" s="272" t="s">
        <v>3489</v>
      </c>
      <c r="C3261" s="272" t="s">
        <v>5</v>
      </c>
      <c r="D3261" s="273" t="s">
        <v>22976</v>
      </c>
      <c r="E3261" s="274" t="s">
        <v>229</v>
      </c>
    </row>
    <row r="3262" spans="1:5" ht="27">
      <c r="A3262" s="271">
        <v>96674</v>
      </c>
      <c r="B3262" s="272" t="s">
        <v>3490</v>
      </c>
      <c r="C3262" s="272" t="s">
        <v>5</v>
      </c>
      <c r="D3262" s="273" t="s">
        <v>19474</v>
      </c>
      <c r="E3262" s="274" t="s">
        <v>229</v>
      </c>
    </row>
    <row r="3263" spans="1:5" ht="27">
      <c r="A3263" s="271">
        <v>96675</v>
      </c>
      <c r="B3263" s="272" t="s">
        <v>3491</v>
      </c>
      <c r="C3263" s="272" t="s">
        <v>5</v>
      </c>
      <c r="D3263" s="273" t="s">
        <v>22977</v>
      </c>
      <c r="E3263" s="274" t="s">
        <v>229</v>
      </c>
    </row>
    <row r="3264" spans="1:5" ht="27">
      <c r="A3264" s="271">
        <v>96676</v>
      </c>
      <c r="B3264" s="272" t="s">
        <v>3492</v>
      </c>
      <c r="C3264" s="272" t="s">
        <v>5</v>
      </c>
      <c r="D3264" s="273" t="s">
        <v>10257</v>
      </c>
      <c r="E3264" s="274" t="s">
        <v>229</v>
      </c>
    </row>
    <row r="3265" spans="1:5" ht="27">
      <c r="A3265" s="271">
        <v>96677</v>
      </c>
      <c r="B3265" s="272" t="s">
        <v>3493</v>
      </c>
      <c r="C3265" s="272" t="s">
        <v>5</v>
      </c>
      <c r="D3265" s="273" t="s">
        <v>11256</v>
      </c>
      <c r="E3265" s="274" t="s">
        <v>229</v>
      </c>
    </row>
    <row r="3266" spans="1:5" ht="27">
      <c r="A3266" s="271">
        <v>96678</v>
      </c>
      <c r="B3266" s="272" t="s">
        <v>3494</v>
      </c>
      <c r="C3266" s="272" t="s">
        <v>5</v>
      </c>
      <c r="D3266" s="273" t="s">
        <v>9839</v>
      </c>
      <c r="E3266" s="274" t="s">
        <v>229</v>
      </c>
    </row>
    <row r="3267" spans="1:5" ht="27">
      <c r="A3267" s="271">
        <v>96679</v>
      </c>
      <c r="B3267" s="272" t="s">
        <v>3495</v>
      </c>
      <c r="C3267" s="272" t="s">
        <v>5</v>
      </c>
      <c r="D3267" s="273" t="s">
        <v>22978</v>
      </c>
      <c r="E3267" s="274" t="s">
        <v>229</v>
      </c>
    </row>
    <row r="3268" spans="1:5" ht="27">
      <c r="A3268" s="271">
        <v>96680</v>
      </c>
      <c r="B3268" s="272" t="s">
        <v>3496</v>
      </c>
      <c r="C3268" s="272" t="s">
        <v>5</v>
      </c>
      <c r="D3268" s="273" t="s">
        <v>22979</v>
      </c>
      <c r="E3268" s="274" t="s">
        <v>229</v>
      </c>
    </row>
    <row r="3269" spans="1:5" ht="27">
      <c r="A3269" s="271">
        <v>96681</v>
      </c>
      <c r="B3269" s="272" t="s">
        <v>3497</v>
      </c>
      <c r="C3269" s="272" t="s">
        <v>5</v>
      </c>
      <c r="D3269" s="273" t="s">
        <v>22980</v>
      </c>
      <c r="E3269" s="274" t="s">
        <v>229</v>
      </c>
    </row>
    <row r="3270" spans="1:5" ht="27">
      <c r="A3270" s="271">
        <v>96682</v>
      </c>
      <c r="B3270" s="272" t="s">
        <v>3498</v>
      </c>
      <c r="C3270" s="272" t="s">
        <v>5</v>
      </c>
      <c r="D3270" s="273" t="s">
        <v>22220</v>
      </c>
      <c r="E3270" s="274" t="s">
        <v>229</v>
      </c>
    </row>
    <row r="3271" spans="1:5" ht="27">
      <c r="A3271" s="271">
        <v>96683</v>
      </c>
      <c r="B3271" s="272" t="s">
        <v>3499</v>
      </c>
      <c r="C3271" s="272" t="s">
        <v>5</v>
      </c>
      <c r="D3271" s="273" t="s">
        <v>22981</v>
      </c>
      <c r="E3271" s="274" t="s">
        <v>229</v>
      </c>
    </row>
    <row r="3272" spans="1:5" ht="27">
      <c r="A3272" s="271">
        <v>96718</v>
      </c>
      <c r="B3272" s="272" t="s">
        <v>3500</v>
      </c>
      <c r="C3272" s="272" t="s">
        <v>5</v>
      </c>
      <c r="D3272" s="273" t="s">
        <v>10511</v>
      </c>
      <c r="E3272" s="274" t="s">
        <v>229</v>
      </c>
    </row>
    <row r="3273" spans="1:5" ht="27">
      <c r="A3273" s="271">
        <v>96719</v>
      </c>
      <c r="B3273" s="272" t="s">
        <v>3501</v>
      </c>
      <c r="C3273" s="272" t="s">
        <v>5</v>
      </c>
      <c r="D3273" s="273" t="s">
        <v>11025</v>
      </c>
      <c r="E3273" s="274" t="s">
        <v>229</v>
      </c>
    </row>
    <row r="3274" spans="1:5" ht="27">
      <c r="A3274" s="271">
        <v>96720</v>
      </c>
      <c r="B3274" s="272" t="s">
        <v>3502</v>
      </c>
      <c r="C3274" s="272" t="s">
        <v>5</v>
      </c>
      <c r="D3274" s="273" t="s">
        <v>16400</v>
      </c>
      <c r="E3274" s="274" t="s">
        <v>229</v>
      </c>
    </row>
    <row r="3275" spans="1:5" ht="27">
      <c r="A3275" s="271">
        <v>96721</v>
      </c>
      <c r="B3275" s="272" t="s">
        <v>3503</v>
      </c>
      <c r="C3275" s="272" t="s">
        <v>5</v>
      </c>
      <c r="D3275" s="273" t="s">
        <v>16153</v>
      </c>
      <c r="E3275" s="274" t="s">
        <v>229</v>
      </c>
    </row>
    <row r="3276" spans="1:5" ht="27">
      <c r="A3276" s="271">
        <v>96722</v>
      </c>
      <c r="B3276" s="272" t="s">
        <v>3504</v>
      </c>
      <c r="C3276" s="272" t="s">
        <v>5</v>
      </c>
      <c r="D3276" s="273" t="s">
        <v>14152</v>
      </c>
      <c r="E3276" s="274" t="s">
        <v>229</v>
      </c>
    </row>
    <row r="3277" spans="1:5" ht="27">
      <c r="A3277" s="271">
        <v>96723</v>
      </c>
      <c r="B3277" s="272" t="s">
        <v>3505</v>
      </c>
      <c r="C3277" s="272" t="s">
        <v>5</v>
      </c>
      <c r="D3277" s="273" t="s">
        <v>22982</v>
      </c>
      <c r="E3277" s="274" t="s">
        <v>229</v>
      </c>
    </row>
    <row r="3278" spans="1:5" ht="27">
      <c r="A3278" s="271">
        <v>96724</v>
      </c>
      <c r="B3278" s="272" t="s">
        <v>3506</v>
      </c>
      <c r="C3278" s="272" t="s">
        <v>5</v>
      </c>
      <c r="D3278" s="273" t="s">
        <v>20369</v>
      </c>
      <c r="E3278" s="274" t="s">
        <v>229</v>
      </c>
    </row>
    <row r="3279" spans="1:5" ht="27">
      <c r="A3279" s="271">
        <v>96725</v>
      </c>
      <c r="B3279" s="272" t="s">
        <v>3507</v>
      </c>
      <c r="C3279" s="272" t="s">
        <v>5</v>
      </c>
      <c r="D3279" s="273" t="s">
        <v>22983</v>
      </c>
      <c r="E3279" s="274" t="s">
        <v>229</v>
      </c>
    </row>
    <row r="3280" spans="1:5" ht="27">
      <c r="A3280" s="271">
        <v>96726</v>
      </c>
      <c r="B3280" s="272" t="s">
        <v>3508</v>
      </c>
      <c r="C3280" s="272" t="s">
        <v>5</v>
      </c>
      <c r="D3280" s="273" t="s">
        <v>22984</v>
      </c>
      <c r="E3280" s="274" t="s">
        <v>229</v>
      </c>
    </row>
    <row r="3281" spans="1:5" ht="27">
      <c r="A3281" s="271">
        <v>96727</v>
      </c>
      <c r="B3281" s="272" t="s">
        <v>3509</v>
      </c>
      <c r="C3281" s="272" t="s">
        <v>5</v>
      </c>
      <c r="D3281" s="273" t="s">
        <v>15939</v>
      </c>
      <c r="E3281" s="274" t="s">
        <v>229</v>
      </c>
    </row>
    <row r="3282" spans="1:5" ht="27">
      <c r="A3282" s="271">
        <v>96728</v>
      </c>
      <c r="B3282" s="272" t="s">
        <v>3510</v>
      </c>
      <c r="C3282" s="272" t="s">
        <v>5</v>
      </c>
      <c r="D3282" s="273" t="s">
        <v>9911</v>
      </c>
      <c r="E3282" s="274" t="s">
        <v>229</v>
      </c>
    </row>
    <row r="3283" spans="1:5" ht="27">
      <c r="A3283" s="271">
        <v>96729</v>
      </c>
      <c r="B3283" s="272" t="s">
        <v>3511</v>
      </c>
      <c r="C3283" s="272" t="s">
        <v>5</v>
      </c>
      <c r="D3283" s="273" t="s">
        <v>21550</v>
      </c>
      <c r="E3283" s="274" t="s">
        <v>229</v>
      </c>
    </row>
    <row r="3284" spans="1:5" ht="27">
      <c r="A3284" s="271">
        <v>96730</v>
      </c>
      <c r="B3284" s="272" t="s">
        <v>3512</v>
      </c>
      <c r="C3284" s="272" t="s">
        <v>5</v>
      </c>
      <c r="D3284" s="273" t="s">
        <v>20840</v>
      </c>
      <c r="E3284" s="274" t="s">
        <v>229</v>
      </c>
    </row>
    <row r="3285" spans="1:5" ht="27">
      <c r="A3285" s="271">
        <v>96731</v>
      </c>
      <c r="B3285" s="272" t="s">
        <v>3513</v>
      </c>
      <c r="C3285" s="272" t="s">
        <v>5</v>
      </c>
      <c r="D3285" s="273" t="s">
        <v>22698</v>
      </c>
      <c r="E3285" s="274" t="s">
        <v>229</v>
      </c>
    </row>
    <row r="3286" spans="1:5" ht="27">
      <c r="A3286" s="271">
        <v>96732</v>
      </c>
      <c r="B3286" s="272" t="s">
        <v>3514</v>
      </c>
      <c r="C3286" s="272" t="s">
        <v>5</v>
      </c>
      <c r="D3286" s="273" t="s">
        <v>22985</v>
      </c>
      <c r="E3286" s="274" t="s">
        <v>229</v>
      </c>
    </row>
    <row r="3287" spans="1:5" ht="27">
      <c r="A3287" s="271">
        <v>96733</v>
      </c>
      <c r="B3287" s="272" t="s">
        <v>3515</v>
      </c>
      <c r="C3287" s="272" t="s">
        <v>5</v>
      </c>
      <c r="D3287" s="273" t="s">
        <v>22986</v>
      </c>
      <c r="E3287" s="274" t="s">
        <v>229</v>
      </c>
    </row>
    <row r="3288" spans="1:5" ht="27">
      <c r="A3288" s="271">
        <v>96734</v>
      </c>
      <c r="B3288" s="272" t="s">
        <v>3516</v>
      </c>
      <c r="C3288" s="272" t="s">
        <v>5</v>
      </c>
      <c r="D3288" s="273" t="s">
        <v>22987</v>
      </c>
      <c r="E3288" s="274" t="s">
        <v>229</v>
      </c>
    </row>
    <row r="3289" spans="1:5" ht="27">
      <c r="A3289" s="271">
        <v>96735</v>
      </c>
      <c r="B3289" s="272" t="s">
        <v>3517</v>
      </c>
      <c r="C3289" s="272" t="s">
        <v>5</v>
      </c>
      <c r="D3289" s="273" t="s">
        <v>18866</v>
      </c>
      <c r="E3289" s="274" t="s">
        <v>229</v>
      </c>
    </row>
    <row r="3290" spans="1:5" ht="27">
      <c r="A3290" s="271">
        <v>96794</v>
      </c>
      <c r="B3290" s="272" t="s">
        <v>3518</v>
      </c>
      <c r="C3290" s="272" t="s">
        <v>5</v>
      </c>
      <c r="D3290" s="273" t="s">
        <v>10459</v>
      </c>
      <c r="E3290" s="274" t="s">
        <v>229</v>
      </c>
    </row>
    <row r="3291" spans="1:5" ht="27">
      <c r="A3291" s="271">
        <v>96795</v>
      </c>
      <c r="B3291" s="272" t="s">
        <v>3519</v>
      </c>
      <c r="C3291" s="272" t="s">
        <v>5</v>
      </c>
      <c r="D3291" s="273" t="s">
        <v>10534</v>
      </c>
      <c r="E3291" s="274" t="s">
        <v>229</v>
      </c>
    </row>
    <row r="3292" spans="1:5" ht="27">
      <c r="A3292" s="271">
        <v>96796</v>
      </c>
      <c r="B3292" s="272" t="s">
        <v>3520</v>
      </c>
      <c r="C3292" s="272" t="s">
        <v>5</v>
      </c>
      <c r="D3292" s="273" t="s">
        <v>10971</v>
      </c>
      <c r="E3292" s="274" t="s">
        <v>229</v>
      </c>
    </row>
    <row r="3293" spans="1:5" ht="27">
      <c r="A3293" s="271">
        <v>96797</v>
      </c>
      <c r="B3293" s="272" t="s">
        <v>3521</v>
      </c>
      <c r="C3293" s="272" t="s">
        <v>5</v>
      </c>
      <c r="D3293" s="273" t="s">
        <v>20496</v>
      </c>
      <c r="E3293" s="274" t="s">
        <v>229</v>
      </c>
    </row>
    <row r="3294" spans="1:5" ht="27">
      <c r="A3294" s="271">
        <v>96798</v>
      </c>
      <c r="B3294" s="272" t="s">
        <v>3522</v>
      </c>
      <c r="C3294" s="272" t="s">
        <v>5</v>
      </c>
      <c r="D3294" s="273" t="s">
        <v>11179</v>
      </c>
      <c r="E3294" s="274" t="s">
        <v>229</v>
      </c>
    </row>
    <row r="3295" spans="1:5" ht="27">
      <c r="A3295" s="271">
        <v>96799</v>
      </c>
      <c r="B3295" s="272" t="s">
        <v>3523</v>
      </c>
      <c r="C3295" s="272" t="s">
        <v>5</v>
      </c>
      <c r="D3295" s="273" t="s">
        <v>10879</v>
      </c>
      <c r="E3295" s="274" t="s">
        <v>229</v>
      </c>
    </row>
    <row r="3296" spans="1:5" ht="27">
      <c r="A3296" s="271">
        <v>96800</v>
      </c>
      <c r="B3296" s="272" t="s">
        <v>3524</v>
      </c>
      <c r="C3296" s="272" t="s">
        <v>5</v>
      </c>
      <c r="D3296" s="273" t="s">
        <v>19085</v>
      </c>
      <c r="E3296" s="274" t="s">
        <v>229</v>
      </c>
    </row>
    <row r="3297" spans="1:5" ht="27">
      <c r="A3297" s="271">
        <v>96801</v>
      </c>
      <c r="B3297" s="272" t="s">
        <v>3525</v>
      </c>
      <c r="C3297" s="272" t="s">
        <v>5</v>
      </c>
      <c r="D3297" s="273" t="s">
        <v>20322</v>
      </c>
      <c r="E3297" s="274" t="s">
        <v>229</v>
      </c>
    </row>
    <row r="3298" spans="1:5" ht="27">
      <c r="A3298" s="271">
        <v>97327</v>
      </c>
      <c r="B3298" s="272" t="s">
        <v>4157</v>
      </c>
      <c r="C3298" s="272" t="s">
        <v>5</v>
      </c>
      <c r="D3298" s="273" t="s">
        <v>19511</v>
      </c>
      <c r="E3298" s="274" t="s">
        <v>229</v>
      </c>
    </row>
    <row r="3299" spans="1:5" ht="27">
      <c r="A3299" s="271">
        <v>97328</v>
      </c>
      <c r="B3299" s="272" t="s">
        <v>4158</v>
      </c>
      <c r="C3299" s="272" t="s">
        <v>5</v>
      </c>
      <c r="D3299" s="273" t="s">
        <v>16491</v>
      </c>
      <c r="E3299" s="274" t="s">
        <v>229</v>
      </c>
    </row>
    <row r="3300" spans="1:5" ht="27">
      <c r="A3300" s="271">
        <v>97329</v>
      </c>
      <c r="B3300" s="272" t="s">
        <v>4159</v>
      </c>
      <c r="C3300" s="272" t="s">
        <v>5</v>
      </c>
      <c r="D3300" s="273" t="s">
        <v>22988</v>
      </c>
      <c r="E3300" s="274" t="s">
        <v>229</v>
      </c>
    </row>
    <row r="3301" spans="1:5" ht="27">
      <c r="A3301" s="271">
        <v>97330</v>
      </c>
      <c r="B3301" s="272" t="s">
        <v>4160</v>
      </c>
      <c r="C3301" s="272" t="s">
        <v>5</v>
      </c>
      <c r="D3301" s="273" t="s">
        <v>22989</v>
      </c>
      <c r="E3301" s="274" t="s">
        <v>229</v>
      </c>
    </row>
    <row r="3302" spans="1:5" ht="27">
      <c r="A3302" s="271">
        <v>97331</v>
      </c>
      <c r="B3302" s="272" t="s">
        <v>4161</v>
      </c>
      <c r="C3302" s="272" t="s">
        <v>5</v>
      </c>
      <c r="D3302" s="273" t="s">
        <v>15979</v>
      </c>
      <c r="E3302" s="274" t="s">
        <v>229</v>
      </c>
    </row>
    <row r="3303" spans="1:5" ht="27">
      <c r="A3303" s="271">
        <v>97332</v>
      </c>
      <c r="B3303" s="272" t="s">
        <v>4162</v>
      </c>
      <c r="C3303" s="272" t="s">
        <v>5</v>
      </c>
      <c r="D3303" s="273" t="s">
        <v>22990</v>
      </c>
      <c r="E3303" s="274" t="s">
        <v>229</v>
      </c>
    </row>
    <row r="3304" spans="1:5" ht="27">
      <c r="A3304" s="271">
        <v>97333</v>
      </c>
      <c r="B3304" s="272" t="s">
        <v>4163</v>
      </c>
      <c r="C3304" s="272" t="s">
        <v>5</v>
      </c>
      <c r="D3304" s="273" t="s">
        <v>11538</v>
      </c>
      <c r="E3304" s="274" t="s">
        <v>229</v>
      </c>
    </row>
    <row r="3305" spans="1:5" ht="27">
      <c r="A3305" s="271">
        <v>97334</v>
      </c>
      <c r="B3305" s="272" t="s">
        <v>4164</v>
      </c>
      <c r="C3305" s="272" t="s">
        <v>5</v>
      </c>
      <c r="D3305" s="273" t="s">
        <v>22991</v>
      </c>
      <c r="E3305" s="274" t="s">
        <v>229</v>
      </c>
    </row>
    <row r="3306" spans="1:5" ht="27">
      <c r="A3306" s="271">
        <v>97335</v>
      </c>
      <c r="B3306" s="272" t="s">
        <v>4165</v>
      </c>
      <c r="C3306" s="272" t="s">
        <v>5</v>
      </c>
      <c r="D3306" s="273" t="s">
        <v>22992</v>
      </c>
      <c r="E3306" s="274" t="s">
        <v>229</v>
      </c>
    </row>
    <row r="3307" spans="1:5" ht="27">
      <c r="A3307" s="271">
        <v>97336</v>
      </c>
      <c r="B3307" s="272" t="s">
        <v>4166</v>
      </c>
      <c r="C3307" s="272" t="s">
        <v>5</v>
      </c>
      <c r="D3307" s="273" t="s">
        <v>15912</v>
      </c>
      <c r="E3307" s="274" t="s">
        <v>229</v>
      </c>
    </row>
    <row r="3308" spans="1:5" ht="27">
      <c r="A3308" s="271">
        <v>97337</v>
      </c>
      <c r="B3308" s="272" t="s">
        <v>4167</v>
      </c>
      <c r="C3308" s="272" t="s">
        <v>5</v>
      </c>
      <c r="D3308" s="273" t="s">
        <v>22993</v>
      </c>
      <c r="E3308" s="274" t="s">
        <v>229</v>
      </c>
    </row>
    <row r="3309" spans="1:5" ht="27">
      <c r="A3309" s="271">
        <v>97338</v>
      </c>
      <c r="B3309" s="272" t="s">
        <v>4168</v>
      </c>
      <c r="C3309" s="272" t="s">
        <v>5</v>
      </c>
      <c r="D3309" s="273" t="s">
        <v>22994</v>
      </c>
      <c r="E3309" s="274" t="s">
        <v>229</v>
      </c>
    </row>
    <row r="3310" spans="1:5" ht="27">
      <c r="A3310" s="271">
        <v>97339</v>
      </c>
      <c r="B3310" s="272" t="s">
        <v>4169</v>
      </c>
      <c r="C3310" s="272" t="s">
        <v>5</v>
      </c>
      <c r="D3310" s="273" t="s">
        <v>15987</v>
      </c>
      <c r="E3310" s="274" t="s">
        <v>229</v>
      </c>
    </row>
    <row r="3311" spans="1:5" ht="27">
      <c r="A3311" s="271">
        <v>97340</v>
      </c>
      <c r="B3311" s="272" t="s">
        <v>4170</v>
      </c>
      <c r="C3311" s="272" t="s">
        <v>5</v>
      </c>
      <c r="D3311" s="273" t="s">
        <v>22995</v>
      </c>
      <c r="E3311" s="274" t="s">
        <v>229</v>
      </c>
    </row>
    <row r="3312" spans="1:5" ht="27">
      <c r="A3312" s="271">
        <v>97341</v>
      </c>
      <c r="B3312" s="272" t="s">
        <v>4171</v>
      </c>
      <c r="C3312" s="272" t="s">
        <v>5</v>
      </c>
      <c r="D3312" s="273" t="s">
        <v>21094</v>
      </c>
      <c r="E3312" s="274" t="s">
        <v>229</v>
      </c>
    </row>
    <row r="3313" spans="1:5" ht="27">
      <c r="A3313" s="271">
        <v>97342</v>
      </c>
      <c r="B3313" s="272" t="s">
        <v>4172</v>
      </c>
      <c r="C3313" s="272" t="s">
        <v>5</v>
      </c>
      <c r="D3313" s="273" t="s">
        <v>22996</v>
      </c>
      <c r="E3313" s="274" t="s">
        <v>229</v>
      </c>
    </row>
    <row r="3314" spans="1:5" ht="27">
      <c r="A3314" s="271">
        <v>97343</v>
      </c>
      <c r="B3314" s="272" t="s">
        <v>4173</v>
      </c>
      <c r="C3314" s="272" t="s">
        <v>5</v>
      </c>
      <c r="D3314" s="273" t="s">
        <v>22997</v>
      </c>
      <c r="E3314" s="274" t="s">
        <v>229</v>
      </c>
    </row>
    <row r="3315" spans="1:5" ht="27">
      <c r="A3315" s="271">
        <v>97344</v>
      </c>
      <c r="B3315" s="272" t="s">
        <v>4174</v>
      </c>
      <c r="C3315" s="272" t="s">
        <v>5</v>
      </c>
      <c r="D3315" s="273" t="s">
        <v>14101</v>
      </c>
      <c r="E3315" s="274" t="s">
        <v>229</v>
      </c>
    </row>
    <row r="3316" spans="1:5" ht="27">
      <c r="A3316" s="271">
        <v>97345</v>
      </c>
      <c r="B3316" s="272" t="s">
        <v>4175</v>
      </c>
      <c r="C3316" s="272" t="s">
        <v>5</v>
      </c>
      <c r="D3316" s="273" t="s">
        <v>22998</v>
      </c>
      <c r="E3316" s="274" t="s">
        <v>229</v>
      </c>
    </row>
    <row r="3317" spans="1:5" ht="27">
      <c r="A3317" s="271">
        <v>97346</v>
      </c>
      <c r="B3317" s="272" t="s">
        <v>4176</v>
      </c>
      <c r="C3317" s="272" t="s">
        <v>5</v>
      </c>
      <c r="D3317" s="273" t="s">
        <v>22999</v>
      </c>
      <c r="E3317" s="274" t="s">
        <v>229</v>
      </c>
    </row>
    <row r="3318" spans="1:5" ht="27">
      <c r="A3318" s="271">
        <v>97347</v>
      </c>
      <c r="B3318" s="272" t="s">
        <v>4177</v>
      </c>
      <c r="C3318" s="272" t="s">
        <v>5</v>
      </c>
      <c r="D3318" s="273" t="s">
        <v>23000</v>
      </c>
      <c r="E3318" s="274" t="s">
        <v>229</v>
      </c>
    </row>
    <row r="3319" spans="1:5" ht="27">
      <c r="A3319" s="271">
        <v>97348</v>
      </c>
      <c r="B3319" s="272" t="s">
        <v>4178</v>
      </c>
      <c r="C3319" s="272" t="s">
        <v>5</v>
      </c>
      <c r="D3319" s="273" t="s">
        <v>23001</v>
      </c>
      <c r="E3319" s="274" t="s">
        <v>229</v>
      </c>
    </row>
    <row r="3320" spans="1:5" ht="27">
      <c r="A3320" s="271">
        <v>97349</v>
      </c>
      <c r="B3320" s="272" t="s">
        <v>4179</v>
      </c>
      <c r="C3320" s="272" t="s">
        <v>5</v>
      </c>
      <c r="D3320" s="273" t="s">
        <v>23002</v>
      </c>
      <c r="E3320" s="274" t="s">
        <v>229</v>
      </c>
    </row>
    <row r="3321" spans="1:5" ht="27">
      <c r="A3321" s="271">
        <v>97350</v>
      </c>
      <c r="B3321" s="272" t="s">
        <v>4180</v>
      </c>
      <c r="C3321" s="272" t="s">
        <v>5</v>
      </c>
      <c r="D3321" s="273" t="s">
        <v>23003</v>
      </c>
      <c r="E3321" s="274" t="s">
        <v>229</v>
      </c>
    </row>
    <row r="3322" spans="1:5" ht="27">
      <c r="A3322" s="271">
        <v>97351</v>
      </c>
      <c r="B3322" s="272" t="s">
        <v>4181</v>
      </c>
      <c r="C3322" s="272" t="s">
        <v>5</v>
      </c>
      <c r="D3322" s="273" t="s">
        <v>23004</v>
      </c>
      <c r="E3322" s="274" t="s">
        <v>229</v>
      </c>
    </row>
    <row r="3323" spans="1:5" ht="27">
      <c r="A3323" s="271">
        <v>97352</v>
      </c>
      <c r="B3323" s="272" t="s">
        <v>4182</v>
      </c>
      <c r="C3323" s="272" t="s">
        <v>5</v>
      </c>
      <c r="D3323" s="273" t="s">
        <v>23005</v>
      </c>
      <c r="E3323" s="274" t="s">
        <v>229</v>
      </c>
    </row>
    <row r="3324" spans="1:5" ht="27">
      <c r="A3324" s="271">
        <v>97353</v>
      </c>
      <c r="B3324" s="272" t="s">
        <v>4183</v>
      </c>
      <c r="C3324" s="272" t="s">
        <v>5</v>
      </c>
      <c r="D3324" s="273" t="s">
        <v>15891</v>
      </c>
      <c r="E3324" s="274" t="s">
        <v>229</v>
      </c>
    </row>
    <row r="3325" spans="1:5" ht="27">
      <c r="A3325" s="271">
        <v>97354</v>
      </c>
      <c r="B3325" s="272" t="s">
        <v>4184</v>
      </c>
      <c r="C3325" s="272" t="s">
        <v>5</v>
      </c>
      <c r="D3325" s="273" t="s">
        <v>23006</v>
      </c>
      <c r="E3325" s="274" t="s">
        <v>229</v>
      </c>
    </row>
    <row r="3326" spans="1:5" ht="27">
      <c r="A3326" s="271">
        <v>97355</v>
      </c>
      <c r="B3326" s="272" t="s">
        <v>4185</v>
      </c>
      <c r="C3326" s="272" t="s">
        <v>5</v>
      </c>
      <c r="D3326" s="273" t="s">
        <v>23007</v>
      </c>
      <c r="E3326" s="274" t="s">
        <v>229</v>
      </c>
    </row>
    <row r="3327" spans="1:5" ht="27">
      <c r="A3327" s="271">
        <v>97356</v>
      </c>
      <c r="B3327" s="272" t="s">
        <v>4186</v>
      </c>
      <c r="C3327" s="272" t="s">
        <v>5</v>
      </c>
      <c r="D3327" s="273" t="s">
        <v>23008</v>
      </c>
      <c r="E3327" s="274" t="s">
        <v>229</v>
      </c>
    </row>
    <row r="3328" spans="1:5" ht="27">
      <c r="A3328" s="271">
        <v>97357</v>
      </c>
      <c r="B3328" s="272" t="s">
        <v>4187</v>
      </c>
      <c r="C3328" s="272" t="s">
        <v>5</v>
      </c>
      <c r="D3328" s="273" t="s">
        <v>23009</v>
      </c>
      <c r="E3328" s="274" t="s">
        <v>229</v>
      </c>
    </row>
    <row r="3329" spans="1:5" ht="27">
      <c r="A3329" s="271">
        <v>97358</v>
      </c>
      <c r="B3329" s="272" t="s">
        <v>4188</v>
      </c>
      <c r="C3329" s="272" t="s">
        <v>5</v>
      </c>
      <c r="D3329" s="273" t="s">
        <v>23010</v>
      </c>
      <c r="E3329" s="274" t="s">
        <v>229</v>
      </c>
    </row>
    <row r="3330" spans="1:5" ht="40.5">
      <c r="A3330" s="271">
        <v>97498</v>
      </c>
      <c r="B3330" s="272" t="s">
        <v>13251</v>
      </c>
      <c r="C3330" s="272" t="s">
        <v>5</v>
      </c>
      <c r="D3330" s="273" t="s">
        <v>14098</v>
      </c>
      <c r="E3330" s="274" t="s">
        <v>229</v>
      </c>
    </row>
    <row r="3331" spans="1:5" ht="40.5">
      <c r="A3331" s="271">
        <v>97535</v>
      </c>
      <c r="B3331" s="272" t="s">
        <v>13252</v>
      </c>
      <c r="C3331" s="272" t="s">
        <v>5</v>
      </c>
      <c r="D3331" s="273" t="s">
        <v>23011</v>
      </c>
      <c r="E3331" s="274" t="s">
        <v>229</v>
      </c>
    </row>
    <row r="3332" spans="1:5" ht="27">
      <c r="A3332" s="271">
        <v>97536</v>
      </c>
      <c r="B3332" s="272" t="s">
        <v>13253</v>
      </c>
      <c r="C3332" s="272" t="s">
        <v>5</v>
      </c>
      <c r="D3332" s="273" t="s">
        <v>23012</v>
      </c>
      <c r="E3332" s="274" t="s">
        <v>229</v>
      </c>
    </row>
    <row r="3333" spans="1:5" ht="27">
      <c r="A3333" s="271">
        <v>100788</v>
      </c>
      <c r="B3333" s="272" t="s">
        <v>10464</v>
      </c>
      <c r="C3333" s="272" t="s">
        <v>109</v>
      </c>
      <c r="D3333" s="273" t="s">
        <v>23013</v>
      </c>
      <c r="E3333" s="274" t="s">
        <v>229</v>
      </c>
    </row>
    <row r="3334" spans="1:5" ht="27">
      <c r="A3334" s="271">
        <v>100791</v>
      </c>
      <c r="B3334" s="272" t="s">
        <v>10465</v>
      </c>
      <c r="C3334" s="272" t="s">
        <v>5</v>
      </c>
      <c r="D3334" s="273" t="s">
        <v>12341</v>
      </c>
      <c r="E3334" s="274" t="s">
        <v>229</v>
      </c>
    </row>
    <row r="3335" spans="1:5" ht="27">
      <c r="A3335" s="271">
        <v>100792</v>
      </c>
      <c r="B3335" s="272" t="s">
        <v>10466</v>
      </c>
      <c r="C3335" s="272" t="s">
        <v>5</v>
      </c>
      <c r="D3335" s="273" t="s">
        <v>23014</v>
      </c>
      <c r="E3335" s="274" t="s">
        <v>229</v>
      </c>
    </row>
    <row r="3336" spans="1:5" ht="27">
      <c r="A3336" s="271">
        <v>100793</v>
      </c>
      <c r="B3336" s="272" t="s">
        <v>10467</v>
      </c>
      <c r="C3336" s="272" t="s">
        <v>5</v>
      </c>
      <c r="D3336" s="273" t="s">
        <v>23015</v>
      </c>
      <c r="E3336" s="274" t="s">
        <v>229</v>
      </c>
    </row>
    <row r="3337" spans="1:5" ht="27">
      <c r="A3337" s="271">
        <v>100794</v>
      </c>
      <c r="B3337" s="272" t="s">
        <v>10468</v>
      </c>
      <c r="C3337" s="272" t="s">
        <v>5</v>
      </c>
      <c r="D3337" s="273" t="s">
        <v>23016</v>
      </c>
      <c r="E3337" s="274" t="s">
        <v>229</v>
      </c>
    </row>
    <row r="3338" spans="1:5" ht="27">
      <c r="A3338" s="271">
        <v>100799</v>
      </c>
      <c r="B3338" s="272" t="s">
        <v>23017</v>
      </c>
      <c r="C3338" s="272" t="s">
        <v>5</v>
      </c>
      <c r="D3338" s="273" t="s">
        <v>12436</v>
      </c>
      <c r="E3338" s="274" t="s">
        <v>229</v>
      </c>
    </row>
    <row r="3339" spans="1:5" ht="27">
      <c r="A3339" s="271">
        <v>100800</v>
      </c>
      <c r="B3339" s="272" t="s">
        <v>23018</v>
      </c>
      <c r="C3339" s="272" t="s">
        <v>5</v>
      </c>
      <c r="D3339" s="273" t="s">
        <v>15837</v>
      </c>
      <c r="E3339" s="274" t="s">
        <v>229</v>
      </c>
    </row>
    <row r="3340" spans="1:5" ht="27">
      <c r="A3340" s="271">
        <v>100801</v>
      </c>
      <c r="B3340" s="272" t="s">
        <v>23019</v>
      </c>
      <c r="C3340" s="272" t="s">
        <v>5</v>
      </c>
      <c r="D3340" s="273" t="s">
        <v>12432</v>
      </c>
      <c r="E3340" s="274" t="s">
        <v>229</v>
      </c>
    </row>
    <row r="3341" spans="1:5" ht="27">
      <c r="A3341" s="271">
        <v>100802</v>
      </c>
      <c r="B3341" s="272" t="s">
        <v>23020</v>
      </c>
      <c r="C3341" s="272" t="s">
        <v>5</v>
      </c>
      <c r="D3341" s="273" t="s">
        <v>23021</v>
      </c>
      <c r="E3341" s="274" t="s">
        <v>229</v>
      </c>
    </row>
    <row r="3342" spans="1:5" ht="27">
      <c r="A3342" s="271">
        <v>100803</v>
      </c>
      <c r="B3342" s="272" t="s">
        <v>10469</v>
      </c>
      <c r="C3342" s="272" t="s">
        <v>5</v>
      </c>
      <c r="D3342" s="273" t="s">
        <v>9785</v>
      </c>
      <c r="E3342" s="274" t="s">
        <v>229</v>
      </c>
    </row>
    <row r="3343" spans="1:5" ht="27">
      <c r="A3343" s="271">
        <v>100804</v>
      </c>
      <c r="B3343" s="272" t="s">
        <v>10471</v>
      </c>
      <c r="C3343" s="272" t="s">
        <v>5</v>
      </c>
      <c r="D3343" s="273" t="s">
        <v>16447</v>
      </c>
      <c r="E3343" s="274" t="s">
        <v>229</v>
      </c>
    </row>
    <row r="3344" spans="1:5" ht="27">
      <c r="A3344" s="271">
        <v>100805</v>
      </c>
      <c r="B3344" s="272" t="s">
        <v>10472</v>
      </c>
      <c r="C3344" s="272" t="s">
        <v>5</v>
      </c>
      <c r="D3344" s="273" t="s">
        <v>12379</v>
      </c>
      <c r="E3344" s="274" t="s">
        <v>229</v>
      </c>
    </row>
    <row r="3345" spans="1:5" ht="27">
      <c r="A3345" s="271">
        <v>100806</v>
      </c>
      <c r="B3345" s="272" t="s">
        <v>10473</v>
      </c>
      <c r="C3345" s="272" t="s">
        <v>5</v>
      </c>
      <c r="D3345" s="273" t="s">
        <v>23022</v>
      </c>
      <c r="E3345" s="274" t="s">
        <v>229</v>
      </c>
    </row>
    <row r="3346" spans="1:5" ht="27">
      <c r="A3346" s="271">
        <v>100807</v>
      </c>
      <c r="B3346" s="272" t="s">
        <v>23023</v>
      </c>
      <c r="C3346" s="272" t="s">
        <v>5</v>
      </c>
      <c r="D3346" s="273" t="s">
        <v>23024</v>
      </c>
      <c r="E3346" s="274" t="s">
        <v>229</v>
      </c>
    </row>
    <row r="3347" spans="1:5" ht="27">
      <c r="A3347" s="271">
        <v>100808</v>
      </c>
      <c r="B3347" s="272" t="s">
        <v>23025</v>
      </c>
      <c r="C3347" s="272" t="s">
        <v>5</v>
      </c>
      <c r="D3347" s="273" t="s">
        <v>23026</v>
      </c>
      <c r="E3347" s="274" t="s">
        <v>229</v>
      </c>
    </row>
    <row r="3348" spans="1:5" ht="27">
      <c r="A3348" s="271">
        <v>100809</v>
      </c>
      <c r="B3348" s="272" t="s">
        <v>23027</v>
      </c>
      <c r="C3348" s="272" t="s">
        <v>5</v>
      </c>
      <c r="D3348" s="273" t="s">
        <v>23028</v>
      </c>
      <c r="E3348" s="274" t="s">
        <v>229</v>
      </c>
    </row>
    <row r="3349" spans="1:5" ht="27">
      <c r="A3349" s="271">
        <v>100810</v>
      </c>
      <c r="B3349" s="272" t="s">
        <v>23029</v>
      </c>
      <c r="C3349" s="272" t="s">
        <v>5</v>
      </c>
      <c r="D3349" s="273" t="s">
        <v>23030</v>
      </c>
      <c r="E3349" s="274" t="s">
        <v>229</v>
      </c>
    </row>
    <row r="3350" spans="1:5" ht="27">
      <c r="A3350" s="271">
        <v>101918</v>
      </c>
      <c r="B3350" s="272" t="s">
        <v>13254</v>
      </c>
      <c r="C3350" s="272" t="s">
        <v>5</v>
      </c>
      <c r="D3350" s="273" t="s">
        <v>23031</v>
      </c>
      <c r="E3350" s="274" t="s">
        <v>229</v>
      </c>
    </row>
    <row r="3351" spans="1:5" ht="27">
      <c r="A3351" s="271">
        <v>101919</v>
      </c>
      <c r="B3351" s="272" t="s">
        <v>13255</v>
      </c>
      <c r="C3351" s="272" t="s">
        <v>109</v>
      </c>
      <c r="D3351" s="273" t="s">
        <v>23032</v>
      </c>
      <c r="E3351" s="274" t="s">
        <v>229</v>
      </c>
    </row>
    <row r="3352" spans="1:5" ht="27">
      <c r="A3352" s="271">
        <v>101920</v>
      </c>
      <c r="B3352" s="272" t="s">
        <v>13256</v>
      </c>
      <c r="C3352" s="272" t="s">
        <v>109</v>
      </c>
      <c r="D3352" s="273" t="s">
        <v>23033</v>
      </c>
      <c r="E3352" s="274" t="s">
        <v>229</v>
      </c>
    </row>
    <row r="3353" spans="1:5" ht="27">
      <c r="A3353" s="271">
        <v>101921</v>
      </c>
      <c r="B3353" s="272" t="s">
        <v>13257</v>
      </c>
      <c r="C3353" s="272" t="s">
        <v>109</v>
      </c>
      <c r="D3353" s="273" t="s">
        <v>23034</v>
      </c>
      <c r="E3353" s="274" t="s">
        <v>229</v>
      </c>
    </row>
    <row r="3354" spans="1:5" ht="27">
      <c r="A3354" s="271">
        <v>101922</v>
      </c>
      <c r="B3354" s="272" t="s">
        <v>13258</v>
      </c>
      <c r="C3354" s="272" t="s">
        <v>109</v>
      </c>
      <c r="D3354" s="273" t="s">
        <v>23034</v>
      </c>
      <c r="E3354" s="274" t="s">
        <v>229</v>
      </c>
    </row>
    <row r="3355" spans="1:5" ht="27">
      <c r="A3355" s="271">
        <v>101923</v>
      </c>
      <c r="B3355" s="272" t="s">
        <v>13259</v>
      </c>
      <c r="C3355" s="272" t="s">
        <v>109</v>
      </c>
      <c r="D3355" s="273" t="s">
        <v>23034</v>
      </c>
      <c r="E3355" s="274" t="s">
        <v>229</v>
      </c>
    </row>
    <row r="3356" spans="1:5" ht="27">
      <c r="A3356" s="271">
        <v>101924</v>
      </c>
      <c r="B3356" s="272" t="s">
        <v>13260</v>
      </c>
      <c r="C3356" s="272" t="s">
        <v>109</v>
      </c>
      <c r="D3356" s="273" t="s">
        <v>23035</v>
      </c>
      <c r="E3356" s="274" t="s">
        <v>229</v>
      </c>
    </row>
    <row r="3357" spans="1:5" ht="27">
      <c r="A3357" s="271">
        <v>101925</v>
      </c>
      <c r="B3357" s="272" t="s">
        <v>13261</v>
      </c>
      <c r="C3357" s="272" t="s">
        <v>109</v>
      </c>
      <c r="D3357" s="273" t="s">
        <v>23036</v>
      </c>
      <c r="E3357" s="274" t="s">
        <v>229</v>
      </c>
    </row>
    <row r="3358" spans="1:5" ht="27">
      <c r="A3358" s="271">
        <v>101926</v>
      </c>
      <c r="B3358" s="272" t="s">
        <v>13262</v>
      </c>
      <c r="C3358" s="272" t="s">
        <v>109</v>
      </c>
      <c r="D3358" s="273" t="s">
        <v>23037</v>
      </c>
      <c r="E3358" s="274" t="s">
        <v>229</v>
      </c>
    </row>
    <row r="3359" spans="1:5" ht="40.5">
      <c r="A3359" s="271">
        <v>101927</v>
      </c>
      <c r="B3359" s="272" t="s">
        <v>13263</v>
      </c>
      <c r="C3359" s="272" t="s">
        <v>5</v>
      </c>
      <c r="D3359" s="273" t="s">
        <v>23038</v>
      </c>
      <c r="E3359" s="274" t="s">
        <v>229</v>
      </c>
    </row>
    <row r="3360" spans="1:5" ht="27">
      <c r="A3360" s="271">
        <v>101928</v>
      </c>
      <c r="B3360" s="272" t="s">
        <v>13264</v>
      </c>
      <c r="C3360" s="272" t="s">
        <v>109</v>
      </c>
      <c r="D3360" s="273" t="s">
        <v>23039</v>
      </c>
      <c r="E3360" s="274" t="s">
        <v>229</v>
      </c>
    </row>
    <row r="3361" spans="1:5" ht="27">
      <c r="A3361" s="271">
        <v>101929</v>
      </c>
      <c r="B3361" s="272" t="s">
        <v>13265</v>
      </c>
      <c r="C3361" s="272" t="s">
        <v>109</v>
      </c>
      <c r="D3361" s="273" t="s">
        <v>23040</v>
      </c>
      <c r="E3361" s="274" t="s">
        <v>229</v>
      </c>
    </row>
    <row r="3362" spans="1:5" ht="27">
      <c r="A3362" s="271">
        <v>101930</v>
      </c>
      <c r="B3362" s="272" t="s">
        <v>13266</v>
      </c>
      <c r="C3362" s="272" t="s">
        <v>109</v>
      </c>
      <c r="D3362" s="273" t="s">
        <v>21373</v>
      </c>
      <c r="E3362" s="274" t="s">
        <v>229</v>
      </c>
    </row>
    <row r="3363" spans="1:5" ht="27">
      <c r="A3363" s="271">
        <v>101931</v>
      </c>
      <c r="B3363" s="272" t="s">
        <v>13267</v>
      </c>
      <c r="C3363" s="272" t="s">
        <v>109</v>
      </c>
      <c r="D3363" s="273" t="s">
        <v>21373</v>
      </c>
      <c r="E3363" s="274" t="s">
        <v>229</v>
      </c>
    </row>
    <row r="3364" spans="1:5" ht="27">
      <c r="A3364" s="271">
        <v>101932</v>
      </c>
      <c r="B3364" s="272" t="s">
        <v>13268</v>
      </c>
      <c r="C3364" s="272" t="s">
        <v>109</v>
      </c>
      <c r="D3364" s="273" t="s">
        <v>21373</v>
      </c>
      <c r="E3364" s="274" t="s">
        <v>229</v>
      </c>
    </row>
    <row r="3365" spans="1:5" ht="27">
      <c r="A3365" s="271">
        <v>101933</v>
      </c>
      <c r="B3365" s="272" t="s">
        <v>13269</v>
      </c>
      <c r="C3365" s="272" t="s">
        <v>109</v>
      </c>
      <c r="D3365" s="273" t="s">
        <v>23041</v>
      </c>
      <c r="E3365" s="274" t="s">
        <v>229</v>
      </c>
    </row>
    <row r="3366" spans="1:5" ht="27">
      <c r="A3366" s="271">
        <v>101934</v>
      </c>
      <c r="B3366" s="272" t="s">
        <v>13270</v>
      </c>
      <c r="C3366" s="272" t="s">
        <v>109</v>
      </c>
      <c r="D3366" s="273" t="s">
        <v>23042</v>
      </c>
      <c r="E3366" s="274" t="s">
        <v>229</v>
      </c>
    </row>
    <row r="3367" spans="1:5" ht="27">
      <c r="A3367" s="271">
        <v>101935</v>
      </c>
      <c r="B3367" s="272" t="s">
        <v>13271</v>
      </c>
      <c r="C3367" s="272" t="s">
        <v>109</v>
      </c>
      <c r="D3367" s="273" t="s">
        <v>23043</v>
      </c>
      <c r="E3367" s="274" t="s">
        <v>229</v>
      </c>
    </row>
    <row r="3368" spans="1:5" ht="27">
      <c r="A3368" s="271">
        <v>89358</v>
      </c>
      <c r="B3368" s="272" t="s">
        <v>1823</v>
      </c>
      <c r="C3368" s="272" t="s">
        <v>109</v>
      </c>
      <c r="D3368" s="273" t="s">
        <v>23044</v>
      </c>
      <c r="E3368" s="274" t="s">
        <v>229</v>
      </c>
    </row>
    <row r="3369" spans="1:5" ht="27">
      <c r="A3369" s="271">
        <v>89359</v>
      </c>
      <c r="B3369" s="272" t="s">
        <v>1824</v>
      </c>
      <c r="C3369" s="272" t="s">
        <v>109</v>
      </c>
      <c r="D3369" s="273" t="s">
        <v>20142</v>
      </c>
      <c r="E3369" s="274" t="s">
        <v>229</v>
      </c>
    </row>
    <row r="3370" spans="1:5" ht="27">
      <c r="A3370" s="271">
        <v>89360</v>
      </c>
      <c r="B3370" s="272" t="s">
        <v>1825</v>
      </c>
      <c r="C3370" s="272" t="s">
        <v>109</v>
      </c>
      <c r="D3370" s="273" t="s">
        <v>10842</v>
      </c>
      <c r="E3370" s="274" t="s">
        <v>229</v>
      </c>
    </row>
    <row r="3371" spans="1:5" ht="27">
      <c r="A3371" s="271">
        <v>89361</v>
      </c>
      <c r="B3371" s="272" t="s">
        <v>1826</v>
      </c>
      <c r="C3371" s="272" t="s">
        <v>109</v>
      </c>
      <c r="D3371" s="273" t="s">
        <v>10280</v>
      </c>
      <c r="E3371" s="274" t="s">
        <v>229</v>
      </c>
    </row>
    <row r="3372" spans="1:5" ht="27">
      <c r="A3372" s="271">
        <v>89362</v>
      </c>
      <c r="B3372" s="272" t="s">
        <v>1827</v>
      </c>
      <c r="C3372" s="272" t="s">
        <v>109</v>
      </c>
      <c r="D3372" s="273" t="s">
        <v>10312</v>
      </c>
      <c r="E3372" s="274" t="s">
        <v>229</v>
      </c>
    </row>
    <row r="3373" spans="1:5" ht="27">
      <c r="A3373" s="271">
        <v>89363</v>
      </c>
      <c r="B3373" s="272" t="s">
        <v>1828</v>
      </c>
      <c r="C3373" s="272" t="s">
        <v>109</v>
      </c>
      <c r="D3373" s="273" t="s">
        <v>16047</v>
      </c>
      <c r="E3373" s="274" t="s">
        <v>229</v>
      </c>
    </row>
    <row r="3374" spans="1:5" ht="27">
      <c r="A3374" s="271">
        <v>89364</v>
      </c>
      <c r="B3374" s="272" t="s">
        <v>1829</v>
      </c>
      <c r="C3374" s="272" t="s">
        <v>109</v>
      </c>
      <c r="D3374" s="273" t="s">
        <v>9912</v>
      </c>
      <c r="E3374" s="274" t="s">
        <v>229</v>
      </c>
    </row>
    <row r="3375" spans="1:5" ht="27">
      <c r="A3375" s="271">
        <v>89365</v>
      </c>
      <c r="B3375" s="272" t="s">
        <v>1830</v>
      </c>
      <c r="C3375" s="272" t="s">
        <v>109</v>
      </c>
      <c r="D3375" s="273" t="s">
        <v>10518</v>
      </c>
      <c r="E3375" s="274" t="s">
        <v>229</v>
      </c>
    </row>
    <row r="3376" spans="1:5" ht="27">
      <c r="A3376" s="271">
        <v>89366</v>
      </c>
      <c r="B3376" s="272" t="s">
        <v>1831</v>
      </c>
      <c r="C3376" s="272" t="s">
        <v>109</v>
      </c>
      <c r="D3376" s="273" t="s">
        <v>10968</v>
      </c>
      <c r="E3376" s="274" t="s">
        <v>229</v>
      </c>
    </row>
    <row r="3377" spans="1:5" ht="27">
      <c r="A3377" s="271">
        <v>89367</v>
      </c>
      <c r="B3377" s="272" t="s">
        <v>1832</v>
      </c>
      <c r="C3377" s="272" t="s">
        <v>109</v>
      </c>
      <c r="D3377" s="273" t="s">
        <v>10000</v>
      </c>
      <c r="E3377" s="274" t="s">
        <v>229</v>
      </c>
    </row>
    <row r="3378" spans="1:5" ht="27">
      <c r="A3378" s="271">
        <v>89368</v>
      </c>
      <c r="B3378" s="272" t="s">
        <v>1833</v>
      </c>
      <c r="C3378" s="272" t="s">
        <v>109</v>
      </c>
      <c r="D3378" s="273" t="s">
        <v>19323</v>
      </c>
      <c r="E3378" s="274" t="s">
        <v>229</v>
      </c>
    </row>
    <row r="3379" spans="1:5" ht="27">
      <c r="A3379" s="271">
        <v>89369</v>
      </c>
      <c r="B3379" s="272" t="s">
        <v>1834</v>
      </c>
      <c r="C3379" s="272" t="s">
        <v>109</v>
      </c>
      <c r="D3379" s="273" t="s">
        <v>20041</v>
      </c>
      <c r="E3379" s="274" t="s">
        <v>229</v>
      </c>
    </row>
    <row r="3380" spans="1:5" ht="27">
      <c r="A3380" s="271">
        <v>89370</v>
      </c>
      <c r="B3380" s="272" t="s">
        <v>1835</v>
      </c>
      <c r="C3380" s="272" t="s">
        <v>109</v>
      </c>
      <c r="D3380" s="273" t="s">
        <v>15951</v>
      </c>
      <c r="E3380" s="274" t="s">
        <v>229</v>
      </c>
    </row>
    <row r="3381" spans="1:5" ht="27">
      <c r="A3381" s="271">
        <v>89371</v>
      </c>
      <c r="B3381" s="272" t="s">
        <v>1836</v>
      </c>
      <c r="C3381" s="272" t="s">
        <v>109</v>
      </c>
      <c r="D3381" s="273" t="s">
        <v>10508</v>
      </c>
      <c r="E3381" s="274" t="s">
        <v>229</v>
      </c>
    </row>
    <row r="3382" spans="1:5" ht="27">
      <c r="A3382" s="271">
        <v>89372</v>
      </c>
      <c r="B3382" s="272" t="s">
        <v>1837</v>
      </c>
      <c r="C3382" s="272" t="s">
        <v>109</v>
      </c>
      <c r="D3382" s="273" t="s">
        <v>11344</v>
      </c>
      <c r="E3382" s="274" t="s">
        <v>229</v>
      </c>
    </row>
    <row r="3383" spans="1:5" ht="27">
      <c r="A3383" s="271">
        <v>89373</v>
      </c>
      <c r="B3383" s="272" t="s">
        <v>259</v>
      </c>
      <c r="C3383" s="272" t="s">
        <v>109</v>
      </c>
      <c r="D3383" s="273" t="s">
        <v>9757</v>
      </c>
      <c r="E3383" s="274" t="s">
        <v>229</v>
      </c>
    </row>
    <row r="3384" spans="1:5" ht="27">
      <c r="A3384" s="271">
        <v>89374</v>
      </c>
      <c r="B3384" s="272" t="s">
        <v>1838</v>
      </c>
      <c r="C3384" s="272" t="s">
        <v>109</v>
      </c>
      <c r="D3384" s="273" t="s">
        <v>23045</v>
      </c>
      <c r="E3384" s="274" t="s">
        <v>229</v>
      </c>
    </row>
    <row r="3385" spans="1:5" ht="27">
      <c r="A3385" s="271">
        <v>89375</v>
      </c>
      <c r="B3385" s="272" t="s">
        <v>1839</v>
      </c>
      <c r="C3385" s="272" t="s">
        <v>109</v>
      </c>
      <c r="D3385" s="273" t="s">
        <v>19912</v>
      </c>
      <c r="E3385" s="274" t="s">
        <v>229</v>
      </c>
    </row>
    <row r="3386" spans="1:5" ht="27">
      <c r="A3386" s="271">
        <v>89376</v>
      </c>
      <c r="B3386" s="272" t="s">
        <v>1840</v>
      </c>
      <c r="C3386" s="272" t="s">
        <v>109</v>
      </c>
      <c r="D3386" s="273" t="s">
        <v>11059</v>
      </c>
      <c r="E3386" s="274" t="s">
        <v>229</v>
      </c>
    </row>
    <row r="3387" spans="1:5" ht="27">
      <c r="A3387" s="271">
        <v>89377</v>
      </c>
      <c r="B3387" s="272" t="s">
        <v>1841</v>
      </c>
      <c r="C3387" s="272" t="s">
        <v>109</v>
      </c>
      <c r="D3387" s="273" t="s">
        <v>10201</v>
      </c>
      <c r="E3387" s="274" t="s">
        <v>229</v>
      </c>
    </row>
    <row r="3388" spans="1:5" ht="27">
      <c r="A3388" s="271">
        <v>89378</v>
      </c>
      <c r="B3388" s="272" t="s">
        <v>1842</v>
      </c>
      <c r="C3388" s="272" t="s">
        <v>109</v>
      </c>
      <c r="D3388" s="273" t="s">
        <v>15844</v>
      </c>
      <c r="E3388" s="274" t="s">
        <v>229</v>
      </c>
    </row>
    <row r="3389" spans="1:5" ht="27">
      <c r="A3389" s="271">
        <v>89379</v>
      </c>
      <c r="B3389" s="272" t="s">
        <v>1843</v>
      </c>
      <c r="C3389" s="272" t="s">
        <v>109</v>
      </c>
      <c r="D3389" s="273" t="s">
        <v>18813</v>
      </c>
      <c r="E3389" s="274" t="s">
        <v>229</v>
      </c>
    </row>
    <row r="3390" spans="1:5" ht="27">
      <c r="A3390" s="271">
        <v>89380</v>
      </c>
      <c r="B3390" s="272" t="s">
        <v>260</v>
      </c>
      <c r="C3390" s="272" t="s">
        <v>109</v>
      </c>
      <c r="D3390" s="273" t="s">
        <v>10208</v>
      </c>
      <c r="E3390" s="274" t="s">
        <v>229</v>
      </c>
    </row>
    <row r="3391" spans="1:5" ht="27">
      <c r="A3391" s="271">
        <v>89381</v>
      </c>
      <c r="B3391" s="272" t="s">
        <v>1844</v>
      </c>
      <c r="C3391" s="272" t="s">
        <v>109</v>
      </c>
      <c r="D3391" s="273" t="s">
        <v>11409</v>
      </c>
      <c r="E3391" s="274" t="s">
        <v>229</v>
      </c>
    </row>
    <row r="3392" spans="1:5" ht="27">
      <c r="A3392" s="271">
        <v>89382</v>
      </c>
      <c r="B3392" s="272" t="s">
        <v>1845</v>
      </c>
      <c r="C3392" s="272" t="s">
        <v>109</v>
      </c>
      <c r="D3392" s="273" t="s">
        <v>19809</v>
      </c>
      <c r="E3392" s="274" t="s">
        <v>229</v>
      </c>
    </row>
    <row r="3393" spans="1:5" ht="27">
      <c r="A3393" s="271">
        <v>89383</v>
      </c>
      <c r="B3393" s="272" t="s">
        <v>1846</v>
      </c>
      <c r="C3393" s="272" t="s">
        <v>109</v>
      </c>
      <c r="D3393" s="273" t="s">
        <v>10198</v>
      </c>
      <c r="E3393" s="274" t="s">
        <v>229</v>
      </c>
    </row>
    <row r="3394" spans="1:5" ht="27">
      <c r="A3394" s="271">
        <v>89384</v>
      </c>
      <c r="B3394" s="272" t="s">
        <v>1847</v>
      </c>
      <c r="C3394" s="272" t="s">
        <v>109</v>
      </c>
      <c r="D3394" s="273" t="s">
        <v>12368</v>
      </c>
      <c r="E3394" s="274" t="s">
        <v>229</v>
      </c>
    </row>
    <row r="3395" spans="1:5" ht="27">
      <c r="A3395" s="271">
        <v>89385</v>
      </c>
      <c r="B3395" s="272" t="s">
        <v>1848</v>
      </c>
      <c r="C3395" s="272" t="s">
        <v>109</v>
      </c>
      <c r="D3395" s="273" t="s">
        <v>10189</v>
      </c>
      <c r="E3395" s="274" t="s">
        <v>229</v>
      </c>
    </row>
    <row r="3396" spans="1:5" ht="27">
      <c r="A3396" s="271">
        <v>89386</v>
      </c>
      <c r="B3396" s="272" t="s">
        <v>1849</v>
      </c>
      <c r="C3396" s="272" t="s">
        <v>109</v>
      </c>
      <c r="D3396" s="273" t="s">
        <v>16202</v>
      </c>
      <c r="E3396" s="274" t="s">
        <v>229</v>
      </c>
    </row>
    <row r="3397" spans="1:5" ht="27">
      <c r="A3397" s="271">
        <v>89387</v>
      </c>
      <c r="B3397" s="272" t="s">
        <v>1850</v>
      </c>
      <c r="C3397" s="272" t="s">
        <v>109</v>
      </c>
      <c r="D3397" s="273" t="s">
        <v>14207</v>
      </c>
      <c r="E3397" s="274" t="s">
        <v>229</v>
      </c>
    </row>
    <row r="3398" spans="1:5" ht="27">
      <c r="A3398" s="271">
        <v>89388</v>
      </c>
      <c r="B3398" s="272" t="s">
        <v>1851</v>
      </c>
      <c r="C3398" s="272" t="s">
        <v>109</v>
      </c>
      <c r="D3398" s="273" t="s">
        <v>9802</v>
      </c>
      <c r="E3398" s="274" t="s">
        <v>229</v>
      </c>
    </row>
    <row r="3399" spans="1:5" ht="27">
      <c r="A3399" s="271">
        <v>89389</v>
      </c>
      <c r="B3399" s="272" t="s">
        <v>1852</v>
      </c>
      <c r="C3399" s="272" t="s">
        <v>109</v>
      </c>
      <c r="D3399" s="273" t="s">
        <v>11170</v>
      </c>
      <c r="E3399" s="274" t="s">
        <v>229</v>
      </c>
    </row>
    <row r="3400" spans="1:5" ht="27">
      <c r="A3400" s="271">
        <v>89390</v>
      </c>
      <c r="B3400" s="272" t="s">
        <v>1853</v>
      </c>
      <c r="C3400" s="272" t="s">
        <v>109</v>
      </c>
      <c r="D3400" s="273" t="s">
        <v>23046</v>
      </c>
      <c r="E3400" s="274" t="s">
        <v>229</v>
      </c>
    </row>
    <row r="3401" spans="1:5" ht="27">
      <c r="A3401" s="271">
        <v>89391</v>
      </c>
      <c r="B3401" s="272" t="s">
        <v>1854</v>
      </c>
      <c r="C3401" s="272" t="s">
        <v>109</v>
      </c>
      <c r="D3401" s="273" t="s">
        <v>12233</v>
      </c>
      <c r="E3401" s="274" t="s">
        <v>229</v>
      </c>
    </row>
    <row r="3402" spans="1:5" ht="27">
      <c r="A3402" s="271">
        <v>89392</v>
      </c>
      <c r="B3402" s="272" t="s">
        <v>1855</v>
      </c>
      <c r="C3402" s="272" t="s">
        <v>109</v>
      </c>
      <c r="D3402" s="273" t="s">
        <v>21309</v>
      </c>
      <c r="E3402" s="274" t="s">
        <v>229</v>
      </c>
    </row>
    <row r="3403" spans="1:5" ht="27">
      <c r="A3403" s="271">
        <v>89393</v>
      </c>
      <c r="B3403" s="272" t="s">
        <v>1856</v>
      </c>
      <c r="C3403" s="272" t="s">
        <v>109</v>
      </c>
      <c r="D3403" s="273" t="s">
        <v>18771</v>
      </c>
      <c r="E3403" s="274" t="s">
        <v>229</v>
      </c>
    </row>
    <row r="3404" spans="1:5" ht="27">
      <c r="A3404" s="271">
        <v>89394</v>
      </c>
      <c r="B3404" s="272" t="s">
        <v>1857</v>
      </c>
      <c r="C3404" s="272" t="s">
        <v>109</v>
      </c>
      <c r="D3404" s="273" t="s">
        <v>16133</v>
      </c>
      <c r="E3404" s="274" t="s">
        <v>229</v>
      </c>
    </row>
    <row r="3405" spans="1:5" ht="27">
      <c r="A3405" s="271">
        <v>89395</v>
      </c>
      <c r="B3405" s="272" t="s">
        <v>1858</v>
      </c>
      <c r="C3405" s="272" t="s">
        <v>109</v>
      </c>
      <c r="D3405" s="273" t="s">
        <v>10997</v>
      </c>
      <c r="E3405" s="274" t="s">
        <v>229</v>
      </c>
    </row>
    <row r="3406" spans="1:5" ht="27">
      <c r="A3406" s="271">
        <v>89396</v>
      </c>
      <c r="B3406" s="272" t="s">
        <v>1859</v>
      </c>
      <c r="C3406" s="272" t="s">
        <v>109</v>
      </c>
      <c r="D3406" s="273" t="s">
        <v>15822</v>
      </c>
      <c r="E3406" s="274" t="s">
        <v>229</v>
      </c>
    </row>
    <row r="3407" spans="1:5" ht="27">
      <c r="A3407" s="271">
        <v>89397</v>
      </c>
      <c r="B3407" s="272" t="s">
        <v>1860</v>
      </c>
      <c r="C3407" s="272" t="s">
        <v>109</v>
      </c>
      <c r="D3407" s="273" t="s">
        <v>10093</v>
      </c>
      <c r="E3407" s="274" t="s">
        <v>229</v>
      </c>
    </row>
    <row r="3408" spans="1:5" ht="27">
      <c r="A3408" s="271">
        <v>89398</v>
      </c>
      <c r="B3408" s="272" t="s">
        <v>1861</v>
      </c>
      <c r="C3408" s="272" t="s">
        <v>109</v>
      </c>
      <c r="D3408" s="273" t="s">
        <v>10321</v>
      </c>
      <c r="E3408" s="274" t="s">
        <v>229</v>
      </c>
    </row>
    <row r="3409" spans="1:5" ht="27">
      <c r="A3409" s="271">
        <v>89399</v>
      </c>
      <c r="B3409" s="272" t="s">
        <v>1862</v>
      </c>
      <c r="C3409" s="272" t="s">
        <v>109</v>
      </c>
      <c r="D3409" s="273" t="s">
        <v>23047</v>
      </c>
      <c r="E3409" s="274" t="s">
        <v>229</v>
      </c>
    </row>
    <row r="3410" spans="1:5" ht="27">
      <c r="A3410" s="271">
        <v>89400</v>
      </c>
      <c r="B3410" s="272" t="s">
        <v>1863</v>
      </c>
      <c r="C3410" s="272" t="s">
        <v>109</v>
      </c>
      <c r="D3410" s="273" t="s">
        <v>19911</v>
      </c>
      <c r="E3410" s="274" t="s">
        <v>229</v>
      </c>
    </row>
    <row r="3411" spans="1:5" ht="27">
      <c r="A3411" s="271">
        <v>89404</v>
      </c>
      <c r="B3411" s="272" t="s">
        <v>1864</v>
      </c>
      <c r="C3411" s="272" t="s">
        <v>109</v>
      </c>
      <c r="D3411" s="273" t="s">
        <v>11034</v>
      </c>
      <c r="E3411" s="274" t="s">
        <v>229</v>
      </c>
    </row>
    <row r="3412" spans="1:5" ht="27">
      <c r="A3412" s="271">
        <v>89405</v>
      </c>
      <c r="B3412" s="272" t="s">
        <v>1865</v>
      </c>
      <c r="C3412" s="272" t="s">
        <v>109</v>
      </c>
      <c r="D3412" s="273" t="s">
        <v>10809</v>
      </c>
      <c r="E3412" s="274" t="s">
        <v>229</v>
      </c>
    </row>
    <row r="3413" spans="1:5" ht="27">
      <c r="A3413" s="271">
        <v>89406</v>
      </c>
      <c r="B3413" s="272" t="s">
        <v>1866</v>
      </c>
      <c r="C3413" s="272" t="s">
        <v>109</v>
      </c>
      <c r="D3413" s="273" t="s">
        <v>10197</v>
      </c>
      <c r="E3413" s="274" t="s">
        <v>229</v>
      </c>
    </row>
    <row r="3414" spans="1:5" ht="27">
      <c r="A3414" s="271">
        <v>89407</v>
      </c>
      <c r="B3414" s="272" t="s">
        <v>1867</v>
      </c>
      <c r="C3414" s="272" t="s">
        <v>109</v>
      </c>
      <c r="D3414" s="273" t="s">
        <v>10107</v>
      </c>
      <c r="E3414" s="274" t="s">
        <v>229</v>
      </c>
    </row>
    <row r="3415" spans="1:5" ht="27">
      <c r="A3415" s="271">
        <v>89408</v>
      </c>
      <c r="B3415" s="272" t="s">
        <v>247</v>
      </c>
      <c r="C3415" s="272" t="s">
        <v>109</v>
      </c>
      <c r="D3415" s="273" t="s">
        <v>11332</v>
      </c>
      <c r="E3415" s="274" t="s">
        <v>229</v>
      </c>
    </row>
    <row r="3416" spans="1:5" ht="27">
      <c r="A3416" s="271">
        <v>89409</v>
      </c>
      <c r="B3416" s="272" t="s">
        <v>1868</v>
      </c>
      <c r="C3416" s="272" t="s">
        <v>109</v>
      </c>
      <c r="D3416" s="273" t="s">
        <v>16255</v>
      </c>
      <c r="E3416" s="274" t="s">
        <v>229</v>
      </c>
    </row>
    <row r="3417" spans="1:5" ht="27">
      <c r="A3417" s="271">
        <v>89410</v>
      </c>
      <c r="B3417" s="272" t="s">
        <v>1869</v>
      </c>
      <c r="C3417" s="272" t="s">
        <v>109</v>
      </c>
      <c r="D3417" s="273" t="s">
        <v>10535</v>
      </c>
      <c r="E3417" s="274" t="s">
        <v>229</v>
      </c>
    </row>
    <row r="3418" spans="1:5" ht="27">
      <c r="A3418" s="271">
        <v>89411</v>
      </c>
      <c r="B3418" s="272" t="s">
        <v>1870</v>
      </c>
      <c r="C3418" s="272" t="s">
        <v>109</v>
      </c>
      <c r="D3418" s="273" t="s">
        <v>19703</v>
      </c>
      <c r="E3418" s="274" t="s">
        <v>229</v>
      </c>
    </row>
    <row r="3419" spans="1:5" ht="27">
      <c r="A3419" s="271">
        <v>89412</v>
      </c>
      <c r="B3419" s="272" t="s">
        <v>1871</v>
      </c>
      <c r="C3419" s="272" t="s">
        <v>109</v>
      </c>
      <c r="D3419" s="273" t="s">
        <v>10192</v>
      </c>
      <c r="E3419" s="274" t="s">
        <v>229</v>
      </c>
    </row>
    <row r="3420" spans="1:5" ht="27">
      <c r="A3420" s="271">
        <v>89413</v>
      </c>
      <c r="B3420" s="272" t="s">
        <v>248</v>
      </c>
      <c r="C3420" s="272" t="s">
        <v>109</v>
      </c>
      <c r="D3420" s="273" t="s">
        <v>10306</v>
      </c>
      <c r="E3420" s="274" t="s">
        <v>229</v>
      </c>
    </row>
    <row r="3421" spans="1:5" ht="27">
      <c r="A3421" s="271">
        <v>89414</v>
      </c>
      <c r="B3421" s="272" t="s">
        <v>1872</v>
      </c>
      <c r="C3421" s="272" t="s">
        <v>109</v>
      </c>
      <c r="D3421" s="273" t="s">
        <v>9782</v>
      </c>
      <c r="E3421" s="274" t="s">
        <v>229</v>
      </c>
    </row>
    <row r="3422" spans="1:5" ht="27">
      <c r="A3422" s="271">
        <v>89415</v>
      </c>
      <c r="B3422" s="272" t="s">
        <v>1873</v>
      </c>
      <c r="C3422" s="272" t="s">
        <v>109</v>
      </c>
      <c r="D3422" s="273" t="s">
        <v>10174</v>
      </c>
      <c r="E3422" s="274" t="s">
        <v>229</v>
      </c>
    </row>
    <row r="3423" spans="1:5" ht="27">
      <c r="A3423" s="271">
        <v>89416</v>
      </c>
      <c r="B3423" s="272" t="s">
        <v>1874</v>
      </c>
      <c r="C3423" s="272" t="s">
        <v>109</v>
      </c>
      <c r="D3423" s="273" t="s">
        <v>10871</v>
      </c>
      <c r="E3423" s="274" t="s">
        <v>229</v>
      </c>
    </row>
    <row r="3424" spans="1:5" ht="27">
      <c r="A3424" s="271">
        <v>89417</v>
      </c>
      <c r="B3424" s="272" t="s">
        <v>1875</v>
      </c>
      <c r="C3424" s="272" t="s">
        <v>109</v>
      </c>
      <c r="D3424" s="273" t="s">
        <v>11516</v>
      </c>
      <c r="E3424" s="274" t="s">
        <v>229</v>
      </c>
    </row>
    <row r="3425" spans="1:5" ht="27">
      <c r="A3425" s="271">
        <v>89418</v>
      </c>
      <c r="B3425" s="272" t="s">
        <v>1876</v>
      </c>
      <c r="C3425" s="272" t="s">
        <v>109</v>
      </c>
      <c r="D3425" s="273" t="s">
        <v>11295</v>
      </c>
      <c r="E3425" s="274" t="s">
        <v>229</v>
      </c>
    </row>
    <row r="3426" spans="1:5" ht="27">
      <c r="A3426" s="271">
        <v>89419</v>
      </c>
      <c r="B3426" s="272" t="s">
        <v>1877</v>
      </c>
      <c r="C3426" s="272" t="s">
        <v>109</v>
      </c>
      <c r="D3426" s="273" t="s">
        <v>16197</v>
      </c>
      <c r="E3426" s="274" t="s">
        <v>229</v>
      </c>
    </row>
    <row r="3427" spans="1:5" ht="27">
      <c r="A3427" s="271">
        <v>89420</v>
      </c>
      <c r="B3427" s="272" t="s">
        <v>1878</v>
      </c>
      <c r="C3427" s="272" t="s">
        <v>109</v>
      </c>
      <c r="D3427" s="273" t="s">
        <v>10459</v>
      </c>
      <c r="E3427" s="274" t="s">
        <v>229</v>
      </c>
    </row>
    <row r="3428" spans="1:5" ht="27">
      <c r="A3428" s="271">
        <v>89421</v>
      </c>
      <c r="B3428" s="272" t="s">
        <v>1879</v>
      </c>
      <c r="C3428" s="272" t="s">
        <v>109</v>
      </c>
      <c r="D3428" s="273" t="s">
        <v>10620</v>
      </c>
      <c r="E3428" s="274" t="s">
        <v>229</v>
      </c>
    </row>
    <row r="3429" spans="1:5" ht="27">
      <c r="A3429" s="271">
        <v>89422</v>
      </c>
      <c r="B3429" s="272" t="s">
        <v>1880</v>
      </c>
      <c r="C3429" s="272" t="s">
        <v>109</v>
      </c>
      <c r="D3429" s="273" t="s">
        <v>9727</v>
      </c>
      <c r="E3429" s="274" t="s">
        <v>229</v>
      </c>
    </row>
    <row r="3430" spans="1:5" ht="27">
      <c r="A3430" s="271">
        <v>89423</v>
      </c>
      <c r="B3430" s="272" t="s">
        <v>1881</v>
      </c>
      <c r="C3430" s="272" t="s">
        <v>109</v>
      </c>
      <c r="D3430" s="273" t="s">
        <v>14127</v>
      </c>
      <c r="E3430" s="274" t="s">
        <v>229</v>
      </c>
    </row>
    <row r="3431" spans="1:5" ht="27">
      <c r="A3431" s="271">
        <v>89424</v>
      </c>
      <c r="B3431" s="272" t="s">
        <v>1882</v>
      </c>
      <c r="C3431" s="272" t="s">
        <v>109</v>
      </c>
      <c r="D3431" s="273" t="s">
        <v>15841</v>
      </c>
      <c r="E3431" s="274" t="s">
        <v>229</v>
      </c>
    </row>
    <row r="3432" spans="1:5" ht="27">
      <c r="A3432" s="271">
        <v>89425</v>
      </c>
      <c r="B3432" s="272" t="s">
        <v>1883</v>
      </c>
      <c r="C3432" s="272" t="s">
        <v>109</v>
      </c>
      <c r="D3432" s="273" t="s">
        <v>11443</v>
      </c>
      <c r="E3432" s="274" t="s">
        <v>229</v>
      </c>
    </row>
    <row r="3433" spans="1:5" ht="27">
      <c r="A3433" s="271">
        <v>89426</v>
      </c>
      <c r="B3433" s="272" t="s">
        <v>1884</v>
      </c>
      <c r="C3433" s="272" t="s">
        <v>109</v>
      </c>
      <c r="D3433" s="273" t="s">
        <v>23048</v>
      </c>
      <c r="E3433" s="274" t="s">
        <v>229</v>
      </c>
    </row>
    <row r="3434" spans="1:5" ht="27">
      <c r="A3434" s="271">
        <v>89427</v>
      </c>
      <c r="B3434" s="272" t="s">
        <v>1885</v>
      </c>
      <c r="C3434" s="272" t="s">
        <v>109</v>
      </c>
      <c r="D3434" s="273" t="s">
        <v>10196</v>
      </c>
      <c r="E3434" s="274" t="s">
        <v>229</v>
      </c>
    </row>
    <row r="3435" spans="1:5" ht="27">
      <c r="A3435" s="271">
        <v>89428</v>
      </c>
      <c r="B3435" s="272" t="s">
        <v>1886</v>
      </c>
      <c r="C3435" s="272" t="s">
        <v>109</v>
      </c>
      <c r="D3435" s="273" t="s">
        <v>18812</v>
      </c>
      <c r="E3435" s="274" t="s">
        <v>229</v>
      </c>
    </row>
    <row r="3436" spans="1:5" ht="27">
      <c r="A3436" s="271">
        <v>89429</v>
      </c>
      <c r="B3436" s="272" t="s">
        <v>1887</v>
      </c>
      <c r="C3436" s="272" t="s">
        <v>109</v>
      </c>
      <c r="D3436" s="273" t="s">
        <v>23049</v>
      </c>
      <c r="E3436" s="274" t="s">
        <v>229</v>
      </c>
    </row>
    <row r="3437" spans="1:5" ht="27">
      <c r="A3437" s="271">
        <v>89430</v>
      </c>
      <c r="B3437" s="272" t="s">
        <v>1888</v>
      </c>
      <c r="C3437" s="272" t="s">
        <v>109</v>
      </c>
      <c r="D3437" s="273" t="s">
        <v>23050</v>
      </c>
      <c r="E3437" s="274" t="s">
        <v>229</v>
      </c>
    </row>
    <row r="3438" spans="1:5" ht="27">
      <c r="A3438" s="271">
        <v>89431</v>
      </c>
      <c r="B3438" s="272" t="s">
        <v>1889</v>
      </c>
      <c r="C3438" s="272" t="s">
        <v>109</v>
      </c>
      <c r="D3438" s="273" t="s">
        <v>10221</v>
      </c>
      <c r="E3438" s="274" t="s">
        <v>229</v>
      </c>
    </row>
    <row r="3439" spans="1:5" ht="27">
      <c r="A3439" s="271">
        <v>89432</v>
      </c>
      <c r="B3439" s="272" t="s">
        <v>1890</v>
      </c>
      <c r="C3439" s="272" t="s">
        <v>109</v>
      </c>
      <c r="D3439" s="273" t="s">
        <v>19434</v>
      </c>
      <c r="E3439" s="274" t="s">
        <v>229</v>
      </c>
    </row>
    <row r="3440" spans="1:5" ht="27">
      <c r="A3440" s="271">
        <v>89433</v>
      </c>
      <c r="B3440" s="272" t="s">
        <v>1891</v>
      </c>
      <c r="C3440" s="272" t="s">
        <v>109</v>
      </c>
      <c r="D3440" s="273" t="s">
        <v>10611</v>
      </c>
      <c r="E3440" s="274" t="s">
        <v>229</v>
      </c>
    </row>
    <row r="3441" spans="1:5" ht="27">
      <c r="A3441" s="271">
        <v>89434</v>
      </c>
      <c r="B3441" s="272" t="s">
        <v>1892</v>
      </c>
      <c r="C3441" s="272" t="s">
        <v>109</v>
      </c>
      <c r="D3441" s="273" t="s">
        <v>10411</v>
      </c>
      <c r="E3441" s="274" t="s">
        <v>229</v>
      </c>
    </row>
    <row r="3442" spans="1:5" ht="27">
      <c r="A3442" s="271">
        <v>89435</v>
      </c>
      <c r="B3442" s="272" t="s">
        <v>1893</v>
      </c>
      <c r="C3442" s="272" t="s">
        <v>109</v>
      </c>
      <c r="D3442" s="273" t="s">
        <v>10302</v>
      </c>
      <c r="E3442" s="274" t="s">
        <v>229</v>
      </c>
    </row>
    <row r="3443" spans="1:5" ht="27">
      <c r="A3443" s="271">
        <v>89436</v>
      </c>
      <c r="B3443" s="272" t="s">
        <v>1894</v>
      </c>
      <c r="C3443" s="272" t="s">
        <v>109</v>
      </c>
      <c r="D3443" s="273" t="s">
        <v>10300</v>
      </c>
      <c r="E3443" s="274" t="s">
        <v>229</v>
      </c>
    </row>
    <row r="3444" spans="1:5" ht="27">
      <c r="A3444" s="271">
        <v>89437</v>
      </c>
      <c r="B3444" s="272" t="s">
        <v>1895</v>
      </c>
      <c r="C3444" s="272" t="s">
        <v>109</v>
      </c>
      <c r="D3444" s="273" t="s">
        <v>23051</v>
      </c>
      <c r="E3444" s="274" t="s">
        <v>229</v>
      </c>
    </row>
    <row r="3445" spans="1:5" ht="27">
      <c r="A3445" s="271">
        <v>89438</v>
      </c>
      <c r="B3445" s="272" t="s">
        <v>1896</v>
      </c>
      <c r="C3445" s="272" t="s">
        <v>109</v>
      </c>
      <c r="D3445" s="273" t="s">
        <v>10222</v>
      </c>
      <c r="E3445" s="274" t="s">
        <v>229</v>
      </c>
    </row>
    <row r="3446" spans="1:5" ht="27">
      <c r="A3446" s="271">
        <v>89439</v>
      </c>
      <c r="B3446" s="272" t="s">
        <v>1897</v>
      </c>
      <c r="C3446" s="272" t="s">
        <v>109</v>
      </c>
      <c r="D3446" s="273" t="s">
        <v>10842</v>
      </c>
      <c r="E3446" s="274" t="s">
        <v>229</v>
      </c>
    </row>
    <row r="3447" spans="1:5" ht="27">
      <c r="A3447" s="271">
        <v>89440</v>
      </c>
      <c r="B3447" s="272" t="s">
        <v>253</v>
      </c>
      <c r="C3447" s="272" t="s">
        <v>109</v>
      </c>
      <c r="D3447" s="273" t="s">
        <v>12220</v>
      </c>
      <c r="E3447" s="274" t="s">
        <v>229</v>
      </c>
    </row>
    <row r="3448" spans="1:5" ht="27">
      <c r="A3448" s="271">
        <v>89441</v>
      </c>
      <c r="B3448" s="272" t="s">
        <v>1898</v>
      </c>
      <c r="C3448" s="272" t="s">
        <v>109</v>
      </c>
      <c r="D3448" s="273" t="s">
        <v>10589</v>
      </c>
      <c r="E3448" s="274" t="s">
        <v>229</v>
      </c>
    </row>
    <row r="3449" spans="1:5" ht="27">
      <c r="A3449" s="271">
        <v>89442</v>
      </c>
      <c r="B3449" s="272" t="s">
        <v>1899</v>
      </c>
      <c r="C3449" s="272" t="s">
        <v>109</v>
      </c>
      <c r="D3449" s="273" t="s">
        <v>19777</v>
      </c>
      <c r="E3449" s="274" t="s">
        <v>229</v>
      </c>
    </row>
    <row r="3450" spans="1:5" ht="27">
      <c r="A3450" s="271">
        <v>89443</v>
      </c>
      <c r="B3450" s="272" t="s">
        <v>254</v>
      </c>
      <c r="C3450" s="272" t="s">
        <v>109</v>
      </c>
      <c r="D3450" s="273" t="s">
        <v>16026</v>
      </c>
      <c r="E3450" s="274" t="s">
        <v>229</v>
      </c>
    </row>
    <row r="3451" spans="1:5" ht="27">
      <c r="A3451" s="271">
        <v>89444</v>
      </c>
      <c r="B3451" s="272" t="s">
        <v>1900</v>
      </c>
      <c r="C3451" s="272" t="s">
        <v>109</v>
      </c>
      <c r="D3451" s="273" t="s">
        <v>12266</v>
      </c>
      <c r="E3451" s="274" t="s">
        <v>229</v>
      </c>
    </row>
    <row r="3452" spans="1:5" ht="27">
      <c r="A3452" s="271">
        <v>89445</v>
      </c>
      <c r="B3452" s="272" t="s">
        <v>1901</v>
      </c>
      <c r="C3452" s="272" t="s">
        <v>109</v>
      </c>
      <c r="D3452" s="273" t="s">
        <v>10292</v>
      </c>
      <c r="E3452" s="274" t="s">
        <v>229</v>
      </c>
    </row>
    <row r="3453" spans="1:5" ht="27">
      <c r="A3453" s="271">
        <v>89481</v>
      </c>
      <c r="B3453" s="272" t="s">
        <v>1902</v>
      </c>
      <c r="C3453" s="272" t="s">
        <v>109</v>
      </c>
      <c r="D3453" s="273" t="s">
        <v>23052</v>
      </c>
      <c r="E3453" s="274" t="s">
        <v>229</v>
      </c>
    </row>
    <row r="3454" spans="1:5" ht="27">
      <c r="A3454" s="271">
        <v>89485</v>
      </c>
      <c r="B3454" s="272" t="s">
        <v>1903</v>
      </c>
      <c r="C3454" s="272" t="s">
        <v>109</v>
      </c>
      <c r="D3454" s="273" t="s">
        <v>9933</v>
      </c>
      <c r="E3454" s="274" t="s">
        <v>229</v>
      </c>
    </row>
    <row r="3455" spans="1:5" ht="27">
      <c r="A3455" s="271">
        <v>89489</v>
      </c>
      <c r="B3455" s="272" t="s">
        <v>1904</v>
      </c>
      <c r="C3455" s="272" t="s">
        <v>109</v>
      </c>
      <c r="D3455" s="273" t="s">
        <v>16546</v>
      </c>
      <c r="E3455" s="274" t="s">
        <v>229</v>
      </c>
    </row>
    <row r="3456" spans="1:5" ht="27">
      <c r="A3456" s="271">
        <v>89490</v>
      </c>
      <c r="B3456" s="272" t="s">
        <v>1905</v>
      </c>
      <c r="C3456" s="272" t="s">
        <v>109</v>
      </c>
      <c r="D3456" s="273" t="s">
        <v>14060</v>
      </c>
      <c r="E3456" s="274" t="s">
        <v>229</v>
      </c>
    </row>
    <row r="3457" spans="1:5" ht="27">
      <c r="A3457" s="271">
        <v>89492</v>
      </c>
      <c r="B3457" s="272" t="s">
        <v>1906</v>
      </c>
      <c r="C3457" s="272" t="s">
        <v>109</v>
      </c>
      <c r="D3457" s="273" t="s">
        <v>10500</v>
      </c>
      <c r="E3457" s="274" t="s">
        <v>229</v>
      </c>
    </row>
    <row r="3458" spans="1:5" ht="27">
      <c r="A3458" s="271">
        <v>89493</v>
      </c>
      <c r="B3458" s="272" t="s">
        <v>1907</v>
      </c>
      <c r="C3458" s="272" t="s">
        <v>109</v>
      </c>
      <c r="D3458" s="273" t="s">
        <v>22578</v>
      </c>
      <c r="E3458" s="274" t="s">
        <v>229</v>
      </c>
    </row>
    <row r="3459" spans="1:5" ht="27">
      <c r="A3459" s="271">
        <v>89494</v>
      </c>
      <c r="B3459" s="272" t="s">
        <v>1908</v>
      </c>
      <c r="C3459" s="272" t="s">
        <v>109</v>
      </c>
      <c r="D3459" s="273" t="s">
        <v>11468</v>
      </c>
      <c r="E3459" s="274" t="s">
        <v>229</v>
      </c>
    </row>
    <row r="3460" spans="1:5" ht="27">
      <c r="A3460" s="271">
        <v>89496</v>
      </c>
      <c r="B3460" s="272" t="s">
        <v>1909</v>
      </c>
      <c r="C3460" s="272" t="s">
        <v>109</v>
      </c>
      <c r="D3460" s="273" t="s">
        <v>16111</v>
      </c>
      <c r="E3460" s="274" t="s">
        <v>229</v>
      </c>
    </row>
    <row r="3461" spans="1:5" ht="27">
      <c r="A3461" s="271">
        <v>89497</v>
      </c>
      <c r="B3461" s="272" t="s">
        <v>249</v>
      </c>
      <c r="C3461" s="272" t="s">
        <v>109</v>
      </c>
      <c r="D3461" s="273" t="s">
        <v>10585</v>
      </c>
      <c r="E3461" s="274" t="s">
        <v>229</v>
      </c>
    </row>
    <row r="3462" spans="1:5" ht="27">
      <c r="A3462" s="271">
        <v>89498</v>
      </c>
      <c r="B3462" s="272" t="s">
        <v>1910</v>
      </c>
      <c r="C3462" s="272" t="s">
        <v>109</v>
      </c>
      <c r="D3462" s="273" t="s">
        <v>16201</v>
      </c>
      <c r="E3462" s="274" t="s">
        <v>229</v>
      </c>
    </row>
    <row r="3463" spans="1:5" ht="27">
      <c r="A3463" s="271">
        <v>89499</v>
      </c>
      <c r="B3463" s="272" t="s">
        <v>1911</v>
      </c>
      <c r="C3463" s="272" t="s">
        <v>109</v>
      </c>
      <c r="D3463" s="273" t="s">
        <v>18788</v>
      </c>
      <c r="E3463" s="274" t="s">
        <v>229</v>
      </c>
    </row>
    <row r="3464" spans="1:5" ht="27">
      <c r="A3464" s="271">
        <v>89500</v>
      </c>
      <c r="B3464" s="272" t="s">
        <v>1912</v>
      </c>
      <c r="C3464" s="272" t="s">
        <v>109</v>
      </c>
      <c r="D3464" s="273" t="s">
        <v>11496</v>
      </c>
      <c r="E3464" s="274" t="s">
        <v>229</v>
      </c>
    </row>
    <row r="3465" spans="1:5" ht="27">
      <c r="A3465" s="271">
        <v>89501</v>
      </c>
      <c r="B3465" s="272" t="s">
        <v>250</v>
      </c>
      <c r="C3465" s="272" t="s">
        <v>109</v>
      </c>
      <c r="D3465" s="273" t="s">
        <v>16081</v>
      </c>
      <c r="E3465" s="274" t="s">
        <v>229</v>
      </c>
    </row>
    <row r="3466" spans="1:5" ht="27">
      <c r="A3466" s="271">
        <v>89502</v>
      </c>
      <c r="B3466" s="272" t="s">
        <v>1913</v>
      </c>
      <c r="C3466" s="272" t="s">
        <v>109</v>
      </c>
      <c r="D3466" s="273" t="s">
        <v>10320</v>
      </c>
      <c r="E3466" s="274" t="s">
        <v>229</v>
      </c>
    </row>
    <row r="3467" spans="1:5" ht="27">
      <c r="A3467" s="271">
        <v>89503</v>
      </c>
      <c r="B3467" s="272" t="s">
        <v>1914</v>
      </c>
      <c r="C3467" s="272" t="s">
        <v>109</v>
      </c>
      <c r="D3467" s="273" t="s">
        <v>12386</v>
      </c>
      <c r="E3467" s="274" t="s">
        <v>229</v>
      </c>
    </row>
    <row r="3468" spans="1:5" ht="27">
      <c r="A3468" s="271">
        <v>89504</v>
      </c>
      <c r="B3468" s="272" t="s">
        <v>1915</v>
      </c>
      <c r="C3468" s="272" t="s">
        <v>109</v>
      </c>
      <c r="D3468" s="273" t="s">
        <v>23053</v>
      </c>
      <c r="E3468" s="274" t="s">
        <v>229</v>
      </c>
    </row>
    <row r="3469" spans="1:5" ht="27">
      <c r="A3469" s="271">
        <v>89505</v>
      </c>
      <c r="B3469" s="272" t="s">
        <v>251</v>
      </c>
      <c r="C3469" s="272" t="s">
        <v>109</v>
      </c>
      <c r="D3469" s="273" t="s">
        <v>10275</v>
      </c>
      <c r="E3469" s="274" t="s">
        <v>229</v>
      </c>
    </row>
    <row r="3470" spans="1:5" ht="27">
      <c r="A3470" s="271">
        <v>89506</v>
      </c>
      <c r="B3470" s="272" t="s">
        <v>1916</v>
      </c>
      <c r="C3470" s="272" t="s">
        <v>109</v>
      </c>
      <c r="D3470" s="273" t="s">
        <v>12186</v>
      </c>
      <c r="E3470" s="274" t="s">
        <v>229</v>
      </c>
    </row>
    <row r="3471" spans="1:5" ht="27">
      <c r="A3471" s="271">
        <v>89507</v>
      </c>
      <c r="B3471" s="272" t="s">
        <v>1917</v>
      </c>
      <c r="C3471" s="272" t="s">
        <v>109</v>
      </c>
      <c r="D3471" s="273" t="s">
        <v>14199</v>
      </c>
      <c r="E3471" s="274" t="s">
        <v>229</v>
      </c>
    </row>
    <row r="3472" spans="1:5" ht="27">
      <c r="A3472" s="271">
        <v>89510</v>
      </c>
      <c r="B3472" s="272" t="s">
        <v>1918</v>
      </c>
      <c r="C3472" s="272" t="s">
        <v>109</v>
      </c>
      <c r="D3472" s="273" t="s">
        <v>10588</v>
      </c>
      <c r="E3472" s="274" t="s">
        <v>229</v>
      </c>
    </row>
    <row r="3473" spans="1:5" ht="27">
      <c r="A3473" s="271">
        <v>89513</v>
      </c>
      <c r="B3473" s="272" t="s">
        <v>252</v>
      </c>
      <c r="C3473" s="272" t="s">
        <v>109</v>
      </c>
      <c r="D3473" s="273" t="s">
        <v>10636</v>
      </c>
      <c r="E3473" s="274" t="s">
        <v>229</v>
      </c>
    </row>
    <row r="3474" spans="1:5" ht="27">
      <c r="A3474" s="271">
        <v>89514</v>
      </c>
      <c r="B3474" s="272" t="s">
        <v>1919</v>
      </c>
      <c r="C3474" s="272" t="s">
        <v>109</v>
      </c>
      <c r="D3474" s="273" t="s">
        <v>10865</v>
      </c>
      <c r="E3474" s="274" t="s">
        <v>229</v>
      </c>
    </row>
    <row r="3475" spans="1:5" ht="27">
      <c r="A3475" s="271">
        <v>89515</v>
      </c>
      <c r="B3475" s="272" t="s">
        <v>1920</v>
      </c>
      <c r="C3475" s="272" t="s">
        <v>109</v>
      </c>
      <c r="D3475" s="273" t="s">
        <v>23054</v>
      </c>
      <c r="E3475" s="274" t="s">
        <v>229</v>
      </c>
    </row>
    <row r="3476" spans="1:5" ht="27">
      <c r="A3476" s="271">
        <v>89516</v>
      </c>
      <c r="B3476" s="272" t="s">
        <v>1921</v>
      </c>
      <c r="C3476" s="272" t="s">
        <v>109</v>
      </c>
      <c r="D3476" s="273" t="s">
        <v>11411</v>
      </c>
      <c r="E3476" s="274" t="s">
        <v>229</v>
      </c>
    </row>
    <row r="3477" spans="1:5" ht="27">
      <c r="A3477" s="271">
        <v>89517</v>
      </c>
      <c r="B3477" s="272" t="s">
        <v>1922</v>
      </c>
      <c r="C3477" s="272" t="s">
        <v>109</v>
      </c>
      <c r="D3477" s="273" t="s">
        <v>16292</v>
      </c>
      <c r="E3477" s="274" t="s">
        <v>229</v>
      </c>
    </row>
    <row r="3478" spans="1:5" ht="27">
      <c r="A3478" s="271">
        <v>89518</v>
      </c>
      <c r="B3478" s="272" t="s">
        <v>1923</v>
      </c>
      <c r="C3478" s="272" t="s">
        <v>109</v>
      </c>
      <c r="D3478" s="273" t="s">
        <v>20118</v>
      </c>
      <c r="E3478" s="274" t="s">
        <v>229</v>
      </c>
    </row>
    <row r="3479" spans="1:5" ht="27">
      <c r="A3479" s="271">
        <v>89519</v>
      </c>
      <c r="B3479" s="272" t="s">
        <v>1924</v>
      </c>
      <c r="C3479" s="272" t="s">
        <v>109</v>
      </c>
      <c r="D3479" s="273" t="s">
        <v>23055</v>
      </c>
      <c r="E3479" s="274" t="s">
        <v>229</v>
      </c>
    </row>
    <row r="3480" spans="1:5" ht="27">
      <c r="A3480" s="271">
        <v>89520</v>
      </c>
      <c r="B3480" s="272" t="s">
        <v>1925</v>
      </c>
      <c r="C3480" s="272" t="s">
        <v>109</v>
      </c>
      <c r="D3480" s="273" t="s">
        <v>12387</v>
      </c>
      <c r="E3480" s="274" t="s">
        <v>229</v>
      </c>
    </row>
    <row r="3481" spans="1:5" ht="27">
      <c r="A3481" s="271">
        <v>89521</v>
      </c>
      <c r="B3481" s="272" t="s">
        <v>1926</v>
      </c>
      <c r="C3481" s="272" t="s">
        <v>109</v>
      </c>
      <c r="D3481" s="273" t="s">
        <v>23056</v>
      </c>
      <c r="E3481" s="274" t="s">
        <v>229</v>
      </c>
    </row>
    <row r="3482" spans="1:5" ht="27">
      <c r="A3482" s="271">
        <v>89522</v>
      </c>
      <c r="B3482" s="272" t="s">
        <v>1927</v>
      </c>
      <c r="C3482" s="272" t="s">
        <v>109</v>
      </c>
      <c r="D3482" s="273" t="s">
        <v>23057</v>
      </c>
      <c r="E3482" s="274" t="s">
        <v>229</v>
      </c>
    </row>
    <row r="3483" spans="1:5" ht="27">
      <c r="A3483" s="271">
        <v>89523</v>
      </c>
      <c r="B3483" s="272" t="s">
        <v>1928</v>
      </c>
      <c r="C3483" s="272" t="s">
        <v>109</v>
      </c>
      <c r="D3483" s="273" t="s">
        <v>23058</v>
      </c>
      <c r="E3483" s="274" t="s">
        <v>229</v>
      </c>
    </row>
    <row r="3484" spans="1:5" ht="27">
      <c r="A3484" s="271">
        <v>89524</v>
      </c>
      <c r="B3484" s="272" t="s">
        <v>1929</v>
      </c>
      <c r="C3484" s="272" t="s">
        <v>109</v>
      </c>
      <c r="D3484" s="273" t="s">
        <v>19012</v>
      </c>
      <c r="E3484" s="274" t="s">
        <v>229</v>
      </c>
    </row>
    <row r="3485" spans="1:5" ht="27">
      <c r="A3485" s="271">
        <v>89525</v>
      </c>
      <c r="B3485" s="272" t="s">
        <v>1930</v>
      </c>
      <c r="C3485" s="272" t="s">
        <v>109</v>
      </c>
      <c r="D3485" s="273" t="s">
        <v>23059</v>
      </c>
      <c r="E3485" s="274" t="s">
        <v>229</v>
      </c>
    </row>
    <row r="3486" spans="1:5" ht="27">
      <c r="A3486" s="271">
        <v>89526</v>
      </c>
      <c r="B3486" s="272" t="s">
        <v>1931</v>
      </c>
      <c r="C3486" s="272" t="s">
        <v>109</v>
      </c>
      <c r="D3486" s="273" t="s">
        <v>16177</v>
      </c>
      <c r="E3486" s="274" t="s">
        <v>229</v>
      </c>
    </row>
    <row r="3487" spans="1:5" ht="27">
      <c r="A3487" s="271">
        <v>89527</v>
      </c>
      <c r="B3487" s="272" t="s">
        <v>1932</v>
      </c>
      <c r="C3487" s="272" t="s">
        <v>109</v>
      </c>
      <c r="D3487" s="273" t="s">
        <v>20584</v>
      </c>
      <c r="E3487" s="274" t="s">
        <v>229</v>
      </c>
    </row>
    <row r="3488" spans="1:5" ht="27">
      <c r="A3488" s="271">
        <v>89528</v>
      </c>
      <c r="B3488" s="272" t="s">
        <v>1933</v>
      </c>
      <c r="C3488" s="272" t="s">
        <v>109</v>
      </c>
      <c r="D3488" s="273" t="s">
        <v>11359</v>
      </c>
      <c r="E3488" s="274" t="s">
        <v>229</v>
      </c>
    </row>
    <row r="3489" spans="1:5" ht="27">
      <c r="A3489" s="271">
        <v>89529</v>
      </c>
      <c r="B3489" s="272" t="s">
        <v>1934</v>
      </c>
      <c r="C3489" s="272" t="s">
        <v>109</v>
      </c>
      <c r="D3489" s="273" t="s">
        <v>16156</v>
      </c>
      <c r="E3489" s="274" t="s">
        <v>229</v>
      </c>
    </row>
    <row r="3490" spans="1:5" ht="27">
      <c r="A3490" s="271">
        <v>89530</v>
      </c>
      <c r="B3490" s="272" t="s">
        <v>1935</v>
      </c>
      <c r="C3490" s="272" t="s">
        <v>109</v>
      </c>
      <c r="D3490" s="273" t="s">
        <v>23060</v>
      </c>
      <c r="E3490" s="274" t="s">
        <v>229</v>
      </c>
    </row>
    <row r="3491" spans="1:5" ht="27">
      <c r="A3491" s="271">
        <v>89531</v>
      </c>
      <c r="B3491" s="272" t="s">
        <v>1936</v>
      </c>
      <c r="C3491" s="272" t="s">
        <v>109</v>
      </c>
      <c r="D3491" s="273" t="s">
        <v>16132</v>
      </c>
      <c r="E3491" s="274" t="s">
        <v>229</v>
      </c>
    </row>
    <row r="3492" spans="1:5" ht="27">
      <c r="A3492" s="271">
        <v>89532</v>
      </c>
      <c r="B3492" s="272" t="s">
        <v>1937</v>
      </c>
      <c r="C3492" s="272" t="s">
        <v>109</v>
      </c>
      <c r="D3492" s="273" t="s">
        <v>11504</v>
      </c>
      <c r="E3492" s="274" t="s">
        <v>229</v>
      </c>
    </row>
    <row r="3493" spans="1:5" ht="27">
      <c r="A3493" s="271">
        <v>89533</v>
      </c>
      <c r="B3493" s="272" t="s">
        <v>1938</v>
      </c>
      <c r="C3493" s="272" t="s">
        <v>109</v>
      </c>
      <c r="D3493" s="273" t="s">
        <v>16132</v>
      </c>
      <c r="E3493" s="274" t="s">
        <v>229</v>
      </c>
    </row>
    <row r="3494" spans="1:5" ht="27">
      <c r="A3494" s="271">
        <v>89534</v>
      </c>
      <c r="B3494" s="272" t="s">
        <v>1939</v>
      </c>
      <c r="C3494" s="272" t="s">
        <v>109</v>
      </c>
      <c r="D3494" s="273" t="s">
        <v>9746</v>
      </c>
      <c r="E3494" s="274" t="s">
        <v>229</v>
      </c>
    </row>
    <row r="3495" spans="1:5" ht="27">
      <c r="A3495" s="271">
        <v>89535</v>
      </c>
      <c r="B3495" s="272" t="s">
        <v>1940</v>
      </c>
      <c r="C3495" s="272" t="s">
        <v>109</v>
      </c>
      <c r="D3495" s="273" t="s">
        <v>16060</v>
      </c>
      <c r="E3495" s="274" t="s">
        <v>229</v>
      </c>
    </row>
    <row r="3496" spans="1:5" ht="27">
      <c r="A3496" s="271">
        <v>89536</v>
      </c>
      <c r="B3496" s="272" t="s">
        <v>1941</v>
      </c>
      <c r="C3496" s="272" t="s">
        <v>109</v>
      </c>
      <c r="D3496" s="273" t="s">
        <v>10242</v>
      </c>
      <c r="E3496" s="274" t="s">
        <v>229</v>
      </c>
    </row>
    <row r="3497" spans="1:5" ht="27">
      <c r="A3497" s="271">
        <v>89538</v>
      </c>
      <c r="B3497" s="272" t="s">
        <v>1942</v>
      </c>
      <c r="C3497" s="272" t="s">
        <v>109</v>
      </c>
      <c r="D3497" s="273" t="s">
        <v>14047</v>
      </c>
      <c r="E3497" s="274" t="s">
        <v>229</v>
      </c>
    </row>
    <row r="3498" spans="1:5" ht="27">
      <c r="A3498" s="271">
        <v>89539</v>
      </c>
      <c r="B3498" s="272" t="s">
        <v>23061</v>
      </c>
      <c r="C3498" s="272" t="s">
        <v>109</v>
      </c>
      <c r="D3498" s="273" t="s">
        <v>10596</v>
      </c>
      <c r="E3498" s="274" t="s">
        <v>229</v>
      </c>
    </row>
    <row r="3499" spans="1:5" ht="27">
      <c r="A3499" s="271">
        <v>89540</v>
      </c>
      <c r="B3499" s="272" t="s">
        <v>1943</v>
      </c>
      <c r="C3499" s="272" t="s">
        <v>109</v>
      </c>
      <c r="D3499" s="273" t="s">
        <v>10591</v>
      </c>
      <c r="E3499" s="274" t="s">
        <v>229</v>
      </c>
    </row>
    <row r="3500" spans="1:5" ht="27">
      <c r="A3500" s="271">
        <v>89541</v>
      </c>
      <c r="B3500" s="272" t="s">
        <v>1944</v>
      </c>
      <c r="C3500" s="272" t="s">
        <v>109</v>
      </c>
      <c r="D3500" s="273" t="s">
        <v>11479</v>
      </c>
      <c r="E3500" s="274" t="s">
        <v>229</v>
      </c>
    </row>
    <row r="3501" spans="1:5" ht="27">
      <c r="A3501" s="271">
        <v>89542</v>
      </c>
      <c r="B3501" s="272" t="s">
        <v>1945</v>
      </c>
      <c r="C3501" s="272" t="s">
        <v>109</v>
      </c>
      <c r="D3501" s="273" t="s">
        <v>16555</v>
      </c>
      <c r="E3501" s="274" t="s">
        <v>229</v>
      </c>
    </row>
    <row r="3502" spans="1:5" ht="27">
      <c r="A3502" s="271">
        <v>89544</v>
      </c>
      <c r="B3502" s="272" t="s">
        <v>1946</v>
      </c>
      <c r="C3502" s="272" t="s">
        <v>109</v>
      </c>
      <c r="D3502" s="273" t="s">
        <v>10238</v>
      </c>
      <c r="E3502" s="274" t="s">
        <v>229</v>
      </c>
    </row>
    <row r="3503" spans="1:5" ht="27">
      <c r="A3503" s="271">
        <v>89545</v>
      </c>
      <c r="B3503" s="272" t="s">
        <v>1947</v>
      </c>
      <c r="C3503" s="272" t="s">
        <v>109</v>
      </c>
      <c r="D3503" s="273" t="s">
        <v>9783</v>
      </c>
      <c r="E3503" s="274" t="s">
        <v>229</v>
      </c>
    </row>
    <row r="3504" spans="1:5" ht="27">
      <c r="A3504" s="271">
        <v>89546</v>
      </c>
      <c r="B3504" s="272" t="s">
        <v>1948</v>
      </c>
      <c r="C3504" s="272" t="s">
        <v>109</v>
      </c>
      <c r="D3504" s="273" t="s">
        <v>10825</v>
      </c>
      <c r="E3504" s="274" t="s">
        <v>229</v>
      </c>
    </row>
    <row r="3505" spans="1:5" ht="27">
      <c r="A3505" s="271">
        <v>89547</v>
      </c>
      <c r="B3505" s="272" t="s">
        <v>1949</v>
      </c>
      <c r="C3505" s="272" t="s">
        <v>109</v>
      </c>
      <c r="D3505" s="273" t="s">
        <v>10119</v>
      </c>
      <c r="E3505" s="274" t="s">
        <v>229</v>
      </c>
    </row>
    <row r="3506" spans="1:5" ht="27">
      <c r="A3506" s="271">
        <v>89548</v>
      </c>
      <c r="B3506" s="272" t="s">
        <v>1950</v>
      </c>
      <c r="C3506" s="272" t="s">
        <v>109</v>
      </c>
      <c r="D3506" s="273" t="s">
        <v>19017</v>
      </c>
      <c r="E3506" s="274" t="s">
        <v>229</v>
      </c>
    </row>
    <row r="3507" spans="1:5" ht="27">
      <c r="A3507" s="271">
        <v>89549</v>
      </c>
      <c r="B3507" s="272" t="s">
        <v>1951</v>
      </c>
      <c r="C3507" s="272" t="s">
        <v>109</v>
      </c>
      <c r="D3507" s="273" t="s">
        <v>12419</v>
      </c>
      <c r="E3507" s="274" t="s">
        <v>229</v>
      </c>
    </row>
    <row r="3508" spans="1:5" ht="27">
      <c r="A3508" s="271">
        <v>89550</v>
      </c>
      <c r="B3508" s="272" t="s">
        <v>1952</v>
      </c>
      <c r="C3508" s="272" t="s">
        <v>109</v>
      </c>
      <c r="D3508" s="273" t="s">
        <v>15967</v>
      </c>
      <c r="E3508" s="274" t="s">
        <v>229</v>
      </c>
    </row>
    <row r="3509" spans="1:5" ht="27">
      <c r="A3509" s="271">
        <v>89551</v>
      </c>
      <c r="B3509" s="272" t="s">
        <v>1953</v>
      </c>
      <c r="C3509" s="272" t="s">
        <v>109</v>
      </c>
      <c r="D3509" s="273" t="s">
        <v>9913</v>
      </c>
      <c r="E3509" s="274" t="s">
        <v>229</v>
      </c>
    </row>
    <row r="3510" spans="1:5" ht="27">
      <c r="A3510" s="271">
        <v>89552</v>
      </c>
      <c r="B3510" s="272" t="s">
        <v>1954</v>
      </c>
      <c r="C3510" s="272" t="s">
        <v>109</v>
      </c>
      <c r="D3510" s="273" t="s">
        <v>11293</v>
      </c>
      <c r="E3510" s="274" t="s">
        <v>229</v>
      </c>
    </row>
    <row r="3511" spans="1:5" ht="27">
      <c r="A3511" s="271">
        <v>89553</v>
      </c>
      <c r="B3511" s="272" t="s">
        <v>1955</v>
      </c>
      <c r="C3511" s="272" t="s">
        <v>109</v>
      </c>
      <c r="D3511" s="273" t="s">
        <v>10807</v>
      </c>
      <c r="E3511" s="274" t="s">
        <v>229</v>
      </c>
    </row>
    <row r="3512" spans="1:5" ht="27">
      <c r="A3512" s="271">
        <v>89554</v>
      </c>
      <c r="B3512" s="272" t="s">
        <v>1956</v>
      </c>
      <c r="C3512" s="272" t="s">
        <v>109</v>
      </c>
      <c r="D3512" s="273" t="s">
        <v>10613</v>
      </c>
      <c r="E3512" s="274" t="s">
        <v>229</v>
      </c>
    </row>
    <row r="3513" spans="1:5" ht="27">
      <c r="A3513" s="271">
        <v>89555</v>
      </c>
      <c r="B3513" s="272" t="s">
        <v>1957</v>
      </c>
      <c r="C3513" s="272" t="s">
        <v>109</v>
      </c>
      <c r="D3513" s="273" t="s">
        <v>23062</v>
      </c>
      <c r="E3513" s="274" t="s">
        <v>229</v>
      </c>
    </row>
    <row r="3514" spans="1:5" ht="27">
      <c r="A3514" s="271">
        <v>89556</v>
      </c>
      <c r="B3514" s="272" t="s">
        <v>1958</v>
      </c>
      <c r="C3514" s="272" t="s">
        <v>109</v>
      </c>
      <c r="D3514" s="273" t="s">
        <v>23063</v>
      </c>
      <c r="E3514" s="274" t="s">
        <v>229</v>
      </c>
    </row>
    <row r="3515" spans="1:5" ht="27">
      <c r="A3515" s="271">
        <v>89557</v>
      </c>
      <c r="B3515" s="272" t="s">
        <v>1959</v>
      </c>
      <c r="C3515" s="272" t="s">
        <v>109</v>
      </c>
      <c r="D3515" s="273" t="s">
        <v>12268</v>
      </c>
      <c r="E3515" s="274" t="s">
        <v>229</v>
      </c>
    </row>
    <row r="3516" spans="1:5" ht="27">
      <c r="A3516" s="271">
        <v>89558</v>
      </c>
      <c r="B3516" s="272" t="s">
        <v>1960</v>
      </c>
      <c r="C3516" s="272" t="s">
        <v>109</v>
      </c>
      <c r="D3516" s="273" t="s">
        <v>12260</v>
      </c>
      <c r="E3516" s="274" t="s">
        <v>229</v>
      </c>
    </row>
    <row r="3517" spans="1:5" ht="27">
      <c r="A3517" s="271">
        <v>89559</v>
      </c>
      <c r="B3517" s="272" t="s">
        <v>1961</v>
      </c>
      <c r="C3517" s="272" t="s">
        <v>109</v>
      </c>
      <c r="D3517" s="273" t="s">
        <v>16521</v>
      </c>
      <c r="E3517" s="274" t="s">
        <v>229</v>
      </c>
    </row>
    <row r="3518" spans="1:5" ht="27">
      <c r="A3518" s="271">
        <v>89561</v>
      </c>
      <c r="B3518" s="272" t="s">
        <v>1962</v>
      </c>
      <c r="C3518" s="272" t="s">
        <v>109</v>
      </c>
      <c r="D3518" s="273" t="s">
        <v>12139</v>
      </c>
      <c r="E3518" s="274" t="s">
        <v>229</v>
      </c>
    </row>
    <row r="3519" spans="1:5" ht="27">
      <c r="A3519" s="271">
        <v>89562</v>
      </c>
      <c r="B3519" s="272" t="s">
        <v>261</v>
      </c>
      <c r="C3519" s="272" t="s">
        <v>109</v>
      </c>
      <c r="D3519" s="273" t="s">
        <v>10526</v>
      </c>
      <c r="E3519" s="274" t="s">
        <v>229</v>
      </c>
    </row>
    <row r="3520" spans="1:5" ht="27">
      <c r="A3520" s="271">
        <v>89563</v>
      </c>
      <c r="B3520" s="272" t="s">
        <v>1963</v>
      </c>
      <c r="C3520" s="272" t="s">
        <v>109</v>
      </c>
      <c r="D3520" s="273" t="s">
        <v>20294</v>
      </c>
      <c r="E3520" s="274" t="s">
        <v>229</v>
      </c>
    </row>
    <row r="3521" spans="1:5" ht="27">
      <c r="A3521" s="271">
        <v>89564</v>
      </c>
      <c r="B3521" s="272" t="s">
        <v>1964</v>
      </c>
      <c r="C3521" s="272" t="s">
        <v>109</v>
      </c>
      <c r="D3521" s="273" t="s">
        <v>22906</v>
      </c>
      <c r="E3521" s="274" t="s">
        <v>229</v>
      </c>
    </row>
    <row r="3522" spans="1:5" ht="27">
      <c r="A3522" s="271">
        <v>89565</v>
      </c>
      <c r="B3522" s="272" t="s">
        <v>1965</v>
      </c>
      <c r="C3522" s="272" t="s">
        <v>109</v>
      </c>
      <c r="D3522" s="273" t="s">
        <v>23064</v>
      </c>
      <c r="E3522" s="274" t="s">
        <v>229</v>
      </c>
    </row>
    <row r="3523" spans="1:5" ht="27">
      <c r="A3523" s="271">
        <v>89566</v>
      </c>
      <c r="B3523" s="272" t="s">
        <v>1966</v>
      </c>
      <c r="C3523" s="272" t="s">
        <v>109</v>
      </c>
      <c r="D3523" s="273" t="s">
        <v>23065</v>
      </c>
      <c r="E3523" s="274" t="s">
        <v>229</v>
      </c>
    </row>
    <row r="3524" spans="1:5" ht="27">
      <c r="A3524" s="271">
        <v>89567</v>
      </c>
      <c r="B3524" s="272" t="s">
        <v>1967</v>
      </c>
      <c r="C3524" s="272" t="s">
        <v>109</v>
      </c>
      <c r="D3524" s="273" t="s">
        <v>11029</v>
      </c>
      <c r="E3524" s="274" t="s">
        <v>229</v>
      </c>
    </row>
    <row r="3525" spans="1:5" ht="27">
      <c r="A3525" s="271">
        <v>89568</v>
      </c>
      <c r="B3525" s="272" t="s">
        <v>1968</v>
      </c>
      <c r="C3525" s="272" t="s">
        <v>109</v>
      </c>
      <c r="D3525" s="273" t="s">
        <v>23066</v>
      </c>
      <c r="E3525" s="274" t="s">
        <v>229</v>
      </c>
    </row>
    <row r="3526" spans="1:5" ht="27">
      <c r="A3526" s="271">
        <v>89569</v>
      </c>
      <c r="B3526" s="272" t="s">
        <v>1969</v>
      </c>
      <c r="C3526" s="272" t="s">
        <v>109</v>
      </c>
      <c r="D3526" s="273" t="s">
        <v>23067</v>
      </c>
      <c r="E3526" s="274" t="s">
        <v>229</v>
      </c>
    </row>
    <row r="3527" spans="1:5" ht="27">
      <c r="A3527" s="271">
        <v>89570</v>
      </c>
      <c r="B3527" s="272" t="s">
        <v>1970</v>
      </c>
      <c r="C3527" s="272" t="s">
        <v>109</v>
      </c>
      <c r="D3527" s="273" t="s">
        <v>11484</v>
      </c>
      <c r="E3527" s="274" t="s">
        <v>229</v>
      </c>
    </row>
    <row r="3528" spans="1:5" ht="27">
      <c r="A3528" s="271">
        <v>89571</v>
      </c>
      <c r="B3528" s="272" t="s">
        <v>1971</v>
      </c>
      <c r="C3528" s="272" t="s">
        <v>109</v>
      </c>
      <c r="D3528" s="273" t="s">
        <v>23068</v>
      </c>
      <c r="E3528" s="274" t="s">
        <v>229</v>
      </c>
    </row>
    <row r="3529" spans="1:5" ht="27">
      <c r="A3529" s="271">
        <v>89572</v>
      </c>
      <c r="B3529" s="272" t="s">
        <v>1972</v>
      </c>
      <c r="C3529" s="272" t="s">
        <v>109</v>
      </c>
      <c r="D3529" s="273" t="s">
        <v>12184</v>
      </c>
      <c r="E3529" s="274" t="s">
        <v>229</v>
      </c>
    </row>
    <row r="3530" spans="1:5" ht="27">
      <c r="A3530" s="271">
        <v>89573</v>
      </c>
      <c r="B3530" s="272" t="s">
        <v>1973</v>
      </c>
      <c r="C3530" s="272" t="s">
        <v>109</v>
      </c>
      <c r="D3530" s="273" t="s">
        <v>23069</v>
      </c>
      <c r="E3530" s="274" t="s">
        <v>229</v>
      </c>
    </row>
    <row r="3531" spans="1:5" ht="27">
      <c r="A3531" s="271">
        <v>89574</v>
      </c>
      <c r="B3531" s="272" t="s">
        <v>1974</v>
      </c>
      <c r="C3531" s="272" t="s">
        <v>109</v>
      </c>
      <c r="D3531" s="273" t="s">
        <v>23070</v>
      </c>
      <c r="E3531" s="274" t="s">
        <v>229</v>
      </c>
    </row>
    <row r="3532" spans="1:5" ht="27">
      <c r="A3532" s="271">
        <v>89575</v>
      </c>
      <c r="B3532" s="272" t="s">
        <v>1975</v>
      </c>
      <c r="C3532" s="272" t="s">
        <v>109</v>
      </c>
      <c r="D3532" s="273" t="s">
        <v>11432</v>
      </c>
      <c r="E3532" s="274" t="s">
        <v>229</v>
      </c>
    </row>
    <row r="3533" spans="1:5" ht="27">
      <c r="A3533" s="271">
        <v>89577</v>
      </c>
      <c r="B3533" s="272" t="s">
        <v>1976</v>
      </c>
      <c r="C3533" s="272" t="s">
        <v>109</v>
      </c>
      <c r="D3533" s="273" t="s">
        <v>15865</v>
      </c>
      <c r="E3533" s="274" t="s">
        <v>229</v>
      </c>
    </row>
    <row r="3534" spans="1:5" ht="27">
      <c r="A3534" s="271">
        <v>89579</v>
      </c>
      <c r="B3534" s="272" t="s">
        <v>1977</v>
      </c>
      <c r="C3534" s="272" t="s">
        <v>109</v>
      </c>
      <c r="D3534" s="273" t="s">
        <v>10545</v>
      </c>
      <c r="E3534" s="274" t="s">
        <v>229</v>
      </c>
    </row>
    <row r="3535" spans="1:5" ht="27">
      <c r="A3535" s="271">
        <v>89581</v>
      </c>
      <c r="B3535" s="272" t="s">
        <v>1978</v>
      </c>
      <c r="C3535" s="272" t="s">
        <v>109</v>
      </c>
      <c r="D3535" s="273" t="s">
        <v>12342</v>
      </c>
      <c r="E3535" s="274" t="s">
        <v>229</v>
      </c>
    </row>
    <row r="3536" spans="1:5" ht="27">
      <c r="A3536" s="271">
        <v>89582</v>
      </c>
      <c r="B3536" s="272" t="s">
        <v>1979</v>
      </c>
      <c r="C3536" s="272" t="s">
        <v>109</v>
      </c>
      <c r="D3536" s="273" t="s">
        <v>11206</v>
      </c>
      <c r="E3536" s="274" t="s">
        <v>229</v>
      </c>
    </row>
    <row r="3537" spans="1:5" ht="27">
      <c r="A3537" s="271">
        <v>89583</v>
      </c>
      <c r="B3537" s="272" t="s">
        <v>1980</v>
      </c>
      <c r="C3537" s="272" t="s">
        <v>109</v>
      </c>
      <c r="D3537" s="273" t="s">
        <v>10550</v>
      </c>
      <c r="E3537" s="274" t="s">
        <v>229</v>
      </c>
    </row>
    <row r="3538" spans="1:5" ht="27">
      <c r="A3538" s="271">
        <v>89584</v>
      </c>
      <c r="B3538" s="272" t="s">
        <v>1981</v>
      </c>
      <c r="C3538" s="272" t="s">
        <v>109</v>
      </c>
      <c r="D3538" s="273" t="s">
        <v>14050</v>
      </c>
      <c r="E3538" s="274" t="s">
        <v>229</v>
      </c>
    </row>
    <row r="3539" spans="1:5" ht="27">
      <c r="A3539" s="271">
        <v>89585</v>
      </c>
      <c r="B3539" s="272" t="s">
        <v>1982</v>
      </c>
      <c r="C3539" s="272" t="s">
        <v>109</v>
      </c>
      <c r="D3539" s="273" t="s">
        <v>23071</v>
      </c>
      <c r="E3539" s="274" t="s">
        <v>229</v>
      </c>
    </row>
    <row r="3540" spans="1:5" ht="27">
      <c r="A3540" s="271">
        <v>89586</v>
      </c>
      <c r="B3540" s="272" t="s">
        <v>1983</v>
      </c>
      <c r="C3540" s="272" t="s">
        <v>109</v>
      </c>
      <c r="D3540" s="273" t="s">
        <v>23071</v>
      </c>
      <c r="E3540" s="274" t="s">
        <v>229</v>
      </c>
    </row>
    <row r="3541" spans="1:5" ht="27">
      <c r="A3541" s="271">
        <v>89587</v>
      </c>
      <c r="B3541" s="272" t="s">
        <v>1984</v>
      </c>
      <c r="C3541" s="272" t="s">
        <v>109</v>
      </c>
      <c r="D3541" s="273" t="s">
        <v>15970</v>
      </c>
      <c r="E3541" s="274" t="s">
        <v>229</v>
      </c>
    </row>
    <row r="3542" spans="1:5" ht="27">
      <c r="A3542" s="271">
        <v>89589</v>
      </c>
      <c r="B3542" s="272" t="s">
        <v>23072</v>
      </c>
      <c r="C3542" s="272" t="s">
        <v>109</v>
      </c>
      <c r="D3542" s="273" t="s">
        <v>10672</v>
      </c>
      <c r="E3542" s="274" t="s">
        <v>229</v>
      </c>
    </row>
    <row r="3543" spans="1:5" ht="27">
      <c r="A3543" s="271">
        <v>89590</v>
      </c>
      <c r="B3543" s="272" t="s">
        <v>1985</v>
      </c>
      <c r="C3543" s="272" t="s">
        <v>109</v>
      </c>
      <c r="D3543" s="273" t="s">
        <v>19096</v>
      </c>
      <c r="E3543" s="274" t="s">
        <v>229</v>
      </c>
    </row>
    <row r="3544" spans="1:5" ht="27">
      <c r="A3544" s="271">
        <v>89591</v>
      </c>
      <c r="B3544" s="272" t="s">
        <v>1986</v>
      </c>
      <c r="C3544" s="272" t="s">
        <v>109</v>
      </c>
      <c r="D3544" s="273" t="s">
        <v>23073</v>
      </c>
      <c r="E3544" s="274" t="s">
        <v>229</v>
      </c>
    </row>
    <row r="3545" spans="1:5" ht="27">
      <c r="A3545" s="271">
        <v>89592</v>
      </c>
      <c r="B3545" s="272" t="s">
        <v>1987</v>
      </c>
      <c r="C3545" s="272" t="s">
        <v>109</v>
      </c>
      <c r="D3545" s="273" t="s">
        <v>23074</v>
      </c>
      <c r="E3545" s="274" t="s">
        <v>229</v>
      </c>
    </row>
    <row r="3546" spans="1:5" ht="27">
      <c r="A3546" s="271">
        <v>89593</v>
      </c>
      <c r="B3546" s="272" t="s">
        <v>1988</v>
      </c>
      <c r="C3546" s="272" t="s">
        <v>109</v>
      </c>
      <c r="D3546" s="273" t="s">
        <v>16458</v>
      </c>
      <c r="E3546" s="274" t="s">
        <v>229</v>
      </c>
    </row>
    <row r="3547" spans="1:5" ht="27">
      <c r="A3547" s="271">
        <v>89594</v>
      </c>
      <c r="B3547" s="272" t="s">
        <v>1989</v>
      </c>
      <c r="C3547" s="272" t="s">
        <v>109</v>
      </c>
      <c r="D3547" s="273" t="s">
        <v>11014</v>
      </c>
      <c r="E3547" s="274" t="s">
        <v>229</v>
      </c>
    </row>
    <row r="3548" spans="1:5" ht="27">
      <c r="A3548" s="271">
        <v>89595</v>
      </c>
      <c r="B3548" s="272" t="s">
        <v>1990</v>
      </c>
      <c r="C3548" s="272" t="s">
        <v>109</v>
      </c>
      <c r="D3548" s="273" t="s">
        <v>23075</v>
      </c>
      <c r="E3548" s="274" t="s">
        <v>229</v>
      </c>
    </row>
    <row r="3549" spans="1:5" ht="27">
      <c r="A3549" s="271">
        <v>89596</v>
      </c>
      <c r="B3549" s="272" t="s">
        <v>1991</v>
      </c>
      <c r="C3549" s="272" t="s">
        <v>109</v>
      </c>
      <c r="D3549" s="273" t="s">
        <v>16073</v>
      </c>
      <c r="E3549" s="274" t="s">
        <v>229</v>
      </c>
    </row>
    <row r="3550" spans="1:5" ht="27">
      <c r="A3550" s="271">
        <v>89597</v>
      </c>
      <c r="B3550" s="272" t="s">
        <v>1992</v>
      </c>
      <c r="C3550" s="272" t="s">
        <v>109</v>
      </c>
      <c r="D3550" s="273" t="s">
        <v>10456</v>
      </c>
      <c r="E3550" s="274" t="s">
        <v>229</v>
      </c>
    </row>
    <row r="3551" spans="1:5" ht="27">
      <c r="A3551" s="271">
        <v>89598</v>
      </c>
      <c r="B3551" s="272" t="s">
        <v>1993</v>
      </c>
      <c r="C3551" s="272" t="s">
        <v>109</v>
      </c>
      <c r="D3551" s="273" t="s">
        <v>23076</v>
      </c>
      <c r="E3551" s="274" t="s">
        <v>229</v>
      </c>
    </row>
    <row r="3552" spans="1:5" ht="27">
      <c r="A3552" s="271">
        <v>89599</v>
      </c>
      <c r="B3552" s="272" t="s">
        <v>1994</v>
      </c>
      <c r="C3552" s="272" t="s">
        <v>109</v>
      </c>
      <c r="D3552" s="273" t="s">
        <v>19085</v>
      </c>
      <c r="E3552" s="274" t="s">
        <v>229</v>
      </c>
    </row>
    <row r="3553" spans="1:5" ht="27">
      <c r="A3553" s="271">
        <v>89600</v>
      </c>
      <c r="B3553" s="272" t="s">
        <v>1995</v>
      </c>
      <c r="C3553" s="272" t="s">
        <v>109</v>
      </c>
      <c r="D3553" s="273" t="s">
        <v>14218</v>
      </c>
      <c r="E3553" s="274" t="s">
        <v>229</v>
      </c>
    </row>
    <row r="3554" spans="1:5" ht="27">
      <c r="A3554" s="271">
        <v>89605</v>
      </c>
      <c r="B3554" s="272" t="s">
        <v>262</v>
      </c>
      <c r="C3554" s="272" t="s">
        <v>109</v>
      </c>
      <c r="D3554" s="273" t="s">
        <v>23077</v>
      </c>
      <c r="E3554" s="274" t="s">
        <v>229</v>
      </c>
    </row>
    <row r="3555" spans="1:5" ht="27">
      <c r="A3555" s="271">
        <v>89609</v>
      </c>
      <c r="B3555" s="272" t="s">
        <v>1996</v>
      </c>
      <c r="C3555" s="272" t="s">
        <v>109</v>
      </c>
      <c r="D3555" s="273" t="s">
        <v>15855</v>
      </c>
      <c r="E3555" s="274" t="s">
        <v>229</v>
      </c>
    </row>
    <row r="3556" spans="1:5" ht="27">
      <c r="A3556" s="271">
        <v>89610</v>
      </c>
      <c r="B3556" s="272" t="s">
        <v>1997</v>
      </c>
      <c r="C3556" s="272" t="s">
        <v>109</v>
      </c>
      <c r="D3556" s="273" t="s">
        <v>19425</v>
      </c>
      <c r="E3556" s="274" t="s">
        <v>229</v>
      </c>
    </row>
    <row r="3557" spans="1:5" ht="27">
      <c r="A3557" s="271">
        <v>89611</v>
      </c>
      <c r="B3557" s="272" t="s">
        <v>1998</v>
      </c>
      <c r="C3557" s="272" t="s">
        <v>109</v>
      </c>
      <c r="D3557" s="273" t="s">
        <v>23078</v>
      </c>
      <c r="E3557" s="274" t="s">
        <v>229</v>
      </c>
    </row>
    <row r="3558" spans="1:5" ht="27">
      <c r="A3558" s="271">
        <v>89612</v>
      </c>
      <c r="B3558" s="272" t="s">
        <v>1999</v>
      </c>
      <c r="C3558" s="272" t="s">
        <v>109</v>
      </c>
      <c r="D3558" s="273" t="s">
        <v>23079</v>
      </c>
      <c r="E3558" s="274" t="s">
        <v>229</v>
      </c>
    </row>
    <row r="3559" spans="1:5" ht="27">
      <c r="A3559" s="271">
        <v>89613</v>
      </c>
      <c r="B3559" s="272" t="s">
        <v>2000</v>
      </c>
      <c r="C3559" s="272" t="s">
        <v>109</v>
      </c>
      <c r="D3559" s="273" t="s">
        <v>21583</v>
      </c>
      <c r="E3559" s="274" t="s">
        <v>229</v>
      </c>
    </row>
    <row r="3560" spans="1:5" ht="27">
      <c r="A3560" s="271">
        <v>89614</v>
      </c>
      <c r="B3560" s="272" t="s">
        <v>2001</v>
      </c>
      <c r="C3560" s="272" t="s">
        <v>109</v>
      </c>
      <c r="D3560" s="273" t="s">
        <v>23080</v>
      </c>
      <c r="E3560" s="274" t="s">
        <v>229</v>
      </c>
    </row>
    <row r="3561" spans="1:5" ht="27">
      <c r="A3561" s="271">
        <v>89615</v>
      </c>
      <c r="B3561" s="272" t="s">
        <v>2002</v>
      </c>
      <c r="C3561" s="272" t="s">
        <v>109</v>
      </c>
      <c r="D3561" s="273" t="s">
        <v>23081</v>
      </c>
      <c r="E3561" s="274" t="s">
        <v>229</v>
      </c>
    </row>
    <row r="3562" spans="1:5" ht="27">
      <c r="A3562" s="271">
        <v>89616</v>
      </c>
      <c r="B3562" s="272" t="s">
        <v>2003</v>
      </c>
      <c r="C3562" s="272" t="s">
        <v>109</v>
      </c>
      <c r="D3562" s="273" t="s">
        <v>11476</v>
      </c>
      <c r="E3562" s="274" t="s">
        <v>229</v>
      </c>
    </row>
    <row r="3563" spans="1:5" ht="27">
      <c r="A3563" s="271">
        <v>89617</v>
      </c>
      <c r="B3563" s="272" t="s">
        <v>2004</v>
      </c>
      <c r="C3563" s="272" t="s">
        <v>109</v>
      </c>
      <c r="D3563" s="273" t="s">
        <v>9718</v>
      </c>
      <c r="E3563" s="274" t="s">
        <v>229</v>
      </c>
    </row>
    <row r="3564" spans="1:5" ht="27">
      <c r="A3564" s="271">
        <v>89618</v>
      </c>
      <c r="B3564" s="272" t="s">
        <v>2005</v>
      </c>
      <c r="C3564" s="272" t="s">
        <v>109</v>
      </c>
      <c r="D3564" s="273" t="s">
        <v>19070</v>
      </c>
      <c r="E3564" s="274" t="s">
        <v>229</v>
      </c>
    </row>
    <row r="3565" spans="1:5" ht="27">
      <c r="A3565" s="271">
        <v>89619</v>
      </c>
      <c r="B3565" s="272" t="s">
        <v>2006</v>
      </c>
      <c r="C3565" s="272" t="s">
        <v>109</v>
      </c>
      <c r="D3565" s="273" t="s">
        <v>23082</v>
      </c>
      <c r="E3565" s="274" t="s">
        <v>229</v>
      </c>
    </row>
    <row r="3566" spans="1:5" ht="27">
      <c r="A3566" s="271">
        <v>89620</v>
      </c>
      <c r="B3566" s="272" t="s">
        <v>2007</v>
      </c>
      <c r="C3566" s="272" t="s">
        <v>109</v>
      </c>
      <c r="D3566" s="273" t="s">
        <v>10647</v>
      </c>
      <c r="E3566" s="274" t="s">
        <v>229</v>
      </c>
    </row>
    <row r="3567" spans="1:5" ht="27">
      <c r="A3567" s="271">
        <v>89621</v>
      </c>
      <c r="B3567" s="272" t="s">
        <v>2008</v>
      </c>
      <c r="C3567" s="272" t="s">
        <v>109</v>
      </c>
      <c r="D3567" s="273" t="s">
        <v>11287</v>
      </c>
      <c r="E3567" s="274" t="s">
        <v>229</v>
      </c>
    </row>
    <row r="3568" spans="1:5" ht="27">
      <c r="A3568" s="271">
        <v>89622</v>
      </c>
      <c r="B3568" s="272" t="s">
        <v>2009</v>
      </c>
      <c r="C3568" s="272" t="s">
        <v>109</v>
      </c>
      <c r="D3568" s="273" t="s">
        <v>16204</v>
      </c>
      <c r="E3568" s="274" t="s">
        <v>229</v>
      </c>
    </row>
    <row r="3569" spans="1:5" ht="27">
      <c r="A3569" s="271">
        <v>89623</v>
      </c>
      <c r="B3569" s="272" t="s">
        <v>255</v>
      </c>
      <c r="C3569" s="272" t="s">
        <v>109</v>
      </c>
      <c r="D3569" s="273" t="s">
        <v>10337</v>
      </c>
      <c r="E3569" s="274" t="s">
        <v>229</v>
      </c>
    </row>
    <row r="3570" spans="1:5" ht="27">
      <c r="A3570" s="271">
        <v>89624</v>
      </c>
      <c r="B3570" s="272" t="s">
        <v>2010</v>
      </c>
      <c r="C3570" s="272" t="s">
        <v>109</v>
      </c>
      <c r="D3570" s="273" t="s">
        <v>14132</v>
      </c>
      <c r="E3570" s="274" t="s">
        <v>229</v>
      </c>
    </row>
    <row r="3571" spans="1:5" ht="27">
      <c r="A3571" s="271">
        <v>89625</v>
      </c>
      <c r="B3571" s="272" t="s">
        <v>256</v>
      </c>
      <c r="C3571" s="272" t="s">
        <v>109</v>
      </c>
      <c r="D3571" s="273" t="s">
        <v>11407</v>
      </c>
      <c r="E3571" s="274" t="s">
        <v>229</v>
      </c>
    </row>
    <row r="3572" spans="1:5" ht="27">
      <c r="A3572" s="271">
        <v>89626</v>
      </c>
      <c r="B3572" s="272" t="s">
        <v>2011</v>
      </c>
      <c r="C3572" s="272" t="s">
        <v>109</v>
      </c>
      <c r="D3572" s="273" t="s">
        <v>16578</v>
      </c>
      <c r="E3572" s="274" t="s">
        <v>229</v>
      </c>
    </row>
    <row r="3573" spans="1:5" ht="27">
      <c r="A3573" s="271">
        <v>89627</v>
      </c>
      <c r="B3573" s="272" t="s">
        <v>2012</v>
      </c>
      <c r="C3573" s="272" t="s">
        <v>109</v>
      </c>
      <c r="D3573" s="273" t="s">
        <v>12263</v>
      </c>
      <c r="E3573" s="274" t="s">
        <v>229</v>
      </c>
    </row>
    <row r="3574" spans="1:5" ht="27">
      <c r="A3574" s="271">
        <v>89628</v>
      </c>
      <c r="B3574" s="272" t="s">
        <v>257</v>
      </c>
      <c r="C3574" s="272" t="s">
        <v>109</v>
      </c>
      <c r="D3574" s="273" t="s">
        <v>23083</v>
      </c>
      <c r="E3574" s="274" t="s">
        <v>229</v>
      </c>
    </row>
    <row r="3575" spans="1:5" ht="27">
      <c r="A3575" s="271">
        <v>89629</v>
      </c>
      <c r="B3575" s="272" t="s">
        <v>258</v>
      </c>
      <c r="C3575" s="272" t="s">
        <v>109</v>
      </c>
      <c r="D3575" s="273" t="s">
        <v>23084</v>
      </c>
      <c r="E3575" s="274" t="s">
        <v>229</v>
      </c>
    </row>
    <row r="3576" spans="1:5" ht="27">
      <c r="A3576" s="271">
        <v>89630</v>
      </c>
      <c r="B3576" s="272" t="s">
        <v>2013</v>
      </c>
      <c r="C3576" s="272" t="s">
        <v>109</v>
      </c>
      <c r="D3576" s="273" t="s">
        <v>23085</v>
      </c>
      <c r="E3576" s="274" t="s">
        <v>229</v>
      </c>
    </row>
    <row r="3577" spans="1:5" ht="27">
      <c r="A3577" s="271">
        <v>89631</v>
      </c>
      <c r="B3577" s="272" t="s">
        <v>2014</v>
      </c>
      <c r="C3577" s="272" t="s">
        <v>109</v>
      </c>
      <c r="D3577" s="273" t="s">
        <v>23086</v>
      </c>
      <c r="E3577" s="274" t="s">
        <v>229</v>
      </c>
    </row>
    <row r="3578" spans="1:5" ht="27">
      <c r="A3578" s="271">
        <v>89632</v>
      </c>
      <c r="B3578" s="272" t="s">
        <v>2015</v>
      </c>
      <c r="C3578" s="272" t="s">
        <v>109</v>
      </c>
      <c r="D3578" s="273" t="s">
        <v>15802</v>
      </c>
      <c r="E3578" s="274" t="s">
        <v>229</v>
      </c>
    </row>
    <row r="3579" spans="1:5" ht="27">
      <c r="A3579" s="271">
        <v>89637</v>
      </c>
      <c r="B3579" s="272" t="s">
        <v>2016</v>
      </c>
      <c r="C3579" s="272" t="s">
        <v>109</v>
      </c>
      <c r="D3579" s="273" t="s">
        <v>10111</v>
      </c>
      <c r="E3579" s="274" t="s">
        <v>229</v>
      </c>
    </row>
    <row r="3580" spans="1:5" ht="27">
      <c r="A3580" s="271">
        <v>89638</v>
      </c>
      <c r="B3580" s="272" t="s">
        <v>2017</v>
      </c>
      <c r="C3580" s="272" t="s">
        <v>109</v>
      </c>
      <c r="D3580" s="273" t="s">
        <v>21125</v>
      </c>
      <c r="E3580" s="274" t="s">
        <v>229</v>
      </c>
    </row>
    <row r="3581" spans="1:5" ht="27">
      <c r="A3581" s="271">
        <v>89639</v>
      </c>
      <c r="B3581" s="272" t="s">
        <v>2018</v>
      </c>
      <c r="C3581" s="272" t="s">
        <v>109</v>
      </c>
      <c r="D3581" s="273" t="s">
        <v>10110</v>
      </c>
      <c r="E3581" s="274" t="s">
        <v>229</v>
      </c>
    </row>
    <row r="3582" spans="1:5" ht="27">
      <c r="A3582" s="271">
        <v>89640</v>
      </c>
      <c r="B3582" s="272" t="s">
        <v>4189</v>
      </c>
      <c r="C3582" s="272" t="s">
        <v>109</v>
      </c>
      <c r="D3582" s="273" t="s">
        <v>16062</v>
      </c>
      <c r="E3582" s="274" t="s">
        <v>229</v>
      </c>
    </row>
    <row r="3583" spans="1:5" ht="27">
      <c r="A3583" s="271">
        <v>89641</v>
      </c>
      <c r="B3583" s="272" t="s">
        <v>2019</v>
      </c>
      <c r="C3583" s="272" t="s">
        <v>109</v>
      </c>
      <c r="D3583" s="273" t="s">
        <v>11537</v>
      </c>
      <c r="E3583" s="274" t="s">
        <v>229</v>
      </c>
    </row>
    <row r="3584" spans="1:5" ht="27">
      <c r="A3584" s="271">
        <v>89642</v>
      </c>
      <c r="B3584" s="272" t="s">
        <v>2020</v>
      </c>
      <c r="C3584" s="272" t="s">
        <v>109</v>
      </c>
      <c r="D3584" s="273" t="s">
        <v>14143</v>
      </c>
      <c r="E3584" s="274" t="s">
        <v>229</v>
      </c>
    </row>
    <row r="3585" spans="1:5" ht="27">
      <c r="A3585" s="271">
        <v>89643</v>
      </c>
      <c r="B3585" s="272" t="s">
        <v>2021</v>
      </c>
      <c r="C3585" s="272" t="s">
        <v>109</v>
      </c>
      <c r="D3585" s="273" t="s">
        <v>16704</v>
      </c>
      <c r="E3585" s="274" t="s">
        <v>229</v>
      </c>
    </row>
    <row r="3586" spans="1:5" ht="27">
      <c r="A3586" s="271">
        <v>89644</v>
      </c>
      <c r="B3586" s="272" t="s">
        <v>4190</v>
      </c>
      <c r="C3586" s="272" t="s">
        <v>109</v>
      </c>
      <c r="D3586" s="273" t="s">
        <v>14222</v>
      </c>
      <c r="E3586" s="274" t="s">
        <v>229</v>
      </c>
    </row>
    <row r="3587" spans="1:5" ht="27">
      <c r="A3587" s="271">
        <v>89645</v>
      </c>
      <c r="B3587" s="272" t="s">
        <v>2022</v>
      </c>
      <c r="C3587" s="272" t="s">
        <v>109</v>
      </c>
      <c r="D3587" s="273" t="s">
        <v>19960</v>
      </c>
      <c r="E3587" s="274" t="s">
        <v>229</v>
      </c>
    </row>
    <row r="3588" spans="1:5" ht="27">
      <c r="A3588" s="271">
        <v>89646</v>
      </c>
      <c r="B3588" s="272" t="s">
        <v>2023</v>
      </c>
      <c r="C3588" s="272" t="s">
        <v>109</v>
      </c>
      <c r="D3588" s="273" t="s">
        <v>10976</v>
      </c>
      <c r="E3588" s="274" t="s">
        <v>229</v>
      </c>
    </row>
    <row r="3589" spans="1:5" ht="27">
      <c r="A3589" s="271">
        <v>89647</v>
      </c>
      <c r="B3589" s="272" t="s">
        <v>2024</v>
      </c>
      <c r="C3589" s="272" t="s">
        <v>109</v>
      </c>
      <c r="D3589" s="273" t="s">
        <v>22906</v>
      </c>
      <c r="E3589" s="274" t="s">
        <v>229</v>
      </c>
    </row>
    <row r="3590" spans="1:5" ht="27">
      <c r="A3590" s="271">
        <v>89648</v>
      </c>
      <c r="B3590" s="272" t="s">
        <v>2025</v>
      </c>
      <c r="C3590" s="272" t="s">
        <v>109</v>
      </c>
      <c r="D3590" s="273" t="s">
        <v>9738</v>
      </c>
      <c r="E3590" s="274" t="s">
        <v>229</v>
      </c>
    </row>
    <row r="3591" spans="1:5" ht="27">
      <c r="A3591" s="271">
        <v>89649</v>
      </c>
      <c r="B3591" s="272" t="s">
        <v>2026</v>
      </c>
      <c r="C3591" s="272" t="s">
        <v>109</v>
      </c>
      <c r="D3591" s="273" t="s">
        <v>11531</v>
      </c>
      <c r="E3591" s="274" t="s">
        <v>229</v>
      </c>
    </row>
    <row r="3592" spans="1:5" ht="27">
      <c r="A3592" s="271">
        <v>89650</v>
      </c>
      <c r="B3592" s="272" t="s">
        <v>2027</v>
      </c>
      <c r="C3592" s="272" t="s">
        <v>109</v>
      </c>
      <c r="D3592" s="273" t="s">
        <v>11531</v>
      </c>
      <c r="E3592" s="274" t="s">
        <v>229</v>
      </c>
    </row>
    <row r="3593" spans="1:5" ht="27">
      <c r="A3593" s="271">
        <v>89651</v>
      </c>
      <c r="B3593" s="272" t="s">
        <v>2028</v>
      </c>
      <c r="C3593" s="272" t="s">
        <v>109</v>
      </c>
      <c r="D3593" s="273" t="s">
        <v>10296</v>
      </c>
      <c r="E3593" s="274" t="s">
        <v>229</v>
      </c>
    </row>
    <row r="3594" spans="1:5" ht="27">
      <c r="A3594" s="271">
        <v>89652</v>
      </c>
      <c r="B3594" s="272" t="s">
        <v>2029</v>
      </c>
      <c r="C3594" s="272" t="s">
        <v>109</v>
      </c>
      <c r="D3594" s="273" t="s">
        <v>9913</v>
      </c>
      <c r="E3594" s="274" t="s">
        <v>229</v>
      </c>
    </row>
    <row r="3595" spans="1:5" ht="27">
      <c r="A3595" s="271">
        <v>89653</v>
      </c>
      <c r="B3595" s="272" t="s">
        <v>2030</v>
      </c>
      <c r="C3595" s="272" t="s">
        <v>109</v>
      </c>
      <c r="D3595" s="273" t="s">
        <v>9723</v>
      </c>
      <c r="E3595" s="274" t="s">
        <v>229</v>
      </c>
    </row>
    <row r="3596" spans="1:5" ht="27">
      <c r="A3596" s="271">
        <v>89654</v>
      </c>
      <c r="B3596" s="272" t="s">
        <v>2031</v>
      </c>
      <c r="C3596" s="272" t="s">
        <v>109</v>
      </c>
      <c r="D3596" s="273" t="s">
        <v>10624</v>
      </c>
      <c r="E3596" s="274" t="s">
        <v>229</v>
      </c>
    </row>
    <row r="3597" spans="1:5" ht="27">
      <c r="A3597" s="271">
        <v>89655</v>
      </c>
      <c r="B3597" s="272" t="s">
        <v>2032</v>
      </c>
      <c r="C3597" s="272" t="s">
        <v>109</v>
      </c>
      <c r="D3597" s="273" t="s">
        <v>10974</v>
      </c>
      <c r="E3597" s="274" t="s">
        <v>229</v>
      </c>
    </row>
    <row r="3598" spans="1:5" ht="27">
      <c r="A3598" s="271">
        <v>89656</v>
      </c>
      <c r="B3598" s="272" t="s">
        <v>2033</v>
      </c>
      <c r="C3598" s="272" t="s">
        <v>109</v>
      </c>
      <c r="D3598" s="273" t="s">
        <v>20666</v>
      </c>
      <c r="E3598" s="274" t="s">
        <v>229</v>
      </c>
    </row>
    <row r="3599" spans="1:5" ht="27">
      <c r="A3599" s="271">
        <v>89657</v>
      </c>
      <c r="B3599" s="272" t="s">
        <v>2034</v>
      </c>
      <c r="C3599" s="272" t="s">
        <v>109</v>
      </c>
      <c r="D3599" s="273" t="s">
        <v>23045</v>
      </c>
      <c r="E3599" s="274" t="s">
        <v>229</v>
      </c>
    </row>
    <row r="3600" spans="1:5" ht="27">
      <c r="A3600" s="271">
        <v>89658</v>
      </c>
      <c r="B3600" s="272" t="s">
        <v>2035</v>
      </c>
      <c r="C3600" s="272" t="s">
        <v>109</v>
      </c>
      <c r="D3600" s="273" t="s">
        <v>10193</v>
      </c>
      <c r="E3600" s="274" t="s">
        <v>229</v>
      </c>
    </row>
    <row r="3601" spans="1:5" ht="27">
      <c r="A3601" s="271">
        <v>89659</v>
      </c>
      <c r="B3601" s="272" t="s">
        <v>2036</v>
      </c>
      <c r="C3601" s="272" t="s">
        <v>109</v>
      </c>
      <c r="D3601" s="273" t="s">
        <v>16203</v>
      </c>
      <c r="E3601" s="274" t="s">
        <v>229</v>
      </c>
    </row>
    <row r="3602" spans="1:5" ht="27">
      <c r="A3602" s="271">
        <v>89660</v>
      </c>
      <c r="B3602" s="272" t="s">
        <v>2037</v>
      </c>
      <c r="C3602" s="272" t="s">
        <v>109</v>
      </c>
      <c r="D3602" s="273" t="s">
        <v>10233</v>
      </c>
      <c r="E3602" s="274" t="s">
        <v>229</v>
      </c>
    </row>
    <row r="3603" spans="1:5" ht="27">
      <c r="A3603" s="271">
        <v>89661</v>
      </c>
      <c r="B3603" s="272" t="s">
        <v>2038</v>
      </c>
      <c r="C3603" s="272" t="s">
        <v>109</v>
      </c>
      <c r="D3603" s="273" t="s">
        <v>23087</v>
      </c>
      <c r="E3603" s="274" t="s">
        <v>229</v>
      </c>
    </row>
    <row r="3604" spans="1:5" ht="27">
      <c r="A3604" s="271">
        <v>89662</v>
      </c>
      <c r="B3604" s="272" t="s">
        <v>2039</v>
      </c>
      <c r="C3604" s="272" t="s">
        <v>109</v>
      </c>
      <c r="D3604" s="273" t="s">
        <v>21309</v>
      </c>
      <c r="E3604" s="274" t="s">
        <v>229</v>
      </c>
    </row>
    <row r="3605" spans="1:5" ht="27">
      <c r="A3605" s="271">
        <v>89663</v>
      </c>
      <c r="B3605" s="272" t="s">
        <v>2040</v>
      </c>
      <c r="C3605" s="272" t="s">
        <v>109</v>
      </c>
      <c r="D3605" s="273" t="s">
        <v>10553</v>
      </c>
      <c r="E3605" s="274" t="s">
        <v>229</v>
      </c>
    </row>
    <row r="3606" spans="1:5" ht="27">
      <c r="A3606" s="271">
        <v>89664</v>
      </c>
      <c r="B3606" s="272" t="s">
        <v>2041</v>
      </c>
      <c r="C3606" s="272" t="s">
        <v>109</v>
      </c>
      <c r="D3606" s="273" t="s">
        <v>16203</v>
      </c>
      <c r="E3606" s="274" t="s">
        <v>229</v>
      </c>
    </row>
    <row r="3607" spans="1:5" ht="27">
      <c r="A3607" s="271">
        <v>89665</v>
      </c>
      <c r="B3607" s="272" t="s">
        <v>2042</v>
      </c>
      <c r="C3607" s="272" t="s">
        <v>109</v>
      </c>
      <c r="D3607" s="273" t="s">
        <v>19912</v>
      </c>
      <c r="E3607" s="274" t="s">
        <v>229</v>
      </c>
    </row>
    <row r="3608" spans="1:5" ht="27">
      <c r="A3608" s="271">
        <v>89666</v>
      </c>
      <c r="B3608" s="272" t="s">
        <v>2043</v>
      </c>
      <c r="C3608" s="272" t="s">
        <v>109</v>
      </c>
      <c r="D3608" s="273" t="s">
        <v>10307</v>
      </c>
      <c r="E3608" s="274" t="s">
        <v>229</v>
      </c>
    </row>
    <row r="3609" spans="1:5" ht="27">
      <c r="A3609" s="271">
        <v>89667</v>
      </c>
      <c r="B3609" s="272" t="s">
        <v>2044</v>
      </c>
      <c r="C3609" s="272" t="s">
        <v>109</v>
      </c>
      <c r="D3609" s="273" t="s">
        <v>23088</v>
      </c>
      <c r="E3609" s="274" t="s">
        <v>229</v>
      </c>
    </row>
    <row r="3610" spans="1:5" ht="27">
      <c r="A3610" s="271">
        <v>89668</v>
      </c>
      <c r="B3610" s="272" t="s">
        <v>2045</v>
      </c>
      <c r="C3610" s="272" t="s">
        <v>109</v>
      </c>
      <c r="D3610" s="273" t="s">
        <v>23089</v>
      </c>
      <c r="E3610" s="274" t="s">
        <v>229</v>
      </c>
    </row>
    <row r="3611" spans="1:5" ht="27">
      <c r="A3611" s="271">
        <v>89669</v>
      </c>
      <c r="B3611" s="272" t="s">
        <v>2046</v>
      </c>
      <c r="C3611" s="272" t="s">
        <v>109</v>
      </c>
      <c r="D3611" s="273" t="s">
        <v>11392</v>
      </c>
      <c r="E3611" s="274" t="s">
        <v>229</v>
      </c>
    </row>
    <row r="3612" spans="1:5" ht="27">
      <c r="A3612" s="271">
        <v>89670</v>
      </c>
      <c r="B3612" s="272" t="s">
        <v>2047</v>
      </c>
      <c r="C3612" s="272" t="s">
        <v>109</v>
      </c>
      <c r="D3612" s="273" t="s">
        <v>22391</v>
      </c>
      <c r="E3612" s="274" t="s">
        <v>229</v>
      </c>
    </row>
    <row r="3613" spans="1:5" ht="27">
      <c r="A3613" s="271">
        <v>89671</v>
      </c>
      <c r="B3613" s="272" t="s">
        <v>2048</v>
      </c>
      <c r="C3613" s="272" t="s">
        <v>109</v>
      </c>
      <c r="D3613" s="273" t="s">
        <v>12356</v>
      </c>
      <c r="E3613" s="274" t="s">
        <v>229</v>
      </c>
    </row>
    <row r="3614" spans="1:5" ht="27">
      <c r="A3614" s="271">
        <v>89672</v>
      </c>
      <c r="B3614" s="272" t="s">
        <v>2049</v>
      </c>
      <c r="C3614" s="272" t="s">
        <v>109</v>
      </c>
      <c r="D3614" s="273" t="s">
        <v>16071</v>
      </c>
      <c r="E3614" s="274" t="s">
        <v>229</v>
      </c>
    </row>
    <row r="3615" spans="1:5" ht="27">
      <c r="A3615" s="271">
        <v>89673</v>
      </c>
      <c r="B3615" s="272" t="s">
        <v>2050</v>
      </c>
      <c r="C3615" s="272" t="s">
        <v>109</v>
      </c>
      <c r="D3615" s="273" t="s">
        <v>21088</v>
      </c>
      <c r="E3615" s="274" t="s">
        <v>229</v>
      </c>
    </row>
    <row r="3616" spans="1:5" ht="27">
      <c r="A3616" s="271">
        <v>89674</v>
      </c>
      <c r="B3616" s="272" t="s">
        <v>2051</v>
      </c>
      <c r="C3616" s="272" t="s">
        <v>109</v>
      </c>
      <c r="D3616" s="273" t="s">
        <v>14258</v>
      </c>
      <c r="E3616" s="274" t="s">
        <v>229</v>
      </c>
    </row>
    <row r="3617" spans="1:5" ht="27">
      <c r="A3617" s="271">
        <v>89675</v>
      </c>
      <c r="B3617" s="272" t="s">
        <v>2052</v>
      </c>
      <c r="C3617" s="272" t="s">
        <v>109</v>
      </c>
      <c r="D3617" s="273" t="s">
        <v>23090</v>
      </c>
      <c r="E3617" s="274" t="s">
        <v>229</v>
      </c>
    </row>
    <row r="3618" spans="1:5" ht="27">
      <c r="A3618" s="271">
        <v>89676</v>
      </c>
      <c r="B3618" s="272" t="s">
        <v>2053</v>
      </c>
      <c r="C3618" s="272" t="s">
        <v>109</v>
      </c>
      <c r="D3618" s="273" t="s">
        <v>16506</v>
      </c>
      <c r="E3618" s="274" t="s">
        <v>229</v>
      </c>
    </row>
    <row r="3619" spans="1:5" ht="27">
      <c r="A3619" s="271">
        <v>89677</v>
      </c>
      <c r="B3619" s="272" t="s">
        <v>2054</v>
      </c>
      <c r="C3619" s="272" t="s">
        <v>109</v>
      </c>
      <c r="D3619" s="273" t="s">
        <v>23091</v>
      </c>
      <c r="E3619" s="274" t="s">
        <v>229</v>
      </c>
    </row>
    <row r="3620" spans="1:5" ht="27">
      <c r="A3620" s="271">
        <v>89678</v>
      </c>
      <c r="B3620" s="272" t="s">
        <v>2055</v>
      </c>
      <c r="C3620" s="272" t="s">
        <v>109</v>
      </c>
      <c r="D3620" s="273" t="s">
        <v>10514</v>
      </c>
      <c r="E3620" s="274" t="s">
        <v>229</v>
      </c>
    </row>
    <row r="3621" spans="1:5" ht="27">
      <c r="A3621" s="271">
        <v>89679</v>
      </c>
      <c r="B3621" s="272" t="s">
        <v>2056</v>
      </c>
      <c r="C3621" s="272" t="s">
        <v>109</v>
      </c>
      <c r="D3621" s="273" t="s">
        <v>23092</v>
      </c>
      <c r="E3621" s="274" t="s">
        <v>229</v>
      </c>
    </row>
    <row r="3622" spans="1:5" ht="27">
      <c r="A3622" s="271">
        <v>89680</v>
      </c>
      <c r="B3622" s="272" t="s">
        <v>2057</v>
      </c>
      <c r="C3622" s="272" t="s">
        <v>109</v>
      </c>
      <c r="D3622" s="273" t="s">
        <v>19699</v>
      </c>
      <c r="E3622" s="274" t="s">
        <v>229</v>
      </c>
    </row>
    <row r="3623" spans="1:5" ht="27">
      <c r="A3623" s="271">
        <v>89681</v>
      </c>
      <c r="B3623" s="272" t="s">
        <v>2058</v>
      </c>
      <c r="C3623" s="272" t="s">
        <v>109</v>
      </c>
      <c r="D3623" s="273" t="s">
        <v>12463</v>
      </c>
      <c r="E3623" s="274" t="s">
        <v>229</v>
      </c>
    </row>
    <row r="3624" spans="1:5" ht="27">
      <c r="A3624" s="271">
        <v>89682</v>
      </c>
      <c r="B3624" s="272" t="s">
        <v>2059</v>
      </c>
      <c r="C3624" s="272" t="s">
        <v>109</v>
      </c>
      <c r="D3624" s="273" t="s">
        <v>16126</v>
      </c>
      <c r="E3624" s="274" t="s">
        <v>229</v>
      </c>
    </row>
    <row r="3625" spans="1:5" ht="27">
      <c r="A3625" s="271">
        <v>89683</v>
      </c>
      <c r="B3625" s="272" t="s">
        <v>23093</v>
      </c>
      <c r="C3625" s="272" t="s">
        <v>109</v>
      </c>
      <c r="D3625" s="273" t="s">
        <v>23094</v>
      </c>
      <c r="E3625" s="274" t="s">
        <v>229</v>
      </c>
    </row>
    <row r="3626" spans="1:5" ht="27">
      <c r="A3626" s="271">
        <v>89684</v>
      </c>
      <c r="B3626" s="272" t="s">
        <v>2060</v>
      </c>
      <c r="C3626" s="272" t="s">
        <v>109</v>
      </c>
      <c r="D3626" s="273" t="s">
        <v>10608</v>
      </c>
      <c r="E3626" s="274" t="s">
        <v>229</v>
      </c>
    </row>
    <row r="3627" spans="1:5" ht="27">
      <c r="A3627" s="271">
        <v>89685</v>
      </c>
      <c r="B3627" s="272" t="s">
        <v>2061</v>
      </c>
      <c r="C3627" s="272" t="s">
        <v>109</v>
      </c>
      <c r="D3627" s="273" t="s">
        <v>23095</v>
      </c>
      <c r="E3627" s="274" t="s">
        <v>229</v>
      </c>
    </row>
    <row r="3628" spans="1:5" ht="27">
      <c r="A3628" s="271">
        <v>89686</v>
      </c>
      <c r="B3628" s="272" t="s">
        <v>2062</v>
      </c>
      <c r="C3628" s="272" t="s">
        <v>109</v>
      </c>
      <c r="D3628" s="273" t="s">
        <v>23096</v>
      </c>
      <c r="E3628" s="274" t="s">
        <v>229</v>
      </c>
    </row>
    <row r="3629" spans="1:5" ht="27">
      <c r="A3629" s="271">
        <v>89687</v>
      </c>
      <c r="B3629" s="272" t="s">
        <v>2063</v>
      </c>
      <c r="C3629" s="272" t="s">
        <v>109</v>
      </c>
      <c r="D3629" s="273" t="s">
        <v>10670</v>
      </c>
      <c r="E3629" s="274" t="s">
        <v>229</v>
      </c>
    </row>
    <row r="3630" spans="1:5" ht="27">
      <c r="A3630" s="271">
        <v>89689</v>
      </c>
      <c r="B3630" s="272" t="s">
        <v>2064</v>
      </c>
      <c r="C3630" s="272" t="s">
        <v>109</v>
      </c>
      <c r="D3630" s="273" t="s">
        <v>10181</v>
      </c>
      <c r="E3630" s="274" t="s">
        <v>229</v>
      </c>
    </row>
    <row r="3631" spans="1:5" ht="27">
      <c r="A3631" s="271">
        <v>89690</v>
      </c>
      <c r="B3631" s="272" t="s">
        <v>2065</v>
      </c>
      <c r="C3631" s="272" t="s">
        <v>109</v>
      </c>
      <c r="D3631" s="273" t="s">
        <v>23097</v>
      </c>
      <c r="E3631" s="274" t="s">
        <v>229</v>
      </c>
    </row>
    <row r="3632" spans="1:5" ht="27">
      <c r="A3632" s="271">
        <v>89691</v>
      </c>
      <c r="B3632" s="272" t="s">
        <v>2066</v>
      </c>
      <c r="C3632" s="272" t="s">
        <v>109</v>
      </c>
      <c r="D3632" s="273" t="s">
        <v>9782</v>
      </c>
      <c r="E3632" s="274" t="s">
        <v>229</v>
      </c>
    </row>
    <row r="3633" spans="1:5" ht="27">
      <c r="A3633" s="271">
        <v>89692</v>
      </c>
      <c r="B3633" s="272" t="s">
        <v>2067</v>
      </c>
      <c r="C3633" s="272" t="s">
        <v>109</v>
      </c>
      <c r="D3633" s="273" t="s">
        <v>23098</v>
      </c>
      <c r="E3633" s="274" t="s">
        <v>229</v>
      </c>
    </row>
    <row r="3634" spans="1:5" ht="27">
      <c r="A3634" s="271">
        <v>89693</v>
      </c>
      <c r="B3634" s="272" t="s">
        <v>2068</v>
      </c>
      <c r="C3634" s="272" t="s">
        <v>109</v>
      </c>
      <c r="D3634" s="273" t="s">
        <v>23099</v>
      </c>
      <c r="E3634" s="274" t="s">
        <v>229</v>
      </c>
    </row>
    <row r="3635" spans="1:5" ht="27">
      <c r="A3635" s="271">
        <v>89694</v>
      </c>
      <c r="B3635" s="272" t="s">
        <v>2069</v>
      </c>
      <c r="C3635" s="272" t="s">
        <v>109</v>
      </c>
      <c r="D3635" s="273" t="s">
        <v>23100</v>
      </c>
      <c r="E3635" s="274" t="s">
        <v>229</v>
      </c>
    </row>
    <row r="3636" spans="1:5" ht="27">
      <c r="A3636" s="271">
        <v>89695</v>
      </c>
      <c r="B3636" s="272" t="s">
        <v>2070</v>
      </c>
      <c r="C3636" s="272" t="s">
        <v>109</v>
      </c>
      <c r="D3636" s="273" t="s">
        <v>10494</v>
      </c>
      <c r="E3636" s="274" t="s">
        <v>229</v>
      </c>
    </row>
    <row r="3637" spans="1:5" ht="27">
      <c r="A3637" s="271">
        <v>89696</v>
      </c>
      <c r="B3637" s="272" t="s">
        <v>2071</v>
      </c>
      <c r="C3637" s="272" t="s">
        <v>109</v>
      </c>
      <c r="D3637" s="273" t="s">
        <v>15985</v>
      </c>
      <c r="E3637" s="274" t="s">
        <v>229</v>
      </c>
    </row>
    <row r="3638" spans="1:5" ht="27">
      <c r="A3638" s="271">
        <v>89697</v>
      </c>
      <c r="B3638" s="272" t="s">
        <v>2072</v>
      </c>
      <c r="C3638" s="272" t="s">
        <v>109</v>
      </c>
      <c r="D3638" s="273" t="s">
        <v>10319</v>
      </c>
      <c r="E3638" s="274" t="s">
        <v>229</v>
      </c>
    </row>
    <row r="3639" spans="1:5" ht="27">
      <c r="A3639" s="271">
        <v>89698</v>
      </c>
      <c r="B3639" s="272" t="s">
        <v>2073</v>
      </c>
      <c r="C3639" s="272" t="s">
        <v>109</v>
      </c>
      <c r="D3639" s="273" t="s">
        <v>23101</v>
      </c>
      <c r="E3639" s="274" t="s">
        <v>229</v>
      </c>
    </row>
    <row r="3640" spans="1:5" ht="27">
      <c r="A3640" s="271">
        <v>89699</v>
      </c>
      <c r="B3640" s="272" t="s">
        <v>2074</v>
      </c>
      <c r="C3640" s="272" t="s">
        <v>109</v>
      </c>
      <c r="D3640" s="273" t="s">
        <v>23102</v>
      </c>
      <c r="E3640" s="274" t="s">
        <v>229</v>
      </c>
    </row>
    <row r="3641" spans="1:5" ht="27">
      <c r="A3641" s="271">
        <v>89700</v>
      </c>
      <c r="B3641" s="272" t="s">
        <v>2075</v>
      </c>
      <c r="C3641" s="272" t="s">
        <v>109</v>
      </c>
      <c r="D3641" s="273" t="s">
        <v>23103</v>
      </c>
      <c r="E3641" s="274" t="s">
        <v>229</v>
      </c>
    </row>
    <row r="3642" spans="1:5" ht="27">
      <c r="A3642" s="271">
        <v>89701</v>
      </c>
      <c r="B3642" s="272" t="s">
        <v>2076</v>
      </c>
      <c r="C3642" s="272" t="s">
        <v>109</v>
      </c>
      <c r="D3642" s="273" t="s">
        <v>23104</v>
      </c>
      <c r="E3642" s="274" t="s">
        <v>229</v>
      </c>
    </row>
    <row r="3643" spans="1:5" ht="27">
      <c r="A3643" s="271">
        <v>89702</v>
      </c>
      <c r="B3643" s="272" t="s">
        <v>2077</v>
      </c>
      <c r="C3643" s="272" t="s">
        <v>109</v>
      </c>
      <c r="D3643" s="273" t="s">
        <v>23103</v>
      </c>
      <c r="E3643" s="274" t="s">
        <v>229</v>
      </c>
    </row>
    <row r="3644" spans="1:5" ht="27">
      <c r="A3644" s="271">
        <v>89703</v>
      </c>
      <c r="B3644" s="272" t="s">
        <v>2078</v>
      </c>
      <c r="C3644" s="272" t="s">
        <v>109</v>
      </c>
      <c r="D3644" s="273" t="s">
        <v>14220</v>
      </c>
      <c r="E3644" s="274" t="s">
        <v>229</v>
      </c>
    </row>
    <row r="3645" spans="1:5" ht="27">
      <c r="A3645" s="271">
        <v>89704</v>
      </c>
      <c r="B3645" s="272" t="s">
        <v>2079</v>
      </c>
      <c r="C3645" s="272" t="s">
        <v>109</v>
      </c>
      <c r="D3645" s="273" t="s">
        <v>16582</v>
      </c>
      <c r="E3645" s="274" t="s">
        <v>229</v>
      </c>
    </row>
    <row r="3646" spans="1:5" ht="27">
      <c r="A3646" s="271">
        <v>89705</v>
      </c>
      <c r="B3646" s="272" t="s">
        <v>2080</v>
      </c>
      <c r="C3646" s="272" t="s">
        <v>109</v>
      </c>
      <c r="D3646" s="273" t="s">
        <v>14178</v>
      </c>
      <c r="E3646" s="274" t="s">
        <v>229</v>
      </c>
    </row>
    <row r="3647" spans="1:5" ht="27">
      <c r="A3647" s="271">
        <v>89706</v>
      </c>
      <c r="B3647" s="272" t="s">
        <v>2081</v>
      </c>
      <c r="C3647" s="272" t="s">
        <v>109</v>
      </c>
      <c r="D3647" s="273" t="s">
        <v>23105</v>
      </c>
      <c r="E3647" s="274" t="s">
        <v>229</v>
      </c>
    </row>
    <row r="3648" spans="1:5" ht="27">
      <c r="A3648" s="271">
        <v>89718</v>
      </c>
      <c r="B3648" s="272" t="s">
        <v>2082</v>
      </c>
      <c r="C3648" s="272" t="s">
        <v>5</v>
      </c>
      <c r="D3648" s="273" t="s">
        <v>16158</v>
      </c>
      <c r="E3648" s="274" t="s">
        <v>229</v>
      </c>
    </row>
    <row r="3649" spans="1:5" ht="27">
      <c r="A3649" s="271">
        <v>89719</v>
      </c>
      <c r="B3649" s="272" t="s">
        <v>2083</v>
      </c>
      <c r="C3649" s="272" t="s">
        <v>109</v>
      </c>
      <c r="D3649" s="273" t="s">
        <v>16691</v>
      </c>
      <c r="E3649" s="274" t="s">
        <v>229</v>
      </c>
    </row>
    <row r="3650" spans="1:5" ht="27">
      <c r="A3650" s="271">
        <v>89720</v>
      </c>
      <c r="B3650" s="272" t="s">
        <v>2084</v>
      </c>
      <c r="C3650" s="272" t="s">
        <v>109</v>
      </c>
      <c r="D3650" s="273" t="s">
        <v>16073</v>
      </c>
      <c r="E3650" s="274" t="s">
        <v>229</v>
      </c>
    </row>
    <row r="3651" spans="1:5" ht="27">
      <c r="A3651" s="271">
        <v>89721</v>
      </c>
      <c r="B3651" s="272" t="s">
        <v>2085</v>
      </c>
      <c r="C3651" s="272" t="s">
        <v>109</v>
      </c>
      <c r="D3651" s="273" t="s">
        <v>16279</v>
      </c>
      <c r="E3651" s="274" t="s">
        <v>229</v>
      </c>
    </row>
    <row r="3652" spans="1:5" ht="27">
      <c r="A3652" s="271">
        <v>89722</v>
      </c>
      <c r="B3652" s="272" t="s">
        <v>4191</v>
      </c>
      <c r="C3652" s="272" t="s">
        <v>109</v>
      </c>
      <c r="D3652" s="273" t="s">
        <v>12190</v>
      </c>
      <c r="E3652" s="274" t="s">
        <v>229</v>
      </c>
    </row>
    <row r="3653" spans="1:5" ht="27">
      <c r="A3653" s="271">
        <v>89723</v>
      </c>
      <c r="B3653" s="272" t="s">
        <v>2086</v>
      </c>
      <c r="C3653" s="272" t="s">
        <v>109</v>
      </c>
      <c r="D3653" s="273" t="s">
        <v>10311</v>
      </c>
      <c r="E3653" s="274" t="s">
        <v>229</v>
      </c>
    </row>
    <row r="3654" spans="1:5" ht="27">
      <c r="A3654" s="271">
        <v>89724</v>
      </c>
      <c r="B3654" s="272" t="s">
        <v>2087</v>
      </c>
      <c r="C3654" s="272" t="s">
        <v>109</v>
      </c>
      <c r="D3654" s="273" t="s">
        <v>18771</v>
      </c>
      <c r="E3654" s="274" t="s">
        <v>229</v>
      </c>
    </row>
    <row r="3655" spans="1:5" ht="27">
      <c r="A3655" s="271">
        <v>89725</v>
      </c>
      <c r="B3655" s="272" t="s">
        <v>2088</v>
      </c>
      <c r="C3655" s="272" t="s">
        <v>109</v>
      </c>
      <c r="D3655" s="273" t="s">
        <v>10086</v>
      </c>
      <c r="E3655" s="274" t="s">
        <v>229</v>
      </c>
    </row>
    <row r="3656" spans="1:5" ht="27">
      <c r="A3656" s="271">
        <v>89726</v>
      </c>
      <c r="B3656" s="272" t="s">
        <v>2089</v>
      </c>
      <c r="C3656" s="272" t="s">
        <v>109</v>
      </c>
      <c r="D3656" s="273" t="s">
        <v>10291</v>
      </c>
      <c r="E3656" s="274" t="s">
        <v>229</v>
      </c>
    </row>
    <row r="3657" spans="1:5" ht="27">
      <c r="A3657" s="271">
        <v>89727</v>
      </c>
      <c r="B3657" s="272" t="s">
        <v>2090</v>
      </c>
      <c r="C3657" s="272" t="s">
        <v>109</v>
      </c>
      <c r="D3657" s="273" t="s">
        <v>23106</v>
      </c>
      <c r="E3657" s="274" t="s">
        <v>229</v>
      </c>
    </row>
    <row r="3658" spans="1:5" ht="27">
      <c r="A3658" s="271">
        <v>89728</v>
      </c>
      <c r="B3658" s="272" t="s">
        <v>2091</v>
      </c>
      <c r="C3658" s="272" t="s">
        <v>109</v>
      </c>
      <c r="D3658" s="273" t="s">
        <v>9898</v>
      </c>
      <c r="E3658" s="274" t="s">
        <v>229</v>
      </c>
    </row>
    <row r="3659" spans="1:5" ht="27">
      <c r="A3659" s="271">
        <v>89729</v>
      </c>
      <c r="B3659" s="272" t="s">
        <v>2092</v>
      </c>
      <c r="C3659" s="272" t="s">
        <v>109</v>
      </c>
      <c r="D3659" s="273" t="s">
        <v>14281</v>
      </c>
      <c r="E3659" s="274" t="s">
        <v>229</v>
      </c>
    </row>
    <row r="3660" spans="1:5" ht="27">
      <c r="A3660" s="271">
        <v>89730</v>
      </c>
      <c r="B3660" s="272" t="s">
        <v>2093</v>
      </c>
      <c r="C3660" s="272" t="s">
        <v>109</v>
      </c>
      <c r="D3660" s="273" t="s">
        <v>10633</v>
      </c>
      <c r="E3660" s="274" t="s">
        <v>229</v>
      </c>
    </row>
    <row r="3661" spans="1:5" ht="27">
      <c r="A3661" s="271">
        <v>89731</v>
      </c>
      <c r="B3661" s="272" t="s">
        <v>2094</v>
      </c>
      <c r="C3661" s="272" t="s">
        <v>109</v>
      </c>
      <c r="D3661" s="273" t="s">
        <v>10541</v>
      </c>
      <c r="E3661" s="274" t="s">
        <v>229</v>
      </c>
    </row>
    <row r="3662" spans="1:5" ht="27">
      <c r="A3662" s="271">
        <v>89732</v>
      </c>
      <c r="B3662" s="272" t="s">
        <v>2095</v>
      </c>
      <c r="C3662" s="272" t="s">
        <v>109</v>
      </c>
      <c r="D3662" s="273" t="s">
        <v>10548</v>
      </c>
      <c r="E3662" s="274" t="s">
        <v>229</v>
      </c>
    </row>
    <row r="3663" spans="1:5" ht="27">
      <c r="A3663" s="271">
        <v>89733</v>
      </c>
      <c r="B3663" s="272" t="s">
        <v>2096</v>
      </c>
      <c r="C3663" s="272" t="s">
        <v>109</v>
      </c>
      <c r="D3663" s="273" t="s">
        <v>9952</v>
      </c>
      <c r="E3663" s="274" t="s">
        <v>229</v>
      </c>
    </row>
    <row r="3664" spans="1:5" ht="27">
      <c r="A3664" s="271">
        <v>89734</v>
      </c>
      <c r="B3664" s="272" t="s">
        <v>2097</v>
      </c>
      <c r="C3664" s="272" t="s">
        <v>109</v>
      </c>
      <c r="D3664" s="273" t="s">
        <v>14281</v>
      </c>
      <c r="E3664" s="274" t="s">
        <v>229</v>
      </c>
    </row>
    <row r="3665" spans="1:5" ht="27">
      <c r="A3665" s="271">
        <v>89735</v>
      </c>
      <c r="B3665" s="272" t="s">
        <v>2098</v>
      </c>
      <c r="C3665" s="272" t="s">
        <v>109</v>
      </c>
      <c r="D3665" s="273" t="s">
        <v>12246</v>
      </c>
      <c r="E3665" s="274" t="s">
        <v>229</v>
      </c>
    </row>
    <row r="3666" spans="1:5" ht="27">
      <c r="A3666" s="271">
        <v>89736</v>
      </c>
      <c r="B3666" s="272" t="s">
        <v>2099</v>
      </c>
      <c r="C3666" s="272" t="s">
        <v>109</v>
      </c>
      <c r="D3666" s="273" t="s">
        <v>10198</v>
      </c>
      <c r="E3666" s="274" t="s">
        <v>229</v>
      </c>
    </row>
    <row r="3667" spans="1:5" ht="27">
      <c r="A3667" s="271">
        <v>89737</v>
      </c>
      <c r="B3667" s="272" t="s">
        <v>2100</v>
      </c>
      <c r="C3667" s="272" t="s">
        <v>109</v>
      </c>
      <c r="D3667" s="273" t="s">
        <v>10977</v>
      </c>
      <c r="E3667" s="274" t="s">
        <v>229</v>
      </c>
    </row>
    <row r="3668" spans="1:5" ht="27">
      <c r="A3668" s="271">
        <v>89738</v>
      </c>
      <c r="B3668" s="272" t="s">
        <v>2101</v>
      </c>
      <c r="C3668" s="272" t="s">
        <v>109</v>
      </c>
      <c r="D3668" s="273" t="s">
        <v>15948</v>
      </c>
      <c r="E3668" s="274" t="s">
        <v>229</v>
      </c>
    </row>
    <row r="3669" spans="1:5" ht="27">
      <c r="A3669" s="271">
        <v>89739</v>
      </c>
      <c r="B3669" s="272" t="s">
        <v>2102</v>
      </c>
      <c r="C3669" s="272" t="s">
        <v>109</v>
      </c>
      <c r="D3669" s="273" t="s">
        <v>11041</v>
      </c>
      <c r="E3669" s="274" t="s">
        <v>229</v>
      </c>
    </row>
    <row r="3670" spans="1:5" ht="27">
      <c r="A3670" s="271">
        <v>89740</v>
      </c>
      <c r="B3670" s="272" t="s">
        <v>2103</v>
      </c>
      <c r="C3670" s="272" t="s">
        <v>109</v>
      </c>
      <c r="D3670" s="273" t="s">
        <v>11235</v>
      </c>
      <c r="E3670" s="274" t="s">
        <v>229</v>
      </c>
    </row>
    <row r="3671" spans="1:5" ht="27">
      <c r="A3671" s="271">
        <v>89741</v>
      </c>
      <c r="B3671" s="272" t="s">
        <v>2104</v>
      </c>
      <c r="C3671" s="272" t="s">
        <v>109</v>
      </c>
      <c r="D3671" s="273" t="s">
        <v>11461</v>
      </c>
      <c r="E3671" s="274" t="s">
        <v>229</v>
      </c>
    </row>
    <row r="3672" spans="1:5" ht="27">
      <c r="A3672" s="271">
        <v>89742</v>
      </c>
      <c r="B3672" s="272" t="s">
        <v>2105</v>
      </c>
      <c r="C3672" s="272" t="s">
        <v>109</v>
      </c>
      <c r="D3672" s="273" t="s">
        <v>21518</v>
      </c>
      <c r="E3672" s="274" t="s">
        <v>229</v>
      </c>
    </row>
    <row r="3673" spans="1:5" ht="27">
      <c r="A3673" s="271">
        <v>89743</v>
      </c>
      <c r="B3673" s="272" t="s">
        <v>2106</v>
      </c>
      <c r="C3673" s="272" t="s">
        <v>109</v>
      </c>
      <c r="D3673" s="273" t="s">
        <v>23107</v>
      </c>
      <c r="E3673" s="274" t="s">
        <v>229</v>
      </c>
    </row>
    <row r="3674" spans="1:5" ht="27">
      <c r="A3674" s="271">
        <v>89744</v>
      </c>
      <c r="B3674" s="272" t="s">
        <v>2107</v>
      </c>
      <c r="C3674" s="272" t="s">
        <v>109</v>
      </c>
      <c r="D3674" s="273" t="s">
        <v>12451</v>
      </c>
      <c r="E3674" s="274" t="s">
        <v>229</v>
      </c>
    </row>
    <row r="3675" spans="1:5" ht="27">
      <c r="A3675" s="271">
        <v>89745</v>
      </c>
      <c r="B3675" s="272" t="s">
        <v>2108</v>
      </c>
      <c r="C3675" s="272" t="s">
        <v>109</v>
      </c>
      <c r="D3675" s="273" t="s">
        <v>19147</v>
      </c>
      <c r="E3675" s="274" t="s">
        <v>229</v>
      </c>
    </row>
    <row r="3676" spans="1:5" ht="27">
      <c r="A3676" s="271">
        <v>89746</v>
      </c>
      <c r="B3676" s="272" t="s">
        <v>2109</v>
      </c>
      <c r="C3676" s="272" t="s">
        <v>109</v>
      </c>
      <c r="D3676" s="273" t="s">
        <v>21421</v>
      </c>
      <c r="E3676" s="274" t="s">
        <v>229</v>
      </c>
    </row>
    <row r="3677" spans="1:5" ht="27">
      <c r="A3677" s="271">
        <v>89747</v>
      </c>
      <c r="B3677" s="272" t="s">
        <v>2110</v>
      </c>
      <c r="C3677" s="272" t="s">
        <v>109</v>
      </c>
      <c r="D3677" s="273" t="s">
        <v>11352</v>
      </c>
      <c r="E3677" s="274" t="s">
        <v>229</v>
      </c>
    </row>
    <row r="3678" spans="1:5" ht="27">
      <c r="A3678" s="271">
        <v>89748</v>
      </c>
      <c r="B3678" s="272" t="s">
        <v>2111</v>
      </c>
      <c r="C3678" s="272" t="s">
        <v>109</v>
      </c>
      <c r="D3678" s="273" t="s">
        <v>23108</v>
      </c>
      <c r="E3678" s="274" t="s">
        <v>229</v>
      </c>
    </row>
    <row r="3679" spans="1:5" ht="27">
      <c r="A3679" s="271">
        <v>89749</v>
      </c>
      <c r="B3679" s="272" t="s">
        <v>2112</v>
      </c>
      <c r="C3679" s="272" t="s">
        <v>109</v>
      </c>
      <c r="D3679" s="273" t="s">
        <v>15948</v>
      </c>
      <c r="E3679" s="274" t="s">
        <v>229</v>
      </c>
    </row>
    <row r="3680" spans="1:5" ht="27">
      <c r="A3680" s="271">
        <v>89750</v>
      </c>
      <c r="B3680" s="272" t="s">
        <v>2113</v>
      </c>
      <c r="C3680" s="272" t="s">
        <v>109</v>
      </c>
      <c r="D3680" s="273" t="s">
        <v>22663</v>
      </c>
      <c r="E3680" s="274" t="s">
        <v>229</v>
      </c>
    </row>
    <row r="3681" spans="1:5" ht="27">
      <c r="A3681" s="271">
        <v>89751</v>
      </c>
      <c r="B3681" s="272" t="s">
        <v>2114</v>
      </c>
      <c r="C3681" s="272" t="s">
        <v>109</v>
      </c>
      <c r="D3681" s="273" t="s">
        <v>10480</v>
      </c>
      <c r="E3681" s="274" t="s">
        <v>229</v>
      </c>
    </row>
    <row r="3682" spans="1:5" ht="27">
      <c r="A3682" s="271">
        <v>89752</v>
      </c>
      <c r="B3682" s="272" t="s">
        <v>2115</v>
      </c>
      <c r="C3682" s="272" t="s">
        <v>109</v>
      </c>
      <c r="D3682" s="273" t="s">
        <v>11322</v>
      </c>
      <c r="E3682" s="274" t="s">
        <v>229</v>
      </c>
    </row>
    <row r="3683" spans="1:5" ht="27">
      <c r="A3683" s="271">
        <v>89753</v>
      </c>
      <c r="B3683" s="272" t="s">
        <v>2116</v>
      </c>
      <c r="C3683" s="272" t="s">
        <v>109</v>
      </c>
      <c r="D3683" s="273" t="s">
        <v>10531</v>
      </c>
      <c r="E3683" s="274" t="s">
        <v>229</v>
      </c>
    </row>
    <row r="3684" spans="1:5" ht="27">
      <c r="A3684" s="271">
        <v>89754</v>
      </c>
      <c r="B3684" s="272" t="s">
        <v>2117</v>
      </c>
      <c r="C3684" s="272" t="s">
        <v>109</v>
      </c>
      <c r="D3684" s="273" t="s">
        <v>16482</v>
      </c>
      <c r="E3684" s="274" t="s">
        <v>229</v>
      </c>
    </row>
    <row r="3685" spans="1:5" ht="27">
      <c r="A3685" s="271">
        <v>89755</v>
      </c>
      <c r="B3685" s="272" t="s">
        <v>2118</v>
      </c>
      <c r="C3685" s="272" t="s">
        <v>109</v>
      </c>
      <c r="D3685" s="273" t="s">
        <v>11399</v>
      </c>
      <c r="E3685" s="274" t="s">
        <v>229</v>
      </c>
    </row>
    <row r="3686" spans="1:5" ht="27">
      <c r="A3686" s="271">
        <v>89756</v>
      </c>
      <c r="B3686" s="272" t="s">
        <v>2119</v>
      </c>
      <c r="C3686" s="272" t="s">
        <v>109</v>
      </c>
      <c r="D3686" s="273" t="s">
        <v>9815</v>
      </c>
      <c r="E3686" s="274" t="s">
        <v>229</v>
      </c>
    </row>
    <row r="3687" spans="1:5" ht="27">
      <c r="A3687" s="271">
        <v>89757</v>
      </c>
      <c r="B3687" s="272" t="s">
        <v>2120</v>
      </c>
      <c r="C3687" s="272" t="s">
        <v>109</v>
      </c>
      <c r="D3687" s="273" t="s">
        <v>10488</v>
      </c>
      <c r="E3687" s="274" t="s">
        <v>229</v>
      </c>
    </row>
    <row r="3688" spans="1:5" ht="27">
      <c r="A3688" s="271">
        <v>89758</v>
      </c>
      <c r="B3688" s="272" t="s">
        <v>2121</v>
      </c>
      <c r="C3688" s="272" t="s">
        <v>109</v>
      </c>
      <c r="D3688" s="273" t="s">
        <v>19099</v>
      </c>
      <c r="E3688" s="274" t="s">
        <v>229</v>
      </c>
    </row>
    <row r="3689" spans="1:5" ht="27">
      <c r="A3689" s="271">
        <v>89759</v>
      </c>
      <c r="B3689" s="272" t="s">
        <v>2122</v>
      </c>
      <c r="C3689" s="272" t="s">
        <v>109</v>
      </c>
      <c r="D3689" s="273" t="s">
        <v>10113</v>
      </c>
      <c r="E3689" s="274" t="s">
        <v>229</v>
      </c>
    </row>
    <row r="3690" spans="1:5" ht="27">
      <c r="A3690" s="271">
        <v>89760</v>
      </c>
      <c r="B3690" s="272" t="s">
        <v>2123</v>
      </c>
      <c r="C3690" s="272" t="s">
        <v>109</v>
      </c>
      <c r="D3690" s="273" t="s">
        <v>10439</v>
      </c>
      <c r="E3690" s="274" t="s">
        <v>229</v>
      </c>
    </row>
    <row r="3691" spans="1:5" ht="27">
      <c r="A3691" s="271">
        <v>89761</v>
      </c>
      <c r="B3691" s="272" t="s">
        <v>2124</v>
      </c>
      <c r="C3691" s="272" t="s">
        <v>109</v>
      </c>
      <c r="D3691" s="273" t="s">
        <v>21281</v>
      </c>
      <c r="E3691" s="274" t="s">
        <v>229</v>
      </c>
    </row>
    <row r="3692" spans="1:5" ht="27">
      <c r="A3692" s="271">
        <v>89762</v>
      </c>
      <c r="B3692" s="272" t="s">
        <v>2125</v>
      </c>
      <c r="C3692" s="272" t="s">
        <v>109</v>
      </c>
      <c r="D3692" s="273" t="s">
        <v>12201</v>
      </c>
      <c r="E3692" s="274" t="s">
        <v>229</v>
      </c>
    </row>
    <row r="3693" spans="1:5" ht="27">
      <c r="A3693" s="271">
        <v>89763</v>
      </c>
      <c r="B3693" s="272" t="s">
        <v>2126</v>
      </c>
      <c r="C3693" s="272" t="s">
        <v>109</v>
      </c>
      <c r="D3693" s="273" t="s">
        <v>19645</v>
      </c>
      <c r="E3693" s="274" t="s">
        <v>229</v>
      </c>
    </row>
    <row r="3694" spans="1:5" ht="27">
      <c r="A3694" s="271">
        <v>89764</v>
      </c>
      <c r="B3694" s="272" t="s">
        <v>2127</v>
      </c>
      <c r="C3694" s="272" t="s">
        <v>109</v>
      </c>
      <c r="D3694" s="273" t="s">
        <v>9993</v>
      </c>
      <c r="E3694" s="274" t="s">
        <v>229</v>
      </c>
    </row>
    <row r="3695" spans="1:5" ht="27">
      <c r="A3695" s="271">
        <v>89765</v>
      </c>
      <c r="B3695" s="272" t="s">
        <v>2128</v>
      </c>
      <c r="C3695" s="272" t="s">
        <v>109</v>
      </c>
      <c r="D3695" s="273" t="s">
        <v>10904</v>
      </c>
      <c r="E3695" s="274" t="s">
        <v>229</v>
      </c>
    </row>
    <row r="3696" spans="1:5" ht="27">
      <c r="A3696" s="271">
        <v>89766</v>
      </c>
      <c r="B3696" s="272" t="s">
        <v>2129</v>
      </c>
      <c r="C3696" s="272" t="s">
        <v>109</v>
      </c>
      <c r="D3696" s="273" t="s">
        <v>11115</v>
      </c>
      <c r="E3696" s="274" t="s">
        <v>229</v>
      </c>
    </row>
    <row r="3697" spans="1:5" ht="27">
      <c r="A3697" s="271">
        <v>89767</v>
      </c>
      <c r="B3697" s="272" t="s">
        <v>2130</v>
      </c>
      <c r="C3697" s="272" t="s">
        <v>109</v>
      </c>
      <c r="D3697" s="273" t="s">
        <v>11115</v>
      </c>
      <c r="E3697" s="274" t="s">
        <v>229</v>
      </c>
    </row>
    <row r="3698" spans="1:5" ht="27">
      <c r="A3698" s="271">
        <v>89768</v>
      </c>
      <c r="B3698" s="272" t="s">
        <v>2131</v>
      </c>
      <c r="C3698" s="272" t="s">
        <v>109</v>
      </c>
      <c r="D3698" s="273" t="s">
        <v>12264</v>
      </c>
      <c r="E3698" s="274" t="s">
        <v>229</v>
      </c>
    </row>
    <row r="3699" spans="1:5" ht="27">
      <c r="A3699" s="271">
        <v>89769</v>
      </c>
      <c r="B3699" s="272" t="s">
        <v>2132</v>
      </c>
      <c r="C3699" s="272" t="s">
        <v>109</v>
      </c>
      <c r="D3699" s="273" t="s">
        <v>11017</v>
      </c>
      <c r="E3699" s="274" t="s">
        <v>229</v>
      </c>
    </row>
    <row r="3700" spans="1:5" ht="27">
      <c r="A3700" s="271">
        <v>89772</v>
      </c>
      <c r="B3700" s="272" t="s">
        <v>2133</v>
      </c>
      <c r="C3700" s="272" t="s">
        <v>5</v>
      </c>
      <c r="D3700" s="273" t="s">
        <v>21535</v>
      </c>
      <c r="E3700" s="274" t="s">
        <v>229</v>
      </c>
    </row>
    <row r="3701" spans="1:5" ht="27">
      <c r="A3701" s="271">
        <v>89774</v>
      </c>
      <c r="B3701" s="272" t="s">
        <v>2134</v>
      </c>
      <c r="C3701" s="272" t="s">
        <v>109</v>
      </c>
      <c r="D3701" s="273" t="s">
        <v>10646</v>
      </c>
      <c r="E3701" s="274" t="s">
        <v>229</v>
      </c>
    </row>
    <row r="3702" spans="1:5" ht="27">
      <c r="A3702" s="271">
        <v>89776</v>
      </c>
      <c r="B3702" s="272" t="s">
        <v>2135</v>
      </c>
      <c r="C3702" s="272" t="s">
        <v>109</v>
      </c>
      <c r="D3702" s="273" t="s">
        <v>10339</v>
      </c>
      <c r="E3702" s="274" t="s">
        <v>229</v>
      </c>
    </row>
    <row r="3703" spans="1:5" ht="27">
      <c r="A3703" s="271">
        <v>89777</v>
      </c>
      <c r="B3703" s="272" t="s">
        <v>2136</v>
      </c>
      <c r="C3703" s="272" t="s">
        <v>109</v>
      </c>
      <c r="D3703" s="273" t="s">
        <v>10629</v>
      </c>
      <c r="E3703" s="274" t="s">
        <v>229</v>
      </c>
    </row>
    <row r="3704" spans="1:5" ht="27">
      <c r="A3704" s="271">
        <v>89778</v>
      </c>
      <c r="B3704" s="272" t="s">
        <v>2137</v>
      </c>
      <c r="C3704" s="272" t="s">
        <v>109</v>
      </c>
      <c r="D3704" s="273" t="s">
        <v>16580</v>
      </c>
      <c r="E3704" s="274" t="s">
        <v>229</v>
      </c>
    </row>
    <row r="3705" spans="1:5" ht="27">
      <c r="A3705" s="271">
        <v>89779</v>
      </c>
      <c r="B3705" s="272" t="s">
        <v>2138</v>
      </c>
      <c r="C3705" s="272" t="s">
        <v>109</v>
      </c>
      <c r="D3705" s="273" t="s">
        <v>15973</v>
      </c>
      <c r="E3705" s="274" t="s">
        <v>229</v>
      </c>
    </row>
    <row r="3706" spans="1:5" ht="27">
      <c r="A3706" s="271">
        <v>89780</v>
      </c>
      <c r="B3706" s="272" t="s">
        <v>2139</v>
      </c>
      <c r="C3706" s="272" t="s">
        <v>109</v>
      </c>
      <c r="D3706" s="273" t="s">
        <v>10629</v>
      </c>
      <c r="E3706" s="274" t="s">
        <v>229</v>
      </c>
    </row>
    <row r="3707" spans="1:5" ht="27">
      <c r="A3707" s="271">
        <v>89781</v>
      </c>
      <c r="B3707" s="272" t="s">
        <v>2140</v>
      </c>
      <c r="C3707" s="272" t="s">
        <v>109</v>
      </c>
      <c r="D3707" s="273" t="s">
        <v>15792</v>
      </c>
      <c r="E3707" s="274" t="s">
        <v>229</v>
      </c>
    </row>
    <row r="3708" spans="1:5" ht="27">
      <c r="A3708" s="271">
        <v>89782</v>
      </c>
      <c r="B3708" s="272" t="s">
        <v>2141</v>
      </c>
      <c r="C3708" s="272" t="s">
        <v>109</v>
      </c>
      <c r="D3708" s="273" t="s">
        <v>11211</v>
      </c>
      <c r="E3708" s="274" t="s">
        <v>229</v>
      </c>
    </row>
    <row r="3709" spans="1:5" ht="27">
      <c r="A3709" s="271">
        <v>89783</v>
      </c>
      <c r="B3709" s="272" t="s">
        <v>2142</v>
      </c>
      <c r="C3709" s="272" t="s">
        <v>109</v>
      </c>
      <c r="D3709" s="273" t="s">
        <v>10972</v>
      </c>
      <c r="E3709" s="274" t="s">
        <v>229</v>
      </c>
    </row>
    <row r="3710" spans="1:5" ht="27">
      <c r="A3710" s="271">
        <v>89784</v>
      </c>
      <c r="B3710" s="272" t="s">
        <v>2143</v>
      </c>
      <c r="C3710" s="272" t="s">
        <v>109</v>
      </c>
      <c r="D3710" s="273" t="s">
        <v>10985</v>
      </c>
      <c r="E3710" s="274" t="s">
        <v>229</v>
      </c>
    </row>
    <row r="3711" spans="1:5" ht="27">
      <c r="A3711" s="271">
        <v>89785</v>
      </c>
      <c r="B3711" s="272" t="s">
        <v>2144</v>
      </c>
      <c r="C3711" s="272" t="s">
        <v>109</v>
      </c>
      <c r="D3711" s="273" t="s">
        <v>12126</v>
      </c>
      <c r="E3711" s="274" t="s">
        <v>229</v>
      </c>
    </row>
    <row r="3712" spans="1:5" ht="27">
      <c r="A3712" s="271">
        <v>89786</v>
      </c>
      <c r="B3712" s="272" t="s">
        <v>2145</v>
      </c>
      <c r="C3712" s="272" t="s">
        <v>109</v>
      </c>
      <c r="D3712" s="273" t="s">
        <v>16455</v>
      </c>
      <c r="E3712" s="274" t="s">
        <v>229</v>
      </c>
    </row>
    <row r="3713" spans="1:5" ht="27">
      <c r="A3713" s="271">
        <v>89787</v>
      </c>
      <c r="B3713" s="272" t="s">
        <v>2146</v>
      </c>
      <c r="C3713" s="272" t="s">
        <v>109</v>
      </c>
      <c r="D3713" s="273" t="s">
        <v>15792</v>
      </c>
      <c r="E3713" s="274" t="s">
        <v>229</v>
      </c>
    </row>
    <row r="3714" spans="1:5" ht="27">
      <c r="A3714" s="271">
        <v>89788</v>
      </c>
      <c r="B3714" s="272" t="s">
        <v>2147</v>
      </c>
      <c r="C3714" s="272" t="s">
        <v>109</v>
      </c>
      <c r="D3714" s="273" t="s">
        <v>23109</v>
      </c>
      <c r="E3714" s="274" t="s">
        <v>229</v>
      </c>
    </row>
    <row r="3715" spans="1:5" ht="27">
      <c r="A3715" s="271">
        <v>89789</v>
      </c>
      <c r="B3715" s="272" t="s">
        <v>2148</v>
      </c>
      <c r="C3715" s="272" t="s">
        <v>109</v>
      </c>
      <c r="D3715" s="273" t="s">
        <v>19014</v>
      </c>
      <c r="E3715" s="274" t="s">
        <v>229</v>
      </c>
    </row>
    <row r="3716" spans="1:5" ht="27">
      <c r="A3716" s="271">
        <v>89790</v>
      </c>
      <c r="B3716" s="272" t="s">
        <v>2149</v>
      </c>
      <c r="C3716" s="272" t="s">
        <v>109</v>
      </c>
      <c r="D3716" s="273" t="s">
        <v>23110</v>
      </c>
      <c r="E3716" s="274" t="s">
        <v>229</v>
      </c>
    </row>
    <row r="3717" spans="1:5" ht="27">
      <c r="A3717" s="271">
        <v>89791</v>
      </c>
      <c r="B3717" s="272" t="s">
        <v>2150</v>
      </c>
      <c r="C3717" s="272" t="s">
        <v>109</v>
      </c>
      <c r="D3717" s="273" t="s">
        <v>23111</v>
      </c>
      <c r="E3717" s="274" t="s">
        <v>229</v>
      </c>
    </row>
    <row r="3718" spans="1:5" ht="27">
      <c r="A3718" s="271">
        <v>89792</v>
      </c>
      <c r="B3718" s="272" t="s">
        <v>2151</v>
      </c>
      <c r="C3718" s="272" t="s">
        <v>109</v>
      </c>
      <c r="D3718" s="273" t="s">
        <v>23112</v>
      </c>
      <c r="E3718" s="274" t="s">
        <v>229</v>
      </c>
    </row>
    <row r="3719" spans="1:5" ht="27">
      <c r="A3719" s="271">
        <v>89793</v>
      </c>
      <c r="B3719" s="272" t="s">
        <v>2152</v>
      </c>
      <c r="C3719" s="272" t="s">
        <v>109</v>
      </c>
      <c r="D3719" s="273" t="s">
        <v>23113</v>
      </c>
      <c r="E3719" s="274" t="s">
        <v>229</v>
      </c>
    </row>
    <row r="3720" spans="1:5" ht="27">
      <c r="A3720" s="271">
        <v>89794</v>
      </c>
      <c r="B3720" s="272" t="s">
        <v>2153</v>
      </c>
      <c r="C3720" s="272" t="s">
        <v>109</v>
      </c>
      <c r="D3720" s="273" t="s">
        <v>11354</v>
      </c>
      <c r="E3720" s="274" t="s">
        <v>229</v>
      </c>
    </row>
    <row r="3721" spans="1:5" ht="27">
      <c r="A3721" s="271">
        <v>89795</v>
      </c>
      <c r="B3721" s="272" t="s">
        <v>2154</v>
      </c>
      <c r="C3721" s="272" t="s">
        <v>109</v>
      </c>
      <c r="D3721" s="273" t="s">
        <v>15858</v>
      </c>
      <c r="E3721" s="274" t="s">
        <v>229</v>
      </c>
    </row>
    <row r="3722" spans="1:5" ht="27">
      <c r="A3722" s="271">
        <v>89796</v>
      </c>
      <c r="B3722" s="272" t="s">
        <v>2155</v>
      </c>
      <c r="C3722" s="272" t="s">
        <v>109</v>
      </c>
      <c r="D3722" s="273" t="s">
        <v>22684</v>
      </c>
      <c r="E3722" s="274" t="s">
        <v>229</v>
      </c>
    </row>
    <row r="3723" spans="1:5" ht="27">
      <c r="A3723" s="271">
        <v>89797</v>
      </c>
      <c r="B3723" s="272" t="s">
        <v>2156</v>
      </c>
      <c r="C3723" s="272" t="s">
        <v>109</v>
      </c>
      <c r="D3723" s="273" t="s">
        <v>23114</v>
      </c>
      <c r="E3723" s="274" t="s">
        <v>229</v>
      </c>
    </row>
    <row r="3724" spans="1:5" ht="27">
      <c r="A3724" s="271">
        <v>89801</v>
      </c>
      <c r="B3724" s="272" t="s">
        <v>2157</v>
      </c>
      <c r="C3724" s="272" t="s">
        <v>109</v>
      </c>
      <c r="D3724" s="273" t="s">
        <v>9803</v>
      </c>
      <c r="E3724" s="274" t="s">
        <v>229</v>
      </c>
    </row>
    <row r="3725" spans="1:5" ht="27">
      <c r="A3725" s="271">
        <v>89802</v>
      </c>
      <c r="B3725" s="272" t="s">
        <v>2158</v>
      </c>
      <c r="C3725" s="272" t="s">
        <v>109</v>
      </c>
      <c r="D3725" s="273" t="s">
        <v>16644</v>
      </c>
      <c r="E3725" s="274" t="s">
        <v>229</v>
      </c>
    </row>
    <row r="3726" spans="1:5" ht="27">
      <c r="A3726" s="271">
        <v>89803</v>
      </c>
      <c r="B3726" s="272" t="s">
        <v>2159</v>
      </c>
      <c r="C3726" s="272" t="s">
        <v>109</v>
      </c>
      <c r="D3726" s="273" t="s">
        <v>10203</v>
      </c>
      <c r="E3726" s="274" t="s">
        <v>229</v>
      </c>
    </row>
    <row r="3727" spans="1:5" ht="27">
      <c r="A3727" s="271">
        <v>89804</v>
      </c>
      <c r="B3727" s="272" t="s">
        <v>2160</v>
      </c>
      <c r="C3727" s="272" t="s">
        <v>109</v>
      </c>
      <c r="D3727" s="273" t="s">
        <v>9961</v>
      </c>
      <c r="E3727" s="274" t="s">
        <v>229</v>
      </c>
    </row>
    <row r="3728" spans="1:5" ht="27">
      <c r="A3728" s="271">
        <v>89805</v>
      </c>
      <c r="B3728" s="272" t="s">
        <v>2161</v>
      </c>
      <c r="C3728" s="272" t="s">
        <v>109</v>
      </c>
      <c r="D3728" s="273" t="s">
        <v>10538</v>
      </c>
      <c r="E3728" s="274" t="s">
        <v>229</v>
      </c>
    </row>
    <row r="3729" spans="1:5" ht="27">
      <c r="A3729" s="271">
        <v>89806</v>
      </c>
      <c r="B3729" s="272" t="s">
        <v>2162</v>
      </c>
      <c r="C3729" s="272" t="s">
        <v>109</v>
      </c>
      <c r="D3729" s="273" t="s">
        <v>15941</v>
      </c>
      <c r="E3729" s="274" t="s">
        <v>229</v>
      </c>
    </row>
    <row r="3730" spans="1:5" ht="27">
      <c r="A3730" s="271">
        <v>89807</v>
      </c>
      <c r="B3730" s="272" t="s">
        <v>2163</v>
      </c>
      <c r="C3730" s="272" t="s">
        <v>109</v>
      </c>
      <c r="D3730" s="273" t="s">
        <v>16492</v>
      </c>
      <c r="E3730" s="274" t="s">
        <v>229</v>
      </c>
    </row>
    <row r="3731" spans="1:5" ht="27">
      <c r="A3731" s="271">
        <v>89808</v>
      </c>
      <c r="B3731" s="272" t="s">
        <v>2164</v>
      </c>
      <c r="C3731" s="272" t="s">
        <v>109</v>
      </c>
      <c r="D3731" s="273" t="s">
        <v>23115</v>
      </c>
      <c r="E3731" s="274" t="s">
        <v>229</v>
      </c>
    </row>
    <row r="3732" spans="1:5" ht="27">
      <c r="A3732" s="271">
        <v>89809</v>
      </c>
      <c r="B3732" s="272" t="s">
        <v>2165</v>
      </c>
      <c r="C3732" s="272" t="s">
        <v>109</v>
      </c>
      <c r="D3732" s="273" t="s">
        <v>11506</v>
      </c>
      <c r="E3732" s="274" t="s">
        <v>229</v>
      </c>
    </row>
    <row r="3733" spans="1:5" ht="27">
      <c r="A3733" s="271">
        <v>89810</v>
      </c>
      <c r="B3733" s="272" t="s">
        <v>2166</v>
      </c>
      <c r="C3733" s="272" t="s">
        <v>109</v>
      </c>
      <c r="D3733" s="273" t="s">
        <v>10299</v>
      </c>
      <c r="E3733" s="274" t="s">
        <v>229</v>
      </c>
    </row>
    <row r="3734" spans="1:5" ht="27">
      <c r="A3734" s="271">
        <v>89811</v>
      </c>
      <c r="B3734" s="272" t="s">
        <v>2167</v>
      </c>
      <c r="C3734" s="272" t="s">
        <v>109</v>
      </c>
      <c r="D3734" s="273" t="s">
        <v>16456</v>
      </c>
      <c r="E3734" s="274" t="s">
        <v>229</v>
      </c>
    </row>
    <row r="3735" spans="1:5" ht="27">
      <c r="A3735" s="271">
        <v>89812</v>
      </c>
      <c r="B3735" s="272" t="s">
        <v>2168</v>
      </c>
      <c r="C3735" s="272" t="s">
        <v>109</v>
      </c>
      <c r="D3735" s="273" t="s">
        <v>23116</v>
      </c>
      <c r="E3735" s="274" t="s">
        <v>229</v>
      </c>
    </row>
    <row r="3736" spans="1:5" ht="27">
      <c r="A3736" s="271">
        <v>89813</v>
      </c>
      <c r="B3736" s="272" t="s">
        <v>2169</v>
      </c>
      <c r="C3736" s="272" t="s">
        <v>109</v>
      </c>
      <c r="D3736" s="273" t="s">
        <v>16334</v>
      </c>
      <c r="E3736" s="274" t="s">
        <v>229</v>
      </c>
    </row>
    <row r="3737" spans="1:5" ht="27">
      <c r="A3737" s="271">
        <v>89814</v>
      </c>
      <c r="B3737" s="272" t="s">
        <v>2170</v>
      </c>
      <c r="C3737" s="272" t="s">
        <v>109</v>
      </c>
      <c r="D3737" s="273" t="s">
        <v>16081</v>
      </c>
      <c r="E3737" s="274" t="s">
        <v>229</v>
      </c>
    </row>
    <row r="3738" spans="1:5" ht="27">
      <c r="A3738" s="271">
        <v>89815</v>
      </c>
      <c r="B3738" s="272" t="s">
        <v>2171</v>
      </c>
      <c r="C3738" s="272" t="s">
        <v>109</v>
      </c>
      <c r="D3738" s="273" t="s">
        <v>19012</v>
      </c>
      <c r="E3738" s="274" t="s">
        <v>229</v>
      </c>
    </row>
    <row r="3739" spans="1:5" ht="27">
      <c r="A3739" s="271">
        <v>89816</v>
      </c>
      <c r="B3739" s="272" t="s">
        <v>2172</v>
      </c>
      <c r="C3739" s="272" t="s">
        <v>109</v>
      </c>
      <c r="D3739" s="273" t="s">
        <v>14129</v>
      </c>
      <c r="E3739" s="274" t="s">
        <v>229</v>
      </c>
    </row>
    <row r="3740" spans="1:5" ht="27">
      <c r="A3740" s="271">
        <v>89817</v>
      </c>
      <c r="B3740" s="272" t="s">
        <v>2173</v>
      </c>
      <c r="C3740" s="272" t="s">
        <v>109</v>
      </c>
      <c r="D3740" s="273" t="s">
        <v>14183</v>
      </c>
      <c r="E3740" s="274" t="s">
        <v>229</v>
      </c>
    </row>
    <row r="3741" spans="1:5" ht="27">
      <c r="A3741" s="271">
        <v>89818</v>
      </c>
      <c r="B3741" s="272" t="s">
        <v>2174</v>
      </c>
      <c r="C3741" s="272" t="s">
        <v>109</v>
      </c>
      <c r="D3741" s="273" t="s">
        <v>15867</v>
      </c>
      <c r="E3741" s="274" t="s">
        <v>229</v>
      </c>
    </row>
    <row r="3742" spans="1:5" ht="27">
      <c r="A3742" s="271">
        <v>89819</v>
      </c>
      <c r="B3742" s="272" t="s">
        <v>2175</v>
      </c>
      <c r="C3742" s="272" t="s">
        <v>109</v>
      </c>
      <c r="D3742" s="273" t="s">
        <v>18776</v>
      </c>
      <c r="E3742" s="274" t="s">
        <v>229</v>
      </c>
    </row>
    <row r="3743" spans="1:5" ht="27">
      <c r="A3743" s="271">
        <v>89820</v>
      </c>
      <c r="B3743" s="272" t="s">
        <v>2176</v>
      </c>
      <c r="C3743" s="272" t="s">
        <v>109</v>
      </c>
      <c r="D3743" s="273" t="s">
        <v>11337</v>
      </c>
      <c r="E3743" s="274" t="s">
        <v>229</v>
      </c>
    </row>
    <row r="3744" spans="1:5" ht="27">
      <c r="A3744" s="271">
        <v>89821</v>
      </c>
      <c r="B3744" s="272" t="s">
        <v>2177</v>
      </c>
      <c r="C3744" s="272" t="s">
        <v>109</v>
      </c>
      <c r="D3744" s="273" t="s">
        <v>10544</v>
      </c>
      <c r="E3744" s="274" t="s">
        <v>229</v>
      </c>
    </row>
    <row r="3745" spans="1:5" ht="27">
      <c r="A3745" s="271">
        <v>89822</v>
      </c>
      <c r="B3745" s="272" t="s">
        <v>2178</v>
      </c>
      <c r="C3745" s="272" t="s">
        <v>109</v>
      </c>
      <c r="D3745" s="273" t="s">
        <v>22386</v>
      </c>
      <c r="E3745" s="274" t="s">
        <v>229</v>
      </c>
    </row>
    <row r="3746" spans="1:5" ht="27">
      <c r="A3746" s="271">
        <v>89823</v>
      </c>
      <c r="B3746" s="272" t="s">
        <v>2179</v>
      </c>
      <c r="C3746" s="272" t="s">
        <v>109</v>
      </c>
      <c r="D3746" s="273" t="s">
        <v>12350</v>
      </c>
      <c r="E3746" s="274" t="s">
        <v>229</v>
      </c>
    </row>
    <row r="3747" spans="1:5" ht="27">
      <c r="A3747" s="271">
        <v>89824</v>
      </c>
      <c r="B3747" s="272" t="s">
        <v>2180</v>
      </c>
      <c r="C3747" s="272" t="s">
        <v>109</v>
      </c>
      <c r="D3747" s="273" t="s">
        <v>16350</v>
      </c>
      <c r="E3747" s="274" t="s">
        <v>229</v>
      </c>
    </row>
    <row r="3748" spans="1:5" ht="27">
      <c r="A3748" s="271">
        <v>89825</v>
      </c>
      <c r="B3748" s="272" t="s">
        <v>2181</v>
      </c>
      <c r="C3748" s="272" t="s">
        <v>109</v>
      </c>
      <c r="D3748" s="273" t="s">
        <v>9795</v>
      </c>
      <c r="E3748" s="274" t="s">
        <v>229</v>
      </c>
    </row>
    <row r="3749" spans="1:5" ht="27">
      <c r="A3749" s="271">
        <v>89826</v>
      </c>
      <c r="B3749" s="272" t="s">
        <v>2182</v>
      </c>
      <c r="C3749" s="272" t="s">
        <v>109</v>
      </c>
      <c r="D3749" s="273" t="s">
        <v>16094</v>
      </c>
      <c r="E3749" s="274" t="s">
        <v>229</v>
      </c>
    </row>
    <row r="3750" spans="1:5" ht="27">
      <c r="A3750" s="271">
        <v>89827</v>
      </c>
      <c r="B3750" s="272" t="s">
        <v>2183</v>
      </c>
      <c r="C3750" s="272" t="s">
        <v>109</v>
      </c>
      <c r="D3750" s="273" t="s">
        <v>10533</v>
      </c>
      <c r="E3750" s="274" t="s">
        <v>229</v>
      </c>
    </row>
    <row r="3751" spans="1:5" ht="27">
      <c r="A3751" s="271">
        <v>89828</v>
      </c>
      <c r="B3751" s="272" t="s">
        <v>2184</v>
      </c>
      <c r="C3751" s="272" t="s">
        <v>109</v>
      </c>
      <c r="D3751" s="273" t="s">
        <v>23117</v>
      </c>
      <c r="E3751" s="274" t="s">
        <v>229</v>
      </c>
    </row>
    <row r="3752" spans="1:5" ht="27">
      <c r="A3752" s="271">
        <v>89829</v>
      </c>
      <c r="B3752" s="272" t="s">
        <v>2185</v>
      </c>
      <c r="C3752" s="272" t="s">
        <v>109</v>
      </c>
      <c r="D3752" s="273" t="s">
        <v>23118</v>
      </c>
      <c r="E3752" s="274" t="s">
        <v>229</v>
      </c>
    </row>
    <row r="3753" spans="1:5" ht="27">
      <c r="A3753" s="271">
        <v>89830</v>
      </c>
      <c r="B3753" s="272" t="s">
        <v>2186</v>
      </c>
      <c r="C3753" s="272" t="s">
        <v>109</v>
      </c>
      <c r="D3753" s="273" t="s">
        <v>14089</v>
      </c>
      <c r="E3753" s="274" t="s">
        <v>229</v>
      </c>
    </row>
    <row r="3754" spans="1:5" ht="27">
      <c r="A3754" s="271">
        <v>89831</v>
      </c>
      <c r="B3754" s="272" t="s">
        <v>2187</v>
      </c>
      <c r="C3754" s="272" t="s">
        <v>109</v>
      </c>
      <c r="D3754" s="273" t="s">
        <v>12199</v>
      </c>
      <c r="E3754" s="274" t="s">
        <v>229</v>
      </c>
    </row>
    <row r="3755" spans="1:5" ht="27">
      <c r="A3755" s="271">
        <v>89832</v>
      </c>
      <c r="B3755" s="272" t="s">
        <v>2188</v>
      </c>
      <c r="C3755" s="272" t="s">
        <v>109</v>
      </c>
      <c r="D3755" s="273" t="s">
        <v>10269</v>
      </c>
      <c r="E3755" s="274" t="s">
        <v>229</v>
      </c>
    </row>
    <row r="3756" spans="1:5" ht="27">
      <c r="A3756" s="271">
        <v>89833</v>
      </c>
      <c r="B3756" s="272" t="s">
        <v>2189</v>
      </c>
      <c r="C3756" s="272" t="s">
        <v>109</v>
      </c>
      <c r="D3756" s="273" t="s">
        <v>23119</v>
      </c>
      <c r="E3756" s="274" t="s">
        <v>229</v>
      </c>
    </row>
    <row r="3757" spans="1:5" ht="27">
      <c r="A3757" s="271">
        <v>89834</v>
      </c>
      <c r="B3757" s="272" t="s">
        <v>2190</v>
      </c>
      <c r="C3757" s="272" t="s">
        <v>109</v>
      </c>
      <c r="D3757" s="273" t="s">
        <v>11049</v>
      </c>
      <c r="E3757" s="274" t="s">
        <v>229</v>
      </c>
    </row>
    <row r="3758" spans="1:5" ht="27">
      <c r="A3758" s="271">
        <v>89835</v>
      </c>
      <c r="B3758" s="272" t="s">
        <v>2191</v>
      </c>
      <c r="C3758" s="272" t="s">
        <v>109</v>
      </c>
      <c r="D3758" s="273" t="s">
        <v>19284</v>
      </c>
      <c r="E3758" s="274" t="s">
        <v>229</v>
      </c>
    </row>
    <row r="3759" spans="1:5" ht="27">
      <c r="A3759" s="271">
        <v>89836</v>
      </c>
      <c r="B3759" s="272" t="s">
        <v>2192</v>
      </c>
      <c r="C3759" s="272" t="s">
        <v>109</v>
      </c>
      <c r="D3759" s="273" t="s">
        <v>23120</v>
      </c>
      <c r="E3759" s="274" t="s">
        <v>229</v>
      </c>
    </row>
    <row r="3760" spans="1:5" ht="27">
      <c r="A3760" s="271">
        <v>89837</v>
      </c>
      <c r="B3760" s="272" t="s">
        <v>2193</v>
      </c>
      <c r="C3760" s="272" t="s">
        <v>109</v>
      </c>
      <c r="D3760" s="273" t="s">
        <v>23121</v>
      </c>
      <c r="E3760" s="274" t="s">
        <v>229</v>
      </c>
    </row>
    <row r="3761" spans="1:5" ht="27">
      <c r="A3761" s="271">
        <v>89838</v>
      </c>
      <c r="B3761" s="272" t="s">
        <v>2194</v>
      </c>
      <c r="C3761" s="272" t="s">
        <v>109</v>
      </c>
      <c r="D3761" s="273" t="s">
        <v>19816</v>
      </c>
      <c r="E3761" s="274" t="s">
        <v>229</v>
      </c>
    </row>
    <row r="3762" spans="1:5" ht="27">
      <c r="A3762" s="271">
        <v>89839</v>
      </c>
      <c r="B3762" s="272" t="s">
        <v>2195</v>
      </c>
      <c r="C3762" s="272" t="s">
        <v>109</v>
      </c>
      <c r="D3762" s="273" t="s">
        <v>23122</v>
      </c>
      <c r="E3762" s="274" t="s">
        <v>229</v>
      </c>
    </row>
    <row r="3763" spans="1:5" ht="27">
      <c r="A3763" s="271">
        <v>89840</v>
      </c>
      <c r="B3763" s="272" t="s">
        <v>2196</v>
      </c>
      <c r="C3763" s="272" t="s">
        <v>109</v>
      </c>
      <c r="D3763" s="273" t="s">
        <v>23123</v>
      </c>
      <c r="E3763" s="274" t="s">
        <v>229</v>
      </c>
    </row>
    <row r="3764" spans="1:5" ht="27">
      <c r="A3764" s="271">
        <v>89841</v>
      </c>
      <c r="B3764" s="272" t="s">
        <v>2197</v>
      </c>
      <c r="C3764" s="272" t="s">
        <v>109</v>
      </c>
      <c r="D3764" s="273" t="s">
        <v>23124</v>
      </c>
      <c r="E3764" s="274" t="s">
        <v>229</v>
      </c>
    </row>
    <row r="3765" spans="1:5" ht="27">
      <c r="A3765" s="271">
        <v>89842</v>
      </c>
      <c r="B3765" s="272" t="s">
        <v>2198</v>
      </c>
      <c r="C3765" s="272" t="s">
        <v>109</v>
      </c>
      <c r="D3765" s="273" t="s">
        <v>23125</v>
      </c>
      <c r="E3765" s="274" t="s">
        <v>229</v>
      </c>
    </row>
    <row r="3766" spans="1:5" ht="27">
      <c r="A3766" s="271">
        <v>89844</v>
      </c>
      <c r="B3766" s="272" t="s">
        <v>2199</v>
      </c>
      <c r="C3766" s="272" t="s">
        <v>109</v>
      </c>
      <c r="D3766" s="273" t="s">
        <v>23126</v>
      </c>
      <c r="E3766" s="274" t="s">
        <v>229</v>
      </c>
    </row>
    <row r="3767" spans="1:5" ht="27">
      <c r="A3767" s="271">
        <v>89845</v>
      </c>
      <c r="B3767" s="272" t="s">
        <v>2200</v>
      </c>
      <c r="C3767" s="272" t="s">
        <v>109</v>
      </c>
      <c r="D3767" s="273" t="s">
        <v>23127</v>
      </c>
      <c r="E3767" s="274" t="s">
        <v>229</v>
      </c>
    </row>
    <row r="3768" spans="1:5" ht="27">
      <c r="A3768" s="271">
        <v>89846</v>
      </c>
      <c r="B3768" s="272" t="s">
        <v>2201</v>
      </c>
      <c r="C3768" s="272" t="s">
        <v>109</v>
      </c>
      <c r="D3768" s="273" t="s">
        <v>23128</v>
      </c>
      <c r="E3768" s="274" t="s">
        <v>229</v>
      </c>
    </row>
    <row r="3769" spans="1:5" ht="27">
      <c r="A3769" s="271">
        <v>89847</v>
      </c>
      <c r="B3769" s="272" t="s">
        <v>2202</v>
      </c>
      <c r="C3769" s="272" t="s">
        <v>109</v>
      </c>
      <c r="D3769" s="273" t="s">
        <v>23129</v>
      </c>
      <c r="E3769" s="274" t="s">
        <v>229</v>
      </c>
    </row>
    <row r="3770" spans="1:5" ht="27">
      <c r="A3770" s="271">
        <v>89850</v>
      </c>
      <c r="B3770" s="272" t="s">
        <v>2203</v>
      </c>
      <c r="C3770" s="272" t="s">
        <v>109</v>
      </c>
      <c r="D3770" s="273" t="s">
        <v>16319</v>
      </c>
      <c r="E3770" s="274" t="s">
        <v>229</v>
      </c>
    </row>
    <row r="3771" spans="1:5" ht="27">
      <c r="A3771" s="271">
        <v>89851</v>
      </c>
      <c r="B3771" s="272" t="s">
        <v>2204</v>
      </c>
      <c r="C3771" s="272" t="s">
        <v>109</v>
      </c>
      <c r="D3771" s="273" t="s">
        <v>16114</v>
      </c>
      <c r="E3771" s="274" t="s">
        <v>229</v>
      </c>
    </row>
    <row r="3772" spans="1:5" ht="27">
      <c r="A3772" s="271">
        <v>89852</v>
      </c>
      <c r="B3772" s="272" t="s">
        <v>2205</v>
      </c>
      <c r="C3772" s="272" t="s">
        <v>109</v>
      </c>
      <c r="D3772" s="273" t="s">
        <v>18780</v>
      </c>
      <c r="E3772" s="274" t="s">
        <v>229</v>
      </c>
    </row>
    <row r="3773" spans="1:5" ht="27">
      <c r="A3773" s="271">
        <v>89853</v>
      </c>
      <c r="B3773" s="272" t="s">
        <v>2206</v>
      </c>
      <c r="C3773" s="272" t="s">
        <v>109</v>
      </c>
      <c r="D3773" s="273" t="s">
        <v>16067</v>
      </c>
      <c r="E3773" s="274" t="s">
        <v>229</v>
      </c>
    </row>
    <row r="3774" spans="1:5" ht="27">
      <c r="A3774" s="271">
        <v>89854</v>
      </c>
      <c r="B3774" s="272" t="s">
        <v>2207</v>
      </c>
      <c r="C3774" s="272" t="s">
        <v>109</v>
      </c>
      <c r="D3774" s="273" t="s">
        <v>23130</v>
      </c>
      <c r="E3774" s="274" t="s">
        <v>229</v>
      </c>
    </row>
    <row r="3775" spans="1:5" ht="27">
      <c r="A3775" s="271">
        <v>89855</v>
      </c>
      <c r="B3775" s="272" t="s">
        <v>2208</v>
      </c>
      <c r="C3775" s="272" t="s">
        <v>109</v>
      </c>
      <c r="D3775" s="273" t="s">
        <v>21183</v>
      </c>
      <c r="E3775" s="274" t="s">
        <v>229</v>
      </c>
    </row>
    <row r="3776" spans="1:5" ht="27">
      <c r="A3776" s="271">
        <v>89856</v>
      </c>
      <c r="B3776" s="272" t="s">
        <v>2209</v>
      </c>
      <c r="C3776" s="272" t="s">
        <v>109</v>
      </c>
      <c r="D3776" s="273" t="s">
        <v>21517</v>
      </c>
      <c r="E3776" s="274" t="s">
        <v>229</v>
      </c>
    </row>
    <row r="3777" spans="1:5" ht="27">
      <c r="A3777" s="271">
        <v>89857</v>
      </c>
      <c r="B3777" s="272" t="s">
        <v>2210</v>
      </c>
      <c r="C3777" s="272" t="s">
        <v>109</v>
      </c>
      <c r="D3777" s="273" t="s">
        <v>16694</v>
      </c>
      <c r="E3777" s="274" t="s">
        <v>229</v>
      </c>
    </row>
    <row r="3778" spans="1:5" ht="27">
      <c r="A3778" s="271">
        <v>89859</v>
      </c>
      <c r="B3778" s="272" t="s">
        <v>2211</v>
      </c>
      <c r="C3778" s="272" t="s">
        <v>109</v>
      </c>
      <c r="D3778" s="273" t="s">
        <v>23131</v>
      </c>
      <c r="E3778" s="274" t="s">
        <v>229</v>
      </c>
    </row>
    <row r="3779" spans="1:5" ht="27">
      <c r="A3779" s="271">
        <v>89860</v>
      </c>
      <c r="B3779" s="272" t="s">
        <v>2212</v>
      </c>
      <c r="C3779" s="272" t="s">
        <v>109</v>
      </c>
      <c r="D3779" s="273" t="s">
        <v>19288</v>
      </c>
      <c r="E3779" s="274" t="s">
        <v>229</v>
      </c>
    </row>
    <row r="3780" spans="1:5" ht="27">
      <c r="A3780" s="271">
        <v>89861</v>
      </c>
      <c r="B3780" s="272" t="s">
        <v>2213</v>
      </c>
      <c r="C3780" s="272" t="s">
        <v>109</v>
      </c>
      <c r="D3780" s="273" t="s">
        <v>23132</v>
      </c>
      <c r="E3780" s="274" t="s">
        <v>229</v>
      </c>
    </row>
    <row r="3781" spans="1:5" ht="27">
      <c r="A3781" s="271">
        <v>89862</v>
      </c>
      <c r="B3781" s="272" t="s">
        <v>2214</v>
      </c>
      <c r="C3781" s="272" t="s">
        <v>109</v>
      </c>
      <c r="D3781" s="273" t="s">
        <v>16501</v>
      </c>
      <c r="E3781" s="274" t="s">
        <v>229</v>
      </c>
    </row>
    <row r="3782" spans="1:5" ht="27">
      <c r="A3782" s="271">
        <v>89863</v>
      </c>
      <c r="B3782" s="272" t="s">
        <v>2215</v>
      </c>
      <c r="C3782" s="272" t="s">
        <v>109</v>
      </c>
      <c r="D3782" s="273" t="s">
        <v>23133</v>
      </c>
      <c r="E3782" s="274" t="s">
        <v>229</v>
      </c>
    </row>
    <row r="3783" spans="1:5" ht="27">
      <c r="A3783" s="271">
        <v>89866</v>
      </c>
      <c r="B3783" s="272" t="s">
        <v>2216</v>
      </c>
      <c r="C3783" s="272" t="s">
        <v>109</v>
      </c>
      <c r="D3783" s="273" t="s">
        <v>10900</v>
      </c>
      <c r="E3783" s="274" t="s">
        <v>229</v>
      </c>
    </row>
    <row r="3784" spans="1:5" ht="27">
      <c r="A3784" s="271">
        <v>89867</v>
      </c>
      <c r="B3784" s="272" t="s">
        <v>2217</v>
      </c>
      <c r="C3784" s="272" t="s">
        <v>109</v>
      </c>
      <c r="D3784" s="273" t="s">
        <v>11038</v>
      </c>
      <c r="E3784" s="274" t="s">
        <v>229</v>
      </c>
    </row>
    <row r="3785" spans="1:5" ht="27">
      <c r="A3785" s="271">
        <v>89868</v>
      </c>
      <c r="B3785" s="272" t="s">
        <v>2218</v>
      </c>
      <c r="C3785" s="272" t="s">
        <v>109</v>
      </c>
      <c r="D3785" s="273" t="s">
        <v>9752</v>
      </c>
      <c r="E3785" s="274" t="s">
        <v>229</v>
      </c>
    </row>
    <row r="3786" spans="1:5" ht="27">
      <c r="A3786" s="271">
        <v>89869</v>
      </c>
      <c r="B3786" s="272" t="s">
        <v>2219</v>
      </c>
      <c r="C3786" s="272" t="s">
        <v>109</v>
      </c>
      <c r="D3786" s="273" t="s">
        <v>10481</v>
      </c>
      <c r="E3786" s="274" t="s">
        <v>229</v>
      </c>
    </row>
    <row r="3787" spans="1:5" ht="27">
      <c r="A3787" s="271">
        <v>89979</v>
      </c>
      <c r="B3787" s="272" t="s">
        <v>2220</v>
      </c>
      <c r="C3787" s="272" t="s">
        <v>109</v>
      </c>
      <c r="D3787" s="273" t="s">
        <v>14209</v>
      </c>
      <c r="E3787" s="274" t="s">
        <v>229</v>
      </c>
    </row>
    <row r="3788" spans="1:5" ht="27">
      <c r="A3788" s="271">
        <v>89980</v>
      </c>
      <c r="B3788" s="272" t="s">
        <v>2221</v>
      </c>
      <c r="C3788" s="272" t="s">
        <v>109</v>
      </c>
      <c r="D3788" s="273" t="s">
        <v>10857</v>
      </c>
      <c r="E3788" s="274" t="s">
        <v>229</v>
      </c>
    </row>
    <row r="3789" spans="1:5" ht="27">
      <c r="A3789" s="271">
        <v>89981</v>
      </c>
      <c r="B3789" s="272" t="s">
        <v>2222</v>
      </c>
      <c r="C3789" s="272" t="s">
        <v>109</v>
      </c>
      <c r="D3789" s="273" t="s">
        <v>14076</v>
      </c>
      <c r="E3789" s="274" t="s">
        <v>229</v>
      </c>
    </row>
    <row r="3790" spans="1:5" ht="27">
      <c r="A3790" s="271">
        <v>90373</v>
      </c>
      <c r="B3790" s="272" t="s">
        <v>2223</v>
      </c>
      <c r="C3790" s="272" t="s">
        <v>109</v>
      </c>
      <c r="D3790" s="273" t="s">
        <v>9786</v>
      </c>
      <c r="E3790" s="274" t="s">
        <v>229</v>
      </c>
    </row>
    <row r="3791" spans="1:5" ht="27">
      <c r="A3791" s="271">
        <v>90374</v>
      </c>
      <c r="B3791" s="272" t="s">
        <v>2224</v>
      </c>
      <c r="C3791" s="272" t="s">
        <v>109</v>
      </c>
      <c r="D3791" s="273" t="s">
        <v>15793</v>
      </c>
      <c r="E3791" s="274" t="s">
        <v>229</v>
      </c>
    </row>
    <row r="3792" spans="1:5" ht="27">
      <c r="A3792" s="271">
        <v>90375</v>
      </c>
      <c r="B3792" s="272" t="s">
        <v>2225</v>
      </c>
      <c r="C3792" s="272" t="s">
        <v>109</v>
      </c>
      <c r="D3792" s="273" t="s">
        <v>11425</v>
      </c>
      <c r="E3792" s="274" t="s">
        <v>229</v>
      </c>
    </row>
    <row r="3793" spans="1:5" ht="27">
      <c r="A3793" s="271">
        <v>92287</v>
      </c>
      <c r="B3793" s="272" t="s">
        <v>4192</v>
      </c>
      <c r="C3793" s="272" t="s">
        <v>109</v>
      </c>
      <c r="D3793" s="273" t="s">
        <v>15900</v>
      </c>
      <c r="E3793" s="274" t="s">
        <v>229</v>
      </c>
    </row>
    <row r="3794" spans="1:5" ht="27">
      <c r="A3794" s="271">
        <v>92288</v>
      </c>
      <c r="B3794" s="272" t="s">
        <v>4193</v>
      </c>
      <c r="C3794" s="272" t="s">
        <v>109</v>
      </c>
      <c r="D3794" s="273" t="s">
        <v>23014</v>
      </c>
      <c r="E3794" s="274" t="s">
        <v>229</v>
      </c>
    </row>
    <row r="3795" spans="1:5" ht="27">
      <c r="A3795" s="271">
        <v>92289</v>
      </c>
      <c r="B3795" s="272" t="s">
        <v>4194</v>
      </c>
      <c r="C3795" s="272" t="s">
        <v>109</v>
      </c>
      <c r="D3795" s="273" t="s">
        <v>23134</v>
      </c>
      <c r="E3795" s="274" t="s">
        <v>229</v>
      </c>
    </row>
    <row r="3796" spans="1:5" ht="27">
      <c r="A3796" s="271">
        <v>92290</v>
      </c>
      <c r="B3796" s="272" t="s">
        <v>4195</v>
      </c>
      <c r="C3796" s="272" t="s">
        <v>109</v>
      </c>
      <c r="D3796" s="273" t="s">
        <v>18992</v>
      </c>
      <c r="E3796" s="274" t="s">
        <v>229</v>
      </c>
    </row>
    <row r="3797" spans="1:5" ht="27">
      <c r="A3797" s="271">
        <v>92291</v>
      </c>
      <c r="B3797" s="272" t="s">
        <v>4196</v>
      </c>
      <c r="C3797" s="272" t="s">
        <v>109</v>
      </c>
      <c r="D3797" s="273" t="s">
        <v>23135</v>
      </c>
      <c r="E3797" s="274" t="s">
        <v>229</v>
      </c>
    </row>
    <row r="3798" spans="1:5" ht="27">
      <c r="A3798" s="271">
        <v>92292</v>
      </c>
      <c r="B3798" s="272" t="s">
        <v>4197</v>
      </c>
      <c r="C3798" s="272" t="s">
        <v>109</v>
      </c>
      <c r="D3798" s="273" t="s">
        <v>23136</v>
      </c>
      <c r="E3798" s="274" t="s">
        <v>229</v>
      </c>
    </row>
    <row r="3799" spans="1:5" ht="27">
      <c r="A3799" s="271">
        <v>92293</v>
      </c>
      <c r="B3799" s="272" t="s">
        <v>4198</v>
      </c>
      <c r="C3799" s="272" t="s">
        <v>109</v>
      </c>
      <c r="D3799" s="273" t="s">
        <v>10513</v>
      </c>
      <c r="E3799" s="274" t="s">
        <v>229</v>
      </c>
    </row>
    <row r="3800" spans="1:5" ht="27">
      <c r="A3800" s="271">
        <v>92294</v>
      </c>
      <c r="B3800" s="272" t="s">
        <v>4199</v>
      </c>
      <c r="C3800" s="272" t="s">
        <v>109</v>
      </c>
      <c r="D3800" s="273" t="s">
        <v>22610</v>
      </c>
      <c r="E3800" s="274" t="s">
        <v>229</v>
      </c>
    </row>
    <row r="3801" spans="1:5" ht="27">
      <c r="A3801" s="271">
        <v>92295</v>
      </c>
      <c r="B3801" s="272" t="s">
        <v>4200</v>
      </c>
      <c r="C3801" s="272" t="s">
        <v>109</v>
      </c>
      <c r="D3801" s="273" t="s">
        <v>11016</v>
      </c>
      <c r="E3801" s="274" t="s">
        <v>229</v>
      </c>
    </row>
    <row r="3802" spans="1:5" ht="27">
      <c r="A3802" s="271">
        <v>92296</v>
      </c>
      <c r="B3802" s="272" t="s">
        <v>4201</v>
      </c>
      <c r="C3802" s="272" t="s">
        <v>109</v>
      </c>
      <c r="D3802" s="273" t="s">
        <v>16167</v>
      </c>
      <c r="E3802" s="274" t="s">
        <v>229</v>
      </c>
    </row>
    <row r="3803" spans="1:5" ht="27">
      <c r="A3803" s="271">
        <v>92297</v>
      </c>
      <c r="B3803" s="272" t="s">
        <v>4202</v>
      </c>
      <c r="C3803" s="272" t="s">
        <v>109</v>
      </c>
      <c r="D3803" s="273" t="s">
        <v>21589</v>
      </c>
      <c r="E3803" s="274" t="s">
        <v>229</v>
      </c>
    </row>
    <row r="3804" spans="1:5" ht="27">
      <c r="A3804" s="271">
        <v>92298</v>
      </c>
      <c r="B3804" s="272" t="s">
        <v>4203</v>
      </c>
      <c r="C3804" s="272" t="s">
        <v>109</v>
      </c>
      <c r="D3804" s="273" t="s">
        <v>23137</v>
      </c>
      <c r="E3804" s="274" t="s">
        <v>229</v>
      </c>
    </row>
    <row r="3805" spans="1:5" ht="27">
      <c r="A3805" s="271">
        <v>92299</v>
      </c>
      <c r="B3805" s="272" t="s">
        <v>4204</v>
      </c>
      <c r="C3805" s="272" t="s">
        <v>109</v>
      </c>
      <c r="D3805" s="273" t="s">
        <v>11415</v>
      </c>
      <c r="E3805" s="274" t="s">
        <v>229</v>
      </c>
    </row>
    <row r="3806" spans="1:5" ht="27">
      <c r="A3806" s="271">
        <v>92300</v>
      </c>
      <c r="B3806" s="272" t="s">
        <v>4205</v>
      </c>
      <c r="C3806" s="272" t="s">
        <v>109</v>
      </c>
      <c r="D3806" s="273" t="s">
        <v>23138</v>
      </c>
      <c r="E3806" s="274" t="s">
        <v>229</v>
      </c>
    </row>
    <row r="3807" spans="1:5" ht="27">
      <c r="A3807" s="271">
        <v>92301</v>
      </c>
      <c r="B3807" s="272" t="s">
        <v>4206</v>
      </c>
      <c r="C3807" s="272" t="s">
        <v>109</v>
      </c>
      <c r="D3807" s="273" t="s">
        <v>19193</v>
      </c>
      <c r="E3807" s="274" t="s">
        <v>229</v>
      </c>
    </row>
    <row r="3808" spans="1:5" ht="27">
      <c r="A3808" s="271">
        <v>92302</v>
      </c>
      <c r="B3808" s="272" t="s">
        <v>4207</v>
      </c>
      <c r="C3808" s="272" t="s">
        <v>109</v>
      </c>
      <c r="D3808" s="273" t="s">
        <v>19604</v>
      </c>
      <c r="E3808" s="274" t="s">
        <v>229</v>
      </c>
    </row>
    <row r="3809" spans="1:5" ht="27">
      <c r="A3809" s="271">
        <v>92303</v>
      </c>
      <c r="B3809" s="272" t="s">
        <v>4208</v>
      </c>
      <c r="C3809" s="272" t="s">
        <v>109</v>
      </c>
      <c r="D3809" s="273" t="s">
        <v>16525</v>
      </c>
      <c r="E3809" s="274" t="s">
        <v>229</v>
      </c>
    </row>
    <row r="3810" spans="1:5" ht="27">
      <c r="A3810" s="271">
        <v>92304</v>
      </c>
      <c r="B3810" s="272" t="s">
        <v>4209</v>
      </c>
      <c r="C3810" s="272" t="s">
        <v>109</v>
      </c>
      <c r="D3810" s="273" t="s">
        <v>23139</v>
      </c>
      <c r="E3810" s="274" t="s">
        <v>229</v>
      </c>
    </row>
    <row r="3811" spans="1:5" ht="27">
      <c r="A3811" s="271">
        <v>92311</v>
      </c>
      <c r="B3811" s="272" t="s">
        <v>4210</v>
      </c>
      <c r="C3811" s="272" t="s">
        <v>109</v>
      </c>
      <c r="D3811" s="273" t="s">
        <v>16337</v>
      </c>
      <c r="E3811" s="274" t="s">
        <v>229</v>
      </c>
    </row>
    <row r="3812" spans="1:5" ht="27">
      <c r="A3812" s="271">
        <v>92312</v>
      </c>
      <c r="B3812" s="272" t="s">
        <v>4211</v>
      </c>
      <c r="C3812" s="272" t="s">
        <v>109</v>
      </c>
      <c r="D3812" s="273" t="s">
        <v>12370</v>
      </c>
      <c r="E3812" s="274" t="s">
        <v>229</v>
      </c>
    </row>
    <row r="3813" spans="1:5" ht="27">
      <c r="A3813" s="271">
        <v>92313</v>
      </c>
      <c r="B3813" s="272" t="s">
        <v>4212</v>
      </c>
      <c r="C3813" s="272" t="s">
        <v>109</v>
      </c>
      <c r="D3813" s="273" t="s">
        <v>16625</v>
      </c>
      <c r="E3813" s="274" t="s">
        <v>229</v>
      </c>
    </row>
    <row r="3814" spans="1:5" ht="27">
      <c r="A3814" s="271">
        <v>92314</v>
      </c>
      <c r="B3814" s="272" t="s">
        <v>4213</v>
      </c>
      <c r="C3814" s="272" t="s">
        <v>109</v>
      </c>
      <c r="D3814" s="273" t="s">
        <v>12182</v>
      </c>
      <c r="E3814" s="274" t="s">
        <v>229</v>
      </c>
    </row>
    <row r="3815" spans="1:5" ht="27">
      <c r="A3815" s="271">
        <v>92315</v>
      </c>
      <c r="B3815" s="272" t="s">
        <v>4214</v>
      </c>
      <c r="C3815" s="272" t="s">
        <v>109</v>
      </c>
      <c r="D3815" s="273" t="s">
        <v>10553</v>
      </c>
      <c r="E3815" s="274" t="s">
        <v>229</v>
      </c>
    </row>
    <row r="3816" spans="1:5" ht="27">
      <c r="A3816" s="271">
        <v>92316</v>
      </c>
      <c r="B3816" s="272" t="s">
        <v>4215</v>
      </c>
      <c r="C3816" s="272" t="s">
        <v>109</v>
      </c>
      <c r="D3816" s="273" t="s">
        <v>15971</v>
      </c>
      <c r="E3816" s="274" t="s">
        <v>229</v>
      </c>
    </row>
    <row r="3817" spans="1:5" ht="27">
      <c r="A3817" s="271">
        <v>92317</v>
      </c>
      <c r="B3817" s="272" t="s">
        <v>4216</v>
      </c>
      <c r="C3817" s="272" t="s">
        <v>109</v>
      </c>
      <c r="D3817" s="273" t="s">
        <v>10450</v>
      </c>
      <c r="E3817" s="274" t="s">
        <v>229</v>
      </c>
    </row>
    <row r="3818" spans="1:5" ht="27">
      <c r="A3818" s="271">
        <v>92318</v>
      </c>
      <c r="B3818" s="272" t="s">
        <v>4217</v>
      </c>
      <c r="C3818" s="272" t="s">
        <v>109</v>
      </c>
      <c r="D3818" s="273" t="s">
        <v>14160</v>
      </c>
      <c r="E3818" s="274" t="s">
        <v>229</v>
      </c>
    </row>
    <row r="3819" spans="1:5" ht="27">
      <c r="A3819" s="271">
        <v>92319</v>
      </c>
      <c r="B3819" s="272" t="s">
        <v>4218</v>
      </c>
      <c r="C3819" s="272" t="s">
        <v>109</v>
      </c>
      <c r="D3819" s="273" t="s">
        <v>23140</v>
      </c>
      <c r="E3819" s="274" t="s">
        <v>229</v>
      </c>
    </row>
    <row r="3820" spans="1:5" ht="27">
      <c r="A3820" s="271">
        <v>92326</v>
      </c>
      <c r="B3820" s="272" t="s">
        <v>4219</v>
      </c>
      <c r="C3820" s="272" t="s">
        <v>109</v>
      </c>
      <c r="D3820" s="273" t="s">
        <v>10330</v>
      </c>
      <c r="E3820" s="274" t="s">
        <v>229</v>
      </c>
    </row>
    <row r="3821" spans="1:5" ht="27">
      <c r="A3821" s="271">
        <v>92327</v>
      </c>
      <c r="B3821" s="272" t="s">
        <v>4220</v>
      </c>
      <c r="C3821" s="272" t="s">
        <v>109</v>
      </c>
      <c r="D3821" s="273" t="s">
        <v>20319</v>
      </c>
      <c r="E3821" s="274" t="s">
        <v>229</v>
      </c>
    </row>
    <row r="3822" spans="1:5" ht="27">
      <c r="A3822" s="271">
        <v>92328</v>
      </c>
      <c r="B3822" s="272" t="s">
        <v>4221</v>
      </c>
      <c r="C3822" s="272" t="s">
        <v>109</v>
      </c>
      <c r="D3822" s="273" t="s">
        <v>23141</v>
      </c>
      <c r="E3822" s="274" t="s">
        <v>229</v>
      </c>
    </row>
    <row r="3823" spans="1:5" ht="27">
      <c r="A3823" s="271">
        <v>92329</v>
      </c>
      <c r="B3823" s="272" t="s">
        <v>4222</v>
      </c>
      <c r="C3823" s="272" t="s">
        <v>109</v>
      </c>
      <c r="D3823" s="273" t="s">
        <v>10304</v>
      </c>
      <c r="E3823" s="274" t="s">
        <v>229</v>
      </c>
    </row>
    <row r="3824" spans="1:5" ht="27">
      <c r="A3824" s="271">
        <v>92330</v>
      </c>
      <c r="B3824" s="272" t="s">
        <v>4223</v>
      </c>
      <c r="C3824" s="272" t="s">
        <v>109</v>
      </c>
      <c r="D3824" s="273" t="s">
        <v>16204</v>
      </c>
      <c r="E3824" s="274" t="s">
        <v>229</v>
      </c>
    </row>
    <row r="3825" spans="1:5" ht="27">
      <c r="A3825" s="271">
        <v>92331</v>
      </c>
      <c r="B3825" s="272" t="s">
        <v>4224</v>
      </c>
      <c r="C3825" s="272" t="s">
        <v>109</v>
      </c>
      <c r="D3825" s="273" t="s">
        <v>12460</v>
      </c>
      <c r="E3825" s="274" t="s">
        <v>229</v>
      </c>
    </row>
    <row r="3826" spans="1:5" ht="27">
      <c r="A3826" s="271">
        <v>92332</v>
      </c>
      <c r="B3826" s="272" t="s">
        <v>4225</v>
      </c>
      <c r="C3826" s="272" t="s">
        <v>109</v>
      </c>
      <c r="D3826" s="273" t="s">
        <v>9821</v>
      </c>
      <c r="E3826" s="274" t="s">
        <v>229</v>
      </c>
    </row>
    <row r="3827" spans="1:5" ht="27">
      <c r="A3827" s="271">
        <v>92333</v>
      </c>
      <c r="B3827" s="272" t="s">
        <v>4226</v>
      </c>
      <c r="C3827" s="272" t="s">
        <v>109</v>
      </c>
      <c r="D3827" s="273" t="s">
        <v>16153</v>
      </c>
      <c r="E3827" s="274" t="s">
        <v>229</v>
      </c>
    </row>
    <row r="3828" spans="1:5" ht="27">
      <c r="A3828" s="271">
        <v>92334</v>
      </c>
      <c r="B3828" s="272" t="s">
        <v>4227</v>
      </c>
      <c r="C3828" s="272" t="s">
        <v>109</v>
      </c>
      <c r="D3828" s="273" t="s">
        <v>23142</v>
      </c>
      <c r="E3828" s="274" t="s">
        <v>229</v>
      </c>
    </row>
    <row r="3829" spans="1:5" ht="27">
      <c r="A3829" s="271">
        <v>92344</v>
      </c>
      <c r="B3829" s="272" t="s">
        <v>13272</v>
      </c>
      <c r="C3829" s="272" t="s">
        <v>109</v>
      </c>
      <c r="D3829" s="273" t="s">
        <v>14098</v>
      </c>
      <c r="E3829" s="274" t="s">
        <v>229</v>
      </c>
    </row>
    <row r="3830" spans="1:5" ht="27">
      <c r="A3830" s="271">
        <v>92345</v>
      </c>
      <c r="B3830" s="272" t="s">
        <v>13273</v>
      </c>
      <c r="C3830" s="272" t="s">
        <v>109</v>
      </c>
      <c r="D3830" s="273" t="s">
        <v>12261</v>
      </c>
      <c r="E3830" s="274" t="s">
        <v>229</v>
      </c>
    </row>
    <row r="3831" spans="1:5" ht="27">
      <c r="A3831" s="271">
        <v>92346</v>
      </c>
      <c r="B3831" s="272" t="s">
        <v>13274</v>
      </c>
      <c r="C3831" s="272" t="s">
        <v>109</v>
      </c>
      <c r="D3831" s="273" t="s">
        <v>23143</v>
      </c>
      <c r="E3831" s="274" t="s">
        <v>229</v>
      </c>
    </row>
    <row r="3832" spans="1:5" ht="27">
      <c r="A3832" s="271">
        <v>92347</v>
      </c>
      <c r="B3832" s="272" t="s">
        <v>13275</v>
      </c>
      <c r="C3832" s="272" t="s">
        <v>109</v>
      </c>
      <c r="D3832" s="273" t="s">
        <v>16172</v>
      </c>
      <c r="E3832" s="274" t="s">
        <v>229</v>
      </c>
    </row>
    <row r="3833" spans="1:5" ht="27">
      <c r="A3833" s="271">
        <v>92348</v>
      </c>
      <c r="B3833" s="272" t="s">
        <v>13276</v>
      </c>
      <c r="C3833" s="272" t="s">
        <v>109</v>
      </c>
      <c r="D3833" s="273" t="s">
        <v>20272</v>
      </c>
      <c r="E3833" s="274" t="s">
        <v>229</v>
      </c>
    </row>
    <row r="3834" spans="1:5" ht="27">
      <c r="A3834" s="271">
        <v>92349</v>
      </c>
      <c r="B3834" s="272" t="s">
        <v>13277</v>
      </c>
      <c r="C3834" s="272" t="s">
        <v>109</v>
      </c>
      <c r="D3834" s="273" t="s">
        <v>23144</v>
      </c>
      <c r="E3834" s="274" t="s">
        <v>229</v>
      </c>
    </row>
    <row r="3835" spans="1:5" ht="27">
      <c r="A3835" s="271">
        <v>92350</v>
      </c>
      <c r="B3835" s="272" t="s">
        <v>13278</v>
      </c>
      <c r="C3835" s="272" t="s">
        <v>109</v>
      </c>
      <c r="D3835" s="273" t="s">
        <v>20584</v>
      </c>
      <c r="E3835" s="274" t="s">
        <v>229</v>
      </c>
    </row>
    <row r="3836" spans="1:5" ht="27">
      <c r="A3836" s="271">
        <v>92351</v>
      </c>
      <c r="B3836" s="272" t="s">
        <v>13279</v>
      </c>
      <c r="C3836" s="272" t="s">
        <v>109</v>
      </c>
      <c r="D3836" s="273" t="s">
        <v>23145</v>
      </c>
      <c r="E3836" s="274" t="s">
        <v>229</v>
      </c>
    </row>
    <row r="3837" spans="1:5" ht="27">
      <c r="A3837" s="271">
        <v>92352</v>
      </c>
      <c r="B3837" s="272" t="s">
        <v>13280</v>
      </c>
      <c r="C3837" s="272" t="s">
        <v>109</v>
      </c>
      <c r="D3837" s="273" t="s">
        <v>23146</v>
      </c>
      <c r="E3837" s="274" t="s">
        <v>229</v>
      </c>
    </row>
    <row r="3838" spans="1:5" ht="27">
      <c r="A3838" s="271">
        <v>92353</v>
      </c>
      <c r="B3838" s="272" t="s">
        <v>13281</v>
      </c>
      <c r="C3838" s="272" t="s">
        <v>109</v>
      </c>
      <c r="D3838" s="273" t="s">
        <v>23147</v>
      </c>
      <c r="E3838" s="274" t="s">
        <v>229</v>
      </c>
    </row>
    <row r="3839" spans="1:5" ht="27">
      <c r="A3839" s="271">
        <v>92354</v>
      </c>
      <c r="B3839" s="272" t="s">
        <v>13282</v>
      </c>
      <c r="C3839" s="272" t="s">
        <v>109</v>
      </c>
      <c r="D3839" s="273" t="s">
        <v>23148</v>
      </c>
      <c r="E3839" s="274" t="s">
        <v>229</v>
      </c>
    </row>
    <row r="3840" spans="1:5" ht="27">
      <c r="A3840" s="271">
        <v>92355</v>
      </c>
      <c r="B3840" s="272" t="s">
        <v>13283</v>
      </c>
      <c r="C3840" s="272" t="s">
        <v>109</v>
      </c>
      <c r="D3840" s="273" t="s">
        <v>16194</v>
      </c>
      <c r="E3840" s="274" t="s">
        <v>229</v>
      </c>
    </row>
    <row r="3841" spans="1:5" ht="27">
      <c r="A3841" s="271">
        <v>92356</v>
      </c>
      <c r="B3841" s="272" t="s">
        <v>13284</v>
      </c>
      <c r="C3841" s="272" t="s">
        <v>109</v>
      </c>
      <c r="D3841" s="273" t="s">
        <v>23149</v>
      </c>
      <c r="E3841" s="274" t="s">
        <v>229</v>
      </c>
    </row>
    <row r="3842" spans="1:5" ht="27">
      <c r="A3842" s="271">
        <v>92357</v>
      </c>
      <c r="B3842" s="272" t="s">
        <v>13285</v>
      </c>
      <c r="C3842" s="272" t="s">
        <v>109</v>
      </c>
      <c r="D3842" s="273" t="s">
        <v>23150</v>
      </c>
      <c r="E3842" s="274" t="s">
        <v>229</v>
      </c>
    </row>
    <row r="3843" spans="1:5" ht="27">
      <c r="A3843" s="271">
        <v>92358</v>
      </c>
      <c r="B3843" s="272" t="s">
        <v>13286</v>
      </c>
      <c r="C3843" s="272" t="s">
        <v>109</v>
      </c>
      <c r="D3843" s="273" t="s">
        <v>23151</v>
      </c>
      <c r="E3843" s="274" t="s">
        <v>229</v>
      </c>
    </row>
    <row r="3844" spans="1:5" ht="27">
      <c r="A3844" s="271">
        <v>92369</v>
      </c>
      <c r="B3844" s="272" t="s">
        <v>13287</v>
      </c>
      <c r="C3844" s="272" t="s">
        <v>109</v>
      </c>
      <c r="D3844" s="273" t="s">
        <v>15817</v>
      </c>
      <c r="E3844" s="274" t="s">
        <v>229</v>
      </c>
    </row>
    <row r="3845" spans="1:5" ht="27">
      <c r="A3845" s="271">
        <v>92370</v>
      </c>
      <c r="B3845" s="272" t="s">
        <v>13288</v>
      </c>
      <c r="C3845" s="272" t="s">
        <v>109</v>
      </c>
      <c r="D3845" s="273" t="s">
        <v>12430</v>
      </c>
      <c r="E3845" s="274" t="s">
        <v>229</v>
      </c>
    </row>
    <row r="3846" spans="1:5" ht="27">
      <c r="A3846" s="271">
        <v>92371</v>
      </c>
      <c r="B3846" s="272" t="s">
        <v>13289</v>
      </c>
      <c r="C3846" s="272" t="s">
        <v>109</v>
      </c>
      <c r="D3846" s="273" t="s">
        <v>23152</v>
      </c>
      <c r="E3846" s="274" t="s">
        <v>229</v>
      </c>
    </row>
    <row r="3847" spans="1:5" ht="27">
      <c r="A3847" s="271">
        <v>92372</v>
      </c>
      <c r="B3847" s="272" t="s">
        <v>13290</v>
      </c>
      <c r="C3847" s="272" t="s">
        <v>109</v>
      </c>
      <c r="D3847" s="273" t="s">
        <v>11490</v>
      </c>
      <c r="E3847" s="274" t="s">
        <v>229</v>
      </c>
    </row>
    <row r="3848" spans="1:5" ht="27">
      <c r="A3848" s="271">
        <v>92373</v>
      </c>
      <c r="B3848" s="272" t="s">
        <v>13291</v>
      </c>
      <c r="C3848" s="272" t="s">
        <v>109</v>
      </c>
      <c r="D3848" s="273" t="s">
        <v>23153</v>
      </c>
      <c r="E3848" s="274" t="s">
        <v>229</v>
      </c>
    </row>
    <row r="3849" spans="1:5" ht="27">
      <c r="A3849" s="271">
        <v>92374</v>
      </c>
      <c r="B3849" s="272" t="s">
        <v>13292</v>
      </c>
      <c r="C3849" s="272" t="s">
        <v>109</v>
      </c>
      <c r="D3849" s="273" t="s">
        <v>22693</v>
      </c>
      <c r="E3849" s="274" t="s">
        <v>229</v>
      </c>
    </row>
    <row r="3850" spans="1:5" ht="27">
      <c r="A3850" s="271">
        <v>92375</v>
      </c>
      <c r="B3850" s="272" t="s">
        <v>13293</v>
      </c>
      <c r="C3850" s="272" t="s">
        <v>109</v>
      </c>
      <c r="D3850" s="273" t="s">
        <v>14172</v>
      </c>
      <c r="E3850" s="274" t="s">
        <v>229</v>
      </c>
    </row>
    <row r="3851" spans="1:5" ht="27">
      <c r="A3851" s="271">
        <v>92376</v>
      </c>
      <c r="B3851" s="272" t="s">
        <v>13294</v>
      </c>
      <c r="C3851" s="272" t="s">
        <v>109</v>
      </c>
      <c r="D3851" s="273" t="s">
        <v>23154</v>
      </c>
      <c r="E3851" s="274" t="s">
        <v>229</v>
      </c>
    </row>
    <row r="3852" spans="1:5" ht="27">
      <c r="A3852" s="271">
        <v>92377</v>
      </c>
      <c r="B3852" s="272" t="s">
        <v>13295</v>
      </c>
      <c r="C3852" s="272" t="s">
        <v>109</v>
      </c>
      <c r="D3852" s="273" t="s">
        <v>23155</v>
      </c>
      <c r="E3852" s="274" t="s">
        <v>229</v>
      </c>
    </row>
    <row r="3853" spans="1:5" ht="27">
      <c r="A3853" s="271">
        <v>92378</v>
      </c>
      <c r="B3853" s="272" t="s">
        <v>13296</v>
      </c>
      <c r="C3853" s="272" t="s">
        <v>109</v>
      </c>
      <c r="D3853" s="273" t="s">
        <v>23156</v>
      </c>
      <c r="E3853" s="274" t="s">
        <v>229</v>
      </c>
    </row>
    <row r="3854" spans="1:5" ht="27">
      <c r="A3854" s="271">
        <v>92379</v>
      </c>
      <c r="B3854" s="272" t="s">
        <v>13297</v>
      </c>
      <c r="C3854" s="272" t="s">
        <v>109</v>
      </c>
      <c r="D3854" s="273" t="s">
        <v>23157</v>
      </c>
      <c r="E3854" s="274" t="s">
        <v>229</v>
      </c>
    </row>
    <row r="3855" spans="1:5" ht="27">
      <c r="A3855" s="271">
        <v>92380</v>
      </c>
      <c r="B3855" s="272" t="s">
        <v>13298</v>
      </c>
      <c r="C3855" s="272" t="s">
        <v>109</v>
      </c>
      <c r="D3855" s="273" t="s">
        <v>11083</v>
      </c>
      <c r="E3855" s="274" t="s">
        <v>229</v>
      </c>
    </row>
    <row r="3856" spans="1:5" ht="27">
      <c r="A3856" s="271">
        <v>92381</v>
      </c>
      <c r="B3856" s="272" t="s">
        <v>13299</v>
      </c>
      <c r="C3856" s="272" t="s">
        <v>109</v>
      </c>
      <c r="D3856" s="273" t="s">
        <v>23158</v>
      </c>
      <c r="E3856" s="274" t="s">
        <v>229</v>
      </c>
    </row>
    <row r="3857" spans="1:5" ht="27">
      <c r="A3857" s="271">
        <v>92382</v>
      </c>
      <c r="B3857" s="272" t="s">
        <v>13300</v>
      </c>
      <c r="C3857" s="272" t="s">
        <v>109</v>
      </c>
      <c r="D3857" s="273" t="s">
        <v>20178</v>
      </c>
      <c r="E3857" s="274" t="s">
        <v>229</v>
      </c>
    </row>
    <row r="3858" spans="1:5" ht="27">
      <c r="A3858" s="271">
        <v>92383</v>
      </c>
      <c r="B3858" s="272" t="s">
        <v>13301</v>
      </c>
      <c r="C3858" s="272" t="s">
        <v>109</v>
      </c>
      <c r="D3858" s="273" t="s">
        <v>23159</v>
      </c>
      <c r="E3858" s="274" t="s">
        <v>229</v>
      </c>
    </row>
    <row r="3859" spans="1:5" ht="27">
      <c r="A3859" s="271">
        <v>92384</v>
      </c>
      <c r="B3859" s="272" t="s">
        <v>13302</v>
      </c>
      <c r="C3859" s="272" t="s">
        <v>109</v>
      </c>
      <c r="D3859" s="273" t="s">
        <v>23160</v>
      </c>
      <c r="E3859" s="274" t="s">
        <v>229</v>
      </c>
    </row>
    <row r="3860" spans="1:5" ht="27">
      <c r="A3860" s="271">
        <v>92385</v>
      </c>
      <c r="B3860" s="272" t="s">
        <v>13303</v>
      </c>
      <c r="C3860" s="272" t="s">
        <v>109</v>
      </c>
      <c r="D3860" s="273" t="s">
        <v>16406</v>
      </c>
      <c r="E3860" s="274" t="s">
        <v>229</v>
      </c>
    </row>
    <row r="3861" spans="1:5" ht="27">
      <c r="A3861" s="271">
        <v>92386</v>
      </c>
      <c r="B3861" s="272" t="s">
        <v>13304</v>
      </c>
      <c r="C3861" s="272" t="s">
        <v>109</v>
      </c>
      <c r="D3861" s="273" t="s">
        <v>23161</v>
      </c>
      <c r="E3861" s="274" t="s">
        <v>229</v>
      </c>
    </row>
    <row r="3862" spans="1:5" ht="27">
      <c r="A3862" s="271">
        <v>92387</v>
      </c>
      <c r="B3862" s="272" t="s">
        <v>13305</v>
      </c>
      <c r="C3862" s="272" t="s">
        <v>109</v>
      </c>
      <c r="D3862" s="273" t="s">
        <v>23162</v>
      </c>
      <c r="E3862" s="274" t="s">
        <v>229</v>
      </c>
    </row>
    <row r="3863" spans="1:5" ht="27">
      <c r="A3863" s="271">
        <v>92388</v>
      </c>
      <c r="B3863" s="272" t="s">
        <v>13306</v>
      </c>
      <c r="C3863" s="272" t="s">
        <v>109</v>
      </c>
      <c r="D3863" s="273" t="s">
        <v>16036</v>
      </c>
      <c r="E3863" s="274" t="s">
        <v>229</v>
      </c>
    </row>
    <row r="3864" spans="1:5" ht="27">
      <c r="A3864" s="271">
        <v>92389</v>
      </c>
      <c r="B3864" s="272" t="s">
        <v>13307</v>
      </c>
      <c r="C3864" s="272" t="s">
        <v>109</v>
      </c>
      <c r="D3864" s="273" t="s">
        <v>23163</v>
      </c>
      <c r="E3864" s="274" t="s">
        <v>229</v>
      </c>
    </row>
    <row r="3865" spans="1:5" ht="27">
      <c r="A3865" s="271">
        <v>92390</v>
      </c>
      <c r="B3865" s="272" t="s">
        <v>13308</v>
      </c>
      <c r="C3865" s="272" t="s">
        <v>109</v>
      </c>
      <c r="D3865" s="273" t="s">
        <v>15805</v>
      </c>
      <c r="E3865" s="274" t="s">
        <v>229</v>
      </c>
    </row>
    <row r="3866" spans="1:5" ht="27">
      <c r="A3866" s="271">
        <v>92635</v>
      </c>
      <c r="B3866" s="272" t="s">
        <v>13309</v>
      </c>
      <c r="C3866" s="272" t="s">
        <v>109</v>
      </c>
      <c r="D3866" s="273" t="s">
        <v>14055</v>
      </c>
      <c r="E3866" s="274" t="s">
        <v>229</v>
      </c>
    </row>
    <row r="3867" spans="1:5" ht="27">
      <c r="A3867" s="271">
        <v>92636</v>
      </c>
      <c r="B3867" s="272" t="s">
        <v>13310</v>
      </c>
      <c r="C3867" s="272" t="s">
        <v>109</v>
      </c>
      <c r="D3867" s="273" t="s">
        <v>23164</v>
      </c>
      <c r="E3867" s="274" t="s">
        <v>229</v>
      </c>
    </row>
    <row r="3868" spans="1:5" ht="27">
      <c r="A3868" s="271">
        <v>92637</v>
      </c>
      <c r="B3868" s="272" t="s">
        <v>13311</v>
      </c>
      <c r="C3868" s="272" t="s">
        <v>109</v>
      </c>
      <c r="D3868" s="273" t="s">
        <v>14062</v>
      </c>
      <c r="E3868" s="274" t="s">
        <v>229</v>
      </c>
    </row>
    <row r="3869" spans="1:5" ht="27">
      <c r="A3869" s="271">
        <v>92638</v>
      </c>
      <c r="B3869" s="272" t="s">
        <v>13312</v>
      </c>
      <c r="C3869" s="272" t="s">
        <v>109</v>
      </c>
      <c r="D3869" s="273" t="s">
        <v>23165</v>
      </c>
      <c r="E3869" s="274" t="s">
        <v>229</v>
      </c>
    </row>
    <row r="3870" spans="1:5" ht="27">
      <c r="A3870" s="271">
        <v>92639</v>
      </c>
      <c r="B3870" s="272" t="s">
        <v>13313</v>
      </c>
      <c r="C3870" s="272" t="s">
        <v>109</v>
      </c>
      <c r="D3870" s="273" t="s">
        <v>23166</v>
      </c>
      <c r="E3870" s="274" t="s">
        <v>229</v>
      </c>
    </row>
    <row r="3871" spans="1:5" ht="27">
      <c r="A3871" s="271">
        <v>92640</v>
      </c>
      <c r="B3871" s="272" t="s">
        <v>13314</v>
      </c>
      <c r="C3871" s="272" t="s">
        <v>109</v>
      </c>
      <c r="D3871" s="273" t="s">
        <v>23006</v>
      </c>
      <c r="E3871" s="274" t="s">
        <v>229</v>
      </c>
    </row>
    <row r="3872" spans="1:5" ht="27">
      <c r="A3872" s="271">
        <v>92642</v>
      </c>
      <c r="B3872" s="272" t="s">
        <v>13315</v>
      </c>
      <c r="C3872" s="272" t="s">
        <v>109</v>
      </c>
      <c r="D3872" s="273" t="s">
        <v>23167</v>
      </c>
      <c r="E3872" s="274" t="s">
        <v>229</v>
      </c>
    </row>
    <row r="3873" spans="1:5" ht="27">
      <c r="A3873" s="271">
        <v>92644</v>
      </c>
      <c r="B3873" s="272" t="s">
        <v>13316</v>
      </c>
      <c r="C3873" s="272" t="s">
        <v>109</v>
      </c>
      <c r="D3873" s="273" t="s">
        <v>23168</v>
      </c>
      <c r="E3873" s="274" t="s">
        <v>229</v>
      </c>
    </row>
    <row r="3874" spans="1:5" ht="27">
      <c r="A3874" s="271">
        <v>92657</v>
      </c>
      <c r="B3874" s="272" t="s">
        <v>13317</v>
      </c>
      <c r="C3874" s="272" t="s">
        <v>109</v>
      </c>
      <c r="D3874" s="273" t="s">
        <v>11260</v>
      </c>
      <c r="E3874" s="274" t="s">
        <v>229</v>
      </c>
    </row>
    <row r="3875" spans="1:5" ht="27">
      <c r="A3875" s="271">
        <v>92658</v>
      </c>
      <c r="B3875" s="272" t="s">
        <v>13318</v>
      </c>
      <c r="C3875" s="272" t="s">
        <v>109</v>
      </c>
      <c r="D3875" s="273" t="s">
        <v>23169</v>
      </c>
      <c r="E3875" s="274" t="s">
        <v>229</v>
      </c>
    </row>
    <row r="3876" spans="1:5" ht="27">
      <c r="A3876" s="271">
        <v>92659</v>
      </c>
      <c r="B3876" s="272" t="s">
        <v>13319</v>
      </c>
      <c r="C3876" s="272" t="s">
        <v>109</v>
      </c>
      <c r="D3876" s="273" t="s">
        <v>11444</v>
      </c>
      <c r="E3876" s="274" t="s">
        <v>229</v>
      </c>
    </row>
    <row r="3877" spans="1:5" ht="27">
      <c r="A3877" s="271">
        <v>92660</v>
      </c>
      <c r="B3877" s="272" t="s">
        <v>13320</v>
      </c>
      <c r="C3877" s="272" t="s">
        <v>109</v>
      </c>
      <c r="D3877" s="273" t="s">
        <v>23170</v>
      </c>
      <c r="E3877" s="274" t="s">
        <v>229</v>
      </c>
    </row>
    <row r="3878" spans="1:5" ht="27">
      <c r="A3878" s="271">
        <v>92661</v>
      </c>
      <c r="B3878" s="272" t="s">
        <v>13321</v>
      </c>
      <c r="C3878" s="272" t="s">
        <v>109</v>
      </c>
      <c r="D3878" s="273" t="s">
        <v>10127</v>
      </c>
      <c r="E3878" s="274" t="s">
        <v>229</v>
      </c>
    </row>
    <row r="3879" spans="1:5" ht="27">
      <c r="A3879" s="271">
        <v>92662</v>
      </c>
      <c r="B3879" s="272" t="s">
        <v>13322</v>
      </c>
      <c r="C3879" s="272" t="s">
        <v>109</v>
      </c>
      <c r="D3879" s="273" t="s">
        <v>10443</v>
      </c>
      <c r="E3879" s="274" t="s">
        <v>229</v>
      </c>
    </row>
    <row r="3880" spans="1:5" ht="27">
      <c r="A3880" s="271">
        <v>92663</v>
      </c>
      <c r="B3880" s="272" t="s">
        <v>13323</v>
      </c>
      <c r="C3880" s="272" t="s">
        <v>109</v>
      </c>
      <c r="D3880" s="273" t="s">
        <v>20509</v>
      </c>
      <c r="E3880" s="274" t="s">
        <v>229</v>
      </c>
    </row>
    <row r="3881" spans="1:5" ht="27">
      <c r="A3881" s="271">
        <v>92664</v>
      </c>
      <c r="B3881" s="272" t="s">
        <v>13324</v>
      </c>
      <c r="C3881" s="272" t="s">
        <v>109</v>
      </c>
      <c r="D3881" s="273" t="s">
        <v>16640</v>
      </c>
      <c r="E3881" s="274" t="s">
        <v>229</v>
      </c>
    </row>
    <row r="3882" spans="1:5" ht="27">
      <c r="A3882" s="271">
        <v>92665</v>
      </c>
      <c r="B3882" s="272" t="s">
        <v>13325</v>
      </c>
      <c r="C3882" s="272" t="s">
        <v>109</v>
      </c>
      <c r="D3882" s="273" t="s">
        <v>14190</v>
      </c>
      <c r="E3882" s="274" t="s">
        <v>229</v>
      </c>
    </row>
    <row r="3883" spans="1:5" ht="27">
      <c r="A3883" s="271">
        <v>92666</v>
      </c>
      <c r="B3883" s="272" t="s">
        <v>13326</v>
      </c>
      <c r="C3883" s="272" t="s">
        <v>109</v>
      </c>
      <c r="D3883" s="273" t="s">
        <v>12452</v>
      </c>
      <c r="E3883" s="274" t="s">
        <v>229</v>
      </c>
    </row>
    <row r="3884" spans="1:5" ht="27">
      <c r="A3884" s="271">
        <v>92667</v>
      </c>
      <c r="B3884" s="272" t="s">
        <v>13327</v>
      </c>
      <c r="C3884" s="272" t="s">
        <v>109</v>
      </c>
      <c r="D3884" s="273" t="s">
        <v>16186</v>
      </c>
      <c r="E3884" s="274" t="s">
        <v>229</v>
      </c>
    </row>
    <row r="3885" spans="1:5" ht="27">
      <c r="A3885" s="271">
        <v>92668</v>
      </c>
      <c r="B3885" s="272" t="s">
        <v>13328</v>
      </c>
      <c r="C3885" s="272" t="s">
        <v>109</v>
      </c>
      <c r="D3885" s="273" t="s">
        <v>23171</v>
      </c>
      <c r="E3885" s="274" t="s">
        <v>229</v>
      </c>
    </row>
    <row r="3886" spans="1:5" ht="27">
      <c r="A3886" s="271">
        <v>92669</v>
      </c>
      <c r="B3886" s="272" t="s">
        <v>13329</v>
      </c>
      <c r="C3886" s="272" t="s">
        <v>109</v>
      </c>
      <c r="D3886" s="273" t="s">
        <v>23172</v>
      </c>
      <c r="E3886" s="274" t="s">
        <v>229</v>
      </c>
    </row>
    <row r="3887" spans="1:5" ht="27">
      <c r="A3887" s="271">
        <v>92670</v>
      </c>
      <c r="B3887" s="272" t="s">
        <v>13330</v>
      </c>
      <c r="C3887" s="272" t="s">
        <v>109</v>
      </c>
      <c r="D3887" s="273" t="s">
        <v>9789</v>
      </c>
      <c r="E3887" s="274" t="s">
        <v>229</v>
      </c>
    </row>
    <row r="3888" spans="1:5" ht="27">
      <c r="A3888" s="271">
        <v>92671</v>
      </c>
      <c r="B3888" s="272" t="s">
        <v>13331</v>
      </c>
      <c r="C3888" s="272" t="s">
        <v>109</v>
      </c>
      <c r="D3888" s="273" t="s">
        <v>23173</v>
      </c>
      <c r="E3888" s="274" t="s">
        <v>229</v>
      </c>
    </row>
    <row r="3889" spans="1:5" ht="27">
      <c r="A3889" s="271">
        <v>92672</v>
      </c>
      <c r="B3889" s="272" t="s">
        <v>13332</v>
      </c>
      <c r="C3889" s="272" t="s">
        <v>109</v>
      </c>
      <c r="D3889" s="273" t="s">
        <v>23174</v>
      </c>
      <c r="E3889" s="274" t="s">
        <v>229</v>
      </c>
    </row>
    <row r="3890" spans="1:5" ht="27">
      <c r="A3890" s="271">
        <v>92673</v>
      </c>
      <c r="B3890" s="272" t="s">
        <v>13333</v>
      </c>
      <c r="C3890" s="272" t="s">
        <v>109</v>
      </c>
      <c r="D3890" s="273" t="s">
        <v>16652</v>
      </c>
      <c r="E3890" s="274" t="s">
        <v>229</v>
      </c>
    </row>
    <row r="3891" spans="1:5" ht="27">
      <c r="A3891" s="271">
        <v>92674</v>
      </c>
      <c r="B3891" s="272" t="s">
        <v>13334</v>
      </c>
      <c r="C3891" s="272" t="s">
        <v>109</v>
      </c>
      <c r="D3891" s="273" t="s">
        <v>23175</v>
      </c>
      <c r="E3891" s="274" t="s">
        <v>229</v>
      </c>
    </row>
    <row r="3892" spans="1:5" ht="27">
      <c r="A3892" s="271">
        <v>92675</v>
      </c>
      <c r="B3892" s="272" t="s">
        <v>13335</v>
      </c>
      <c r="C3892" s="272" t="s">
        <v>109</v>
      </c>
      <c r="D3892" s="273" t="s">
        <v>16393</v>
      </c>
      <c r="E3892" s="274" t="s">
        <v>229</v>
      </c>
    </row>
    <row r="3893" spans="1:5" ht="27">
      <c r="A3893" s="271">
        <v>92676</v>
      </c>
      <c r="B3893" s="272" t="s">
        <v>13336</v>
      </c>
      <c r="C3893" s="272" t="s">
        <v>109</v>
      </c>
      <c r="D3893" s="273" t="s">
        <v>16180</v>
      </c>
      <c r="E3893" s="274" t="s">
        <v>229</v>
      </c>
    </row>
    <row r="3894" spans="1:5" ht="27">
      <c r="A3894" s="271">
        <v>92677</v>
      </c>
      <c r="B3894" s="272" t="s">
        <v>13337</v>
      </c>
      <c r="C3894" s="272" t="s">
        <v>109</v>
      </c>
      <c r="D3894" s="273" t="s">
        <v>23176</v>
      </c>
      <c r="E3894" s="274" t="s">
        <v>229</v>
      </c>
    </row>
    <row r="3895" spans="1:5" ht="27">
      <c r="A3895" s="271">
        <v>92678</v>
      </c>
      <c r="B3895" s="272" t="s">
        <v>13338</v>
      </c>
      <c r="C3895" s="272" t="s">
        <v>109</v>
      </c>
      <c r="D3895" s="273" t="s">
        <v>23177</v>
      </c>
      <c r="E3895" s="274" t="s">
        <v>229</v>
      </c>
    </row>
    <row r="3896" spans="1:5" ht="27">
      <c r="A3896" s="271">
        <v>92679</v>
      </c>
      <c r="B3896" s="272" t="s">
        <v>13339</v>
      </c>
      <c r="C3896" s="272" t="s">
        <v>109</v>
      </c>
      <c r="D3896" s="273" t="s">
        <v>15994</v>
      </c>
      <c r="E3896" s="274" t="s">
        <v>229</v>
      </c>
    </row>
    <row r="3897" spans="1:5" ht="27">
      <c r="A3897" s="271">
        <v>92680</v>
      </c>
      <c r="B3897" s="272" t="s">
        <v>13340</v>
      </c>
      <c r="C3897" s="272" t="s">
        <v>109</v>
      </c>
      <c r="D3897" s="273" t="s">
        <v>23178</v>
      </c>
      <c r="E3897" s="274" t="s">
        <v>229</v>
      </c>
    </row>
    <row r="3898" spans="1:5" ht="27">
      <c r="A3898" s="271">
        <v>92681</v>
      </c>
      <c r="B3898" s="272" t="s">
        <v>13341</v>
      </c>
      <c r="C3898" s="272" t="s">
        <v>109</v>
      </c>
      <c r="D3898" s="273" t="s">
        <v>15918</v>
      </c>
      <c r="E3898" s="274" t="s">
        <v>229</v>
      </c>
    </row>
    <row r="3899" spans="1:5" ht="27">
      <c r="A3899" s="271">
        <v>92682</v>
      </c>
      <c r="B3899" s="272" t="s">
        <v>13342</v>
      </c>
      <c r="C3899" s="272" t="s">
        <v>109</v>
      </c>
      <c r="D3899" s="273" t="s">
        <v>23179</v>
      </c>
      <c r="E3899" s="274" t="s">
        <v>229</v>
      </c>
    </row>
    <row r="3900" spans="1:5" ht="27">
      <c r="A3900" s="271">
        <v>92683</v>
      </c>
      <c r="B3900" s="272" t="s">
        <v>13343</v>
      </c>
      <c r="C3900" s="272" t="s">
        <v>109</v>
      </c>
      <c r="D3900" s="273" t="s">
        <v>16322</v>
      </c>
      <c r="E3900" s="274" t="s">
        <v>229</v>
      </c>
    </row>
    <row r="3901" spans="1:5" ht="27">
      <c r="A3901" s="271">
        <v>92684</v>
      </c>
      <c r="B3901" s="272" t="s">
        <v>13344</v>
      </c>
      <c r="C3901" s="272" t="s">
        <v>109</v>
      </c>
      <c r="D3901" s="273" t="s">
        <v>16662</v>
      </c>
      <c r="E3901" s="274" t="s">
        <v>229</v>
      </c>
    </row>
    <row r="3902" spans="1:5" ht="27">
      <c r="A3902" s="271">
        <v>92685</v>
      </c>
      <c r="B3902" s="272" t="s">
        <v>13345</v>
      </c>
      <c r="C3902" s="272" t="s">
        <v>109</v>
      </c>
      <c r="D3902" s="273" t="s">
        <v>23180</v>
      </c>
      <c r="E3902" s="274" t="s">
        <v>229</v>
      </c>
    </row>
    <row r="3903" spans="1:5" ht="27">
      <c r="A3903" s="271">
        <v>92686</v>
      </c>
      <c r="B3903" s="272" t="s">
        <v>13346</v>
      </c>
      <c r="C3903" s="272" t="s">
        <v>109</v>
      </c>
      <c r="D3903" s="273" t="s">
        <v>23181</v>
      </c>
      <c r="E3903" s="274" t="s">
        <v>229</v>
      </c>
    </row>
    <row r="3904" spans="1:5" ht="27">
      <c r="A3904" s="271">
        <v>92692</v>
      </c>
      <c r="B3904" s="272" t="s">
        <v>13347</v>
      </c>
      <c r="C3904" s="272" t="s">
        <v>109</v>
      </c>
      <c r="D3904" s="273" t="s">
        <v>23182</v>
      </c>
      <c r="E3904" s="274" t="s">
        <v>229</v>
      </c>
    </row>
    <row r="3905" spans="1:5" ht="27">
      <c r="A3905" s="271">
        <v>92693</v>
      </c>
      <c r="B3905" s="272" t="s">
        <v>13348</v>
      </c>
      <c r="C3905" s="272" t="s">
        <v>109</v>
      </c>
      <c r="D3905" s="273" t="s">
        <v>11186</v>
      </c>
      <c r="E3905" s="274" t="s">
        <v>229</v>
      </c>
    </row>
    <row r="3906" spans="1:5" ht="27">
      <c r="A3906" s="271">
        <v>92694</v>
      </c>
      <c r="B3906" s="272" t="s">
        <v>13349</v>
      </c>
      <c r="C3906" s="272" t="s">
        <v>109</v>
      </c>
      <c r="D3906" s="273" t="s">
        <v>11042</v>
      </c>
      <c r="E3906" s="274" t="s">
        <v>229</v>
      </c>
    </row>
    <row r="3907" spans="1:5" ht="27">
      <c r="A3907" s="271">
        <v>92695</v>
      </c>
      <c r="B3907" s="272" t="s">
        <v>13350</v>
      </c>
      <c r="C3907" s="272" t="s">
        <v>109</v>
      </c>
      <c r="D3907" s="273" t="s">
        <v>11036</v>
      </c>
      <c r="E3907" s="274" t="s">
        <v>229</v>
      </c>
    </row>
    <row r="3908" spans="1:5" ht="27">
      <c r="A3908" s="271">
        <v>92696</v>
      </c>
      <c r="B3908" s="272" t="s">
        <v>13351</v>
      </c>
      <c r="C3908" s="272" t="s">
        <v>109</v>
      </c>
      <c r="D3908" s="273" t="s">
        <v>15992</v>
      </c>
      <c r="E3908" s="274" t="s">
        <v>229</v>
      </c>
    </row>
    <row r="3909" spans="1:5" ht="27">
      <c r="A3909" s="271">
        <v>92697</v>
      </c>
      <c r="B3909" s="272" t="s">
        <v>13352</v>
      </c>
      <c r="C3909" s="272" t="s">
        <v>109</v>
      </c>
      <c r="D3909" s="273" t="s">
        <v>12366</v>
      </c>
      <c r="E3909" s="274" t="s">
        <v>229</v>
      </c>
    </row>
    <row r="3910" spans="1:5" ht="27">
      <c r="A3910" s="271">
        <v>92698</v>
      </c>
      <c r="B3910" s="272" t="s">
        <v>13353</v>
      </c>
      <c r="C3910" s="272" t="s">
        <v>109</v>
      </c>
      <c r="D3910" s="273" t="s">
        <v>23183</v>
      </c>
      <c r="E3910" s="274" t="s">
        <v>229</v>
      </c>
    </row>
    <row r="3911" spans="1:5" ht="27">
      <c r="A3911" s="271">
        <v>92699</v>
      </c>
      <c r="B3911" s="272" t="s">
        <v>13354</v>
      </c>
      <c r="C3911" s="272" t="s">
        <v>109</v>
      </c>
      <c r="D3911" s="273" t="s">
        <v>19965</v>
      </c>
      <c r="E3911" s="274" t="s">
        <v>229</v>
      </c>
    </row>
    <row r="3912" spans="1:5" ht="27">
      <c r="A3912" s="271">
        <v>92700</v>
      </c>
      <c r="B3912" s="272" t="s">
        <v>13355</v>
      </c>
      <c r="C3912" s="272" t="s">
        <v>109</v>
      </c>
      <c r="D3912" s="273" t="s">
        <v>21581</v>
      </c>
      <c r="E3912" s="274" t="s">
        <v>229</v>
      </c>
    </row>
    <row r="3913" spans="1:5" ht="27">
      <c r="A3913" s="271">
        <v>92701</v>
      </c>
      <c r="B3913" s="272" t="s">
        <v>13356</v>
      </c>
      <c r="C3913" s="272" t="s">
        <v>109</v>
      </c>
      <c r="D3913" s="273" t="s">
        <v>23184</v>
      </c>
      <c r="E3913" s="274" t="s">
        <v>229</v>
      </c>
    </row>
    <row r="3914" spans="1:5" ht="27">
      <c r="A3914" s="271">
        <v>92702</v>
      </c>
      <c r="B3914" s="272" t="s">
        <v>13357</v>
      </c>
      <c r="C3914" s="272" t="s">
        <v>109</v>
      </c>
      <c r="D3914" s="273" t="s">
        <v>23185</v>
      </c>
      <c r="E3914" s="274" t="s">
        <v>229</v>
      </c>
    </row>
    <row r="3915" spans="1:5" ht="27">
      <c r="A3915" s="271">
        <v>92703</v>
      </c>
      <c r="B3915" s="272" t="s">
        <v>13358</v>
      </c>
      <c r="C3915" s="272" t="s">
        <v>109</v>
      </c>
      <c r="D3915" s="273" t="s">
        <v>22564</v>
      </c>
      <c r="E3915" s="274" t="s">
        <v>229</v>
      </c>
    </row>
    <row r="3916" spans="1:5" ht="27">
      <c r="A3916" s="271">
        <v>92704</v>
      </c>
      <c r="B3916" s="272" t="s">
        <v>13359</v>
      </c>
      <c r="C3916" s="272" t="s">
        <v>109</v>
      </c>
      <c r="D3916" s="273" t="s">
        <v>10072</v>
      </c>
      <c r="E3916" s="274" t="s">
        <v>229</v>
      </c>
    </row>
    <row r="3917" spans="1:5" ht="27">
      <c r="A3917" s="271">
        <v>92705</v>
      </c>
      <c r="B3917" s="272" t="s">
        <v>13360</v>
      </c>
      <c r="C3917" s="272" t="s">
        <v>109</v>
      </c>
      <c r="D3917" s="273" t="s">
        <v>10631</v>
      </c>
      <c r="E3917" s="274" t="s">
        <v>229</v>
      </c>
    </row>
    <row r="3918" spans="1:5" ht="27">
      <c r="A3918" s="271">
        <v>92706</v>
      </c>
      <c r="B3918" s="272" t="s">
        <v>13361</v>
      </c>
      <c r="C3918" s="272" t="s">
        <v>109</v>
      </c>
      <c r="D3918" s="273" t="s">
        <v>23186</v>
      </c>
      <c r="E3918" s="274" t="s">
        <v>229</v>
      </c>
    </row>
    <row r="3919" spans="1:5" ht="27">
      <c r="A3919" s="271">
        <v>92889</v>
      </c>
      <c r="B3919" s="272" t="s">
        <v>13362</v>
      </c>
      <c r="C3919" s="272" t="s">
        <v>109</v>
      </c>
      <c r="D3919" s="273" t="s">
        <v>15988</v>
      </c>
      <c r="E3919" s="274" t="s">
        <v>229</v>
      </c>
    </row>
    <row r="3920" spans="1:5" ht="27">
      <c r="A3920" s="271">
        <v>92890</v>
      </c>
      <c r="B3920" s="272" t="s">
        <v>13363</v>
      </c>
      <c r="C3920" s="272" t="s">
        <v>109</v>
      </c>
      <c r="D3920" s="273" t="s">
        <v>23187</v>
      </c>
      <c r="E3920" s="274" t="s">
        <v>229</v>
      </c>
    </row>
    <row r="3921" spans="1:5" ht="27">
      <c r="A3921" s="271">
        <v>92891</v>
      </c>
      <c r="B3921" s="272" t="s">
        <v>13364</v>
      </c>
      <c r="C3921" s="272" t="s">
        <v>109</v>
      </c>
      <c r="D3921" s="273" t="s">
        <v>23188</v>
      </c>
      <c r="E3921" s="274" t="s">
        <v>229</v>
      </c>
    </row>
    <row r="3922" spans="1:5" ht="27">
      <c r="A3922" s="271">
        <v>92892</v>
      </c>
      <c r="B3922" s="272" t="s">
        <v>13365</v>
      </c>
      <c r="C3922" s="272" t="s">
        <v>109</v>
      </c>
      <c r="D3922" s="273" t="s">
        <v>23189</v>
      </c>
      <c r="E3922" s="274" t="s">
        <v>229</v>
      </c>
    </row>
    <row r="3923" spans="1:5" ht="27">
      <c r="A3923" s="271">
        <v>92893</v>
      </c>
      <c r="B3923" s="272" t="s">
        <v>13366</v>
      </c>
      <c r="C3923" s="272" t="s">
        <v>109</v>
      </c>
      <c r="D3923" s="273" t="s">
        <v>23190</v>
      </c>
      <c r="E3923" s="274" t="s">
        <v>229</v>
      </c>
    </row>
    <row r="3924" spans="1:5" ht="27">
      <c r="A3924" s="271">
        <v>92894</v>
      </c>
      <c r="B3924" s="272" t="s">
        <v>13367</v>
      </c>
      <c r="C3924" s="272" t="s">
        <v>109</v>
      </c>
      <c r="D3924" s="273" t="s">
        <v>23191</v>
      </c>
      <c r="E3924" s="274" t="s">
        <v>229</v>
      </c>
    </row>
    <row r="3925" spans="1:5" ht="27">
      <c r="A3925" s="271">
        <v>92895</v>
      </c>
      <c r="B3925" s="272" t="s">
        <v>13368</v>
      </c>
      <c r="C3925" s="272" t="s">
        <v>109</v>
      </c>
      <c r="D3925" s="273" t="s">
        <v>23192</v>
      </c>
      <c r="E3925" s="274" t="s">
        <v>229</v>
      </c>
    </row>
    <row r="3926" spans="1:5" ht="27">
      <c r="A3926" s="271">
        <v>92896</v>
      </c>
      <c r="B3926" s="272" t="s">
        <v>13369</v>
      </c>
      <c r="C3926" s="272" t="s">
        <v>109</v>
      </c>
      <c r="D3926" s="273" t="s">
        <v>21508</v>
      </c>
      <c r="E3926" s="274" t="s">
        <v>229</v>
      </c>
    </row>
    <row r="3927" spans="1:5" ht="27">
      <c r="A3927" s="271">
        <v>92897</v>
      </c>
      <c r="B3927" s="272" t="s">
        <v>13370</v>
      </c>
      <c r="C3927" s="272" t="s">
        <v>109</v>
      </c>
      <c r="D3927" s="273" t="s">
        <v>23193</v>
      </c>
      <c r="E3927" s="274" t="s">
        <v>229</v>
      </c>
    </row>
    <row r="3928" spans="1:5" ht="27">
      <c r="A3928" s="271">
        <v>92898</v>
      </c>
      <c r="B3928" s="272" t="s">
        <v>13371</v>
      </c>
      <c r="C3928" s="272" t="s">
        <v>109</v>
      </c>
      <c r="D3928" s="273" t="s">
        <v>14130</v>
      </c>
      <c r="E3928" s="274" t="s">
        <v>229</v>
      </c>
    </row>
    <row r="3929" spans="1:5" ht="27">
      <c r="A3929" s="271">
        <v>92899</v>
      </c>
      <c r="B3929" s="272" t="s">
        <v>13372</v>
      </c>
      <c r="C3929" s="272" t="s">
        <v>109</v>
      </c>
      <c r="D3929" s="273" t="s">
        <v>20566</v>
      </c>
      <c r="E3929" s="274" t="s">
        <v>229</v>
      </c>
    </row>
    <row r="3930" spans="1:5" ht="27">
      <c r="A3930" s="271">
        <v>92900</v>
      </c>
      <c r="B3930" s="272" t="s">
        <v>13373</v>
      </c>
      <c r="C3930" s="272" t="s">
        <v>109</v>
      </c>
      <c r="D3930" s="273" t="s">
        <v>22663</v>
      </c>
      <c r="E3930" s="274" t="s">
        <v>229</v>
      </c>
    </row>
    <row r="3931" spans="1:5" ht="27">
      <c r="A3931" s="271">
        <v>92901</v>
      </c>
      <c r="B3931" s="272" t="s">
        <v>13374</v>
      </c>
      <c r="C3931" s="272" t="s">
        <v>109</v>
      </c>
      <c r="D3931" s="273" t="s">
        <v>23194</v>
      </c>
      <c r="E3931" s="274" t="s">
        <v>229</v>
      </c>
    </row>
    <row r="3932" spans="1:5" ht="27">
      <c r="A3932" s="271">
        <v>92902</v>
      </c>
      <c r="B3932" s="272" t="s">
        <v>13375</v>
      </c>
      <c r="C3932" s="272" t="s">
        <v>109</v>
      </c>
      <c r="D3932" s="273" t="s">
        <v>23195</v>
      </c>
      <c r="E3932" s="274" t="s">
        <v>229</v>
      </c>
    </row>
    <row r="3933" spans="1:5" ht="27">
      <c r="A3933" s="271">
        <v>92903</v>
      </c>
      <c r="B3933" s="272" t="s">
        <v>13376</v>
      </c>
      <c r="C3933" s="272" t="s">
        <v>109</v>
      </c>
      <c r="D3933" s="273" t="s">
        <v>23196</v>
      </c>
      <c r="E3933" s="274" t="s">
        <v>229</v>
      </c>
    </row>
    <row r="3934" spans="1:5" ht="27">
      <c r="A3934" s="271">
        <v>92904</v>
      </c>
      <c r="B3934" s="272" t="s">
        <v>13377</v>
      </c>
      <c r="C3934" s="272" t="s">
        <v>109</v>
      </c>
      <c r="D3934" s="273" t="s">
        <v>16004</v>
      </c>
      <c r="E3934" s="274" t="s">
        <v>229</v>
      </c>
    </row>
    <row r="3935" spans="1:5" ht="27">
      <c r="A3935" s="271">
        <v>92905</v>
      </c>
      <c r="B3935" s="272" t="s">
        <v>13378</v>
      </c>
      <c r="C3935" s="272" t="s">
        <v>109</v>
      </c>
      <c r="D3935" s="273" t="s">
        <v>20561</v>
      </c>
      <c r="E3935" s="274" t="s">
        <v>229</v>
      </c>
    </row>
    <row r="3936" spans="1:5" ht="27">
      <c r="A3936" s="271">
        <v>92906</v>
      </c>
      <c r="B3936" s="272" t="s">
        <v>13379</v>
      </c>
      <c r="C3936" s="272" t="s">
        <v>109</v>
      </c>
      <c r="D3936" s="273" t="s">
        <v>23197</v>
      </c>
      <c r="E3936" s="274" t="s">
        <v>229</v>
      </c>
    </row>
    <row r="3937" spans="1:5" ht="27">
      <c r="A3937" s="271">
        <v>92907</v>
      </c>
      <c r="B3937" s="272" t="s">
        <v>13380</v>
      </c>
      <c r="C3937" s="272" t="s">
        <v>109</v>
      </c>
      <c r="D3937" s="273" t="s">
        <v>23198</v>
      </c>
      <c r="E3937" s="274" t="s">
        <v>229</v>
      </c>
    </row>
    <row r="3938" spans="1:5" ht="27">
      <c r="A3938" s="271">
        <v>92908</v>
      </c>
      <c r="B3938" s="272" t="s">
        <v>13381</v>
      </c>
      <c r="C3938" s="272" t="s">
        <v>109</v>
      </c>
      <c r="D3938" s="273" t="s">
        <v>23198</v>
      </c>
      <c r="E3938" s="274" t="s">
        <v>229</v>
      </c>
    </row>
    <row r="3939" spans="1:5" ht="27">
      <c r="A3939" s="271">
        <v>92909</v>
      </c>
      <c r="B3939" s="272" t="s">
        <v>13382</v>
      </c>
      <c r="C3939" s="272" t="s">
        <v>109</v>
      </c>
      <c r="D3939" s="273" t="s">
        <v>23198</v>
      </c>
      <c r="E3939" s="274" t="s">
        <v>229</v>
      </c>
    </row>
    <row r="3940" spans="1:5" ht="27">
      <c r="A3940" s="271">
        <v>92910</v>
      </c>
      <c r="B3940" s="272" t="s">
        <v>13383</v>
      </c>
      <c r="C3940" s="272" t="s">
        <v>109</v>
      </c>
      <c r="D3940" s="273" t="s">
        <v>23199</v>
      </c>
      <c r="E3940" s="274" t="s">
        <v>229</v>
      </c>
    </row>
    <row r="3941" spans="1:5" ht="27">
      <c r="A3941" s="271">
        <v>92911</v>
      </c>
      <c r="B3941" s="272" t="s">
        <v>13384</v>
      </c>
      <c r="C3941" s="272" t="s">
        <v>109</v>
      </c>
      <c r="D3941" s="273" t="s">
        <v>23199</v>
      </c>
      <c r="E3941" s="274" t="s">
        <v>229</v>
      </c>
    </row>
    <row r="3942" spans="1:5" ht="27">
      <c r="A3942" s="271">
        <v>92912</v>
      </c>
      <c r="B3942" s="272" t="s">
        <v>13385</v>
      </c>
      <c r="C3942" s="272" t="s">
        <v>109</v>
      </c>
      <c r="D3942" s="273" t="s">
        <v>23200</v>
      </c>
      <c r="E3942" s="274" t="s">
        <v>229</v>
      </c>
    </row>
    <row r="3943" spans="1:5" ht="27">
      <c r="A3943" s="271">
        <v>92913</v>
      </c>
      <c r="B3943" s="272" t="s">
        <v>13386</v>
      </c>
      <c r="C3943" s="272" t="s">
        <v>109</v>
      </c>
      <c r="D3943" s="273" t="s">
        <v>23201</v>
      </c>
      <c r="E3943" s="274" t="s">
        <v>229</v>
      </c>
    </row>
    <row r="3944" spans="1:5" ht="27">
      <c r="A3944" s="271">
        <v>92914</v>
      </c>
      <c r="B3944" s="272" t="s">
        <v>13387</v>
      </c>
      <c r="C3944" s="272" t="s">
        <v>109</v>
      </c>
      <c r="D3944" s="273" t="s">
        <v>23201</v>
      </c>
      <c r="E3944" s="274" t="s">
        <v>229</v>
      </c>
    </row>
    <row r="3945" spans="1:5" ht="27">
      <c r="A3945" s="271">
        <v>92918</v>
      </c>
      <c r="B3945" s="272" t="s">
        <v>13388</v>
      </c>
      <c r="C3945" s="272" t="s">
        <v>109</v>
      </c>
      <c r="D3945" s="273" t="s">
        <v>10118</v>
      </c>
      <c r="E3945" s="274" t="s">
        <v>229</v>
      </c>
    </row>
    <row r="3946" spans="1:5" ht="27">
      <c r="A3946" s="271">
        <v>92920</v>
      </c>
      <c r="B3946" s="272" t="s">
        <v>13389</v>
      </c>
      <c r="C3946" s="272" t="s">
        <v>109</v>
      </c>
      <c r="D3946" s="273" t="s">
        <v>15978</v>
      </c>
      <c r="E3946" s="274" t="s">
        <v>229</v>
      </c>
    </row>
    <row r="3947" spans="1:5" ht="27">
      <c r="A3947" s="271">
        <v>92925</v>
      </c>
      <c r="B3947" s="272" t="s">
        <v>13390</v>
      </c>
      <c r="C3947" s="272" t="s">
        <v>109</v>
      </c>
      <c r="D3947" s="273" t="s">
        <v>12174</v>
      </c>
      <c r="E3947" s="274" t="s">
        <v>229</v>
      </c>
    </row>
    <row r="3948" spans="1:5" ht="27">
      <c r="A3948" s="271">
        <v>92926</v>
      </c>
      <c r="B3948" s="272" t="s">
        <v>13391</v>
      </c>
      <c r="C3948" s="272" t="s">
        <v>109</v>
      </c>
      <c r="D3948" s="273" t="s">
        <v>16608</v>
      </c>
      <c r="E3948" s="274" t="s">
        <v>229</v>
      </c>
    </row>
    <row r="3949" spans="1:5" ht="27">
      <c r="A3949" s="271">
        <v>92927</v>
      </c>
      <c r="B3949" s="272" t="s">
        <v>13392</v>
      </c>
      <c r="C3949" s="272" t="s">
        <v>109</v>
      </c>
      <c r="D3949" s="273" t="s">
        <v>16608</v>
      </c>
      <c r="E3949" s="274" t="s">
        <v>229</v>
      </c>
    </row>
    <row r="3950" spans="1:5" ht="27">
      <c r="A3950" s="271">
        <v>92928</v>
      </c>
      <c r="B3950" s="272" t="s">
        <v>13393</v>
      </c>
      <c r="C3950" s="272" t="s">
        <v>109</v>
      </c>
      <c r="D3950" s="273" t="s">
        <v>23202</v>
      </c>
      <c r="E3950" s="274" t="s">
        <v>229</v>
      </c>
    </row>
    <row r="3951" spans="1:5" ht="27">
      <c r="A3951" s="271">
        <v>92929</v>
      </c>
      <c r="B3951" s="272" t="s">
        <v>13394</v>
      </c>
      <c r="C3951" s="272" t="s">
        <v>109</v>
      </c>
      <c r="D3951" s="273" t="s">
        <v>23202</v>
      </c>
      <c r="E3951" s="274" t="s">
        <v>229</v>
      </c>
    </row>
    <row r="3952" spans="1:5" ht="27">
      <c r="A3952" s="271">
        <v>92930</v>
      </c>
      <c r="B3952" s="272" t="s">
        <v>13395</v>
      </c>
      <c r="C3952" s="272" t="s">
        <v>109</v>
      </c>
      <c r="D3952" s="273" t="s">
        <v>23202</v>
      </c>
      <c r="E3952" s="274" t="s">
        <v>229</v>
      </c>
    </row>
    <row r="3953" spans="1:5" ht="27">
      <c r="A3953" s="271">
        <v>92931</v>
      </c>
      <c r="B3953" s="272" t="s">
        <v>13396</v>
      </c>
      <c r="C3953" s="272" t="s">
        <v>109</v>
      </c>
      <c r="D3953" s="273" t="s">
        <v>16384</v>
      </c>
      <c r="E3953" s="274" t="s">
        <v>229</v>
      </c>
    </row>
    <row r="3954" spans="1:5" ht="27">
      <c r="A3954" s="271">
        <v>92932</v>
      </c>
      <c r="B3954" s="272" t="s">
        <v>13397</v>
      </c>
      <c r="C3954" s="272" t="s">
        <v>109</v>
      </c>
      <c r="D3954" s="273" t="s">
        <v>16384</v>
      </c>
      <c r="E3954" s="274" t="s">
        <v>229</v>
      </c>
    </row>
    <row r="3955" spans="1:5" ht="27">
      <c r="A3955" s="271">
        <v>92933</v>
      </c>
      <c r="B3955" s="272" t="s">
        <v>13398</v>
      </c>
      <c r="C3955" s="272" t="s">
        <v>109</v>
      </c>
      <c r="D3955" s="273" t="s">
        <v>16384</v>
      </c>
      <c r="E3955" s="274" t="s">
        <v>229</v>
      </c>
    </row>
    <row r="3956" spans="1:5" ht="27">
      <c r="A3956" s="271">
        <v>92934</v>
      </c>
      <c r="B3956" s="272" t="s">
        <v>13399</v>
      </c>
      <c r="C3956" s="272" t="s">
        <v>109</v>
      </c>
      <c r="D3956" s="273" t="s">
        <v>23130</v>
      </c>
      <c r="E3956" s="274" t="s">
        <v>229</v>
      </c>
    </row>
    <row r="3957" spans="1:5" ht="27">
      <c r="A3957" s="271">
        <v>92935</v>
      </c>
      <c r="B3957" s="272" t="s">
        <v>13400</v>
      </c>
      <c r="C3957" s="272" t="s">
        <v>109</v>
      </c>
      <c r="D3957" s="273" t="s">
        <v>23130</v>
      </c>
      <c r="E3957" s="274" t="s">
        <v>229</v>
      </c>
    </row>
    <row r="3958" spans="1:5" ht="27">
      <c r="A3958" s="271">
        <v>92936</v>
      </c>
      <c r="B3958" s="272" t="s">
        <v>13401</v>
      </c>
      <c r="C3958" s="272" t="s">
        <v>109</v>
      </c>
      <c r="D3958" s="273" t="s">
        <v>23203</v>
      </c>
      <c r="E3958" s="274" t="s">
        <v>229</v>
      </c>
    </row>
    <row r="3959" spans="1:5" ht="27">
      <c r="A3959" s="271">
        <v>92937</v>
      </c>
      <c r="B3959" s="272" t="s">
        <v>13402</v>
      </c>
      <c r="C3959" s="272" t="s">
        <v>109</v>
      </c>
      <c r="D3959" s="273" t="s">
        <v>23203</v>
      </c>
      <c r="E3959" s="274" t="s">
        <v>229</v>
      </c>
    </row>
    <row r="3960" spans="1:5" ht="27">
      <c r="A3960" s="271">
        <v>92938</v>
      </c>
      <c r="B3960" s="272" t="s">
        <v>13403</v>
      </c>
      <c r="C3960" s="272" t="s">
        <v>109</v>
      </c>
      <c r="D3960" s="273" t="s">
        <v>15879</v>
      </c>
      <c r="E3960" s="274" t="s">
        <v>229</v>
      </c>
    </row>
    <row r="3961" spans="1:5" ht="27">
      <c r="A3961" s="271">
        <v>92939</v>
      </c>
      <c r="B3961" s="272" t="s">
        <v>13404</v>
      </c>
      <c r="C3961" s="272" t="s">
        <v>109</v>
      </c>
      <c r="D3961" s="273" t="s">
        <v>10712</v>
      </c>
      <c r="E3961" s="274" t="s">
        <v>229</v>
      </c>
    </row>
    <row r="3962" spans="1:5" ht="27">
      <c r="A3962" s="271">
        <v>92940</v>
      </c>
      <c r="B3962" s="272" t="s">
        <v>13405</v>
      </c>
      <c r="C3962" s="272" t="s">
        <v>109</v>
      </c>
      <c r="D3962" s="273" t="s">
        <v>23204</v>
      </c>
      <c r="E3962" s="274" t="s">
        <v>229</v>
      </c>
    </row>
    <row r="3963" spans="1:5" ht="27">
      <c r="A3963" s="271">
        <v>92941</v>
      </c>
      <c r="B3963" s="272" t="s">
        <v>13406</v>
      </c>
      <c r="C3963" s="272" t="s">
        <v>109</v>
      </c>
      <c r="D3963" s="273" t="s">
        <v>16390</v>
      </c>
      <c r="E3963" s="274" t="s">
        <v>229</v>
      </c>
    </row>
    <row r="3964" spans="1:5" ht="27">
      <c r="A3964" s="271">
        <v>92942</v>
      </c>
      <c r="B3964" s="272" t="s">
        <v>13407</v>
      </c>
      <c r="C3964" s="272" t="s">
        <v>109</v>
      </c>
      <c r="D3964" s="273" t="s">
        <v>16390</v>
      </c>
      <c r="E3964" s="274" t="s">
        <v>229</v>
      </c>
    </row>
    <row r="3965" spans="1:5" ht="27">
      <c r="A3965" s="271">
        <v>92943</v>
      </c>
      <c r="B3965" s="272" t="s">
        <v>13408</v>
      </c>
      <c r="C3965" s="272" t="s">
        <v>109</v>
      </c>
      <c r="D3965" s="273" t="s">
        <v>11487</v>
      </c>
      <c r="E3965" s="274" t="s">
        <v>229</v>
      </c>
    </row>
    <row r="3966" spans="1:5" ht="27">
      <c r="A3966" s="271">
        <v>92944</v>
      </c>
      <c r="B3966" s="272" t="s">
        <v>13409</v>
      </c>
      <c r="C3966" s="272" t="s">
        <v>109</v>
      </c>
      <c r="D3966" s="273" t="s">
        <v>11487</v>
      </c>
      <c r="E3966" s="274" t="s">
        <v>229</v>
      </c>
    </row>
    <row r="3967" spans="1:5" ht="27">
      <c r="A3967" s="271">
        <v>92945</v>
      </c>
      <c r="B3967" s="272" t="s">
        <v>13410</v>
      </c>
      <c r="C3967" s="272" t="s">
        <v>109</v>
      </c>
      <c r="D3967" s="273" t="s">
        <v>11487</v>
      </c>
      <c r="E3967" s="274" t="s">
        <v>229</v>
      </c>
    </row>
    <row r="3968" spans="1:5" ht="27">
      <c r="A3968" s="271">
        <v>92946</v>
      </c>
      <c r="B3968" s="272" t="s">
        <v>13411</v>
      </c>
      <c r="C3968" s="272" t="s">
        <v>109</v>
      </c>
      <c r="D3968" s="273" t="s">
        <v>23205</v>
      </c>
      <c r="E3968" s="274" t="s">
        <v>229</v>
      </c>
    </row>
    <row r="3969" spans="1:5" ht="27">
      <c r="A3969" s="271">
        <v>92947</v>
      </c>
      <c r="B3969" s="272" t="s">
        <v>13412</v>
      </c>
      <c r="C3969" s="272" t="s">
        <v>109</v>
      </c>
      <c r="D3969" s="273" t="s">
        <v>23205</v>
      </c>
      <c r="E3969" s="274" t="s">
        <v>229</v>
      </c>
    </row>
    <row r="3970" spans="1:5" ht="27">
      <c r="A3970" s="271">
        <v>92948</v>
      </c>
      <c r="B3970" s="272" t="s">
        <v>13413</v>
      </c>
      <c r="C3970" s="272" t="s">
        <v>109</v>
      </c>
      <c r="D3970" s="273" t="s">
        <v>23205</v>
      </c>
      <c r="E3970" s="274" t="s">
        <v>229</v>
      </c>
    </row>
    <row r="3971" spans="1:5" ht="27">
      <c r="A3971" s="271">
        <v>92949</v>
      </c>
      <c r="B3971" s="272" t="s">
        <v>13414</v>
      </c>
      <c r="C3971" s="272" t="s">
        <v>109</v>
      </c>
      <c r="D3971" s="273" t="s">
        <v>23206</v>
      </c>
      <c r="E3971" s="274" t="s">
        <v>229</v>
      </c>
    </row>
    <row r="3972" spans="1:5" ht="27">
      <c r="A3972" s="271">
        <v>92950</v>
      </c>
      <c r="B3972" s="272" t="s">
        <v>13415</v>
      </c>
      <c r="C3972" s="272" t="s">
        <v>109</v>
      </c>
      <c r="D3972" s="273" t="s">
        <v>23206</v>
      </c>
      <c r="E3972" s="274" t="s">
        <v>229</v>
      </c>
    </row>
    <row r="3973" spans="1:5" ht="27">
      <c r="A3973" s="271">
        <v>92951</v>
      </c>
      <c r="B3973" s="272" t="s">
        <v>13416</v>
      </c>
      <c r="C3973" s="272" t="s">
        <v>109</v>
      </c>
      <c r="D3973" s="273" t="s">
        <v>23207</v>
      </c>
      <c r="E3973" s="274" t="s">
        <v>229</v>
      </c>
    </row>
    <row r="3974" spans="1:5" ht="27">
      <c r="A3974" s="271">
        <v>92952</v>
      </c>
      <c r="B3974" s="272" t="s">
        <v>13417</v>
      </c>
      <c r="C3974" s="272" t="s">
        <v>109</v>
      </c>
      <c r="D3974" s="273" t="s">
        <v>23207</v>
      </c>
      <c r="E3974" s="274" t="s">
        <v>229</v>
      </c>
    </row>
    <row r="3975" spans="1:5" ht="27">
      <c r="A3975" s="271">
        <v>92953</v>
      </c>
      <c r="B3975" s="272" t="s">
        <v>13418</v>
      </c>
      <c r="C3975" s="272" t="s">
        <v>109</v>
      </c>
      <c r="D3975" s="273" t="s">
        <v>12348</v>
      </c>
      <c r="E3975" s="274" t="s">
        <v>229</v>
      </c>
    </row>
    <row r="3976" spans="1:5" ht="27">
      <c r="A3976" s="271">
        <v>93050</v>
      </c>
      <c r="B3976" s="272" t="s">
        <v>4228</v>
      </c>
      <c r="C3976" s="272" t="s">
        <v>109</v>
      </c>
      <c r="D3976" s="273" t="s">
        <v>20119</v>
      </c>
      <c r="E3976" s="274" t="s">
        <v>229</v>
      </c>
    </row>
    <row r="3977" spans="1:5" ht="27">
      <c r="A3977" s="271">
        <v>93051</v>
      </c>
      <c r="B3977" s="272" t="s">
        <v>4229</v>
      </c>
      <c r="C3977" s="272" t="s">
        <v>109</v>
      </c>
      <c r="D3977" s="273" t="s">
        <v>11360</v>
      </c>
      <c r="E3977" s="274" t="s">
        <v>229</v>
      </c>
    </row>
    <row r="3978" spans="1:5" ht="27">
      <c r="A3978" s="271">
        <v>93052</v>
      </c>
      <c r="B3978" s="272" t="s">
        <v>4230</v>
      </c>
      <c r="C3978" s="272" t="s">
        <v>109</v>
      </c>
      <c r="D3978" s="273" t="s">
        <v>23208</v>
      </c>
      <c r="E3978" s="274" t="s">
        <v>229</v>
      </c>
    </row>
    <row r="3979" spans="1:5" ht="27">
      <c r="A3979" s="271">
        <v>93054</v>
      </c>
      <c r="B3979" s="272" t="s">
        <v>4231</v>
      </c>
      <c r="C3979" s="272" t="s">
        <v>109</v>
      </c>
      <c r="D3979" s="273" t="s">
        <v>21142</v>
      </c>
      <c r="E3979" s="274" t="s">
        <v>229</v>
      </c>
    </row>
    <row r="3980" spans="1:5" ht="27">
      <c r="A3980" s="271">
        <v>93055</v>
      </c>
      <c r="B3980" s="272" t="s">
        <v>4232</v>
      </c>
      <c r="C3980" s="272" t="s">
        <v>109</v>
      </c>
      <c r="D3980" s="273" t="s">
        <v>16312</v>
      </c>
      <c r="E3980" s="274" t="s">
        <v>229</v>
      </c>
    </row>
    <row r="3981" spans="1:5" ht="27">
      <c r="A3981" s="271">
        <v>93056</v>
      </c>
      <c r="B3981" s="272" t="s">
        <v>4233</v>
      </c>
      <c r="C3981" s="272" t="s">
        <v>109</v>
      </c>
      <c r="D3981" s="273" t="s">
        <v>22610</v>
      </c>
      <c r="E3981" s="274" t="s">
        <v>229</v>
      </c>
    </row>
    <row r="3982" spans="1:5" ht="27">
      <c r="A3982" s="271">
        <v>93057</v>
      </c>
      <c r="B3982" s="272" t="s">
        <v>4234</v>
      </c>
      <c r="C3982" s="272" t="s">
        <v>109</v>
      </c>
      <c r="D3982" s="273" t="s">
        <v>12320</v>
      </c>
      <c r="E3982" s="274" t="s">
        <v>229</v>
      </c>
    </row>
    <row r="3983" spans="1:5" ht="27">
      <c r="A3983" s="271">
        <v>93058</v>
      </c>
      <c r="B3983" s="272" t="s">
        <v>4235</v>
      </c>
      <c r="C3983" s="272" t="s">
        <v>109</v>
      </c>
      <c r="D3983" s="273" t="s">
        <v>23209</v>
      </c>
      <c r="E3983" s="274" t="s">
        <v>229</v>
      </c>
    </row>
    <row r="3984" spans="1:5" ht="27">
      <c r="A3984" s="271">
        <v>93059</v>
      </c>
      <c r="B3984" s="272" t="s">
        <v>4236</v>
      </c>
      <c r="C3984" s="272" t="s">
        <v>109</v>
      </c>
      <c r="D3984" s="273" t="s">
        <v>9789</v>
      </c>
      <c r="E3984" s="274" t="s">
        <v>229</v>
      </c>
    </row>
    <row r="3985" spans="1:5" ht="27">
      <c r="A3985" s="271">
        <v>93060</v>
      </c>
      <c r="B3985" s="272" t="s">
        <v>4237</v>
      </c>
      <c r="C3985" s="272" t="s">
        <v>109</v>
      </c>
      <c r="D3985" s="273" t="s">
        <v>23210</v>
      </c>
      <c r="E3985" s="274" t="s">
        <v>229</v>
      </c>
    </row>
    <row r="3986" spans="1:5" ht="27">
      <c r="A3986" s="271">
        <v>93061</v>
      </c>
      <c r="B3986" s="272" t="s">
        <v>4238</v>
      </c>
      <c r="C3986" s="272" t="s">
        <v>109</v>
      </c>
      <c r="D3986" s="273" t="s">
        <v>23211</v>
      </c>
      <c r="E3986" s="274" t="s">
        <v>229</v>
      </c>
    </row>
    <row r="3987" spans="1:5" ht="27">
      <c r="A3987" s="271">
        <v>93062</v>
      </c>
      <c r="B3987" s="272" t="s">
        <v>4239</v>
      </c>
      <c r="C3987" s="272" t="s">
        <v>109</v>
      </c>
      <c r="D3987" s="273" t="s">
        <v>15826</v>
      </c>
      <c r="E3987" s="274" t="s">
        <v>229</v>
      </c>
    </row>
    <row r="3988" spans="1:5" ht="27">
      <c r="A3988" s="271">
        <v>93063</v>
      </c>
      <c r="B3988" s="272" t="s">
        <v>4240</v>
      </c>
      <c r="C3988" s="272" t="s">
        <v>109</v>
      </c>
      <c r="D3988" s="273" t="s">
        <v>23212</v>
      </c>
      <c r="E3988" s="274" t="s">
        <v>229</v>
      </c>
    </row>
    <row r="3989" spans="1:5" ht="27">
      <c r="A3989" s="271">
        <v>93064</v>
      </c>
      <c r="B3989" s="272" t="s">
        <v>4241</v>
      </c>
      <c r="C3989" s="272" t="s">
        <v>109</v>
      </c>
      <c r="D3989" s="273" t="s">
        <v>19727</v>
      </c>
      <c r="E3989" s="274" t="s">
        <v>229</v>
      </c>
    </row>
    <row r="3990" spans="1:5" ht="27">
      <c r="A3990" s="271">
        <v>93065</v>
      </c>
      <c r="B3990" s="272" t="s">
        <v>4242</v>
      </c>
      <c r="C3990" s="272" t="s">
        <v>109</v>
      </c>
      <c r="D3990" s="273" t="s">
        <v>23213</v>
      </c>
      <c r="E3990" s="274" t="s">
        <v>229</v>
      </c>
    </row>
    <row r="3991" spans="1:5" ht="27">
      <c r="A3991" s="271">
        <v>93066</v>
      </c>
      <c r="B3991" s="272" t="s">
        <v>4243</v>
      </c>
      <c r="C3991" s="272" t="s">
        <v>109</v>
      </c>
      <c r="D3991" s="273" t="s">
        <v>23214</v>
      </c>
      <c r="E3991" s="274" t="s">
        <v>229</v>
      </c>
    </row>
    <row r="3992" spans="1:5" ht="27">
      <c r="A3992" s="271">
        <v>93067</v>
      </c>
      <c r="B3992" s="272" t="s">
        <v>4244</v>
      </c>
      <c r="C3992" s="272" t="s">
        <v>109</v>
      </c>
      <c r="D3992" s="273" t="s">
        <v>23215</v>
      </c>
      <c r="E3992" s="274" t="s">
        <v>229</v>
      </c>
    </row>
    <row r="3993" spans="1:5" ht="27">
      <c r="A3993" s="271">
        <v>93068</v>
      </c>
      <c r="B3993" s="272" t="s">
        <v>4245</v>
      </c>
      <c r="C3993" s="272" t="s">
        <v>109</v>
      </c>
      <c r="D3993" s="273" t="s">
        <v>23216</v>
      </c>
      <c r="E3993" s="274" t="s">
        <v>229</v>
      </c>
    </row>
    <row r="3994" spans="1:5" ht="27">
      <c r="A3994" s="271">
        <v>93069</v>
      </c>
      <c r="B3994" s="272" t="s">
        <v>4246</v>
      </c>
      <c r="C3994" s="272" t="s">
        <v>109</v>
      </c>
      <c r="D3994" s="273" t="s">
        <v>23217</v>
      </c>
      <c r="E3994" s="274" t="s">
        <v>229</v>
      </c>
    </row>
    <row r="3995" spans="1:5" ht="27">
      <c r="A3995" s="271">
        <v>93070</v>
      </c>
      <c r="B3995" s="272" t="s">
        <v>4247</v>
      </c>
      <c r="C3995" s="272" t="s">
        <v>109</v>
      </c>
      <c r="D3995" s="273" t="s">
        <v>23137</v>
      </c>
      <c r="E3995" s="274" t="s">
        <v>229</v>
      </c>
    </row>
    <row r="3996" spans="1:5" ht="27">
      <c r="A3996" s="271">
        <v>93071</v>
      </c>
      <c r="B3996" s="272" t="s">
        <v>4248</v>
      </c>
      <c r="C3996" s="272" t="s">
        <v>109</v>
      </c>
      <c r="D3996" s="273" t="s">
        <v>23218</v>
      </c>
      <c r="E3996" s="274" t="s">
        <v>229</v>
      </c>
    </row>
    <row r="3997" spans="1:5" ht="27">
      <c r="A3997" s="271">
        <v>93072</v>
      </c>
      <c r="B3997" s="272" t="s">
        <v>4249</v>
      </c>
      <c r="C3997" s="272" t="s">
        <v>109</v>
      </c>
      <c r="D3997" s="273" t="s">
        <v>23219</v>
      </c>
      <c r="E3997" s="274" t="s">
        <v>229</v>
      </c>
    </row>
    <row r="3998" spans="1:5" ht="27">
      <c r="A3998" s="271">
        <v>93073</v>
      </c>
      <c r="B3998" s="272" t="s">
        <v>4250</v>
      </c>
      <c r="C3998" s="272" t="s">
        <v>109</v>
      </c>
      <c r="D3998" s="273" t="s">
        <v>23220</v>
      </c>
      <c r="E3998" s="274" t="s">
        <v>229</v>
      </c>
    </row>
    <row r="3999" spans="1:5" ht="27">
      <c r="A3999" s="271">
        <v>93074</v>
      </c>
      <c r="B3999" s="272" t="s">
        <v>4251</v>
      </c>
      <c r="C3999" s="272" t="s">
        <v>109</v>
      </c>
      <c r="D3999" s="273" t="s">
        <v>10564</v>
      </c>
      <c r="E3999" s="274" t="s">
        <v>229</v>
      </c>
    </row>
    <row r="4000" spans="1:5" ht="27">
      <c r="A4000" s="271">
        <v>93075</v>
      </c>
      <c r="B4000" s="272" t="s">
        <v>4252</v>
      </c>
      <c r="C4000" s="272" t="s">
        <v>109</v>
      </c>
      <c r="D4000" s="273" t="s">
        <v>14228</v>
      </c>
      <c r="E4000" s="274" t="s">
        <v>229</v>
      </c>
    </row>
    <row r="4001" spans="1:5" ht="27">
      <c r="A4001" s="271">
        <v>93076</v>
      </c>
      <c r="B4001" s="272" t="s">
        <v>4253</v>
      </c>
      <c r="C4001" s="272" t="s">
        <v>109</v>
      </c>
      <c r="D4001" s="273" t="s">
        <v>11001</v>
      </c>
      <c r="E4001" s="274" t="s">
        <v>229</v>
      </c>
    </row>
    <row r="4002" spans="1:5" ht="27">
      <c r="A4002" s="271">
        <v>93077</v>
      </c>
      <c r="B4002" s="272" t="s">
        <v>4254</v>
      </c>
      <c r="C4002" s="272" t="s">
        <v>109</v>
      </c>
      <c r="D4002" s="273" t="s">
        <v>10517</v>
      </c>
      <c r="E4002" s="274" t="s">
        <v>229</v>
      </c>
    </row>
    <row r="4003" spans="1:5" ht="27">
      <c r="A4003" s="271">
        <v>93078</v>
      </c>
      <c r="B4003" s="272" t="s">
        <v>4255</v>
      </c>
      <c r="C4003" s="272" t="s">
        <v>109</v>
      </c>
      <c r="D4003" s="273" t="s">
        <v>19800</v>
      </c>
      <c r="E4003" s="274" t="s">
        <v>229</v>
      </c>
    </row>
    <row r="4004" spans="1:5" ht="27">
      <c r="A4004" s="271">
        <v>93079</v>
      </c>
      <c r="B4004" s="272" t="s">
        <v>4256</v>
      </c>
      <c r="C4004" s="272" t="s">
        <v>109</v>
      </c>
      <c r="D4004" s="273" t="s">
        <v>11417</v>
      </c>
      <c r="E4004" s="274" t="s">
        <v>229</v>
      </c>
    </row>
    <row r="4005" spans="1:5" ht="27">
      <c r="A4005" s="271">
        <v>93080</v>
      </c>
      <c r="B4005" s="272" t="s">
        <v>4257</v>
      </c>
      <c r="C4005" s="272" t="s">
        <v>109</v>
      </c>
      <c r="D4005" s="273" t="s">
        <v>23048</v>
      </c>
      <c r="E4005" s="274" t="s">
        <v>229</v>
      </c>
    </row>
    <row r="4006" spans="1:5" ht="27">
      <c r="A4006" s="271">
        <v>93081</v>
      </c>
      <c r="B4006" s="272" t="s">
        <v>4258</v>
      </c>
      <c r="C4006" s="272" t="s">
        <v>109</v>
      </c>
      <c r="D4006" s="273" t="s">
        <v>12376</v>
      </c>
      <c r="E4006" s="274" t="s">
        <v>229</v>
      </c>
    </row>
    <row r="4007" spans="1:5" ht="27">
      <c r="A4007" s="271">
        <v>93082</v>
      </c>
      <c r="B4007" s="272" t="s">
        <v>4259</v>
      </c>
      <c r="C4007" s="272" t="s">
        <v>109</v>
      </c>
      <c r="D4007" s="273" t="s">
        <v>16436</v>
      </c>
      <c r="E4007" s="274" t="s">
        <v>229</v>
      </c>
    </row>
    <row r="4008" spans="1:5" ht="27">
      <c r="A4008" s="271">
        <v>93083</v>
      </c>
      <c r="B4008" s="272" t="s">
        <v>4260</v>
      </c>
      <c r="C4008" s="272" t="s">
        <v>109</v>
      </c>
      <c r="D4008" s="273" t="s">
        <v>23221</v>
      </c>
      <c r="E4008" s="274" t="s">
        <v>229</v>
      </c>
    </row>
    <row r="4009" spans="1:5" ht="27">
      <c r="A4009" s="271">
        <v>93084</v>
      </c>
      <c r="B4009" s="272" t="s">
        <v>4261</v>
      </c>
      <c r="C4009" s="272" t="s">
        <v>109</v>
      </c>
      <c r="D4009" s="273" t="s">
        <v>10236</v>
      </c>
      <c r="E4009" s="274" t="s">
        <v>229</v>
      </c>
    </row>
    <row r="4010" spans="1:5" ht="27">
      <c r="A4010" s="271">
        <v>93085</v>
      </c>
      <c r="B4010" s="272" t="s">
        <v>4262</v>
      </c>
      <c r="C4010" s="272" t="s">
        <v>109</v>
      </c>
      <c r="D4010" s="273" t="s">
        <v>10887</v>
      </c>
      <c r="E4010" s="274" t="s">
        <v>229</v>
      </c>
    </row>
    <row r="4011" spans="1:5" ht="27">
      <c r="A4011" s="271">
        <v>93086</v>
      </c>
      <c r="B4011" s="272" t="s">
        <v>4263</v>
      </c>
      <c r="C4011" s="272" t="s">
        <v>109</v>
      </c>
      <c r="D4011" s="273" t="s">
        <v>23222</v>
      </c>
      <c r="E4011" s="274" t="s">
        <v>229</v>
      </c>
    </row>
    <row r="4012" spans="1:5" ht="27">
      <c r="A4012" s="271">
        <v>93087</v>
      </c>
      <c r="B4012" s="272" t="s">
        <v>4264</v>
      </c>
      <c r="C4012" s="272" t="s">
        <v>109</v>
      </c>
      <c r="D4012" s="273" t="s">
        <v>10637</v>
      </c>
      <c r="E4012" s="274" t="s">
        <v>229</v>
      </c>
    </row>
    <row r="4013" spans="1:5" ht="27">
      <c r="A4013" s="271">
        <v>93088</v>
      </c>
      <c r="B4013" s="272" t="s">
        <v>4265</v>
      </c>
      <c r="C4013" s="272" t="s">
        <v>109</v>
      </c>
      <c r="D4013" s="273" t="s">
        <v>16089</v>
      </c>
      <c r="E4013" s="274" t="s">
        <v>229</v>
      </c>
    </row>
    <row r="4014" spans="1:5" ht="27">
      <c r="A4014" s="271">
        <v>93089</v>
      </c>
      <c r="B4014" s="272" t="s">
        <v>4266</v>
      </c>
      <c r="C4014" s="272" t="s">
        <v>109</v>
      </c>
      <c r="D4014" s="273" t="s">
        <v>10249</v>
      </c>
      <c r="E4014" s="274" t="s">
        <v>229</v>
      </c>
    </row>
    <row r="4015" spans="1:5" ht="27">
      <c r="A4015" s="271">
        <v>93090</v>
      </c>
      <c r="B4015" s="272" t="s">
        <v>4267</v>
      </c>
      <c r="C4015" s="272" t="s">
        <v>109</v>
      </c>
      <c r="D4015" s="273" t="s">
        <v>15971</v>
      </c>
      <c r="E4015" s="274" t="s">
        <v>229</v>
      </c>
    </row>
    <row r="4016" spans="1:5" ht="27">
      <c r="A4016" s="271">
        <v>93091</v>
      </c>
      <c r="B4016" s="272" t="s">
        <v>4268</v>
      </c>
      <c r="C4016" s="272" t="s">
        <v>109</v>
      </c>
      <c r="D4016" s="273" t="s">
        <v>12425</v>
      </c>
      <c r="E4016" s="274" t="s">
        <v>229</v>
      </c>
    </row>
    <row r="4017" spans="1:5" ht="27">
      <c r="A4017" s="271">
        <v>93092</v>
      </c>
      <c r="B4017" s="272" t="s">
        <v>4269</v>
      </c>
      <c r="C4017" s="272" t="s">
        <v>109</v>
      </c>
      <c r="D4017" s="273" t="s">
        <v>23223</v>
      </c>
      <c r="E4017" s="274" t="s">
        <v>229</v>
      </c>
    </row>
    <row r="4018" spans="1:5" ht="27">
      <c r="A4018" s="271">
        <v>93093</v>
      </c>
      <c r="B4018" s="272" t="s">
        <v>4270</v>
      </c>
      <c r="C4018" s="272" t="s">
        <v>109</v>
      </c>
      <c r="D4018" s="273" t="s">
        <v>19973</v>
      </c>
      <c r="E4018" s="274" t="s">
        <v>229</v>
      </c>
    </row>
    <row r="4019" spans="1:5" ht="27">
      <c r="A4019" s="271">
        <v>93094</v>
      </c>
      <c r="B4019" s="272" t="s">
        <v>4271</v>
      </c>
      <c r="C4019" s="272" t="s">
        <v>109</v>
      </c>
      <c r="D4019" s="273" t="s">
        <v>23224</v>
      </c>
      <c r="E4019" s="274" t="s">
        <v>229</v>
      </c>
    </row>
    <row r="4020" spans="1:5" ht="40.5">
      <c r="A4020" s="271">
        <v>93095</v>
      </c>
      <c r="B4020" s="272" t="s">
        <v>4272</v>
      </c>
      <c r="C4020" s="272" t="s">
        <v>109</v>
      </c>
      <c r="D4020" s="273" t="s">
        <v>16377</v>
      </c>
      <c r="E4020" s="274" t="s">
        <v>229</v>
      </c>
    </row>
    <row r="4021" spans="1:5" ht="40.5">
      <c r="A4021" s="271">
        <v>93096</v>
      </c>
      <c r="B4021" s="272" t="s">
        <v>4273</v>
      </c>
      <c r="C4021" s="272" t="s">
        <v>109</v>
      </c>
      <c r="D4021" s="273" t="s">
        <v>23225</v>
      </c>
      <c r="E4021" s="274" t="s">
        <v>229</v>
      </c>
    </row>
    <row r="4022" spans="1:5" ht="27">
      <c r="A4022" s="271">
        <v>93097</v>
      </c>
      <c r="B4022" s="272" t="s">
        <v>4274</v>
      </c>
      <c r="C4022" s="272" t="s">
        <v>109</v>
      </c>
      <c r="D4022" s="273" t="s">
        <v>10887</v>
      </c>
      <c r="E4022" s="274" t="s">
        <v>229</v>
      </c>
    </row>
    <row r="4023" spans="1:5" ht="27">
      <c r="A4023" s="271">
        <v>93098</v>
      </c>
      <c r="B4023" s="272" t="s">
        <v>4275</v>
      </c>
      <c r="C4023" s="272" t="s">
        <v>109</v>
      </c>
      <c r="D4023" s="273" t="s">
        <v>19162</v>
      </c>
      <c r="E4023" s="274" t="s">
        <v>229</v>
      </c>
    </row>
    <row r="4024" spans="1:5" ht="27">
      <c r="A4024" s="271">
        <v>93099</v>
      </c>
      <c r="B4024" s="272" t="s">
        <v>4276</v>
      </c>
      <c r="C4024" s="272" t="s">
        <v>109</v>
      </c>
      <c r="D4024" s="273" t="s">
        <v>20497</v>
      </c>
      <c r="E4024" s="274" t="s">
        <v>229</v>
      </c>
    </row>
    <row r="4025" spans="1:5" ht="27">
      <c r="A4025" s="271">
        <v>93100</v>
      </c>
      <c r="B4025" s="272" t="s">
        <v>4277</v>
      </c>
      <c r="C4025" s="272" t="s">
        <v>109</v>
      </c>
      <c r="D4025" s="273" t="s">
        <v>19961</v>
      </c>
      <c r="E4025" s="274" t="s">
        <v>229</v>
      </c>
    </row>
    <row r="4026" spans="1:5" ht="27">
      <c r="A4026" s="271">
        <v>93101</v>
      </c>
      <c r="B4026" s="272" t="s">
        <v>4278</v>
      </c>
      <c r="C4026" s="272" t="s">
        <v>109</v>
      </c>
      <c r="D4026" s="273" t="s">
        <v>16658</v>
      </c>
      <c r="E4026" s="274" t="s">
        <v>229</v>
      </c>
    </row>
    <row r="4027" spans="1:5" ht="27">
      <c r="A4027" s="271">
        <v>93102</v>
      </c>
      <c r="B4027" s="272" t="s">
        <v>4279</v>
      </c>
      <c r="C4027" s="272" t="s">
        <v>109</v>
      </c>
      <c r="D4027" s="273" t="s">
        <v>11497</v>
      </c>
      <c r="E4027" s="274" t="s">
        <v>229</v>
      </c>
    </row>
    <row r="4028" spans="1:5" ht="27">
      <c r="A4028" s="271">
        <v>93103</v>
      </c>
      <c r="B4028" s="272" t="s">
        <v>4280</v>
      </c>
      <c r="C4028" s="272" t="s">
        <v>109</v>
      </c>
      <c r="D4028" s="273" t="s">
        <v>10214</v>
      </c>
      <c r="E4028" s="274" t="s">
        <v>229</v>
      </c>
    </row>
    <row r="4029" spans="1:5" ht="27">
      <c r="A4029" s="271">
        <v>93104</v>
      </c>
      <c r="B4029" s="272" t="s">
        <v>4281</v>
      </c>
      <c r="C4029" s="272" t="s">
        <v>109</v>
      </c>
      <c r="D4029" s="273" t="s">
        <v>10985</v>
      </c>
      <c r="E4029" s="274" t="s">
        <v>229</v>
      </c>
    </row>
    <row r="4030" spans="1:5" ht="27">
      <c r="A4030" s="271">
        <v>93105</v>
      </c>
      <c r="B4030" s="272" t="s">
        <v>4282</v>
      </c>
      <c r="C4030" s="272" t="s">
        <v>109</v>
      </c>
      <c r="D4030" s="273" t="s">
        <v>11436</v>
      </c>
      <c r="E4030" s="274" t="s">
        <v>229</v>
      </c>
    </row>
    <row r="4031" spans="1:5" ht="27">
      <c r="A4031" s="271">
        <v>93106</v>
      </c>
      <c r="B4031" s="272" t="s">
        <v>4283</v>
      </c>
      <c r="C4031" s="272" t="s">
        <v>109</v>
      </c>
      <c r="D4031" s="273" t="s">
        <v>23226</v>
      </c>
      <c r="E4031" s="274" t="s">
        <v>229</v>
      </c>
    </row>
    <row r="4032" spans="1:5" ht="27">
      <c r="A4032" s="271">
        <v>93107</v>
      </c>
      <c r="B4032" s="272" t="s">
        <v>4284</v>
      </c>
      <c r="C4032" s="272" t="s">
        <v>109</v>
      </c>
      <c r="D4032" s="273" t="s">
        <v>10026</v>
      </c>
      <c r="E4032" s="274" t="s">
        <v>229</v>
      </c>
    </row>
    <row r="4033" spans="1:5" ht="27">
      <c r="A4033" s="271">
        <v>93108</v>
      </c>
      <c r="B4033" s="272" t="s">
        <v>4285</v>
      </c>
      <c r="C4033" s="272" t="s">
        <v>109</v>
      </c>
      <c r="D4033" s="273" t="s">
        <v>11045</v>
      </c>
      <c r="E4033" s="274" t="s">
        <v>229</v>
      </c>
    </row>
    <row r="4034" spans="1:5" ht="27">
      <c r="A4034" s="271">
        <v>93109</v>
      </c>
      <c r="B4034" s="272" t="s">
        <v>4286</v>
      </c>
      <c r="C4034" s="272" t="s">
        <v>109</v>
      </c>
      <c r="D4034" s="273" t="s">
        <v>23227</v>
      </c>
      <c r="E4034" s="274" t="s">
        <v>229</v>
      </c>
    </row>
    <row r="4035" spans="1:5" ht="27">
      <c r="A4035" s="271">
        <v>93110</v>
      </c>
      <c r="B4035" s="272" t="s">
        <v>4287</v>
      </c>
      <c r="C4035" s="272" t="s">
        <v>109</v>
      </c>
      <c r="D4035" s="273" t="s">
        <v>15977</v>
      </c>
      <c r="E4035" s="274" t="s">
        <v>229</v>
      </c>
    </row>
    <row r="4036" spans="1:5" ht="27">
      <c r="A4036" s="271">
        <v>93111</v>
      </c>
      <c r="B4036" s="272" t="s">
        <v>4288</v>
      </c>
      <c r="C4036" s="272" t="s">
        <v>109</v>
      </c>
      <c r="D4036" s="273" t="s">
        <v>22226</v>
      </c>
      <c r="E4036" s="274" t="s">
        <v>229</v>
      </c>
    </row>
    <row r="4037" spans="1:5" ht="27">
      <c r="A4037" s="271">
        <v>93112</v>
      </c>
      <c r="B4037" s="272" t="s">
        <v>4289</v>
      </c>
      <c r="C4037" s="272" t="s">
        <v>109</v>
      </c>
      <c r="D4037" s="273" t="s">
        <v>23228</v>
      </c>
      <c r="E4037" s="274" t="s">
        <v>229</v>
      </c>
    </row>
    <row r="4038" spans="1:5" ht="27">
      <c r="A4038" s="271">
        <v>93113</v>
      </c>
      <c r="B4038" s="272" t="s">
        <v>4290</v>
      </c>
      <c r="C4038" s="272" t="s">
        <v>109</v>
      </c>
      <c r="D4038" s="273" t="s">
        <v>12460</v>
      </c>
      <c r="E4038" s="274" t="s">
        <v>229</v>
      </c>
    </row>
    <row r="4039" spans="1:5" ht="27">
      <c r="A4039" s="271">
        <v>93114</v>
      </c>
      <c r="B4039" s="272" t="s">
        <v>4291</v>
      </c>
      <c r="C4039" s="272" t="s">
        <v>109</v>
      </c>
      <c r="D4039" s="273" t="s">
        <v>23229</v>
      </c>
      <c r="E4039" s="274" t="s">
        <v>229</v>
      </c>
    </row>
    <row r="4040" spans="1:5" ht="27">
      <c r="A4040" s="271">
        <v>93115</v>
      </c>
      <c r="B4040" s="272" t="s">
        <v>4292</v>
      </c>
      <c r="C4040" s="272" t="s">
        <v>109</v>
      </c>
      <c r="D4040" s="273" t="s">
        <v>23230</v>
      </c>
      <c r="E4040" s="274" t="s">
        <v>229</v>
      </c>
    </row>
    <row r="4041" spans="1:5" ht="27">
      <c r="A4041" s="271">
        <v>93116</v>
      </c>
      <c r="B4041" s="272" t="s">
        <v>4293</v>
      </c>
      <c r="C4041" s="272" t="s">
        <v>109</v>
      </c>
      <c r="D4041" s="273" t="s">
        <v>23231</v>
      </c>
      <c r="E4041" s="274" t="s">
        <v>229</v>
      </c>
    </row>
    <row r="4042" spans="1:5" ht="40.5">
      <c r="A4042" s="271">
        <v>93117</v>
      </c>
      <c r="B4042" s="272" t="s">
        <v>4294</v>
      </c>
      <c r="C4042" s="272" t="s">
        <v>109</v>
      </c>
      <c r="D4042" s="273" t="s">
        <v>23232</v>
      </c>
      <c r="E4042" s="274" t="s">
        <v>229</v>
      </c>
    </row>
    <row r="4043" spans="1:5" ht="40.5">
      <c r="A4043" s="271">
        <v>93118</v>
      </c>
      <c r="B4043" s="272" t="s">
        <v>4295</v>
      </c>
      <c r="C4043" s="272" t="s">
        <v>109</v>
      </c>
      <c r="D4043" s="273" t="s">
        <v>23233</v>
      </c>
      <c r="E4043" s="274" t="s">
        <v>229</v>
      </c>
    </row>
    <row r="4044" spans="1:5" ht="27">
      <c r="A4044" s="271">
        <v>93119</v>
      </c>
      <c r="B4044" s="272" t="s">
        <v>4296</v>
      </c>
      <c r="C4044" s="272" t="s">
        <v>109</v>
      </c>
      <c r="D4044" s="273" t="s">
        <v>10489</v>
      </c>
      <c r="E4044" s="274" t="s">
        <v>229</v>
      </c>
    </row>
    <row r="4045" spans="1:5" ht="27">
      <c r="A4045" s="271">
        <v>93120</v>
      </c>
      <c r="B4045" s="272" t="s">
        <v>4297</v>
      </c>
      <c r="C4045" s="272" t="s">
        <v>109</v>
      </c>
      <c r="D4045" s="273" t="s">
        <v>21431</v>
      </c>
      <c r="E4045" s="274" t="s">
        <v>229</v>
      </c>
    </row>
    <row r="4046" spans="1:5" ht="27">
      <c r="A4046" s="271">
        <v>93121</v>
      </c>
      <c r="B4046" s="272" t="s">
        <v>4298</v>
      </c>
      <c r="C4046" s="272" t="s">
        <v>109</v>
      </c>
      <c r="D4046" s="273" t="s">
        <v>16480</v>
      </c>
      <c r="E4046" s="274" t="s">
        <v>229</v>
      </c>
    </row>
    <row r="4047" spans="1:5" ht="27">
      <c r="A4047" s="271">
        <v>93122</v>
      </c>
      <c r="B4047" s="272" t="s">
        <v>4299</v>
      </c>
      <c r="C4047" s="272" t="s">
        <v>109</v>
      </c>
      <c r="D4047" s="273" t="s">
        <v>16096</v>
      </c>
      <c r="E4047" s="274" t="s">
        <v>229</v>
      </c>
    </row>
    <row r="4048" spans="1:5" ht="27">
      <c r="A4048" s="271">
        <v>93123</v>
      </c>
      <c r="B4048" s="272" t="s">
        <v>4300</v>
      </c>
      <c r="C4048" s="272" t="s">
        <v>109</v>
      </c>
      <c r="D4048" s="273" t="s">
        <v>23234</v>
      </c>
      <c r="E4048" s="274" t="s">
        <v>229</v>
      </c>
    </row>
    <row r="4049" spans="1:5" ht="27">
      <c r="A4049" s="271">
        <v>93124</v>
      </c>
      <c r="B4049" s="272" t="s">
        <v>4301</v>
      </c>
      <c r="C4049" s="272" t="s">
        <v>109</v>
      </c>
      <c r="D4049" s="273" t="s">
        <v>23235</v>
      </c>
      <c r="E4049" s="274" t="s">
        <v>229</v>
      </c>
    </row>
    <row r="4050" spans="1:5" ht="27">
      <c r="A4050" s="271">
        <v>93125</v>
      </c>
      <c r="B4050" s="272" t="s">
        <v>4302</v>
      </c>
      <c r="C4050" s="272" t="s">
        <v>109</v>
      </c>
      <c r="D4050" s="273" t="s">
        <v>22589</v>
      </c>
      <c r="E4050" s="274" t="s">
        <v>229</v>
      </c>
    </row>
    <row r="4051" spans="1:5" ht="27">
      <c r="A4051" s="271">
        <v>93126</v>
      </c>
      <c r="B4051" s="272" t="s">
        <v>4303</v>
      </c>
      <c r="C4051" s="272" t="s">
        <v>109</v>
      </c>
      <c r="D4051" s="273" t="s">
        <v>23236</v>
      </c>
      <c r="E4051" s="274" t="s">
        <v>229</v>
      </c>
    </row>
    <row r="4052" spans="1:5" ht="27">
      <c r="A4052" s="271">
        <v>93133</v>
      </c>
      <c r="B4052" s="272" t="s">
        <v>4304</v>
      </c>
      <c r="C4052" s="272" t="s">
        <v>109</v>
      </c>
      <c r="D4052" s="273" t="s">
        <v>11430</v>
      </c>
      <c r="E4052" s="274" t="s">
        <v>229</v>
      </c>
    </row>
    <row r="4053" spans="1:5" ht="40.5">
      <c r="A4053" s="271">
        <v>94465</v>
      </c>
      <c r="B4053" s="272" t="s">
        <v>2226</v>
      </c>
      <c r="C4053" s="272" t="s">
        <v>109</v>
      </c>
      <c r="D4053" s="273" t="s">
        <v>23237</v>
      </c>
      <c r="E4053" s="274" t="s">
        <v>229</v>
      </c>
    </row>
    <row r="4054" spans="1:5" ht="40.5">
      <c r="A4054" s="271">
        <v>94466</v>
      </c>
      <c r="B4054" s="272" t="s">
        <v>2227</v>
      </c>
      <c r="C4054" s="272" t="s">
        <v>109</v>
      </c>
      <c r="D4054" s="273" t="s">
        <v>16080</v>
      </c>
      <c r="E4054" s="274" t="s">
        <v>229</v>
      </c>
    </row>
    <row r="4055" spans="1:5" ht="40.5">
      <c r="A4055" s="271">
        <v>94467</v>
      </c>
      <c r="B4055" s="272" t="s">
        <v>2228</v>
      </c>
      <c r="C4055" s="272" t="s">
        <v>109</v>
      </c>
      <c r="D4055" s="273" t="s">
        <v>23238</v>
      </c>
      <c r="E4055" s="274" t="s">
        <v>229</v>
      </c>
    </row>
    <row r="4056" spans="1:5" ht="40.5">
      <c r="A4056" s="271">
        <v>94468</v>
      </c>
      <c r="B4056" s="272" t="s">
        <v>2229</v>
      </c>
      <c r="C4056" s="272" t="s">
        <v>109</v>
      </c>
      <c r="D4056" s="273" t="s">
        <v>12261</v>
      </c>
      <c r="E4056" s="274" t="s">
        <v>229</v>
      </c>
    </row>
    <row r="4057" spans="1:5" ht="40.5">
      <c r="A4057" s="271">
        <v>94469</v>
      </c>
      <c r="B4057" s="272" t="s">
        <v>2230</v>
      </c>
      <c r="C4057" s="272" t="s">
        <v>109</v>
      </c>
      <c r="D4057" s="273" t="s">
        <v>23239</v>
      </c>
      <c r="E4057" s="274" t="s">
        <v>229</v>
      </c>
    </row>
    <row r="4058" spans="1:5" ht="40.5">
      <c r="A4058" s="271">
        <v>94470</v>
      </c>
      <c r="B4058" s="272" t="s">
        <v>2231</v>
      </c>
      <c r="C4058" s="272" t="s">
        <v>109</v>
      </c>
      <c r="D4058" s="273" t="s">
        <v>23240</v>
      </c>
      <c r="E4058" s="274" t="s">
        <v>229</v>
      </c>
    </row>
    <row r="4059" spans="1:5" ht="40.5">
      <c r="A4059" s="271">
        <v>94471</v>
      </c>
      <c r="B4059" s="272" t="s">
        <v>2232</v>
      </c>
      <c r="C4059" s="272" t="s">
        <v>109</v>
      </c>
      <c r="D4059" s="273" t="s">
        <v>14158</v>
      </c>
      <c r="E4059" s="274" t="s">
        <v>229</v>
      </c>
    </row>
    <row r="4060" spans="1:5" ht="40.5">
      <c r="A4060" s="271">
        <v>94472</v>
      </c>
      <c r="B4060" s="272" t="s">
        <v>2233</v>
      </c>
      <c r="C4060" s="272" t="s">
        <v>109</v>
      </c>
      <c r="D4060" s="273" t="s">
        <v>23241</v>
      </c>
      <c r="E4060" s="274" t="s">
        <v>229</v>
      </c>
    </row>
    <row r="4061" spans="1:5" ht="40.5">
      <c r="A4061" s="271">
        <v>94473</v>
      </c>
      <c r="B4061" s="272" t="s">
        <v>2234</v>
      </c>
      <c r="C4061" s="272" t="s">
        <v>109</v>
      </c>
      <c r="D4061" s="273" t="s">
        <v>23242</v>
      </c>
      <c r="E4061" s="274" t="s">
        <v>229</v>
      </c>
    </row>
    <row r="4062" spans="1:5" ht="40.5">
      <c r="A4062" s="271">
        <v>94474</v>
      </c>
      <c r="B4062" s="272" t="s">
        <v>2235</v>
      </c>
      <c r="C4062" s="272" t="s">
        <v>109</v>
      </c>
      <c r="D4062" s="273" t="s">
        <v>20171</v>
      </c>
      <c r="E4062" s="274" t="s">
        <v>229</v>
      </c>
    </row>
    <row r="4063" spans="1:5" ht="40.5">
      <c r="A4063" s="271">
        <v>94475</v>
      </c>
      <c r="B4063" s="272" t="s">
        <v>2236</v>
      </c>
      <c r="C4063" s="272" t="s">
        <v>109</v>
      </c>
      <c r="D4063" s="273" t="s">
        <v>23243</v>
      </c>
      <c r="E4063" s="274" t="s">
        <v>229</v>
      </c>
    </row>
    <row r="4064" spans="1:5" ht="40.5">
      <c r="A4064" s="271">
        <v>94476</v>
      </c>
      <c r="B4064" s="272" t="s">
        <v>2237</v>
      </c>
      <c r="C4064" s="272" t="s">
        <v>109</v>
      </c>
      <c r="D4064" s="273" t="s">
        <v>23244</v>
      </c>
      <c r="E4064" s="274" t="s">
        <v>229</v>
      </c>
    </row>
    <row r="4065" spans="1:5" ht="40.5">
      <c r="A4065" s="271">
        <v>94477</v>
      </c>
      <c r="B4065" s="272" t="s">
        <v>2238</v>
      </c>
      <c r="C4065" s="272" t="s">
        <v>109</v>
      </c>
      <c r="D4065" s="273" t="s">
        <v>22935</v>
      </c>
      <c r="E4065" s="274" t="s">
        <v>229</v>
      </c>
    </row>
    <row r="4066" spans="1:5" ht="40.5">
      <c r="A4066" s="271">
        <v>94478</v>
      </c>
      <c r="B4066" s="272" t="s">
        <v>2239</v>
      </c>
      <c r="C4066" s="272" t="s">
        <v>109</v>
      </c>
      <c r="D4066" s="273" t="s">
        <v>23245</v>
      </c>
      <c r="E4066" s="274" t="s">
        <v>229</v>
      </c>
    </row>
    <row r="4067" spans="1:5" ht="40.5">
      <c r="A4067" s="271">
        <v>94479</v>
      </c>
      <c r="B4067" s="272" t="s">
        <v>2240</v>
      </c>
      <c r="C4067" s="272" t="s">
        <v>109</v>
      </c>
      <c r="D4067" s="273" t="s">
        <v>14298</v>
      </c>
      <c r="E4067" s="274" t="s">
        <v>229</v>
      </c>
    </row>
    <row r="4068" spans="1:5" ht="40.5">
      <c r="A4068" s="271">
        <v>94606</v>
      </c>
      <c r="B4068" s="272" t="s">
        <v>4305</v>
      </c>
      <c r="C4068" s="272" t="s">
        <v>109</v>
      </c>
      <c r="D4068" s="273" t="s">
        <v>16446</v>
      </c>
      <c r="E4068" s="274" t="s">
        <v>229</v>
      </c>
    </row>
    <row r="4069" spans="1:5" ht="40.5">
      <c r="A4069" s="271">
        <v>94608</v>
      </c>
      <c r="B4069" s="272" t="s">
        <v>4306</v>
      </c>
      <c r="C4069" s="272" t="s">
        <v>109</v>
      </c>
      <c r="D4069" s="273" t="s">
        <v>23246</v>
      </c>
      <c r="E4069" s="274" t="s">
        <v>229</v>
      </c>
    </row>
    <row r="4070" spans="1:5" ht="40.5">
      <c r="A4070" s="271">
        <v>94610</v>
      </c>
      <c r="B4070" s="272" t="s">
        <v>4307</v>
      </c>
      <c r="C4070" s="272" t="s">
        <v>109</v>
      </c>
      <c r="D4070" s="273" t="s">
        <v>23247</v>
      </c>
      <c r="E4070" s="274" t="s">
        <v>229</v>
      </c>
    </row>
    <row r="4071" spans="1:5" ht="40.5">
      <c r="A4071" s="271">
        <v>94612</v>
      </c>
      <c r="B4071" s="272" t="s">
        <v>4308</v>
      </c>
      <c r="C4071" s="272" t="s">
        <v>109</v>
      </c>
      <c r="D4071" s="273" t="s">
        <v>23248</v>
      </c>
      <c r="E4071" s="274" t="s">
        <v>229</v>
      </c>
    </row>
    <row r="4072" spans="1:5" ht="40.5">
      <c r="A4072" s="271">
        <v>94614</v>
      </c>
      <c r="B4072" s="272" t="s">
        <v>4309</v>
      </c>
      <c r="C4072" s="272" t="s">
        <v>109</v>
      </c>
      <c r="D4072" s="273" t="s">
        <v>23249</v>
      </c>
      <c r="E4072" s="274" t="s">
        <v>229</v>
      </c>
    </row>
    <row r="4073" spans="1:5" ht="40.5">
      <c r="A4073" s="271">
        <v>94615</v>
      </c>
      <c r="B4073" s="272" t="s">
        <v>4310</v>
      </c>
      <c r="C4073" s="272" t="s">
        <v>109</v>
      </c>
      <c r="D4073" s="273" t="s">
        <v>23250</v>
      </c>
      <c r="E4073" s="274" t="s">
        <v>229</v>
      </c>
    </row>
    <row r="4074" spans="1:5" ht="40.5">
      <c r="A4074" s="271">
        <v>94616</v>
      </c>
      <c r="B4074" s="272" t="s">
        <v>4311</v>
      </c>
      <c r="C4074" s="272" t="s">
        <v>109</v>
      </c>
      <c r="D4074" s="273" t="s">
        <v>23251</v>
      </c>
      <c r="E4074" s="274" t="s">
        <v>229</v>
      </c>
    </row>
    <row r="4075" spans="1:5" ht="40.5">
      <c r="A4075" s="271">
        <v>94617</v>
      </c>
      <c r="B4075" s="272" t="s">
        <v>4312</v>
      </c>
      <c r="C4075" s="272" t="s">
        <v>109</v>
      </c>
      <c r="D4075" s="273" t="s">
        <v>23252</v>
      </c>
      <c r="E4075" s="274" t="s">
        <v>229</v>
      </c>
    </row>
    <row r="4076" spans="1:5" ht="40.5">
      <c r="A4076" s="271">
        <v>94618</v>
      </c>
      <c r="B4076" s="272" t="s">
        <v>4313</v>
      </c>
      <c r="C4076" s="272" t="s">
        <v>109</v>
      </c>
      <c r="D4076" s="273" t="s">
        <v>23253</v>
      </c>
      <c r="E4076" s="274" t="s">
        <v>229</v>
      </c>
    </row>
    <row r="4077" spans="1:5" ht="40.5">
      <c r="A4077" s="271">
        <v>94620</v>
      </c>
      <c r="B4077" s="272" t="s">
        <v>4314</v>
      </c>
      <c r="C4077" s="272" t="s">
        <v>109</v>
      </c>
      <c r="D4077" s="273" t="s">
        <v>23254</v>
      </c>
      <c r="E4077" s="274" t="s">
        <v>229</v>
      </c>
    </row>
    <row r="4078" spans="1:5" ht="40.5">
      <c r="A4078" s="271">
        <v>94622</v>
      </c>
      <c r="B4078" s="272" t="s">
        <v>4315</v>
      </c>
      <c r="C4078" s="272" t="s">
        <v>109</v>
      </c>
      <c r="D4078" s="273" t="s">
        <v>23255</v>
      </c>
      <c r="E4078" s="274" t="s">
        <v>229</v>
      </c>
    </row>
    <row r="4079" spans="1:5" ht="40.5">
      <c r="A4079" s="271">
        <v>94623</v>
      </c>
      <c r="B4079" s="272" t="s">
        <v>4316</v>
      </c>
      <c r="C4079" s="272" t="s">
        <v>109</v>
      </c>
      <c r="D4079" s="273" t="s">
        <v>23256</v>
      </c>
      <c r="E4079" s="274" t="s">
        <v>229</v>
      </c>
    </row>
    <row r="4080" spans="1:5" ht="40.5">
      <c r="A4080" s="271">
        <v>94624</v>
      </c>
      <c r="B4080" s="272" t="s">
        <v>4317</v>
      </c>
      <c r="C4080" s="272" t="s">
        <v>109</v>
      </c>
      <c r="D4080" s="273" t="s">
        <v>23257</v>
      </c>
      <c r="E4080" s="274" t="s">
        <v>229</v>
      </c>
    </row>
    <row r="4081" spans="1:5" ht="40.5">
      <c r="A4081" s="271">
        <v>94625</v>
      </c>
      <c r="B4081" s="272" t="s">
        <v>4318</v>
      </c>
      <c r="C4081" s="272" t="s">
        <v>109</v>
      </c>
      <c r="D4081" s="273" t="s">
        <v>23258</v>
      </c>
      <c r="E4081" s="274" t="s">
        <v>229</v>
      </c>
    </row>
    <row r="4082" spans="1:5" ht="40.5">
      <c r="A4082" s="271">
        <v>94656</v>
      </c>
      <c r="B4082" s="272" t="s">
        <v>2241</v>
      </c>
      <c r="C4082" s="272" t="s">
        <v>109</v>
      </c>
      <c r="D4082" s="273" t="s">
        <v>9826</v>
      </c>
      <c r="E4082" s="274" t="s">
        <v>229</v>
      </c>
    </row>
    <row r="4083" spans="1:5" ht="27">
      <c r="A4083" s="271">
        <v>94657</v>
      </c>
      <c r="B4083" s="272" t="s">
        <v>2242</v>
      </c>
      <c r="C4083" s="272" t="s">
        <v>109</v>
      </c>
      <c r="D4083" s="273" t="s">
        <v>10649</v>
      </c>
      <c r="E4083" s="274" t="s">
        <v>229</v>
      </c>
    </row>
    <row r="4084" spans="1:5" ht="40.5">
      <c r="A4084" s="271">
        <v>94658</v>
      </c>
      <c r="B4084" s="272" t="s">
        <v>2243</v>
      </c>
      <c r="C4084" s="272" t="s">
        <v>109</v>
      </c>
      <c r="D4084" s="273" t="s">
        <v>16208</v>
      </c>
      <c r="E4084" s="274" t="s">
        <v>229</v>
      </c>
    </row>
    <row r="4085" spans="1:5" ht="27">
      <c r="A4085" s="271">
        <v>94659</v>
      </c>
      <c r="B4085" s="272" t="s">
        <v>2244</v>
      </c>
      <c r="C4085" s="272" t="s">
        <v>109</v>
      </c>
      <c r="D4085" s="273" t="s">
        <v>10189</v>
      </c>
      <c r="E4085" s="274" t="s">
        <v>229</v>
      </c>
    </row>
    <row r="4086" spans="1:5" ht="40.5">
      <c r="A4086" s="271">
        <v>94660</v>
      </c>
      <c r="B4086" s="272" t="s">
        <v>2245</v>
      </c>
      <c r="C4086" s="272" t="s">
        <v>109</v>
      </c>
      <c r="D4086" s="273" t="s">
        <v>16330</v>
      </c>
      <c r="E4086" s="274" t="s">
        <v>229</v>
      </c>
    </row>
    <row r="4087" spans="1:5" ht="27">
      <c r="A4087" s="271">
        <v>94661</v>
      </c>
      <c r="B4087" s="272" t="s">
        <v>2246</v>
      </c>
      <c r="C4087" s="272" t="s">
        <v>109</v>
      </c>
      <c r="D4087" s="273" t="s">
        <v>11233</v>
      </c>
      <c r="E4087" s="274" t="s">
        <v>229</v>
      </c>
    </row>
    <row r="4088" spans="1:5" ht="40.5">
      <c r="A4088" s="271">
        <v>94662</v>
      </c>
      <c r="B4088" s="272" t="s">
        <v>2247</v>
      </c>
      <c r="C4088" s="272" t="s">
        <v>109</v>
      </c>
      <c r="D4088" s="273" t="s">
        <v>10634</v>
      </c>
      <c r="E4088" s="274" t="s">
        <v>229</v>
      </c>
    </row>
    <row r="4089" spans="1:5" ht="27">
      <c r="A4089" s="271">
        <v>94663</v>
      </c>
      <c r="B4089" s="272" t="s">
        <v>2248</v>
      </c>
      <c r="C4089" s="272" t="s">
        <v>109</v>
      </c>
      <c r="D4089" s="273" t="s">
        <v>12256</v>
      </c>
      <c r="E4089" s="274" t="s">
        <v>229</v>
      </c>
    </row>
    <row r="4090" spans="1:5" ht="40.5">
      <c r="A4090" s="271">
        <v>94664</v>
      </c>
      <c r="B4090" s="272" t="s">
        <v>2249</v>
      </c>
      <c r="C4090" s="272" t="s">
        <v>109</v>
      </c>
      <c r="D4090" s="273" t="s">
        <v>12257</v>
      </c>
      <c r="E4090" s="274" t="s">
        <v>229</v>
      </c>
    </row>
    <row r="4091" spans="1:5" ht="27">
      <c r="A4091" s="271">
        <v>94665</v>
      </c>
      <c r="B4091" s="272" t="s">
        <v>2250</v>
      </c>
      <c r="C4091" s="272" t="s">
        <v>109</v>
      </c>
      <c r="D4091" s="273" t="s">
        <v>10346</v>
      </c>
      <c r="E4091" s="274" t="s">
        <v>229</v>
      </c>
    </row>
    <row r="4092" spans="1:5" ht="40.5">
      <c r="A4092" s="271">
        <v>94666</v>
      </c>
      <c r="B4092" s="272" t="s">
        <v>2251</v>
      </c>
      <c r="C4092" s="272" t="s">
        <v>109</v>
      </c>
      <c r="D4092" s="273" t="s">
        <v>10350</v>
      </c>
      <c r="E4092" s="274" t="s">
        <v>229</v>
      </c>
    </row>
    <row r="4093" spans="1:5" ht="27">
      <c r="A4093" s="271">
        <v>94667</v>
      </c>
      <c r="B4093" s="272" t="s">
        <v>2252</v>
      </c>
      <c r="C4093" s="272" t="s">
        <v>109</v>
      </c>
      <c r="D4093" s="273" t="s">
        <v>16345</v>
      </c>
      <c r="E4093" s="274" t="s">
        <v>229</v>
      </c>
    </row>
    <row r="4094" spans="1:5" ht="40.5">
      <c r="A4094" s="271">
        <v>94668</v>
      </c>
      <c r="B4094" s="272" t="s">
        <v>2253</v>
      </c>
      <c r="C4094" s="272" t="s">
        <v>109</v>
      </c>
      <c r="D4094" s="273" t="s">
        <v>16066</v>
      </c>
      <c r="E4094" s="274" t="s">
        <v>229</v>
      </c>
    </row>
    <row r="4095" spans="1:5" ht="27">
      <c r="A4095" s="271">
        <v>94669</v>
      </c>
      <c r="B4095" s="272" t="s">
        <v>2254</v>
      </c>
      <c r="C4095" s="272" t="s">
        <v>109</v>
      </c>
      <c r="D4095" s="273" t="s">
        <v>20205</v>
      </c>
      <c r="E4095" s="274" t="s">
        <v>229</v>
      </c>
    </row>
    <row r="4096" spans="1:5" ht="40.5">
      <c r="A4096" s="271">
        <v>94670</v>
      </c>
      <c r="B4096" s="272" t="s">
        <v>2255</v>
      </c>
      <c r="C4096" s="272" t="s">
        <v>109</v>
      </c>
      <c r="D4096" s="273" t="s">
        <v>23259</v>
      </c>
      <c r="E4096" s="274" t="s">
        <v>229</v>
      </c>
    </row>
    <row r="4097" spans="1:5" ht="27">
      <c r="A4097" s="271">
        <v>94671</v>
      </c>
      <c r="B4097" s="272" t="s">
        <v>2256</v>
      </c>
      <c r="C4097" s="272" t="s">
        <v>109</v>
      </c>
      <c r="D4097" s="273" t="s">
        <v>23260</v>
      </c>
      <c r="E4097" s="274" t="s">
        <v>229</v>
      </c>
    </row>
    <row r="4098" spans="1:5" ht="40.5">
      <c r="A4098" s="271">
        <v>94672</v>
      </c>
      <c r="B4098" s="272" t="s">
        <v>2257</v>
      </c>
      <c r="C4098" s="272" t="s">
        <v>109</v>
      </c>
      <c r="D4098" s="273" t="s">
        <v>23261</v>
      </c>
      <c r="E4098" s="274" t="s">
        <v>229</v>
      </c>
    </row>
    <row r="4099" spans="1:5" ht="40.5">
      <c r="A4099" s="271">
        <v>94673</v>
      </c>
      <c r="B4099" s="272" t="s">
        <v>2258</v>
      </c>
      <c r="C4099" s="272" t="s">
        <v>109</v>
      </c>
      <c r="D4099" s="273" t="s">
        <v>10006</v>
      </c>
      <c r="E4099" s="274" t="s">
        <v>229</v>
      </c>
    </row>
    <row r="4100" spans="1:5" ht="40.5">
      <c r="A4100" s="271">
        <v>94674</v>
      </c>
      <c r="B4100" s="272" t="s">
        <v>2259</v>
      </c>
      <c r="C4100" s="272" t="s">
        <v>109</v>
      </c>
      <c r="D4100" s="273" t="s">
        <v>21125</v>
      </c>
      <c r="E4100" s="274" t="s">
        <v>229</v>
      </c>
    </row>
    <row r="4101" spans="1:5" ht="40.5">
      <c r="A4101" s="271">
        <v>94675</v>
      </c>
      <c r="B4101" s="272" t="s">
        <v>2260</v>
      </c>
      <c r="C4101" s="272" t="s">
        <v>109</v>
      </c>
      <c r="D4101" s="273" t="s">
        <v>16062</v>
      </c>
      <c r="E4101" s="274" t="s">
        <v>229</v>
      </c>
    </row>
    <row r="4102" spans="1:5" ht="40.5">
      <c r="A4102" s="271">
        <v>94676</v>
      </c>
      <c r="B4102" s="272" t="s">
        <v>2261</v>
      </c>
      <c r="C4102" s="272" t="s">
        <v>109</v>
      </c>
      <c r="D4102" s="273" t="s">
        <v>19274</v>
      </c>
      <c r="E4102" s="274" t="s">
        <v>229</v>
      </c>
    </row>
    <row r="4103" spans="1:5" ht="40.5">
      <c r="A4103" s="271">
        <v>94677</v>
      </c>
      <c r="B4103" s="272" t="s">
        <v>2262</v>
      </c>
      <c r="C4103" s="272" t="s">
        <v>109</v>
      </c>
      <c r="D4103" s="273" t="s">
        <v>22680</v>
      </c>
      <c r="E4103" s="274" t="s">
        <v>229</v>
      </c>
    </row>
    <row r="4104" spans="1:5" ht="40.5">
      <c r="A4104" s="271">
        <v>94678</v>
      </c>
      <c r="B4104" s="272" t="s">
        <v>2263</v>
      </c>
      <c r="C4104" s="272" t="s">
        <v>109</v>
      </c>
      <c r="D4104" s="273" t="s">
        <v>12339</v>
      </c>
      <c r="E4104" s="274" t="s">
        <v>229</v>
      </c>
    </row>
    <row r="4105" spans="1:5" ht="40.5">
      <c r="A4105" s="271">
        <v>94679</v>
      </c>
      <c r="B4105" s="272" t="s">
        <v>2264</v>
      </c>
      <c r="C4105" s="272" t="s">
        <v>109</v>
      </c>
      <c r="D4105" s="273" t="s">
        <v>21522</v>
      </c>
      <c r="E4105" s="274" t="s">
        <v>229</v>
      </c>
    </row>
    <row r="4106" spans="1:5" ht="40.5">
      <c r="A4106" s="271">
        <v>94680</v>
      </c>
      <c r="B4106" s="272" t="s">
        <v>2265</v>
      </c>
      <c r="C4106" s="272" t="s">
        <v>109</v>
      </c>
      <c r="D4106" s="273" t="s">
        <v>16063</v>
      </c>
      <c r="E4106" s="274" t="s">
        <v>229</v>
      </c>
    </row>
    <row r="4107" spans="1:5" ht="40.5">
      <c r="A4107" s="271">
        <v>94681</v>
      </c>
      <c r="B4107" s="272" t="s">
        <v>2266</v>
      </c>
      <c r="C4107" s="272" t="s">
        <v>109</v>
      </c>
      <c r="D4107" s="273" t="s">
        <v>16171</v>
      </c>
      <c r="E4107" s="274" t="s">
        <v>229</v>
      </c>
    </row>
    <row r="4108" spans="1:5" ht="40.5">
      <c r="A4108" s="271">
        <v>94682</v>
      </c>
      <c r="B4108" s="272" t="s">
        <v>2267</v>
      </c>
      <c r="C4108" s="272" t="s">
        <v>109</v>
      </c>
      <c r="D4108" s="273" t="s">
        <v>23262</v>
      </c>
      <c r="E4108" s="274" t="s">
        <v>229</v>
      </c>
    </row>
    <row r="4109" spans="1:5" ht="40.5">
      <c r="A4109" s="271">
        <v>94683</v>
      </c>
      <c r="B4109" s="272" t="s">
        <v>2268</v>
      </c>
      <c r="C4109" s="272" t="s">
        <v>109</v>
      </c>
      <c r="D4109" s="273" t="s">
        <v>23263</v>
      </c>
      <c r="E4109" s="274" t="s">
        <v>229</v>
      </c>
    </row>
    <row r="4110" spans="1:5" ht="40.5">
      <c r="A4110" s="271">
        <v>94684</v>
      </c>
      <c r="B4110" s="272" t="s">
        <v>2269</v>
      </c>
      <c r="C4110" s="272" t="s">
        <v>109</v>
      </c>
      <c r="D4110" s="273" t="s">
        <v>23264</v>
      </c>
      <c r="E4110" s="274" t="s">
        <v>229</v>
      </c>
    </row>
    <row r="4111" spans="1:5" ht="40.5">
      <c r="A4111" s="271">
        <v>94685</v>
      </c>
      <c r="B4111" s="272" t="s">
        <v>2270</v>
      </c>
      <c r="C4111" s="272" t="s">
        <v>109</v>
      </c>
      <c r="D4111" s="273" t="s">
        <v>23265</v>
      </c>
      <c r="E4111" s="274" t="s">
        <v>229</v>
      </c>
    </row>
    <row r="4112" spans="1:5" ht="40.5">
      <c r="A4112" s="271">
        <v>94686</v>
      </c>
      <c r="B4112" s="272" t="s">
        <v>2271</v>
      </c>
      <c r="C4112" s="272" t="s">
        <v>109</v>
      </c>
      <c r="D4112" s="273" t="s">
        <v>23266</v>
      </c>
      <c r="E4112" s="274" t="s">
        <v>229</v>
      </c>
    </row>
    <row r="4113" spans="1:5" ht="40.5">
      <c r="A4113" s="271">
        <v>94687</v>
      </c>
      <c r="B4113" s="272" t="s">
        <v>2272</v>
      </c>
      <c r="C4113" s="272" t="s">
        <v>109</v>
      </c>
      <c r="D4113" s="273" t="s">
        <v>23267</v>
      </c>
      <c r="E4113" s="274" t="s">
        <v>229</v>
      </c>
    </row>
    <row r="4114" spans="1:5" ht="27">
      <c r="A4114" s="271">
        <v>94688</v>
      </c>
      <c r="B4114" s="272" t="s">
        <v>2273</v>
      </c>
      <c r="C4114" s="272" t="s">
        <v>109</v>
      </c>
      <c r="D4114" s="273" t="s">
        <v>11334</v>
      </c>
      <c r="E4114" s="274" t="s">
        <v>229</v>
      </c>
    </row>
    <row r="4115" spans="1:5" ht="40.5">
      <c r="A4115" s="271">
        <v>94689</v>
      </c>
      <c r="B4115" s="272" t="s">
        <v>2274</v>
      </c>
      <c r="C4115" s="272" t="s">
        <v>109</v>
      </c>
      <c r="D4115" s="273" t="s">
        <v>12140</v>
      </c>
      <c r="E4115" s="274" t="s">
        <v>229</v>
      </c>
    </row>
    <row r="4116" spans="1:5" ht="27">
      <c r="A4116" s="271">
        <v>94690</v>
      </c>
      <c r="B4116" s="272" t="s">
        <v>2275</v>
      </c>
      <c r="C4116" s="272" t="s">
        <v>109</v>
      </c>
      <c r="D4116" s="273" t="s">
        <v>9817</v>
      </c>
      <c r="E4116" s="274" t="s">
        <v>229</v>
      </c>
    </row>
    <row r="4117" spans="1:5" ht="40.5">
      <c r="A4117" s="271">
        <v>94691</v>
      </c>
      <c r="B4117" s="272" t="s">
        <v>2276</v>
      </c>
      <c r="C4117" s="272" t="s">
        <v>109</v>
      </c>
      <c r="D4117" s="273" t="s">
        <v>14118</v>
      </c>
      <c r="E4117" s="274" t="s">
        <v>229</v>
      </c>
    </row>
    <row r="4118" spans="1:5" ht="27">
      <c r="A4118" s="271">
        <v>94692</v>
      </c>
      <c r="B4118" s="272" t="s">
        <v>2277</v>
      </c>
      <c r="C4118" s="272" t="s">
        <v>109</v>
      </c>
      <c r="D4118" s="273" t="s">
        <v>23268</v>
      </c>
      <c r="E4118" s="274" t="s">
        <v>229</v>
      </c>
    </row>
    <row r="4119" spans="1:5" ht="40.5">
      <c r="A4119" s="271">
        <v>94693</v>
      </c>
      <c r="B4119" s="272" t="s">
        <v>2278</v>
      </c>
      <c r="C4119" s="272" t="s">
        <v>109</v>
      </c>
      <c r="D4119" s="273" t="s">
        <v>14057</v>
      </c>
      <c r="E4119" s="274" t="s">
        <v>229</v>
      </c>
    </row>
    <row r="4120" spans="1:5" ht="27">
      <c r="A4120" s="271">
        <v>94694</v>
      </c>
      <c r="B4120" s="272" t="s">
        <v>2279</v>
      </c>
      <c r="C4120" s="272" t="s">
        <v>109</v>
      </c>
      <c r="D4120" s="273" t="s">
        <v>16369</v>
      </c>
      <c r="E4120" s="274" t="s">
        <v>229</v>
      </c>
    </row>
    <row r="4121" spans="1:5" ht="40.5">
      <c r="A4121" s="271">
        <v>94695</v>
      </c>
      <c r="B4121" s="272" t="s">
        <v>2280</v>
      </c>
      <c r="C4121" s="272" t="s">
        <v>109</v>
      </c>
      <c r="D4121" s="273" t="s">
        <v>21499</v>
      </c>
      <c r="E4121" s="274" t="s">
        <v>229</v>
      </c>
    </row>
    <row r="4122" spans="1:5" ht="27">
      <c r="A4122" s="271">
        <v>94696</v>
      </c>
      <c r="B4122" s="272" t="s">
        <v>2281</v>
      </c>
      <c r="C4122" s="272" t="s">
        <v>109</v>
      </c>
      <c r="D4122" s="273" t="s">
        <v>16377</v>
      </c>
      <c r="E4122" s="274" t="s">
        <v>229</v>
      </c>
    </row>
    <row r="4123" spans="1:5" ht="27">
      <c r="A4123" s="271">
        <v>94697</v>
      </c>
      <c r="B4123" s="272" t="s">
        <v>2282</v>
      </c>
      <c r="C4123" s="272" t="s">
        <v>109</v>
      </c>
      <c r="D4123" s="273" t="s">
        <v>23269</v>
      </c>
      <c r="E4123" s="274" t="s">
        <v>229</v>
      </c>
    </row>
    <row r="4124" spans="1:5" ht="40.5">
      <c r="A4124" s="271">
        <v>94698</v>
      </c>
      <c r="B4124" s="272" t="s">
        <v>2283</v>
      </c>
      <c r="C4124" s="272" t="s">
        <v>109</v>
      </c>
      <c r="D4124" s="273" t="s">
        <v>23270</v>
      </c>
      <c r="E4124" s="274" t="s">
        <v>229</v>
      </c>
    </row>
    <row r="4125" spans="1:5" ht="27">
      <c r="A4125" s="271">
        <v>94699</v>
      </c>
      <c r="B4125" s="272" t="s">
        <v>2284</v>
      </c>
      <c r="C4125" s="272" t="s">
        <v>109</v>
      </c>
      <c r="D4125" s="273" t="s">
        <v>23271</v>
      </c>
      <c r="E4125" s="274" t="s">
        <v>229</v>
      </c>
    </row>
    <row r="4126" spans="1:5" ht="40.5">
      <c r="A4126" s="271">
        <v>94700</v>
      </c>
      <c r="B4126" s="272" t="s">
        <v>2285</v>
      </c>
      <c r="C4126" s="272" t="s">
        <v>109</v>
      </c>
      <c r="D4126" s="273" t="s">
        <v>15934</v>
      </c>
      <c r="E4126" s="274" t="s">
        <v>229</v>
      </c>
    </row>
    <row r="4127" spans="1:5" ht="27">
      <c r="A4127" s="271">
        <v>94701</v>
      </c>
      <c r="B4127" s="272" t="s">
        <v>2286</v>
      </c>
      <c r="C4127" s="272" t="s">
        <v>109</v>
      </c>
      <c r="D4127" s="273" t="s">
        <v>23272</v>
      </c>
      <c r="E4127" s="274" t="s">
        <v>229</v>
      </c>
    </row>
    <row r="4128" spans="1:5" ht="40.5">
      <c r="A4128" s="271">
        <v>94702</v>
      </c>
      <c r="B4128" s="272" t="s">
        <v>2287</v>
      </c>
      <c r="C4128" s="272" t="s">
        <v>109</v>
      </c>
      <c r="D4128" s="273" t="s">
        <v>23273</v>
      </c>
      <c r="E4128" s="274" t="s">
        <v>229</v>
      </c>
    </row>
    <row r="4129" spans="1:5" ht="40.5">
      <c r="A4129" s="271">
        <v>94703</v>
      </c>
      <c r="B4129" s="272" t="s">
        <v>2288</v>
      </c>
      <c r="C4129" s="272" t="s">
        <v>109</v>
      </c>
      <c r="D4129" s="273" t="s">
        <v>10978</v>
      </c>
      <c r="E4129" s="274" t="s">
        <v>229</v>
      </c>
    </row>
    <row r="4130" spans="1:5" ht="40.5">
      <c r="A4130" s="271">
        <v>94704</v>
      </c>
      <c r="B4130" s="272" t="s">
        <v>2289</v>
      </c>
      <c r="C4130" s="272" t="s">
        <v>109</v>
      </c>
      <c r="D4130" s="273" t="s">
        <v>16490</v>
      </c>
      <c r="E4130" s="274" t="s">
        <v>229</v>
      </c>
    </row>
    <row r="4131" spans="1:5" ht="40.5">
      <c r="A4131" s="271">
        <v>94705</v>
      </c>
      <c r="B4131" s="272" t="s">
        <v>2290</v>
      </c>
      <c r="C4131" s="272" t="s">
        <v>109</v>
      </c>
      <c r="D4131" s="273" t="s">
        <v>23274</v>
      </c>
      <c r="E4131" s="274" t="s">
        <v>229</v>
      </c>
    </row>
    <row r="4132" spans="1:5" ht="40.5">
      <c r="A4132" s="271">
        <v>94706</v>
      </c>
      <c r="B4132" s="272" t="s">
        <v>2291</v>
      </c>
      <c r="C4132" s="272" t="s">
        <v>109</v>
      </c>
      <c r="D4132" s="273" t="s">
        <v>23275</v>
      </c>
      <c r="E4132" s="274" t="s">
        <v>229</v>
      </c>
    </row>
    <row r="4133" spans="1:5" ht="40.5">
      <c r="A4133" s="271">
        <v>94707</v>
      </c>
      <c r="B4133" s="272" t="s">
        <v>2292</v>
      </c>
      <c r="C4133" s="272" t="s">
        <v>109</v>
      </c>
      <c r="D4133" s="273" t="s">
        <v>15956</v>
      </c>
      <c r="E4133" s="274" t="s">
        <v>229</v>
      </c>
    </row>
    <row r="4134" spans="1:5" ht="40.5">
      <c r="A4134" s="271">
        <v>94708</v>
      </c>
      <c r="B4134" s="272" t="s">
        <v>2293</v>
      </c>
      <c r="C4134" s="272" t="s">
        <v>109</v>
      </c>
      <c r="D4134" s="273" t="s">
        <v>16152</v>
      </c>
      <c r="E4134" s="274" t="s">
        <v>229</v>
      </c>
    </row>
    <row r="4135" spans="1:5" ht="40.5">
      <c r="A4135" s="271">
        <v>94709</v>
      </c>
      <c r="B4135" s="272" t="s">
        <v>2294</v>
      </c>
      <c r="C4135" s="272" t="s">
        <v>109</v>
      </c>
      <c r="D4135" s="273" t="s">
        <v>11549</v>
      </c>
      <c r="E4135" s="274" t="s">
        <v>229</v>
      </c>
    </row>
    <row r="4136" spans="1:5" ht="40.5">
      <c r="A4136" s="271">
        <v>94710</v>
      </c>
      <c r="B4136" s="272" t="s">
        <v>2295</v>
      </c>
      <c r="C4136" s="272" t="s">
        <v>109</v>
      </c>
      <c r="D4136" s="273" t="s">
        <v>21193</v>
      </c>
      <c r="E4136" s="274" t="s">
        <v>229</v>
      </c>
    </row>
    <row r="4137" spans="1:5" ht="40.5">
      <c r="A4137" s="271">
        <v>94711</v>
      </c>
      <c r="B4137" s="272" t="s">
        <v>2296</v>
      </c>
      <c r="C4137" s="272" t="s">
        <v>109</v>
      </c>
      <c r="D4137" s="273" t="s">
        <v>23276</v>
      </c>
      <c r="E4137" s="274" t="s">
        <v>229</v>
      </c>
    </row>
    <row r="4138" spans="1:5" ht="40.5">
      <c r="A4138" s="271">
        <v>94712</v>
      </c>
      <c r="B4138" s="272" t="s">
        <v>2297</v>
      </c>
      <c r="C4138" s="272" t="s">
        <v>109</v>
      </c>
      <c r="D4138" s="273" t="s">
        <v>23277</v>
      </c>
      <c r="E4138" s="274" t="s">
        <v>229</v>
      </c>
    </row>
    <row r="4139" spans="1:5" ht="40.5">
      <c r="A4139" s="271">
        <v>94713</v>
      </c>
      <c r="B4139" s="272" t="s">
        <v>2298</v>
      </c>
      <c r="C4139" s="272" t="s">
        <v>109</v>
      </c>
      <c r="D4139" s="273" t="s">
        <v>23278</v>
      </c>
      <c r="E4139" s="274" t="s">
        <v>229</v>
      </c>
    </row>
    <row r="4140" spans="1:5" ht="40.5">
      <c r="A4140" s="271">
        <v>94714</v>
      </c>
      <c r="B4140" s="272" t="s">
        <v>2299</v>
      </c>
      <c r="C4140" s="272" t="s">
        <v>109</v>
      </c>
      <c r="D4140" s="273" t="s">
        <v>23279</v>
      </c>
      <c r="E4140" s="274" t="s">
        <v>229</v>
      </c>
    </row>
    <row r="4141" spans="1:5" ht="40.5">
      <c r="A4141" s="271">
        <v>94715</v>
      </c>
      <c r="B4141" s="272" t="s">
        <v>2300</v>
      </c>
      <c r="C4141" s="272" t="s">
        <v>109</v>
      </c>
      <c r="D4141" s="273" t="s">
        <v>23280</v>
      </c>
      <c r="E4141" s="274" t="s">
        <v>229</v>
      </c>
    </row>
    <row r="4142" spans="1:5" ht="40.5">
      <c r="A4142" s="271">
        <v>94724</v>
      </c>
      <c r="B4142" s="272" t="s">
        <v>2301</v>
      </c>
      <c r="C4142" s="272" t="s">
        <v>109</v>
      </c>
      <c r="D4142" s="273" t="s">
        <v>16004</v>
      </c>
      <c r="E4142" s="274" t="s">
        <v>229</v>
      </c>
    </row>
    <row r="4143" spans="1:5" ht="27">
      <c r="A4143" s="271">
        <v>94725</v>
      </c>
      <c r="B4143" s="272" t="s">
        <v>2302</v>
      </c>
      <c r="C4143" s="272" t="s">
        <v>109</v>
      </c>
      <c r="D4143" s="273" t="s">
        <v>9826</v>
      </c>
      <c r="E4143" s="274" t="s">
        <v>229</v>
      </c>
    </row>
    <row r="4144" spans="1:5" ht="27">
      <c r="A4144" s="271">
        <v>94726</v>
      </c>
      <c r="B4144" s="272" t="s">
        <v>2303</v>
      </c>
      <c r="C4144" s="272" t="s">
        <v>109</v>
      </c>
      <c r="D4144" s="273" t="s">
        <v>16684</v>
      </c>
      <c r="E4144" s="274" t="s">
        <v>229</v>
      </c>
    </row>
    <row r="4145" spans="1:5" ht="27">
      <c r="A4145" s="271">
        <v>94727</v>
      </c>
      <c r="B4145" s="272" t="s">
        <v>2304</v>
      </c>
      <c r="C4145" s="272" t="s">
        <v>109</v>
      </c>
      <c r="D4145" s="273" t="s">
        <v>10231</v>
      </c>
      <c r="E4145" s="274" t="s">
        <v>229</v>
      </c>
    </row>
    <row r="4146" spans="1:5" ht="40.5">
      <c r="A4146" s="271">
        <v>94728</v>
      </c>
      <c r="B4146" s="272" t="s">
        <v>2305</v>
      </c>
      <c r="C4146" s="272" t="s">
        <v>109</v>
      </c>
      <c r="D4146" s="273" t="s">
        <v>23281</v>
      </c>
      <c r="E4146" s="274" t="s">
        <v>229</v>
      </c>
    </row>
    <row r="4147" spans="1:5" ht="27">
      <c r="A4147" s="271">
        <v>94729</v>
      </c>
      <c r="B4147" s="272" t="s">
        <v>2306</v>
      </c>
      <c r="C4147" s="272" t="s">
        <v>109</v>
      </c>
      <c r="D4147" s="273" t="s">
        <v>23282</v>
      </c>
      <c r="E4147" s="274" t="s">
        <v>229</v>
      </c>
    </row>
    <row r="4148" spans="1:5" ht="40.5">
      <c r="A4148" s="271">
        <v>94730</v>
      </c>
      <c r="B4148" s="272" t="s">
        <v>2307</v>
      </c>
      <c r="C4148" s="272" t="s">
        <v>109</v>
      </c>
      <c r="D4148" s="273" t="s">
        <v>16523</v>
      </c>
      <c r="E4148" s="274" t="s">
        <v>229</v>
      </c>
    </row>
    <row r="4149" spans="1:5" ht="27">
      <c r="A4149" s="271">
        <v>94731</v>
      </c>
      <c r="B4149" s="272" t="s">
        <v>2308</v>
      </c>
      <c r="C4149" s="272" t="s">
        <v>109</v>
      </c>
      <c r="D4149" s="273" t="s">
        <v>10621</v>
      </c>
      <c r="E4149" s="274" t="s">
        <v>229</v>
      </c>
    </row>
    <row r="4150" spans="1:5" ht="27">
      <c r="A4150" s="271">
        <v>94733</v>
      </c>
      <c r="B4150" s="272" t="s">
        <v>2309</v>
      </c>
      <c r="C4150" s="272" t="s">
        <v>109</v>
      </c>
      <c r="D4150" s="273" t="s">
        <v>23283</v>
      </c>
      <c r="E4150" s="274" t="s">
        <v>229</v>
      </c>
    </row>
    <row r="4151" spans="1:5" ht="27">
      <c r="A4151" s="271">
        <v>94737</v>
      </c>
      <c r="B4151" s="272" t="s">
        <v>2310</v>
      </c>
      <c r="C4151" s="272" t="s">
        <v>109</v>
      </c>
      <c r="D4151" s="273" t="s">
        <v>23284</v>
      </c>
      <c r="E4151" s="274" t="s">
        <v>229</v>
      </c>
    </row>
    <row r="4152" spans="1:5" ht="40.5">
      <c r="A4152" s="271">
        <v>94740</v>
      </c>
      <c r="B4152" s="272" t="s">
        <v>2311</v>
      </c>
      <c r="C4152" s="272" t="s">
        <v>109</v>
      </c>
      <c r="D4152" s="273" t="s">
        <v>10080</v>
      </c>
      <c r="E4152" s="274" t="s">
        <v>229</v>
      </c>
    </row>
    <row r="4153" spans="1:5" ht="40.5">
      <c r="A4153" s="271">
        <v>94741</v>
      </c>
      <c r="B4153" s="272" t="s">
        <v>2312</v>
      </c>
      <c r="C4153" s="272" t="s">
        <v>109</v>
      </c>
      <c r="D4153" s="273" t="s">
        <v>11517</v>
      </c>
      <c r="E4153" s="274" t="s">
        <v>229</v>
      </c>
    </row>
    <row r="4154" spans="1:5" ht="40.5">
      <c r="A4154" s="271">
        <v>94742</v>
      </c>
      <c r="B4154" s="272" t="s">
        <v>2313</v>
      </c>
      <c r="C4154" s="272" t="s">
        <v>109</v>
      </c>
      <c r="D4154" s="273" t="s">
        <v>11388</v>
      </c>
      <c r="E4154" s="274" t="s">
        <v>229</v>
      </c>
    </row>
    <row r="4155" spans="1:5" ht="40.5">
      <c r="A4155" s="271">
        <v>94743</v>
      </c>
      <c r="B4155" s="272" t="s">
        <v>2314</v>
      </c>
      <c r="C4155" s="272" t="s">
        <v>109</v>
      </c>
      <c r="D4155" s="273" t="s">
        <v>9816</v>
      </c>
      <c r="E4155" s="274" t="s">
        <v>229</v>
      </c>
    </row>
    <row r="4156" spans="1:5" ht="40.5">
      <c r="A4156" s="271">
        <v>94744</v>
      </c>
      <c r="B4156" s="272" t="s">
        <v>2315</v>
      </c>
      <c r="C4156" s="272" t="s">
        <v>109</v>
      </c>
      <c r="D4156" s="273" t="s">
        <v>11356</v>
      </c>
      <c r="E4156" s="274" t="s">
        <v>229</v>
      </c>
    </row>
    <row r="4157" spans="1:5" ht="40.5">
      <c r="A4157" s="271">
        <v>94746</v>
      </c>
      <c r="B4157" s="272" t="s">
        <v>2316</v>
      </c>
      <c r="C4157" s="272" t="s">
        <v>109</v>
      </c>
      <c r="D4157" s="273" t="s">
        <v>12420</v>
      </c>
      <c r="E4157" s="274" t="s">
        <v>229</v>
      </c>
    </row>
    <row r="4158" spans="1:5" ht="40.5">
      <c r="A4158" s="271">
        <v>94748</v>
      </c>
      <c r="B4158" s="272" t="s">
        <v>2317</v>
      </c>
      <c r="C4158" s="272" t="s">
        <v>109</v>
      </c>
      <c r="D4158" s="273" t="s">
        <v>23285</v>
      </c>
      <c r="E4158" s="274" t="s">
        <v>229</v>
      </c>
    </row>
    <row r="4159" spans="1:5" ht="40.5">
      <c r="A4159" s="271">
        <v>94750</v>
      </c>
      <c r="B4159" s="272" t="s">
        <v>2318</v>
      </c>
      <c r="C4159" s="272" t="s">
        <v>109</v>
      </c>
      <c r="D4159" s="273" t="s">
        <v>23286</v>
      </c>
      <c r="E4159" s="274" t="s">
        <v>229</v>
      </c>
    </row>
    <row r="4160" spans="1:5" ht="40.5">
      <c r="A4160" s="271">
        <v>94752</v>
      </c>
      <c r="B4160" s="272" t="s">
        <v>2319</v>
      </c>
      <c r="C4160" s="272" t="s">
        <v>109</v>
      </c>
      <c r="D4160" s="273" t="s">
        <v>22937</v>
      </c>
      <c r="E4160" s="274" t="s">
        <v>229</v>
      </c>
    </row>
    <row r="4161" spans="1:5" ht="27">
      <c r="A4161" s="271">
        <v>94756</v>
      </c>
      <c r="B4161" s="272" t="s">
        <v>2320</v>
      </c>
      <c r="C4161" s="272" t="s">
        <v>109</v>
      </c>
      <c r="D4161" s="273" t="s">
        <v>10056</v>
      </c>
      <c r="E4161" s="274" t="s">
        <v>229</v>
      </c>
    </row>
    <row r="4162" spans="1:5" ht="27">
      <c r="A4162" s="271">
        <v>94757</v>
      </c>
      <c r="B4162" s="272" t="s">
        <v>2321</v>
      </c>
      <c r="C4162" s="272" t="s">
        <v>109</v>
      </c>
      <c r="D4162" s="273" t="s">
        <v>11396</v>
      </c>
      <c r="E4162" s="274" t="s">
        <v>229</v>
      </c>
    </row>
    <row r="4163" spans="1:5" ht="27">
      <c r="A4163" s="271">
        <v>94758</v>
      </c>
      <c r="B4163" s="272" t="s">
        <v>2322</v>
      </c>
      <c r="C4163" s="272" t="s">
        <v>109</v>
      </c>
      <c r="D4163" s="273" t="s">
        <v>11379</v>
      </c>
      <c r="E4163" s="274" t="s">
        <v>229</v>
      </c>
    </row>
    <row r="4164" spans="1:5" ht="27">
      <c r="A4164" s="271">
        <v>94759</v>
      </c>
      <c r="B4164" s="272" t="s">
        <v>2323</v>
      </c>
      <c r="C4164" s="272" t="s">
        <v>109</v>
      </c>
      <c r="D4164" s="273" t="s">
        <v>22709</v>
      </c>
      <c r="E4164" s="274" t="s">
        <v>229</v>
      </c>
    </row>
    <row r="4165" spans="1:5" ht="27">
      <c r="A4165" s="271">
        <v>94760</v>
      </c>
      <c r="B4165" s="272" t="s">
        <v>2324</v>
      </c>
      <c r="C4165" s="272" t="s">
        <v>109</v>
      </c>
      <c r="D4165" s="273" t="s">
        <v>23287</v>
      </c>
      <c r="E4165" s="274" t="s">
        <v>229</v>
      </c>
    </row>
    <row r="4166" spans="1:5" ht="27">
      <c r="A4166" s="271">
        <v>94761</v>
      </c>
      <c r="B4166" s="272" t="s">
        <v>2325</v>
      </c>
      <c r="C4166" s="272" t="s">
        <v>109</v>
      </c>
      <c r="D4166" s="273" t="s">
        <v>23288</v>
      </c>
      <c r="E4166" s="274" t="s">
        <v>229</v>
      </c>
    </row>
    <row r="4167" spans="1:5" ht="27">
      <c r="A4167" s="271">
        <v>94762</v>
      </c>
      <c r="B4167" s="272" t="s">
        <v>2326</v>
      </c>
      <c r="C4167" s="272" t="s">
        <v>109</v>
      </c>
      <c r="D4167" s="273" t="s">
        <v>23289</v>
      </c>
      <c r="E4167" s="274" t="s">
        <v>229</v>
      </c>
    </row>
    <row r="4168" spans="1:5" ht="40.5">
      <c r="A4168" s="271">
        <v>94783</v>
      </c>
      <c r="B4168" s="272" t="s">
        <v>2327</v>
      </c>
      <c r="C4168" s="272" t="s">
        <v>109</v>
      </c>
      <c r="D4168" s="273" t="s">
        <v>14227</v>
      </c>
      <c r="E4168" s="274" t="s">
        <v>229</v>
      </c>
    </row>
    <row r="4169" spans="1:5" ht="40.5">
      <c r="A4169" s="271">
        <v>94785</v>
      </c>
      <c r="B4169" s="272" t="s">
        <v>2328</v>
      </c>
      <c r="C4169" s="272" t="s">
        <v>109</v>
      </c>
      <c r="D4169" s="273" t="s">
        <v>23290</v>
      </c>
      <c r="E4169" s="274" t="s">
        <v>229</v>
      </c>
    </row>
    <row r="4170" spans="1:5" ht="40.5">
      <c r="A4170" s="271">
        <v>94786</v>
      </c>
      <c r="B4170" s="272" t="s">
        <v>2329</v>
      </c>
      <c r="C4170" s="272" t="s">
        <v>109</v>
      </c>
      <c r="D4170" s="273" t="s">
        <v>23291</v>
      </c>
      <c r="E4170" s="274" t="s">
        <v>229</v>
      </c>
    </row>
    <row r="4171" spans="1:5" ht="40.5">
      <c r="A4171" s="271">
        <v>94787</v>
      </c>
      <c r="B4171" s="272" t="s">
        <v>2330</v>
      </c>
      <c r="C4171" s="272" t="s">
        <v>109</v>
      </c>
      <c r="D4171" s="273" t="s">
        <v>16305</v>
      </c>
      <c r="E4171" s="274" t="s">
        <v>229</v>
      </c>
    </row>
    <row r="4172" spans="1:5" ht="40.5">
      <c r="A4172" s="271">
        <v>94788</v>
      </c>
      <c r="B4172" s="272" t="s">
        <v>2331</v>
      </c>
      <c r="C4172" s="272" t="s">
        <v>109</v>
      </c>
      <c r="D4172" s="273" t="s">
        <v>23292</v>
      </c>
      <c r="E4172" s="274" t="s">
        <v>229</v>
      </c>
    </row>
    <row r="4173" spans="1:5" ht="40.5">
      <c r="A4173" s="271">
        <v>94789</v>
      </c>
      <c r="B4173" s="272" t="s">
        <v>2332</v>
      </c>
      <c r="C4173" s="272" t="s">
        <v>109</v>
      </c>
      <c r="D4173" s="273" t="s">
        <v>23293</v>
      </c>
      <c r="E4173" s="274" t="s">
        <v>229</v>
      </c>
    </row>
    <row r="4174" spans="1:5" ht="40.5">
      <c r="A4174" s="271">
        <v>94790</v>
      </c>
      <c r="B4174" s="272" t="s">
        <v>2333</v>
      </c>
      <c r="C4174" s="272" t="s">
        <v>109</v>
      </c>
      <c r="D4174" s="273" t="s">
        <v>23294</v>
      </c>
      <c r="E4174" s="274" t="s">
        <v>229</v>
      </c>
    </row>
    <row r="4175" spans="1:5" ht="40.5">
      <c r="A4175" s="271">
        <v>94791</v>
      </c>
      <c r="B4175" s="272" t="s">
        <v>2334</v>
      </c>
      <c r="C4175" s="272" t="s">
        <v>109</v>
      </c>
      <c r="D4175" s="273" t="s">
        <v>23295</v>
      </c>
      <c r="E4175" s="274" t="s">
        <v>229</v>
      </c>
    </row>
    <row r="4176" spans="1:5" ht="27">
      <c r="A4176" s="271">
        <v>94863</v>
      </c>
      <c r="B4176" s="272" t="s">
        <v>2335</v>
      </c>
      <c r="C4176" s="272" t="s">
        <v>109</v>
      </c>
      <c r="D4176" s="275" t="s">
        <v>23296</v>
      </c>
      <c r="E4176" s="274" t="s">
        <v>229</v>
      </c>
    </row>
    <row r="4177" spans="1:5" ht="40.5">
      <c r="A4177" s="271">
        <v>95141</v>
      </c>
      <c r="B4177" s="272" t="s">
        <v>2336</v>
      </c>
      <c r="C4177" s="272" t="s">
        <v>109</v>
      </c>
      <c r="D4177" s="275" t="s">
        <v>16467</v>
      </c>
      <c r="E4177" s="274" t="s">
        <v>229</v>
      </c>
    </row>
    <row r="4178" spans="1:5" ht="27">
      <c r="A4178" s="271">
        <v>95237</v>
      </c>
      <c r="B4178" s="272" t="s">
        <v>2337</v>
      </c>
      <c r="C4178" s="272" t="s">
        <v>109</v>
      </c>
      <c r="D4178" s="275" t="s">
        <v>19130</v>
      </c>
      <c r="E4178" s="274" t="s">
        <v>229</v>
      </c>
    </row>
    <row r="4179" spans="1:5" ht="27">
      <c r="A4179" s="271">
        <v>95693</v>
      </c>
      <c r="B4179" s="272" t="s">
        <v>2338</v>
      </c>
      <c r="C4179" s="272" t="s">
        <v>109</v>
      </c>
      <c r="D4179" s="273" t="s">
        <v>23297</v>
      </c>
      <c r="E4179" s="274" t="s">
        <v>229</v>
      </c>
    </row>
    <row r="4180" spans="1:5" ht="27">
      <c r="A4180" s="271">
        <v>95694</v>
      </c>
      <c r="B4180" s="272" t="s">
        <v>2339</v>
      </c>
      <c r="C4180" s="272" t="s">
        <v>109</v>
      </c>
      <c r="D4180" s="273" t="s">
        <v>23298</v>
      </c>
      <c r="E4180" s="274" t="s">
        <v>229</v>
      </c>
    </row>
    <row r="4181" spans="1:5" ht="27">
      <c r="A4181" s="271">
        <v>95695</v>
      </c>
      <c r="B4181" s="272" t="s">
        <v>2340</v>
      </c>
      <c r="C4181" s="272" t="s">
        <v>109</v>
      </c>
      <c r="D4181" s="273" t="s">
        <v>15955</v>
      </c>
      <c r="E4181" s="274" t="s">
        <v>229</v>
      </c>
    </row>
    <row r="4182" spans="1:5" ht="27">
      <c r="A4182" s="271">
        <v>95696</v>
      </c>
      <c r="B4182" s="272" t="s">
        <v>13419</v>
      </c>
      <c r="C4182" s="272" t="s">
        <v>109</v>
      </c>
      <c r="D4182" s="273" t="s">
        <v>20173</v>
      </c>
      <c r="E4182" s="274" t="s">
        <v>229</v>
      </c>
    </row>
    <row r="4183" spans="1:5" ht="27">
      <c r="A4183" s="271">
        <v>96637</v>
      </c>
      <c r="B4183" s="272" t="s">
        <v>3526</v>
      </c>
      <c r="C4183" s="272" t="s">
        <v>109</v>
      </c>
      <c r="D4183" s="273" t="s">
        <v>10853</v>
      </c>
      <c r="E4183" s="274" t="s">
        <v>229</v>
      </c>
    </row>
    <row r="4184" spans="1:5" ht="27">
      <c r="A4184" s="271">
        <v>96638</v>
      </c>
      <c r="B4184" s="272" t="s">
        <v>3527</v>
      </c>
      <c r="C4184" s="272" t="s">
        <v>109</v>
      </c>
      <c r="D4184" s="273" t="s">
        <v>11208</v>
      </c>
      <c r="E4184" s="274" t="s">
        <v>229</v>
      </c>
    </row>
    <row r="4185" spans="1:5" ht="27">
      <c r="A4185" s="271">
        <v>96639</v>
      </c>
      <c r="B4185" s="272" t="s">
        <v>3528</v>
      </c>
      <c r="C4185" s="272" t="s">
        <v>109</v>
      </c>
      <c r="D4185" s="273" t="s">
        <v>12219</v>
      </c>
      <c r="E4185" s="274" t="s">
        <v>229</v>
      </c>
    </row>
    <row r="4186" spans="1:5" ht="27">
      <c r="A4186" s="271">
        <v>96640</v>
      </c>
      <c r="B4186" s="272" t="s">
        <v>3529</v>
      </c>
      <c r="C4186" s="272" t="s">
        <v>109</v>
      </c>
      <c r="D4186" s="273" t="s">
        <v>23299</v>
      </c>
      <c r="E4186" s="274" t="s">
        <v>229</v>
      </c>
    </row>
    <row r="4187" spans="1:5" ht="27">
      <c r="A4187" s="271">
        <v>96641</v>
      </c>
      <c r="B4187" s="272" t="s">
        <v>3530</v>
      </c>
      <c r="C4187" s="272" t="s">
        <v>109</v>
      </c>
      <c r="D4187" s="273" t="s">
        <v>12188</v>
      </c>
      <c r="E4187" s="274" t="s">
        <v>229</v>
      </c>
    </row>
    <row r="4188" spans="1:5" ht="27">
      <c r="A4188" s="271">
        <v>96642</v>
      </c>
      <c r="B4188" s="272" t="s">
        <v>3531</v>
      </c>
      <c r="C4188" s="272" t="s">
        <v>109</v>
      </c>
      <c r="D4188" s="273" t="s">
        <v>10516</v>
      </c>
      <c r="E4188" s="274" t="s">
        <v>229</v>
      </c>
    </row>
    <row r="4189" spans="1:5" ht="27">
      <c r="A4189" s="271">
        <v>96643</v>
      </c>
      <c r="B4189" s="272" t="s">
        <v>3532</v>
      </c>
      <c r="C4189" s="272" t="s">
        <v>109</v>
      </c>
      <c r="D4189" s="273" t="s">
        <v>23300</v>
      </c>
      <c r="E4189" s="274" t="s">
        <v>229</v>
      </c>
    </row>
    <row r="4190" spans="1:5" ht="27">
      <c r="A4190" s="271">
        <v>96650</v>
      </c>
      <c r="B4190" s="272" t="s">
        <v>3533</v>
      </c>
      <c r="C4190" s="272" t="s">
        <v>109</v>
      </c>
      <c r="D4190" s="273" t="s">
        <v>10225</v>
      </c>
      <c r="E4190" s="274" t="s">
        <v>229</v>
      </c>
    </row>
    <row r="4191" spans="1:5" ht="27">
      <c r="A4191" s="271">
        <v>96651</v>
      </c>
      <c r="B4191" s="272" t="s">
        <v>3534</v>
      </c>
      <c r="C4191" s="272" t="s">
        <v>109</v>
      </c>
      <c r="D4191" s="273" t="s">
        <v>10788</v>
      </c>
      <c r="E4191" s="274" t="s">
        <v>229</v>
      </c>
    </row>
    <row r="4192" spans="1:5" ht="27">
      <c r="A4192" s="271">
        <v>96652</v>
      </c>
      <c r="B4192" s="272" t="s">
        <v>3535</v>
      </c>
      <c r="C4192" s="272" t="s">
        <v>109</v>
      </c>
      <c r="D4192" s="273" t="s">
        <v>16411</v>
      </c>
      <c r="E4192" s="274" t="s">
        <v>229</v>
      </c>
    </row>
    <row r="4193" spans="1:5" ht="27">
      <c r="A4193" s="271">
        <v>96653</v>
      </c>
      <c r="B4193" s="272" t="s">
        <v>3536</v>
      </c>
      <c r="C4193" s="272" t="s">
        <v>109</v>
      </c>
      <c r="D4193" s="273" t="s">
        <v>12389</v>
      </c>
      <c r="E4193" s="274" t="s">
        <v>229</v>
      </c>
    </row>
    <row r="4194" spans="1:5" ht="27">
      <c r="A4194" s="271">
        <v>96654</v>
      </c>
      <c r="B4194" s="272" t="s">
        <v>3537</v>
      </c>
      <c r="C4194" s="272" t="s">
        <v>109</v>
      </c>
      <c r="D4194" s="273" t="s">
        <v>16651</v>
      </c>
      <c r="E4194" s="274" t="s">
        <v>229</v>
      </c>
    </row>
    <row r="4195" spans="1:5" ht="27">
      <c r="A4195" s="271">
        <v>96655</v>
      </c>
      <c r="B4195" s="272" t="s">
        <v>3538</v>
      </c>
      <c r="C4195" s="272" t="s">
        <v>109</v>
      </c>
      <c r="D4195" s="273" t="s">
        <v>11070</v>
      </c>
      <c r="E4195" s="274" t="s">
        <v>229</v>
      </c>
    </row>
    <row r="4196" spans="1:5" ht="27">
      <c r="A4196" s="271">
        <v>96656</v>
      </c>
      <c r="B4196" s="272" t="s">
        <v>3539</v>
      </c>
      <c r="C4196" s="272" t="s">
        <v>109</v>
      </c>
      <c r="D4196" s="273" t="s">
        <v>11298</v>
      </c>
      <c r="E4196" s="274" t="s">
        <v>229</v>
      </c>
    </row>
    <row r="4197" spans="1:5" ht="27">
      <c r="A4197" s="271">
        <v>96657</v>
      </c>
      <c r="B4197" s="272" t="s">
        <v>3540</v>
      </c>
      <c r="C4197" s="272" t="s">
        <v>109</v>
      </c>
      <c r="D4197" s="273" t="s">
        <v>18773</v>
      </c>
      <c r="E4197" s="274" t="s">
        <v>229</v>
      </c>
    </row>
    <row r="4198" spans="1:5" ht="27">
      <c r="A4198" s="271">
        <v>96658</v>
      </c>
      <c r="B4198" s="272" t="s">
        <v>3541</v>
      </c>
      <c r="C4198" s="272" t="s">
        <v>109</v>
      </c>
      <c r="D4198" s="273" t="s">
        <v>10337</v>
      </c>
      <c r="E4198" s="274" t="s">
        <v>229</v>
      </c>
    </row>
    <row r="4199" spans="1:5" ht="27">
      <c r="A4199" s="271">
        <v>96659</v>
      </c>
      <c r="B4199" s="272" t="s">
        <v>3542</v>
      </c>
      <c r="C4199" s="272" t="s">
        <v>109</v>
      </c>
      <c r="D4199" s="273" t="s">
        <v>11496</v>
      </c>
      <c r="E4199" s="274" t="s">
        <v>229</v>
      </c>
    </row>
    <row r="4200" spans="1:5" ht="27">
      <c r="A4200" s="271">
        <v>96660</v>
      </c>
      <c r="B4200" s="272" t="s">
        <v>3543</v>
      </c>
      <c r="C4200" s="272" t="s">
        <v>109</v>
      </c>
      <c r="D4200" s="273" t="s">
        <v>16493</v>
      </c>
      <c r="E4200" s="274" t="s">
        <v>229</v>
      </c>
    </row>
    <row r="4201" spans="1:5" ht="27">
      <c r="A4201" s="271">
        <v>96661</v>
      </c>
      <c r="B4201" s="272" t="s">
        <v>3544</v>
      </c>
      <c r="C4201" s="272" t="s">
        <v>109</v>
      </c>
      <c r="D4201" s="273" t="s">
        <v>15792</v>
      </c>
      <c r="E4201" s="274" t="s">
        <v>229</v>
      </c>
    </row>
    <row r="4202" spans="1:5" ht="27">
      <c r="A4202" s="271">
        <v>96662</v>
      </c>
      <c r="B4202" s="272" t="s">
        <v>3545</v>
      </c>
      <c r="C4202" s="272" t="s">
        <v>109</v>
      </c>
      <c r="D4202" s="273" t="s">
        <v>10016</v>
      </c>
      <c r="E4202" s="274" t="s">
        <v>229</v>
      </c>
    </row>
    <row r="4203" spans="1:5" ht="27">
      <c r="A4203" s="271">
        <v>96663</v>
      </c>
      <c r="B4203" s="272" t="s">
        <v>3546</v>
      </c>
      <c r="C4203" s="272" t="s">
        <v>109</v>
      </c>
      <c r="D4203" s="273" t="s">
        <v>11285</v>
      </c>
      <c r="E4203" s="274" t="s">
        <v>229</v>
      </c>
    </row>
    <row r="4204" spans="1:5" ht="27">
      <c r="A4204" s="271">
        <v>96664</v>
      </c>
      <c r="B4204" s="272" t="s">
        <v>3547</v>
      </c>
      <c r="C4204" s="272" t="s">
        <v>109</v>
      </c>
      <c r="D4204" s="273" t="s">
        <v>23301</v>
      </c>
      <c r="E4204" s="274" t="s">
        <v>229</v>
      </c>
    </row>
    <row r="4205" spans="1:5" ht="27">
      <c r="A4205" s="271">
        <v>96665</v>
      </c>
      <c r="B4205" s="272" t="s">
        <v>3548</v>
      </c>
      <c r="C4205" s="272" t="s">
        <v>109</v>
      </c>
      <c r="D4205" s="273" t="s">
        <v>10592</v>
      </c>
      <c r="E4205" s="274" t="s">
        <v>229</v>
      </c>
    </row>
    <row r="4206" spans="1:5" ht="27">
      <c r="A4206" s="271">
        <v>96666</v>
      </c>
      <c r="B4206" s="272" t="s">
        <v>3549</v>
      </c>
      <c r="C4206" s="272" t="s">
        <v>109</v>
      </c>
      <c r="D4206" s="273" t="s">
        <v>23302</v>
      </c>
      <c r="E4206" s="274" t="s">
        <v>229</v>
      </c>
    </row>
    <row r="4207" spans="1:5" ht="27">
      <c r="A4207" s="271">
        <v>96667</v>
      </c>
      <c r="B4207" s="272" t="s">
        <v>3550</v>
      </c>
      <c r="C4207" s="272" t="s">
        <v>109</v>
      </c>
      <c r="D4207" s="273" t="s">
        <v>23303</v>
      </c>
      <c r="E4207" s="274" t="s">
        <v>229</v>
      </c>
    </row>
    <row r="4208" spans="1:5" ht="27">
      <c r="A4208" s="271">
        <v>96684</v>
      </c>
      <c r="B4208" s="272" t="s">
        <v>3551</v>
      </c>
      <c r="C4208" s="272" t="s">
        <v>109</v>
      </c>
      <c r="D4208" s="273" t="s">
        <v>12417</v>
      </c>
      <c r="E4208" s="274" t="s">
        <v>229</v>
      </c>
    </row>
    <row r="4209" spans="1:5" ht="27">
      <c r="A4209" s="271">
        <v>96685</v>
      </c>
      <c r="B4209" s="272" t="s">
        <v>3552</v>
      </c>
      <c r="C4209" s="272" t="s">
        <v>109</v>
      </c>
      <c r="D4209" s="273" t="s">
        <v>10840</v>
      </c>
      <c r="E4209" s="274" t="s">
        <v>229</v>
      </c>
    </row>
    <row r="4210" spans="1:5" ht="27">
      <c r="A4210" s="271">
        <v>96686</v>
      </c>
      <c r="B4210" s="272" t="s">
        <v>3553</v>
      </c>
      <c r="C4210" s="272" t="s">
        <v>109</v>
      </c>
      <c r="D4210" s="273" t="s">
        <v>20625</v>
      </c>
      <c r="E4210" s="274" t="s">
        <v>229</v>
      </c>
    </row>
    <row r="4211" spans="1:5" ht="27">
      <c r="A4211" s="271">
        <v>96687</v>
      </c>
      <c r="B4211" s="272" t="s">
        <v>3554</v>
      </c>
      <c r="C4211" s="272" t="s">
        <v>109</v>
      </c>
      <c r="D4211" s="273" t="s">
        <v>10244</v>
      </c>
      <c r="E4211" s="274" t="s">
        <v>229</v>
      </c>
    </row>
    <row r="4212" spans="1:5" ht="27">
      <c r="A4212" s="271">
        <v>96688</v>
      </c>
      <c r="B4212" s="272" t="s">
        <v>3555</v>
      </c>
      <c r="C4212" s="272" t="s">
        <v>109</v>
      </c>
      <c r="D4212" s="273" t="s">
        <v>10581</v>
      </c>
      <c r="E4212" s="274" t="s">
        <v>229</v>
      </c>
    </row>
    <row r="4213" spans="1:5" ht="27">
      <c r="A4213" s="271">
        <v>96689</v>
      </c>
      <c r="B4213" s="272" t="s">
        <v>3556</v>
      </c>
      <c r="C4213" s="272" t="s">
        <v>109</v>
      </c>
      <c r="D4213" s="273" t="s">
        <v>10662</v>
      </c>
      <c r="E4213" s="274" t="s">
        <v>229</v>
      </c>
    </row>
    <row r="4214" spans="1:5" ht="27">
      <c r="A4214" s="271">
        <v>96690</v>
      </c>
      <c r="B4214" s="272" t="s">
        <v>3557</v>
      </c>
      <c r="C4214" s="272" t="s">
        <v>109</v>
      </c>
      <c r="D4214" s="273" t="s">
        <v>23304</v>
      </c>
      <c r="E4214" s="274" t="s">
        <v>229</v>
      </c>
    </row>
    <row r="4215" spans="1:5" ht="27">
      <c r="A4215" s="271">
        <v>96691</v>
      </c>
      <c r="B4215" s="272" t="s">
        <v>3558</v>
      </c>
      <c r="C4215" s="272" t="s">
        <v>109</v>
      </c>
      <c r="D4215" s="273" t="s">
        <v>22605</v>
      </c>
      <c r="E4215" s="274" t="s">
        <v>229</v>
      </c>
    </row>
    <row r="4216" spans="1:5" ht="27">
      <c r="A4216" s="271">
        <v>96692</v>
      </c>
      <c r="B4216" s="272" t="s">
        <v>3559</v>
      </c>
      <c r="C4216" s="272" t="s">
        <v>109</v>
      </c>
      <c r="D4216" s="273" t="s">
        <v>10087</v>
      </c>
      <c r="E4216" s="274" t="s">
        <v>229</v>
      </c>
    </row>
    <row r="4217" spans="1:5" ht="27">
      <c r="A4217" s="271">
        <v>96693</v>
      </c>
      <c r="B4217" s="272" t="s">
        <v>3560</v>
      </c>
      <c r="C4217" s="272" t="s">
        <v>109</v>
      </c>
      <c r="D4217" s="273" t="s">
        <v>12191</v>
      </c>
      <c r="E4217" s="274" t="s">
        <v>229</v>
      </c>
    </row>
    <row r="4218" spans="1:5" ht="27">
      <c r="A4218" s="271">
        <v>96694</v>
      </c>
      <c r="B4218" s="272" t="s">
        <v>3561</v>
      </c>
      <c r="C4218" s="272" t="s">
        <v>109</v>
      </c>
      <c r="D4218" s="273" t="s">
        <v>16290</v>
      </c>
      <c r="E4218" s="274" t="s">
        <v>229</v>
      </c>
    </row>
    <row r="4219" spans="1:5" ht="27">
      <c r="A4219" s="271">
        <v>96695</v>
      </c>
      <c r="B4219" s="272" t="s">
        <v>3562</v>
      </c>
      <c r="C4219" s="272" t="s">
        <v>109</v>
      </c>
      <c r="D4219" s="273" t="s">
        <v>23305</v>
      </c>
      <c r="E4219" s="274" t="s">
        <v>229</v>
      </c>
    </row>
    <row r="4220" spans="1:5" ht="27">
      <c r="A4220" s="271">
        <v>96696</v>
      </c>
      <c r="B4220" s="272" t="s">
        <v>3563</v>
      </c>
      <c r="C4220" s="272" t="s">
        <v>109</v>
      </c>
      <c r="D4220" s="273" t="s">
        <v>23306</v>
      </c>
      <c r="E4220" s="274" t="s">
        <v>229</v>
      </c>
    </row>
    <row r="4221" spans="1:5" ht="27">
      <c r="A4221" s="271">
        <v>96697</v>
      </c>
      <c r="B4221" s="272" t="s">
        <v>3564</v>
      </c>
      <c r="C4221" s="272" t="s">
        <v>109</v>
      </c>
      <c r="D4221" s="273" t="s">
        <v>16476</v>
      </c>
      <c r="E4221" s="274" t="s">
        <v>229</v>
      </c>
    </row>
    <row r="4222" spans="1:5" ht="27">
      <c r="A4222" s="271">
        <v>96698</v>
      </c>
      <c r="B4222" s="272" t="s">
        <v>3565</v>
      </c>
      <c r="C4222" s="272" t="s">
        <v>109</v>
      </c>
      <c r="D4222" s="273" t="s">
        <v>10334</v>
      </c>
      <c r="E4222" s="274" t="s">
        <v>229</v>
      </c>
    </row>
    <row r="4223" spans="1:5" ht="27">
      <c r="A4223" s="271">
        <v>96699</v>
      </c>
      <c r="B4223" s="272" t="s">
        <v>3566</v>
      </c>
      <c r="C4223" s="272" t="s">
        <v>109</v>
      </c>
      <c r="D4223" s="273" t="s">
        <v>16481</v>
      </c>
      <c r="E4223" s="274" t="s">
        <v>229</v>
      </c>
    </row>
    <row r="4224" spans="1:5" ht="27">
      <c r="A4224" s="271">
        <v>96700</v>
      </c>
      <c r="B4224" s="272" t="s">
        <v>3567</v>
      </c>
      <c r="C4224" s="272" t="s">
        <v>109</v>
      </c>
      <c r="D4224" s="273" t="s">
        <v>10086</v>
      </c>
      <c r="E4224" s="274" t="s">
        <v>229</v>
      </c>
    </row>
    <row r="4225" spans="1:5" ht="27">
      <c r="A4225" s="271">
        <v>96701</v>
      </c>
      <c r="B4225" s="272" t="s">
        <v>3568</v>
      </c>
      <c r="C4225" s="272" t="s">
        <v>109</v>
      </c>
      <c r="D4225" s="273" t="s">
        <v>10484</v>
      </c>
      <c r="E4225" s="274" t="s">
        <v>229</v>
      </c>
    </row>
    <row r="4226" spans="1:5" ht="27">
      <c r="A4226" s="271">
        <v>96702</v>
      </c>
      <c r="B4226" s="272" t="s">
        <v>3569</v>
      </c>
      <c r="C4226" s="272" t="s">
        <v>109</v>
      </c>
      <c r="D4226" s="273" t="s">
        <v>11492</v>
      </c>
      <c r="E4226" s="274" t="s">
        <v>229</v>
      </c>
    </row>
    <row r="4227" spans="1:5" ht="27">
      <c r="A4227" s="271">
        <v>96703</v>
      </c>
      <c r="B4227" s="272" t="s">
        <v>3570</v>
      </c>
      <c r="C4227" s="272" t="s">
        <v>109</v>
      </c>
      <c r="D4227" s="273" t="s">
        <v>11537</v>
      </c>
      <c r="E4227" s="274" t="s">
        <v>229</v>
      </c>
    </row>
    <row r="4228" spans="1:5" ht="27">
      <c r="A4228" s="271">
        <v>96704</v>
      </c>
      <c r="B4228" s="272" t="s">
        <v>3571</v>
      </c>
      <c r="C4228" s="272" t="s">
        <v>109</v>
      </c>
      <c r="D4228" s="273" t="s">
        <v>11261</v>
      </c>
      <c r="E4228" s="274" t="s">
        <v>229</v>
      </c>
    </row>
    <row r="4229" spans="1:5" ht="27">
      <c r="A4229" s="271">
        <v>96705</v>
      </c>
      <c r="B4229" s="272" t="s">
        <v>3572</v>
      </c>
      <c r="C4229" s="272" t="s">
        <v>109</v>
      </c>
      <c r="D4229" s="273" t="s">
        <v>12207</v>
      </c>
      <c r="E4229" s="274" t="s">
        <v>229</v>
      </c>
    </row>
    <row r="4230" spans="1:5" ht="27">
      <c r="A4230" s="271">
        <v>96706</v>
      </c>
      <c r="B4230" s="272" t="s">
        <v>3573</v>
      </c>
      <c r="C4230" s="272" t="s">
        <v>109</v>
      </c>
      <c r="D4230" s="273" t="s">
        <v>11543</v>
      </c>
      <c r="E4230" s="274" t="s">
        <v>229</v>
      </c>
    </row>
    <row r="4231" spans="1:5" ht="27">
      <c r="A4231" s="271">
        <v>96707</v>
      </c>
      <c r="B4231" s="272" t="s">
        <v>3574</v>
      </c>
      <c r="C4231" s="272" t="s">
        <v>109</v>
      </c>
      <c r="D4231" s="273" t="s">
        <v>19947</v>
      </c>
      <c r="E4231" s="274" t="s">
        <v>229</v>
      </c>
    </row>
    <row r="4232" spans="1:5" ht="27">
      <c r="A4232" s="271">
        <v>96708</v>
      </c>
      <c r="B4232" s="272" t="s">
        <v>3575</v>
      </c>
      <c r="C4232" s="272" t="s">
        <v>109</v>
      </c>
      <c r="D4232" s="273" t="s">
        <v>23307</v>
      </c>
      <c r="E4232" s="274" t="s">
        <v>229</v>
      </c>
    </row>
    <row r="4233" spans="1:5" ht="27">
      <c r="A4233" s="271">
        <v>96709</v>
      </c>
      <c r="B4233" s="272" t="s">
        <v>3576</v>
      </c>
      <c r="C4233" s="272" t="s">
        <v>109</v>
      </c>
      <c r="D4233" s="273" t="s">
        <v>19583</v>
      </c>
      <c r="E4233" s="274" t="s">
        <v>229</v>
      </c>
    </row>
    <row r="4234" spans="1:5" ht="27">
      <c r="A4234" s="271">
        <v>96710</v>
      </c>
      <c r="B4234" s="272" t="s">
        <v>3577</v>
      </c>
      <c r="C4234" s="272" t="s">
        <v>109</v>
      </c>
      <c r="D4234" s="273" t="s">
        <v>16240</v>
      </c>
      <c r="E4234" s="274" t="s">
        <v>229</v>
      </c>
    </row>
    <row r="4235" spans="1:5" ht="27">
      <c r="A4235" s="271">
        <v>96711</v>
      </c>
      <c r="B4235" s="272" t="s">
        <v>3578</v>
      </c>
      <c r="C4235" s="272" t="s">
        <v>109</v>
      </c>
      <c r="D4235" s="273" t="s">
        <v>11397</v>
      </c>
      <c r="E4235" s="274" t="s">
        <v>229</v>
      </c>
    </row>
    <row r="4236" spans="1:5" ht="27">
      <c r="A4236" s="271">
        <v>96712</v>
      </c>
      <c r="B4236" s="272" t="s">
        <v>3579</v>
      </c>
      <c r="C4236" s="272" t="s">
        <v>109</v>
      </c>
      <c r="D4236" s="273" t="s">
        <v>12232</v>
      </c>
      <c r="E4236" s="274" t="s">
        <v>229</v>
      </c>
    </row>
    <row r="4237" spans="1:5" ht="27">
      <c r="A4237" s="271">
        <v>96713</v>
      </c>
      <c r="B4237" s="272" t="s">
        <v>3580</v>
      </c>
      <c r="C4237" s="272" t="s">
        <v>109</v>
      </c>
      <c r="D4237" s="273" t="s">
        <v>23308</v>
      </c>
      <c r="E4237" s="274" t="s">
        <v>229</v>
      </c>
    </row>
    <row r="4238" spans="1:5" ht="27">
      <c r="A4238" s="271">
        <v>96714</v>
      </c>
      <c r="B4238" s="272" t="s">
        <v>3581</v>
      </c>
      <c r="C4238" s="272" t="s">
        <v>109</v>
      </c>
      <c r="D4238" s="273" t="s">
        <v>23309</v>
      </c>
      <c r="E4238" s="274" t="s">
        <v>229</v>
      </c>
    </row>
    <row r="4239" spans="1:5" ht="27">
      <c r="A4239" s="271">
        <v>96715</v>
      </c>
      <c r="B4239" s="272" t="s">
        <v>3582</v>
      </c>
      <c r="C4239" s="272" t="s">
        <v>109</v>
      </c>
      <c r="D4239" s="273" t="s">
        <v>23310</v>
      </c>
      <c r="E4239" s="274" t="s">
        <v>229</v>
      </c>
    </row>
    <row r="4240" spans="1:5" ht="27">
      <c r="A4240" s="271">
        <v>96716</v>
      </c>
      <c r="B4240" s="272" t="s">
        <v>3583</v>
      </c>
      <c r="C4240" s="272" t="s">
        <v>109</v>
      </c>
      <c r="D4240" s="273" t="s">
        <v>23311</v>
      </c>
      <c r="E4240" s="274" t="s">
        <v>229</v>
      </c>
    </row>
    <row r="4241" spans="1:5" ht="27">
      <c r="A4241" s="271">
        <v>96717</v>
      </c>
      <c r="B4241" s="272" t="s">
        <v>3584</v>
      </c>
      <c r="C4241" s="272" t="s">
        <v>109</v>
      </c>
      <c r="D4241" s="273" t="s">
        <v>23312</v>
      </c>
      <c r="E4241" s="274" t="s">
        <v>229</v>
      </c>
    </row>
    <row r="4242" spans="1:5" ht="27">
      <c r="A4242" s="271">
        <v>96736</v>
      </c>
      <c r="B4242" s="272" t="s">
        <v>3585</v>
      </c>
      <c r="C4242" s="272" t="s">
        <v>109</v>
      </c>
      <c r="D4242" s="273" t="s">
        <v>11059</v>
      </c>
      <c r="E4242" s="274" t="s">
        <v>229</v>
      </c>
    </row>
    <row r="4243" spans="1:5" ht="27">
      <c r="A4243" s="271">
        <v>96737</v>
      </c>
      <c r="B4243" s="272" t="s">
        <v>3586</v>
      </c>
      <c r="C4243" s="272" t="s">
        <v>109</v>
      </c>
      <c r="D4243" s="273" t="s">
        <v>19832</v>
      </c>
      <c r="E4243" s="274" t="s">
        <v>229</v>
      </c>
    </row>
    <row r="4244" spans="1:5" ht="40.5">
      <c r="A4244" s="271">
        <v>96738</v>
      </c>
      <c r="B4244" s="272" t="s">
        <v>3587</v>
      </c>
      <c r="C4244" s="272" t="s">
        <v>109</v>
      </c>
      <c r="D4244" s="273" t="s">
        <v>10451</v>
      </c>
      <c r="E4244" s="274" t="s">
        <v>229</v>
      </c>
    </row>
    <row r="4245" spans="1:5" ht="27">
      <c r="A4245" s="271">
        <v>96739</v>
      </c>
      <c r="B4245" s="272" t="s">
        <v>3588</v>
      </c>
      <c r="C4245" s="272" t="s">
        <v>109</v>
      </c>
      <c r="D4245" s="273" t="s">
        <v>11311</v>
      </c>
      <c r="E4245" s="274" t="s">
        <v>229</v>
      </c>
    </row>
    <row r="4246" spans="1:5" ht="40.5">
      <c r="A4246" s="271">
        <v>96740</v>
      </c>
      <c r="B4246" s="272" t="s">
        <v>3589</v>
      </c>
      <c r="C4246" s="272" t="s">
        <v>109</v>
      </c>
      <c r="D4246" s="273" t="s">
        <v>12137</v>
      </c>
      <c r="E4246" s="274" t="s">
        <v>229</v>
      </c>
    </row>
    <row r="4247" spans="1:5" ht="27">
      <c r="A4247" s="271">
        <v>96741</v>
      </c>
      <c r="B4247" s="272" t="s">
        <v>3590</v>
      </c>
      <c r="C4247" s="272" t="s">
        <v>109</v>
      </c>
      <c r="D4247" s="273" t="s">
        <v>16041</v>
      </c>
      <c r="E4247" s="274" t="s">
        <v>229</v>
      </c>
    </row>
    <row r="4248" spans="1:5" ht="27">
      <c r="A4248" s="271">
        <v>96742</v>
      </c>
      <c r="B4248" s="272" t="s">
        <v>3591</v>
      </c>
      <c r="C4248" s="272" t="s">
        <v>109</v>
      </c>
      <c r="D4248" s="273" t="s">
        <v>20311</v>
      </c>
      <c r="E4248" s="274" t="s">
        <v>229</v>
      </c>
    </row>
    <row r="4249" spans="1:5" ht="27">
      <c r="A4249" s="271">
        <v>96743</v>
      </c>
      <c r="B4249" s="272" t="s">
        <v>3592</v>
      </c>
      <c r="C4249" s="272" t="s">
        <v>109</v>
      </c>
      <c r="D4249" s="273" t="s">
        <v>16121</v>
      </c>
      <c r="E4249" s="274" t="s">
        <v>229</v>
      </c>
    </row>
    <row r="4250" spans="1:5" ht="27">
      <c r="A4250" s="271">
        <v>96744</v>
      </c>
      <c r="B4250" s="272" t="s">
        <v>3593</v>
      </c>
      <c r="C4250" s="272" t="s">
        <v>109</v>
      </c>
      <c r="D4250" s="273" t="s">
        <v>22183</v>
      </c>
      <c r="E4250" s="274" t="s">
        <v>229</v>
      </c>
    </row>
    <row r="4251" spans="1:5" ht="27">
      <c r="A4251" s="271">
        <v>96745</v>
      </c>
      <c r="B4251" s="272" t="s">
        <v>3594</v>
      </c>
      <c r="C4251" s="272" t="s">
        <v>109</v>
      </c>
      <c r="D4251" s="273" t="s">
        <v>23313</v>
      </c>
      <c r="E4251" s="274" t="s">
        <v>229</v>
      </c>
    </row>
    <row r="4252" spans="1:5" ht="27">
      <c r="A4252" s="271">
        <v>96746</v>
      </c>
      <c r="B4252" s="272" t="s">
        <v>3595</v>
      </c>
      <c r="C4252" s="272" t="s">
        <v>109</v>
      </c>
      <c r="D4252" s="273" t="s">
        <v>23314</v>
      </c>
      <c r="E4252" s="274" t="s">
        <v>229</v>
      </c>
    </row>
    <row r="4253" spans="1:5" ht="40.5">
      <c r="A4253" s="271">
        <v>96747</v>
      </c>
      <c r="B4253" s="272" t="s">
        <v>3596</v>
      </c>
      <c r="C4253" s="272" t="s">
        <v>109</v>
      </c>
      <c r="D4253" s="273" t="s">
        <v>10298</v>
      </c>
      <c r="E4253" s="274" t="s">
        <v>229</v>
      </c>
    </row>
    <row r="4254" spans="1:5" ht="40.5">
      <c r="A4254" s="271">
        <v>96748</v>
      </c>
      <c r="B4254" s="272" t="s">
        <v>3597</v>
      </c>
      <c r="C4254" s="272" t="s">
        <v>109</v>
      </c>
      <c r="D4254" s="273" t="s">
        <v>10532</v>
      </c>
      <c r="E4254" s="274" t="s">
        <v>229</v>
      </c>
    </row>
    <row r="4255" spans="1:5" ht="40.5">
      <c r="A4255" s="271">
        <v>96749</v>
      </c>
      <c r="B4255" s="272" t="s">
        <v>3598</v>
      </c>
      <c r="C4255" s="272" t="s">
        <v>109</v>
      </c>
      <c r="D4255" s="273" t="s">
        <v>23315</v>
      </c>
      <c r="E4255" s="274" t="s">
        <v>229</v>
      </c>
    </row>
    <row r="4256" spans="1:5" ht="40.5">
      <c r="A4256" s="271">
        <v>96750</v>
      </c>
      <c r="B4256" s="272" t="s">
        <v>3599</v>
      </c>
      <c r="C4256" s="272" t="s">
        <v>109</v>
      </c>
      <c r="D4256" s="273" t="s">
        <v>10524</v>
      </c>
      <c r="E4256" s="274" t="s">
        <v>229</v>
      </c>
    </row>
    <row r="4257" spans="1:5" ht="40.5">
      <c r="A4257" s="271">
        <v>96751</v>
      </c>
      <c r="B4257" s="272" t="s">
        <v>3600</v>
      </c>
      <c r="C4257" s="272" t="s">
        <v>109</v>
      </c>
      <c r="D4257" s="273" t="s">
        <v>16697</v>
      </c>
      <c r="E4257" s="274" t="s">
        <v>229</v>
      </c>
    </row>
    <row r="4258" spans="1:5" ht="40.5">
      <c r="A4258" s="271">
        <v>96752</v>
      </c>
      <c r="B4258" s="272" t="s">
        <v>3601</v>
      </c>
      <c r="C4258" s="272" t="s">
        <v>109</v>
      </c>
      <c r="D4258" s="273" t="s">
        <v>14220</v>
      </c>
      <c r="E4258" s="274" t="s">
        <v>229</v>
      </c>
    </row>
    <row r="4259" spans="1:5" ht="40.5">
      <c r="A4259" s="271">
        <v>96753</v>
      </c>
      <c r="B4259" s="272" t="s">
        <v>3602</v>
      </c>
      <c r="C4259" s="272" t="s">
        <v>109</v>
      </c>
      <c r="D4259" s="273" t="s">
        <v>23316</v>
      </c>
      <c r="E4259" s="274" t="s">
        <v>229</v>
      </c>
    </row>
    <row r="4260" spans="1:5" ht="40.5">
      <c r="A4260" s="271">
        <v>96754</v>
      </c>
      <c r="B4260" s="272" t="s">
        <v>3603</v>
      </c>
      <c r="C4260" s="272" t="s">
        <v>109</v>
      </c>
      <c r="D4260" s="273" t="s">
        <v>23035</v>
      </c>
      <c r="E4260" s="274" t="s">
        <v>229</v>
      </c>
    </row>
    <row r="4261" spans="1:5" ht="40.5">
      <c r="A4261" s="271">
        <v>96755</v>
      </c>
      <c r="B4261" s="272" t="s">
        <v>3604</v>
      </c>
      <c r="C4261" s="272" t="s">
        <v>109</v>
      </c>
      <c r="D4261" s="273" t="s">
        <v>16317</v>
      </c>
      <c r="E4261" s="274" t="s">
        <v>229</v>
      </c>
    </row>
    <row r="4262" spans="1:5" ht="40.5">
      <c r="A4262" s="271">
        <v>96756</v>
      </c>
      <c r="B4262" s="272" t="s">
        <v>3605</v>
      </c>
      <c r="C4262" s="272" t="s">
        <v>109</v>
      </c>
      <c r="D4262" s="273" t="s">
        <v>9886</v>
      </c>
      <c r="E4262" s="274" t="s">
        <v>229</v>
      </c>
    </row>
    <row r="4263" spans="1:5" ht="40.5">
      <c r="A4263" s="271">
        <v>96757</v>
      </c>
      <c r="B4263" s="272" t="s">
        <v>3606</v>
      </c>
      <c r="C4263" s="272" t="s">
        <v>109</v>
      </c>
      <c r="D4263" s="273" t="s">
        <v>9751</v>
      </c>
      <c r="E4263" s="274" t="s">
        <v>229</v>
      </c>
    </row>
    <row r="4264" spans="1:5" ht="27">
      <c r="A4264" s="271">
        <v>96758</v>
      </c>
      <c r="B4264" s="272" t="s">
        <v>3607</v>
      </c>
      <c r="C4264" s="272" t="s">
        <v>109</v>
      </c>
      <c r="D4264" s="273" t="s">
        <v>12152</v>
      </c>
      <c r="E4264" s="274" t="s">
        <v>229</v>
      </c>
    </row>
    <row r="4265" spans="1:5" ht="27">
      <c r="A4265" s="271">
        <v>96759</v>
      </c>
      <c r="B4265" s="272" t="s">
        <v>3608</v>
      </c>
      <c r="C4265" s="272" t="s">
        <v>109</v>
      </c>
      <c r="D4265" s="273" t="s">
        <v>23317</v>
      </c>
      <c r="E4265" s="274" t="s">
        <v>229</v>
      </c>
    </row>
    <row r="4266" spans="1:5" ht="27">
      <c r="A4266" s="271">
        <v>96760</v>
      </c>
      <c r="B4266" s="272" t="s">
        <v>3609</v>
      </c>
      <c r="C4266" s="272" t="s">
        <v>109</v>
      </c>
      <c r="D4266" s="273" t="s">
        <v>12238</v>
      </c>
      <c r="E4266" s="274" t="s">
        <v>229</v>
      </c>
    </row>
    <row r="4267" spans="1:5" ht="27">
      <c r="A4267" s="271">
        <v>96761</v>
      </c>
      <c r="B4267" s="272" t="s">
        <v>3610</v>
      </c>
      <c r="C4267" s="272" t="s">
        <v>109</v>
      </c>
      <c r="D4267" s="273" t="s">
        <v>14102</v>
      </c>
      <c r="E4267" s="274" t="s">
        <v>229</v>
      </c>
    </row>
    <row r="4268" spans="1:5" ht="27">
      <c r="A4268" s="271">
        <v>96762</v>
      </c>
      <c r="B4268" s="272" t="s">
        <v>3611</v>
      </c>
      <c r="C4268" s="272" t="s">
        <v>109</v>
      </c>
      <c r="D4268" s="273" t="s">
        <v>23318</v>
      </c>
      <c r="E4268" s="274" t="s">
        <v>229</v>
      </c>
    </row>
    <row r="4269" spans="1:5" ht="27">
      <c r="A4269" s="271">
        <v>96763</v>
      </c>
      <c r="B4269" s="272" t="s">
        <v>3612</v>
      </c>
      <c r="C4269" s="272" t="s">
        <v>109</v>
      </c>
      <c r="D4269" s="273" t="s">
        <v>23319</v>
      </c>
      <c r="E4269" s="274" t="s">
        <v>229</v>
      </c>
    </row>
    <row r="4270" spans="1:5" ht="27">
      <c r="A4270" s="271">
        <v>96764</v>
      </c>
      <c r="B4270" s="272" t="s">
        <v>3613</v>
      </c>
      <c r="C4270" s="272" t="s">
        <v>109</v>
      </c>
      <c r="D4270" s="273" t="s">
        <v>23320</v>
      </c>
      <c r="E4270" s="274" t="s">
        <v>229</v>
      </c>
    </row>
    <row r="4271" spans="1:5" ht="27">
      <c r="A4271" s="271">
        <v>96802</v>
      </c>
      <c r="B4271" s="272" t="s">
        <v>3614</v>
      </c>
      <c r="C4271" s="272" t="s">
        <v>109</v>
      </c>
      <c r="D4271" s="273" t="s">
        <v>23321</v>
      </c>
      <c r="E4271" s="274" t="s">
        <v>229</v>
      </c>
    </row>
    <row r="4272" spans="1:5" ht="27">
      <c r="A4272" s="271">
        <v>96803</v>
      </c>
      <c r="B4272" s="272" t="s">
        <v>3615</v>
      </c>
      <c r="C4272" s="272" t="s">
        <v>109</v>
      </c>
      <c r="D4272" s="273" t="s">
        <v>23322</v>
      </c>
      <c r="E4272" s="274" t="s">
        <v>229</v>
      </c>
    </row>
    <row r="4273" spans="1:5" ht="27">
      <c r="A4273" s="271">
        <v>96804</v>
      </c>
      <c r="B4273" s="272" t="s">
        <v>3616</v>
      </c>
      <c r="C4273" s="272" t="s">
        <v>109</v>
      </c>
      <c r="D4273" s="273" t="s">
        <v>23323</v>
      </c>
      <c r="E4273" s="274" t="s">
        <v>229</v>
      </c>
    </row>
    <row r="4274" spans="1:5" ht="27">
      <c r="A4274" s="271">
        <v>96805</v>
      </c>
      <c r="B4274" s="272" t="s">
        <v>3617</v>
      </c>
      <c r="C4274" s="272" t="s">
        <v>109</v>
      </c>
      <c r="D4274" s="273" t="s">
        <v>23324</v>
      </c>
      <c r="E4274" s="274" t="s">
        <v>229</v>
      </c>
    </row>
    <row r="4275" spans="1:5" ht="27">
      <c r="A4275" s="271">
        <v>96806</v>
      </c>
      <c r="B4275" s="272" t="s">
        <v>3618</v>
      </c>
      <c r="C4275" s="272" t="s">
        <v>109</v>
      </c>
      <c r="D4275" s="273" t="s">
        <v>23325</v>
      </c>
      <c r="E4275" s="274" t="s">
        <v>229</v>
      </c>
    </row>
    <row r="4276" spans="1:5" ht="27">
      <c r="A4276" s="271">
        <v>96807</v>
      </c>
      <c r="B4276" s="272" t="s">
        <v>3619</v>
      </c>
      <c r="C4276" s="272" t="s">
        <v>109</v>
      </c>
      <c r="D4276" s="273" t="s">
        <v>23326</v>
      </c>
      <c r="E4276" s="274" t="s">
        <v>229</v>
      </c>
    </row>
    <row r="4277" spans="1:5" ht="27">
      <c r="A4277" s="271">
        <v>96808</v>
      </c>
      <c r="B4277" s="272" t="s">
        <v>3620</v>
      </c>
      <c r="C4277" s="272" t="s">
        <v>109</v>
      </c>
      <c r="D4277" s="273" t="s">
        <v>16041</v>
      </c>
      <c r="E4277" s="274" t="s">
        <v>229</v>
      </c>
    </row>
    <row r="4278" spans="1:5" ht="27">
      <c r="A4278" s="271">
        <v>96809</v>
      </c>
      <c r="B4278" s="272" t="s">
        <v>3621</v>
      </c>
      <c r="C4278" s="272" t="s">
        <v>109</v>
      </c>
      <c r="D4278" s="273" t="s">
        <v>10320</v>
      </c>
      <c r="E4278" s="274" t="s">
        <v>229</v>
      </c>
    </row>
    <row r="4279" spans="1:5" ht="27">
      <c r="A4279" s="271">
        <v>96810</v>
      </c>
      <c r="B4279" s="272" t="s">
        <v>3622</v>
      </c>
      <c r="C4279" s="272" t="s">
        <v>109</v>
      </c>
      <c r="D4279" s="273" t="s">
        <v>23100</v>
      </c>
      <c r="E4279" s="274" t="s">
        <v>229</v>
      </c>
    </row>
    <row r="4280" spans="1:5" ht="27">
      <c r="A4280" s="271">
        <v>96811</v>
      </c>
      <c r="B4280" s="272" t="s">
        <v>3623</v>
      </c>
      <c r="C4280" s="272" t="s">
        <v>109</v>
      </c>
      <c r="D4280" s="273" t="s">
        <v>12410</v>
      </c>
      <c r="E4280" s="274" t="s">
        <v>229</v>
      </c>
    </row>
    <row r="4281" spans="1:5" ht="27">
      <c r="A4281" s="271">
        <v>96812</v>
      </c>
      <c r="B4281" s="272" t="s">
        <v>3624</v>
      </c>
      <c r="C4281" s="272" t="s">
        <v>109</v>
      </c>
      <c r="D4281" s="273" t="s">
        <v>14280</v>
      </c>
      <c r="E4281" s="274" t="s">
        <v>229</v>
      </c>
    </row>
    <row r="4282" spans="1:5" ht="27">
      <c r="A4282" s="271">
        <v>96813</v>
      </c>
      <c r="B4282" s="272" t="s">
        <v>3625</v>
      </c>
      <c r="C4282" s="272" t="s">
        <v>109</v>
      </c>
      <c r="D4282" s="273" t="s">
        <v>10614</v>
      </c>
      <c r="E4282" s="274" t="s">
        <v>229</v>
      </c>
    </row>
    <row r="4283" spans="1:5" ht="27">
      <c r="A4283" s="271">
        <v>96814</v>
      </c>
      <c r="B4283" s="272" t="s">
        <v>3626</v>
      </c>
      <c r="C4283" s="272" t="s">
        <v>109</v>
      </c>
      <c r="D4283" s="273" t="s">
        <v>14236</v>
      </c>
      <c r="E4283" s="274" t="s">
        <v>229</v>
      </c>
    </row>
    <row r="4284" spans="1:5" ht="27">
      <c r="A4284" s="271">
        <v>96815</v>
      </c>
      <c r="B4284" s="272" t="s">
        <v>3627</v>
      </c>
      <c r="C4284" s="272" t="s">
        <v>109</v>
      </c>
      <c r="D4284" s="273" t="s">
        <v>23327</v>
      </c>
      <c r="E4284" s="274" t="s">
        <v>229</v>
      </c>
    </row>
    <row r="4285" spans="1:5" ht="27">
      <c r="A4285" s="271">
        <v>96816</v>
      </c>
      <c r="B4285" s="272" t="s">
        <v>3628</v>
      </c>
      <c r="C4285" s="272" t="s">
        <v>109</v>
      </c>
      <c r="D4285" s="273" t="s">
        <v>23328</v>
      </c>
      <c r="E4285" s="274" t="s">
        <v>229</v>
      </c>
    </row>
    <row r="4286" spans="1:5" ht="27">
      <c r="A4286" s="271">
        <v>96817</v>
      </c>
      <c r="B4286" s="272" t="s">
        <v>3629</v>
      </c>
      <c r="C4286" s="272" t="s">
        <v>109</v>
      </c>
      <c r="D4286" s="273" t="s">
        <v>16666</v>
      </c>
      <c r="E4286" s="274" t="s">
        <v>229</v>
      </c>
    </row>
    <row r="4287" spans="1:5" ht="27">
      <c r="A4287" s="271">
        <v>96818</v>
      </c>
      <c r="B4287" s="272" t="s">
        <v>3630</v>
      </c>
      <c r="C4287" s="272" t="s">
        <v>109</v>
      </c>
      <c r="D4287" s="273" t="s">
        <v>22290</v>
      </c>
      <c r="E4287" s="274" t="s">
        <v>229</v>
      </c>
    </row>
    <row r="4288" spans="1:5" ht="27">
      <c r="A4288" s="271">
        <v>96819</v>
      </c>
      <c r="B4288" s="272" t="s">
        <v>3631</v>
      </c>
      <c r="C4288" s="272" t="s">
        <v>109</v>
      </c>
      <c r="D4288" s="273" t="s">
        <v>22290</v>
      </c>
      <c r="E4288" s="274" t="s">
        <v>229</v>
      </c>
    </row>
    <row r="4289" spans="1:5" ht="27">
      <c r="A4289" s="271">
        <v>96820</v>
      </c>
      <c r="B4289" s="272" t="s">
        <v>3632</v>
      </c>
      <c r="C4289" s="272" t="s">
        <v>109</v>
      </c>
      <c r="D4289" s="273" t="s">
        <v>22959</v>
      </c>
      <c r="E4289" s="274" t="s">
        <v>229</v>
      </c>
    </row>
    <row r="4290" spans="1:5" ht="27">
      <c r="A4290" s="271">
        <v>96821</v>
      </c>
      <c r="B4290" s="272" t="s">
        <v>3633</v>
      </c>
      <c r="C4290" s="272" t="s">
        <v>109</v>
      </c>
      <c r="D4290" s="273" t="s">
        <v>22517</v>
      </c>
      <c r="E4290" s="274" t="s">
        <v>229</v>
      </c>
    </row>
    <row r="4291" spans="1:5" ht="27">
      <c r="A4291" s="271">
        <v>96822</v>
      </c>
      <c r="B4291" s="272" t="s">
        <v>3634</v>
      </c>
      <c r="C4291" s="272" t="s">
        <v>109</v>
      </c>
      <c r="D4291" s="273" t="s">
        <v>12426</v>
      </c>
      <c r="E4291" s="274" t="s">
        <v>229</v>
      </c>
    </row>
    <row r="4292" spans="1:5" ht="27">
      <c r="A4292" s="271">
        <v>96823</v>
      </c>
      <c r="B4292" s="272" t="s">
        <v>3635</v>
      </c>
      <c r="C4292" s="272" t="s">
        <v>109</v>
      </c>
      <c r="D4292" s="273" t="s">
        <v>12462</v>
      </c>
      <c r="E4292" s="274" t="s">
        <v>229</v>
      </c>
    </row>
    <row r="4293" spans="1:5" ht="27">
      <c r="A4293" s="271">
        <v>96824</v>
      </c>
      <c r="B4293" s="272" t="s">
        <v>3636</v>
      </c>
      <c r="C4293" s="272" t="s">
        <v>109</v>
      </c>
      <c r="D4293" s="273" t="s">
        <v>15860</v>
      </c>
      <c r="E4293" s="274" t="s">
        <v>229</v>
      </c>
    </row>
    <row r="4294" spans="1:5" ht="27">
      <c r="A4294" s="271">
        <v>96825</v>
      </c>
      <c r="B4294" s="272" t="s">
        <v>3637</v>
      </c>
      <c r="C4294" s="272" t="s">
        <v>109</v>
      </c>
      <c r="D4294" s="273" t="s">
        <v>23089</v>
      </c>
      <c r="E4294" s="274" t="s">
        <v>229</v>
      </c>
    </row>
    <row r="4295" spans="1:5" ht="27">
      <c r="A4295" s="271">
        <v>96826</v>
      </c>
      <c r="B4295" s="272" t="s">
        <v>3638</v>
      </c>
      <c r="C4295" s="272" t="s">
        <v>109</v>
      </c>
      <c r="D4295" s="273" t="s">
        <v>21651</v>
      </c>
      <c r="E4295" s="274" t="s">
        <v>229</v>
      </c>
    </row>
    <row r="4296" spans="1:5" ht="27">
      <c r="A4296" s="271">
        <v>96827</v>
      </c>
      <c r="B4296" s="272" t="s">
        <v>3639</v>
      </c>
      <c r="C4296" s="272" t="s">
        <v>109</v>
      </c>
      <c r="D4296" s="273" t="s">
        <v>22680</v>
      </c>
      <c r="E4296" s="274" t="s">
        <v>229</v>
      </c>
    </row>
    <row r="4297" spans="1:5" ht="27">
      <c r="A4297" s="271">
        <v>96828</v>
      </c>
      <c r="B4297" s="272" t="s">
        <v>3640</v>
      </c>
      <c r="C4297" s="272" t="s">
        <v>109</v>
      </c>
      <c r="D4297" s="273" t="s">
        <v>22673</v>
      </c>
      <c r="E4297" s="274" t="s">
        <v>229</v>
      </c>
    </row>
    <row r="4298" spans="1:5" ht="27">
      <c r="A4298" s="271">
        <v>96829</v>
      </c>
      <c r="B4298" s="272" t="s">
        <v>3641</v>
      </c>
      <c r="C4298" s="272" t="s">
        <v>109</v>
      </c>
      <c r="D4298" s="273" t="s">
        <v>21421</v>
      </c>
      <c r="E4298" s="274" t="s">
        <v>229</v>
      </c>
    </row>
    <row r="4299" spans="1:5" ht="27">
      <c r="A4299" s="271">
        <v>96830</v>
      </c>
      <c r="B4299" s="272" t="s">
        <v>3642</v>
      </c>
      <c r="C4299" s="272" t="s">
        <v>109</v>
      </c>
      <c r="D4299" s="273" t="s">
        <v>19566</v>
      </c>
      <c r="E4299" s="274" t="s">
        <v>229</v>
      </c>
    </row>
    <row r="4300" spans="1:5" ht="27">
      <c r="A4300" s="271">
        <v>96831</v>
      </c>
      <c r="B4300" s="272" t="s">
        <v>3643</v>
      </c>
      <c r="C4300" s="272" t="s">
        <v>109</v>
      </c>
      <c r="D4300" s="273" t="s">
        <v>23329</v>
      </c>
      <c r="E4300" s="274" t="s">
        <v>229</v>
      </c>
    </row>
    <row r="4301" spans="1:5" ht="27">
      <c r="A4301" s="271">
        <v>96832</v>
      </c>
      <c r="B4301" s="272" t="s">
        <v>3644</v>
      </c>
      <c r="C4301" s="272" t="s">
        <v>109</v>
      </c>
      <c r="D4301" s="273" t="s">
        <v>23330</v>
      </c>
      <c r="E4301" s="274" t="s">
        <v>229</v>
      </c>
    </row>
    <row r="4302" spans="1:5" ht="27">
      <c r="A4302" s="271">
        <v>96833</v>
      </c>
      <c r="B4302" s="272" t="s">
        <v>3645</v>
      </c>
      <c r="C4302" s="272" t="s">
        <v>109</v>
      </c>
      <c r="D4302" s="273" t="s">
        <v>16052</v>
      </c>
      <c r="E4302" s="274" t="s">
        <v>229</v>
      </c>
    </row>
    <row r="4303" spans="1:5" s="181" customFormat="1" ht="27">
      <c r="A4303" s="276">
        <v>96834</v>
      </c>
      <c r="B4303" s="277" t="s">
        <v>3646</v>
      </c>
      <c r="C4303" s="277" t="s">
        <v>109</v>
      </c>
      <c r="D4303" s="278" t="s">
        <v>15959</v>
      </c>
      <c r="E4303" s="274" t="s">
        <v>229</v>
      </c>
    </row>
    <row r="4304" spans="1:5" s="181" customFormat="1" ht="27">
      <c r="A4304" s="276">
        <v>96835</v>
      </c>
      <c r="B4304" s="277" t="s">
        <v>3647</v>
      </c>
      <c r="C4304" s="277" t="s">
        <v>109</v>
      </c>
      <c r="D4304" s="278" t="s">
        <v>12431</v>
      </c>
      <c r="E4304" s="274" t="s">
        <v>229</v>
      </c>
    </row>
    <row r="4305" spans="1:5" s="181" customFormat="1" ht="27">
      <c r="A4305" s="276">
        <v>96836</v>
      </c>
      <c r="B4305" s="277" t="s">
        <v>3648</v>
      </c>
      <c r="C4305" s="277" t="s">
        <v>109</v>
      </c>
      <c r="D4305" s="278" t="s">
        <v>23331</v>
      </c>
      <c r="E4305" s="274" t="s">
        <v>229</v>
      </c>
    </row>
    <row r="4306" spans="1:5" s="181" customFormat="1" ht="27">
      <c r="A4306" s="276">
        <v>96837</v>
      </c>
      <c r="B4306" s="277" t="s">
        <v>3649</v>
      </c>
      <c r="C4306" s="277" t="s">
        <v>109</v>
      </c>
      <c r="D4306" s="278" t="s">
        <v>23062</v>
      </c>
      <c r="E4306" s="274" t="s">
        <v>229</v>
      </c>
    </row>
    <row r="4307" spans="1:5" s="181" customFormat="1" ht="27">
      <c r="A4307" s="276">
        <v>96838</v>
      </c>
      <c r="B4307" s="277" t="s">
        <v>3650</v>
      </c>
      <c r="C4307" s="277" t="s">
        <v>109</v>
      </c>
      <c r="D4307" s="278" t="s">
        <v>14162</v>
      </c>
      <c r="E4307" s="274" t="s">
        <v>229</v>
      </c>
    </row>
    <row r="4308" spans="1:5" ht="27">
      <c r="A4308" s="271">
        <v>96839</v>
      </c>
      <c r="B4308" s="272" t="s">
        <v>3651</v>
      </c>
      <c r="C4308" s="272" t="s">
        <v>109</v>
      </c>
      <c r="D4308" s="273" t="s">
        <v>15814</v>
      </c>
      <c r="E4308" s="274" t="s">
        <v>229</v>
      </c>
    </row>
    <row r="4309" spans="1:5" ht="27">
      <c r="A4309" s="271">
        <v>96840</v>
      </c>
      <c r="B4309" s="272" t="s">
        <v>3652</v>
      </c>
      <c r="C4309" s="272" t="s">
        <v>109</v>
      </c>
      <c r="D4309" s="273" t="s">
        <v>23332</v>
      </c>
      <c r="E4309" s="274" t="s">
        <v>229</v>
      </c>
    </row>
    <row r="4310" spans="1:5" ht="27">
      <c r="A4310" s="271">
        <v>96841</v>
      </c>
      <c r="B4310" s="272" t="s">
        <v>3653</v>
      </c>
      <c r="C4310" s="272" t="s">
        <v>109</v>
      </c>
      <c r="D4310" s="273" t="s">
        <v>14133</v>
      </c>
      <c r="E4310" s="274" t="s">
        <v>229</v>
      </c>
    </row>
    <row r="4311" spans="1:5" ht="27">
      <c r="A4311" s="271">
        <v>96842</v>
      </c>
      <c r="B4311" s="272" t="s">
        <v>3654</v>
      </c>
      <c r="C4311" s="272" t="s">
        <v>109</v>
      </c>
      <c r="D4311" s="273" t="s">
        <v>23333</v>
      </c>
      <c r="E4311" s="274" t="s">
        <v>229</v>
      </c>
    </row>
    <row r="4312" spans="1:5" ht="27">
      <c r="A4312" s="271">
        <v>96843</v>
      </c>
      <c r="B4312" s="272" t="s">
        <v>3655</v>
      </c>
      <c r="C4312" s="272" t="s">
        <v>109</v>
      </c>
      <c r="D4312" s="273" t="s">
        <v>23334</v>
      </c>
      <c r="E4312" s="274" t="s">
        <v>229</v>
      </c>
    </row>
    <row r="4313" spans="1:5" ht="27">
      <c r="A4313" s="271">
        <v>96844</v>
      </c>
      <c r="B4313" s="272" t="s">
        <v>3656</v>
      </c>
      <c r="C4313" s="272" t="s">
        <v>109</v>
      </c>
      <c r="D4313" s="273" t="s">
        <v>23335</v>
      </c>
      <c r="E4313" s="274" t="s">
        <v>229</v>
      </c>
    </row>
    <row r="4314" spans="1:5" ht="27">
      <c r="A4314" s="271">
        <v>96845</v>
      </c>
      <c r="B4314" s="272" t="s">
        <v>3657</v>
      </c>
      <c r="C4314" s="272" t="s">
        <v>109</v>
      </c>
      <c r="D4314" s="273" t="s">
        <v>22917</v>
      </c>
      <c r="E4314" s="274" t="s">
        <v>229</v>
      </c>
    </row>
    <row r="4315" spans="1:5" ht="27">
      <c r="A4315" s="271">
        <v>96846</v>
      </c>
      <c r="B4315" s="272" t="s">
        <v>3658</v>
      </c>
      <c r="C4315" s="272" t="s">
        <v>109</v>
      </c>
      <c r="D4315" s="273" t="s">
        <v>23336</v>
      </c>
      <c r="E4315" s="274" t="s">
        <v>229</v>
      </c>
    </row>
    <row r="4316" spans="1:5" ht="27">
      <c r="A4316" s="271">
        <v>96847</v>
      </c>
      <c r="B4316" s="272" t="s">
        <v>3659</v>
      </c>
      <c r="C4316" s="272" t="s">
        <v>109</v>
      </c>
      <c r="D4316" s="273" t="s">
        <v>23337</v>
      </c>
      <c r="E4316" s="274" t="s">
        <v>229</v>
      </c>
    </row>
    <row r="4317" spans="1:5" ht="27">
      <c r="A4317" s="271">
        <v>96848</v>
      </c>
      <c r="B4317" s="272" t="s">
        <v>3660</v>
      </c>
      <c r="C4317" s="272" t="s">
        <v>109</v>
      </c>
      <c r="D4317" s="273" t="s">
        <v>23338</v>
      </c>
      <c r="E4317" s="274" t="s">
        <v>229</v>
      </c>
    </row>
    <row r="4318" spans="1:5" ht="27">
      <c r="A4318" s="271">
        <v>96849</v>
      </c>
      <c r="B4318" s="272" t="s">
        <v>3661</v>
      </c>
      <c r="C4318" s="272" t="s">
        <v>109</v>
      </c>
      <c r="D4318" s="273" t="s">
        <v>20664</v>
      </c>
      <c r="E4318" s="274" t="s">
        <v>229</v>
      </c>
    </row>
    <row r="4319" spans="1:5" ht="27">
      <c r="A4319" s="271">
        <v>96850</v>
      </c>
      <c r="B4319" s="272" t="s">
        <v>3662</v>
      </c>
      <c r="C4319" s="272" t="s">
        <v>109</v>
      </c>
      <c r="D4319" s="273" t="s">
        <v>10434</v>
      </c>
      <c r="E4319" s="274" t="s">
        <v>229</v>
      </c>
    </row>
    <row r="4320" spans="1:5" ht="27">
      <c r="A4320" s="271">
        <v>96851</v>
      </c>
      <c r="B4320" s="272" t="s">
        <v>3663</v>
      </c>
      <c r="C4320" s="272" t="s">
        <v>109</v>
      </c>
      <c r="D4320" s="273" t="s">
        <v>12453</v>
      </c>
      <c r="E4320" s="274" t="s">
        <v>229</v>
      </c>
    </row>
    <row r="4321" spans="1:5" ht="27">
      <c r="A4321" s="271">
        <v>96852</v>
      </c>
      <c r="B4321" s="272" t="s">
        <v>3664</v>
      </c>
      <c r="C4321" s="272" t="s">
        <v>109</v>
      </c>
      <c r="D4321" s="273" t="s">
        <v>15991</v>
      </c>
      <c r="E4321" s="274" t="s">
        <v>229</v>
      </c>
    </row>
    <row r="4322" spans="1:5" ht="27">
      <c r="A4322" s="271">
        <v>96853</v>
      </c>
      <c r="B4322" s="272" t="s">
        <v>3665</v>
      </c>
      <c r="C4322" s="272" t="s">
        <v>109</v>
      </c>
      <c r="D4322" s="273" t="s">
        <v>20599</v>
      </c>
      <c r="E4322" s="274" t="s">
        <v>229</v>
      </c>
    </row>
    <row r="4323" spans="1:5" ht="27">
      <c r="A4323" s="271">
        <v>96854</v>
      </c>
      <c r="B4323" s="272" t="s">
        <v>3666</v>
      </c>
      <c r="C4323" s="272" t="s">
        <v>109</v>
      </c>
      <c r="D4323" s="273" t="s">
        <v>19341</v>
      </c>
      <c r="E4323" s="274" t="s">
        <v>229</v>
      </c>
    </row>
    <row r="4324" spans="1:5" ht="27">
      <c r="A4324" s="271">
        <v>96855</v>
      </c>
      <c r="B4324" s="272" t="s">
        <v>3667</v>
      </c>
      <c r="C4324" s="272" t="s">
        <v>109</v>
      </c>
      <c r="D4324" s="273" t="s">
        <v>23339</v>
      </c>
      <c r="E4324" s="274" t="s">
        <v>229</v>
      </c>
    </row>
    <row r="4325" spans="1:5" ht="27">
      <c r="A4325" s="271">
        <v>96856</v>
      </c>
      <c r="B4325" s="272" t="s">
        <v>3668</v>
      </c>
      <c r="C4325" s="272" t="s">
        <v>109</v>
      </c>
      <c r="D4325" s="273" t="s">
        <v>14093</v>
      </c>
      <c r="E4325" s="274" t="s">
        <v>229</v>
      </c>
    </row>
    <row r="4326" spans="1:5" ht="27">
      <c r="A4326" s="271">
        <v>96857</v>
      </c>
      <c r="B4326" s="272" t="s">
        <v>3669</v>
      </c>
      <c r="C4326" s="272" t="s">
        <v>109</v>
      </c>
      <c r="D4326" s="273" t="s">
        <v>23340</v>
      </c>
      <c r="E4326" s="274" t="s">
        <v>229</v>
      </c>
    </row>
    <row r="4327" spans="1:5" ht="27">
      <c r="A4327" s="271">
        <v>96858</v>
      </c>
      <c r="B4327" s="272" t="s">
        <v>3670</v>
      </c>
      <c r="C4327" s="272" t="s">
        <v>109</v>
      </c>
      <c r="D4327" s="273" t="s">
        <v>22524</v>
      </c>
      <c r="E4327" s="274" t="s">
        <v>229</v>
      </c>
    </row>
    <row r="4328" spans="1:5" ht="27">
      <c r="A4328" s="271">
        <v>96859</v>
      </c>
      <c r="B4328" s="272" t="s">
        <v>3671</v>
      </c>
      <c r="C4328" s="272" t="s">
        <v>109</v>
      </c>
      <c r="D4328" s="273" t="s">
        <v>23341</v>
      </c>
      <c r="E4328" s="274" t="s">
        <v>229</v>
      </c>
    </row>
    <row r="4329" spans="1:5" ht="27">
      <c r="A4329" s="271">
        <v>96860</v>
      </c>
      <c r="B4329" s="272" t="s">
        <v>3672</v>
      </c>
      <c r="C4329" s="272" t="s">
        <v>109</v>
      </c>
      <c r="D4329" s="275" t="s">
        <v>21397</v>
      </c>
      <c r="E4329" s="274" t="s">
        <v>229</v>
      </c>
    </row>
    <row r="4330" spans="1:5" ht="27">
      <c r="A4330" s="271">
        <v>96861</v>
      </c>
      <c r="B4330" s="272" t="s">
        <v>3673</v>
      </c>
      <c r="C4330" s="272" t="s">
        <v>109</v>
      </c>
      <c r="D4330" s="275" t="s">
        <v>14087</v>
      </c>
      <c r="E4330" s="274" t="s">
        <v>229</v>
      </c>
    </row>
    <row r="4331" spans="1:5" ht="27">
      <c r="A4331" s="271">
        <v>96862</v>
      </c>
      <c r="B4331" s="272" t="s">
        <v>3674</v>
      </c>
      <c r="C4331" s="272" t="s">
        <v>109</v>
      </c>
      <c r="D4331" s="273" t="s">
        <v>12277</v>
      </c>
      <c r="E4331" s="274" t="s">
        <v>229</v>
      </c>
    </row>
    <row r="4332" spans="1:5" ht="27">
      <c r="A4332" s="271">
        <v>96863</v>
      </c>
      <c r="B4332" s="272" t="s">
        <v>3675</v>
      </c>
      <c r="C4332" s="272" t="s">
        <v>109</v>
      </c>
      <c r="D4332" s="273" t="s">
        <v>14230</v>
      </c>
      <c r="E4332" s="274" t="s">
        <v>229</v>
      </c>
    </row>
    <row r="4333" spans="1:5" ht="27">
      <c r="A4333" s="271">
        <v>96864</v>
      </c>
      <c r="B4333" s="272" t="s">
        <v>3676</v>
      </c>
      <c r="C4333" s="272" t="s">
        <v>109</v>
      </c>
      <c r="D4333" s="273" t="s">
        <v>12249</v>
      </c>
      <c r="E4333" s="274" t="s">
        <v>229</v>
      </c>
    </row>
    <row r="4334" spans="1:5" ht="27">
      <c r="A4334" s="271">
        <v>96865</v>
      </c>
      <c r="B4334" s="272" t="s">
        <v>3677</v>
      </c>
      <c r="C4334" s="272" t="s">
        <v>109</v>
      </c>
      <c r="D4334" s="273" t="s">
        <v>23342</v>
      </c>
      <c r="E4334" s="274" t="s">
        <v>229</v>
      </c>
    </row>
    <row r="4335" spans="1:5" ht="27">
      <c r="A4335" s="271">
        <v>96866</v>
      </c>
      <c r="B4335" s="272" t="s">
        <v>3678</v>
      </c>
      <c r="C4335" s="272" t="s">
        <v>109</v>
      </c>
      <c r="D4335" s="273" t="s">
        <v>23343</v>
      </c>
      <c r="E4335" s="274" t="s">
        <v>229</v>
      </c>
    </row>
    <row r="4336" spans="1:5" ht="27">
      <c r="A4336" s="271">
        <v>96867</v>
      </c>
      <c r="B4336" s="272" t="s">
        <v>3679</v>
      </c>
      <c r="C4336" s="272" t="s">
        <v>109</v>
      </c>
      <c r="D4336" s="273" t="s">
        <v>23344</v>
      </c>
      <c r="E4336" s="274" t="s">
        <v>229</v>
      </c>
    </row>
    <row r="4337" spans="1:5" ht="27">
      <c r="A4337" s="271">
        <v>96868</v>
      </c>
      <c r="B4337" s="272" t="s">
        <v>3680</v>
      </c>
      <c r="C4337" s="272" t="s">
        <v>109</v>
      </c>
      <c r="D4337" s="273" t="s">
        <v>14216</v>
      </c>
      <c r="E4337" s="274" t="s">
        <v>229</v>
      </c>
    </row>
    <row r="4338" spans="1:5" ht="27">
      <c r="A4338" s="271">
        <v>96869</v>
      </c>
      <c r="B4338" s="272" t="s">
        <v>3681</v>
      </c>
      <c r="C4338" s="272" t="s">
        <v>109</v>
      </c>
      <c r="D4338" s="273" t="s">
        <v>23345</v>
      </c>
      <c r="E4338" s="274" t="s">
        <v>229</v>
      </c>
    </row>
    <row r="4339" spans="1:5" ht="13.5">
      <c r="A4339" s="271">
        <v>96870</v>
      </c>
      <c r="B4339" s="272" t="s">
        <v>3682</v>
      </c>
      <c r="C4339" s="272" t="s">
        <v>109</v>
      </c>
      <c r="D4339" s="273" t="s">
        <v>22104</v>
      </c>
      <c r="E4339" s="274" t="s">
        <v>229</v>
      </c>
    </row>
    <row r="4340" spans="1:5" ht="27">
      <c r="A4340" s="271">
        <v>96871</v>
      </c>
      <c r="B4340" s="272" t="s">
        <v>3683</v>
      </c>
      <c r="C4340" s="272" t="s">
        <v>109</v>
      </c>
      <c r="D4340" s="273" t="s">
        <v>23346</v>
      </c>
      <c r="E4340" s="274" t="s">
        <v>229</v>
      </c>
    </row>
    <row r="4341" spans="1:5" ht="27">
      <c r="A4341" s="271">
        <v>96872</v>
      </c>
      <c r="B4341" s="272" t="s">
        <v>3684</v>
      </c>
      <c r="C4341" s="272" t="s">
        <v>109</v>
      </c>
      <c r="D4341" s="273" t="s">
        <v>23347</v>
      </c>
      <c r="E4341" s="274" t="s">
        <v>229</v>
      </c>
    </row>
    <row r="4342" spans="1:5" ht="27">
      <c r="A4342" s="271">
        <v>96873</v>
      </c>
      <c r="B4342" s="272" t="s">
        <v>3685</v>
      </c>
      <c r="C4342" s="272" t="s">
        <v>109</v>
      </c>
      <c r="D4342" s="273" t="s">
        <v>20551</v>
      </c>
      <c r="E4342" s="274" t="s">
        <v>229</v>
      </c>
    </row>
    <row r="4343" spans="1:5" ht="27">
      <c r="A4343" s="271">
        <v>96874</v>
      </c>
      <c r="B4343" s="272" t="s">
        <v>3686</v>
      </c>
      <c r="C4343" s="272" t="s">
        <v>109</v>
      </c>
      <c r="D4343" s="273" t="s">
        <v>23348</v>
      </c>
      <c r="E4343" s="274" t="s">
        <v>229</v>
      </c>
    </row>
    <row r="4344" spans="1:5" ht="27">
      <c r="A4344" s="271">
        <v>96875</v>
      </c>
      <c r="B4344" s="272" t="s">
        <v>3687</v>
      </c>
      <c r="C4344" s="272" t="s">
        <v>109</v>
      </c>
      <c r="D4344" s="273" t="s">
        <v>23349</v>
      </c>
      <c r="E4344" s="274" t="s">
        <v>229</v>
      </c>
    </row>
    <row r="4345" spans="1:5" ht="27">
      <c r="A4345" s="271">
        <v>96876</v>
      </c>
      <c r="B4345" s="272" t="s">
        <v>3688</v>
      </c>
      <c r="C4345" s="272" t="s">
        <v>109</v>
      </c>
      <c r="D4345" s="273" t="s">
        <v>23350</v>
      </c>
      <c r="E4345" s="274" t="s">
        <v>229</v>
      </c>
    </row>
    <row r="4346" spans="1:5" ht="27">
      <c r="A4346" s="271">
        <v>96877</v>
      </c>
      <c r="B4346" s="272" t="s">
        <v>3689</v>
      </c>
      <c r="C4346" s="272" t="s">
        <v>109</v>
      </c>
      <c r="D4346" s="273" t="s">
        <v>16708</v>
      </c>
      <c r="E4346" s="274" t="s">
        <v>229</v>
      </c>
    </row>
    <row r="4347" spans="1:5" ht="27">
      <c r="A4347" s="271">
        <v>96878</v>
      </c>
      <c r="B4347" s="272" t="s">
        <v>3690</v>
      </c>
      <c r="C4347" s="272" t="s">
        <v>109</v>
      </c>
      <c r="D4347" s="275" t="s">
        <v>23351</v>
      </c>
      <c r="E4347" s="274" t="s">
        <v>229</v>
      </c>
    </row>
    <row r="4348" spans="1:5" ht="27">
      <c r="A4348" s="271">
        <v>96879</v>
      </c>
      <c r="B4348" s="272" t="s">
        <v>3691</v>
      </c>
      <c r="C4348" s="272" t="s">
        <v>109</v>
      </c>
      <c r="D4348" s="275" t="s">
        <v>23352</v>
      </c>
      <c r="E4348" s="274" t="s">
        <v>229</v>
      </c>
    </row>
    <row r="4349" spans="1:5" ht="27">
      <c r="A4349" s="271">
        <v>96880</v>
      </c>
      <c r="B4349" s="272" t="s">
        <v>3692</v>
      </c>
      <c r="C4349" s="272" t="s">
        <v>109</v>
      </c>
      <c r="D4349" s="275" t="s">
        <v>23353</v>
      </c>
      <c r="E4349" s="274" t="s">
        <v>229</v>
      </c>
    </row>
    <row r="4350" spans="1:5" ht="27">
      <c r="A4350" s="271">
        <v>96881</v>
      </c>
      <c r="B4350" s="272" t="s">
        <v>3693</v>
      </c>
      <c r="C4350" s="272" t="s">
        <v>109</v>
      </c>
      <c r="D4350" s="273" t="s">
        <v>23354</v>
      </c>
      <c r="E4350" s="274" t="s">
        <v>229</v>
      </c>
    </row>
    <row r="4351" spans="1:5" ht="27">
      <c r="A4351" s="271">
        <v>97425</v>
      </c>
      <c r="B4351" s="272" t="s">
        <v>4319</v>
      </c>
      <c r="C4351" s="272" t="s">
        <v>109</v>
      </c>
      <c r="D4351" s="273" t="s">
        <v>20264</v>
      </c>
      <c r="E4351" s="274" t="s">
        <v>229</v>
      </c>
    </row>
    <row r="4352" spans="1:5" ht="27">
      <c r="A4352" s="271">
        <v>97426</v>
      </c>
      <c r="B4352" s="272" t="s">
        <v>4320</v>
      </c>
      <c r="C4352" s="272" t="s">
        <v>109</v>
      </c>
      <c r="D4352" s="273" t="s">
        <v>14223</v>
      </c>
      <c r="E4352" s="274" t="s">
        <v>229</v>
      </c>
    </row>
    <row r="4353" spans="1:5" ht="27">
      <c r="A4353" s="271">
        <v>97427</v>
      </c>
      <c r="B4353" s="272" t="s">
        <v>4321</v>
      </c>
      <c r="C4353" s="272" t="s">
        <v>109</v>
      </c>
      <c r="D4353" s="275" t="s">
        <v>23355</v>
      </c>
      <c r="E4353" s="274" t="s">
        <v>229</v>
      </c>
    </row>
    <row r="4354" spans="1:5" ht="27">
      <c r="A4354" s="271">
        <v>97428</v>
      </c>
      <c r="B4354" s="272" t="s">
        <v>4322</v>
      </c>
      <c r="C4354" s="272" t="s">
        <v>109</v>
      </c>
      <c r="D4354" s="273" t="s">
        <v>10101</v>
      </c>
      <c r="E4354" s="274" t="s">
        <v>229</v>
      </c>
    </row>
    <row r="4355" spans="1:5" ht="27">
      <c r="A4355" s="271">
        <v>97429</v>
      </c>
      <c r="B4355" s="272" t="s">
        <v>4323</v>
      </c>
      <c r="C4355" s="272" t="s">
        <v>109</v>
      </c>
      <c r="D4355" s="273" t="s">
        <v>20312</v>
      </c>
      <c r="E4355" s="274" t="s">
        <v>229</v>
      </c>
    </row>
    <row r="4356" spans="1:5" ht="27">
      <c r="A4356" s="271">
        <v>97430</v>
      </c>
      <c r="B4356" s="272" t="s">
        <v>13420</v>
      </c>
      <c r="C4356" s="272" t="s">
        <v>109</v>
      </c>
      <c r="D4356" s="273" t="s">
        <v>23356</v>
      </c>
      <c r="E4356" s="274" t="s">
        <v>229</v>
      </c>
    </row>
    <row r="4357" spans="1:5" ht="27">
      <c r="A4357" s="271">
        <v>97431</v>
      </c>
      <c r="B4357" s="272" t="s">
        <v>13421</v>
      </c>
      <c r="C4357" s="272" t="s">
        <v>109</v>
      </c>
      <c r="D4357" s="273" t="s">
        <v>23357</v>
      </c>
      <c r="E4357" s="274" t="s">
        <v>229</v>
      </c>
    </row>
    <row r="4358" spans="1:5" ht="27">
      <c r="A4358" s="271">
        <v>97432</v>
      </c>
      <c r="B4358" s="272" t="s">
        <v>13422</v>
      </c>
      <c r="C4358" s="272" t="s">
        <v>109</v>
      </c>
      <c r="D4358" s="273" t="s">
        <v>16383</v>
      </c>
      <c r="E4358" s="274" t="s">
        <v>229</v>
      </c>
    </row>
    <row r="4359" spans="1:5" ht="27">
      <c r="A4359" s="271">
        <v>97433</v>
      </c>
      <c r="B4359" s="272" t="s">
        <v>13423</v>
      </c>
      <c r="C4359" s="272" t="s">
        <v>109</v>
      </c>
      <c r="D4359" s="275" t="s">
        <v>23358</v>
      </c>
      <c r="E4359" s="274" t="s">
        <v>229</v>
      </c>
    </row>
    <row r="4360" spans="1:5" ht="27">
      <c r="A4360" s="271">
        <v>97434</v>
      </c>
      <c r="B4360" s="272" t="s">
        <v>13424</v>
      </c>
      <c r="C4360" s="272" t="s">
        <v>109</v>
      </c>
      <c r="D4360" s="273" t="s">
        <v>14275</v>
      </c>
      <c r="E4360" s="274" t="s">
        <v>229</v>
      </c>
    </row>
    <row r="4361" spans="1:5" ht="27">
      <c r="A4361" s="271">
        <v>97435</v>
      </c>
      <c r="B4361" s="272" t="s">
        <v>13425</v>
      </c>
      <c r="C4361" s="272" t="s">
        <v>109</v>
      </c>
      <c r="D4361" s="273" t="s">
        <v>16623</v>
      </c>
      <c r="E4361" s="274" t="s">
        <v>229</v>
      </c>
    </row>
    <row r="4362" spans="1:5" ht="27">
      <c r="A4362" s="271">
        <v>97436</v>
      </c>
      <c r="B4362" s="272" t="s">
        <v>13426</v>
      </c>
      <c r="C4362" s="272" t="s">
        <v>109</v>
      </c>
      <c r="D4362" s="273" t="s">
        <v>23359</v>
      </c>
      <c r="E4362" s="274" t="s">
        <v>229</v>
      </c>
    </row>
    <row r="4363" spans="1:5" ht="27">
      <c r="A4363" s="271">
        <v>97437</v>
      </c>
      <c r="B4363" s="272" t="s">
        <v>13427</v>
      </c>
      <c r="C4363" s="272" t="s">
        <v>109</v>
      </c>
      <c r="D4363" s="273" t="s">
        <v>23360</v>
      </c>
      <c r="E4363" s="274" t="s">
        <v>229</v>
      </c>
    </row>
    <row r="4364" spans="1:5" ht="27">
      <c r="A4364" s="271">
        <v>97438</v>
      </c>
      <c r="B4364" s="272" t="s">
        <v>13428</v>
      </c>
      <c r="C4364" s="272" t="s">
        <v>109</v>
      </c>
      <c r="D4364" s="273" t="s">
        <v>18863</v>
      </c>
      <c r="E4364" s="274" t="s">
        <v>229</v>
      </c>
    </row>
    <row r="4365" spans="1:5" ht="27">
      <c r="A4365" s="271">
        <v>97439</v>
      </c>
      <c r="B4365" s="272" t="s">
        <v>13429</v>
      </c>
      <c r="C4365" s="272" t="s">
        <v>109</v>
      </c>
      <c r="D4365" s="273" t="s">
        <v>23361</v>
      </c>
      <c r="E4365" s="274" t="s">
        <v>229</v>
      </c>
    </row>
    <row r="4366" spans="1:5" ht="27">
      <c r="A4366" s="271">
        <v>97440</v>
      </c>
      <c r="B4366" s="272" t="s">
        <v>13430</v>
      </c>
      <c r="C4366" s="272" t="s">
        <v>109</v>
      </c>
      <c r="D4366" s="273" t="s">
        <v>23362</v>
      </c>
      <c r="E4366" s="274" t="s">
        <v>229</v>
      </c>
    </row>
    <row r="4367" spans="1:5" ht="27">
      <c r="A4367" s="271">
        <v>97442</v>
      </c>
      <c r="B4367" s="272" t="s">
        <v>13431</v>
      </c>
      <c r="C4367" s="272" t="s">
        <v>109</v>
      </c>
      <c r="D4367" s="273" t="s">
        <v>23363</v>
      </c>
      <c r="E4367" s="274" t="s">
        <v>229</v>
      </c>
    </row>
    <row r="4368" spans="1:5" ht="27">
      <c r="A4368" s="271">
        <v>97443</v>
      </c>
      <c r="B4368" s="272" t="s">
        <v>13432</v>
      </c>
      <c r="C4368" s="272" t="s">
        <v>109</v>
      </c>
      <c r="D4368" s="273" t="s">
        <v>16311</v>
      </c>
      <c r="E4368" s="274" t="s">
        <v>229</v>
      </c>
    </row>
    <row r="4369" spans="1:5" ht="27">
      <c r="A4369" s="271">
        <v>97444</v>
      </c>
      <c r="B4369" s="272" t="s">
        <v>13433</v>
      </c>
      <c r="C4369" s="272" t="s">
        <v>109</v>
      </c>
      <c r="D4369" s="273" t="s">
        <v>23364</v>
      </c>
      <c r="E4369" s="274" t="s">
        <v>229</v>
      </c>
    </row>
    <row r="4370" spans="1:5" ht="27">
      <c r="A4370" s="271">
        <v>97446</v>
      </c>
      <c r="B4370" s="272" t="s">
        <v>13434</v>
      </c>
      <c r="C4370" s="272" t="s">
        <v>109</v>
      </c>
      <c r="D4370" s="273" t="s">
        <v>23365</v>
      </c>
      <c r="E4370" s="274" t="s">
        <v>229</v>
      </c>
    </row>
    <row r="4371" spans="1:5" ht="27">
      <c r="A4371" s="271">
        <v>97447</v>
      </c>
      <c r="B4371" s="272" t="s">
        <v>13435</v>
      </c>
      <c r="C4371" s="272" t="s">
        <v>109</v>
      </c>
      <c r="D4371" s="273" t="s">
        <v>23365</v>
      </c>
      <c r="E4371" s="274" t="s">
        <v>229</v>
      </c>
    </row>
    <row r="4372" spans="1:5" ht="27">
      <c r="A4372" s="271">
        <v>97449</v>
      </c>
      <c r="B4372" s="272" t="s">
        <v>13436</v>
      </c>
      <c r="C4372" s="272" t="s">
        <v>109</v>
      </c>
      <c r="D4372" s="273" t="s">
        <v>23366</v>
      </c>
      <c r="E4372" s="274" t="s">
        <v>229</v>
      </c>
    </row>
    <row r="4373" spans="1:5" ht="27">
      <c r="A4373" s="271">
        <v>97450</v>
      </c>
      <c r="B4373" s="272" t="s">
        <v>13437</v>
      </c>
      <c r="C4373" s="272" t="s">
        <v>109</v>
      </c>
      <c r="D4373" s="273" t="s">
        <v>23367</v>
      </c>
      <c r="E4373" s="274" t="s">
        <v>229</v>
      </c>
    </row>
    <row r="4374" spans="1:5" ht="27">
      <c r="A4374" s="271">
        <v>97452</v>
      </c>
      <c r="B4374" s="272" t="s">
        <v>13438</v>
      </c>
      <c r="C4374" s="272" t="s">
        <v>109</v>
      </c>
      <c r="D4374" s="273" t="s">
        <v>23040</v>
      </c>
      <c r="E4374" s="274" t="s">
        <v>229</v>
      </c>
    </row>
    <row r="4375" spans="1:5" ht="27">
      <c r="A4375" s="271">
        <v>97453</v>
      </c>
      <c r="B4375" s="272" t="s">
        <v>13439</v>
      </c>
      <c r="C4375" s="272" t="s">
        <v>109</v>
      </c>
      <c r="D4375" s="273" t="s">
        <v>23368</v>
      </c>
      <c r="E4375" s="274" t="s">
        <v>229</v>
      </c>
    </row>
    <row r="4376" spans="1:5" ht="27">
      <c r="A4376" s="271">
        <v>97454</v>
      </c>
      <c r="B4376" s="272" t="s">
        <v>13440</v>
      </c>
      <c r="C4376" s="272" t="s">
        <v>109</v>
      </c>
      <c r="D4376" s="273" t="s">
        <v>23369</v>
      </c>
      <c r="E4376" s="274" t="s">
        <v>229</v>
      </c>
    </row>
    <row r="4377" spans="1:5" ht="27">
      <c r="A4377" s="271">
        <v>97455</v>
      </c>
      <c r="B4377" s="272" t="s">
        <v>13441</v>
      </c>
      <c r="C4377" s="272" t="s">
        <v>109</v>
      </c>
      <c r="D4377" s="273" t="s">
        <v>23370</v>
      </c>
      <c r="E4377" s="274" t="s">
        <v>229</v>
      </c>
    </row>
    <row r="4378" spans="1:5" ht="27">
      <c r="A4378" s="271">
        <v>97456</v>
      </c>
      <c r="B4378" s="272" t="s">
        <v>13442</v>
      </c>
      <c r="C4378" s="272" t="s">
        <v>109</v>
      </c>
      <c r="D4378" s="273" t="s">
        <v>23371</v>
      </c>
      <c r="E4378" s="274" t="s">
        <v>229</v>
      </c>
    </row>
    <row r="4379" spans="1:5" ht="27">
      <c r="A4379" s="271">
        <v>97457</v>
      </c>
      <c r="B4379" s="272" t="s">
        <v>13443</v>
      </c>
      <c r="C4379" s="272" t="s">
        <v>109</v>
      </c>
      <c r="D4379" s="273" t="s">
        <v>23372</v>
      </c>
      <c r="E4379" s="274" t="s">
        <v>229</v>
      </c>
    </row>
    <row r="4380" spans="1:5" ht="27">
      <c r="A4380" s="271">
        <v>97458</v>
      </c>
      <c r="B4380" s="272" t="s">
        <v>13444</v>
      </c>
      <c r="C4380" s="272" t="s">
        <v>109</v>
      </c>
      <c r="D4380" s="273" t="s">
        <v>14277</v>
      </c>
      <c r="E4380" s="274" t="s">
        <v>229</v>
      </c>
    </row>
    <row r="4381" spans="1:5" ht="27">
      <c r="A4381" s="271">
        <v>97459</v>
      </c>
      <c r="B4381" s="272" t="s">
        <v>13445</v>
      </c>
      <c r="C4381" s="272" t="s">
        <v>109</v>
      </c>
      <c r="D4381" s="273" t="s">
        <v>23373</v>
      </c>
      <c r="E4381" s="274" t="s">
        <v>229</v>
      </c>
    </row>
    <row r="4382" spans="1:5" ht="27">
      <c r="A4382" s="271">
        <v>97460</v>
      </c>
      <c r="B4382" s="272" t="s">
        <v>13446</v>
      </c>
      <c r="C4382" s="272" t="s">
        <v>109</v>
      </c>
      <c r="D4382" s="273" t="s">
        <v>23374</v>
      </c>
      <c r="E4382" s="274" t="s">
        <v>229</v>
      </c>
    </row>
    <row r="4383" spans="1:5" ht="27">
      <c r="A4383" s="271">
        <v>97461</v>
      </c>
      <c r="B4383" s="272" t="s">
        <v>13447</v>
      </c>
      <c r="C4383" s="272" t="s">
        <v>109</v>
      </c>
      <c r="D4383" s="273" t="s">
        <v>10429</v>
      </c>
      <c r="E4383" s="274" t="s">
        <v>229</v>
      </c>
    </row>
    <row r="4384" spans="1:5" ht="27">
      <c r="A4384" s="271">
        <v>97462</v>
      </c>
      <c r="B4384" s="272" t="s">
        <v>13448</v>
      </c>
      <c r="C4384" s="272" t="s">
        <v>109</v>
      </c>
      <c r="D4384" s="273" t="s">
        <v>12451</v>
      </c>
      <c r="E4384" s="274" t="s">
        <v>229</v>
      </c>
    </row>
    <row r="4385" spans="1:5" ht="27">
      <c r="A4385" s="271">
        <v>97464</v>
      </c>
      <c r="B4385" s="272" t="s">
        <v>13449</v>
      </c>
      <c r="C4385" s="272" t="s">
        <v>109</v>
      </c>
      <c r="D4385" s="273" t="s">
        <v>23375</v>
      </c>
      <c r="E4385" s="274" t="s">
        <v>229</v>
      </c>
    </row>
    <row r="4386" spans="1:5" ht="27">
      <c r="A4386" s="271">
        <v>97465</v>
      </c>
      <c r="B4386" s="272" t="s">
        <v>13450</v>
      </c>
      <c r="C4386" s="272" t="s">
        <v>109</v>
      </c>
      <c r="D4386" s="273" t="s">
        <v>20988</v>
      </c>
      <c r="E4386" s="274" t="s">
        <v>229</v>
      </c>
    </row>
    <row r="4387" spans="1:5" ht="27">
      <c r="A4387" s="271">
        <v>97467</v>
      </c>
      <c r="B4387" s="272" t="s">
        <v>13451</v>
      </c>
      <c r="C4387" s="272" t="s">
        <v>109</v>
      </c>
      <c r="D4387" s="273" t="s">
        <v>23376</v>
      </c>
      <c r="E4387" s="274" t="s">
        <v>229</v>
      </c>
    </row>
    <row r="4388" spans="1:5" ht="40.5">
      <c r="A4388" s="271">
        <v>97468</v>
      </c>
      <c r="B4388" s="272" t="s">
        <v>13452</v>
      </c>
      <c r="C4388" s="272" t="s">
        <v>109</v>
      </c>
      <c r="D4388" s="273" t="s">
        <v>16359</v>
      </c>
      <c r="E4388" s="274" t="s">
        <v>229</v>
      </c>
    </row>
    <row r="4389" spans="1:5" ht="27">
      <c r="A4389" s="271">
        <v>97470</v>
      </c>
      <c r="B4389" s="272" t="s">
        <v>13453</v>
      </c>
      <c r="C4389" s="272" t="s">
        <v>109</v>
      </c>
      <c r="D4389" s="273" t="s">
        <v>12198</v>
      </c>
      <c r="E4389" s="274" t="s">
        <v>229</v>
      </c>
    </row>
    <row r="4390" spans="1:5" ht="27">
      <c r="A4390" s="271">
        <v>97471</v>
      </c>
      <c r="B4390" s="272" t="s">
        <v>13454</v>
      </c>
      <c r="C4390" s="272" t="s">
        <v>109</v>
      </c>
      <c r="D4390" s="273" t="s">
        <v>23377</v>
      </c>
      <c r="E4390" s="274" t="s">
        <v>229</v>
      </c>
    </row>
    <row r="4391" spans="1:5" ht="27">
      <c r="A4391" s="271">
        <v>97474</v>
      </c>
      <c r="B4391" s="272" t="s">
        <v>13455</v>
      </c>
      <c r="C4391" s="272" t="s">
        <v>109</v>
      </c>
      <c r="D4391" s="273" t="s">
        <v>23378</v>
      </c>
      <c r="E4391" s="274" t="s">
        <v>229</v>
      </c>
    </row>
    <row r="4392" spans="1:5" ht="27">
      <c r="A4392" s="271">
        <v>97475</v>
      </c>
      <c r="B4392" s="272" t="s">
        <v>13456</v>
      </c>
      <c r="C4392" s="272" t="s">
        <v>109</v>
      </c>
      <c r="D4392" s="273" t="s">
        <v>16513</v>
      </c>
      <c r="E4392" s="274" t="s">
        <v>229</v>
      </c>
    </row>
    <row r="4393" spans="1:5" ht="27">
      <c r="A4393" s="271">
        <v>97477</v>
      </c>
      <c r="B4393" s="272" t="s">
        <v>13457</v>
      </c>
      <c r="C4393" s="272" t="s">
        <v>109</v>
      </c>
      <c r="D4393" s="273" t="s">
        <v>23133</v>
      </c>
      <c r="E4393" s="274" t="s">
        <v>229</v>
      </c>
    </row>
    <row r="4394" spans="1:5" ht="27">
      <c r="A4394" s="271">
        <v>97478</v>
      </c>
      <c r="B4394" s="272" t="s">
        <v>13458</v>
      </c>
      <c r="C4394" s="272" t="s">
        <v>109</v>
      </c>
      <c r="D4394" s="273" t="s">
        <v>23379</v>
      </c>
      <c r="E4394" s="274" t="s">
        <v>229</v>
      </c>
    </row>
    <row r="4395" spans="1:5" ht="27">
      <c r="A4395" s="271">
        <v>97479</v>
      </c>
      <c r="B4395" s="272" t="s">
        <v>13459</v>
      </c>
      <c r="C4395" s="272" t="s">
        <v>109</v>
      </c>
      <c r="D4395" s="273" t="s">
        <v>16375</v>
      </c>
      <c r="E4395" s="274" t="s">
        <v>229</v>
      </c>
    </row>
    <row r="4396" spans="1:5" ht="27">
      <c r="A4396" s="271">
        <v>97480</v>
      </c>
      <c r="B4396" s="272" t="s">
        <v>13460</v>
      </c>
      <c r="C4396" s="272" t="s">
        <v>109</v>
      </c>
      <c r="D4396" s="273" t="s">
        <v>16375</v>
      </c>
      <c r="E4396" s="274" t="s">
        <v>229</v>
      </c>
    </row>
    <row r="4397" spans="1:5" ht="27">
      <c r="A4397" s="271">
        <v>97481</v>
      </c>
      <c r="B4397" s="272" t="s">
        <v>13461</v>
      </c>
      <c r="C4397" s="272" t="s">
        <v>109</v>
      </c>
      <c r="D4397" s="273" t="s">
        <v>19241</v>
      </c>
      <c r="E4397" s="274" t="s">
        <v>229</v>
      </c>
    </row>
    <row r="4398" spans="1:5" ht="27">
      <c r="A4398" s="271">
        <v>97482</v>
      </c>
      <c r="B4398" s="272" t="s">
        <v>13462</v>
      </c>
      <c r="C4398" s="272" t="s">
        <v>109</v>
      </c>
      <c r="D4398" s="273" t="s">
        <v>19241</v>
      </c>
      <c r="E4398" s="274" t="s">
        <v>229</v>
      </c>
    </row>
    <row r="4399" spans="1:5" ht="27">
      <c r="A4399" s="271">
        <v>97483</v>
      </c>
      <c r="B4399" s="272" t="s">
        <v>13463</v>
      </c>
      <c r="C4399" s="272" t="s">
        <v>109</v>
      </c>
      <c r="D4399" s="273" t="s">
        <v>23380</v>
      </c>
      <c r="E4399" s="274" t="s">
        <v>229</v>
      </c>
    </row>
    <row r="4400" spans="1:5" ht="27">
      <c r="A4400" s="271">
        <v>97484</v>
      </c>
      <c r="B4400" s="272" t="s">
        <v>13464</v>
      </c>
      <c r="C4400" s="272" t="s">
        <v>109</v>
      </c>
      <c r="D4400" s="273" t="s">
        <v>23380</v>
      </c>
      <c r="E4400" s="274" t="s">
        <v>229</v>
      </c>
    </row>
    <row r="4401" spans="1:5" ht="27">
      <c r="A4401" s="271">
        <v>97485</v>
      </c>
      <c r="B4401" s="272" t="s">
        <v>13465</v>
      </c>
      <c r="C4401" s="272" t="s">
        <v>109</v>
      </c>
      <c r="D4401" s="273" t="s">
        <v>23381</v>
      </c>
      <c r="E4401" s="274" t="s">
        <v>229</v>
      </c>
    </row>
    <row r="4402" spans="1:5" ht="27">
      <c r="A4402" s="271">
        <v>97486</v>
      </c>
      <c r="B4402" s="272" t="s">
        <v>13466</v>
      </c>
      <c r="C4402" s="272" t="s">
        <v>109</v>
      </c>
      <c r="D4402" s="273" t="s">
        <v>23382</v>
      </c>
      <c r="E4402" s="274" t="s">
        <v>229</v>
      </c>
    </row>
    <row r="4403" spans="1:5" ht="27">
      <c r="A4403" s="271">
        <v>97487</v>
      </c>
      <c r="B4403" s="272" t="s">
        <v>13467</v>
      </c>
      <c r="C4403" s="272" t="s">
        <v>109</v>
      </c>
      <c r="D4403" s="273" t="s">
        <v>23383</v>
      </c>
      <c r="E4403" s="274" t="s">
        <v>229</v>
      </c>
    </row>
    <row r="4404" spans="1:5" ht="27">
      <c r="A4404" s="271">
        <v>97488</v>
      </c>
      <c r="B4404" s="272" t="s">
        <v>13468</v>
      </c>
      <c r="C4404" s="272" t="s">
        <v>109</v>
      </c>
      <c r="D4404" s="273" t="s">
        <v>23384</v>
      </c>
      <c r="E4404" s="274" t="s">
        <v>229</v>
      </c>
    </row>
    <row r="4405" spans="1:5" ht="27">
      <c r="A4405" s="271">
        <v>97489</v>
      </c>
      <c r="B4405" s="272" t="s">
        <v>13469</v>
      </c>
      <c r="C4405" s="272" t="s">
        <v>109</v>
      </c>
      <c r="D4405" s="273" t="s">
        <v>23385</v>
      </c>
      <c r="E4405" s="274" t="s">
        <v>229</v>
      </c>
    </row>
    <row r="4406" spans="1:5" ht="27">
      <c r="A4406" s="271">
        <v>97490</v>
      </c>
      <c r="B4406" s="272" t="s">
        <v>13470</v>
      </c>
      <c r="C4406" s="272" t="s">
        <v>109</v>
      </c>
      <c r="D4406" s="273" t="s">
        <v>23386</v>
      </c>
      <c r="E4406" s="274" t="s">
        <v>229</v>
      </c>
    </row>
    <row r="4407" spans="1:5" ht="27">
      <c r="A4407" s="271">
        <v>97491</v>
      </c>
      <c r="B4407" s="272" t="s">
        <v>13471</v>
      </c>
      <c r="C4407" s="272" t="s">
        <v>109</v>
      </c>
      <c r="D4407" s="273" t="s">
        <v>10920</v>
      </c>
      <c r="E4407" s="274" t="s">
        <v>229</v>
      </c>
    </row>
    <row r="4408" spans="1:5" ht="27">
      <c r="A4408" s="271">
        <v>97492</v>
      </c>
      <c r="B4408" s="272" t="s">
        <v>13472</v>
      </c>
      <c r="C4408" s="272" t="s">
        <v>109</v>
      </c>
      <c r="D4408" s="273" t="s">
        <v>23387</v>
      </c>
      <c r="E4408" s="274" t="s">
        <v>229</v>
      </c>
    </row>
    <row r="4409" spans="1:5" ht="27">
      <c r="A4409" s="271">
        <v>97493</v>
      </c>
      <c r="B4409" s="272" t="s">
        <v>13473</v>
      </c>
      <c r="C4409" s="272" t="s">
        <v>109</v>
      </c>
      <c r="D4409" s="273" t="s">
        <v>19348</v>
      </c>
      <c r="E4409" s="274" t="s">
        <v>229</v>
      </c>
    </row>
    <row r="4410" spans="1:5" ht="27">
      <c r="A4410" s="271">
        <v>97494</v>
      </c>
      <c r="B4410" s="272" t="s">
        <v>13474</v>
      </c>
      <c r="C4410" s="272" t="s">
        <v>109</v>
      </c>
      <c r="D4410" s="273" t="s">
        <v>23388</v>
      </c>
      <c r="E4410" s="274" t="s">
        <v>229</v>
      </c>
    </row>
    <row r="4411" spans="1:5" ht="27">
      <c r="A4411" s="271">
        <v>97495</v>
      </c>
      <c r="B4411" s="272" t="s">
        <v>13475</v>
      </c>
      <c r="C4411" s="272" t="s">
        <v>109</v>
      </c>
      <c r="D4411" s="273" t="s">
        <v>23389</v>
      </c>
      <c r="E4411" s="274" t="s">
        <v>229</v>
      </c>
    </row>
    <row r="4412" spans="1:5" ht="27">
      <c r="A4412" s="271">
        <v>97496</v>
      </c>
      <c r="B4412" s="272" t="s">
        <v>13476</v>
      </c>
      <c r="C4412" s="272" t="s">
        <v>109</v>
      </c>
      <c r="D4412" s="273" t="s">
        <v>23390</v>
      </c>
      <c r="E4412" s="274" t="s">
        <v>229</v>
      </c>
    </row>
    <row r="4413" spans="1:5" ht="27">
      <c r="A4413" s="271">
        <v>97499</v>
      </c>
      <c r="B4413" s="272" t="s">
        <v>13477</v>
      </c>
      <c r="C4413" s="272" t="s">
        <v>109</v>
      </c>
      <c r="D4413" s="273" t="s">
        <v>23302</v>
      </c>
      <c r="E4413" s="274" t="s">
        <v>229</v>
      </c>
    </row>
    <row r="4414" spans="1:5" ht="27">
      <c r="A4414" s="271">
        <v>97500</v>
      </c>
      <c r="B4414" s="272" t="s">
        <v>13478</v>
      </c>
      <c r="C4414" s="272" t="s">
        <v>109</v>
      </c>
      <c r="D4414" s="273" t="s">
        <v>23391</v>
      </c>
      <c r="E4414" s="274" t="s">
        <v>229</v>
      </c>
    </row>
    <row r="4415" spans="1:5" ht="27">
      <c r="A4415" s="271">
        <v>97502</v>
      </c>
      <c r="B4415" s="272" t="s">
        <v>13479</v>
      </c>
      <c r="C4415" s="272" t="s">
        <v>109</v>
      </c>
      <c r="D4415" s="273" t="s">
        <v>16585</v>
      </c>
      <c r="E4415" s="274" t="s">
        <v>229</v>
      </c>
    </row>
    <row r="4416" spans="1:5" ht="27">
      <c r="A4416" s="271">
        <v>97503</v>
      </c>
      <c r="B4416" s="272" t="s">
        <v>13480</v>
      </c>
      <c r="C4416" s="272" t="s">
        <v>109</v>
      </c>
      <c r="D4416" s="273" t="s">
        <v>19577</v>
      </c>
      <c r="E4416" s="274" t="s">
        <v>229</v>
      </c>
    </row>
    <row r="4417" spans="1:5" ht="27">
      <c r="A4417" s="271">
        <v>97505</v>
      </c>
      <c r="B4417" s="272" t="s">
        <v>13481</v>
      </c>
      <c r="C4417" s="272" t="s">
        <v>109</v>
      </c>
      <c r="D4417" s="273" t="s">
        <v>11383</v>
      </c>
      <c r="E4417" s="274" t="s">
        <v>229</v>
      </c>
    </row>
    <row r="4418" spans="1:5" ht="40.5">
      <c r="A4418" s="271">
        <v>97506</v>
      </c>
      <c r="B4418" s="272" t="s">
        <v>13482</v>
      </c>
      <c r="C4418" s="272" t="s">
        <v>109</v>
      </c>
      <c r="D4418" s="273" t="s">
        <v>14157</v>
      </c>
      <c r="E4418" s="274" t="s">
        <v>229</v>
      </c>
    </row>
    <row r="4419" spans="1:5" ht="27">
      <c r="A4419" s="271">
        <v>97508</v>
      </c>
      <c r="B4419" s="272" t="s">
        <v>13483</v>
      </c>
      <c r="C4419" s="272" t="s">
        <v>109</v>
      </c>
      <c r="D4419" s="273" t="s">
        <v>23392</v>
      </c>
      <c r="E4419" s="274" t="s">
        <v>229</v>
      </c>
    </row>
    <row r="4420" spans="1:5" ht="27">
      <c r="A4420" s="271">
        <v>97509</v>
      </c>
      <c r="B4420" s="272" t="s">
        <v>13484</v>
      </c>
      <c r="C4420" s="272" t="s">
        <v>109</v>
      </c>
      <c r="D4420" s="273" t="s">
        <v>23393</v>
      </c>
      <c r="E4420" s="274" t="s">
        <v>229</v>
      </c>
    </row>
    <row r="4421" spans="1:5" ht="27">
      <c r="A4421" s="271">
        <v>97511</v>
      </c>
      <c r="B4421" s="272" t="s">
        <v>13485</v>
      </c>
      <c r="C4421" s="272" t="s">
        <v>109</v>
      </c>
      <c r="D4421" s="273" t="s">
        <v>23394</v>
      </c>
      <c r="E4421" s="274" t="s">
        <v>229</v>
      </c>
    </row>
    <row r="4422" spans="1:5" ht="27">
      <c r="A4422" s="271">
        <v>97512</v>
      </c>
      <c r="B4422" s="272" t="s">
        <v>13486</v>
      </c>
      <c r="C4422" s="272" t="s">
        <v>109</v>
      </c>
      <c r="D4422" s="273" t="s">
        <v>23395</v>
      </c>
      <c r="E4422" s="274" t="s">
        <v>229</v>
      </c>
    </row>
    <row r="4423" spans="1:5" ht="27">
      <c r="A4423" s="271">
        <v>97514</v>
      </c>
      <c r="B4423" s="272" t="s">
        <v>13487</v>
      </c>
      <c r="C4423" s="272" t="s">
        <v>109</v>
      </c>
      <c r="D4423" s="273" t="s">
        <v>18870</v>
      </c>
      <c r="E4423" s="274" t="s">
        <v>229</v>
      </c>
    </row>
    <row r="4424" spans="1:5" ht="27">
      <c r="A4424" s="271">
        <v>97515</v>
      </c>
      <c r="B4424" s="272" t="s">
        <v>13488</v>
      </c>
      <c r="C4424" s="272" t="s">
        <v>109</v>
      </c>
      <c r="D4424" s="273" t="s">
        <v>23396</v>
      </c>
      <c r="E4424" s="274" t="s">
        <v>229</v>
      </c>
    </row>
    <row r="4425" spans="1:5" ht="27">
      <c r="A4425" s="271">
        <v>97517</v>
      </c>
      <c r="B4425" s="272" t="s">
        <v>13489</v>
      </c>
      <c r="C4425" s="272" t="s">
        <v>109</v>
      </c>
      <c r="D4425" s="273" t="s">
        <v>10383</v>
      </c>
      <c r="E4425" s="274" t="s">
        <v>229</v>
      </c>
    </row>
    <row r="4426" spans="1:5" ht="27">
      <c r="A4426" s="271">
        <v>97518</v>
      </c>
      <c r="B4426" s="272" t="s">
        <v>13490</v>
      </c>
      <c r="C4426" s="272" t="s">
        <v>109</v>
      </c>
      <c r="D4426" s="273" t="s">
        <v>10383</v>
      </c>
      <c r="E4426" s="274" t="s">
        <v>229</v>
      </c>
    </row>
    <row r="4427" spans="1:5" ht="27">
      <c r="A4427" s="271">
        <v>97519</v>
      </c>
      <c r="B4427" s="272" t="s">
        <v>13491</v>
      </c>
      <c r="C4427" s="272" t="s">
        <v>109</v>
      </c>
      <c r="D4427" s="273" t="s">
        <v>16700</v>
      </c>
      <c r="E4427" s="274" t="s">
        <v>229</v>
      </c>
    </row>
    <row r="4428" spans="1:5" ht="27">
      <c r="A4428" s="271">
        <v>97520</v>
      </c>
      <c r="B4428" s="272" t="s">
        <v>13492</v>
      </c>
      <c r="C4428" s="272" t="s">
        <v>109</v>
      </c>
      <c r="D4428" s="273" t="s">
        <v>16700</v>
      </c>
      <c r="E4428" s="274" t="s">
        <v>229</v>
      </c>
    </row>
    <row r="4429" spans="1:5" ht="27">
      <c r="A4429" s="271">
        <v>97521</v>
      </c>
      <c r="B4429" s="272" t="s">
        <v>13493</v>
      </c>
      <c r="C4429" s="272" t="s">
        <v>109</v>
      </c>
      <c r="D4429" s="273" t="s">
        <v>23397</v>
      </c>
      <c r="E4429" s="274" t="s">
        <v>229</v>
      </c>
    </row>
    <row r="4430" spans="1:5" ht="27">
      <c r="A4430" s="271">
        <v>97522</v>
      </c>
      <c r="B4430" s="272" t="s">
        <v>13494</v>
      </c>
      <c r="C4430" s="272" t="s">
        <v>109</v>
      </c>
      <c r="D4430" s="273" t="s">
        <v>23397</v>
      </c>
      <c r="E4430" s="274" t="s">
        <v>229</v>
      </c>
    </row>
    <row r="4431" spans="1:5" ht="27">
      <c r="A4431" s="271">
        <v>97523</v>
      </c>
      <c r="B4431" s="272" t="s">
        <v>13495</v>
      </c>
      <c r="C4431" s="272" t="s">
        <v>109</v>
      </c>
      <c r="D4431" s="273" t="s">
        <v>23398</v>
      </c>
      <c r="E4431" s="274" t="s">
        <v>229</v>
      </c>
    </row>
    <row r="4432" spans="1:5" ht="27">
      <c r="A4432" s="271">
        <v>97524</v>
      </c>
      <c r="B4432" s="272" t="s">
        <v>13496</v>
      </c>
      <c r="C4432" s="272" t="s">
        <v>109</v>
      </c>
      <c r="D4432" s="273" t="s">
        <v>23399</v>
      </c>
      <c r="E4432" s="274" t="s">
        <v>229</v>
      </c>
    </row>
    <row r="4433" spans="1:5" ht="27">
      <c r="A4433" s="271">
        <v>97525</v>
      </c>
      <c r="B4433" s="272" t="s">
        <v>13497</v>
      </c>
      <c r="C4433" s="272" t="s">
        <v>109</v>
      </c>
      <c r="D4433" s="273" t="s">
        <v>23400</v>
      </c>
      <c r="E4433" s="274" t="s">
        <v>229</v>
      </c>
    </row>
    <row r="4434" spans="1:5" ht="27">
      <c r="A4434" s="271">
        <v>97526</v>
      </c>
      <c r="B4434" s="272" t="s">
        <v>13498</v>
      </c>
      <c r="C4434" s="272" t="s">
        <v>109</v>
      </c>
      <c r="D4434" s="273" t="s">
        <v>23401</v>
      </c>
      <c r="E4434" s="274" t="s">
        <v>229</v>
      </c>
    </row>
    <row r="4435" spans="1:5" ht="27">
      <c r="A4435" s="271">
        <v>97527</v>
      </c>
      <c r="B4435" s="272" t="s">
        <v>13499</v>
      </c>
      <c r="C4435" s="272" t="s">
        <v>109</v>
      </c>
      <c r="D4435" s="273" t="s">
        <v>23402</v>
      </c>
      <c r="E4435" s="274" t="s">
        <v>229</v>
      </c>
    </row>
    <row r="4436" spans="1:5" ht="27">
      <c r="A4436" s="271">
        <v>97528</v>
      </c>
      <c r="B4436" s="272" t="s">
        <v>13500</v>
      </c>
      <c r="C4436" s="272" t="s">
        <v>109</v>
      </c>
      <c r="D4436" s="273" t="s">
        <v>23403</v>
      </c>
      <c r="E4436" s="274" t="s">
        <v>229</v>
      </c>
    </row>
    <row r="4437" spans="1:5" ht="27">
      <c r="A4437" s="271">
        <v>97529</v>
      </c>
      <c r="B4437" s="272" t="s">
        <v>13501</v>
      </c>
      <c r="C4437" s="272" t="s">
        <v>109</v>
      </c>
      <c r="D4437" s="273" t="s">
        <v>23404</v>
      </c>
      <c r="E4437" s="274" t="s">
        <v>229</v>
      </c>
    </row>
    <row r="4438" spans="1:5" ht="27">
      <c r="A4438" s="271">
        <v>97530</v>
      </c>
      <c r="B4438" s="272" t="s">
        <v>13502</v>
      </c>
      <c r="C4438" s="272" t="s">
        <v>109</v>
      </c>
      <c r="D4438" s="273" t="s">
        <v>9801</v>
      </c>
      <c r="E4438" s="274" t="s">
        <v>229</v>
      </c>
    </row>
    <row r="4439" spans="1:5" ht="27">
      <c r="A4439" s="271">
        <v>97531</v>
      </c>
      <c r="B4439" s="272" t="s">
        <v>13503</v>
      </c>
      <c r="C4439" s="272" t="s">
        <v>109</v>
      </c>
      <c r="D4439" s="273" t="s">
        <v>23405</v>
      </c>
      <c r="E4439" s="274" t="s">
        <v>229</v>
      </c>
    </row>
    <row r="4440" spans="1:5" ht="27">
      <c r="A4440" s="271">
        <v>97532</v>
      </c>
      <c r="B4440" s="272" t="s">
        <v>13504</v>
      </c>
      <c r="C4440" s="272" t="s">
        <v>109</v>
      </c>
      <c r="D4440" s="273" t="s">
        <v>23406</v>
      </c>
      <c r="E4440" s="274" t="s">
        <v>229</v>
      </c>
    </row>
    <row r="4441" spans="1:5" ht="27">
      <c r="A4441" s="271">
        <v>97533</v>
      </c>
      <c r="B4441" s="272" t="s">
        <v>13505</v>
      </c>
      <c r="C4441" s="272" t="s">
        <v>109</v>
      </c>
      <c r="D4441" s="273" t="s">
        <v>23407</v>
      </c>
      <c r="E4441" s="274" t="s">
        <v>229</v>
      </c>
    </row>
    <row r="4442" spans="1:5" ht="27">
      <c r="A4442" s="271">
        <v>97534</v>
      </c>
      <c r="B4442" s="272" t="s">
        <v>13506</v>
      </c>
      <c r="C4442" s="272" t="s">
        <v>109</v>
      </c>
      <c r="D4442" s="273" t="s">
        <v>23408</v>
      </c>
      <c r="E4442" s="274" t="s">
        <v>229</v>
      </c>
    </row>
    <row r="4443" spans="1:5" ht="27">
      <c r="A4443" s="271">
        <v>97537</v>
      </c>
      <c r="B4443" s="272" t="s">
        <v>13507</v>
      </c>
      <c r="C4443" s="272" t="s">
        <v>109</v>
      </c>
      <c r="D4443" s="273" t="s">
        <v>11135</v>
      </c>
      <c r="E4443" s="274" t="s">
        <v>229</v>
      </c>
    </row>
    <row r="4444" spans="1:5" ht="27">
      <c r="A4444" s="271">
        <v>97540</v>
      </c>
      <c r="B4444" s="272" t="s">
        <v>13508</v>
      </c>
      <c r="C4444" s="272" t="s">
        <v>109</v>
      </c>
      <c r="D4444" s="273" t="s">
        <v>12221</v>
      </c>
      <c r="E4444" s="274" t="s">
        <v>229</v>
      </c>
    </row>
    <row r="4445" spans="1:5" ht="27">
      <c r="A4445" s="271">
        <v>97541</v>
      </c>
      <c r="B4445" s="272" t="s">
        <v>13509</v>
      </c>
      <c r="C4445" s="272" t="s">
        <v>109</v>
      </c>
      <c r="D4445" s="273" t="s">
        <v>14072</v>
      </c>
      <c r="E4445" s="274" t="s">
        <v>229</v>
      </c>
    </row>
    <row r="4446" spans="1:5" ht="27">
      <c r="A4446" s="271">
        <v>97543</v>
      </c>
      <c r="B4446" s="272" t="s">
        <v>13510</v>
      </c>
      <c r="C4446" s="272" t="s">
        <v>109</v>
      </c>
      <c r="D4446" s="273" t="s">
        <v>23409</v>
      </c>
      <c r="E4446" s="274" t="s">
        <v>229</v>
      </c>
    </row>
    <row r="4447" spans="1:5" ht="27">
      <c r="A4447" s="271">
        <v>97544</v>
      </c>
      <c r="B4447" s="272" t="s">
        <v>13511</v>
      </c>
      <c r="C4447" s="272" t="s">
        <v>109</v>
      </c>
      <c r="D4447" s="273" t="s">
        <v>11278</v>
      </c>
      <c r="E4447" s="274" t="s">
        <v>229</v>
      </c>
    </row>
    <row r="4448" spans="1:5" ht="27">
      <c r="A4448" s="271">
        <v>97546</v>
      </c>
      <c r="B4448" s="272" t="s">
        <v>13512</v>
      </c>
      <c r="C4448" s="272" t="s">
        <v>109</v>
      </c>
      <c r="D4448" s="273" t="s">
        <v>19602</v>
      </c>
      <c r="E4448" s="274" t="s">
        <v>229</v>
      </c>
    </row>
    <row r="4449" spans="1:5" ht="27">
      <c r="A4449" s="271">
        <v>97547</v>
      </c>
      <c r="B4449" s="272" t="s">
        <v>13513</v>
      </c>
      <c r="C4449" s="272" t="s">
        <v>109</v>
      </c>
      <c r="D4449" s="273" t="s">
        <v>19602</v>
      </c>
      <c r="E4449" s="274" t="s">
        <v>229</v>
      </c>
    </row>
    <row r="4450" spans="1:5" ht="27">
      <c r="A4450" s="271">
        <v>97548</v>
      </c>
      <c r="B4450" s="272" t="s">
        <v>13514</v>
      </c>
      <c r="C4450" s="272" t="s">
        <v>109</v>
      </c>
      <c r="D4450" s="273" t="s">
        <v>23410</v>
      </c>
      <c r="E4450" s="274" t="s">
        <v>229</v>
      </c>
    </row>
    <row r="4451" spans="1:5" ht="27">
      <c r="A4451" s="271">
        <v>97549</v>
      </c>
      <c r="B4451" s="272" t="s">
        <v>13515</v>
      </c>
      <c r="C4451" s="272" t="s">
        <v>109</v>
      </c>
      <c r="D4451" s="273" t="s">
        <v>23410</v>
      </c>
      <c r="E4451" s="274" t="s">
        <v>229</v>
      </c>
    </row>
    <row r="4452" spans="1:5" ht="27">
      <c r="A4452" s="271">
        <v>97550</v>
      </c>
      <c r="B4452" s="272" t="s">
        <v>13516</v>
      </c>
      <c r="C4452" s="272" t="s">
        <v>109</v>
      </c>
      <c r="D4452" s="273" t="s">
        <v>23411</v>
      </c>
      <c r="E4452" s="274" t="s">
        <v>229</v>
      </c>
    </row>
    <row r="4453" spans="1:5" ht="27">
      <c r="A4453" s="271">
        <v>97551</v>
      </c>
      <c r="B4453" s="272" t="s">
        <v>13517</v>
      </c>
      <c r="C4453" s="272" t="s">
        <v>109</v>
      </c>
      <c r="D4453" s="273" t="s">
        <v>23411</v>
      </c>
      <c r="E4453" s="274" t="s">
        <v>229</v>
      </c>
    </row>
    <row r="4454" spans="1:5" ht="27">
      <c r="A4454" s="271">
        <v>97552</v>
      </c>
      <c r="B4454" s="272" t="s">
        <v>13518</v>
      </c>
      <c r="C4454" s="272" t="s">
        <v>109</v>
      </c>
      <c r="D4454" s="273" t="s">
        <v>23412</v>
      </c>
      <c r="E4454" s="274" t="s">
        <v>229</v>
      </c>
    </row>
    <row r="4455" spans="1:5" ht="27">
      <c r="A4455" s="271">
        <v>97553</v>
      </c>
      <c r="B4455" s="272" t="s">
        <v>13519</v>
      </c>
      <c r="C4455" s="272" t="s">
        <v>109</v>
      </c>
      <c r="D4455" s="273" t="s">
        <v>23413</v>
      </c>
      <c r="E4455" s="274" t="s">
        <v>229</v>
      </c>
    </row>
    <row r="4456" spans="1:5" ht="27">
      <c r="A4456" s="271">
        <v>97554</v>
      </c>
      <c r="B4456" s="272" t="s">
        <v>13520</v>
      </c>
      <c r="C4456" s="272" t="s">
        <v>109</v>
      </c>
      <c r="D4456" s="273" t="s">
        <v>23414</v>
      </c>
      <c r="E4456" s="274" t="s">
        <v>229</v>
      </c>
    </row>
    <row r="4457" spans="1:5" ht="27">
      <c r="A4457" s="271">
        <v>98602</v>
      </c>
      <c r="B4457" s="272" t="s">
        <v>4324</v>
      </c>
      <c r="C4457" s="272" t="s">
        <v>109</v>
      </c>
      <c r="D4457" s="273" t="s">
        <v>11036</v>
      </c>
      <c r="E4457" s="274" t="s">
        <v>229</v>
      </c>
    </row>
    <row r="4458" spans="1:5" ht="13.5">
      <c r="A4458" s="271">
        <v>88503</v>
      </c>
      <c r="B4458" s="272" t="s">
        <v>2341</v>
      </c>
      <c r="C4458" s="272" t="s">
        <v>109</v>
      </c>
      <c r="D4458" s="273" t="s">
        <v>23415</v>
      </c>
      <c r="E4458" s="274" t="s">
        <v>229</v>
      </c>
    </row>
    <row r="4459" spans="1:5" ht="13.5">
      <c r="A4459" s="271">
        <v>88504</v>
      </c>
      <c r="B4459" s="272" t="s">
        <v>2342</v>
      </c>
      <c r="C4459" s="272" t="s">
        <v>109</v>
      </c>
      <c r="D4459" s="273" t="s">
        <v>15885</v>
      </c>
      <c r="E4459" s="274" t="s">
        <v>229</v>
      </c>
    </row>
    <row r="4460" spans="1:5" ht="27">
      <c r="A4460" s="271">
        <v>97895</v>
      </c>
      <c r="B4460" s="272" t="s">
        <v>13521</v>
      </c>
      <c r="C4460" s="272" t="s">
        <v>109</v>
      </c>
      <c r="D4460" s="273" t="s">
        <v>23416</v>
      </c>
      <c r="E4460" s="274" t="s">
        <v>229</v>
      </c>
    </row>
    <row r="4461" spans="1:5" ht="27">
      <c r="A4461" s="271">
        <v>97896</v>
      </c>
      <c r="B4461" s="272" t="s">
        <v>13522</v>
      </c>
      <c r="C4461" s="272" t="s">
        <v>109</v>
      </c>
      <c r="D4461" s="273" t="s">
        <v>23417</v>
      </c>
      <c r="E4461" s="274" t="s">
        <v>229</v>
      </c>
    </row>
    <row r="4462" spans="1:5" ht="27">
      <c r="A4462" s="271">
        <v>97897</v>
      </c>
      <c r="B4462" s="272" t="s">
        <v>13523</v>
      </c>
      <c r="C4462" s="272" t="s">
        <v>109</v>
      </c>
      <c r="D4462" s="273" t="s">
        <v>23418</v>
      </c>
      <c r="E4462" s="274" t="s">
        <v>229</v>
      </c>
    </row>
    <row r="4463" spans="1:5" ht="27">
      <c r="A4463" s="271">
        <v>97898</v>
      </c>
      <c r="B4463" s="272" t="s">
        <v>13524</v>
      </c>
      <c r="C4463" s="272" t="s">
        <v>109</v>
      </c>
      <c r="D4463" s="273" t="s">
        <v>23419</v>
      </c>
      <c r="E4463" s="274" t="s">
        <v>229</v>
      </c>
    </row>
    <row r="4464" spans="1:5" ht="27">
      <c r="A4464" s="271">
        <v>97900</v>
      </c>
      <c r="B4464" s="272" t="s">
        <v>13525</v>
      </c>
      <c r="C4464" s="272" t="s">
        <v>109</v>
      </c>
      <c r="D4464" s="273" t="s">
        <v>23420</v>
      </c>
      <c r="E4464" s="274" t="s">
        <v>229</v>
      </c>
    </row>
    <row r="4465" spans="1:5" ht="27">
      <c r="A4465" s="271">
        <v>97901</v>
      </c>
      <c r="B4465" s="272" t="s">
        <v>13526</v>
      </c>
      <c r="C4465" s="272" t="s">
        <v>109</v>
      </c>
      <c r="D4465" s="273" t="s">
        <v>23421</v>
      </c>
      <c r="E4465" s="274" t="s">
        <v>229</v>
      </c>
    </row>
    <row r="4466" spans="1:5" ht="27">
      <c r="A4466" s="271">
        <v>97902</v>
      </c>
      <c r="B4466" s="272" t="s">
        <v>13527</v>
      </c>
      <c r="C4466" s="272" t="s">
        <v>109</v>
      </c>
      <c r="D4466" s="273" t="s">
        <v>23422</v>
      </c>
      <c r="E4466" s="274" t="s">
        <v>229</v>
      </c>
    </row>
    <row r="4467" spans="1:5" ht="27">
      <c r="A4467" s="271">
        <v>97903</v>
      </c>
      <c r="B4467" s="272" t="s">
        <v>13528</v>
      </c>
      <c r="C4467" s="272" t="s">
        <v>109</v>
      </c>
      <c r="D4467" s="273" t="s">
        <v>23423</v>
      </c>
      <c r="E4467" s="274" t="s">
        <v>229</v>
      </c>
    </row>
    <row r="4468" spans="1:5" ht="27">
      <c r="A4468" s="271">
        <v>97904</v>
      </c>
      <c r="B4468" s="272" t="s">
        <v>13529</v>
      </c>
      <c r="C4468" s="272" t="s">
        <v>109</v>
      </c>
      <c r="D4468" s="273" t="s">
        <v>23424</v>
      </c>
      <c r="E4468" s="274" t="s">
        <v>229</v>
      </c>
    </row>
    <row r="4469" spans="1:5" ht="27">
      <c r="A4469" s="271">
        <v>97905</v>
      </c>
      <c r="B4469" s="272" t="s">
        <v>13530</v>
      </c>
      <c r="C4469" s="272" t="s">
        <v>109</v>
      </c>
      <c r="D4469" s="273" t="s">
        <v>12329</v>
      </c>
      <c r="E4469" s="274" t="s">
        <v>229</v>
      </c>
    </row>
    <row r="4470" spans="1:5" ht="27">
      <c r="A4470" s="271">
        <v>97906</v>
      </c>
      <c r="B4470" s="272" t="s">
        <v>13531</v>
      </c>
      <c r="C4470" s="272" t="s">
        <v>109</v>
      </c>
      <c r="D4470" s="273" t="s">
        <v>23425</v>
      </c>
      <c r="E4470" s="274" t="s">
        <v>229</v>
      </c>
    </row>
    <row r="4471" spans="1:5" ht="27">
      <c r="A4471" s="271">
        <v>97907</v>
      </c>
      <c r="B4471" s="272" t="s">
        <v>13532</v>
      </c>
      <c r="C4471" s="272" t="s">
        <v>109</v>
      </c>
      <c r="D4471" s="273" t="s">
        <v>23426</v>
      </c>
      <c r="E4471" s="274" t="s">
        <v>229</v>
      </c>
    </row>
    <row r="4472" spans="1:5" ht="27">
      <c r="A4472" s="271">
        <v>97908</v>
      </c>
      <c r="B4472" s="272" t="s">
        <v>13533</v>
      </c>
      <c r="C4472" s="272" t="s">
        <v>109</v>
      </c>
      <c r="D4472" s="273" t="s">
        <v>23427</v>
      </c>
      <c r="E4472" s="274" t="s">
        <v>229</v>
      </c>
    </row>
    <row r="4473" spans="1:5" ht="27">
      <c r="A4473" s="271">
        <v>98102</v>
      </c>
      <c r="B4473" s="272" t="s">
        <v>13534</v>
      </c>
      <c r="C4473" s="272" t="s">
        <v>109</v>
      </c>
      <c r="D4473" s="273" t="s">
        <v>23428</v>
      </c>
      <c r="E4473" s="274" t="s">
        <v>229</v>
      </c>
    </row>
    <row r="4474" spans="1:5" ht="27">
      <c r="A4474" s="271">
        <v>98104</v>
      </c>
      <c r="B4474" s="272" t="s">
        <v>13535</v>
      </c>
      <c r="C4474" s="272" t="s">
        <v>109</v>
      </c>
      <c r="D4474" s="273" t="s">
        <v>23429</v>
      </c>
      <c r="E4474" s="274" t="s">
        <v>229</v>
      </c>
    </row>
    <row r="4475" spans="1:5" ht="27">
      <c r="A4475" s="271">
        <v>98105</v>
      </c>
      <c r="B4475" s="272" t="s">
        <v>13536</v>
      </c>
      <c r="C4475" s="272" t="s">
        <v>109</v>
      </c>
      <c r="D4475" s="273" t="s">
        <v>23430</v>
      </c>
      <c r="E4475" s="274" t="s">
        <v>229</v>
      </c>
    </row>
    <row r="4476" spans="1:5" ht="40.5">
      <c r="A4476" s="271">
        <v>98106</v>
      </c>
      <c r="B4476" s="272" t="s">
        <v>13537</v>
      </c>
      <c r="C4476" s="272" t="s">
        <v>109</v>
      </c>
      <c r="D4476" s="273" t="s">
        <v>23431</v>
      </c>
      <c r="E4476" s="274" t="s">
        <v>229</v>
      </c>
    </row>
    <row r="4477" spans="1:5" ht="27">
      <c r="A4477" s="271">
        <v>98107</v>
      </c>
      <c r="B4477" s="272" t="s">
        <v>13538</v>
      </c>
      <c r="C4477" s="272" t="s">
        <v>109</v>
      </c>
      <c r="D4477" s="273" t="s">
        <v>16687</v>
      </c>
      <c r="E4477" s="274" t="s">
        <v>229</v>
      </c>
    </row>
    <row r="4478" spans="1:5" ht="27">
      <c r="A4478" s="271">
        <v>98108</v>
      </c>
      <c r="B4478" s="272" t="s">
        <v>13539</v>
      </c>
      <c r="C4478" s="272" t="s">
        <v>109</v>
      </c>
      <c r="D4478" s="273" t="s">
        <v>23432</v>
      </c>
      <c r="E4478" s="274" t="s">
        <v>229</v>
      </c>
    </row>
    <row r="4479" spans="1:5" ht="27">
      <c r="A4479" s="271">
        <v>99250</v>
      </c>
      <c r="B4479" s="272" t="s">
        <v>13540</v>
      </c>
      <c r="C4479" s="272" t="s">
        <v>109</v>
      </c>
      <c r="D4479" s="273" t="s">
        <v>23433</v>
      </c>
      <c r="E4479" s="274" t="s">
        <v>229</v>
      </c>
    </row>
    <row r="4480" spans="1:5" ht="27">
      <c r="A4480" s="271">
        <v>99251</v>
      </c>
      <c r="B4480" s="272" t="s">
        <v>13541</v>
      </c>
      <c r="C4480" s="272" t="s">
        <v>109</v>
      </c>
      <c r="D4480" s="273" t="s">
        <v>23434</v>
      </c>
      <c r="E4480" s="274" t="s">
        <v>229</v>
      </c>
    </row>
    <row r="4481" spans="1:5" ht="27">
      <c r="A4481" s="271">
        <v>99253</v>
      </c>
      <c r="B4481" s="272" t="s">
        <v>13542</v>
      </c>
      <c r="C4481" s="272" t="s">
        <v>109</v>
      </c>
      <c r="D4481" s="273" t="s">
        <v>23435</v>
      </c>
      <c r="E4481" s="274" t="s">
        <v>229</v>
      </c>
    </row>
    <row r="4482" spans="1:5" ht="27">
      <c r="A4482" s="271">
        <v>99255</v>
      </c>
      <c r="B4482" s="272" t="s">
        <v>13543</v>
      </c>
      <c r="C4482" s="272" t="s">
        <v>109</v>
      </c>
      <c r="D4482" s="273" t="s">
        <v>23436</v>
      </c>
      <c r="E4482" s="274" t="s">
        <v>229</v>
      </c>
    </row>
    <row r="4483" spans="1:5" ht="27">
      <c r="A4483" s="271">
        <v>99257</v>
      </c>
      <c r="B4483" s="272" t="s">
        <v>13544</v>
      </c>
      <c r="C4483" s="272" t="s">
        <v>109</v>
      </c>
      <c r="D4483" s="273" t="s">
        <v>23437</v>
      </c>
      <c r="E4483" s="274" t="s">
        <v>229</v>
      </c>
    </row>
    <row r="4484" spans="1:5" ht="27">
      <c r="A4484" s="271">
        <v>99258</v>
      </c>
      <c r="B4484" s="272" t="s">
        <v>13545</v>
      </c>
      <c r="C4484" s="272" t="s">
        <v>109</v>
      </c>
      <c r="D4484" s="273" t="s">
        <v>23438</v>
      </c>
      <c r="E4484" s="274" t="s">
        <v>229</v>
      </c>
    </row>
    <row r="4485" spans="1:5" ht="27">
      <c r="A4485" s="271">
        <v>99260</v>
      </c>
      <c r="B4485" s="272" t="s">
        <v>13546</v>
      </c>
      <c r="C4485" s="272" t="s">
        <v>109</v>
      </c>
      <c r="D4485" s="273" t="s">
        <v>23439</v>
      </c>
      <c r="E4485" s="274" t="s">
        <v>229</v>
      </c>
    </row>
    <row r="4486" spans="1:5" ht="27">
      <c r="A4486" s="271">
        <v>99262</v>
      </c>
      <c r="B4486" s="272" t="s">
        <v>13547</v>
      </c>
      <c r="C4486" s="272" t="s">
        <v>109</v>
      </c>
      <c r="D4486" s="273" t="s">
        <v>23440</v>
      </c>
      <c r="E4486" s="274" t="s">
        <v>229</v>
      </c>
    </row>
    <row r="4487" spans="1:5" ht="27">
      <c r="A4487" s="271">
        <v>99264</v>
      </c>
      <c r="B4487" s="272" t="s">
        <v>13548</v>
      </c>
      <c r="C4487" s="272" t="s">
        <v>109</v>
      </c>
      <c r="D4487" s="273" t="s">
        <v>23441</v>
      </c>
      <c r="E4487" s="274" t="s">
        <v>229</v>
      </c>
    </row>
    <row r="4488" spans="1:5" ht="27">
      <c r="A4488" s="271">
        <v>89482</v>
      </c>
      <c r="B4488" s="272" t="s">
        <v>2343</v>
      </c>
      <c r="C4488" s="272" t="s">
        <v>109</v>
      </c>
      <c r="D4488" s="273" t="s">
        <v>23442</v>
      </c>
      <c r="E4488" s="274" t="s">
        <v>229</v>
      </c>
    </row>
    <row r="4489" spans="1:5" ht="27">
      <c r="A4489" s="271">
        <v>89491</v>
      </c>
      <c r="B4489" s="272" t="s">
        <v>2344</v>
      </c>
      <c r="C4489" s="272" t="s">
        <v>109</v>
      </c>
      <c r="D4489" s="273" t="s">
        <v>16499</v>
      </c>
      <c r="E4489" s="274" t="s">
        <v>229</v>
      </c>
    </row>
    <row r="4490" spans="1:5" ht="27">
      <c r="A4490" s="271">
        <v>89495</v>
      </c>
      <c r="B4490" s="272" t="s">
        <v>2345</v>
      </c>
      <c r="C4490" s="272" t="s">
        <v>109</v>
      </c>
      <c r="D4490" s="273" t="s">
        <v>18763</v>
      </c>
      <c r="E4490" s="274" t="s">
        <v>229</v>
      </c>
    </row>
    <row r="4491" spans="1:5" ht="27">
      <c r="A4491" s="271">
        <v>89707</v>
      </c>
      <c r="B4491" s="272" t="s">
        <v>2346</v>
      </c>
      <c r="C4491" s="272" t="s">
        <v>109</v>
      </c>
      <c r="D4491" s="273" t="s">
        <v>23443</v>
      </c>
      <c r="E4491" s="274" t="s">
        <v>229</v>
      </c>
    </row>
    <row r="4492" spans="1:5" ht="27">
      <c r="A4492" s="271">
        <v>89708</v>
      </c>
      <c r="B4492" s="272" t="s">
        <v>2347</v>
      </c>
      <c r="C4492" s="272" t="s">
        <v>109</v>
      </c>
      <c r="D4492" s="273" t="s">
        <v>19974</v>
      </c>
      <c r="E4492" s="274" t="s">
        <v>229</v>
      </c>
    </row>
    <row r="4493" spans="1:5" ht="27">
      <c r="A4493" s="271">
        <v>89709</v>
      </c>
      <c r="B4493" s="272" t="s">
        <v>2348</v>
      </c>
      <c r="C4493" s="272" t="s">
        <v>109</v>
      </c>
      <c r="D4493" s="273" t="s">
        <v>11279</v>
      </c>
      <c r="E4493" s="274" t="s">
        <v>229</v>
      </c>
    </row>
    <row r="4494" spans="1:5" ht="27">
      <c r="A4494" s="271">
        <v>89710</v>
      </c>
      <c r="B4494" s="272" t="s">
        <v>2349</v>
      </c>
      <c r="C4494" s="272" t="s">
        <v>109</v>
      </c>
      <c r="D4494" s="273" t="s">
        <v>10569</v>
      </c>
      <c r="E4494" s="274" t="s">
        <v>229</v>
      </c>
    </row>
    <row r="4495" spans="1:5" ht="27">
      <c r="A4495" s="271">
        <v>86872</v>
      </c>
      <c r="B4495" s="272" t="s">
        <v>10675</v>
      </c>
      <c r="C4495" s="272" t="s">
        <v>109</v>
      </c>
      <c r="D4495" s="273" t="s">
        <v>23444</v>
      </c>
      <c r="E4495" s="274" t="s">
        <v>229</v>
      </c>
    </row>
    <row r="4496" spans="1:5" ht="27">
      <c r="A4496" s="271">
        <v>86874</v>
      </c>
      <c r="B4496" s="272" t="s">
        <v>10676</v>
      </c>
      <c r="C4496" s="272" t="s">
        <v>109</v>
      </c>
      <c r="D4496" s="273" t="s">
        <v>23445</v>
      </c>
      <c r="E4496" s="274" t="s">
        <v>229</v>
      </c>
    </row>
    <row r="4497" spans="1:5" ht="27">
      <c r="A4497" s="271">
        <v>86875</v>
      </c>
      <c r="B4497" s="272" t="s">
        <v>10677</v>
      </c>
      <c r="C4497" s="272" t="s">
        <v>109</v>
      </c>
      <c r="D4497" s="273" t="s">
        <v>23446</v>
      </c>
      <c r="E4497" s="274" t="s">
        <v>229</v>
      </c>
    </row>
    <row r="4498" spans="1:5" ht="27">
      <c r="A4498" s="271">
        <v>86876</v>
      </c>
      <c r="B4498" s="272" t="s">
        <v>10678</v>
      </c>
      <c r="C4498" s="272" t="s">
        <v>109</v>
      </c>
      <c r="D4498" s="273" t="s">
        <v>23447</v>
      </c>
      <c r="E4498" s="274" t="s">
        <v>229</v>
      </c>
    </row>
    <row r="4499" spans="1:5" ht="27">
      <c r="A4499" s="271">
        <v>86877</v>
      </c>
      <c r="B4499" s="272" t="s">
        <v>10679</v>
      </c>
      <c r="C4499" s="272" t="s">
        <v>109</v>
      </c>
      <c r="D4499" s="273" t="s">
        <v>23448</v>
      </c>
      <c r="E4499" s="274" t="s">
        <v>229</v>
      </c>
    </row>
    <row r="4500" spans="1:5" ht="27">
      <c r="A4500" s="271">
        <v>86878</v>
      </c>
      <c r="B4500" s="272" t="s">
        <v>10680</v>
      </c>
      <c r="C4500" s="272" t="s">
        <v>109</v>
      </c>
      <c r="D4500" s="273" t="s">
        <v>14095</v>
      </c>
      <c r="E4500" s="274" t="s">
        <v>229</v>
      </c>
    </row>
    <row r="4501" spans="1:5" ht="27">
      <c r="A4501" s="271">
        <v>86879</v>
      </c>
      <c r="B4501" s="272" t="s">
        <v>10681</v>
      </c>
      <c r="C4501" s="272" t="s">
        <v>109</v>
      </c>
      <c r="D4501" s="273" t="s">
        <v>10222</v>
      </c>
      <c r="E4501" s="274" t="s">
        <v>229</v>
      </c>
    </row>
    <row r="4502" spans="1:5" ht="27">
      <c r="A4502" s="271">
        <v>86880</v>
      </c>
      <c r="B4502" s="272" t="s">
        <v>10682</v>
      </c>
      <c r="C4502" s="272" t="s">
        <v>109</v>
      </c>
      <c r="D4502" s="273" t="s">
        <v>10525</v>
      </c>
      <c r="E4502" s="274" t="s">
        <v>229</v>
      </c>
    </row>
    <row r="4503" spans="1:5" ht="27">
      <c r="A4503" s="271">
        <v>86881</v>
      </c>
      <c r="B4503" s="272" t="s">
        <v>10683</v>
      </c>
      <c r="C4503" s="272" t="s">
        <v>109</v>
      </c>
      <c r="D4503" s="273" t="s">
        <v>23449</v>
      </c>
      <c r="E4503" s="274" t="s">
        <v>229</v>
      </c>
    </row>
    <row r="4504" spans="1:5" ht="27">
      <c r="A4504" s="271">
        <v>86882</v>
      </c>
      <c r="B4504" s="272" t="s">
        <v>10684</v>
      </c>
      <c r="C4504" s="272" t="s">
        <v>109</v>
      </c>
      <c r="D4504" s="273" t="s">
        <v>10604</v>
      </c>
      <c r="E4504" s="274" t="s">
        <v>229</v>
      </c>
    </row>
    <row r="4505" spans="1:5" ht="13.5">
      <c r="A4505" s="271">
        <v>86883</v>
      </c>
      <c r="B4505" s="272" t="s">
        <v>10686</v>
      </c>
      <c r="C4505" s="272" t="s">
        <v>109</v>
      </c>
      <c r="D4505" s="273" t="s">
        <v>12421</v>
      </c>
      <c r="E4505" s="274" t="s">
        <v>229</v>
      </c>
    </row>
    <row r="4506" spans="1:5" ht="27">
      <c r="A4506" s="271">
        <v>86884</v>
      </c>
      <c r="B4506" s="272" t="s">
        <v>10687</v>
      </c>
      <c r="C4506" s="272" t="s">
        <v>109</v>
      </c>
      <c r="D4506" s="273" t="s">
        <v>10910</v>
      </c>
      <c r="E4506" s="274" t="s">
        <v>229</v>
      </c>
    </row>
    <row r="4507" spans="1:5" ht="27">
      <c r="A4507" s="271">
        <v>86885</v>
      </c>
      <c r="B4507" s="272" t="s">
        <v>10688</v>
      </c>
      <c r="C4507" s="272" t="s">
        <v>109</v>
      </c>
      <c r="D4507" s="273" t="s">
        <v>20275</v>
      </c>
      <c r="E4507" s="274" t="s">
        <v>229</v>
      </c>
    </row>
    <row r="4508" spans="1:5" ht="13.5">
      <c r="A4508" s="271">
        <v>86886</v>
      </c>
      <c r="B4508" s="272" t="s">
        <v>10689</v>
      </c>
      <c r="C4508" s="272" t="s">
        <v>109</v>
      </c>
      <c r="D4508" s="273" t="s">
        <v>16340</v>
      </c>
      <c r="E4508" s="274" t="s">
        <v>229</v>
      </c>
    </row>
    <row r="4509" spans="1:5" ht="13.5">
      <c r="A4509" s="271">
        <v>86887</v>
      </c>
      <c r="B4509" s="272" t="s">
        <v>10690</v>
      </c>
      <c r="C4509" s="272" t="s">
        <v>109</v>
      </c>
      <c r="D4509" s="273" t="s">
        <v>23450</v>
      </c>
      <c r="E4509" s="274" t="s">
        <v>229</v>
      </c>
    </row>
    <row r="4510" spans="1:5" ht="27">
      <c r="A4510" s="271">
        <v>86888</v>
      </c>
      <c r="B4510" s="272" t="s">
        <v>10691</v>
      </c>
      <c r="C4510" s="272" t="s">
        <v>109</v>
      </c>
      <c r="D4510" s="273" t="s">
        <v>23451</v>
      </c>
      <c r="E4510" s="274" t="s">
        <v>229</v>
      </c>
    </row>
    <row r="4511" spans="1:5" ht="27">
      <c r="A4511" s="271">
        <v>86889</v>
      </c>
      <c r="B4511" s="272" t="s">
        <v>10692</v>
      </c>
      <c r="C4511" s="272" t="s">
        <v>109</v>
      </c>
      <c r="D4511" s="273" t="s">
        <v>23452</v>
      </c>
      <c r="E4511" s="274" t="s">
        <v>229</v>
      </c>
    </row>
    <row r="4512" spans="1:5" ht="27">
      <c r="A4512" s="271">
        <v>86893</v>
      </c>
      <c r="B4512" s="272" t="s">
        <v>10693</v>
      </c>
      <c r="C4512" s="272" t="s">
        <v>109</v>
      </c>
      <c r="D4512" s="273" t="s">
        <v>23453</v>
      </c>
      <c r="E4512" s="274" t="s">
        <v>229</v>
      </c>
    </row>
    <row r="4513" spans="1:5" ht="27">
      <c r="A4513" s="271">
        <v>86894</v>
      </c>
      <c r="B4513" s="272" t="s">
        <v>10694</v>
      </c>
      <c r="C4513" s="272" t="s">
        <v>109</v>
      </c>
      <c r="D4513" s="273" t="s">
        <v>23454</v>
      </c>
      <c r="E4513" s="274" t="s">
        <v>229</v>
      </c>
    </row>
    <row r="4514" spans="1:5" ht="27">
      <c r="A4514" s="271">
        <v>86895</v>
      </c>
      <c r="B4514" s="272" t="s">
        <v>10695</v>
      </c>
      <c r="C4514" s="272" t="s">
        <v>109</v>
      </c>
      <c r="D4514" s="273" t="s">
        <v>23455</v>
      </c>
      <c r="E4514" s="274" t="s">
        <v>229</v>
      </c>
    </row>
    <row r="4515" spans="1:5" ht="27">
      <c r="A4515" s="271">
        <v>86899</v>
      </c>
      <c r="B4515" s="272" t="s">
        <v>10696</v>
      </c>
      <c r="C4515" s="272" t="s">
        <v>109</v>
      </c>
      <c r="D4515" s="273" t="s">
        <v>23456</v>
      </c>
      <c r="E4515" s="274" t="s">
        <v>229</v>
      </c>
    </row>
    <row r="4516" spans="1:5" ht="27">
      <c r="A4516" s="271">
        <v>86900</v>
      </c>
      <c r="B4516" s="272" t="s">
        <v>10697</v>
      </c>
      <c r="C4516" s="272" t="s">
        <v>109</v>
      </c>
      <c r="D4516" s="273" t="s">
        <v>23457</v>
      </c>
      <c r="E4516" s="274" t="s">
        <v>229</v>
      </c>
    </row>
    <row r="4517" spans="1:5" ht="27">
      <c r="A4517" s="271">
        <v>86901</v>
      </c>
      <c r="B4517" s="272" t="s">
        <v>10698</v>
      </c>
      <c r="C4517" s="272" t="s">
        <v>109</v>
      </c>
      <c r="D4517" s="273" t="s">
        <v>23458</v>
      </c>
      <c r="E4517" s="274" t="s">
        <v>229</v>
      </c>
    </row>
    <row r="4518" spans="1:5" ht="27">
      <c r="A4518" s="271">
        <v>86902</v>
      </c>
      <c r="B4518" s="272" t="s">
        <v>10699</v>
      </c>
      <c r="C4518" s="272" t="s">
        <v>109</v>
      </c>
      <c r="D4518" s="273" t="s">
        <v>20365</v>
      </c>
      <c r="E4518" s="274" t="s">
        <v>229</v>
      </c>
    </row>
    <row r="4519" spans="1:5" ht="27">
      <c r="A4519" s="271">
        <v>86903</v>
      </c>
      <c r="B4519" s="272" t="s">
        <v>10700</v>
      </c>
      <c r="C4519" s="272" t="s">
        <v>109</v>
      </c>
      <c r="D4519" s="273" t="s">
        <v>23459</v>
      </c>
      <c r="E4519" s="274" t="s">
        <v>229</v>
      </c>
    </row>
    <row r="4520" spans="1:5" ht="27">
      <c r="A4520" s="271">
        <v>86904</v>
      </c>
      <c r="B4520" s="272" t="s">
        <v>10701</v>
      </c>
      <c r="C4520" s="272" t="s">
        <v>109</v>
      </c>
      <c r="D4520" s="273" t="s">
        <v>23460</v>
      </c>
      <c r="E4520" s="274" t="s">
        <v>229</v>
      </c>
    </row>
    <row r="4521" spans="1:5" ht="27">
      <c r="A4521" s="271">
        <v>86905</v>
      </c>
      <c r="B4521" s="272" t="s">
        <v>10702</v>
      </c>
      <c r="C4521" s="272" t="s">
        <v>109</v>
      </c>
      <c r="D4521" s="273" t="s">
        <v>23461</v>
      </c>
      <c r="E4521" s="274" t="s">
        <v>229</v>
      </c>
    </row>
    <row r="4522" spans="1:5" ht="27">
      <c r="A4522" s="271">
        <v>86906</v>
      </c>
      <c r="B4522" s="272" t="s">
        <v>10703</v>
      </c>
      <c r="C4522" s="272" t="s">
        <v>109</v>
      </c>
      <c r="D4522" s="273" t="s">
        <v>23462</v>
      </c>
      <c r="E4522" s="274" t="s">
        <v>229</v>
      </c>
    </row>
    <row r="4523" spans="1:5" ht="27">
      <c r="A4523" s="271">
        <v>86908</v>
      </c>
      <c r="B4523" s="272" t="s">
        <v>10704</v>
      </c>
      <c r="C4523" s="272" t="s">
        <v>109</v>
      </c>
      <c r="D4523" s="273" t="s">
        <v>23463</v>
      </c>
      <c r="E4523" s="274" t="s">
        <v>229</v>
      </c>
    </row>
    <row r="4524" spans="1:5" ht="27">
      <c r="A4524" s="271">
        <v>86909</v>
      </c>
      <c r="B4524" s="272" t="s">
        <v>10705</v>
      </c>
      <c r="C4524" s="272" t="s">
        <v>109</v>
      </c>
      <c r="D4524" s="273" t="s">
        <v>23464</v>
      </c>
      <c r="E4524" s="274" t="s">
        <v>229</v>
      </c>
    </row>
    <row r="4525" spans="1:5" ht="27">
      <c r="A4525" s="271">
        <v>86910</v>
      </c>
      <c r="B4525" s="272" t="s">
        <v>10706</v>
      </c>
      <c r="C4525" s="272" t="s">
        <v>109</v>
      </c>
      <c r="D4525" s="273" t="s">
        <v>14211</v>
      </c>
      <c r="E4525" s="274" t="s">
        <v>229</v>
      </c>
    </row>
    <row r="4526" spans="1:5" ht="27">
      <c r="A4526" s="271">
        <v>86911</v>
      </c>
      <c r="B4526" s="272" t="s">
        <v>10707</v>
      </c>
      <c r="C4526" s="272" t="s">
        <v>109</v>
      </c>
      <c r="D4526" s="273" t="s">
        <v>9834</v>
      </c>
      <c r="E4526" s="274" t="s">
        <v>229</v>
      </c>
    </row>
    <row r="4527" spans="1:5" ht="27">
      <c r="A4527" s="271">
        <v>86913</v>
      </c>
      <c r="B4527" s="272" t="s">
        <v>10708</v>
      </c>
      <c r="C4527" s="272" t="s">
        <v>109</v>
      </c>
      <c r="D4527" s="273" t="s">
        <v>16061</v>
      </c>
      <c r="E4527" s="274" t="s">
        <v>229</v>
      </c>
    </row>
    <row r="4528" spans="1:5" ht="27">
      <c r="A4528" s="271">
        <v>86914</v>
      </c>
      <c r="B4528" s="272" t="s">
        <v>10709</v>
      </c>
      <c r="C4528" s="272" t="s">
        <v>109</v>
      </c>
      <c r="D4528" s="273" t="s">
        <v>15880</v>
      </c>
      <c r="E4528" s="274" t="s">
        <v>229</v>
      </c>
    </row>
    <row r="4529" spans="1:5" ht="27">
      <c r="A4529" s="271">
        <v>86915</v>
      </c>
      <c r="B4529" s="272" t="s">
        <v>10710</v>
      </c>
      <c r="C4529" s="272" t="s">
        <v>109</v>
      </c>
      <c r="D4529" s="273" t="s">
        <v>10606</v>
      </c>
      <c r="E4529" s="274" t="s">
        <v>229</v>
      </c>
    </row>
    <row r="4530" spans="1:5" ht="13.5">
      <c r="A4530" s="271">
        <v>86916</v>
      </c>
      <c r="B4530" s="272" t="s">
        <v>10711</v>
      </c>
      <c r="C4530" s="272" t="s">
        <v>109</v>
      </c>
      <c r="D4530" s="273" t="s">
        <v>11473</v>
      </c>
      <c r="E4530" s="274" t="s">
        <v>229</v>
      </c>
    </row>
    <row r="4531" spans="1:5" ht="40.5">
      <c r="A4531" s="271">
        <v>86919</v>
      </c>
      <c r="B4531" s="272" t="s">
        <v>10713</v>
      </c>
      <c r="C4531" s="272" t="s">
        <v>109</v>
      </c>
      <c r="D4531" s="273" t="s">
        <v>23465</v>
      </c>
      <c r="E4531" s="274" t="s">
        <v>229</v>
      </c>
    </row>
    <row r="4532" spans="1:5" ht="40.5">
      <c r="A4532" s="271">
        <v>86920</v>
      </c>
      <c r="B4532" s="272" t="s">
        <v>10714</v>
      </c>
      <c r="C4532" s="272" t="s">
        <v>109</v>
      </c>
      <c r="D4532" s="273" t="s">
        <v>23466</v>
      </c>
      <c r="E4532" s="274" t="s">
        <v>229</v>
      </c>
    </row>
    <row r="4533" spans="1:5" ht="27">
      <c r="A4533" s="271">
        <v>86921</v>
      </c>
      <c r="B4533" s="272" t="s">
        <v>10715</v>
      </c>
      <c r="C4533" s="272" t="s">
        <v>109</v>
      </c>
      <c r="D4533" s="273" t="s">
        <v>23467</v>
      </c>
      <c r="E4533" s="274" t="s">
        <v>229</v>
      </c>
    </row>
    <row r="4534" spans="1:5" ht="40.5">
      <c r="A4534" s="271">
        <v>86922</v>
      </c>
      <c r="B4534" s="272" t="s">
        <v>10716</v>
      </c>
      <c r="C4534" s="272" t="s">
        <v>109</v>
      </c>
      <c r="D4534" s="273" t="s">
        <v>23468</v>
      </c>
      <c r="E4534" s="274" t="s">
        <v>229</v>
      </c>
    </row>
    <row r="4535" spans="1:5" ht="40.5">
      <c r="A4535" s="271">
        <v>86923</v>
      </c>
      <c r="B4535" s="272" t="s">
        <v>10717</v>
      </c>
      <c r="C4535" s="272" t="s">
        <v>109</v>
      </c>
      <c r="D4535" s="273" t="s">
        <v>12226</v>
      </c>
      <c r="E4535" s="274" t="s">
        <v>229</v>
      </c>
    </row>
    <row r="4536" spans="1:5" ht="27">
      <c r="A4536" s="271">
        <v>86924</v>
      </c>
      <c r="B4536" s="272" t="s">
        <v>10718</v>
      </c>
      <c r="C4536" s="272" t="s">
        <v>109</v>
      </c>
      <c r="D4536" s="273" t="s">
        <v>23469</v>
      </c>
      <c r="E4536" s="274" t="s">
        <v>229</v>
      </c>
    </row>
    <row r="4537" spans="1:5" ht="40.5">
      <c r="A4537" s="271">
        <v>86925</v>
      </c>
      <c r="B4537" s="272" t="s">
        <v>10719</v>
      </c>
      <c r="C4537" s="272" t="s">
        <v>109</v>
      </c>
      <c r="D4537" s="273" t="s">
        <v>16385</v>
      </c>
      <c r="E4537" s="274" t="s">
        <v>229</v>
      </c>
    </row>
    <row r="4538" spans="1:5" ht="27">
      <c r="A4538" s="271">
        <v>86926</v>
      </c>
      <c r="B4538" s="272" t="s">
        <v>10720</v>
      </c>
      <c r="C4538" s="272" t="s">
        <v>109</v>
      </c>
      <c r="D4538" s="273" t="s">
        <v>18858</v>
      </c>
      <c r="E4538" s="274" t="s">
        <v>229</v>
      </c>
    </row>
    <row r="4539" spans="1:5" ht="40.5">
      <c r="A4539" s="271">
        <v>86927</v>
      </c>
      <c r="B4539" s="272" t="s">
        <v>10721</v>
      </c>
      <c r="C4539" s="272" t="s">
        <v>109</v>
      </c>
      <c r="D4539" s="273" t="s">
        <v>23470</v>
      </c>
      <c r="E4539" s="274" t="s">
        <v>229</v>
      </c>
    </row>
    <row r="4540" spans="1:5" ht="40.5">
      <c r="A4540" s="271">
        <v>86928</v>
      </c>
      <c r="B4540" s="272" t="s">
        <v>10722</v>
      </c>
      <c r="C4540" s="272" t="s">
        <v>109</v>
      </c>
      <c r="D4540" s="273" t="s">
        <v>23471</v>
      </c>
      <c r="E4540" s="274" t="s">
        <v>229</v>
      </c>
    </row>
    <row r="4541" spans="1:5" ht="40.5">
      <c r="A4541" s="271">
        <v>86929</v>
      </c>
      <c r="B4541" s="272" t="s">
        <v>10723</v>
      </c>
      <c r="C4541" s="272" t="s">
        <v>109</v>
      </c>
      <c r="D4541" s="273" t="s">
        <v>23472</v>
      </c>
      <c r="E4541" s="274" t="s">
        <v>229</v>
      </c>
    </row>
    <row r="4542" spans="1:5" ht="27">
      <c r="A4542" s="271">
        <v>86930</v>
      </c>
      <c r="B4542" s="272" t="s">
        <v>10724</v>
      </c>
      <c r="C4542" s="272" t="s">
        <v>109</v>
      </c>
      <c r="D4542" s="273" t="s">
        <v>23473</v>
      </c>
      <c r="E4542" s="274" t="s">
        <v>229</v>
      </c>
    </row>
    <row r="4543" spans="1:5" ht="27">
      <c r="A4543" s="271">
        <v>86931</v>
      </c>
      <c r="B4543" s="272" t="s">
        <v>10725</v>
      </c>
      <c r="C4543" s="272" t="s">
        <v>109</v>
      </c>
      <c r="D4543" s="273" t="s">
        <v>23474</v>
      </c>
      <c r="E4543" s="274" t="s">
        <v>229</v>
      </c>
    </row>
    <row r="4544" spans="1:5" ht="27">
      <c r="A4544" s="271">
        <v>86932</v>
      </c>
      <c r="B4544" s="272" t="s">
        <v>10726</v>
      </c>
      <c r="C4544" s="272" t="s">
        <v>109</v>
      </c>
      <c r="D4544" s="273" t="s">
        <v>23475</v>
      </c>
      <c r="E4544" s="274" t="s">
        <v>229</v>
      </c>
    </row>
    <row r="4545" spans="1:5" ht="40.5">
      <c r="A4545" s="271">
        <v>86933</v>
      </c>
      <c r="B4545" s="272" t="s">
        <v>10727</v>
      </c>
      <c r="C4545" s="272" t="s">
        <v>109</v>
      </c>
      <c r="D4545" s="273" t="s">
        <v>23476</v>
      </c>
      <c r="E4545" s="274" t="s">
        <v>229</v>
      </c>
    </row>
    <row r="4546" spans="1:5" ht="40.5">
      <c r="A4546" s="271">
        <v>86934</v>
      </c>
      <c r="B4546" s="272" t="s">
        <v>10728</v>
      </c>
      <c r="C4546" s="272" t="s">
        <v>109</v>
      </c>
      <c r="D4546" s="273" t="s">
        <v>23477</v>
      </c>
      <c r="E4546" s="274" t="s">
        <v>229</v>
      </c>
    </row>
    <row r="4547" spans="1:5" ht="27">
      <c r="A4547" s="271">
        <v>86935</v>
      </c>
      <c r="B4547" s="272" t="s">
        <v>10729</v>
      </c>
      <c r="C4547" s="272" t="s">
        <v>109</v>
      </c>
      <c r="D4547" s="273" t="s">
        <v>23478</v>
      </c>
      <c r="E4547" s="274" t="s">
        <v>229</v>
      </c>
    </row>
    <row r="4548" spans="1:5" ht="27">
      <c r="A4548" s="271">
        <v>86936</v>
      </c>
      <c r="B4548" s="272" t="s">
        <v>10730</v>
      </c>
      <c r="C4548" s="272" t="s">
        <v>109</v>
      </c>
      <c r="D4548" s="273" t="s">
        <v>23479</v>
      </c>
      <c r="E4548" s="274" t="s">
        <v>229</v>
      </c>
    </row>
    <row r="4549" spans="1:5" ht="27">
      <c r="A4549" s="271">
        <v>86937</v>
      </c>
      <c r="B4549" s="272" t="s">
        <v>10731</v>
      </c>
      <c r="C4549" s="272" t="s">
        <v>109</v>
      </c>
      <c r="D4549" s="273" t="s">
        <v>16670</v>
      </c>
      <c r="E4549" s="274" t="s">
        <v>229</v>
      </c>
    </row>
    <row r="4550" spans="1:5" ht="27">
      <c r="A4550" s="271">
        <v>86938</v>
      </c>
      <c r="B4550" s="272" t="s">
        <v>10732</v>
      </c>
      <c r="C4550" s="272" t="s">
        <v>109</v>
      </c>
      <c r="D4550" s="273" t="s">
        <v>23480</v>
      </c>
      <c r="E4550" s="274" t="s">
        <v>229</v>
      </c>
    </row>
    <row r="4551" spans="1:5" ht="40.5">
      <c r="A4551" s="271">
        <v>86939</v>
      </c>
      <c r="B4551" s="272" t="s">
        <v>10733</v>
      </c>
      <c r="C4551" s="272" t="s">
        <v>109</v>
      </c>
      <c r="D4551" s="273" t="s">
        <v>23481</v>
      </c>
      <c r="E4551" s="274" t="s">
        <v>229</v>
      </c>
    </row>
    <row r="4552" spans="1:5" ht="40.5">
      <c r="A4552" s="271">
        <v>86940</v>
      </c>
      <c r="B4552" s="272" t="s">
        <v>10734</v>
      </c>
      <c r="C4552" s="272" t="s">
        <v>109</v>
      </c>
      <c r="D4552" s="273" t="s">
        <v>23482</v>
      </c>
      <c r="E4552" s="274" t="s">
        <v>229</v>
      </c>
    </row>
    <row r="4553" spans="1:5" ht="40.5">
      <c r="A4553" s="271">
        <v>86941</v>
      </c>
      <c r="B4553" s="272" t="s">
        <v>10735</v>
      </c>
      <c r="C4553" s="272" t="s">
        <v>109</v>
      </c>
      <c r="D4553" s="273" t="s">
        <v>23483</v>
      </c>
      <c r="E4553" s="274" t="s">
        <v>229</v>
      </c>
    </row>
    <row r="4554" spans="1:5" ht="40.5">
      <c r="A4554" s="271">
        <v>86942</v>
      </c>
      <c r="B4554" s="272" t="s">
        <v>10736</v>
      </c>
      <c r="C4554" s="272" t="s">
        <v>109</v>
      </c>
      <c r="D4554" s="273" t="s">
        <v>23484</v>
      </c>
      <c r="E4554" s="274" t="s">
        <v>229</v>
      </c>
    </row>
    <row r="4555" spans="1:5" ht="40.5">
      <c r="A4555" s="271">
        <v>86943</v>
      </c>
      <c r="B4555" s="272" t="s">
        <v>10737</v>
      </c>
      <c r="C4555" s="272" t="s">
        <v>109</v>
      </c>
      <c r="D4555" s="273" t="s">
        <v>23485</v>
      </c>
      <c r="E4555" s="274" t="s">
        <v>229</v>
      </c>
    </row>
    <row r="4556" spans="1:5" ht="40.5">
      <c r="A4556" s="271">
        <v>86947</v>
      </c>
      <c r="B4556" s="272" t="s">
        <v>10738</v>
      </c>
      <c r="C4556" s="272" t="s">
        <v>109</v>
      </c>
      <c r="D4556" s="273" t="s">
        <v>23486</v>
      </c>
      <c r="E4556" s="274" t="s">
        <v>229</v>
      </c>
    </row>
    <row r="4557" spans="1:5" ht="40.5">
      <c r="A4557" s="271">
        <v>93396</v>
      </c>
      <c r="B4557" s="272" t="s">
        <v>10739</v>
      </c>
      <c r="C4557" s="272" t="s">
        <v>109</v>
      </c>
      <c r="D4557" s="273" t="s">
        <v>23487</v>
      </c>
      <c r="E4557" s="274" t="s">
        <v>229</v>
      </c>
    </row>
    <row r="4558" spans="1:5" ht="40.5">
      <c r="A4558" s="271">
        <v>93441</v>
      </c>
      <c r="B4558" s="272" t="s">
        <v>10740</v>
      </c>
      <c r="C4558" s="272" t="s">
        <v>109</v>
      </c>
      <c r="D4558" s="273" t="s">
        <v>23488</v>
      </c>
      <c r="E4558" s="274" t="s">
        <v>229</v>
      </c>
    </row>
    <row r="4559" spans="1:5" ht="40.5">
      <c r="A4559" s="271">
        <v>93442</v>
      </c>
      <c r="B4559" s="272" t="s">
        <v>10741</v>
      </c>
      <c r="C4559" s="272" t="s">
        <v>109</v>
      </c>
      <c r="D4559" s="273" t="s">
        <v>23489</v>
      </c>
      <c r="E4559" s="274" t="s">
        <v>229</v>
      </c>
    </row>
    <row r="4560" spans="1:5" ht="27">
      <c r="A4560" s="271">
        <v>95469</v>
      </c>
      <c r="B4560" s="272" t="s">
        <v>10742</v>
      </c>
      <c r="C4560" s="272" t="s">
        <v>109</v>
      </c>
      <c r="D4560" s="273" t="s">
        <v>23490</v>
      </c>
      <c r="E4560" s="274" t="s">
        <v>229</v>
      </c>
    </row>
    <row r="4561" spans="1:5" ht="27">
      <c r="A4561" s="271">
        <v>95470</v>
      </c>
      <c r="B4561" s="272" t="s">
        <v>2350</v>
      </c>
      <c r="C4561" s="272" t="s">
        <v>109</v>
      </c>
      <c r="D4561" s="273" t="s">
        <v>23491</v>
      </c>
      <c r="E4561" s="274" t="s">
        <v>229</v>
      </c>
    </row>
    <row r="4562" spans="1:5" ht="27">
      <c r="A4562" s="271">
        <v>95471</v>
      </c>
      <c r="B4562" s="272" t="s">
        <v>10743</v>
      </c>
      <c r="C4562" s="272" t="s">
        <v>109</v>
      </c>
      <c r="D4562" s="273" t="s">
        <v>23492</v>
      </c>
      <c r="E4562" s="274" t="s">
        <v>229</v>
      </c>
    </row>
    <row r="4563" spans="1:5" ht="40.5">
      <c r="A4563" s="271">
        <v>95472</v>
      </c>
      <c r="B4563" s="272" t="s">
        <v>10744</v>
      </c>
      <c r="C4563" s="272" t="s">
        <v>109</v>
      </c>
      <c r="D4563" s="273" t="s">
        <v>20476</v>
      </c>
      <c r="E4563" s="274" t="s">
        <v>229</v>
      </c>
    </row>
    <row r="4564" spans="1:5" ht="13.5">
      <c r="A4564" s="271">
        <v>95542</v>
      </c>
      <c r="B4564" s="272" t="s">
        <v>10745</v>
      </c>
      <c r="C4564" s="272" t="s">
        <v>109</v>
      </c>
      <c r="D4564" s="273" t="s">
        <v>9893</v>
      </c>
      <c r="E4564" s="274" t="s">
        <v>229</v>
      </c>
    </row>
    <row r="4565" spans="1:5" ht="13.5">
      <c r="A4565" s="271">
        <v>95543</v>
      </c>
      <c r="B4565" s="272" t="s">
        <v>10746</v>
      </c>
      <c r="C4565" s="272" t="s">
        <v>109</v>
      </c>
      <c r="D4565" s="273" t="s">
        <v>20120</v>
      </c>
      <c r="E4565" s="274" t="s">
        <v>229</v>
      </c>
    </row>
    <row r="4566" spans="1:5" ht="13.5">
      <c r="A4566" s="271">
        <v>95544</v>
      </c>
      <c r="B4566" s="272" t="s">
        <v>10747</v>
      </c>
      <c r="C4566" s="272" t="s">
        <v>109</v>
      </c>
      <c r="D4566" s="273" t="s">
        <v>11497</v>
      </c>
      <c r="E4566" s="274" t="s">
        <v>229</v>
      </c>
    </row>
    <row r="4567" spans="1:5" ht="13.5">
      <c r="A4567" s="271">
        <v>95545</v>
      </c>
      <c r="B4567" s="272" t="s">
        <v>10748</v>
      </c>
      <c r="C4567" s="272" t="s">
        <v>109</v>
      </c>
      <c r="D4567" s="273" t="s">
        <v>23493</v>
      </c>
      <c r="E4567" s="274" t="s">
        <v>229</v>
      </c>
    </row>
    <row r="4568" spans="1:5" ht="27">
      <c r="A4568" s="271">
        <v>95546</v>
      </c>
      <c r="B4568" s="272" t="s">
        <v>10749</v>
      </c>
      <c r="C4568" s="272" t="s">
        <v>109</v>
      </c>
      <c r="D4568" s="273" t="s">
        <v>23494</v>
      </c>
      <c r="E4568" s="274" t="s">
        <v>229</v>
      </c>
    </row>
    <row r="4569" spans="1:5" ht="27">
      <c r="A4569" s="271">
        <v>95547</v>
      </c>
      <c r="B4569" s="272" t="s">
        <v>10750</v>
      </c>
      <c r="C4569" s="272" t="s">
        <v>109</v>
      </c>
      <c r="D4569" s="273" t="s">
        <v>16195</v>
      </c>
      <c r="E4569" s="274" t="s">
        <v>229</v>
      </c>
    </row>
    <row r="4570" spans="1:5" ht="13.5">
      <c r="A4570" s="271">
        <v>100848</v>
      </c>
      <c r="B4570" s="272" t="s">
        <v>10751</v>
      </c>
      <c r="C4570" s="272" t="s">
        <v>109</v>
      </c>
      <c r="D4570" s="273" t="s">
        <v>23495</v>
      </c>
      <c r="E4570" s="274" t="s">
        <v>229</v>
      </c>
    </row>
    <row r="4571" spans="1:5" ht="13.5">
      <c r="A4571" s="271">
        <v>100849</v>
      </c>
      <c r="B4571" s="272" t="s">
        <v>10752</v>
      </c>
      <c r="C4571" s="272" t="s">
        <v>109</v>
      </c>
      <c r="D4571" s="273" t="s">
        <v>10550</v>
      </c>
      <c r="E4571" s="274" t="s">
        <v>229</v>
      </c>
    </row>
    <row r="4572" spans="1:5" ht="13.5">
      <c r="A4572" s="271">
        <v>100851</v>
      </c>
      <c r="B4572" s="272" t="s">
        <v>10753</v>
      </c>
      <c r="C4572" s="272" t="s">
        <v>109</v>
      </c>
      <c r="D4572" s="273" t="s">
        <v>23496</v>
      </c>
      <c r="E4572" s="274" t="s">
        <v>229</v>
      </c>
    </row>
    <row r="4573" spans="1:5" ht="27">
      <c r="A4573" s="271">
        <v>100852</v>
      </c>
      <c r="B4573" s="272" t="s">
        <v>10754</v>
      </c>
      <c r="C4573" s="272" t="s">
        <v>109</v>
      </c>
      <c r="D4573" s="273" t="s">
        <v>23497</v>
      </c>
      <c r="E4573" s="274" t="s">
        <v>229</v>
      </c>
    </row>
    <row r="4574" spans="1:5" ht="13.5">
      <c r="A4574" s="271">
        <v>100854</v>
      </c>
      <c r="B4574" s="272" t="s">
        <v>10755</v>
      </c>
      <c r="C4574" s="272" t="s">
        <v>109</v>
      </c>
      <c r="D4574" s="273" t="s">
        <v>23498</v>
      </c>
      <c r="E4574" s="274" t="s">
        <v>229</v>
      </c>
    </row>
    <row r="4575" spans="1:5" ht="27">
      <c r="A4575" s="271">
        <v>100855</v>
      </c>
      <c r="B4575" s="272" t="s">
        <v>10756</v>
      </c>
      <c r="C4575" s="272" t="s">
        <v>109</v>
      </c>
      <c r="D4575" s="273" t="s">
        <v>23493</v>
      </c>
      <c r="E4575" s="274" t="s">
        <v>229</v>
      </c>
    </row>
    <row r="4576" spans="1:5" ht="13.5">
      <c r="A4576" s="271">
        <v>100856</v>
      </c>
      <c r="B4576" s="272" t="s">
        <v>10757</v>
      </c>
      <c r="C4576" s="272" t="s">
        <v>109</v>
      </c>
      <c r="D4576" s="273" t="s">
        <v>23499</v>
      </c>
      <c r="E4576" s="274" t="s">
        <v>229</v>
      </c>
    </row>
    <row r="4577" spans="1:5" ht="13.5">
      <c r="A4577" s="271">
        <v>100857</v>
      </c>
      <c r="B4577" s="272" t="s">
        <v>10759</v>
      </c>
      <c r="C4577" s="272" t="s">
        <v>109</v>
      </c>
      <c r="D4577" s="273" t="s">
        <v>20008</v>
      </c>
      <c r="E4577" s="274" t="s">
        <v>229</v>
      </c>
    </row>
    <row r="4578" spans="1:5" ht="13.5">
      <c r="A4578" s="271">
        <v>100858</v>
      </c>
      <c r="B4578" s="272" t="s">
        <v>10760</v>
      </c>
      <c r="C4578" s="272" t="s">
        <v>109</v>
      </c>
      <c r="D4578" s="273" t="s">
        <v>23500</v>
      </c>
      <c r="E4578" s="274" t="s">
        <v>229</v>
      </c>
    </row>
    <row r="4579" spans="1:5" ht="27">
      <c r="A4579" s="271">
        <v>100860</v>
      </c>
      <c r="B4579" s="272" t="s">
        <v>10761</v>
      </c>
      <c r="C4579" s="272" t="s">
        <v>109</v>
      </c>
      <c r="D4579" s="273" t="s">
        <v>14239</v>
      </c>
      <c r="E4579" s="274" t="s">
        <v>229</v>
      </c>
    </row>
    <row r="4580" spans="1:5" ht="27">
      <c r="A4580" s="271">
        <v>100861</v>
      </c>
      <c r="B4580" s="272" t="s">
        <v>10762</v>
      </c>
      <c r="C4580" s="272" t="s">
        <v>109</v>
      </c>
      <c r="D4580" s="273" t="s">
        <v>10341</v>
      </c>
      <c r="E4580" s="274" t="s">
        <v>229</v>
      </c>
    </row>
    <row r="4581" spans="1:5" ht="27">
      <c r="A4581" s="271">
        <v>100862</v>
      </c>
      <c r="B4581" s="272" t="s">
        <v>10763</v>
      </c>
      <c r="C4581" s="272" t="s">
        <v>109</v>
      </c>
      <c r="D4581" s="273" t="s">
        <v>23501</v>
      </c>
      <c r="E4581" s="274" t="s">
        <v>229</v>
      </c>
    </row>
    <row r="4582" spans="1:5" ht="27">
      <c r="A4582" s="271">
        <v>100863</v>
      </c>
      <c r="B4582" s="272" t="s">
        <v>10764</v>
      </c>
      <c r="C4582" s="272" t="s">
        <v>109</v>
      </c>
      <c r="D4582" s="273" t="s">
        <v>23502</v>
      </c>
      <c r="E4582" s="274" t="s">
        <v>229</v>
      </c>
    </row>
    <row r="4583" spans="1:5" ht="27">
      <c r="A4583" s="271">
        <v>100864</v>
      </c>
      <c r="B4583" s="272" t="s">
        <v>10765</v>
      </c>
      <c r="C4583" s="272" t="s">
        <v>109</v>
      </c>
      <c r="D4583" s="273" t="s">
        <v>23503</v>
      </c>
      <c r="E4583" s="274" t="s">
        <v>229</v>
      </c>
    </row>
    <row r="4584" spans="1:5" ht="27">
      <c r="A4584" s="271">
        <v>100865</v>
      </c>
      <c r="B4584" s="272" t="s">
        <v>10766</v>
      </c>
      <c r="C4584" s="272" t="s">
        <v>109</v>
      </c>
      <c r="D4584" s="273" t="s">
        <v>23504</v>
      </c>
      <c r="E4584" s="274" t="s">
        <v>229</v>
      </c>
    </row>
    <row r="4585" spans="1:5" ht="27">
      <c r="A4585" s="271">
        <v>100866</v>
      </c>
      <c r="B4585" s="272" t="s">
        <v>10767</v>
      </c>
      <c r="C4585" s="272" t="s">
        <v>109</v>
      </c>
      <c r="D4585" s="273" t="s">
        <v>23505</v>
      </c>
      <c r="E4585" s="274" t="s">
        <v>229</v>
      </c>
    </row>
    <row r="4586" spans="1:5" ht="27">
      <c r="A4586" s="271">
        <v>100867</v>
      </c>
      <c r="B4586" s="272" t="s">
        <v>10768</v>
      </c>
      <c r="C4586" s="272" t="s">
        <v>109</v>
      </c>
      <c r="D4586" s="273" t="s">
        <v>23506</v>
      </c>
      <c r="E4586" s="274" t="s">
        <v>229</v>
      </c>
    </row>
    <row r="4587" spans="1:5" ht="27">
      <c r="A4587" s="271">
        <v>100868</v>
      </c>
      <c r="B4587" s="272" t="s">
        <v>10769</v>
      </c>
      <c r="C4587" s="272" t="s">
        <v>109</v>
      </c>
      <c r="D4587" s="273" t="s">
        <v>23507</v>
      </c>
      <c r="E4587" s="274" t="s">
        <v>229</v>
      </c>
    </row>
    <row r="4588" spans="1:5" ht="27">
      <c r="A4588" s="271">
        <v>100869</v>
      </c>
      <c r="B4588" s="272" t="s">
        <v>10770</v>
      </c>
      <c r="C4588" s="272" t="s">
        <v>109</v>
      </c>
      <c r="D4588" s="273" t="s">
        <v>23508</v>
      </c>
      <c r="E4588" s="274" t="s">
        <v>229</v>
      </c>
    </row>
    <row r="4589" spans="1:5" ht="27">
      <c r="A4589" s="271">
        <v>100870</v>
      </c>
      <c r="B4589" s="272" t="s">
        <v>10771</v>
      </c>
      <c r="C4589" s="272" t="s">
        <v>109</v>
      </c>
      <c r="D4589" s="273" t="s">
        <v>23509</v>
      </c>
      <c r="E4589" s="274" t="s">
        <v>229</v>
      </c>
    </row>
    <row r="4590" spans="1:5" ht="27">
      <c r="A4590" s="271">
        <v>100871</v>
      </c>
      <c r="B4590" s="272" t="s">
        <v>10772</v>
      </c>
      <c r="C4590" s="272" t="s">
        <v>109</v>
      </c>
      <c r="D4590" s="273" t="s">
        <v>23510</v>
      </c>
      <c r="E4590" s="274" t="s">
        <v>229</v>
      </c>
    </row>
    <row r="4591" spans="1:5" ht="27">
      <c r="A4591" s="271">
        <v>100872</v>
      </c>
      <c r="B4591" s="272" t="s">
        <v>10773</v>
      </c>
      <c r="C4591" s="272" t="s">
        <v>109</v>
      </c>
      <c r="D4591" s="273" t="s">
        <v>23511</v>
      </c>
      <c r="E4591" s="274" t="s">
        <v>229</v>
      </c>
    </row>
    <row r="4592" spans="1:5" ht="27">
      <c r="A4592" s="271">
        <v>100873</v>
      </c>
      <c r="B4592" s="272" t="s">
        <v>10774</v>
      </c>
      <c r="C4592" s="272" t="s">
        <v>109</v>
      </c>
      <c r="D4592" s="273" t="s">
        <v>23512</v>
      </c>
      <c r="E4592" s="274" t="s">
        <v>229</v>
      </c>
    </row>
    <row r="4593" spans="1:5" ht="13.5">
      <c r="A4593" s="271">
        <v>100874</v>
      </c>
      <c r="B4593" s="272" t="s">
        <v>10775</v>
      </c>
      <c r="C4593" s="272" t="s">
        <v>109</v>
      </c>
      <c r="D4593" s="273" t="s">
        <v>23505</v>
      </c>
      <c r="E4593" s="274" t="s">
        <v>229</v>
      </c>
    </row>
    <row r="4594" spans="1:5" ht="27">
      <c r="A4594" s="271">
        <v>100875</v>
      </c>
      <c r="B4594" s="272" t="s">
        <v>10776</v>
      </c>
      <c r="C4594" s="272" t="s">
        <v>109</v>
      </c>
      <c r="D4594" s="273" t="s">
        <v>23513</v>
      </c>
      <c r="E4594" s="274" t="s">
        <v>229</v>
      </c>
    </row>
    <row r="4595" spans="1:5" ht="27">
      <c r="A4595" s="271">
        <v>98052</v>
      </c>
      <c r="B4595" s="272" t="s">
        <v>13549</v>
      </c>
      <c r="C4595" s="272" t="s">
        <v>109</v>
      </c>
      <c r="D4595" s="273" t="s">
        <v>23514</v>
      </c>
      <c r="E4595" s="274" t="s">
        <v>229</v>
      </c>
    </row>
    <row r="4596" spans="1:5" ht="27">
      <c r="A4596" s="271">
        <v>98053</v>
      </c>
      <c r="B4596" s="272" t="s">
        <v>13550</v>
      </c>
      <c r="C4596" s="272" t="s">
        <v>109</v>
      </c>
      <c r="D4596" s="273" t="s">
        <v>23515</v>
      </c>
      <c r="E4596" s="274" t="s">
        <v>229</v>
      </c>
    </row>
    <row r="4597" spans="1:5" ht="27">
      <c r="A4597" s="271">
        <v>98054</v>
      </c>
      <c r="B4597" s="272" t="s">
        <v>13551</v>
      </c>
      <c r="C4597" s="272" t="s">
        <v>109</v>
      </c>
      <c r="D4597" s="273" t="s">
        <v>23516</v>
      </c>
      <c r="E4597" s="274" t="s">
        <v>229</v>
      </c>
    </row>
    <row r="4598" spans="1:5" ht="27">
      <c r="A4598" s="271">
        <v>98055</v>
      </c>
      <c r="B4598" s="272" t="s">
        <v>13552</v>
      </c>
      <c r="C4598" s="272" t="s">
        <v>109</v>
      </c>
      <c r="D4598" s="273" t="s">
        <v>23517</v>
      </c>
      <c r="E4598" s="274" t="s">
        <v>229</v>
      </c>
    </row>
    <row r="4599" spans="1:5" ht="27">
      <c r="A4599" s="271">
        <v>98056</v>
      </c>
      <c r="B4599" s="272" t="s">
        <v>13553</v>
      </c>
      <c r="C4599" s="272" t="s">
        <v>109</v>
      </c>
      <c r="D4599" s="273" t="s">
        <v>23518</v>
      </c>
      <c r="E4599" s="274" t="s">
        <v>229</v>
      </c>
    </row>
    <row r="4600" spans="1:5" ht="27">
      <c r="A4600" s="271">
        <v>98057</v>
      </c>
      <c r="B4600" s="272" t="s">
        <v>13554</v>
      </c>
      <c r="C4600" s="272" t="s">
        <v>109</v>
      </c>
      <c r="D4600" s="273" t="s">
        <v>23519</v>
      </c>
      <c r="E4600" s="274" t="s">
        <v>229</v>
      </c>
    </row>
    <row r="4601" spans="1:5" ht="27">
      <c r="A4601" s="271">
        <v>98058</v>
      </c>
      <c r="B4601" s="272" t="s">
        <v>13555</v>
      </c>
      <c r="C4601" s="272" t="s">
        <v>109</v>
      </c>
      <c r="D4601" s="273" t="s">
        <v>23520</v>
      </c>
      <c r="E4601" s="274" t="s">
        <v>229</v>
      </c>
    </row>
    <row r="4602" spans="1:5" ht="27">
      <c r="A4602" s="271">
        <v>98059</v>
      </c>
      <c r="B4602" s="272" t="s">
        <v>13556</v>
      </c>
      <c r="C4602" s="272" t="s">
        <v>109</v>
      </c>
      <c r="D4602" s="273" t="s">
        <v>23521</v>
      </c>
      <c r="E4602" s="274" t="s">
        <v>229</v>
      </c>
    </row>
    <row r="4603" spans="1:5" ht="27">
      <c r="A4603" s="271">
        <v>98060</v>
      </c>
      <c r="B4603" s="272" t="s">
        <v>13557</v>
      </c>
      <c r="C4603" s="272" t="s">
        <v>109</v>
      </c>
      <c r="D4603" s="273" t="s">
        <v>23522</v>
      </c>
      <c r="E4603" s="274" t="s">
        <v>229</v>
      </c>
    </row>
    <row r="4604" spans="1:5" ht="27">
      <c r="A4604" s="271">
        <v>98061</v>
      </c>
      <c r="B4604" s="272" t="s">
        <v>13558</v>
      </c>
      <c r="C4604" s="272" t="s">
        <v>109</v>
      </c>
      <c r="D4604" s="273" t="s">
        <v>23523</v>
      </c>
      <c r="E4604" s="274" t="s">
        <v>229</v>
      </c>
    </row>
    <row r="4605" spans="1:5" ht="27">
      <c r="A4605" s="271">
        <v>98062</v>
      </c>
      <c r="B4605" s="272" t="s">
        <v>13559</v>
      </c>
      <c r="C4605" s="272" t="s">
        <v>109</v>
      </c>
      <c r="D4605" s="273" t="s">
        <v>23524</v>
      </c>
      <c r="E4605" s="274" t="s">
        <v>229</v>
      </c>
    </row>
    <row r="4606" spans="1:5" ht="27">
      <c r="A4606" s="271">
        <v>98063</v>
      </c>
      <c r="B4606" s="272" t="s">
        <v>13560</v>
      </c>
      <c r="C4606" s="272" t="s">
        <v>109</v>
      </c>
      <c r="D4606" s="273" t="s">
        <v>23525</v>
      </c>
      <c r="E4606" s="274" t="s">
        <v>229</v>
      </c>
    </row>
    <row r="4607" spans="1:5" ht="27">
      <c r="A4607" s="271">
        <v>98064</v>
      </c>
      <c r="B4607" s="272" t="s">
        <v>13561</v>
      </c>
      <c r="C4607" s="272" t="s">
        <v>109</v>
      </c>
      <c r="D4607" s="273" t="s">
        <v>23526</v>
      </c>
      <c r="E4607" s="274" t="s">
        <v>229</v>
      </c>
    </row>
    <row r="4608" spans="1:5" ht="27">
      <c r="A4608" s="271">
        <v>98065</v>
      </c>
      <c r="B4608" s="272" t="s">
        <v>13562</v>
      </c>
      <c r="C4608" s="272" t="s">
        <v>109</v>
      </c>
      <c r="D4608" s="273" t="s">
        <v>23527</v>
      </c>
      <c r="E4608" s="274" t="s">
        <v>229</v>
      </c>
    </row>
    <row r="4609" spans="1:5" ht="27">
      <c r="A4609" s="271">
        <v>98066</v>
      </c>
      <c r="B4609" s="272" t="s">
        <v>13563</v>
      </c>
      <c r="C4609" s="272" t="s">
        <v>109</v>
      </c>
      <c r="D4609" s="273" t="s">
        <v>23528</v>
      </c>
      <c r="E4609" s="274" t="s">
        <v>229</v>
      </c>
    </row>
    <row r="4610" spans="1:5" ht="27">
      <c r="A4610" s="271">
        <v>98067</v>
      </c>
      <c r="B4610" s="272" t="s">
        <v>13564</v>
      </c>
      <c r="C4610" s="272" t="s">
        <v>109</v>
      </c>
      <c r="D4610" s="273" t="s">
        <v>23529</v>
      </c>
      <c r="E4610" s="274" t="s">
        <v>229</v>
      </c>
    </row>
    <row r="4611" spans="1:5" ht="27">
      <c r="A4611" s="271">
        <v>98068</v>
      </c>
      <c r="B4611" s="272" t="s">
        <v>13565</v>
      </c>
      <c r="C4611" s="272" t="s">
        <v>109</v>
      </c>
      <c r="D4611" s="273" t="s">
        <v>23530</v>
      </c>
      <c r="E4611" s="274" t="s">
        <v>229</v>
      </c>
    </row>
    <row r="4612" spans="1:5" ht="27">
      <c r="A4612" s="271">
        <v>98069</v>
      </c>
      <c r="B4612" s="272" t="s">
        <v>13566</v>
      </c>
      <c r="C4612" s="272" t="s">
        <v>109</v>
      </c>
      <c r="D4612" s="273" t="s">
        <v>23531</v>
      </c>
      <c r="E4612" s="274" t="s">
        <v>229</v>
      </c>
    </row>
    <row r="4613" spans="1:5" ht="27">
      <c r="A4613" s="271">
        <v>98070</v>
      </c>
      <c r="B4613" s="272" t="s">
        <v>13567</v>
      </c>
      <c r="C4613" s="272" t="s">
        <v>109</v>
      </c>
      <c r="D4613" s="273" t="s">
        <v>23532</v>
      </c>
      <c r="E4613" s="274" t="s">
        <v>229</v>
      </c>
    </row>
    <row r="4614" spans="1:5" ht="40.5">
      <c r="A4614" s="271">
        <v>98071</v>
      </c>
      <c r="B4614" s="272" t="s">
        <v>13568</v>
      </c>
      <c r="C4614" s="272" t="s">
        <v>109</v>
      </c>
      <c r="D4614" s="273" t="s">
        <v>23533</v>
      </c>
      <c r="E4614" s="274" t="s">
        <v>229</v>
      </c>
    </row>
    <row r="4615" spans="1:5" ht="27">
      <c r="A4615" s="271">
        <v>98072</v>
      </c>
      <c r="B4615" s="272" t="s">
        <v>13569</v>
      </c>
      <c r="C4615" s="272" t="s">
        <v>109</v>
      </c>
      <c r="D4615" s="273" t="s">
        <v>23534</v>
      </c>
      <c r="E4615" s="274" t="s">
        <v>229</v>
      </c>
    </row>
    <row r="4616" spans="1:5" ht="27">
      <c r="A4616" s="271">
        <v>98073</v>
      </c>
      <c r="B4616" s="272" t="s">
        <v>13570</v>
      </c>
      <c r="C4616" s="272" t="s">
        <v>109</v>
      </c>
      <c r="D4616" s="273" t="s">
        <v>23535</v>
      </c>
      <c r="E4616" s="274" t="s">
        <v>229</v>
      </c>
    </row>
    <row r="4617" spans="1:5" ht="27">
      <c r="A4617" s="271">
        <v>98074</v>
      </c>
      <c r="B4617" s="272" t="s">
        <v>13571</v>
      </c>
      <c r="C4617" s="272" t="s">
        <v>109</v>
      </c>
      <c r="D4617" s="273" t="s">
        <v>23536</v>
      </c>
      <c r="E4617" s="274" t="s">
        <v>229</v>
      </c>
    </row>
    <row r="4618" spans="1:5" ht="27">
      <c r="A4618" s="271">
        <v>98075</v>
      </c>
      <c r="B4618" s="272" t="s">
        <v>13572</v>
      </c>
      <c r="C4618" s="272" t="s">
        <v>109</v>
      </c>
      <c r="D4618" s="273" t="s">
        <v>23537</v>
      </c>
      <c r="E4618" s="274" t="s">
        <v>229</v>
      </c>
    </row>
    <row r="4619" spans="1:5" ht="27">
      <c r="A4619" s="271">
        <v>98076</v>
      </c>
      <c r="B4619" s="272" t="s">
        <v>13573</v>
      </c>
      <c r="C4619" s="272" t="s">
        <v>109</v>
      </c>
      <c r="D4619" s="273" t="s">
        <v>23538</v>
      </c>
      <c r="E4619" s="274" t="s">
        <v>229</v>
      </c>
    </row>
    <row r="4620" spans="1:5" ht="40.5">
      <c r="A4620" s="271">
        <v>98077</v>
      </c>
      <c r="B4620" s="272" t="s">
        <v>13574</v>
      </c>
      <c r="C4620" s="272" t="s">
        <v>109</v>
      </c>
      <c r="D4620" s="273" t="s">
        <v>23539</v>
      </c>
      <c r="E4620" s="274" t="s">
        <v>229</v>
      </c>
    </row>
    <row r="4621" spans="1:5" ht="27">
      <c r="A4621" s="271">
        <v>98078</v>
      </c>
      <c r="B4621" s="272" t="s">
        <v>13575</v>
      </c>
      <c r="C4621" s="272" t="s">
        <v>109</v>
      </c>
      <c r="D4621" s="273" t="s">
        <v>23540</v>
      </c>
      <c r="E4621" s="274" t="s">
        <v>229</v>
      </c>
    </row>
    <row r="4622" spans="1:5" ht="27">
      <c r="A4622" s="271">
        <v>98079</v>
      </c>
      <c r="B4622" s="272" t="s">
        <v>13576</v>
      </c>
      <c r="C4622" s="272" t="s">
        <v>109</v>
      </c>
      <c r="D4622" s="273" t="s">
        <v>23541</v>
      </c>
      <c r="E4622" s="274" t="s">
        <v>229</v>
      </c>
    </row>
    <row r="4623" spans="1:5" ht="27">
      <c r="A4623" s="271">
        <v>98080</v>
      </c>
      <c r="B4623" s="272" t="s">
        <v>13577</v>
      </c>
      <c r="C4623" s="272" t="s">
        <v>109</v>
      </c>
      <c r="D4623" s="273" t="s">
        <v>23542</v>
      </c>
      <c r="E4623" s="274" t="s">
        <v>229</v>
      </c>
    </row>
    <row r="4624" spans="1:5" ht="27">
      <c r="A4624" s="271">
        <v>98081</v>
      </c>
      <c r="B4624" s="272" t="s">
        <v>13578</v>
      </c>
      <c r="C4624" s="272" t="s">
        <v>109</v>
      </c>
      <c r="D4624" s="273" t="s">
        <v>23543</v>
      </c>
      <c r="E4624" s="274" t="s">
        <v>229</v>
      </c>
    </row>
    <row r="4625" spans="1:5" ht="27">
      <c r="A4625" s="271">
        <v>98082</v>
      </c>
      <c r="B4625" s="272" t="s">
        <v>13579</v>
      </c>
      <c r="C4625" s="272" t="s">
        <v>109</v>
      </c>
      <c r="D4625" s="273" t="s">
        <v>23544</v>
      </c>
      <c r="E4625" s="274" t="s">
        <v>229</v>
      </c>
    </row>
    <row r="4626" spans="1:5" ht="27">
      <c r="A4626" s="271">
        <v>98083</v>
      </c>
      <c r="B4626" s="272" t="s">
        <v>13580</v>
      </c>
      <c r="C4626" s="272" t="s">
        <v>109</v>
      </c>
      <c r="D4626" s="273" t="s">
        <v>23545</v>
      </c>
      <c r="E4626" s="274" t="s">
        <v>229</v>
      </c>
    </row>
    <row r="4627" spans="1:5" ht="27">
      <c r="A4627" s="271">
        <v>98084</v>
      </c>
      <c r="B4627" s="272" t="s">
        <v>13581</v>
      </c>
      <c r="C4627" s="272" t="s">
        <v>109</v>
      </c>
      <c r="D4627" s="273" t="s">
        <v>23546</v>
      </c>
      <c r="E4627" s="274" t="s">
        <v>229</v>
      </c>
    </row>
    <row r="4628" spans="1:5" ht="27">
      <c r="A4628" s="271">
        <v>98085</v>
      </c>
      <c r="B4628" s="272" t="s">
        <v>13582</v>
      </c>
      <c r="C4628" s="272" t="s">
        <v>109</v>
      </c>
      <c r="D4628" s="273" t="s">
        <v>23547</v>
      </c>
      <c r="E4628" s="274" t="s">
        <v>229</v>
      </c>
    </row>
    <row r="4629" spans="1:5" ht="27">
      <c r="A4629" s="271">
        <v>98086</v>
      </c>
      <c r="B4629" s="272" t="s">
        <v>13583</v>
      </c>
      <c r="C4629" s="272" t="s">
        <v>109</v>
      </c>
      <c r="D4629" s="273" t="s">
        <v>23548</v>
      </c>
      <c r="E4629" s="274" t="s">
        <v>229</v>
      </c>
    </row>
    <row r="4630" spans="1:5" ht="27">
      <c r="A4630" s="271">
        <v>98087</v>
      </c>
      <c r="B4630" s="272" t="s">
        <v>13584</v>
      </c>
      <c r="C4630" s="272" t="s">
        <v>109</v>
      </c>
      <c r="D4630" s="273" t="s">
        <v>23549</v>
      </c>
      <c r="E4630" s="274" t="s">
        <v>229</v>
      </c>
    </row>
    <row r="4631" spans="1:5" ht="27">
      <c r="A4631" s="271">
        <v>98088</v>
      </c>
      <c r="B4631" s="272" t="s">
        <v>13585</v>
      </c>
      <c r="C4631" s="272" t="s">
        <v>109</v>
      </c>
      <c r="D4631" s="273" t="s">
        <v>23550</v>
      </c>
      <c r="E4631" s="274" t="s">
        <v>229</v>
      </c>
    </row>
    <row r="4632" spans="1:5" ht="27">
      <c r="A4632" s="271">
        <v>98089</v>
      </c>
      <c r="B4632" s="272" t="s">
        <v>13586</v>
      </c>
      <c r="C4632" s="272" t="s">
        <v>109</v>
      </c>
      <c r="D4632" s="273" t="s">
        <v>23551</v>
      </c>
      <c r="E4632" s="274" t="s">
        <v>229</v>
      </c>
    </row>
    <row r="4633" spans="1:5" ht="27">
      <c r="A4633" s="271">
        <v>98090</v>
      </c>
      <c r="B4633" s="272" t="s">
        <v>13587</v>
      </c>
      <c r="C4633" s="272" t="s">
        <v>109</v>
      </c>
      <c r="D4633" s="273" t="s">
        <v>23552</v>
      </c>
      <c r="E4633" s="274" t="s">
        <v>229</v>
      </c>
    </row>
    <row r="4634" spans="1:5" ht="27">
      <c r="A4634" s="271">
        <v>98091</v>
      </c>
      <c r="B4634" s="272" t="s">
        <v>13588</v>
      </c>
      <c r="C4634" s="272" t="s">
        <v>109</v>
      </c>
      <c r="D4634" s="273" t="s">
        <v>23553</v>
      </c>
      <c r="E4634" s="274" t="s">
        <v>229</v>
      </c>
    </row>
    <row r="4635" spans="1:5" ht="27">
      <c r="A4635" s="271">
        <v>98092</v>
      </c>
      <c r="B4635" s="272" t="s">
        <v>13589</v>
      </c>
      <c r="C4635" s="272" t="s">
        <v>109</v>
      </c>
      <c r="D4635" s="273" t="s">
        <v>23554</v>
      </c>
      <c r="E4635" s="274" t="s">
        <v>229</v>
      </c>
    </row>
    <row r="4636" spans="1:5" ht="27">
      <c r="A4636" s="271">
        <v>98093</v>
      </c>
      <c r="B4636" s="272" t="s">
        <v>13590</v>
      </c>
      <c r="C4636" s="272" t="s">
        <v>109</v>
      </c>
      <c r="D4636" s="273" t="s">
        <v>23555</v>
      </c>
      <c r="E4636" s="274" t="s">
        <v>229</v>
      </c>
    </row>
    <row r="4637" spans="1:5" ht="27">
      <c r="A4637" s="271">
        <v>98094</v>
      </c>
      <c r="B4637" s="272" t="s">
        <v>13591</v>
      </c>
      <c r="C4637" s="272" t="s">
        <v>109</v>
      </c>
      <c r="D4637" s="273" t="s">
        <v>23556</v>
      </c>
      <c r="E4637" s="274" t="s">
        <v>229</v>
      </c>
    </row>
    <row r="4638" spans="1:5" ht="27">
      <c r="A4638" s="271">
        <v>98099</v>
      </c>
      <c r="B4638" s="272" t="s">
        <v>13592</v>
      </c>
      <c r="C4638" s="272" t="s">
        <v>109</v>
      </c>
      <c r="D4638" s="273" t="s">
        <v>23557</v>
      </c>
      <c r="E4638" s="274" t="s">
        <v>229</v>
      </c>
    </row>
    <row r="4639" spans="1:5" ht="27">
      <c r="A4639" s="271">
        <v>98100</v>
      </c>
      <c r="B4639" s="272" t="s">
        <v>13593</v>
      </c>
      <c r="C4639" s="272" t="s">
        <v>109</v>
      </c>
      <c r="D4639" s="273" t="s">
        <v>23558</v>
      </c>
      <c r="E4639" s="274" t="s">
        <v>229</v>
      </c>
    </row>
    <row r="4640" spans="1:5" ht="27">
      <c r="A4640" s="271">
        <v>98101</v>
      </c>
      <c r="B4640" s="272" t="s">
        <v>13594</v>
      </c>
      <c r="C4640" s="272" t="s">
        <v>109</v>
      </c>
      <c r="D4640" s="273" t="s">
        <v>23559</v>
      </c>
      <c r="E4640" s="274" t="s">
        <v>229</v>
      </c>
    </row>
    <row r="4641" spans="1:5" ht="40.5">
      <c r="A4641" s="271">
        <v>98109</v>
      </c>
      <c r="B4641" s="272" t="s">
        <v>13595</v>
      </c>
      <c r="C4641" s="272" t="s">
        <v>109</v>
      </c>
      <c r="D4641" s="273" t="s">
        <v>23560</v>
      </c>
      <c r="E4641" s="274" t="s">
        <v>229</v>
      </c>
    </row>
    <row r="4642" spans="1:5" ht="27">
      <c r="A4642" s="271">
        <v>98110</v>
      </c>
      <c r="B4642" s="272" t="s">
        <v>13596</v>
      </c>
      <c r="C4642" s="272" t="s">
        <v>109</v>
      </c>
      <c r="D4642" s="273" t="s">
        <v>23561</v>
      </c>
      <c r="E4642" s="274" t="s">
        <v>229</v>
      </c>
    </row>
    <row r="4643" spans="1:5" ht="27">
      <c r="A4643" s="271">
        <v>98111</v>
      </c>
      <c r="B4643" s="272" t="s">
        <v>13597</v>
      </c>
      <c r="C4643" s="272" t="s">
        <v>109</v>
      </c>
      <c r="D4643" s="273" t="s">
        <v>12470</v>
      </c>
      <c r="E4643" s="274" t="s">
        <v>229</v>
      </c>
    </row>
    <row r="4644" spans="1:5" ht="27">
      <c r="A4644" s="271">
        <v>98112</v>
      </c>
      <c r="B4644" s="272" t="s">
        <v>13598</v>
      </c>
      <c r="C4644" s="272" t="s">
        <v>109</v>
      </c>
      <c r="D4644" s="273" t="s">
        <v>23562</v>
      </c>
      <c r="E4644" s="274" t="s">
        <v>229</v>
      </c>
    </row>
    <row r="4645" spans="1:5" ht="27">
      <c r="A4645" s="271">
        <v>98114</v>
      </c>
      <c r="B4645" s="272" t="s">
        <v>13599</v>
      </c>
      <c r="C4645" s="272" t="s">
        <v>109</v>
      </c>
      <c r="D4645" s="273" t="s">
        <v>23563</v>
      </c>
      <c r="E4645" s="274" t="s">
        <v>229</v>
      </c>
    </row>
    <row r="4646" spans="1:5" ht="27">
      <c r="A4646" s="271">
        <v>98115</v>
      </c>
      <c r="B4646" s="272" t="s">
        <v>13600</v>
      </c>
      <c r="C4646" s="272" t="s">
        <v>109</v>
      </c>
      <c r="D4646" s="273" t="s">
        <v>23564</v>
      </c>
      <c r="E4646" s="274" t="s">
        <v>229</v>
      </c>
    </row>
    <row r="4647" spans="1:5" ht="27">
      <c r="A4647" s="271">
        <v>89957</v>
      </c>
      <c r="B4647" s="272" t="s">
        <v>2351</v>
      </c>
      <c r="C4647" s="272" t="s">
        <v>109</v>
      </c>
      <c r="D4647" s="273" t="s">
        <v>16711</v>
      </c>
      <c r="E4647" s="274" t="s">
        <v>229</v>
      </c>
    </row>
    <row r="4648" spans="1:5" ht="27">
      <c r="A4648" s="271">
        <v>89959</v>
      </c>
      <c r="B4648" s="272" t="s">
        <v>2352</v>
      </c>
      <c r="C4648" s="272" t="s">
        <v>109</v>
      </c>
      <c r="D4648" s="273" t="s">
        <v>23565</v>
      </c>
      <c r="E4648" s="274" t="s">
        <v>229</v>
      </c>
    </row>
    <row r="4649" spans="1:5" ht="27">
      <c r="A4649" s="271">
        <v>89349</v>
      </c>
      <c r="B4649" s="272" t="s">
        <v>2353</v>
      </c>
      <c r="C4649" s="272" t="s">
        <v>109</v>
      </c>
      <c r="D4649" s="273" t="s">
        <v>10610</v>
      </c>
      <c r="E4649" s="274" t="s">
        <v>229</v>
      </c>
    </row>
    <row r="4650" spans="1:5" ht="27">
      <c r="A4650" s="271">
        <v>89351</v>
      </c>
      <c r="B4650" s="272" t="s">
        <v>4325</v>
      </c>
      <c r="C4650" s="272" t="s">
        <v>109</v>
      </c>
      <c r="D4650" s="273" t="s">
        <v>22975</v>
      </c>
      <c r="E4650" s="274" t="s">
        <v>229</v>
      </c>
    </row>
    <row r="4651" spans="1:5" ht="27">
      <c r="A4651" s="271">
        <v>89352</v>
      </c>
      <c r="B4651" s="272" t="s">
        <v>2354</v>
      </c>
      <c r="C4651" s="272" t="s">
        <v>109</v>
      </c>
      <c r="D4651" s="273" t="s">
        <v>14152</v>
      </c>
      <c r="E4651" s="274" t="s">
        <v>229</v>
      </c>
    </row>
    <row r="4652" spans="1:5" ht="27">
      <c r="A4652" s="271">
        <v>89353</v>
      </c>
      <c r="B4652" s="272" t="s">
        <v>110</v>
      </c>
      <c r="C4652" s="272" t="s">
        <v>109</v>
      </c>
      <c r="D4652" s="273" t="s">
        <v>16363</v>
      </c>
      <c r="E4652" s="274" t="s">
        <v>229</v>
      </c>
    </row>
    <row r="4653" spans="1:5" ht="27">
      <c r="A4653" s="271">
        <v>89354</v>
      </c>
      <c r="B4653" s="272" t="s">
        <v>2355</v>
      </c>
      <c r="C4653" s="272" t="s">
        <v>109</v>
      </c>
      <c r="D4653" s="273" t="s">
        <v>23566</v>
      </c>
      <c r="E4653" s="274" t="s">
        <v>229</v>
      </c>
    </row>
    <row r="4654" spans="1:5" ht="27">
      <c r="A4654" s="271">
        <v>89969</v>
      </c>
      <c r="B4654" s="272" t="s">
        <v>2356</v>
      </c>
      <c r="C4654" s="272" t="s">
        <v>109</v>
      </c>
      <c r="D4654" s="273" t="s">
        <v>23567</v>
      </c>
      <c r="E4654" s="274" t="s">
        <v>229</v>
      </c>
    </row>
    <row r="4655" spans="1:5" ht="27">
      <c r="A4655" s="271">
        <v>89970</v>
      </c>
      <c r="B4655" s="272" t="s">
        <v>2357</v>
      </c>
      <c r="C4655" s="272" t="s">
        <v>109</v>
      </c>
      <c r="D4655" s="273" t="s">
        <v>12343</v>
      </c>
      <c r="E4655" s="274" t="s">
        <v>229</v>
      </c>
    </row>
    <row r="4656" spans="1:5" ht="27">
      <c r="A4656" s="271">
        <v>89971</v>
      </c>
      <c r="B4656" s="272" t="s">
        <v>2358</v>
      </c>
      <c r="C4656" s="272" t="s">
        <v>109</v>
      </c>
      <c r="D4656" s="273" t="s">
        <v>14148</v>
      </c>
      <c r="E4656" s="274" t="s">
        <v>229</v>
      </c>
    </row>
    <row r="4657" spans="1:5" ht="27">
      <c r="A4657" s="271">
        <v>89972</v>
      </c>
      <c r="B4657" s="272" t="s">
        <v>2359</v>
      </c>
      <c r="C4657" s="272" t="s">
        <v>109</v>
      </c>
      <c r="D4657" s="273" t="s">
        <v>23568</v>
      </c>
      <c r="E4657" s="274" t="s">
        <v>229</v>
      </c>
    </row>
    <row r="4658" spans="1:5" ht="27">
      <c r="A4658" s="271">
        <v>89973</v>
      </c>
      <c r="B4658" s="272" t="s">
        <v>2360</v>
      </c>
      <c r="C4658" s="272" t="s">
        <v>109</v>
      </c>
      <c r="D4658" s="273" t="s">
        <v>23569</v>
      </c>
      <c r="E4658" s="274" t="s">
        <v>229</v>
      </c>
    </row>
    <row r="4659" spans="1:5" ht="27">
      <c r="A4659" s="271">
        <v>89974</v>
      </c>
      <c r="B4659" s="272" t="s">
        <v>2361</v>
      </c>
      <c r="C4659" s="272" t="s">
        <v>109</v>
      </c>
      <c r="D4659" s="273" t="s">
        <v>23570</v>
      </c>
      <c r="E4659" s="274" t="s">
        <v>229</v>
      </c>
    </row>
    <row r="4660" spans="1:5" ht="27">
      <c r="A4660" s="271">
        <v>89984</v>
      </c>
      <c r="B4660" s="272" t="s">
        <v>2362</v>
      </c>
      <c r="C4660" s="272" t="s">
        <v>109</v>
      </c>
      <c r="D4660" s="273" t="s">
        <v>23571</v>
      </c>
      <c r="E4660" s="274" t="s">
        <v>229</v>
      </c>
    </row>
    <row r="4661" spans="1:5" ht="27">
      <c r="A4661" s="271">
        <v>89985</v>
      </c>
      <c r="B4661" s="272" t="s">
        <v>2363</v>
      </c>
      <c r="C4661" s="272" t="s">
        <v>109</v>
      </c>
      <c r="D4661" s="273" t="s">
        <v>23572</v>
      </c>
      <c r="E4661" s="274" t="s">
        <v>229</v>
      </c>
    </row>
    <row r="4662" spans="1:5" ht="27">
      <c r="A4662" s="271">
        <v>89986</v>
      </c>
      <c r="B4662" s="272" t="s">
        <v>2364</v>
      </c>
      <c r="C4662" s="272" t="s">
        <v>109</v>
      </c>
      <c r="D4662" s="273" t="s">
        <v>15986</v>
      </c>
      <c r="E4662" s="274" t="s">
        <v>229</v>
      </c>
    </row>
    <row r="4663" spans="1:5" ht="27">
      <c r="A4663" s="271">
        <v>89987</v>
      </c>
      <c r="B4663" s="272" t="s">
        <v>2365</v>
      </c>
      <c r="C4663" s="272" t="s">
        <v>109</v>
      </c>
      <c r="D4663" s="273" t="s">
        <v>23573</v>
      </c>
      <c r="E4663" s="274" t="s">
        <v>229</v>
      </c>
    </row>
    <row r="4664" spans="1:5" ht="27">
      <c r="A4664" s="271">
        <v>90371</v>
      </c>
      <c r="B4664" s="272" t="s">
        <v>2366</v>
      </c>
      <c r="C4664" s="272" t="s">
        <v>109</v>
      </c>
      <c r="D4664" s="273" t="s">
        <v>16341</v>
      </c>
      <c r="E4664" s="274" t="s">
        <v>229</v>
      </c>
    </row>
    <row r="4665" spans="1:5" ht="40.5">
      <c r="A4665" s="271">
        <v>94489</v>
      </c>
      <c r="B4665" s="272" t="s">
        <v>2367</v>
      </c>
      <c r="C4665" s="272" t="s">
        <v>109</v>
      </c>
      <c r="D4665" s="273" t="s">
        <v>23574</v>
      </c>
      <c r="E4665" s="274" t="s">
        <v>229</v>
      </c>
    </row>
    <row r="4666" spans="1:5" ht="40.5">
      <c r="A4666" s="271">
        <v>94490</v>
      </c>
      <c r="B4666" s="272" t="s">
        <v>2368</v>
      </c>
      <c r="C4666" s="272" t="s">
        <v>109</v>
      </c>
      <c r="D4666" s="273" t="s">
        <v>23575</v>
      </c>
      <c r="E4666" s="274" t="s">
        <v>229</v>
      </c>
    </row>
    <row r="4667" spans="1:5" ht="40.5">
      <c r="A4667" s="271">
        <v>94491</v>
      </c>
      <c r="B4667" s="272" t="s">
        <v>2369</v>
      </c>
      <c r="C4667" s="272" t="s">
        <v>109</v>
      </c>
      <c r="D4667" s="273" t="s">
        <v>23576</v>
      </c>
      <c r="E4667" s="274" t="s">
        <v>229</v>
      </c>
    </row>
    <row r="4668" spans="1:5" ht="40.5">
      <c r="A4668" s="271">
        <v>94492</v>
      </c>
      <c r="B4668" s="272" t="s">
        <v>2370</v>
      </c>
      <c r="C4668" s="272" t="s">
        <v>109</v>
      </c>
      <c r="D4668" s="273" t="s">
        <v>23577</v>
      </c>
      <c r="E4668" s="274" t="s">
        <v>229</v>
      </c>
    </row>
    <row r="4669" spans="1:5" ht="40.5">
      <c r="A4669" s="271">
        <v>94493</v>
      </c>
      <c r="B4669" s="272" t="s">
        <v>2371</v>
      </c>
      <c r="C4669" s="272" t="s">
        <v>109</v>
      </c>
      <c r="D4669" s="273" t="s">
        <v>23578</v>
      </c>
      <c r="E4669" s="274" t="s">
        <v>229</v>
      </c>
    </row>
    <row r="4670" spans="1:5" ht="40.5">
      <c r="A4670" s="271">
        <v>94494</v>
      </c>
      <c r="B4670" s="272" t="s">
        <v>2372</v>
      </c>
      <c r="C4670" s="272" t="s">
        <v>109</v>
      </c>
      <c r="D4670" s="273" t="s">
        <v>10117</v>
      </c>
      <c r="E4670" s="274" t="s">
        <v>229</v>
      </c>
    </row>
    <row r="4671" spans="1:5" ht="40.5">
      <c r="A4671" s="271">
        <v>94495</v>
      </c>
      <c r="B4671" s="272" t="s">
        <v>2373</v>
      </c>
      <c r="C4671" s="272" t="s">
        <v>109</v>
      </c>
      <c r="D4671" s="273" t="s">
        <v>15803</v>
      </c>
      <c r="E4671" s="274" t="s">
        <v>229</v>
      </c>
    </row>
    <row r="4672" spans="1:5" ht="40.5">
      <c r="A4672" s="271">
        <v>94496</v>
      </c>
      <c r="B4672" s="272" t="s">
        <v>2374</v>
      </c>
      <c r="C4672" s="272" t="s">
        <v>109</v>
      </c>
      <c r="D4672" s="273" t="s">
        <v>23579</v>
      </c>
      <c r="E4672" s="274" t="s">
        <v>229</v>
      </c>
    </row>
    <row r="4673" spans="1:5" ht="40.5">
      <c r="A4673" s="271">
        <v>94497</v>
      </c>
      <c r="B4673" s="272" t="s">
        <v>2375</v>
      </c>
      <c r="C4673" s="272" t="s">
        <v>109</v>
      </c>
      <c r="D4673" s="273" t="s">
        <v>23580</v>
      </c>
      <c r="E4673" s="274" t="s">
        <v>229</v>
      </c>
    </row>
    <row r="4674" spans="1:5" ht="40.5">
      <c r="A4674" s="271">
        <v>94498</v>
      </c>
      <c r="B4674" s="272" t="s">
        <v>2376</v>
      </c>
      <c r="C4674" s="272" t="s">
        <v>109</v>
      </c>
      <c r="D4674" s="273" t="s">
        <v>23581</v>
      </c>
      <c r="E4674" s="274" t="s">
        <v>229</v>
      </c>
    </row>
    <row r="4675" spans="1:5" ht="40.5">
      <c r="A4675" s="271">
        <v>94499</v>
      </c>
      <c r="B4675" s="272" t="s">
        <v>2377</v>
      </c>
      <c r="C4675" s="272" t="s">
        <v>109</v>
      </c>
      <c r="D4675" s="273" t="s">
        <v>23582</v>
      </c>
      <c r="E4675" s="274" t="s">
        <v>229</v>
      </c>
    </row>
    <row r="4676" spans="1:5" ht="40.5">
      <c r="A4676" s="271">
        <v>94500</v>
      </c>
      <c r="B4676" s="272" t="s">
        <v>2378</v>
      </c>
      <c r="C4676" s="272" t="s">
        <v>109</v>
      </c>
      <c r="D4676" s="273" t="s">
        <v>23583</v>
      </c>
      <c r="E4676" s="274" t="s">
        <v>229</v>
      </c>
    </row>
    <row r="4677" spans="1:5" ht="40.5">
      <c r="A4677" s="271">
        <v>94501</v>
      </c>
      <c r="B4677" s="272" t="s">
        <v>2379</v>
      </c>
      <c r="C4677" s="272" t="s">
        <v>109</v>
      </c>
      <c r="D4677" s="273" t="s">
        <v>23584</v>
      </c>
      <c r="E4677" s="274" t="s">
        <v>229</v>
      </c>
    </row>
    <row r="4678" spans="1:5" ht="40.5">
      <c r="A4678" s="271">
        <v>94792</v>
      </c>
      <c r="B4678" s="272" t="s">
        <v>2380</v>
      </c>
      <c r="C4678" s="272" t="s">
        <v>109</v>
      </c>
      <c r="D4678" s="273" t="s">
        <v>23585</v>
      </c>
      <c r="E4678" s="274" t="s">
        <v>229</v>
      </c>
    </row>
    <row r="4679" spans="1:5" ht="40.5">
      <c r="A4679" s="271">
        <v>94793</v>
      </c>
      <c r="B4679" s="272" t="s">
        <v>2381</v>
      </c>
      <c r="C4679" s="272" t="s">
        <v>109</v>
      </c>
      <c r="D4679" s="273" t="s">
        <v>23586</v>
      </c>
      <c r="E4679" s="274" t="s">
        <v>229</v>
      </c>
    </row>
    <row r="4680" spans="1:5" ht="40.5">
      <c r="A4680" s="271">
        <v>94794</v>
      </c>
      <c r="B4680" s="272" t="s">
        <v>2382</v>
      </c>
      <c r="C4680" s="272" t="s">
        <v>109</v>
      </c>
      <c r="D4680" s="273" t="s">
        <v>23587</v>
      </c>
      <c r="E4680" s="274" t="s">
        <v>229</v>
      </c>
    </row>
    <row r="4681" spans="1:5" ht="27">
      <c r="A4681" s="271">
        <v>94795</v>
      </c>
      <c r="B4681" s="272" t="s">
        <v>4326</v>
      </c>
      <c r="C4681" s="272" t="s">
        <v>109</v>
      </c>
      <c r="D4681" s="273" t="s">
        <v>23588</v>
      </c>
      <c r="E4681" s="274" t="s">
        <v>229</v>
      </c>
    </row>
    <row r="4682" spans="1:5" ht="27">
      <c r="A4682" s="271">
        <v>94796</v>
      </c>
      <c r="B4682" s="272" t="s">
        <v>4327</v>
      </c>
      <c r="C4682" s="272" t="s">
        <v>109</v>
      </c>
      <c r="D4682" s="273" t="s">
        <v>23589</v>
      </c>
      <c r="E4682" s="274" t="s">
        <v>229</v>
      </c>
    </row>
    <row r="4683" spans="1:5" ht="27">
      <c r="A4683" s="271">
        <v>94797</v>
      </c>
      <c r="B4683" s="272" t="s">
        <v>4328</v>
      </c>
      <c r="C4683" s="272" t="s">
        <v>109</v>
      </c>
      <c r="D4683" s="273" t="s">
        <v>23590</v>
      </c>
      <c r="E4683" s="274" t="s">
        <v>229</v>
      </c>
    </row>
    <row r="4684" spans="1:5" ht="27">
      <c r="A4684" s="271">
        <v>94798</v>
      </c>
      <c r="B4684" s="272" t="s">
        <v>4329</v>
      </c>
      <c r="C4684" s="272" t="s">
        <v>109</v>
      </c>
      <c r="D4684" s="273" t="s">
        <v>23591</v>
      </c>
      <c r="E4684" s="274" t="s">
        <v>229</v>
      </c>
    </row>
    <row r="4685" spans="1:5" ht="27">
      <c r="A4685" s="271">
        <v>94799</v>
      </c>
      <c r="B4685" s="272" t="s">
        <v>4330</v>
      </c>
      <c r="C4685" s="272" t="s">
        <v>109</v>
      </c>
      <c r="D4685" s="273" t="s">
        <v>23592</v>
      </c>
      <c r="E4685" s="274" t="s">
        <v>229</v>
      </c>
    </row>
    <row r="4686" spans="1:5" ht="27">
      <c r="A4686" s="271">
        <v>94800</v>
      </c>
      <c r="B4686" s="272" t="s">
        <v>4331</v>
      </c>
      <c r="C4686" s="272" t="s">
        <v>109</v>
      </c>
      <c r="D4686" s="273" t="s">
        <v>23593</v>
      </c>
      <c r="E4686" s="274" t="s">
        <v>229</v>
      </c>
    </row>
    <row r="4687" spans="1:5" ht="40.5">
      <c r="A4687" s="271">
        <v>95248</v>
      </c>
      <c r="B4687" s="272" t="s">
        <v>2383</v>
      </c>
      <c r="C4687" s="272" t="s">
        <v>109</v>
      </c>
      <c r="D4687" s="273" t="s">
        <v>18752</v>
      </c>
      <c r="E4687" s="274" t="s">
        <v>229</v>
      </c>
    </row>
    <row r="4688" spans="1:5" ht="40.5">
      <c r="A4688" s="271">
        <v>95249</v>
      </c>
      <c r="B4688" s="272" t="s">
        <v>2384</v>
      </c>
      <c r="C4688" s="272" t="s">
        <v>109</v>
      </c>
      <c r="D4688" s="273" t="s">
        <v>16346</v>
      </c>
      <c r="E4688" s="274" t="s">
        <v>229</v>
      </c>
    </row>
    <row r="4689" spans="1:5" ht="40.5">
      <c r="A4689" s="271">
        <v>95250</v>
      </c>
      <c r="B4689" s="272" t="s">
        <v>2385</v>
      </c>
      <c r="C4689" s="272" t="s">
        <v>109</v>
      </c>
      <c r="D4689" s="273" t="s">
        <v>23594</v>
      </c>
      <c r="E4689" s="274" t="s">
        <v>229</v>
      </c>
    </row>
    <row r="4690" spans="1:5" ht="40.5">
      <c r="A4690" s="271">
        <v>95251</v>
      </c>
      <c r="B4690" s="272" t="s">
        <v>2386</v>
      </c>
      <c r="C4690" s="272" t="s">
        <v>109</v>
      </c>
      <c r="D4690" s="273" t="s">
        <v>23595</v>
      </c>
      <c r="E4690" s="274" t="s">
        <v>229</v>
      </c>
    </row>
    <row r="4691" spans="1:5" ht="40.5">
      <c r="A4691" s="271">
        <v>95252</v>
      </c>
      <c r="B4691" s="272" t="s">
        <v>2387</v>
      </c>
      <c r="C4691" s="272" t="s">
        <v>109</v>
      </c>
      <c r="D4691" s="273" t="s">
        <v>23596</v>
      </c>
      <c r="E4691" s="274" t="s">
        <v>229</v>
      </c>
    </row>
    <row r="4692" spans="1:5" ht="40.5">
      <c r="A4692" s="271">
        <v>95253</v>
      </c>
      <c r="B4692" s="272" t="s">
        <v>2388</v>
      </c>
      <c r="C4692" s="272" t="s">
        <v>109</v>
      </c>
      <c r="D4692" s="273" t="s">
        <v>23597</v>
      </c>
      <c r="E4692" s="274" t="s">
        <v>229</v>
      </c>
    </row>
    <row r="4693" spans="1:5" ht="27">
      <c r="A4693" s="271">
        <v>99619</v>
      </c>
      <c r="B4693" s="272" t="s">
        <v>4332</v>
      </c>
      <c r="C4693" s="272" t="s">
        <v>109</v>
      </c>
      <c r="D4693" s="273" t="s">
        <v>23598</v>
      </c>
      <c r="E4693" s="274" t="s">
        <v>229</v>
      </c>
    </row>
    <row r="4694" spans="1:5" ht="27">
      <c r="A4694" s="271">
        <v>99620</v>
      </c>
      <c r="B4694" s="272" t="s">
        <v>4333</v>
      </c>
      <c r="C4694" s="272" t="s">
        <v>109</v>
      </c>
      <c r="D4694" s="273" t="s">
        <v>21508</v>
      </c>
      <c r="E4694" s="274" t="s">
        <v>229</v>
      </c>
    </row>
    <row r="4695" spans="1:5" ht="27">
      <c r="A4695" s="271">
        <v>99621</v>
      </c>
      <c r="B4695" s="272" t="s">
        <v>4334</v>
      </c>
      <c r="C4695" s="272" t="s">
        <v>109</v>
      </c>
      <c r="D4695" s="273" t="s">
        <v>23599</v>
      </c>
      <c r="E4695" s="274" t="s">
        <v>229</v>
      </c>
    </row>
    <row r="4696" spans="1:5" ht="27">
      <c r="A4696" s="271">
        <v>99622</v>
      </c>
      <c r="B4696" s="272" t="s">
        <v>4335</v>
      </c>
      <c r="C4696" s="272" t="s">
        <v>109</v>
      </c>
      <c r="D4696" s="273" t="s">
        <v>23600</v>
      </c>
      <c r="E4696" s="274" t="s">
        <v>229</v>
      </c>
    </row>
    <row r="4697" spans="1:5" ht="27">
      <c r="A4697" s="271">
        <v>99623</v>
      </c>
      <c r="B4697" s="272" t="s">
        <v>4336</v>
      </c>
      <c r="C4697" s="272" t="s">
        <v>109</v>
      </c>
      <c r="D4697" s="273" t="s">
        <v>23601</v>
      </c>
      <c r="E4697" s="274" t="s">
        <v>229</v>
      </c>
    </row>
    <row r="4698" spans="1:5" ht="27">
      <c r="A4698" s="271">
        <v>99624</v>
      </c>
      <c r="B4698" s="272" t="s">
        <v>4337</v>
      </c>
      <c r="C4698" s="272" t="s">
        <v>109</v>
      </c>
      <c r="D4698" s="273" t="s">
        <v>23602</v>
      </c>
      <c r="E4698" s="274" t="s">
        <v>229</v>
      </c>
    </row>
    <row r="4699" spans="1:5" ht="27">
      <c r="A4699" s="271">
        <v>99625</v>
      </c>
      <c r="B4699" s="272" t="s">
        <v>4338</v>
      </c>
      <c r="C4699" s="272" t="s">
        <v>109</v>
      </c>
      <c r="D4699" s="273" t="s">
        <v>23603</v>
      </c>
      <c r="E4699" s="274" t="s">
        <v>229</v>
      </c>
    </row>
    <row r="4700" spans="1:5" ht="27">
      <c r="A4700" s="271">
        <v>99626</v>
      </c>
      <c r="B4700" s="272" t="s">
        <v>4339</v>
      </c>
      <c r="C4700" s="272" t="s">
        <v>109</v>
      </c>
      <c r="D4700" s="273" t="s">
        <v>23604</v>
      </c>
      <c r="E4700" s="274" t="s">
        <v>229</v>
      </c>
    </row>
    <row r="4701" spans="1:5" ht="27">
      <c r="A4701" s="271">
        <v>99627</v>
      </c>
      <c r="B4701" s="272" t="s">
        <v>4340</v>
      </c>
      <c r="C4701" s="272" t="s">
        <v>109</v>
      </c>
      <c r="D4701" s="273" t="s">
        <v>23605</v>
      </c>
      <c r="E4701" s="274" t="s">
        <v>229</v>
      </c>
    </row>
    <row r="4702" spans="1:5" ht="27">
      <c r="A4702" s="271">
        <v>99628</v>
      </c>
      <c r="B4702" s="272" t="s">
        <v>4341</v>
      </c>
      <c r="C4702" s="272" t="s">
        <v>109</v>
      </c>
      <c r="D4702" s="273" t="s">
        <v>10542</v>
      </c>
      <c r="E4702" s="274" t="s">
        <v>229</v>
      </c>
    </row>
    <row r="4703" spans="1:5" ht="27">
      <c r="A4703" s="271">
        <v>99629</v>
      </c>
      <c r="B4703" s="272" t="s">
        <v>4342</v>
      </c>
      <c r="C4703" s="272" t="s">
        <v>109</v>
      </c>
      <c r="D4703" s="273" t="s">
        <v>23606</v>
      </c>
      <c r="E4703" s="274" t="s">
        <v>229</v>
      </c>
    </row>
    <row r="4704" spans="1:5" ht="27">
      <c r="A4704" s="271">
        <v>99630</v>
      </c>
      <c r="B4704" s="272" t="s">
        <v>4343</v>
      </c>
      <c r="C4704" s="272" t="s">
        <v>109</v>
      </c>
      <c r="D4704" s="273" t="s">
        <v>22986</v>
      </c>
      <c r="E4704" s="274" t="s">
        <v>229</v>
      </c>
    </row>
    <row r="4705" spans="1:5" ht="27">
      <c r="A4705" s="271">
        <v>99631</v>
      </c>
      <c r="B4705" s="272" t="s">
        <v>4344</v>
      </c>
      <c r="C4705" s="272" t="s">
        <v>109</v>
      </c>
      <c r="D4705" s="273" t="s">
        <v>22851</v>
      </c>
      <c r="E4705" s="274" t="s">
        <v>229</v>
      </c>
    </row>
    <row r="4706" spans="1:5" ht="27">
      <c r="A4706" s="271">
        <v>99632</v>
      </c>
      <c r="B4706" s="272" t="s">
        <v>4345</v>
      </c>
      <c r="C4706" s="272" t="s">
        <v>109</v>
      </c>
      <c r="D4706" s="273" t="s">
        <v>23607</v>
      </c>
      <c r="E4706" s="274" t="s">
        <v>229</v>
      </c>
    </row>
    <row r="4707" spans="1:5" ht="27">
      <c r="A4707" s="271">
        <v>99633</v>
      </c>
      <c r="B4707" s="272" t="s">
        <v>4346</v>
      </c>
      <c r="C4707" s="272" t="s">
        <v>109</v>
      </c>
      <c r="D4707" s="273" t="s">
        <v>23608</v>
      </c>
      <c r="E4707" s="274" t="s">
        <v>229</v>
      </c>
    </row>
    <row r="4708" spans="1:5" ht="27">
      <c r="A4708" s="271">
        <v>99634</v>
      </c>
      <c r="B4708" s="272" t="s">
        <v>4347</v>
      </c>
      <c r="C4708" s="272" t="s">
        <v>109</v>
      </c>
      <c r="D4708" s="273" t="s">
        <v>23609</v>
      </c>
      <c r="E4708" s="274" t="s">
        <v>229</v>
      </c>
    </row>
    <row r="4709" spans="1:5" ht="27">
      <c r="A4709" s="271">
        <v>99635</v>
      </c>
      <c r="B4709" s="272" t="s">
        <v>4348</v>
      </c>
      <c r="C4709" s="272" t="s">
        <v>109</v>
      </c>
      <c r="D4709" s="273" t="s">
        <v>23610</v>
      </c>
      <c r="E4709" s="274" t="s">
        <v>229</v>
      </c>
    </row>
    <row r="4710" spans="1:5" ht="27">
      <c r="A4710" s="271">
        <v>95634</v>
      </c>
      <c r="B4710" s="272" t="s">
        <v>4349</v>
      </c>
      <c r="C4710" s="272" t="s">
        <v>109</v>
      </c>
      <c r="D4710" s="273" t="s">
        <v>19544</v>
      </c>
      <c r="E4710" s="274" t="s">
        <v>229</v>
      </c>
    </row>
    <row r="4711" spans="1:5" ht="27">
      <c r="A4711" s="271">
        <v>95635</v>
      </c>
      <c r="B4711" s="272" t="s">
        <v>4350</v>
      </c>
      <c r="C4711" s="272" t="s">
        <v>109</v>
      </c>
      <c r="D4711" s="273" t="s">
        <v>23611</v>
      </c>
      <c r="E4711" s="274" t="s">
        <v>229</v>
      </c>
    </row>
    <row r="4712" spans="1:5" ht="27">
      <c r="A4712" s="271">
        <v>95636</v>
      </c>
      <c r="B4712" s="272" t="s">
        <v>23612</v>
      </c>
      <c r="C4712" s="272" t="s">
        <v>109</v>
      </c>
      <c r="D4712" s="273" t="s">
        <v>12193</v>
      </c>
      <c r="E4712" s="274" t="s">
        <v>229</v>
      </c>
    </row>
    <row r="4713" spans="1:5" ht="27">
      <c r="A4713" s="271">
        <v>95637</v>
      </c>
      <c r="B4713" s="272" t="s">
        <v>2389</v>
      </c>
      <c r="C4713" s="272" t="s">
        <v>109</v>
      </c>
      <c r="D4713" s="273" t="s">
        <v>23613</v>
      </c>
      <c r="E4713" s="274" t="s">
        <v>229</v>
      </c>
    </row>
    <row r="4714" spans="1:5" ht="27">
      <c r="A4714" s="271">
        <v>95638</v>
      </c>
      <c r="B4714" s="272" t="s">
        <v>2390</v>
      </c>
      <c r="C4714" s="272" t="s">
        <v>109</v>
      </c>
      <c r="D4714" s="273" t="s">
        <v>23614</v>
      </c>
      <c r="E4714" s="274" t="s">
        <v>229</v>
      </c>
    </row>
    <row r="4715" spans="1:5" ht="27">
      <c r="A4715" s="271">
        <v>95639</v>
      </c>
      <c r="B4715" s="272" t="s">
        <v>2391</v>
      </c>
      <c r="C4715" s="272" t="s">
        <v>109</v>
      </c>
      <c r="D4715" s="273" t="s">
        <v>23615</v>
      </c>
      <c r="E4715" s="274" t="s">
        <v>229</v>
      </c>
    </row>
    <row r="4716" spans="1:5" ht="27">
      <c r="A4716" s="271">
        <v>95641</v>
      </c>
      <c r="B4716" s="272" t="s">
        <v>2392</v>
      </c>
      <c r="C4716" s="272" t="s">
        <v>109</v>
      </c>
      <c r="D4716" s="273" t="s">
        <v>23616</v>
      </c>
      <c r="E4716" s="274" t="s">
        <v>229</v>
      </c>
    </row>
    <row r="4717" spans="1:5" ht="27">
      <c r="A4717" s="271">
        <v>95642</v>
      </c>
      <c r="B4717" s="272" t="s">
        <v>2393</v>
      </c>
      <c r="C4717" s="272" t="s">
        <v>109</v>
      </c>
      <c r="D4717" s="273" t="s">
        <v>23617</v>
      </c>
      <c r="E4717" s="274" t="s">
        <v>229</v>
      </c>
    </row>
    <row r="4718" spans="1:5" ht="27">
      <c r="A4718" s="271">
        <v>95643</v>
      </c>
      <c r="B4718" s="272" t="s">
        <v>2394</v>
      </c>
      <c r="C4718" s="272" t="s">
        <v>109</v>
      </c>
      <c r="D4718" s="273" t="s">
        <v>23618</v>
      </c>
      <c r="E4718" s="274" t="s">
        <v>229</v>
      </c>
    </row>
    <row r="4719" spans="1:5" ht="27">
      <c r="A4719" s="271">
        <v>95644</v>
      </c>
      <c r="B4719" s="272" t="s">
        <v>2395</v>
      </c>
      <c r="C4719" s="272" t="s">
        <v>109</v>
      </c>
      <c r="D4719" s="273" t="s">
        <v>23619</v>
      </c>
      <c r="E4719" s="274" t="s">
        <v>229</v>
      </c>
    </row>
    <row r="4720" spans="1:5" ht="27">
      <c r="A4720" s="271">
        <v>95645</v>
      </c>
      <c r="B4720" s="272" t="s">
        <v>2396</v>
      </c>
      <c r="C4720" s="272" t="s">
        <v>109</v>
      </c>
      <c r="D4720" s="273" t="s">
        <v>23620</v>
      </c>
      <c r="E4720" s="274" t="s">
        <v>229</v>
      </c>
    </row>
    <row r="4721" spans="1:5" ht="27">
      <c r="A4721" s="271">
        <v>95646</v>
      </c>
      <c r="B4721" s="272" t="s">
        <v>2397</v>
      </c>
      <c r="C4721" s="272" t="s">
        <v>109</v>
      </c>
      <c r="D4721" s="273" t="s">
        <v>23621</v>
      </c>
      <c r="E4721" s="274" t="s">
        <v>229</v>
      </c>
    </row>
    <row r="4722" spans="1:5" ht="27">
      <c r="A4722" s="271">
        <v>95647</v>
      </c>
      <c r="B4722" s="272" t="s">
        <v>2398</v>
      </c>
      <c r="C4722" s="272" t="s">
        <v>109</v>
      </c>
      <c r="D4722" s="273" t="s">
        <v>23622</v>
      </c>
      <c r="E4722" s="274" t="s">
        <v>229</v>
      </c>
    </row>
    <row r="4723" spans="1:5" ht="13.5">
      <c r="A4723" s="271">
        <v>95673</v>
      </c>
      <c r="B4723" s="272" t="s">
        <v>2399</v>
      </c>
      <c r="C4723" s="272" t="s">
        <v>109</v>
      </c>
      <c r="D4723" s="273" t="s">
        <v>23623</v>
      </c>
      <c r="E4723" s="274" t="s">
        <v>229</v>
      </c>
    </row>
    <row r="4724" spans="1:5" ht="13.5">
      <c r="A4724" s="271">
        <v>95674</v>
      </c>
      <c r="B4724" s="272" t="s">
        <v>2400</v>
      </c>
      <c r="C4724" s="272" t="s">
        <v>109</v>
      </c>
      <c r="D4724" s="273" t="s">
        <v>23624</v>
      </c>
      <c r="E4724" s="274" t="s">
        <v>229</v>
      </c>
    </row>
    <row r="4725" spans="1:5" ht="13.5">
      <c r="A4725" s="271">
        <v>95675</v>
      </c>
      <c r="B4725" s="272" t="s">
        <v>2401</v>
      </c>
      <c r="C4725" s="272" t="s">
        <v>109</v>
      </c>
      <c r="D4725" s="273" t="s">
        <v>23625</v>
      </c>
      <c r="E4725" s="274" t="s">
        <v>229</v>
      </c>
    </row>
    <row r="4726" spans="1:5" ht="27">
      <c r="A4726" s="271">
        <v>95676</v>
      </c>
      <c r="B4726" s="272" t="s">
        <v>2402</v>
      </c>
      <c r="C4726" s="272" t="s">
        <v>109</v>
      </c>
      <c r="D4726" s="273" t="s">
        <v>23626</v>
      </c>
      <c r="E4726" s="274" t="s">
        <v>229</v>
      </c>
    </row>
    <row r="4727" spans="1:5" ht="27">
      <c r="A4727" s="271">
        <v>97741</v>
      </c>
      <c r="B4727" s="272" t="s">
        <v>3694</v>
      </c>
      <c r="C4727" s="272" t="s">
        <v>109</v>
      </c>
      <c r="D4727" s="273" t="s">
        <v>23627</v>
      </c>
      <c r="E4727" s="274" t="s">
        <v>229</v>
      </c>
    </row>
    <row r="4728" spans="1:5" ht="13.5">
      <c r="A4728" s="271">
        <v>90436</v>
      </c>
      <c r="B4728" s="272" t="s">
        <v>2403</v>
      </c>
      <c r="C4728" s="272" t="s">
        <v>109</v>
      </c>
      <c r="D4728" s="273" t="s">
        <v>11523</v>
      </c>
      <c r="E4728" s="274" t="s">
        <v>229</v>
      </c>
    </row>
    <row r="4729" spans="1:5" ht="27">
      <c r="A4729" s="271">
        <v>90437</v>
      </c>
      <c r="B4729" s="272" t="s">
        <v>2404</v>
      </c>
      <c r="C4729" s="272" t="s">
        <v>109</v>
      </c>
      <c r="D4729" s="273" t="s">
        <v>21466</v>
      </c>
      <c r="E4729" s="274" t="s">
        <v>229</v>
      </c>
    </row>
    <row r="4730" spans="1:5" ht="13.5">
      <c r="A4730" s="271">
        <v>90438</v>
      </c>
      <c r="B4730" s="272" t="s">
        <v>2405</v>
      </c>
      <c r="C4730" s="272" t="s">
        <v>109</v>
      </c>
      <c r="D4730" s="273" t="s">
        <v>14276</v>
      </c>
      <c r="E4730" s="274" t="s">
        <v>229</v>
      </c>
    </row>
    <row r="4731" spans="1:5" ht="13.5">
      <c r="A4731" s="271">
        <v>90439</v>
      </c>
      <c r="B4731" s="272" t="s">
        <v>2406</v>
      </c>
      <c r="C4731" s="272" t="s">
        <v>109</v>
      </c>
      <c r="D4731" s="273" t="s">
        <v>23628</v>
      </c>
      <c r="E4731" s="274" t="s">
        <v>229</v>
      </c>
    </row>
    <row r="4732" spans="1:5" ht="27">
      <c r="A4732" s="271">
        <v>90440</v>
      </c>
      <c r="B4732" s="272" t="s">
        <v>2407</v>
      </c>
      <c r="C4732" s="272" t="s">
        <v>109</v>
      </c>
      <c r="D4732" s="273" t="s">
        <v>23629</v>
      </c>
      <c r="E4732" s="274" t="s">
        <v>229</v>
      </c>
    </row>
    <row r="4733" spans="1:5" ht="13.5">
      <c r="A4733" s="271">
        <v>90441</v>
      </c>
      <c r="B4733" s="272" t="s">
        <v>2408</v>
      </c>
      <c r="C4733" s="272" t="s">
        <v>109</v>
      </c>
      <c r="D4733" s="273" t="s">
        <v>23630</v>
      </c>
      <c r="E4733" s="274" t="s">
        <v>229</v>
      </c>
    </row>
    <row r="4734" spans="1:5" ht="27">
      <c r="A4734" s="271">
        <v>90443</v>
      </c>
      <c r="B4734" s="272" t="s">
        <v>130</v>
      </c>
      <c r="C4734" s="272" t="s">
        <v>5</v>
      </c>
      <c r="D4734" s="273" t="s">
        <v>16337</v>
      </c>
      <c r="E4734" s="274" t="s">
        <v>229</v>
      </c>
    </row>
    <row r="4735" spans="1:5" ht="27">
      <c r="A4735" s="271">
        <v>90444</v>
      </c>
      <c r="B4735" s="272" t="s">
        <v>131</v>
      </c>
      <c r="C4735" s="272" t="s">
        <v>5</v>
      </c>
      <c r="D4735" s="273" t="s">
        <v>23631</v>
      </c>
      <c r="E4735" s="274" t="s">
        <v>229</v>
      </c>
    </row>
    <row r="4736" spans="1:5" ht="27">
      <c r="A4736" s="271">
        <v>90445</v>
      </c>
      <c r="B4736" s="272" t="s">
        <v>2409</v>
      </c>
      <c r="C4736" s="272" t="s">
        <v>5</v>
      </c>
      <c r="D4736" s="273" t="s">
        <v>16152</v>
      </c>
      <c r="E4736" s="274" t="s">
        <v>229</v>
      </c>
    </row>
    <row r="4737" spans="1:5" ht="27">
      <c r="A4737" s="271">
        <v>90446</v>
      </c>
      <c r="B4737" s="272" t="s">
        <v>2410</v>
      </c>
      <c r="C4737" s="272" t="s">
        <v>5</v>
      </c>
      <c r="D4737" s="273" t="s">
        <v>12230</v>
      </c>
      <c r="E4737" s="274" t="s">
        <v>229</v>
      </c>
    </row>
    <row r="4738" spans="1:5" ht="27">
      <c r="A4738" s="271">
        <v>90447</v>
      </c>
      <c r="B4738" s="272" t="s">
        <v>276</v>
      </c>
      <c r="C4738" s="272" t="s">
        <v>5</v>
      </c>
      <c r="D4738" s="273" t="s">
        <v>21602</v>
      </c>
      <c r="E4738" s="274" t="s">
        <v>229</v>
      </c>
    </row>
    <row r="4739" spans="1:5" ht="27">
      <c r="A4739" s="271">
        <v>90451</v>
      </c>
      <c r="B4739" s="272" t="s">
        <v>2411</v>
      </c>
      <c r="C4739" s="272" t="s">
        <v>109</v>
      </c>
      <c r="D4739" s="273" t="s">
        <v>9954</v>
      </c>
      <c r="E4739" s="274" t="s">
        <v>229</v>
      </c>
    </row>
    <row r="4740" spans="1:5" ht="27">
      <c r="A4740" s="271">
        <v>90452</v>
      </c>
      <c r="B4740" s="272" t="s">
        <v>2412</v>
      </c>
      <c r="C4740" s="272" t="s">
        <v>109</v>
      </c>
      <c r="D4740" s="273" t="s">
        <v>11471</v>
      </c>
      <c r="E4740" s="274" t="s">
        <v>229</v>
      </c>
    </row>
    <row r="4741" spans="1:5" ht="13.5">
      <c r="A4741" s="271">
        <v>90453</v>
      </c>
      <c r="B4741" s="272" t="s">
        <v>2413</v>
      </c>
      <c r="C4741" s="272" t="s">
        <v>109</v>
      </c>
      <c r="D4741" s="273" t="s">
        <v>10787</v>
      </c>
      <c r="E4741" s="274" t="s">
        <v>229</v>
      </c>
    </row>
    <row r="4742" spans="1:5" ht="27">
      <c r="A4742" s="271">
        <v>90454</v>
      </c>
      <c r="B4742" s="272" t="s">
        <v>2414</v>
      </c>
      <c r="C4742" s="272" t="s">
        <v>109</v>
      </c>
      <c r="D4742" s="273" t="s">
        <v>11323</v>
      </c>
      <c r="E4742" s="274" t="s">
        <v>229</v>
      </c>
    </row>
    <row r="4743" spans="1:5" ht="13.5">
      <c r="A4743" s="271">
        <v>90455</v>
      </c>
      <c r="B4743" s="272" t="s">
        <v>2415</v>
      </c>
      <c r="C4743" s="272" t="s">
        <v>109</v>
      </c>
      <c r="D4743" s="273" t="s">
        <v>10188</v>
      </c>
      <c r="E4743" s="274" t="s">
        <v>229</v>
      </c>
    </row>
    <row r="4744" spans="1:5" ht="13.5">
      <c r="A4744" s="271">
        <v>90456</v>
      </c>
      <c r="B4744" s="272" t="s">
        <v>2416</v>
      </c>
      <c r="C4744" s="272" t="s">
        <v>109</v>
      </c>
      <c r="D4744" s="273" t="s">
        <v>10073</v>
      </c>
      <c r="E4744" s="274" t="s">
        <v>229</v>
      </c>
    </row>
    <row r="4745" spans="1:5" ht="27">
      <c r="A4745" s="271">
        <v>90457</v>
      </c>
      <c r="B4745" s="272" t="s">
        <v>2417</v>
      </c>
      <c r="C4745" s="272" t="s">
        <v>109</v>
      </c>
      <c r="D4745" s="273" t="s">
        <v>23082</v>
      </c>
      <c r="E4745" s="274" t="s">
        <v>229</v>
      </c>
    </row>
    <row r="4746" spans="1:5" ht="27">
      <c r="A4746" s="271">
        <v>90458</v>
      </c>
      <c r="B4746" s="272" t="s">
        <v>2418</v>
      </c>
      <c r="C4746" s="272" t="s">
        <v>109</v>
      </c>
      <c r="D4746" s="273" t="s">
        <v>16629</v>
      </c>
      <c r="E4746" s="274" t="s">
        <v>229</v>
      </c>
    </row>
    <row r="4747" spans="1:5" ht="13.5">
      <c r="A4747" s="271">
        <v>90459</v>
      </c>
      <c r="B4747" s="272" t="s">
        <v>2419</v>
      </c>
      <c r="C4747" s="272" t="s">
        <v>109</v>
      </c>
      <c r="D4747" s="273" t="s">
        <v>10178</v>
      </c>
      <c r="E4747" s="274" t="s">
        <v>229</v>
      </c>
    </row>
    <row r="4748" spans="1:5" ht="27">
      <c r="A4748" s="271">
        <v>90460</v>
      </c>
      <c r="B4748" s="272" t="s">
        <v>10782</v>
      </c>
      <c r="C4748" s="272" t="s">
        <v>5</v>
      </c>
      <c r="D4748" s="273" t="s">
        <v>10560</v>
      </c>
      <c r="E4748" s="274" t="s">
        <v>229</v>
      </c>
    </row>
    <row r="4749" spans="1:5" ht="27">
      <c r="A4749" s="271">
        <v>90461</v>
      </c>
      <c r="B4749" s="272" t="s">
        <v>10784</v>
      </c>
      <c r="C4749" s="272" t="s">
        <v>5</v>
      </c>
      <c r="D4749" s="273" t="s">
        <v>10327</v>
      </c>
      <c r="E4749" s="274" t="s">
        <v>229</v>
      </c>
    </row>
    <row r="4750" spans="1:5" ht="27">
      <c r="A4750" s="271">
        <v>90462</v>
      </c>
      <c r="B4750" s="272" t="s">
        <v>10785</v>
      </c>
      <c r="C4750" s="272" t="s">
        <v>5</v>
      </c>
      <c r="D4750" s="273" t="s">
        <v>10081</v>
      </c>
      <c r="E4750" s="274" t="s">
        <v>229</v>
      </c>
    </row>
    <row r="4751" spans="1:5" ht="27">
      <c r="A4751" s="271">
        <v>90463</v>
      </c>
      <c r="B4751" s="272" t="s">
        <v>10786</v>
      </c>
      <c r="C4751" s="272" t="s">
        <v>5</v>
      </c>
      <c r="D4751" s="273" t="s">
        <v>11364</v>
      </c>
      <c r="E4751" s="274" t="s">
        <v>229</v>
      </c>
    </row>
    <row r="4752" spans="1:5" ht="27">
      <c r="A4752" s="271">
        <v>90466</v>
      </c>
      <c r="B4752" s="272" t="s">
        <v>132</v>
      </c>
      <c r="C4752" s="272" t="s">
        <v>5</v>
      </c>
      <c r="D4752" s="273" t="s">
        <v>19074</v>
      </c>
      <c r="E4752" s="274" t="s">
        <v>229</v>
      </c>
    </row>
    <row r="4753" spans="1:5" ht="27">
      <c r="A4753" s="271">
        <v>90467</v>
      </c>
      <c r="B4753" s="272" t="s">
        <v>133</v>
      </c>
      <c r="C4753" s="272" t="s">
        <v>5</v>
      </c>
      <c r="D4753" s="273" t="s">
        <v>23632</v>
      </c>
      <c r="E4753" s="274" t="s">
        <v>229</v>
      </c>
    </row>
    <row r="4754" spans="1:5" ht="27">
      <c r="A4754" s="271">
        <v>90468</v>
      </c>
      <c r="B4754" s="272" t="s">
        <v>134</v>
      </c>
      <c r="C4754" s="272" t="s">
        <v>5</v>
      </c>
      <c r="D4754" s="273" t="s">
        <v>10480</v>
      </c>
      <c r="E4754" s="274" t="s">
        <v>229</v>
      </c>
    </row>
    <row r="4755" spans="1:5" ht="27">
      <c r="A4755" s="271">
        <v>90469</v>
      </c>
      <c r="B4755" s="272" t="s">
        <v>2420</v>
      </c>
      <c r="C4755" s="272" t="s">
        <v>5</v>
      </c>
      <c r="D4755" s="273" t="s">
        <v>20411</v>
      </c>
      <c r="E4755" s="274" t="s">
        <v>229</v>
      </c>
    </row>
    <row r="4756" spans="1:5" ht="27">
      <c r="A4756" s="271">
        <v>90470</v>
      </c>
      <c r="B4756" s="272" t="s">
        <v>2421</v>
      </c>
      <c r="C4756" s="272" t="s">
        <v>5</v>
      </c>
      <c r="D4756" s="273" t="s">
        <v>12421</v>
      </c>
      <c r="E4756" s="274" t="s">
        <v>229</v>
      </c>
    </row>
    <row r="4757" spans="1:5" ht="27">
      <c r="A4757" s="271">
        <v>91166</v>
      </c>
      <c r="B4757" s="272" t="s">
        <v>2422</v>
      </c>
      <c r="C4757" s="272" t="s">
        <v>5</v>
      </c>
      <c r="D4757" s="273" t="s">
        <v>9849</v>
      </c>
      <c r="E4757" s="274" t="s">
        <v>229</v>
      </c>
    </row>
    <row r="4758" spans="1:5" ht="27">
      <c r="A4758" s="271">
        <v>91167</v>
      </c>
      <c r="B4758" s="272" t="s">
        <v>2423</v>
      </c>
      <c r="C4758" s="272" t="s">
        <v>5</v>
      </c>
      <c r="D4758" s="273" t="s">
        <v>23045</v>
      </c>
      <c r="E4758" s="274" t="s">
        <v>229</v>
      </c>
    </row>
    <row r="4759" spans="1:5" ht="40.5">
      <c r="A4759" s="271">
        <v>91168</v>
      </c>
      <c r="B4759" s="272" t="s">
        <v>2424</v>
      </c>
      <c r="C4759" s="272" t="s">
        <v>5</v>
      </c>
      <c r="D4759" s="273" t="s">
        <v>12182</v>
      </c>
      <c r="E4759" s="274" t="s">
        <v>229</v>
      </c>
    </row>
    <row r="4760" spans="1:5" ht="27">
      <c r="A4760" s="271">
        <v>91169</v>
      </c>
      <c r="B4760" s="272" t="s">
        <v>2425</v>
      </c>
      <c r="C4760" s="272" t="s">
        <v>5</v>
      </c>
      <c r="D4760" s="273" t="s">
        <v>19410</v>
      </c>
      <c r="E4760" s="274" t="s">
        <v>229</v>
      </c>
    </row>
    <row r="4761" spans="1:5" ht="40.5">
      <c r="A4761" s="271">
        <v>91170</v>
      </c>
      <c r="B4761" s="272" t="s">
        <v>2426</v>
      </c>
      <c r="C4761" s="272" t="s">
        <v>5</v>
      </c>
      <c r="D4761" s="273" t="s">
        <v>11069</v>
      </c>
      <c r="E4761" s="274" t="s">
        <v>229</v>
      </c>
    </row>
    <row r="4762" spans="1:5" ht="40.5">
      <c r="A4762" s="271">
        <v>91171</v>
      </c>
      <c r="B4762" s="272" t="s">
        <v>263</v>
      </c>
      <c r="C4762" s="272" t="s">
        <v>5</v>
      </c>
      <c r="D4762" s="273" t="s">
        <v>9985</v>
      </c>
      <c r="E4762" s="274" t="s">
        <v>229</v>
      </c>
    </row>
    <row r="4763" spans="1:5" ht="27">
      <c r="A4763" s="271">
        <v>91172</v>
      </c>
      <c r="B4763" s="272" t="s">
        <v>2427</v>
      </c>
      <c r="C4763" s="272" t="s">
        <v>5</v>
      </c>
      <c r="D4763" s="273" t="s">
        <v>15843</v>
      </c>
      <c r="E4763" s="274" t="s">
        <v>229</v>
      </c>
    </row>
    <row r="4764" spans="1:5" ht="27">
      <c r="A4764" s="271">
        <v>91173</v>
      </c>
      <c r="B4764" s="272" t="s">
        <v>2428</v>
      </c>
      <c r="C4764" s="272" t="s">
        <v>5</v>
      </c>
      <c r="D4764" s="273" t="s">
        <v>10430</v>
      </c>
      <c r="E4764" s="274" t="s">
        <v>229</v>
      </c>
    </row>
    <row r="4765" spans="1:5" ht="40.5">
      <c r="A4765" s="271">
        <v>91174</v>
      </c>
      <c r="B4765" s="272" t="s">
        <v>2429</v>
      </c>
      <c r="C4765" s="272" t="s">
        <v>5</v>
      </c>
      <c r="D4765" s="273" t="s">
        <v>20318</v>
      </c>
      <c r="E4765" s="274" t="s">
        <v>229</v>
      </c>
    </row>
    <row r="4766" spans="1:5" ht="27">
      <c r="A4766" s="271">
        <v>91175</v>
      </c>
      <c r="B4766" s="272" t="s">
        <v>2430</v>
      </c>
      <c r="C4766" s="272" t="s">
        <v>5</v>
      </c>
      <c r="D4766" s="273" t="s">
        <v>9857</v>
      </c>
      <c r="E4766" s="274" t="s">
        <v>229</v>
      </c>
    </row>
    <row r="4767" spans="1:5" ht="27">
      <c r="A4767" s="271">
        <v>91176</v>
      </c>
      <c r="B4767" s="272" t="s">
        <v>2431</v>
      </c>
      <c r="C4767" s="272" t="s">
        <v>5</v>
      </c>
      <c r="D4767" s="273" t="s">
        <v>11119</v>
      </c>
      <c r="E4767" s="274" t="s">
        <v>229</v>
      </c>
    </row>
    <row r="4768" spans="1:5" ht="40.5">
      <c r="A4768" s="271">
        <v>91177</v>
      </c>
      <c r="B4768" s="272" t="s">
        <v>2432</v>
      </c>
      <c r="C4768" s="272" t="s">
        <v>5</v>
      </c>
      <c r="D4768" s="273" t="s">
        <v>10620</v>
      </c>
      <c r="E4768" s="274" t="s">
        <v>229</v>
      </c>
    </row>
    <row r="4769" spans="1:7" ht="27">
      <c r="A4769" s="271">
        <v>91178</v>
      </c>
      <c r="B4769" s="272" t="s">
        <v>2433</v>
      </c>
      <c r="C4769" s="272" t="s">
        <v>5</v>
      </c>
      <c r="D4769" s="273" t="s">
        <v>16336</v>
      </c>
      <c r="E4769" s="274" t="s">
        <v>229</v>
      </c>
    </row>
    <row r="4770" spans="1:7" ht="40.5">
      <c r="A4770" s="271">
        <v>91179</v>
      </c>
      <c r="B4770" s="272" t="s">
        <v>2434</v>
      </c>
      <c r="C4770" s="272" t="s">
        <v>5</v>
      </c>
      <c r="D4770" s="273" t="s">
        <v>10229</v>
      </c>
      <c r="E4770" s="274" t="s">
        <v>229</v>
      </c>
    </row>
    <row r="4771" spans="1:7" ht="40.5">
      <c r="A4771" s="271">
        <v>91180</v>
      </c>
      <c r="B4771" s="272" t="s">
        <v>2435</v>
      </c>
      <c r="C4771" s="272" t="s">
        <v>5</v>
      </c>
      <c r="D4771" s="273" t="s">
        <v>11188</v>
      </c>
      <c r="E4771" s="274" t="s">
        <v>229</v>
      </c>
    </row>
    <row r="4772" spans="1:7" ht="27">
      <c r="A4772" s="271">
        <v>91181</v>
      </c>
      <c r="B4772" s="272" t="s">
        <v>2436</v>
      </c>
      <c r="C4772" s="272" t="s">
        <v>5</v>
      </c>
      <c r="D4772" s="273" t="s">
        <v>10284</v>
      </c>
      <c r="E4772" s="274" t="s">
        <v>229</v>
      </c>
    </row>
    <row r="4773" spans="1:7" ht="27">
      <c r="A4773" s="271">
        <v>91182</v>
      </c>
      <c r="B4773" s="272" t="s">
        <v>2437</v>
      </c>
      <c r="C4773" s="272" t="s">
        <v>5</v>
      </c>
      <c r="D4773" s="273" t="s">
        <v>23633</v>
      </c>
      <c r="E4773" s="274" t="s">
        <v>229</v>
      </c>
    </row>
    <row r="4774" spans="1:7" ht="27">
      <c r="A4774" s="271">
        <v>91183</v>
      </c>
      <c r="B4774" s="272" t="s">
        <v>2438</v>
      </c>
      <c r="C4774" s="272" t="s">
        <v>5</v>
      </c>
      <c r="D4774" s="273" t="s">
        <v>10576</v>
      </c>
      <c r="E4774" s="274" t="s">
        <v>229</v>
      </c>
    </row>
    <row r="4775" spans="1:7" ht="27">
      <c r="A4775" s="271">
        <v>91184</v>
      </c>
      <c r="B4775" s="272" t="s">
        <v>2439</v>
      </c>
      <c r="C4775" s="272" t="s">
        <v>5</v>
      </c>
      <c r="D4775" s="273" t="s">
        <v>23050</v>
      </c>
      <c r="E4775" s="274" t="s">
        <v>229</v>
      </c>
    </row>
    <row r="4776" spans="1:7" ht="27">
      <c r="A4776" s="271">
        <v>91185</v>
      </c>
      <c r="B4776" s="272" t="s">
        <v>2440</v>
      </c>
      <c r="C4776" s="272" t="s">
        <v>5</v>
      </c>
      <c r="D4776" s="273" t="s">
        <v>11037</v>
      </c>
      <c r="E4776" s="274" t="s">
        <v>229</v>
      </c>
    </row>
    <row r="4777" spans="1:7" ht="40.5">
      <c r="A4777" s="271">
        <v>91186</v>
      </c>
      <c r="B4777" s="272" t="s">
        <v>2441</v>
      </c>
      <c r="C4777" s="272" t="s">
        <v>5</v>
      </c>
      <c r="D4777" s="273" t="s">
        <v>9853</v>
      </c>
      <c r="E4777" s="274" t="s">
        <v>229</v>
      </c>
      <c r="G4777" s="192"/>
    </row>
    <row r="4778" spans="1:7" ht="27">
      <c r="A4778" s="271">
        <v>91187</v>
      </c>
      <c r="B4778" s="272" t="s">
        <v>2442</v>
      </c>
      <c r="C4778" s="272" t="s">
        <v>5</v>
      </c>
      <c r="D4778" s="273" t="s">
        <v>12450</v>
      </c>
      <c r="E4778" s="274" t="s">
        <v>229</v>
      </c>
    </row>
    <row r="4779" spans="1:7" ht="27">
      <c r="A4779" s="271">
        <v>91188</v>
      </c>
      <c r="B4779" s="272" t="s">
        <v>2443</v>
      </c>
      <c r="C4779" s="272" t="s">
        <v>109</v>
      </c>
      <c r="D4779" s="273" t="s">
        <v>19157</v>
      </c>
      <c r="E4779" s="274" t="s">
        <v>229</v>
      </c>
    </row>
    <row r="4780" spans="1:7" ht="27">
      <c r="A4780" s="271">
        <v>91189</v>
      </c>
      <c r="B4780" s="272" t="s">
        <v>2444</v>
      </c>
      <c r="C4780" s="272" t="s">
        <v>109</v>
      </c>
      <c r="D4780" s="273" t="s">
        <v>23634</v>
      </c>
      <c r="E4780" s="274" t="s">
        <v>229</v>
      </c>
    </row>
    <row r="4781" spans="1:7" ht="27">
      <c r="A4781" s="271">
        <v>91190</v>
      </c>
      <c r="B4781" s="272" t="s">
        <v>2445</v>
      </c>
      <c r="C4781" s="272" t="s">
        <v>109</v>
      </c>
      <c r="D4781" s="273" t="s">
        <v>15841</v>
      </c>
      <c r="E4781" s="274" t="s">
        <v>229</v>
      </c>
    </row>
    <row r="4782" spans="1:7" ht="13.5">
      <c r="A4782" s="271">
        <v>91191</v>
      </c>
      <c r="B4782" s="272" t="s">
        <v>2446</v>
      </c>
      <c r="C4782" s="272" t="s">
        <v>109</v>
      </c>
      <c r="D4782" s="273" t="s">
        <v>10038</v>
      </c>
      <c r="E4782" s="274" t="s">
        <v>229</v>
      </c>
    </row>
    <row r="4783" spans="1:7" ht="13.5">
      <c r="A4783" s="271">
        <v>91192</v>
      </c>
      <c r="B4783" s="272" t="s">
        <v>2447</v>
      </c>
      <c r="C4783" s="272" t="s">
        <v>109</v>
      </c>
      <c r="D4783" s="273" t="s">
        <v>18766</v>
      </c>
      <c r="E4783" s="274" t="s">
        <v>229</v>
      </c>
    </row>
    <row r="4784" spans="1:7" ht="27">
      <c r="A4784" s="271">
        <v>91222</v>
      </c>
      <c r="B4784" s="272" t="s">
        <v>135</v>
      </c>
      <c r="C4784" s="272" t="s">
        <v>5</v>
      </c>
      <c r="D4784" s="273" t="s">
        <v>11527</v>
      </c>
      <c r="E4784" s="274" t="s">
        <v>229</v>
      </c>
    </row>
    <row r="4785" spans="1:5" ht="40.5">
      <c r="A4785" s="271">
        <v>94480</v>
      </c>
      <c r="B4785" s="272" t="s">
        <v>2448</v>
      </c>
      <c r="C4785" s="272" t="s">
        <v>109</v>
      </c>
      <c r="D4785" s="273" t="s">
        <v>23635</v>
      </c>
      <c r="E4785" s="274" t="s">
        <v>229</v>
      </c>
    </row>
    <row r="4786" spans="1:5" ht="40.5">
      <c r="A4786" s="271">
        <v>94481</v>
      </c>
      <c r="B4786" s="272" t="s">
        <v>2449</v>
      </c>
      <c r="C4786" s="272" t="s">
        <v>109</v>
      </c>
      <c r="D4786" s="273" t="s">
        <v>23636</v>
      </c>
      <c r="E4786" s="274" t="s">
        <v>229</v>
      </c>
    </row>
    <row r="4787" spans="1:5" ht="40.5">
      <c r="A4787" s="271">
        <v>94482</v>
      </c>
      <c r="B4787" s="272" t="s">
        <v>2450</v>
      </c>
      <c r="C4787" s="272" t="s">
        <v>109</v>
      </c>
      <c r="D4787" s="273" t="s">
        <v>23637</v>
      </c>
      <c r="E4787" s="274" t="s">
        <v>229</v>
      </c>
    </row>
    <row r="4788" spans="1:5" ht="40.5">
      <c r="A4788" s="271">
        <v>94483</v>
      </c>
      <c r="B4788" s="272" t="s">
        <v>2451</v>
      </c>
      <c r="C4788" s="272" t="s">
        <v>109</v>
      </c>
      <c r="D4788" s="273" t="s">
        <v>23638</v>
      </c>
      <c r="E4788" s="274" t="s">
        <v>229</v>
      </c>
    </row>
    <row r="4789" spans="1:5" ht="13.5">
      <c r="A4789" s="271">
        <v>95541</v>
      </c>
      <c r="B4789" s="272" t="s">
        <v>2452</v>
      </c>
      <c r="C4789" s="272" t="s">
        <v>109</v>
      </c>
      <c r="D4789" s="273" t="s">
        <v>9857</v>
      </c>
      <c r="E4789" s="274" t="s">
        <v>229</v>
      </c>
    </row>
    <row r="4790" spans="1:5" ht="27">
      <c r="A4790" s="271">
        <v>96559</v>
      </c>
      <c r="B4790" s="272" t="s">
        <v>10795</v>
      </c>
      <c r="C4790" s="272" t="s">
        <v>193</v>
      </c>
      <c r="D4790" s="273" t="s">
        <v>10523</v>
      </c>
      <c r="E4790" s="274" t="s">
        <v>229</v>
      </c>
    </row>
    <row r="4791" spans="1:5" ht="27">
      <c r="A4791" s="271">
        <v>96560</v>
      </c>
      <c r="B4791" s="272" t="s">
        <v>10796</v>
      </c>
      <c r="C4791" s="272" t="s">
        <v>193</v>
      </c>
      <c r="D4791" s="273" t="s">
        <v>10299</v>
      </c>
      <c r="E4791" s="274" t="s">
        <v>229</v>
      </c>
    </row>
    <row r="4792" spans="1:5" ht="27">
      <c r="A4792" s="271">
        <v>96561</v>
      </c>
      <c r="B4792" s="272" t="s">
        <v>10797</v>
      </c>
      <c r="C4792" s="272" t="s">
        <v>193</v>
      </c>
      <c r="D4792" s="273" t="s">
        <v>10538</v>
      </c>
      <c r="E4792" s="274" t="s">
        <v>229</v>
      </c>
    </row>
    <row r="4793" spans="1:5" ht="40.5">
      <c r="A4793" s="271">
        <v>96562</v>
      </c>
      <c r="B4793" s="272" t="s">
        <v>10798</v>
      </c>
      <c r="C4793" s="272" t="s">
        <v>5</v>
      </c>
      <c r="D4793" s="273" t="s">
        <v>16503</v>
      </c>
      <c r="E4793" s="274" t="s">
        <v>229</v>
      </c>
    </row>
    <row r="4794" spans="1:5" ht="40.5">
      <c r="A4794" s="271">
        <v>96563</v>
      </c>
      <c r="B4794" s="272" t="s">
        <v>10799</v>
      </c>
      <c r="C4794" s="272" t="s">
        <v>5</v>
      </c>
      <c r="D4794" s="273" t="s">
        <v>20664</v>
      </c>
      <c r="E4794" s="274" t="s">
        <v>229</v>
      </c>
    </row>
    <row r="4795" spans="1:5" ht="27">
      <c r="A4795" s="271">
        <v>101802</v>
      </c>
      <c r="B4795" s="272" t="s">
        <v>13601</v>
      </c>
      <c r="C4795" s="272" t="s">
        <v>109</v>
      </c>
      <c r="D4795" s="273" t="s">
        <v>23639</v>
      </c>
      <c r="E4795" s="274" t="s">
        <v>229</v>
      </c>
    </row>
    <row r="4796" spans="1:5" ht="27">
      <c r="A4796" s="271">
        <v>101803</v>
      </c>
      <c r="B4796" s="272" t="s">
        <v>13602</v>
      </c>
      <c r="C4796" s="272" t="s">
        <v>109</v>
      </c>
      <c r="D4796" s="273" t="s">
        <v>23640</v>
      </c>
      <c r="E4796" s="274" t="s">
        <v>229</v>
      </c>
    </row>
    <row r="4797" spans="1:5" ht="27">
      <c r="A4797" s="271">
        <v>101804</v>
      </c>
      <c r="B4797" s="272" t="s">
        <v>13603</v>
      </c>
      <c r="C4797" s="272" t="s">
        <v>109</v>
      </c>
      <c r="D4797" s="273" t="s">
        <v>23641</v>
      </c>
      <c r="E4797" s="274" t="s">
        <v>229</v>
      </c>
    </row>
    <row r="4798" spans="1:5" ht="27">
      <c r="A4798" s="271">
        <v>101805</v>
      </c>
      <c r="B4798" s="272" t="s">
        <v>13604</v>
      </c>
      <c r="C4798" s="272" t="s">
        <v>109</v>
      </c>
      <c r="D4798" s="273" t="s">
        <v>23642</v>
      </c>
      <c r="E4798" s="274" t="s">
        <v>229</v>
      </c>
    </row>
    <row r="4799" spans="1:5" ht="27">
      <c r="A4799" s="271">
        <v>102111</v>
      </c>
      <c r="B4799" s="272" t="s">
        <v>13605</v>
      </c>
      <c r="C4799" s="272" t="s">
        <v>109</v>
      </c>
      <c r="D4799" s="273" t="s">
        <v>23643</v>
      </c>
      <c r="E4799" s="274" t="s">
        <v>229</v>
      </c>
    </row>
    <row r="4800" spans="1:5" ht="27">
      <c r="A4800" s="271">
        <v>102112</v>
      </c>
      <c r="B4800" s="272" t="s">
        <v>13606</v>
      </c>
      <c r="C4800" s="272" t="s">
        <v>109</v>
      </c>
      <c r="D4800" s="273" t="s">
        <v>23644</v>
      </c>
      <c r="E4800" s="274" t="s">
        <v>229</v>
      </c>
    </row>
    <row r="4801" spans="1:5" ht="27">
      <c r="A4801" s="271">
        <v>102113</v>
      </c>
      <c r="B4801" s="272" t="s">
        <v>13607</v>
      </c>
      <c r="C4801" s="272" t="s">
        <v>109</v>
      </c>
      <c r="D4801" s="273" t="s">
        <v>23645</v>
      </c>
      <c r="E4801" s="274" t="s">
        <v>229</v>
      </c>
    </row>
    <row r="4802" spans="1:5" ht="27">
      <c r="A4802" s="271">
        <v>102114</v>
      </c>
      <c r="B4802" s="272" t="s">
        <v>13608</v>
      </c>
      <c r="C4802" s="272" t="s">
        <v>109</v>
      </c>
      <c r="D4802" s="273" t="s">
        <v>23646</v>
      </c>
      <c r="E4802" s="274" t="s">
        <v>229</v>
      </c>
    </row>
    <row r="4803" spans="1:5" ht="27">
      <c r="A4803" s="271">
        <v>102115</v>
      </c>
      <c r="B4803" s="272" t="s">
        <v>13609</v>
      </c>
      <c r="C4803" s="272" t="s">
        <v>109</v>
      </c>
      <c r="D4803" s="273" t="s">
        <v>23647</v>
      </c>
      <c r="E4803" s="274" t="s">
        <v>229</v>
      </c>
    </row>
    <row r="4804" spans="1:5" ht="27">
      <c r="A4804" s="271">
        <v>102116</v>
      </c>
      <c r="B4804" s="272" t="s">
        <v>13610</v>
      </c>
      <c r="C4804" s="272" t="s">
        <v>109</v>
      </c>
      <c r="D4804" s="273" t="s">
        <v>23648</v>
      </c>
      <c r="E4804" s="274" t="s">
        <v>229</v>
      </c>
    </row>
    <row r="4805" spans="1:5" ht="27">
      <c r="A4805" s="271">
        <v>102117</v>
      </c>
      <c r="B4805" s="272" t="s">
        <v>13611</v>
      </c>
      <c r="C4805" s="272" t="s">
        <v>109</v>
      </c>
      <c r="D4805" s="273" t="s">
        <v>23649</v>
      </c>
      <c r="E4805" s="274" t="s">
        <v>229</v>
      </c>
    </row>
    <row r="4806" spans="1:5" ht="27">
      <c r="A4806" s="271">
        <v>102118</v>
      </c>
      <c r="B4806" s="272" t="s">
        <v>13612</v>
      </c>
      <c r="C4806" s="272" t="s">
        <v>109</v>
      </c>
      <c r="D4806" s="273" t="s">
        <v>16509</v>
      </c>
      <c r="E4806" s="274" t="s">
        <v>229</v>
      </c>
    </row>
    <row r="4807" spans="1:5" ht="27">
      <c r="A4807" s="271">
        <v>102119</v>
      </c>
      <c r="B4807" s="272" t="s">
        <v>13613</v>
      </c>
      <c r="C4807" s="272" t="s">
        <v>109</v>
      </c>
      <c r="D4807" s="273" t="s">
        <v>23650</v>
      </c>
      <c r="E4807" s="274" t="s">
        <v>229</v>
      </c>
    </row>
    <row r="4808" spans="1:5" ht="27">
      <c r="A4808" s="271">
        <v>102121</v>
      </c>
      <c r="B4808" s="272" t="s">
        <v>13614</v>
      </c>
      <c r="C4808" s="272" t="s">
        <v>109</v>
      </c>
      <c r="D4808" s="273" t="s">
        <v>23651</v>
      </c>
      <c r="E4808" s="274" t="s">
        <v>229</v>
      </c>
    </row>
    <row r="4809" spans="1:5" ht="27">
      <c r="A4809" s="271">
        <v>102122</v>
      </c>
      <c r="B4809" s="272" t="s">
        <v>13615</v>
      </c>
      <c r="C4809" s="272" t="s">
        <v>109</v>
      </c>
      <c r="D4809" s="273" t="s">
        <v>23652</v>
      </c>
      <c r="E4809" s="274" t="s">
        <v>229</v>
      </c>
    </row>
    <row r="4810" spans="1:5" ht="27">
      <c r="A4810" s="271">
        <v>102123</v>
      </c>
      <c r="B4810" s="272" t="s">
        <v>13616</v>
      </c>
      <c r="C4810" s="272" t="s">
        <v>109</v>
      </c>
      <c r="D4810" s="273" t="s">
        <v>23653</v>
      </c>
      <c r="E4810" s="274" t="s">
        <v>229</v>
      </c>
    </row>
    <row r="4811" spans="1:5" ht="27">
      <c r="A4811" s="271">
        <v>102136</v>
      </c>
      <c r="B4811" s="272" t="s">
        <v>13617</v>
      </c>
      <c r="C4811" s="272" t="s">
        <v>109</v>
      </c>
      <c r="D4811" s="273" t="s">
        <v>23654</v>
      </c>
      <c r="E4811" s="274" t="s">
        <v>229</v>
      </c>
    </row>
    <row r="4812" spans="1:5" ht="27">
      <c r="A4812" s="271">
        <v>102137</v>
      </c>
      <c r="B4812" s="272" t="s">
        <v>13618</v>
      </c>
      <c r="C4812" s="272" t="s">
        <v>109</v>
      </c>
      <c r="D4812" s="273" t="s">
        <v>23655</v>
      </c>
      <c r="E4812" s="274" t="s">
        <v>229</v>
      </c>
    </row>
    <row r="4813" spans="1:5" ht="27">
      <c r="A4813" s="271">
        <v>102138</v>
      </c>
      <c r="B4813" s="272" t="s">
        <v>13619</v>
      </c>
      <c r="C4813" s="272" t="s">
        <v>109</v>
      </c>
      <c r="D4813" s="273" t="s">
        <v>23656</v>
      </c>
      <c r="E4813" s="274" t="s">
        <v>229</v>
      </c>
    </row>
    <row r="4814" spans="1:5" ht="54">
      <c r="A4814" s="271">
        <v>93350</v>
      </c>
      <c r="B4814" s="272" t="s">
        <v>2453</v>
      </c>
      <c r="C4814" s="272" t="s">
        <v>109</v>
      </c>
      <c r="D4814" s="273" t="s">
        <v>23657</v>
      </c>
      <c r="E4814" s="274" t="s">
        <v>229</v>
      </c>
    </row>
    <row r="4815" spans="1:5" ht="54">
      <c r="A4815" s="271">
        <v>93351</v>
      </c>
      <c r="B4815" s="272" t="s">
        <v>2454</v>
      </c>
      <c r="C4815" s="272" t="s">
        <v>109</v>
      </c>
      <c r="D4815" s="273" t="s">
        <v>23658</v>
      </c>
      <c r="E4815" s="274" t="s">
        <v>229</v>
      </c>
    </row>
    <row r="4816" spans="1:5" ht="54">
      <c r="A4816" s="271">
        <v>93352</v>
      </c>
      <c r="B4816" s="272" t="s">
        <v>2455</v>
      </c>
      <c r="C4816" s="272" t="s">
        <v>109</v>
      </c>
      <c r="D4816" s="273" t="s">
        <v>23659</v>
      </c>
      <c r="E4816" s="274" t="s">
        <v>229</v>
      </c>
    </row>
    <row r="4817" spans="1:5" ht="54">
      <c r="A4817" s="271">
        <v>93353</v>
      </c>
      <c r="B4817" s="272" t="s">
        <v>2456</v>
      </c>
      <c r="C4817" s="272" t="s">
        <v>109</v>
      </c>
      <c r="D4817" s="273" t="s">
        <v>23660</v>
      </c>
      <c r="E4817" s="274" t="s">
        <v>229</v>
      </c>
    </row>
    <row r="4818" spans="1:5" ht="54">
      <c r="A4818" s="271">
        <v>93354</v>
      </c>
      <c r="B4818" s="272" t="s">
        <v>2457</v>
      </c>
      <c r="C4818" s="272" t="s">
        <v>109</v>
      </c>
      <c r="D4818" s="273" t="s">
        <v>23661</v>
      </c>
      <c r="E4818" s="274" t="s">
        <v>229</v>
      </c>
    </row>
    <row r="4819" spans="1:5" ht="54">
      <c r="A4819" s="271">
        <v>93355</v>
      </c>
      <c r="B4819" s="272" t="s">
        <v>2458</v>
      </c>
      <c r="C4819" s="272" t="s">
        <v>109</v>
      </c>
      <c r="D4819" s="273" t="s">
        <v>23662</v>
      </c>
      <c r="E4819" s="274" t="s">
        <v>229</v>
      </c>
    </row>
    <row r="4820" spans="1:5" ht="54">
      <c r="A4820" s="271">
        <v>93356</v>
      </c>
      <c r="B4820" s="272" t="s">
        <v>2459</v>
      </c>
      <c r="C4820" s="272" t="s">
        <v>109</v>
      </c>
      <c r="D4820" s="273" t="s">
        <v>16386</v>
      </c>
      <c r="E4820" s="274" t="s">
        <v>229</v>
      </c>
    </row>
    <row r="4821" spans="1:5" ht="54">
      <c r="A4821" s="271">
        <v>93357</v>
      </c>
      <c r="B4821" s="272" t="s">
        <v>2460</v>
      </c>
      <c r="C4821" s="272" t="s">
        <v>109</v>
      </c>
      <c r="D4821" s="273" t="s">
        <v>23663</v>
      </c>
      <c r="E4821" s="274" t="s">
        <v>229</v>
      </c>
    </row>
    <row r="4822" spans="1:5" ht="27">
      <c r="A4822" s="271">
        <v>96520</v>
      </c>
      <c r="B4822" s="272" t="s">
        <v>2461</v>
      </c>
      <c r="C4822" s="272" t="s">
        <v>209</v>
      </c>
      <c r="D4822" s="273" t="s">
        <v>16655</v>
      </c>
      <c r="E4822" s="274" t="s">
        <v>229</v>
      </c>
    </row>
    <row r="4823" spans="1:5" ht="27">
      <c r="A4823" s="271">
        <v>96521</v>
      </c>
      <c r="B4823" s="272" t="s">
        <v>2462</v>
      </c>
      <c r="C4823" s="272" t="s">
        <v>209</v>
      </c>
      <c r="D4823" s="273" t="s">
        <v>16627</v>
      </c>
      <c r="E4823" s="274" t="s">
        <v>229</v>
      </c>
    </row>
    <row r="4824" spans="1:5" ht="27">
      <c r="A4824" s="271">
        <v>96522</v>
      </c>
      <c r="B4824" s="272" t="s">
        <v>2463</v>
      </c>
      <c r="C4824" s="272" t="s">
        <v>209</v>
      </c>
      <c r="D4824" s="273" t="s">
        <v>22123</v>
      </c>
      <c r="E4824" s="274" t="s">
        <v>229</v>
      </c>
    </row>
    <row r="4825" spans="1:5" ht="27">
      <c r="A4825" s="271">
        <v>96523</v>
      </c>
      <c r="B4825" s="272" t="s">
        <v>2464</v>
      </c>
      <c r="C4825" s="272" t="s">
        <v>209</v>
      </c>
      <c r="D4825" s="273" t="s">
        <v>23664</v>
      </c>
      <c r="E4825" s="274" t="s">
        <v>229</v>
      </c>
    </row>
    <row r="4826" spans="1:5" ht="27">
      <c r="A4826" s="271">
        <v>96524</v>
      </c>
      <c r="B4826" s="272" t="s">
        <v>2465</v>
      </c>
      <c r="C4826" s="272" t="s">
        <v>209</v>
      </c>
      <c r="D4826" s="273" t="s">
        <v>23665</v>
      </c>
      <c r="E4826" s="274" t="s">
        <v>229</v>
      </c>
    </row>
    <row r="4827" spans="1:5" ht="27">
      <c r="A4827" s="271">
        <v>96525</v>
      </c>
      <c r="B4827" s="272" t="s">
        <v>2466</v>
      </c>
      <c r="C4827" s="272" t="s">
        <v>209</v>
      </c>
      <c r="D4827" s="273" t="s">
        <v>23666</v>
      </c>
      <c r="E4827" s="274" t="s">
        <v>229</v>
      </c>
    </row>
    <row r="4828" spans="1:5" ht="13.5">
      <c r="A4828" s="271">
        <v>96526</v>
      </c>
      <c r="B4828" s="272" t="s">
        <v>2467</v>
      </c>
      <c r="C4828" s="272" t="s">
        <v>209</v>
      </c>
      <c r="D4828" s="273" t="s">
        <v>23667</v>
      </c>
      <c r="E4828" s="274" t="s">
        <v>229</v>
      </c>
    </row>
    <row r="4829" spans="1:5" ht="13.5">
      <c r="A4829" s="271">
        <v>96527</v>
      </c>
      <c r="B4829" s="272" t="s">
        <v>2468</v>
      </c>
      <c r="C4829" s="272" t="s">
        <v>209</v>
      </c>
      <c r="D4829" s="273" t="s">
        <v>14231</v>
      </c>
      <c r="E4829" s="274" t="s">
        <v>229</v>
      </c>
    </row>
    <row r="4830" spans="1:5" ht="27">
      <c r="A4830" s="271">
        <v>96528</v>
      </c>
      <c r="B4830" s="272" t="s">
        <v>2469</v>
      </c>
      <c r="C4830" s="272" t="s">
        <v>193</v>
      </c>
      <c r="D4830" s="273" t="s">
        <v>23668</v>
      </c>
      <c r="E4830" s="274" t="s">
        <v>229</v>
      </c>
    </row>
    <row r="4831" spans="1:5" ht="27">
      <c r="A4831" s="271">
        <v>101114</v>
      </c>
      <c r="B4831" s="272" t="s">
        <v>13620</v>
      </c>
      <c r="C4831" s="272" t="s">
        <v>209</v>
      </c>
      <c r="D4831" s="273" t="s">
        <v>10790</v>
      </c>
      <c r="E4831" s="274" t="s">
        <v>229</v>
      </c>
    </row>
    <row r="4832" spans="1:5" ht="27">
      <c r="A4832" s="271">
        <v>101115</v>
      </c>
      <c r="B4832" s="272" t="s">
        <v>13621</v>
      </c>
      <c r="C4832" s="272" t="s">
        <v>209</v>
      </c>
      <c r="D4832" s="273" t="s">
        <v>9902</v>
      </c>
      <c r="E4832" s="274" t="s">
        <v>229</v>
      </c>
    </row>
    <row r="4833" spans="1:5" ht="27">
      <c r="A4833" s="271">
        <v>101116</v>
      </c>
      <c r="B4833" s="272" t="s">
        <v>13622</v>
      </c>
      <c r="C4833" s="272" t="s">
        <v>209</v>
      </c>
      <c r="D4833" s="273" t="s">
        <v>12214</v>
      </c>
      <c r="E4833" s="274" t="s">
        <v>229</v>
      </c>
    </row>
    <row r="4834" spans="1:5" ht="27">
      <c r="A4834" s="271">
        <v>101117</v>
      </c>
      <c r="B4834" s="272" t="s">
        <v>13623</v>
      </c>
      <c r="C4834" s="272" t="s">
        <v>209</v>
      </c>
      <c r="D4834" s="273" t="s">
        <v>12254</v>
      </c>
      <c r="E4834" s="274" t="s">
        <v>229</v>
      </c>
    </row>
    <row r="4835" spans="1:5" ht="27">
      <c r="A4835" s="271">
        <v>101118</v>
      </c>
      <c r="B4835" s="272" t="s">
        <v>13624</v>
      </c>
      <c r="C4835" s="272" t="s">
        <v>209</v>
      </c>
      <c r="D4835" s="273" t="s">
        <v>12155</v>
      </c>
      <c r="E4835" s="274" t="s">
        <v>229</v>
      </c>
    </row>
    <row r="4836" spans="1:5" ht="27">
      <c r="A4836" s="271">
        <v>101119</v>
      </c>
      <c r="B4836" s="272" t="s">
        <v>13625</v>
      </c>
      <c r="C4836" s="272" t="s">
        <v>209</v>
      </c>
      <c r="D4836" s="273" t="s">
        <v>11244</v>
      </c>
      <c r="E4836" s="274" t="s">
        <v>229</v>
      </c>
    </row>
    <row r="4837" spans="1:5" ht="27">
      <c r="A4837" s="271">
        <v>101120</v>
      </c>
      <c r="B4837" s="272" t="s">
        <v>13626</v>
      </c>
      <c r="C4837" s="272" t="s">
        <v>209</v>
      </c>
      <c r="D4837" s="273" t="s">
        <v>16008</v>
      </c>
      <c r="E4837" s="274" t="s">
        <v>229</v>
      </c>
    </row>
    <row r="4838" spans="1:5" ht="27">
      <c r="A4838" s="271">
        <v>101121</v>
      </c>
      <c r="B4838" s="272" t="s">
        <v>13627</v>
      </c>
      <c r="C4838" s="272" t="s">
        <v>209</v>
      </c>
      <c r="D4838" s="273" t="s">
        <v>10041</v>
      </c>
      <c r="E4838" s="274" t="s">
        <v>229</v>
      </c>
    </row>
    <row r="4839" spans="1:5" ht="27">
      <c r="A4839" s="271">
        <v>101122</v>
      </c>
      <c r="B4839" s="272" t="s">
        <v>13628</v>
      </c>
      <c r="C4839" s="272" t="s">
        <v>209</v>
      </c>
      <c r="D4839" s="273" t="s">
        <v>11324</v>
      </c>
      <c r="E4839" s="274" t="s">
        <v>229</v>
      </c>
    </row>
    <row r="4840" spans="1:5" ht="27">
      <c r="A4840" s="271">
        <v>101123</v>
      </c>
      <c r="B4840" s="272" t="s">
        <v>13629</v>
      </c>
      <c r="C4840" s="272" t="s">
        <v>209</v>
      </c>
      <c r="D4840" s="273" t="s">
        <v>10899</v>
      </c>
      <c r="E4840" s="274" t="s">
        <v>229</v>
      </c>
    </row>
    <row r="4841" spans="1:5" ht="27">
      <c r="A4841" s="271">
        <v>101124</v>
      </c>
      <c r="B4841" s="272" t="s">
        <v>13630</v>
      </c>
      <c r="C4841" s="272" t="s">
        <v>209</v>
      </c>
      <c r="D4841" s="273" t="s">
        <v>10591</v>
      </c>
      <c r="E4841" s="274" t="s">
        <v>229</v>
      </c>
    </row>
    <row r="4842" spans="1:5" ht="27">
      <c r="A4842" s="271">
        <v>101125</v>
      </c>
      <c r="B4842" s="272" t="s">
        <v>13631</v>
      </c>
      <c r="C4842" s="272" t="s">
        <v>209</v>
      </c>
      <c r="D4842" s="273" t="s">
        <v>10486</v>
      </c>
      <c r="E4842" s="274" t="s">
        <v>229</v>
      </c>
    </row>
    <row r="4843" spans="1:5" ht="27">
      <c r="A4843" s="271">
        <v>101126</v>
      </c>
      <c r="B4843" s="272" t="s">
        <v>13632</v>
      </c>
      <c r="C4843" s="272" t="s">
        <v>209</v>
      </c>
      <c r="D4843" s="273" t="s">
        <v>11302</v>
      </c>
      <c r="E4843" s="274" t="s">
        <v>229</v>
      </c>
    </row>
    <row r="4844" spans="1:5" ht="27">
      <c r="A4844" s="271">
        <v>101127</v>
      </c>
      <c r="B4844" s="272" t="s">
        <v>13633</v>
      </c>
      <c r="C4844" s="272" t="s">
        <v>209</v>
      </c>
      <c r="D4844" s="273" t="s">
        <v>11234</v>
      </c>
      <c r="E4844" s="274" t="s">
        <v>229</v>
      </c>
    </row>
    <row r="4845" spans="1:5" ht="27">
      <c r="A4845" s="271">
        <v>101128</v>
      </c>
      <c r="B4845" s="272" t="s">
        <v>13634</v>
      </c>
      <c r="C4845" s="272" t="s">
        <v>209</v>
      </c>
      <c r="D4845" s="273" t="s">
        <v>10124</v>
      </c>
      <c r="E4845" s="274" t="s">
        <v>229</v>
      </c>
    </row>
    <row r="4846" spans="1:5" ht="27">
      <c r="A4846" s="271">
        <v>101129</v>
      </c>
      <c r="B4846" s="272" t="s">
        <v>13635</v>
      </c>
      <c r="C4846" s="272" t="s">
        <v>209</v>
      </c>
      <c r="D4846" s="273" t="s">
        <v>15975</v>
      </c>
      <c r="E4846" s="274" t="s">
        <v>229</v>
      </c>
    </row>
    <row r="4847" spans="1:5" ht="27">
      <c r="A4847" s="271">
        <v>101130</v>
      </c>
      <c r="B4847" s="272" t="s">
        <v>13636</v>
      </c>
      <c r="C4847" s="272" t="s">
        <v>209</v>
      </c>
      <c r="D4847" s="273" t="s">
        <v>16205</v>
      </c>
      <c r="E4847" s="274" t="s">
        <v>229</v>
      </c>
    </row>
    <row r="4848" spans="1:5" ht="27">
      <c r="A4848" s="271">
        <v>101131</v>
      </c>
      <c r="B4848" s="272" t="s">
        <v>13637</v>
      </c>
      <c r="C4848" s="272" t="s">
        <v>209</v>
      </c>
      <c r="D4848" s="273" t="s">
        <v>14083</v>
      </c>
      <c r="E4848" s="274" t="s">
        <v>229</v>
      </c>
    </row>
    <row r="4849" spans="1:5" ht="27">
      <c r="A4849" s="271">
        <v>101132</v>
      </c>
      <c r="B4849" s="272" t="s">
        <v>13638</v>
      </c>
      <c r="C4849" s="272" t="s">
        <v>209</v>
      </c>
      <c r="D4849" s="273" t="s">
        <v>10879</v>
      </c>
      <c r="E4849" s="274" t="s">
        <v>229</v>
      </c>
    </row>
    <row r="4850" spans="1:5" ht="27">
      <c r="A4850" s="271">
        <v>101133</v>
      </c>
      <c r="B4850" s="272" t="s">
        <v>13639</v>
      </c>
      <c r="C4850" s="272" t="s">
        <v>209</v>
      </c>
      <c r="D4850" s="273" t="s">
        <v>23669</v>
      </c>
      <c r="E4850" s="274" t="s">
        <v>229</v>
      </c>
    </row>
    <row r="4851" spans="1:5" ht="40.5">
      <c r="A4851" s="271">
        <v>101134</v>
      </c>
      <c r="B4851" s="272" t="s">
        <v>13640</v>
      </c>
      <c r="C4851" s="272" t="s">
        <v>209</v>
      </c>
      <c r="D4851" s="273" t="s">
        <v>10851</v>
      </c>
      <c r="E4851" s="274" t="s">
        <v>229</v>
      </c>
    </row>
    <row r="4852" spans="1:5" ht="40.5">
      <c r="A4852" s="271">
        <v>101135</v>
      </c>
      <c r="B4852" s="272" t="s">
        <v>13641</v>
      </c>
      <c r="C4852" s="272" t="s">
        <v>209</v>
      </c>
      <c r="D4852" s="273" t="s">
        <v>9898</v>
      </c>
      <c r="E4852" s="274" t="s">
        <v>229</v>
      </c>
    </row>
    <row r="4853" spans="1:5" ht="40.5">
      <c r="A4853" s="271">
        <v>101136</v>
      </c>
      <c r="B4853" s="272" t="s">
        <v>13642</v>
      </c>
      <c r="C4853" s="272" t="s">
        <v>209</v>
      </c>
      <c r="D4853" s="273" t="s">
        <v>18969</v>
      </c>
      <c r="E4853" s="274" t="s">
        <v>229</v>
      </c>
    </row>
    <row r="4854" spans="1:5" ht="40.5">
      <c r="A4854" s="271">
        <v>101137</v>
      </c>
      <c r="B4854" s="272" t="s">
        <v>13643</v>
      </c>
      <c r="C4854" s="272" t="s">
        <v>209</v>
      </c>
      <c r="D4854" s="273" t="s">
        <v>20666</v>
      </c>
      <c r="E4854" s="274" t="s">
        <v>229</v>
      </c>
    </row>
    <row r="4855" spans="1:5" ht="40.5">
      <c r="A4855" s="271">
        <v>101138</v>
      </c>
      <c r="B4855" s="272" t="s">
        <v>13644</v>
      </c>
      <c r="C4855" s="272" t="s">
        <v>209</v>
      </c>
      <c r="D4855" s="273" t="s">
        <v>9814</v>
      </c>
      <c r="E4855" s="274" t="s">
        <v>229</v>
      </c>
    </row>
    <row r="4856" spans="1:5" ht="40.5">
      <c r="A4856" s="271">
        <v>101139</v>
      </c>
      <c r="B4856" s="272" t="s">
        <v>13645</v>
      </c>
      <c r="C4856" s="272" t="s">
        <v>209</v>
      </c>
      <c r="D4856" s="273" t="s">
        <v>19298</v>
      </c>
      <c r="E4856" s="274" t="s">
        <v>229</v>
      </c>
    </row>
    <row r="4857" spans="1:5" ht="40.5">
      <c r="A4857" s="271">
        <v>101140</v>
      </c>
      <c r="B4857" s="272" t="s">
        <v>13646</v>
      </c>
      <c r="C4857" s="272" t="s">
        <v>209</v>
      </c>
      <c r="D4857" s="273" t="s">
        <v>10835</v>
      </c>
      <c r="E4857" s="274" t="s">
        <v>229</v>
      </c>
    </row>
    <row r="4858" spans="1:5" ht="40.5">
      <c r="A4858" s="271">
        <v>101141</v>
      </c>
      <c r="B4858" s="272" t="s">
        <v>13647</v>
      </c>
      <c r="C4858" s="272" t="s">
        <v>209</v>
      </c>
      <c r="D4858" s="273" t="s">
        <v>11240</v>
      </c>
      <c r="E4858" s="274" t="s">
        <v>229</v>
      </c>
    </row>
    <row r="4859" spans="1:5" ht="40.5">
      <c r="A4859" s="271">
        <v>101142</v>
      </c>
      <c r="B4859" s="272" t="s">
        <v>13648</v>
      </c>
      <c r="C4859" s="272" t="s">
        <v>209</v>
      </c>
      <c r="D4859" s="273" t="s">
        <v>14045</v>
      </c>
      <c r="E4859" s="274" t="s">
        <v>229</v>
      </c>
    </row>
    <row r="4860" spans="1:5" ht="40.5">
      <c r="A4860" s="271">
        <v>101143</v>
      </c>
      <c r="B4860" s="272" t="s">
        <v>13649</v>
      </c>
      <c r="C4860" s="272" t="s">
        <v>209</v>
      </c>
      <c r="D4860" s="273" t="s">
        <v>14237</v>
      </c>
      <c r="E4860" s="274" t="s">
        <v>229</v>
      </c>
    </row>
    <row r="4861" spans="1:5" ht="40.5">
      <c r="A4861" s="271">
        <v>101144</v>
      </c>
      <c r="B4861" s="272" t="s">
        <v>13650</v>
      </c>
      <c r="C4861" s="272" t="s">
        <v>209</v>
      </c>
      <c r="D4861" s="273" t="s">
        <v>10196</v>
      </c>
      <c r="E4861" s="274" t="s">
        <v>229</v>
      </c>
    </row>
    <row r="4862" spans="1:5" ht="40.5">
      <c r="A4862" s="271">
        <v>101145</v>
      </c>
      <c r="B4862" s="272" t="s">
        <v>13651</v>
      </c>
      <c r="C4862" s="272" t="s">
        <v>209</v>
      </c>
      <c r="D4862" s="273" t="s">
        <v>12327</v>
      </c>
      <c r="E4862" s="274" t="s">
        <v>229</v>
      </c>
    </row>
    <row r="4863" spans="1:5" ht="40.5">
      <c r="A4863" s="271">
        <v>101146</v>
      </c>
      <c r="B4863" s="272" t="s">
        <v>13652</v>
      </c>
      <c r="C4863" s="272" t="s">
        <v>209</v>
      </c>
      <c r="D4863" s="273" t="s">
        <v>10032</v>
      </c>
      <c r="E4863" s="274" t="s">
        <v>229</v>
      </c>
    </row>
    <row r="4864" spans="1:5" ht="40.5">
      <c r="A4864" s="271">
        <v>101147</v>
      </c>
      <c r="B4864" s="272" t="s">
        <v>13653</v>
      </c>
      <c r="C4864" s="272" t="s">
        <v>209</v>
      </c>
      <c r="D4864" s="273" t="s">
        <v>10522</v>
      </c>
      <c r="E4864" s="274" t="s">
        <v>229</v>
      </c>
    </row>
    <row r="4865" spans="1:5" ht="40.5">
      <c r="A4865" s="271">
        <v>101148</v>
      </c>
      <c r="B4865" s="272" t="s">
        <v>13654</v>
      </c>
      <c r="C4865" s="272" t="s">
        <v>209</v>
      </c>
      <c r="D4865" s="273" t="s">
        <v>16459</v>
      </c>
      <c r="E4865" s="274" t="s">
        <v>229</v>
      </c>
    </row>
    <row r="4866" spans="1:5" ht="40.5">
      <c r="A4866" s="271">
        <v>101149</v>
      </c>
      <c r="B4866" s="272" t="s">
        <v>13655</v>
      </c>
      <c r="C4866" s="272" t="s">
        <v>209</v>
      </c>
      <c r="D4866" s="273" t="s">
        <v>10860</v>
      </c>
      <c r="E4866" s="274" t="s">
        <v>229</v>
      </c>
    </row>
    <row r="4867" spans="1:5" ht="40.5">
      <c r="A4867" s="271">
        <v>101150</v>
      </c>
      <c r="B4867" s="272" t="s">
        <v>13656</v>
      </c>
      <c r="C4867" s="272" t="s">
        <v>209</v>
      </c>
      <c r="D4867" s="273" t="s">
        <v>14143</v>
      </c>
      <c r="E4867" s="274" t="s">
        <v>229</v>
      </c>
    </row>
    <row r="4868" spans="1:5" ht="40.5">
      <c r="A4868" s="271">
        <v>101151</v>
      </c>
      <c r="B4868" s="272" t="s">
        <v>13657</v>
      </c>
      <c r="C4868" s="272" t="s">
        <v>209</v>
      </c>
      <c r="D4868" s="273" t="s">
        <v>14114</v>
      </c>
      <c r="E4868" s="274" t="s">
        <v>229</v>
      </c>
    </row>
    <row r="4869" spans="1:5" ht="40.5">
      <c r="A4869" s="271">
        <v>101152</v>
      </c>
      <c r="B4869" s="272" t="s">
        <v>13658</v>
      </c>
      <c r="C4869" s="272" t="s">
        <v>209</v>
      </c>
      <c r="D4869" s="273" t="s">
        <v>12344</v>
      </c>
      <c r="E4869" s="274" t="s">
        <v>229</v>
      </c>
    </row>
    <row r="4870" spans="1:5" ht="40.5">
      <c r="A4870" s="271">
        <v>101153</v>
      </c>
      <c r="B4870" s="272" t="s">
        <v>13659</v>
      </c>
      <c r="C4870" s="272" t="s">
        <v>209</v>
      </c>
      <c r="D4870" s="273" t="s">
        <v>11243</v>
      </c>
      <c r="E4870" s="274" t="s">
        <v>229</v>
      </c>
    </row>
    <row r="4871" spans="1:5" ht="54">
      <c r="A4871" s="271">
        <v>101206</v>
      </c>
      <c r="B4871" s="272" t="s">
        <v>10804</v>
      </c>
      <c r="C4871" s="272" t="s">
        <v>209</v>
      </c>
      <c r="D4871" s="273" t="s">
        <v>11238</v>
      </c>
      <c r="E4871" s="274" t="s">
        <v>229</v>
      </c>
    </row>
    <row r="4872" spans="1:5" ht="54">
      <c r="A4872" s="271">
        <v>101207</v>
      </c>
      <c r="B4872" s="272" t="s">
        <v>10805</v>
      </c>
      <c r="C4872" s="272" t="s">
        <v>209</v>
      </c>
      <c r="D4872" s="273" t="s">
        <v>20625</v>
      </c>
      <c r="E4872" s="274" t="s">
        <v>229</v>
      </c>
    </row>
    <row r="4873" spans="1:5" ht="54">
      <c r="A4873" s="271">
        <v>101208</v>
      </c>
      <c r="B4873" s="272" t="s">
        <v>10806</v>
      </c>
      <c r="C4873" s="272" t="s">
        <v>209</v>
      </c>
      <c r="D4873" s="273" t="s">
        <v>10156</v>
      </c>
      <c r="E4873" s="274" t="s">
        <v>229</v>
      </c>
    </row>
    <row r="4874" spans="1:5" ht="54">
      <c r="A4874" s="271">
        <v>101209</v>
      </c>
      <c r="B4874" s="272" t="s">
        <v>10808</v>
      </c>
      <c r="C4874" s="272" t="s">
        <v>209</v>
      </c>
      <c r="D4874" s="273" t="s">
        <v>16644</v>
      </c>
      <c r="E4874" s="274" t="s">
        <v>229</v>
      </c>
    </row>
    <row r="4875" spans="1:5" ht="54">
      <c r="A4875" s="271">
        <v>101210</v>
      </c>
      <c r="B4875" s="272" t="s">
        <v>10810</v>
      </c>
      <c r="C4875" s="272" t="s">
        <v>209</v>
      </c>
      <c r="D4875" s="273" t="s">
        <v>12344</v>
      </c>
      <c r="E4875" s="274" t="s">
        <v>229</v>
      </c>
    </row>
    <row r="4876" spans="1:5" ht="54">
      <c r="A4876" s="271">
        <v>101211</v>
      </c>
      <c r="B4876" s="272" t="s">
        <v>10811</v>
      </c>
      <c r="C4876" s="272" t="s">
        <v>209</v>
      </c>
      <c r="D4876" s="273" t="s">
        <v>16203</v>
      </c>
      <c r="E4876" s="274" t="s">
        <v>229</v>
      </c>
    </row>
    <row r="4877" spans="1:5" ht="54">
      <c r="A4877" s="271">
        <v>101212</v>
      </c>
      <c r="B4877" s="272" t="s">
        <v>10812</v>
      </c>
      <c r="C4877" s="272" t="s">
        <v>209</v>
      </c>
      <c r="D4877" s="273" t="s">
        <v>11405</v>
      </c>
      <c r="E4877" s="274" t="s">
        <v>229</v>
      </c>
    </row>
    <row r="4878" spans="1:5" ht="54">
      <c r="A4878" s="271">
        <v>101213</v>
      </c>
      <c r="B4878" s="272" t="s">
        <v>10813</v>
      </c>
      <c r="C4878" s="272" t="s">
        <v>209</v>
      </c>
      <c r="D4878" s="273" t="s">
        <v>12207</v>
      </c>
      <c r="E4878" s="274" t="s">
        <v>229</v>
      </c>
    </row>
    <row r="4879" spans="1:5" ht="54">
      <c r="A4879" s="271">
        <v>101214</v>
      </c>
      <c r="B4879" s="272" t="s">
        <v>10814</v>
      </c>
      <c r="C4879" s="272" t="s">
        <v>209</v>
      </c>
      <c r="D4879" s="273" t="s">
        <v>14222</v>
      </c>
      <c r="E4879" s="274" t="s">
        <v>229</v>
      </c>
    </row>
    <row r="4880" spans="1:5" ht="54">
      <c r="A4880" s="271">
        <v>101215</v>
      </c>
      <c r="B4880" s="272" t="s">
        <v>10815</v>
      </c>
      <c r="C4880" s="272" t="s">
        <v>209</v>
      </c>
      <c r="D4880" s="273" t="s">
        <v>23670</v>
      </c>
      <c r="E4880" s="274" t="s">
        <v>229</v>
      </c>
    </row>
    <row r="4881" spans="1:5" ht="54">
      <c r="A4881" s="271">
        <v>101216</v>
      </c>
      <c r="B4881" s="272" t="s">
        <v>10816</v>
      </c>
      <c r="C4881" s="272" t="s">
        <v>209</v>
      </c>
      <c r="D4881" s="273" t="s">
        <v>10354</v>
      </c>
      <c r="E4881" s="274" t="s">
        <v>229</v>
      </c>
    </row>
    <row r="4882" spans="1:5" ht="54">
      <c r="A4882" s="271">
        <v>101217</v>
      </c>
      <c r="B4882" s="272" t="s">
        <v>10817</v>
      </c>
      <c r="C4882" s="272" t="s">
        <v>209</v>
      </c>
      <c r="D4882" s="273" t="s">
        <v>23671</v>
      </c>
      <c r="E4882" s="274" t="s">
        <v>229</v>
      </c>
    </row>
    <row r="4883" spans="1:5" ht="54">
      <c r="A4883" s="271">
        <v>101218</v>
      </c>
      <c r="B4883" s="272" t="s">
        <v>10819</v>
      </c>
      <c r="C4883" s="272" t="s">
        <v>209</v>
      </c>
      <c r="D4883" s="273" t="s">
        <v>11294</v>
      </c>
      <c r="E4883" s="274" t="s">
        <v>229</v>
      </c>
    </row>
    <row r="4884" spans="1:5" ht="54">
      <c r="A4884" s="271">
        <v>101219</v>
      </c>
      <c r="B4884" s="272" t="s">
        <v>10820</v>
      </c>
      <c r="C4884" s="272" t="s">
        <v>209</v>
      </c>
      <c r="D4884" s="273" t="s">
        <v>16325</v>
      </c>
      <c r="E4884" s="274" t="s">
        <v>229</v>
      </c>
    </row>
    <row r="4885" spans="1:5" ht="54">
      <c r="A4885" s="271">
        <v>101220</v>
      </c>
      <c r="B4885" s="272" t="s">
        <v>10821</v>
      </c>
      <c r="C4885" s="272" t="s">
        <v>209</v>
      </c>
      <c r="D4885" s="273" t="s">
        <v>10879</v>
      </c>
      <c r="E4885" s="274" t="s">
        <v>229</v>
      </c>
    </row>
    <row r="4886" spans="1:5" ht="54">
      <c r="A4886" s="271">
        <v>101221</v>
      </c>
      <c r="B4886" s="272" t="s">
        <v>10823</v>
      </c>
      <c r="C4886" s="272" t="s">
        <v>209</v>
      </c>
      <c r="D4886" s="273" t="s">
        <v>11056</v>
      </c>
      <c r="E4886" s="274" t="s">
        <v>229</v>
      </c>
    </row>
    <row r="4887" spans="1:5" ht="54">
      <c r="A4887" s="271">
        <v>101222</v>
      </c>
      <c r="B4887" s="272" t="s">
        <v>10824</v>
      </c>
      <c r="C4887" s="272" t="s">
        <v>209</v>
      </c>
      <c r="D4887" s="273" t="s">
        <v>14168</v>
      </c>
      <c r="E4887" s="274" t="s">
        <v>229</v>
      </c>
    </row>
    <row r="4888" spans="1:5" ht="54">
      <c r="A4888" s="271">
        <v>101223</v>
      </c>
      <c r="B4888" s="272" t="s">
        <v>10826</v>
      </c>
      <c r="C4888" s="272" t="s">
        <v>209</v>
      </c>
      <c r="D4888" s="273" t="s">
        <v>11127</v>
      </c>
      <c r="E4888" s="274" t="s">
        <v>229</v>
      </c>
    </row>
    <row r="4889" spans="1:5" ht="54">
      <c r="A4889" s="271">
        <v>101224</v>
      </c>
      <c r="B4889" s="272" t="s">
        <v>10827</v>
      </c>
      <c r="C4889" s="272" t="s">
        <v>209</v>
      </c>
      <c r="D4889" s="273" t="s">
        <v>23672</v>
      </c>
      <c r="E4889" s="274" t="s">
        <v>229</v>
      </c>
    </row>
    <row r="4890" spans="1:5" ht="54">
      <c r="A4890" s="271">
        <v>101225</v>
      </c>
      <c r="B4890" s="272" t="s">
        <v>10829</v>
      </c>
      <c r="C4890" s="272" t="s">
        <v>209</v>
      </c>
      <c r="D4890" s="273" t="s">
        <v>10288</v>
      </c>
      <c r="E4890" s="274" t="s">
        <v>229</v>
      </c>
    </row>
    <row r="4891" spans="1:5" ht="54">
      <c r="A4891" s="271">
        <v>101226</v>
      </c>
      <c r="B4891" s="272" t="s">
        <v>10830</v>
      </c>
      <c r="C4891" s="272" t="s">
        <v>209</v>
      </c>
      <c r="D4891" s="273" t="s">
        <v>9802</v>
      </c>
      <c r="E4891" s="274" t="s">
        <v>229</v>
      </c>
    </row>
    <row r="4892" spans="1:5" ht="54">
      <c r="A4892" s="271">
        <v>101227</v>
      </c>
      <c r="B4892" s="272" t="s">
        <v>10831</v>
      </c>
      <c r="C4892" s="272" t="s">
        <v>209</v>
      </c>
      <c r="D4892" s="273" t="s">
        <v>11384</v>
      </c>
      <c r="E4892" s="274" t="s">
        <v>229</v>
      </c>
    </row>
    <row r="4893" spans="1:5" ht="54">
      <c r="A4893" s="271">
        <v>101228</v>
      </c>
      <c r="B4893" s="272" t="s">
        <v>10832</v>
      </c>
      <c r="C4893" s="272" t="s">
        <v>209</v>
      </c>
      <c r="D4893" s="273" t="s">
        <v>11279</v>
      </c>
      <c r="E4893" s="274" t="s">
        <v>229</v>
      </c>
    </row>
    <row r="4894" spans="1:5" ht="54">
      <c r="A4894" s="271">
        <v>101229</v>
      </c>
      <c r="B4894" s="272" t="s">
        <v>10834</v>
      </c>
      <c r="C4894" s="272" t="s">
        <v>209</v>
      </c>
      <c r="D4894" s="273" t="s">
        <v>11350</v>
      </c>
      <c r="E4894" s="274" t="s">
        <v>229</v>
      </c>
    </row>
    <row r="4895" spans="1:5" ht="54">
      <c r="A4895" s="271">
        <v>101230</v>
      </c>
      <c r="B4895" s="272" t="s">
        <v>10836</v>
      </c>
      <c r="C4895" s="272" t="s">
        <v>209</v>
      </c>
      <c r="D4895" s="273" t="s">
        <v>10304</v>
      </c>
      <c r="E4895" s="274" t="s">
        <v>229</v>
      </c>
    </row>
    <row r="4896" spans="1:5" ht="54">
      <c r="A4896" s="271">
        <v>101231</v>
      </c>
      <c r="B4896" s="272" t="s">
        <v>10837</v>
      </c>
      <c r="C4896" s="272" t="s">
        <v>209</v>
      </c>
      <c r="D4896" s="273" t="s">
        <v>23673</v>
      </c>
      <c r="E4896" s="274" t="s">
        <v>229</v>
      </c>
    </row>
    <row r="4897" spans="1:5" ht="54">
      <c r="A4897" s="271">
        <v>101232</v>
      </c>
      <c r="B4897" s="272" t="s">
        <v>10838</v>
      </c>
      <c r="C4897" s="272" t="s">
        <v>209</v>
      </c>
      <c r="D4897" s="273" t="s">
        <v>10197</v>
      </c>
      <c r="E4897" s="274" t="s">
        <v>229</v>
      </c>
    </row>
    <row r="4898" spans="1:5" ht="54">
      <c r="A4898" s="271">
        <v>101233</v>
      </c>
      <c r="B4898" s="272" t="s">
        <v>10839</v>
      </c>
      <c r="C4898" s="272" t="s">
        <v>209</v>
      </c>
      <c r="D4898" s="273" t="s">
        <v>14060</v>
      </c>
      <c r="E4898" s="274" t="s">
        <v>229</v>
      </c>
    </row>
    <row r="4899" spans="1:5" ht="54">
      <c r="A4899" s="271">
        <v>101234</v>
      </c>
      <c r="B4899" s="272" t="s">
        <v>10841</v>
      </c>
      <c r="C4899" s="272" t="s">
        <v>209</v>
      </c>
      <c r="D4899" s="273" t="s">
        <v>10076</v>
      </c>
      <c r="E4899" s="274" t="s">
        <v>229</v>
      </c>
    </row>
    <row r="4900" spans="1:5" ht="54">
      <c r="A4900" s="271">
        <v>101235</v>
      </c>
      <c r="B4900" s="272" t="s">
        <v>10843</v>
      </c>
      <c r="C4900" s="272" t="s">
        <v>209</v>
      </c>
      <c r="D4900" s="273" t="s">
        <v>12368</v>
      </c>
      <c r="E4900" s="274" t="s">
        <v>229</v>
      </c>
    </row>
    <row r="4901" spans="1:5" ht="54">
      <c r="A4901" s="271">
        <v>101236</v>
      </c>
      <c r="B4901" s="272" t="s">
        <v>10844</v>
      </c>
      <c r="C4901" s="272" t="s">
        <v>209</v>
      </c>
      <c r="D4901" s="273" t="s">
        <v>10096</v>
      </c>
      <c r="E4901" s="274" t="s">
        <v>229</v>
      </c>
    </row>
    <row r="4902" spans="1:5" ht="54">
      <c r="A4902" s="271">
        <v>101237</v>
      </c>
      <c r="B4902" s="272" t="s">
        <v>10845</v>
      </c>
      <c r="C4902" s="272" t="s">
        <v>209</v>
      </c>
      <c r="D4902" s="273" t="s">
        <v>11277</v>
      </c>
      <c r="E4902" s="274" t="s">
        <v>229</v>
      </c>
    </row>
    <row r="4903" spans="1:5" ht="54">
      <c r="A4903" s="271">
        <v>101238</v>
      </c>
      <c r="B4903" s="272" t="s">
        <v>10846</v>
      </c>
      <c r="C4903" s="272" t="s">
        <v>209</v>
      </c>
      <c r="D4903" s="273" t="s">
        <v>11124</v>
      </c>
      <c r="E4903" s="274" t="s">
        <v>229</v>
      </c>
    </row>
    <row r="4904" spans="1:5" ht="54">
      <c r="A4904" s="271">
        <v>101239</v>
      </c>
      <c r="B4904" s="272" t="s">
        <v>10847</v>
      </c>
      <c r="C4904" s="272" t="s">
        <v>209</v>
      </c>
      <c r="D4904" s="273" t="s">
        <v>10851</v>
      </c>
      <c r="E4904" s="274" t="s">
        <v>229</v>
      </c>
    </row>
    <row r="4905" spans="1:5" ht="54">
      <c r="A4905" s="271">
        <v>101240</v>
      </c>
      <c r="B4905" s="272" t="s">
        <v>10848</v>
      </c>
      <c r="C4905" s="272" t="s">
        <v>209</v>
      </c>
      <c r="D4905" s="273" t="s">
        <v>9802</v>
      </c>
      <c r="E4905" s="274" t="s">
        <v>229</v>
      </c>
    </row>
    <row r="4906" spans="1:5" ht="54">
      <c r="A4906" s="271">
        <v>101241</v>
      </c>
      <c r="B4906" s="272" t="s">
        <v>10849</v>
      </c>
      <c r="C4906" s="272" t="s">
        <v>209</v>
      </c>
      <c r="D4906" s="273" t="s">
        <v>10663</v>
      </c>
      <c r="E4906" s="274" t="s">
        <v>229</v>
      </c>
    </row>
    <row r="4907" spans="1:5" ht="54">
      <c r="A4907" s="271">
        <v>101242</v>
      </c>
      <c r="B4907" s="272" t="s">
        <v>10850</v>
      </c>
      <c r="C4907" s="272" t="s">
        <v>209</v>
      </c>
      <c r="D4907" s="273" t="s">
        <v>11463</v>
      </c>
      <c r="E4907" s="274" t="s">
        <v>229</v>
      </c>
    </row>
    <row r="4908" spans="1:5" ht="54">
      <c r="A4908" s="271">
        <v>101243</v>
      </c>
      <c r="B4908" s="272" t="s">
        <v>10852</v>
      </c>
      <c r="C4908" s="272" t="s">
        <v>209</v>
      </c>
      <c r="D4908" s="273" t="s">
        <v>14161</v>
      </c>
      <c r="E4908" s="274" t="s">
        <v>229</v>
      </c>
    </row>
    <row r="4909" spans="1:5" ht="54">
      <c r="A4909" s="271">
        <v>101244</v>
      </c>
      <c r="B4909" s="272" t="s">
        <v>10854</v>
      </c>
      <c r="C4909" s="272" t="s">
        <v>209</v>
      </c>
      <c r="D4909" s="273" t="s">
        <v>10545</v>
      </c>
      <c r="E4909" s="274" t="s">
        <v>229</v>
      </c>
    </row>
    <row r="4910" spans="1:5" ht="54">
      <c r="A4910" s="271">
        <v>101245</v>
      </c>
      <c r="B4910" s="272" t="s">
        <v>10855</v>
      </c>
      <c r="C4910" s="272" t="s">
        <v>209</v>
      </c>
      <c r="D4910" s="273" t="s">
        <v>10563</v>
      </c>
      <c r="E4910" s="274" t="s">
        <v>229</v>
      </c>
    </row>
    <row r="4911" spans="1:5" ht="54">
      <c r="A4911" s="271">
        <v>101246</v>
      </c>
      <c r="B4911" s="272" t="s">
        <v>10856</v>
      </c>
      <c r="C4911" s="272" t="s">
        <v>209</v>
      </c>
      <c r="D4911" s="273" t="s">
        <v>23674</v>
      </c>
      <c r="E4911" s="274" t="s">
        <v>229</v>
      </c>
    </row>
    <row r="4912" spans="1:5" ht="54">
      <c r="A4912" s="271">
        <v>101247</v>
      </c>
      <c r="B4912" s="272" t="s">
        <v>10858</v>
      </c>
      <c r="C4912" s="272" t="s">
        <v>209</v>
      </c>
      <c r="D4912" s="273" t="s">
        <v>10971</v>
      </c>
      <c r="E4912" s="274" t="s">
        <v>229</v>
      </c>
    </row>
    <row r="4913" spans="1:5" ht="54">
      <c r="A4913" s="271">
        <v>101248</v>
      </c>
      <c r="B4913" s="272" t="s">
        <v>10859</v>
      </c>
      <c r="C4913" s="272" t="s">
        <v>209</v>
      </c>
      <c r="D4913" s="273" t="s">
        <v>9973</v>
      </c>
      <c r="E4913" s="274" t="s">
        <v>229</v>
      </c>
    </row>
    <row r="4914" spans="1:5" ht="54">
      <c r="A4914" s="271">
        <v>101249</v>
      </c>
      <c r="B4914" s="272" t="s">
        <v>10861</v>
      </c>
      <c r="C4914" s="272" t="s">
        <v>209</v>
      </c>
      <c r="D4914" s="273" t="s">
        <v>10505</v>
      </c>
      <c r="E4914" s="274" t="s">
        <v>229</v>
      </c>
    </row>
    <row r="4915" spans="1:5" ht="54">
      <c r="A4915" s="271">
        <v>101250</v>
      </c>
      <c r="B4915" s="272" t="s">
        <v>10862</v>
      </c>
      <c r="C4915" s="272" t="s">
        <v>209</v>
      </c>
      <c r="D4915" s="273" t="s">
        <v>14115</v>
      </c>
      <c r="E4915" s="274" t="s">
        <v>229</v>
      </c>
    </row>
    <row r="4916" spans="1:5" ht="54">
      <c r="A4916" s="271">
        <v>101251</v>
      </c>
      <c r="B4916" s="272" t="s">
        <v>10863</v>
      </c>
      <c r="C4916" s="272" t="s">
        <v>209</v>
      </c>
      <c r="D4916" s="273" t="s">
        <v>10242</v>
      </c>
      <c r="E4916" s="274" t="s">
        <v>229</v>
      </c>
    </row>
    <row r="4917" spans="1:5" ht="54">
      <c r="A4917" s="271">
        <v>101252</v>
      </c>
      <c r="B4917" s="272" t="s">
        <v>10864</v>
      </c>
      <c r="C4917" s="272" t="s">
        <v>209</v>
      </c>
      <c r="D4917" s="273" t="s">
        <v>20977</v>
      </c>
      <c r="E4917" s="274" t="s">
        <v>229</v>
      </c>
    </row>
    <row r="4918" spans="1:5" ht="54">
      <c r="A4918" s="271">
        <v>101253</v>
      </c>
      <c r="B4918" s="272" t="s">
        <v>10866</v>
      </c>
      <c r="C4918" s="272" t="s">
        <v>209</v>
      </c>
      <c r="D4918" s="273" t="s">
        <v>23675</v>
      </c>
      <c r="E4918" s="274" t="s">
        <v>229</v>
      </c>
    </row>
    <row r="4919" spans="1:5" ht="54">
      <c r="A4919" s="271">
        <v>101254</v>
      </c>
      <c r="B4919" s="272" t="s">
        <v>10868</v>
      </c>
      <c r="C4919" s="272" t="s">
        <v>209</v>
      </c>
      <c r="D4919" s="273" t="s">
        <v>10556</v>
      </c>
      <c r="E4919" s="274" t="s">
        <v>229</v>
      </c>
    </row>
    <row r="4920" spans="1:5" ht="54">
      <c r="A4920" s="271">
        <v>101255</v>
      </c>
      <c r="B4920" s="272" t="s">
        <v>10869</v>
      </c>
      <c r="C4920" s="272" t="s">
        <v>209</v>
      </c>
      <c r="D4920" s="273" t="s">
        <v>10240</v>
      </c>
      <c r="E4920" s="274" t="s">
        <v>229</v>
      </c>
    </row>
    <row r="4921" spans="1:5" ht="54">
      <c r="A4921" s="271">
        <v>101256</v>
      </c>
      <c r="B4921" s="272" t="s">
        <v>10870</v>
      </c>
      <c r="C4921" s="272" t="s">
        <v>209</v>
      </c>
      <c r="D4921" s="273" t="s">
        <v>18770</v>
      </c>
      <c r="E4921" s="274" t="s">
        <v>229</v>
      </c>
    </row>
    <row r="4922" spans="1:5" ht="54">
      <c r="A4922" s="271">
        <v>101257</v>
      </c>
      <c r="B4922" s="272" t="s">
        <v>10872</v>
      </c>
      <c r="C4922" s="272" t="s">
        <v>209</v>
      </c>
      <c r="D4922" s="273" t="s">
        <v>11376</v>
      </c>
      <c r="E4922" s="274" t="s">
        <v>229</v>
      </c>
    </row>
    <row r="4923" spans="1:5" ht="54">
      <c r="A4923" s="271">
        <v>101258</v>
      </c>
      <c r="B4923" s="272" t="s">
        <v>10873</v>
      </c>
      <c r="C4923" s="272" t="s">
        <v>209</v>
      </c>
      <c r="D4923" s="273" t="s">
        <v>9948</v>
      </c>
      <c r="E4923" s="274" t="s">
        <v>229</v>
      </c>
    </row>
    <row r="4924" spans="1:5" ht="54">
      <c r="A4924" s="271">
        <v>101259</v>
      </c>
      <c r="B4924" s="272" t="s">
        <v>10874</v>
      </c>
      <c r="C4924" s="272" t="s">
        <v>209</v>
      </c>
      <c r="D4924" s="273" t="s">
        <v>10993</v>
      </c>
      <c r="E4924" s="274" t="s">
        <v>229</v>
      </c>
    </row>
    <row r="4925" spans="1:5" ht="54">
      <c r="A4925" s="271">
        <v>101260</v>
      </c>
      <c r="B4925" s="272" t="s">
        <v>10875</v>
      </c>
      <c r="C4925" s="272" t="s">
        <v>209</v>
      </c>
      <c r="D4925" s="273" t="s">
        <v>10669</v>
      </c>
      <c r="E4925" s="274" t="s">
        <v>229</v>
      </c>
    </row>
    <row r="4926" spans="1:5" ht="54">
      <c r="A4926" s="271">
        <v>101261</v>
      </c>
      <c r="B4926" s="272" t="s">
        <v>10876</v>
      </c>
      <c r="C4926" s="272" t="s">
        <v>209</v>
      </c>
      <c r="D4926" s="273" t="s">
        <v>9758</v>
      </c>
      <c r="E4926" s="274" t="s">
        <v>229</v>
      </c>
    </row>
    <row r="4927" spans="1:5" ht="54">
      <c r="A4927" s="271">
        <v>101262</v>
      </c>
      <c r="B4927" s="272" t="s">
        <v>10877</v>
      </c>
      <c r="C4927" s="272" t="s">
        <v>209</v>
      </c>
      <c r="D4927" s="273" t="s">
        <v>10203</v>
      </c>
      <c r="E4927" s="274" t="s">
        <v>229</v>
      </c>
    </row>
    <row r="4928" spans="1:5" ht="54">
      <c r="A4928" s="271">
        <v>101263</v>
      </c>
      <c r="B4928" s="272" t="s">
        <v>10878</v>
      </c>
      <c r="C4928" s="272" t="s">
        <v>209</v>
      </c>
      <c r="D4928" s="273" t="s">
        <v>16118</v>
      </c>
      <c r="E4928" s="274" t="s">
        <v>229</v>
      </c>
    </row>
    <row r="4929" spans="1:5" ht="54">
      <c r="A4929" s="271">
        <v>101264</v>
      </c>
      <c r="B4929" s="272" t="s">
        <v>10880</v>
      </c>
      <c r="C4929" s="272" t="s">
        <v>209</v>
      </c>
      <c r="D4929" s="273" t="s">
        <v>11478</v>
      </c>
      <c r="E4929" s="274" t="s">
        <v>229</v>
      </c>
    </row>
    <row r="4930" spans="1:5" ht="54">
      <c r="A4930" s="271">
        <v>101265</v>
      </c>
      <c r="B4930" s="272" t="s">
        <v>10881</v>
      </c>
      <c r="C4930" s="272" t="s">
        <v>209</v>
      </c>
      <c r="D4930" s="273" t="s">
        <v>16653</v>
      </c>
      <c r="E4930" s="274" t="s">
        <v>229</v>
      </c>
    </row>
    <row r="4931" spans="1:5" ht="54">
      <c r="A4931" s="271">
        <v>101266</v>
      </c>
      <c r="B4931" s="272" t="s">
        <v>10882</v>
      </c>
      <c r="C4931" s="272" t="s">
        <v>209</v>
      </c>
      <c r="D4931" s="273" t="s">
        <v>23676</v>
      </c>
      <c r="E4931" s="274" t="s">
        <v>229</v>
      </c>
    </row>
    <row r="4932" spans="1:5" ht="54">
      <c r="A4932" s="271">
        <v>101267</v>
      </c>
      <c r="B4932" s="272" t="s">
        <v>10883</v>
      </c>
      <c r="C4932" s="272" t="s">
        <v>209</v>
      </c>
      <c r="D4932" s="273" t="s">
        <v>10298</v>
      </c>
      <c r="E4932" s="274" t="s">
        <v>229</v>
      </c>
    </row>
    <row r="4933" spans="1:5" ht="54">
      <c r="A4933" s="271">
        <v>101268</v>
      </c>
      <c r="B4933" s="272" t="s">
        <v>10884</v>
      </c>
      <c r="C4933" s="272" t="s">
        <v>209</v>
      </c>
      <c r="D4933" s="273" t="s">
        <v>15947</v>
      </c>
      <c r="E4933" s="274" t="s">
        <v>229</v>
      </c>
    </row>
    <row r="4934" spans="1:5" ht="54">
      <c r="A4934" s="271">
        <v>101269</v>
      </c>
      <c r="B4934" s="272" t="s">
        <v>10885</v>
      </c>
      <c r="C4934" s="272" t="s">
        <v>209</v>
      </c>
      <c r="D4934" s="273" t="s">
        <v>9817</v>
      </c>
      <c r="E4934" s="274" t="s">
        <v>229</v>
      </c>
    </row>
    <row r="4935" spans="1:5" ht="54">
      <c r="A4935" s="271">
        <v>101270</v>
      </c>
      <c r="B4935" s="272" t="s">
        <v>10886</v>
      </c>
      <c r="C4935" s="272" t="s">
        <v>209</v>
      </c>
      <c r="D4935" s="273" t="s">
        <v>9955</v>
      </c>
      <c r="E4935" s="274" t="s">
        <v>229</v>
      </c>
    </row>
    <row r="4936" spans="1:5" ht="54">
      <c r="A4936" s="271">
        <v>101271</v>
      </c>
      <c r="B4936" s="272" t="s">
        <v>10888</v>
      </c>
      <c r="C4936" s="272" t="s">
        <v>209</v>
      </c>
      <c r="D4936" s="273" t="s">
        <v>16117</v>
      </c>
      <c r="E4936" s="274" t="s">
        <v>229</v>
      </c>
    </row>
    <row r="4937" spans="1:5" ht="54">
      <c r="A4937" s="271">
        <v>101272</v>
      </c>
      <c r="B4937" s="272" t="s">
        <v>10890</v>
      </c>
      <c r="C4937" s="272" t="s">
        <v>209</v>
      </c>
      <c r="D4937" s="273" t="s">
        <v>19976</v>
      </c>
      <c r="E4937" s="274" t="s">
        <v>229</v>
      </c>
    </row>
    <row r="4938" spans="1:5" ht="54">
      <c r="A4938" s="271">
        <v>101273</v>
      </c>
      <c r="B4938" s="272" t="s">
        <v>10891</v>
      </c>
      <c r="C4938" s="272" t="s">
        <v>209</v>
      </c>
      <c r="D4938" s="273" t="s">
        <v>16337</v>
      </c>
      <c r="E4938" s="274" t="s">
        <v>229</v>
      </c>
    </row>
    <row r="4939" spans="1:5" ht="54">
      <c r="A4939" s="271">
        <v>101274</v>
      </c>
      <c r="B4939" s="272" t="s">
        <v>10892</v>
      </c>
      <c r="C4939" s="272" t="s">
        <v>209</v>
      </c>
      <c r="D4939" s="273" t="s">
        <v>10592</v>
      </c>
      <c r="E4939" s="274" t="s">
        <v>229</v>
      </c>
    </row>
    <row r="4940" spans="1:5" ht="54">
      <c r="A4940" s="271">
        <v>101275</v>
      </c>
      <c r="B4940" s="272" t="s">
        <v>10893</v>
      </c>
      <c r="C4940" s="272" t="s">
        <v>209</v>
      </c>
      <c r="D4940" s="273" t="s">
        <v>12241</v>
      </c>
      <c r="E4940" s="274" t="s">
        <v>229</v>
      </c>
    </row>
    <row r="4941" spans="1:5" ht="54">
      <c r="A4941" s="271">
        <v>101276</v>
      </c>
      <c r="B4941" s="272" t="s">
        <v>10894</v>
      </c>
      <c r="C4941" s="272" t="s">
        <v>209</v>
      </c>
      <c r="D4941" s="273" t="s">
        <v>10064</v>
      </c>
      <c r="E4941" s="274" t="s">
        <v>229</v>
      </c>
    </row>
    <row r="4942" spans="1:5" ht="54">
      <c r="A4942" s="271">
        <v>101277</v>
      </c>
      <c r="B4942" s="272" t="s">
        <v>10895</v>
      </c>
      <c r="C4942" s="272" t="s">
        <v>209</v>
      </c>
      <c r="D4942" s="273" t="s">
        <v>11283</v>
      </c>
      <c r="E4942" s="274" t="s">
        <v>229</v>
      </c>
    </row>
    <row r="4943" spans="1:5" ht="27">
      <c r="A4943" s="271">
        <v>102354</v>
      </c>
      <c r="B4943" s="272" t="s">
        <v>23677</v>
      </c>
      <c r="C4943" s="272" t="s">
        <v>209</v>
      </c>
      <c r="D4943" s="273" t="s">
        <v>16316</v>
      </c>
      <c r="E4943" s="274" t="s">
        <v>229</v>
      </c>
    </row>
    <row r="4944" spans="1:5" ht="27">
      <c r="A4944" s="271">
        <v>102355</v>
      </c>
      <c r="B4944" s="272" t="s">
        <v>23678</v>
      </c>
      <c r="C4944" s="272" t="s">
        <v>209</v>
      </c>
      <c r="D4944" s="273" t="s">
        <v>23679</v>
      </c>
      <c r="E4944" s="274" t="s">
        <v>229</v>
      </c>
    </row>
    <row r="4945" spans="1:5" ht="27">
      <c r="A4945" s="271">
        <v>102360</v>
      </c>
      <c r="B4945" s="272" t="s">
        <v>23680</v>
      </c>
      <c r="C4945" s="272" t="s">
        <v>209</v>
      </c>
      <c r="D4945" s="273" t="s">
        <v>10450</v>
      </c>
      <c r="E4945" s="274" t="s">
        <v>229</v>
      </c>
    </row>
    <row r="4946" spans="1:5" ht="27">
      <c r="A4946" s="271">
        <v>102361</v>
      </c>
      <c r="B4946" s="272" t="s">
        <v>23681</v>
      </c>
      <c r="C4946" s="272" t="s">
        <v>209</v>
      </c>
      <c r="D4946" s="273" t="s">
        <v>9893</v>
      </c>
      <c r="E4946" s="274" t="s">
        <v>229</v>
      </c>
    </row>
    <row r="4947" spans="1:5" ht="40.5">
      <c r="A4947" s="271">
        <v>90082</v>
      </c>
      <c r="B4947" s="272" t="s">
        <v>16206</v>
      </c>
      <c r="C4947" s="272" t="s">
        <v>209</v>
      </c>
      <c r="D4947" s="273" t="s">
        <v>10507</v>
      </c>
      <c r="E4947" s="274" t="s">
        <v>229</v>
      </c>
    </row>
    <row r="4948" spans="1:5" ht="54">
      <c r="A4948" s="271">
        <v>90084</v>
      </c>
      <c r="B4948" s="272" t="s">
        <v>16207</v>
      </c>
      <c r="C4948" s="272" t="s">
        <v>209</v>
      </c>
      <c r="D4948" s="273" t="s">
        <v>12182</v>
      </c>
      <c r="E4948" s="274" t="s">
        <v>229</v>
      </c>
    </row>
    <row r="4949" spans="1:5" ht="54">
      <c r="A4949" s="271">
        <v>90086</v>
      </c>
      <c r="B4949" s="272" t="s">
        <v>16209</v>
      </c>
      <c r="C4949" s="272" t="s">
        <v>209</v>
      </c>
      <c r="D4949" s="273" t="s">
        <v>10160</v>
      </c>
      <c r="E4949" s="274" t="s">
        <v>229</v>
      </c>
    </row>
    <row r="4950" spans="1:5" ht="54">
      <c r="A4950" s="271">
        <v>90087</v>
      </c>
      <c r="B4950" s="272" t="s">
        <v>16210</v>
      </c>
      <c r="C4950" s="272" t="s">
        <v>209</v>
      </c>
      <c r="D4950" s="273" t="s">
        <v>10227</v>
      </c>
      <c r="E4950" s="274" t="s">
        <v>229</v>
      </c>
    </row>
    <row r="4951" spans="1:5" ht="54">
      <c r="A4951" s="271">
        <v>90090</v>
      </c>
      <c r="B4951" s="272" t="s">
        <v>16212</v>
      </c>
      <c r="C4951" s="272" t="s">
        <v>209</v>
      </c>
      <c r="D4951" s="273" t="s">
        <v>10937</v>
      </c>
      <c r="E4951" s="274" t="s">
        <v>229</v>
      </c>
    </row>
    <row r="4952" spans="1:5" ht="40.5">
      <c r="A4952" s="271">
        <v>90091</v>
      </c>
      <c r="B4952" s="272" t="s">
        <v>16213</v>
      </c>
      <c r="C4952" s="272" t="s">
        <v>209</v>
      </c>
      <c r="D4952" s="273" t="s">
        <v>11028</v>
      </c>
      <c r="E4952" s="274" t="s">
        <v>229</v>
      </c>
    </row>
    <row r="4953" spans="1:5" ht="54">
      <c r="A4953" s="271">
        <v>90092</v>
      </c>
      <c r="B4953" s="272" t="s">
        <v>16214</v>
      </c>
      <c r="C4953" s="272" t="s">
        <v>209</v>
      </c>
      <c r="D4953" s="273" t="s">
        <v>20144</v>
      </c>
      <c r="E4953" s="274" t="s">
        <v>229</v>
      </c>
    </row>
    <row r="4954" spans="1:5" ht="54">
      <c r="A4954" s="271">
        <v>90094</v>
      </c>
      <c r="B4954" s="272" t="s">
        <v>16215</v>
      </c>
      <c r="C4954" s="272" t="s">
        <v>209</v>
      </c>
      <c r="D4954" s="273" t="s">
        <v>21410</v>
      </c>
      <c r="E4954" s="274" t="s">
        <v>229</v>
      </c>
    </row>
    <row r="4955" spans="1:5" ht="54">
      <c r="A4955" s="271">
        <v>90095</v>
      </c>
      <c r="B4955" s="272" t="s">
        <v>16216</v>
      </c>
      <c r="C4955" s="272" t="s">
        <v>209</v>
      </c>
      <c r="D4955" s="273" t="s">
        <v>11359</v>
      </c>
      <c r="E4955" s="274" t="s">
        <v>229</v>
      </c>
    </row>
    <row r="4956" spans="1:5" ht="54">
      <c r="A4956" s="271">
        <v>90098</v>
      </c>
      <c r="B4956" s="272" t="s">
        <v>16218</v>
      </c>
      <c r="C4956" s="272" t="s">
        <v>209</v>
      </c>
      <c r="D4956" s="273" t="s">
        <v>10271</v>
      </c>
      <c r="E4956" s="274" t="s">
        <v>229</v>
      </c>
    </row>
    <row r="4957" spans="1:5" ht="40.5">
      <c r="A4957" s="271">
        <v>90099</v>
      </c>
      <c r="B4957" s="272" t="s">
        <v>16219</v>
      </c>
      <c r="C4957" s="272" t="s">
        <v>209</v>
      </c>
      <c r="D4957" s="273" t="s">
        <v>14114</v>
      </c>
      <c r="E4957" s="274" t="s">
        <v>229</v>
      </c>
    </row>
    <row r="4958" spans="1:5" ht="40.5">
      <c r="A4958" s="271">
        <v>90100</v>
      </c>
      <c r="B4958" s="272" t="s">
        <v>16220</v>
      </c>
      <c r="C4958" s="272" t="s">
        <v>209</v>
      </c>
      <c r="D4958" s="273" t="s">
        <v>18771</v>
      </c>
      <c r="E4958" s="274" t="s">
        <v>229</v>
      </c>
    </row>
    <row r="4959" spans="1:5" ht="54">
      <c r="A4959" s="271">
        <v>90101</v>
      </c>
      <c r="B4959" s="272" t="s">
        <v>16221</v>
      </c>
      <c r="C4959" s="272" t="s">
        <v>209</v>
      </c>
      <c r="D4959" s="273" t="s">
        <v>19698</v>
      </c>
      <c r="E4959" s="274" t="s">
        <v>229</v>
      </c>
    </row>
    <row r="4960" spans="1:5" ht="54">
      <c r="A4960" s="271">
        <v>90102</v>
      </c>
      <c r="B4960" s="272" t="s">
        <v>16222</v>
      </c>
      <c r="C4960" s="272" t="s">
        <v>209</v>
      </c>
      <c r="D4960" s="273" t="s">
        <v>10459</v>
      </c>
      <c r="E4960" s="274" t="s">
        <v>229</v>
      </c>
    </row>
    <row r="4961" spans="1:5" ht="54">
      <c r="A4961" s="271">
        <v>90105</v>
      </c>
      <c r="B4961" s="272" t="s">
        <v>16223</v>
      </c>
      <c r="C4961" s="272" t="s">
        <v>209</v>
      </c>
      <c r="D4961" s="273" t="s">
        <v>10213</v>
      </c>
      <c r="E4961" s="274" t="s">
        <v>229</v>
      </c>
    </row>
    <row r="4962" spans="1:5" ht="54">
      <c r="A4962" s="271">
        <v>90106</v>
      </c>
      <c r="B4962" s="272" t="s">
        <v>16224</v>
      </c>
      <c r="C4962" s="272" t="s">
        <v>209</v>
      </c>
      <c r="D4962" s="273" t="s">
        <v>12302</v>
      </c>
      <c r="E4962" s="274" t="s">
        <v>229</v>
      </c>
    </row>
    <row r="4963" spans="1:5" ht="54">
      <c r="A4963" s="271">
        <v>90107</v>
      </c>
      <c r="B4963" s="272" t="s">
        <v>16225</v>
      </c>
      <c r="C4963" s="272" t="s">
        <v>209</v>
      </c>
      <c r="D4963" s="273" t="s">
        <v>9933</v>
      </c>
      <c r="E4963" s="274" t="s">
        <v>229</v>
      </c>
    </row>
    <row r="4964" spans="1:5" ht="54">
      <c r="A4964" s="271">
        <v>90108</v>
      </c>
      <c r="B4964" s="272" t="s">
        <v>16226</v>
      </c>
      <c r="C4964" s="272" t="s">
        <v>209</v>
      </c>
      <c r="D4964" s="273" t="s">
        <v>10038</v>
      </c>
      <c r="E4964" s="274" t="s">
        <v>229</v>
      </c>
    </row>
    <row r="4965" spans="1:5" ht="13.5">
      <c r="A4965" s="271">
        <v>93358</v>
      </c>
      <c r="B4965" s="272" t="s">
        <v>16227</v>
      </c>
      <c r="C4965" s="272" t="s">
        <v>209</v>
      </c>
      <c r="D4965" s="273" t="s">
        <v>23682</v>
      </c>
      <c r="E4965" s="274" t="s">
        <v>229</v>
      </c>
    </row>
    <row r="4966" spans="1:5" ht="40.5">
      <c r="A4966" s="271">
        <v>102276</v>
      </c>
      <c r="B4966" s="272" t="s">
        <v>16228</v>
      </c>
      <c r="C4966" s="272" t="s">
        <v>209</v>
      </c>
      <c r="D4966" s="273" t="s">
        <v>10051</v>
      </c>
      <c r="E4966" s="274" t="s">
        <v>229</v>
      </c>
    </row>
    <row r="4967" spans="1:5" ht="54">
      <c r="A4967" s="271">
        <v>102277</v>
      </c>
      <c r="B4967" s="272" t="s">
        <v>16229</v>
      </c>
      <c r="C4967" s="272" t="s">
        <v>209</v>
      </c>
      <c r="D4967" s="273" t="s">
        <v>10199</v>
      </c>
      <c r="E4967" s="274" t="s">
        <v>229</v>
      </c>
    </row>
    <row r="4968" spans="1:5" ht="54">
      <c r="A4968" s="271">
        <v>102278</v>
      </c>
      <c r="B4968" s="272" t="s">
        <v>16230</v>
      </c>
      <c r="C4968" s="272" t="s">
        <v>209</v>
      </c>
      <c r="D4968" s="273" t="s">
        <v>15974</v>
      </c>
      <c r="E4968" s="274" t="s">
        <v>229</v>
      </c>
    </row>
    <row r="4969" spans="1:5" ht="40.5">
      <c r="A4969" s="271">
        <v>102279</v>
      </c>
      <c r="B4969" s="272" t="s">
        <v>16231</v>
      </c>
      <c r="C4969" s="272" t="s">
        <v>209</v>
      </c>
      <c r="D4969" s="273" t="s">
        <v>10498</v>
      </c>
      <c r="E4969" s="274" t="s">
        <v>229</v>
      </c>
    </row>
    <row r="4970" spans="1:5" ht="54">
      <c r="A4970" s="271">
        <v>102280</v>
      </c>
      <c r="B4970" s="272" t="s">
        <v>16232</v>
      </c>
      <c r="C4970" s="272" t="s">
        <v>209</v>
      </c>
      <c r="D4970" s="273" t="s">
        <v>9727</v>
      </c>
      <c r="E4970" s="274" t="s">
        <v>229</v>
      </c>
    </row>
    <row r="4971" spans="1:5" ht="54">
      <c r="A4971" s="271">
        <v>102281</v>
      </c>
      <c r="B4971" s="272" t="s">
        <v>16233</v>
      </c>
      <c r="C4971" s="272" t="s">
        <v>209</v>
      </c>
      <c r="D4971" s="273" t="s">
        <v>11516</v>
      </c>
      <c r="E4971" s="274" t="s">
        <v>229</v>
      </c>
    </row>
    <row r="4972" spans="1:5" ht="40.5">
      <c r="A4972" s="271">
        <v>102282</v>
      </c>
      <c r="B4972" s="272" t="s">
        <v>16234</v>
      </c>
      <c r="C4972" s="272" t="s">
        <v>209</v>
      </c>
      <c r="D4972" s="273" t="s">
        <v>10486</v>
      </c>
      <c r="E4972" s="274" t="s">
        <v>229</v>
      </c>
    </row>
    <row r="4973" spans="1:5" ht="40.5">
      <c r="A4973" s="271">
        <v>102283</v>
      </c>
      <c r="B4973" s="272" t="s">
        <v>16235</v>
      </c>
      <c r="C4973" s="272" t="s">
        <v>209</v>
      </c>
      <c r="D4973" s="273" t="s">
        <v>11413</v>
      </c>
      <c r="E4973" s="274" t="s">
        <v>229</v>
      </c>
    </row>
    <row r="4974" spans="1:5" ht="54">
      <c r="A4974" s="271">
        <v>102284</v>
      </c>
      <c r="B4974" s="272" t="s">
        <v>16236</v>
      </c>
      <c r="C4974" s="272" t="s">
        <v>209</v>
      </c>
      <c r="D4974" s="273" t="s">
        <v>23683</v>
      </c>
      <c r="E4974" s="274" t="s">
        <v>229</v>
      </c>
    </row>
    <row r="4975" spans="1:5" ht="54">
      <c r="A4975" s="271">
        <v>102285</v>
      </c>
      <c r="B4975" s="272" t="s">
        <v>16237</v>
      </c>
      <c r="C4975" s="272" t="s">
        <v>209</v>
      </c>
      <c r="D4975" s="273" t="s">
        <v>16045</v>
      </c>
      <c r="E4975" s="274" t="s">
        <v>229</v>
      </c>
    </row>
    <row r="4976" spans="1:5" ht="54">
      <c r="A4976" s="271">
        <v>102286</v>
      </c>
      <c r="B4976" s="272" t="s">
        <v>23684</v>
      </c>
      <c r="C4976" s="272" t="s">
        <v>209</v>
      </c>
      <c r="D4976" s="273" t="s">
        <v>14232</v>
      </c>
      <c r="E4976" s="274" t="s">
        <v>229</v>
      </c>
    </row>
    <row r="4977" spans="1:5" ht="54">
      <c r="A4977" s="271">
        <v>102287</v>
      </c>
      <c r="B4977" s="272" t="s">
        <v>16238</v>
      </c>
      <c r="C4977" s="272" t="s">
        <v>209</v>
      </c>
      <c r="D4977" s="273" t="s">
        <v>12182</v>
      </c>
      <c r="E4977" s="274" t="s">
        <v>229</v>
      </c>
    </row>
    <row r="4978" spans="1:5" ht="40.5">
      <c r="A4978" s="271">
        <v>102288</v>
      </c>
      <c r="B4978" s="272" t="s">
        <v>16239</v>
      </c>
      <c r="C4978" s="272" t="s">
        <v>209</v>
      </c>
      <c r="D4978" s="273" t="s">
        <v>15852</v>
      </c>
      <c r="E4978" s="274" t="s">
        <v>229</v>
      </c>
    </row>
    <row r="4979" spans="1:5" ht="54">
      <c r="A4979" s="271">
        <v>102289</v>
      </c>
      <c r="B4979" s="272" t="s">
        <v>16241</v>
      </c>
      <c r="C4979" s="272" t="s">
        <v>209</v>
      </c>
      <c r="D4979" s="273" t="s">
        <v>10483</v>
      </c>
      <c r="E4979" s="274" t="s">
        <v>229</v>
      </c>
    </row>
    <row r="4980" spans="1:5" ht="40.5">
      <c r="A4980" s="271">
        <v>102290</v>
      </c>
      <c r="B4980" s="272" t="s">
        <v>16242</v>
      </c>
      <c r="C4980" s="272" t="s">
        <v>209</v>
      </c>
      <c r="D4980" s="273" t="s">
        <v>23685</v>
      </c>
      <c r="E4980" s="274" t="s">
        <v>229</v>
      </c>
    </row>
    <row r="4981" spans="1:5" ht="40.5">
      <c r="A4981" s="271">
        <v>102291</v>
      </c>
      <c r="B4981" s="272" t="s">
        <v>16243</v>
      </c>
      <c r="C4981" s="272" t="s">
        <v>209</v>
      </c>
      <c r="D4981" s="273" t="s">
        <v>11319</v>
      </c>
      <c r="E4981" s="274" t="s">
        <v>229</v>
      </c>
    </row>
    <row r="4982" spans="1:5" ht="54">
      <c r="A4982" s="271">
        <v>102292</v>
      </c>
      <c r="B4982" s="272" t="s">
        <v>16244</v>
      </c>
      <c r="C4982" s="272" t="s">
        <v>209</v>
      </c>
      <c r="D4982" s="273" t="s">
        <v>10582</v>
      </c>
      <c r="E4982" s="274" t="s">
        <v>229</v>
      </c>
    </row>
    <row r="4983" spans="1:5" ht="54">
      <c r="A4983" s="271">
        <v>102293</v>
      </c>
      <c r="B4983" s="272" t="s">
        <v>16245</v>
      </c>
      <c r="C4983" s="272" t="s">
        <v>209</v>
      </c>
      <c r="D4983" s="273" t="s">
        <v>9846</v>
      </c>
      <c r="E4983" s="274" t="s">
        <v>229</v>
      </c>
    </row>
    <row r="4984" spans="1:5" ht="54">
      <c r="A4984" s="271">
        <v>102294</v>
      </c>
      <c r="B4984" s="272" t="s">
        <v>16246</v>
      </c>
      <c r="C4984" s="272" t="s">
        <v>209</v>
      </c>
      <c r="D4984" s="273" t="s">
        <v>12328</v>
      </c>
      <c r="E4984" s="274" t="s">
        <v>229</v>
      </c>
    </row>
    <row r="4985" spans="1:5" ht="54">
      <c r="A4985" s="271">
        <v>102295</v>
      </c>
      <c r="B4985" s="272" t="s">
        <v>16247</v>
      </c>
      <c r="C4985" s="272" t="s">
        <v>209</v>
      </c>
      <c r="D4985" s="273" t="s">
        <v>9857</v>
      </c>
      <c r="E4985" s="274" t="s">
        <v>229</v>
      </c>
    </row>
    <row r="4986" spans="1:5" ht="54">
      <c r="A4986" s="271">
        <v>102296</v>
      </c>
      <c r="B4986" s="272" t="s">
        <v>16248</v>
      </c>
      <c r="C4986" s="272" t="s">
        <v>209</v>
      </c>
      <c r="D4986" s="273" t="s">
        <v>11321</v>
      </c>
      <c r="E4986" s="274" t="s">
        <v>229</v>
      </c>
    </row>
    <row r="4987" spans="1:5" ht="54">
      <c r="A4987" s="271">
        <v>102297</v>
      </c>
      <c r="B4987" s="272" t="s">
        <v>16249</v>
      </c>
      <c r="C4987" s="272" t="s">
        <v>209</v>
      </c>
      <c r="D4987" s="273" t="s">
        <v>10334</v>
      </c>
      <c r="E4987" s="274" t="s">
        <v>229</v>
      </c>
    </row>
    <row r="4988" spans="1:5" ht="40.5">
      <c r="A4988" s="271">
        <v>102298</v>
      </c>
      <c r="B4988" s="272" t="s">
        <v>16250</v>
      </c>
      <c r="C4988" s="272" t="s">
        <v>209</v>
      </c>
      <c r="D4988" s="273" t="s">
        <v>12139</v>
      </c>
      <c r="E4988" s="274" t="s">
        <v>229</v>
      </c>
    </row>
    <row r="4989" spans="1:5" ht="40.5">
      <c r="A4989" s="271">
        <v>102299</v>
      </c>
      <c r="B4989" s="272" t="s">
        <v>16251</v>
      </c>
      <c r="C4989" s="272" t="s">
        <v>209</v>
      </c>
      <c r="D4989" s="273" t="s">
        <v>9782</v>
      </c>
      <c r="E4989" s="274" t="s">
        <v>229</v>
      </c>
    </row>
    <row r="4990" spans="1:5" ht="54">
      <c r="A4990" s="271">
        <v>102300</v>
      </c>
      <c r="B4990" s="272" t="s">
        <v>16252</v>
      </c>
      <c r="C4990" s="272" t="s">
        <v>209</v>
      </c>
      <c r="D4990" s="273" t="s">
        <v>23686</v>
      </c>
      <c r="E4990" s="274" t="s">
        <v>229</v>
      </c>
    </row>
    <row r="4991" spans="1:5" ht="54">
      <c r="A4991" s="271">
        <v>102301</v>
      </c>
      <c r="B4991" s="272" t="s">
        <v>16253</v>
      </c>
      <c r="C4991" s="272" t="s">
        <v>209</v>
      </c>
      <c r="D4991" s="273" t="s">
        <v>11084</v>
      </c>
      <c r="E4991" s="274" t="s">
        <v>229</v>
      </c>
    </row>
    <row r="4992" spans="1:5" ht="40.5">
      <c r="A4992" s="271">
        <v>102302</v>
      </c>
      <c r="B4992" s="272" t="s">
        <v>16254</v>
      </c>
      <c r="C4992" s="272" t="s">
        <v>209</v>
      </c>
      <c r="D4992" s="273" t="s">
        <v>16546</v>
      </c>
      <c r="E4992" s="274" t="s">
        <v>229</v>
      </c>
    </row>
    <row r="4993" spans="1:5" ht="40.5">
      <c r="A4993" s="271">
        <v>102303</v>
      </c>
      <c r="B4993" s="272" t="s">
        <v>16256</v>
      </c>
      <c r="C4993" s="272" t="s">
        <v>209</v>
      </c>
      <c r="D4993" s="273" t="s">
        <v>9780</v>
      </c>
      <c r="E4993" s="274" t="s">
        <v>229</v>
      </c>
    </row>
    <row r="4994" spans="1:5" ht="54">
      <c r="A4994" s="271">
        <v>102304</v>
      </c>
      <c r="B4994" s="272" t="s">
        <v>16257</v>
      </c>
      <c r="C4994" s="272" t="s">
        <v>209</v>
      </c>
      <c r="D4994" s="273" t="s">
        <v>21602</v>
      </c>
      <c r="E4994" s="274" t="s">
        <v>229</v>
      </c>
    </row>
    <row r="4995" spans="1:5" ht="54">
      <c r="A4995" s="271">
        <v>102305</v>
      </c>
      <c r="B4995" s="272" t="s">
        <v>16258</v>
      </c>
      <c r="C4995" s="272" t="s">
        <v>209</v>
      </c>
      <c r="D4995" s="273" t="s">
        <v>11059</v>
      </c>
      <c r="E4995" s="274" t="s">
        <v>229</v>
      </c>
    </row>
    <row r="4996" spans="1:5" ht="40.5">
      <c r="A4996" s="271">
        <v>102306</v>
      </c>
      <c r="B4996" s="272" t="s">
        <v>16259</v>
      </c>
      <c r="C4996" s="272" t="s">
        <v>209</v>
      </c>
      <c r="D4996" s="273" t="s">
        <v>10779</v>
      </c>
      <c r="E4996" s="274" t="s">
        <v>229</v>
      </c>
    </row>
    <row r="4997" spans="1:5" ht="54">
      <c r="A4997" s="271">
        <v>102307</v>
      </c>
      <c r="B4997" s="272" t="s">
        <v>16260</v>
      </c>
      <c r="C4997" s="272" t="s">
        <v>209</v>
      </c>
      <c r="D4997" s="273" t="s">
        <v>10486</v>
      </c>
      <c r="E4997" s="274" t="s">
        <v>229</v>
      </c>
    </row>
    <row r="4998" spans="1:5" ht="54">
      <c r="A4998" s="271">
        <v>102308</v>
      </c>
      <c r="B4998" s="272" t="s">
        <v>16261</v>
      </c>
      <c r="C4998" s="272" t="s">
        <v>209</v>
      </c>
      <c r="D4998" s="273" t="s">
        <v>9745</v>
      </c>
      <c r="E4998" s="274" t="s">
        <v>229</v>
      </c>
    </row>
    <row r="4999" spans="1:5" ht="54">
      <c r="A4999" s="271">
        <v>102309</v>
      </c>
      <c r="B4999" s="272" t="s">
        <v>16262</v>
      </c>
      <c r="C4999" s="272" t="s">
        <v>209</v>
      </c>
      <c r="D4999" s="273" t="s">
        <v>10201</v>
      </c>
      <c r="E4999" s="274" t="s">
        <v>229</v>
      </c>
    </row>
    <row r="5000" spans="1:5" ht="54">
      <c r="A5000" s="271">
        <v>102310</v>
      </c>
      <c r="B5000" s="272" t="s">
        <v>16263</v>
      </c>
      <c r="C5000" s="272" t="s">
        <v>209</v>
      </c>
      <c r="D5000" s="273" t="s">
        <v>16111</v>
      </c>
      <c r="E5000" s="274" t="s">
        <v>229</v>
      </c>
    </row>
    <row r="5001" spans="1:5" ht="54">
      <c r="A5001" s="271">
        <v>102311</v>
      </c>
      <c r="B5001" s="272" t="s">
        <v>16264</v>
      </c>
      <c r="C5001" s="272" t="s">
        <v>209</v>
      </c>
      <c r="D5001" s="273" t="s">
        <v>10532</v>
      </c>
      <c r="E5001" s="274" t="s">
        <v>229</v>
      </c>
    </row>
    <row r="5002" spans="1:5" ht="54">
      <c r="A5002" s="271">
        <v>102312</v>
      </c>
      <c r="B5002" s="272" t="s">
        <v>16265</v>
      </c>
      <c r="C5002" s="272" t="s">
        <v>209</v>
      </c>
      <c r="D5002" s="273" t="s">
        <v>10312</v>
      </c>
      <c r="E5002" s="274" t="s">
        <v>229</v>
      </c>
    </row>
    <row r="5003" spans="1:5" ht="54">
      <c r="A5003" s="271">
        <v>102313</v>
      </c>
      <c r="B5003" s="272" t="s">
        <v>16266</v>
      </c>
      <c r="C5003" s="272" t="s">
        <v>209</v>
      </c>
      <c r="D5003" s="273" t="s">
        <v>11311</v>
      </c>
      <c r="E5003" s="274" t="s">
        <v>229</v>
      </c>
    </row>
    <row r="5004" spans="1:5" ht="40.5">
      <c r="A5004" s="271">
        <v>102314</v>
      </c>
      <c r="B5004" s="272" t="s">
        <v>16267</v>
      </c>
      <c r="C5004" s="272" t="s">
        <v>209</v>
      </c>
      <c r="D5004" s="273" t="s">
        <v>10059</v>
      </c>
      <c r="E5004" s="274" t="s">
        <v>229</v>
      </c>
    </row>
    <row r="5005" spans="1:5" ht="40.5">
      <c r="A5005" s="271">
        <v>102315</v>
      </c>
      <c r="B5005" s="272" t="s">
        <v>16268</v>
      </c>
      <c r="C5005" s="272" t="s">
        <v>209</v>
      </c>
      <c r="D5005" s="273" t="s">
        <v>23685</v>
      </c>
      <c r="E5005" s="274" t="s">
        <v>229</v>
      </c>
    </row>
    <row r="5006" spans="1:5" ht="54">
      <c r="A5006" s="271">
        <v>102316</v>
      </c>
      <c r="B5006" s="272" t="s">
        <v>16269</v>
      </c>
      <c r="C5006" s="272" t="s">
        <v>209</v>
      </c>
      <c r="D5006" s="273" t="s">
        <v>11219</v>
      </c>
      <c r="E5006" s="274" t="s">
        <v>229</v>
      </c>
    </row>
    <row r="5007" spans="1:5" ht="54">
      <c r="A5007" s="271">
        <v>102317</v>
      </c>
      <c r="B5007" s="272" t="s">
        <v>16270</v>
      </c>
      <c r="C5007" s="272" t="s">
        <v>209</v>
      </c>
      <c r="D5007" s="273" t="s">
        <v>12301</v>
      </c>
      <c r="E5007" s="274" t="s">
        <v>229</v>
      </c>
    </row>
    <row r="5008" spans="1:5" ht="54">
      <c r="A5008" s="271">
        <v>102318</v>
      </c>
      <c r="B5008" s="272" t="s">
        <v>16271</v>
      </c>
      <c r="C5008" s="272" t="s">
        <v>209</v>
      </c>
      <c r="D5008" s="273" t="s">
        <v>12373</v>
      </c>
      <c r="E5008" s="274" t="s">
        <v>229</v>
      </c>
    </row>
    <row r="5009" spans="1:5" ht="54">
      <c r="A5009" s="271">
        <v>102319</v>
      </c>
      <c r="B5009" s="272" t="s">
        <v>16272</v>
      </c>
      <c r="C5009" s="272" t="s">
        <v>209</v>
      </c>
      <c r="D5009" s="273" t="s">
        <v>11187</v>
      </c>
      <c r="E5009" s="274" t="s">
        <v>229</v>
      </c>
    </row>
    <row r="5010" spans="1:5" ht="54">
      <c r="A5010" s="271">
        <v>102320</v>
      </c>
      <c r="B5010" s="272" t="s">
        <v>16274</v>
      </c>
      <c r="C5010" s="272" t="s">
        <v>209</v>
      </c>
      <c r="D5010" s="273" t="s">
        <v>19970</v>
      </c>
      <c r="E5010" s="274" t="s">
        <v>229</v>
      </c>
    </row>
    <row r="5011" spans="1:5" ht="54">
      <c r="A5011" s="271">
        <v>102321</v>
      </c>
      <c r="B5011" s="272" t="s">
        <v>16276</v>
      </c>
      <c r="C5011" s="272" t="s">
        <v>209</v>
      </c>
      <c r="D5011" s="273" t="s">
        <v>9798</v>
      </c>
      <c r="E5011" s="274" t="s">
        <v>229</v>
      </c>
    </row>
    <row r="5012" spans="1:5" ht="40.5">
      <c r="A5012" s="271">
        <v>102322</v>
      </c>
      <c r="B5012" s="272" t="s">
        <v>16277</v>
      </c>
      <c r="C5012" s="272" t="s">
        <v>209</v>
      </c>
      <c r="D5012" s="273" t="s">
        <v>14248</v>
      </c>
      <c r="E5012" s="274" t="s">
        <v>229</v>
      </c>
    </row>
    <row r="5013" spans="1:5" ht="40.5">
      <c r="A5013" s="271">
        <v>102323</v>
      </c>
      <c r="B5013" s="272" t="s">
        <v>16278</v>
      </c>
      <c r="C5013" s="272" t="s">
        <v>209</v>
      </c>
      <c r="D5013" s="273" t="s">
        <v>11472</v>
      </c>
      <c r="E5013" s="274" t="s">
        <v>229</v>
      </c>
    </row>
    <row r="5014" spans="1:5" ht="54">
      <c r="A5014" s="271">
        <v>102324</v>
      </c>
      <c r="B5014" s="272" t="s">
        <v>16280</v>
      </c>
      <c r="C5014" s="272" t="s">
        <v>209</v>
      </c>
      <c r="D5014" s="273" t="s">
        <v>14113</v>
      </c>
      <c r="E5014" s="274" t="s">
        <v>229</v>
      </c>
    </row>
    <row r="5015" spans="1:5" ht="54">
      <c r="A5015" s="271">
        <v>102325</v>
      </c>
      <c r="B5015" s="272" t="s">
        <v>16281</v>
      </c>
      <c r="C5015" s="272" t="s">
        <v>209</v>
      </c>
      <c r="D5015" s="273" t="s">
        <v>12449</v>
      </c>
      <c r="E5015" s="274" t="s">
        <v>229</v>
      </c>
    </row>
    <row r="5016" spans="1:5" ht="40.5">
      <c r="A5016" s="271">
        <v>102326</v>
      </c>
      <c r="B5016" s="272" t="s">
        <v>16282</v>
      </c>
      <c r="C5016" s="272" t="s">
        <v>209</v>
      </c>
      <c r="D5016" s="273" t="s">
        <v>10214</v>
      </c>
      <c r="E5016" s="274" t="s">
        <v>229</v>
      </c>
    </row>
    <row r="5017" spans="1:5" ht="40.5">
      <c r="A5017" s="271">
        <v>102327</v>
      </c>
      <c r="B5017" s="272" t="s">
        <v>16283</v>
      </c>
      <c r="C5017" s="272" t="s">
        <v>209</v>
      </c>
      <c r="D5017" s="273" t="s">
        <v>10232</v>
      </c>
      <c r="E5017" s="274" t="s">
        <v>229</v>
      </c>
    </row>
    <row r="5018" spans="1:5" ht="54">
      <c r="A5018" s="271">
        <v>102328</v>
      </c>
      <c r="B5018" s="272" t="s">
        <v>16284</v>
      </c>
      <c r="C5018" s="272" t="s">
        <v>209</v>
      </c>
      <c r="D5018" s="273" t="s">
        <v>16003</v>
      </c>
      <c r="E5018" s="274" t="s">
        <v>229</v>
      </c>
    </row>
    <row r="5019" spans="1:5" ht="54">
      <c r="A5019" s="271">
        <v>102329</v>
      </c>
      <c r="B5019" s="272" t="s">
        <v>16285</v>
      </c>
      <c r="C5019" s="272" t="s">
        <v>209</v>
      </c>
      <c r="D5019" s="273" t="s">
        <v>10487</v>
      </c>
      <c r="E5019" s="274" t="s">
        <v>229</v>
      </c>
    </row>
    <row r="5020" spans="1:5" ht="40.5">
      <c r="A5020" s="271">
        <v>94304</v>
      </c>
      <c r="B5020" s="272" t="s">
        <v>2470</v>
      </c>
      <c r="C5020" s="272" t="s">
        <v>209</v>
      </c>
      <c r="D5020" s="273" t="s">
        <v>9993</v>
      </c>
      <c r="E5020" s="274" t="s">
        <v>229</v>
      </c>
    </row>
    <row r="5021" spans="1:5" ht="40.5">
      <c r="A5021" s="271">
        <v>94305</v>
      </c>
      <c r="B5021" s="272" t="s">
        <v>2471</v>
      </c>
      <c r="C5021" s="272" t="s">
        <v>209</v>
      </c>
      <c r="D5021" s="273" t="s">
        <v>16333</v>
      </c>
      <c r="E5021" s="274" t="s">
        <v>229</v>
      </c>
    </row>
    <row r="5022" spans="1:5" ht="40.5">
      <c r="A5022" s="271">
        <v>94306</v>
      </c>
      <c r="B5022" s="272" t="s">
        <v>2472</v>
      </c>
      <c r="C5022" s="272" t="s">
        <v>209</v>
      </c>
      <c r="D5022" s="273" t="s">
        <v>23687</v>
      </c>
      <c r="E5022" s="274" t="s">
        <v>229</v>
      </c>
    </row>
    <row r="5023" spans="1:5" ht="40.5">
      <c r="A5023" s="271">
        <v>94307</v>
      </c>
      <c r="B5023" s="272" t="s">
        <v>2473</v>
      </c>
      <c r="C5023" s="272" t="s">
        <v>209</v>
      </c>
      <c r="D5023" s="273" t="s">
        <v>15977</v>
      </c>
      <c r="E5023" s="274" t="s">
        <v>229</v>
      </c>
    </row>
    <row r="5024" spans="1:5" ht="40.5">
      <c r="A5024" s="271">
        <v>94308</v>
      </c>
      <c r="B5024" s="272" t="s">
        <v>2474</v>
      </c>
      <c r="C5024" s="272" t="s">
        <v>209</v>
      </c>
      <c r="D5024" s="273" t="s">
        <v>12459</v>
      </c>
      <c r="E5024" s="274" t="s">
        <v>229</v>
      </c>
    </row>
    <row r="5025" spans="1:5" ht="40.5">
      <c r="A5025" s="271">
        <v>94309</v>
      </c>
      <c r="B5025" s="272" t="s">
        <v>2475</v>
      </c>
      <c r="C5025" s="272" t="s">
        <v>209</v>
      </c>
      <c r="D5025" s="273" t="s">
        <v>10062</v>
      </c>
      <c r="E5025" s="274" t="s">
        <v>229</v>
      </c>
    </row>
    <row r="5026" spans="1:5" ht="40.5">
      <c r="A5026" s="271">
        <v>94310</v>
      </c>
      <c r="B5026" s="272" t="s">
        <v>2476</v>
      </c>
      <c r="C5026" s="272" t="s">
        <v>209</v>
      </c>
      <c r="D5026" s="273" t="s">
        <v>12132</v>
      </c>
      <c r="E5026" s="274" t="s">
        <v>229</v>
      </c>
    </row>
    <row r="5027" spans="1:5" ht="40.5">
      <c r="A5027" s="271">
        <v>94315</v>
      </c>
      <c r="B5027" s="272" t="s">
        <v>2477</v>
      </c>
      <c r="C5027" s="272" t="s">
        <v>209</v>
      </c>
      <c r="D5027" s="273" t="s">
        <v>10437</v>
      </c>
      <c r="E5027" s="274" t="s">
        <v>229</v>
      </c>
    </row>
    <row r="5028" spans="1:5" ht="40.5">
      <c r="A5028" s="271">
        <v>94316</v>
      </c>
      <c r="B5028" s="272" t="s">
        <v>2478</v>
      </c>
      <c r="C5028" s="272" t="s">
        <v>209</v>
      </c>
      <c r="D5028" s="273" t="s">
        <v>10642</v>
      </c>
      <c r="E5028" s="274" t="s">
        <v>229</v>
      </c>
    </row>
    <row r="5029" spans="1:5" ht="40.5">
      <c r="A5029" s="271">
        <v>94317</v>
      </c>
      <c r="B5029" s="272" t="s">
        <v>2479</v>
      </c>
      <c r="C5029" s="272" t="s">
        <v>209</v>
      </c>
      <c r="D5029" s="273" t="s">
        <v>20264</v>
      </c>
      <c r="E5029" s="274" t="s">
        <v>229</v>
      </c>
    </row>
    <row r="5030" spans="1:5" ht="40.5">
      <c r="A5030" s="271">
        <v>94318</v>
      </c>
      <c r="B5030" s="272" t="s">
        <v>2480</v>
      </c>
      <c r="C5030" s="272" t="s">
        <v>209</v>
      </c>
      <c r="D5030" s="273" t="s">
        <v>21618</v>
      </c>
      <c r="E5030" s="274" t="s">
        <v>229</v>
      </c>
    </row>
    <row r="5031" spans="1:5" ht="13.5">
      <c r="A5031" s="271">
        <v>94319</v>
      </c>
      <c r="B5031" s="272" t="s">
        <v>2481</v>
      </c>
      <c r="C5031" s="272" t="s">
        <v>209</v>
      </c>
      <c r="D5031" s="273" t="s">
        <v>23688</v>
      </c>
      <c r="E5031" s="274" t="s">
        <v>229</v>
      </c>
    </row>
    <row r="5032" spans="1:5" ht="40.5">
      <c r="A5032" s="271">
        <v>94327</v>
      </c>
      <c r="B5032" s="272" t="s">
        <v>2482</v>
      </c>
      <c r="C5032" s="272" t="s">
        <v>209</v>
      </c>
      <c r="D5032" s="273" t="s">
        <v>23689</v>
      </c>
      <c r="E5032" s="274" t="s">
        <v>229</v>
      </c>
    </row>
    <row r="5033" spans="1:5" ht="40.5">
      <c r="A5033" s="271">
        <v>94328</v>
      </c>
      <c r="B5033" s="272" t="s">
        <v>2483</v>
      </c>
      <c r="C5033" s="272" t="s">
        <v>209</v>
      </c>
      <c r="D5033" s="273" t="s">
        <v>23690</v>
      </c>
      <c r="E5033" s="274" t="s">
        <v>229</v>
      </c>
    </row>
    <row r="5034" spans="1:5" ht="40.5">
      <c r="A5034" s="271">
        <v>94329</v>
      </c>
      <c r="B5034" s="272" t="s">
        <v>2484</v>
      </c>
      <c r="C5034" s="272" t="s">
        <v>209</v>
      </c>
      <c r="D5034" s="273" t="s">
        <v>14059</v>
      </c>
      <c r="E5034" s="274" t="s">
        <v>229</v>
      </c>
    </row>
    <row r="5035" spans="1:5" ht="40.5">
      <c r="A5035" s="271">
        <v>94330</v>
      </c>
      <c r="B5035" s="272" t="s">
        <v>2485</v>
      </c>
      <c r="C5035" s="272" t="s">
        <v>209</v>
      </c>
      <c r="D5035" s="273" t="s">
        <v>23691</v>
      </c>
      <c r="E5035" s="274" t="s">
        <v>229</v>
      </c>
    </row>
    <row r="5036" spans="1:5" ht="40.5">
      <c r="A5036" s="271">
        <v>94331</v>
      </c>
      <c r="B5036" s="272" t="s">
        <v>2486</v>
      </c>
      <c r="C5036" s="272" t="s">
        <v>209</v>
      </c>
      <c r="D5036" s="273" t="s">
        <v>23692</v>
      </c>
      <c r="E5036" s="274" t="s">
        <v>229</v>
      </c>
    </row>
    <row r="5037" spans="1:5" ht="40.5">
      <c r="A5037" s="271">
        <v>94332</v>
      </c>
      <c r="B5037" s="272" t="s">
        <v>2487</v>
      </c>
      <c r="C5037" s="272" t="s">
        <v>209</v>
      </c>
      <c r="D5037" s="273" t="s">
        <v>23693</v>
      </c>
      <c r="E5037" s="274" t="s">
        <v>229</v>
      </c>
    </row>
    <row r="5038" spans="1:5" ht="40.5">
      <c r="A5038" s="271">
        <v>94333</v>
      </c>
      <c r="B5038" s="272" t="s">
        <v>2488</v>
      </c>
      <c r="C5038" s="272" t="s">
        <v>209</v>
      </c>
      <c r="D5038" s="273" t="s">
        <v>23694</v>
      </c>
      <c r="E5038" s="274" t="s">
        <v>229</v>
      </c>
    </row>
    <row r="5039" spans="1:5" ht="40.5">
      <c r="A5039" s="271">
        <v>94338</v>
      </c>
      <c r="B5039" s="272" t="s">
        <v>2489</v>
      </c>
      <c r="C5039" s="272" t="s">
        <v>209</v>
      </c>
      <c r="D5039" s="273" t="s">
        <v>23695</v>
      </c>
      <c r="E5039" s="274" t="s">
        <v>229</v>
      </c>
    </row>
    <row r="5040" spans="1:5" ht="40.5">
      <c r="A5040" s="271">
        <v>94339</v>
      </c>
      <c r="B5040" s="272" t="s">
        <v>2490</v>
      </c>
      <c r="C5040" s="272" t="s">
        <v>209</v>
      </c>
      <c r="D5040" s="273" t="s">
        <v>23696</v>
      </c>
      <c r="E5040" s="274" t="s">
        <v>229</v>
      </c>
    </row>
    <row r="5041" spans="1:5" ht="40.5">
      <c r="A5041" s="271">
        <v>94340</v>
      </c>
      <c r="B5041" s="272" t="s">
        <v>2491</v>
      </c>
      <c r="C5041" s="272" t="s">
        <v>209</v>
      </c>
      <c r="D5041" s="273" t="s">
        <v>23697</v>
      </c>
      <c r="E5041" s="274" t="s">
        <v>229</v>
      </c>
    </row>
    <row r="5042" spans="1:5" ht="40.5">
      <c r="A5042" s="271">
        <v>94341</v>
      </c>
      <c r="B5042" s="272" t="s">
        <v>2492</v>
      </c>
      <c r="C5042" s="272" t="s">
        <v>209</v>
      </c>
      <c r="D5042" s="273" t="s">
        <v>14142</v>
      </c>
      <c r="E5042" s="274" t="s">
        <v>229</v>
      </c>
    </row>
    <row r="5043" spans="1:5" ht="13.5">
      <c r="A5043" s="271">
        <v>94342</v>
      </c>
      <c r="B5043" s="272" t="s">
        <v>2493</v>
      </c>
      <c r="C5043" s="272" t="s">
        <v>209</v>
      </c>
      <c r="D5043" s="273" t="s">
        <v>23698</v>
      </c>
      <c r="E5043" s="274" t="s">
        <v>229</v>
      </c>
    </row>
    <row r="5044" spans="1:5" ht="27">
      <c r="A5044" s="271">
        <v>96385</v>
      </c>
      <c r="B5044" s="272" t="s">
        <v>9277</v>
      </c>
      <c r="C5044" s="272" t="s">
        <v>209</v>
      </c>
      <c r="D5044" s="273" t="s">
        <v>10154</v>
      </c>
      <c r="E5044" s="274" t="s">
        <v>229</v>
      </c>
    </row>
    <row r="5045" spans="1:5" ht="27">
      <c r="A5045" s="271">
        <v>96386</v>
      </c>
      <c r="B5045" s="272" t="s">
        <v>9278</v>
      </c>
      <c r="C5045" s="272" t="s">
        <v>209</v>
      </c>
      <c r="D5045" s="273" t="s">
        <v>12318</v>
      </c>
      <c r="E5045" s="274" t="s">
        <v>229</v>
      </c>
    </row>
    <row r="5046" spans="1:5" ht="40.5">
      <c r="A5046" s="271">
        <v>93360</v>
      </c>
      <c r="B5046" s="272" t="s">
        <v>4351</v>
      </c>
      <c r="C5046" s="272" t="s">
        <v>209</v>
      </c>
      <c r="D5046" s="273" t="s">
        <v>11509</v>
      </c>
      <c r="E5046" s="274" t="s">
        <v>229</v>
      </c>
    </row>
    <row r="5047" spans="1:5" ht="40.5">
      <c r="A5047" s="271">
        <v>93361</v>
      </c>
      <c r="B5047" s="272" t="s">
        <v>4352</v>
      </c>
      <c r="C5047" s="272" t="s">
        <v>209</v>
      </c>
      <c r="D5047" s="273" t="s">
        <v>11243</v>
      </c>
      <c r="E5047" s="274" t="s">
        <v>229</v>
      </c>
    </row>
    <row r="5048" spans="1:5" ht="40.5">
      <c r="A5048" s="271">
        <v>93362</v>
      </c>
      <c r="B5048" s="272" t="s">
        <v>4353</v>
      </c>
      <c r="C5048" s="272" t="s">
        <v>209</v>
      </c>
      <c r="D5048" s="273" t="s">
        <v>10032</v>
      </c>
      <c r="E5048" s="274" t="s">
        <v>229</v>
      </c>
    </row>
    <row r="5049" spans="1:5" ht="40.5">
      <c r="A5049" s="271">
        <v>93363</v>
      </c>
      <c r="B5049" s="272" t="s">
        <v>4354</v>
      </c>
      <c r="C5049" s="272" t="s">
        <v>209</v>
      </c>
      <c r="D5049" s="273" t="s">
        <v>12128</v>
      </c>
      <c r="E5049" s="274" t="s">
        <v>229</v>
      </c>
    </row>
    <row r="5050" spans="1:5" ht="54">
      <c r="A5050" s="271">
        <v>93364</v>
      </c>
      <c r="B5050" s="272" t="s">
        <v>2494</v>
      </c>
      <c r="C5050" s="272" t="s">
        <v>209</v>
      </c>
      <c r="D5050" s="273" t="s">
        <v>11347</v>
      </c>
      <c r="E5050" s="274" t="s">
        <v>229</v>
      </c>
    </row>
    <row r="5051" spans="1:5" ht="40.5">
      <c r="A5051" s="271">
        <v>93365</v>
      </c>
      <c r="B5051" s="272" t="s">
        <v>4355</v>
      </c>
      <c r="C5051" s="272" t="s">
        <v>209</v>
      </c>
      <c r="D5051" s="273" t="s">
        <v>16478</v>
      </c>
      <c r="E5051" s="274" t="s">
        <v>229</v>
      </c>
    </row>
    <row r="5052" spans="1:5" ht="40.5">
      <c r="A5052" s="271">
        <v>93366</v>
      </c>
      <c r="B5052" s="272" t="s">
        <v>4356</v>
      </c>
      <c r="C5052" s="272" t="s">
        <v>209</v>
      </c>
      <c r="D5052" s="273" t="s">
        <v>10485</v>
      </c>
      <c r="E5052" s="274" t="s">
        <v>229</v>
      </c>
    </row>
    <row r="5053" spans="1:5" ht="40.5">
      <c r="A5053" s="271">
        <v>93367</v>
      </c>
      <c r="B5053" s="272" t="s">
        <v>4357</v>
      </c>
      <c r="C5053" s="272" t="s">
        <v>209</v>
      </c>
      <c r="D5053" s="273" t="s">
        <v>19324</v>
      </c>
      <c r="E5053" s="274" t="s">
        <v>229</v>
      </c>
    </row>
    <row r="5054" spans="1:5" ht="40.5">
      <c r="A5054" s="271">
        <v>93368</v>
      </c>
      <c r="B5054" s="272" t="s">
        <v>4358</v>
      </c>
      <c r="C5054" s="272" t="s">
        <v>209</v>
      </c>
      <c r="D5054" s="273" t="s">
        <v>11313</v>
      </c>
      <c r="E5054" s="274" t="s">
        <v>229</v>
      </c>
    </row>
    <row r="5055" spans="1:5" ht="54">
      <c r="A5055" s="271">
        <v>93369</v>
      </c>
      <c r="B5055" s="272" t="s">
        <v>2495</v>
      </c>
      <c r="C5055" s="272" t="s">
        <v>209</v>
      </c>
      <c r="D5055" s="273" t="s">
        <v>10822</v>
      </c>
      <c r="E5055" s="274" t="s">
        <v>229</v>
      </c>
    </row>
    <row r="5056" spans="1:5" ht="40.5">
      <c r="A5056" s="271">
        <v>93370</v>
      </c>
      <c r="B5056" s="272" t="s">
        <v>4359</v>
      </c>
      <c r="C5056" s="272" t="s">
        <v>209</v>
      </c>
      <c r="D5056" s="273" t="s">
        <v>11027</v>
      </c>
      <c r="E5056" s="274" t="s">
        <v>229</v>
      </c>
    </row>
    <row r="5057" spans="1:5" ht="54">
      <c r="A5057" s="271">
        <v>93371</v>
      </c>
      <c r="B5057" s="272" t="s">
        <v>2496</v>
      </c>
      <c r="C5057" s="272" t="s">
        <v>209</v>
      </c>
      <c r="D5057" s="273" t="s">
        <v>10210</v>
      </c>
      <c r="E5057" s="274" t="s">
        <v>229</v>
      </c>
    </row>
    <row r="5058" spans="1:5" ht="40.5">
      <c r="A5058" s="271">
        <v>93372</v>
      </c>
      <c r="B5058" s="272" t="s">
        <v>4360</v>
      </c>
      <c r="C5058" s="272" t="s">
        <v>209</v>
      </c>
      <c r="D5058" s="273" t="s">
        <v>12184</v>
      </c>
      <c r="E5058" s="274" t="s">
        <v>229</v>
      </c>
    </row>
    <row r="5059" spans="1:5" ht="54">
      <c r="A5059" s="271">
        <v>93373</v>
      </c>
      <c r="B5059" s="272" t="s">
        <v>2497</v>
      </c>
      <c r="C5059" s="272" t="s">
        <v>209</v>
      </c>
      <c r="D5059" s="273" t="s">
        <v>23699</v>
      </c>
      <c r="E5059" s="274" t="s">
        <v>229</v>
      </c>
    </row>
    <row r="5060" spans="1:5" ht="40.5">
      <c r="A5060" s="271">
        <v>93374</v>
      </c>
      <c r="B5060" s="272" t="s">
        <v>2498</v>
      </c>
      <c r="C5060" s="272" t="s">
        <v>209</v>
      </c>
      <c r="D5060" s="273" t="s">
        <v>10100</v>
      </c>
      <c r="E5060" s="274" t="s">
        <v>229</v>
      </c>
    </row>
    <row r="5061" spans="1:5" ht="40.5">
      <c r="A5061" s="271">
        <v>93375</v>
      </c>
      <c r="B5061" s="272" t="s">
        <v>4361</v>
      </c>
      <c r="C5061" s="272" t="s">
        <v>209</v>
      </c>
      <c r="D5061" s="273" t="s">
        <v>15950</v>
      </c>
      <c r="E5061" s="274" t="s">
        <v>229</v>
      </c>
    </row>
    <row r="5062" spans="1:5" ht="40.5">
      <c r="A5062" s="271">
        <v>93376</v>
      </c>
      <c r="B5062" s="272" t="s">
        <v>4362</v>
      </c>
      <c r="C5062" s="272" t="s">
        <v>209</v>
      </c>
      <c r="D5062" s="273" t="s">
        <v>15982</v>
      </c>
      <c r="E5062" s="274" t="s">
        <v>229</v>
      </c>
    </row>
    <row r="5063" spans="1:5" ht="54">
      <c r="A5063" s="271">
        <v>93377</v>
      </c>
      <c r="B5063" s="272" t="s">
        <v>2499</v>
      </c>
      <c r="C5063" s="272" t="s">
        <v>209</v>
      </c>
      <c r="D5063" s="273" t="s">
        <v>16401</v>
      </c>
      <c r="E5063" s="274" t="s">
        <v>229</v>
      </c>
    </row>
    <row r="5064" spans="1:5" ht="40.5">
      <c r="A5064" s="271">
        <v>93378</v>
      </c>
      <c r="B5064" s="272" t="s">
        <v>4363</v>
      </c>
      <c r="C5064" s="272" t="s">
        <v>209</v>
      </c>
      <c r="D5064" s="273" t="s">
        <v>23700</v>
      </c>
      <c r="E5064" s="274" t="s">
        <v>229</v>
      </c>
    </row>
    <row r="5065" spans="1:5" ht="40.5">
      <c r="A5065" s="271">
        <v>93379</v>
      </c>
      <c r="B5065" s="272" t="s">
        <v>4364</v>
      </c>
      <c r="C5065" s="272" t="s">
        <v>209</v>
      </c>
      <c r="D5065" s="273" t="s">
        <v>19298</v>
      </c>
      <c r="E5065" s="274" t="s">
        <v>229</v>
      </c>
    </row>
    <row r="5066" spans="1:5" ht="40.5">
      <c r="A5066" s="271">
        <v>93380</v>
      </c>
      <c r="B5066" s="272" t="s">
        <v>4365</v>
      </c>
      <c r="C5066" s="272" t="s">
        <v>209</v>
      </c>
      <c r="D5066" s="273" t="s">
        <v>10457</v>
      </c>
      <c r="E5066" s="274" t="s">
        <v>229</v>
      </c>
    </row>
    <row r="5067" spans="1:5" ht="54">
      <c r="A5067" s="271">
        <v>93381</v>
      </c>
      <c r="B5067" s="272" t="s">
        <v>2500</v>
      </c>
      <c r="C5067" s="272" t="s">
        <v>209</v>
      </c>
      <c r="D5067" s="273" t="s">
        <v>10485</v>
      </c>
      <c r="E5067" s="274" t="s">
        <v>229</v>
      </c>
    </row>
    <row r="5068" spans="1:5" ht="13.5">
      <c r="A5068" s="271">
        <v>93382</v>
      </c>
      <c r="B5068" s="272" t="s">
        <v>2501</v>
      </c>
      <c r="C5068" s="272" t="s">
        <v>209</v>
      </c>
      <c r="D5068" s="273" t="s">
        <v>16369</v>
      </c>
      <c r="E5068" s="274" t="s">
        <v>229</v>
      </c>
    </row>
    <row r="5069" spans="1:5" ht="13.5">
      <c r="A5069" s="271">
        <v>96995</v>
      </c>
      <c r="B5069" s="272" t="s">
        <v>3695</v>
      </c>
      <c r="C5069" s="272" t="s">
        <v>209</v>
      </c>
      <c r="D5069" s="273" t="s">
        <v>23701</v>
      </c>
      <c r="E5069" s="274" t="s">
        <v>229</v>
      </c>
    </row>
    <row r="5070" spans="1:5" ht="27">
      <c r="A5070" s="271">
        <v>97916</v>
      </c>
      <c r="B5070" s="272" t="s">
        <v>13660</v>
      </c>
      <c r="C5070" s="272" t="s">
        <v>2502</v>
      </c>
      <c r="D5070" s="273" t="s">
        <v>11097</v>
      </c>
      <c r="E5070" s="274" t="s">
        <v>229</v>
      </c>
    </row>
    <row r="5071" spans="1:5" ht="27">
      <c r="A5071" s="271">
        <v>97917</v>
      </c>
      <c r="B5071" s="272" t="s">
        <v>13661</v>
      </c>
      <c r="C5071" s="272" t="s">
        <v>2502</v>
      </c>
      <c r="D5071" s="273" t="s">
        <v>9977</v>
      </c>
      <c r="E5071" s="274" t="s">
        <v>229</v>
      </c>
    </row>
    <row r="5072" spans="1:5" ht="27">
      <c r="A5072" s="271">
        <v>97918</v>
      </c>
      <c r="B5072" s="272" t="s">
        <v>13662</v>
      </c>
      <c r="C5072" s="272" t="s">
        <v>2502</v>
      </c>
      <c r="D5072" s="273" t="s">
        <v>10914</v>
      </c>
      <c r="E5072" s="274" t="s">
        <v>229</v>
      </c>
    </row>
    <row r="5073" spans="1:5" ht="27">
      <c r="A5073" s="271">
        <v>97919</v>
      </c>
      <c r="B5073" s="272" t="s">
        <v>13663</v>
      </c>
      <c r="C5073" s="272" t="s">
        <v>2502</v>
      </c>
      <c r="D5073" s="273" t="s">
        <v>9854</v>
      </c>
      <c r="E5073" s="274" t="s">
        <v>229</v>
      </c>
    </row>
    <row r="5074" spans="1:5" ht="27">
      <c r="A5074" s="271">
        <v>101616</v>
      </c>
      <c r="B5074" s="272" t="s">
        <v>13664</v>
      </c>
      <c r="C5074" s="272" t="s">
        <v>193</v>
      </c>
      <c r="D5074" s="273" t="s">
        <v>11219</v>
      </c>
      <c r="E5074" s="274" t="s">
        <v>229</v>
      </c>
    </row>
    <row r="5075" spans="1:5" ht="27">
      <c r="A5075" s="271">
        <v>101617</v>
      </c>
      <c r="B5075" s="272" t="s">
        <v>13665</v>
      </c>
      <c r="C5075" s="272" t="s">
        <v>193</v>
      </c>
      <c r="D5075" s="273" t="s">
        <v>11272</v>
      </c>
      <c r="E5075" s="274" t="s">
        <v>229</v>
      </c>
    </row>
    <row r="5076" spans="1:5" ht="27">
      <c r="A5076" s="271">
        <v>101618</v>
      </c>
      <c r="B5076" s="272" t="s">
        <v>13666</v>
      </c>
      <c r="C5076" s="272" t="s">
        <v>209</v>
      </c>
      <c r="D5076" s="273" t="s">
        <v>23702</v>
      </c>
      <c r="E5076" s="274" t="s">
        <v>229</v>
      </c>
    </row>
    <row r="5077" spans="1:5" ht="27">
      <c r="A5077" s="271">
        <v>101619</v>
      </c>
      <c r="B5077" s="272" t="s">
        <v>13667</v>
      </c>
      <c r="C5077" s="272" t="s">
        <v>209</v>
      </c>
      <c r="D5077" s="273" t="s">
        <v>23703</v>
      </c>
      <c r="E5077" s="274" t="s">
        <v>229</v>
      </c>
    </row>
    <row r="5078" spans="1:5" ht="27">
      <c r="A5078" s="271">
        <v>101620</v>
      </c>
      <c r="B5078" s="272" t="s">
        <v>13668</v>
      </c>
      <c r="C5078" s="272" t="s">
        <v>209</v>
      </c>
      <c r="D5078" s="273" t="s">
        <v>23704</v>
      </c>
      <c r="E5078" s="274" t="s">
        <v>229</v>
      </c>
    </row>
    <row r="5079" spans="1:5" ht="27">
      <c r="A5079" s="271">
        <v>101621</v>
      </c>
      <c r="B5079" s="272" t="s">
        <v>13669</v>
      </c>
      <c r="C5079" s="272" t="s">
        <v>209</v>
      </c>
      <c r="D5079" s="273" t="s">
        <v>23705</v>
      </c>
      <c r="E5079" s="274" t="s">
        <v>229</v>
      </c>
    </row>
    <row r="5080" spans="1:5" ht="27">
      <c r="A5080" s="271">
        <v>101622</v>
      </c>
      <c r="B5080" s="272" t="s">
        <v>13670</v>
      </c>
      <c r="C5080" s="272" t="s">
        <v>209</v>
      </c>
      <c r="D5080" s="273" t="s">
        <v>23706</v>
      </c>
      <c r="E5080" s="274" t="s">
        <v>229</v>
      </c>
    </row>
    <row r="5081" spans="1:5" ht="27">
      <c r="A5081" s="271">
        <v>101623</v>
      </c>
      <c r="B5081" s="272" t="s">
        <v>13671</v>
      </c>
      <c r="C5081" s="272" t="s">
        <v>209</v>
      </c>
      <c r="D5081" s="273" t="s">
        <v>23707</v>
      </c>
      <c r="E5081" s="274" t="s">
        <v>229</v>
      </c>
    </row>
    <row r="5082" spans="1:5" ht="27">
      <c r="A5082" s="271">
        <v>101624</v>
      </c>
      <c r="B5082" s="272" t="s">
        <v>13672</v>
      </c>
      <c r="C5082" s="272" t="s">
        <v>209</v>
      </c>
      <c r="D5082" s="273" t="s">
        <v>23708</v>
      </c>
      <c r="E5082" s="274" t="s">
        <v>229</v>
      </c>
    </row>
    <row r="5083" spans="1:5" ht="27">
      <c r="A5083" s="271">
        <v>101625</v>
      </c>
      <c r="B5083" s="272" t="s">
        <v>13673</v>
      </c>
      <c r="C5083" s="272" t="s">
        <v>209</v>
      </c>
      <c r="D5083" s="273" t="s">
        <v>23709</v>
      </c>
      <c r="E5083" s="274" t="s">
        <v>229</v>
      </c>
    </row>
    <row r="5084" spans="1:5" ht="13.5">
      <c r="A5084" s="271">
        <v>95606</v>
      </c>
      <c r="B5084" s="272" t="s">
        <v>2504</v>
      </c>
      <c r="C5084" s="272" t="s">
        <v>209</v>
      </c>
      <c r="D5084" s="273" t="s">
        <v>12214</v>
      </c>
      <c r="E5084" s="274" t="s">
        <v>229</v>
      </c>
    </row>
    <row r="5085" spans="1:5" ht="40.5">
      <c r="A5085" s="271">
        <v>87471</v>
      </c>
      <c r="B5085" s="272" t="s">
        <v>2505</v>
      </c>
      <c r="C5085" s="272" t="s">
        <v>193</v>
      </c>
      <c r="D5085" s="273" t="s">
        <v>22641</v>
      </c>
      <c r="E5085" s="274" t="s">
        <v>229</v>
      </c>
    </row>
    <row r="5086" spans="1:5" ht="40.5">
      <c r="A5086" s="271">
        <v>87472</v>
      </c>
      <c r="B5086" s="272" t="s">
        <v>2506</v>
      </c>
      <c r="C5086" s="272" t="s">
        <v>193</v>
      </c>
      <c r="D5086" s="273" t="s">
        <v>14104</v>
      </c>
      <c r="E5086" s="274" t="s">
        <v>229</v>
      </c>
    </row>
    <row r="5087" spans="1:5" ht="40.5">
      <c r="A5087" s="271">
        <v>87473</v>
      </c>
      <c r="B5087" s="272" t="s">
        <v>2507</v>
      </c>
      <c r="C5087" s="272" t="s">
        <v>193</v>
      </c>
      <c r="D5087" s="273" t="s">
        <v>16087</v>
      </c>
      <c r="E5087" s="274" t="s">
        <v>229</v>
      </c>
    </row>
    <row r="5088" spans="1:5" ht="40.5">
      <c r="A5088" s="271">
        <v>87474</v>
      </c>
      <c r="B5088" s="272" t="s">
        <v>2508</v>
      </c>
      <c r="C5088" s="272" t="s">
        <v>193</v>
      </c>
      <c r="D5088" s="273" t="s">
        <v>23710</v>
      </c>
      <c r="E5088" s="274" t="s">
        <v>229</v>
      </c>
    </row>
    <row r="5089" spans="1:5" ht="40.5">
      <c r="A5089" s="271">
        <v>87475</v>
      </c>
      <c r="B5089" s="272" t="s">
        <v>2509</v>
      </c>
      <c r="C5089" s="272" t="s">
        <v>193</v>
      </c>
      <c r="D5089" s="273" t="s">
        <v>23310</v>
      </c>
      <c r="E5089" s="274" t="s">
        <v>229</v>
      </c>
    </row>
    <row r="5090" spans="1:5" ht="40.5">
      <c r="A5090" s="271">
        <v>87476</v>
      </c>
      <c r="B5090" s="272" t="s">
        <v>2510</v>
      </c>
      <c r="C5090" s="272" t="s">
        <v>193</v>
      </c>
      <c r="D5090" s="273" t="s">
        <v>23711</v>
      </c>
      <c r="E5090" s="274" t="s">
        <v>229</v>
      </c>
    </row>
    <row r="5091" spans="1:5" ht="40.5">
      <c r="A5091" s="271">
        <v>87477</v>
      </c>
      <c r="B5091" s="272" t="s">
        <v>2511</v>
      </c>
      <c r="C5091" s="272" t="s">
        <v>193</v>
      </c>
      <c r="D5091" s="273" t="s">
        <v>14199</v>
      </c>
      <c r="E5091" s="274" t="s">
        <v>229</v>
      </c>
    </row>
    <row r="5092" spans="1:5" ht="40.5">
      <c r="A5092" s="271">
        <v>87478</v>
      </c>
      <c r="B5092" s="272" t="s">
        <v>2512</v>
      </c>
      <c r="C5092" s="272" t="s">
        <v>193</v>
      </c>
      <c r="D5092" s="273" t="s">
        <v>14173</v>
      </c>
      <c r="E5092" s="274" t="s">
        <v>229</v>
      </c>
    </row>
    <row r="5093" spans="1:5" ht="40.5">
      <c r="A5093" s="271">
        <v>87479</v>
      </c>
      <c r="B5093" s="272" t="s">
        <v>2513</v>
      </c>
      <c r="C5093" s="272" t="s">
        <v>193</v>
      </c>
      <c r="D5093" s="273" t="s">
        <v>16178</v>
      </c>
      <c r="E5093" s="274" t="s">
        <v>229</v>
      </c>
    </row>
    <row r="5094" spans="1:5" ht="40.5">
      <c r="A5094" s="271">
        <v>87480</v>
      </c>
      <c r="B5094" s="272" t="s">
        <v>2514</v>
      </c>
      <c r="C5094" s="272" t="s">
        <v>193</v>
      </c>
      <c r="D5094" s="273" t="s">
        <v>23712</v>
      </c>
      <c r="E5094" s="274" t="s">
        <v>229</v>
      </c>
    </row>
    <row r="5095" spans="1:5" ht="40.5">
      <c r="A5095" s="271">
        <v>87481</v>
      </c>
      <c r="B5095" s="272" t="s">
        <v>2515</v>
      </c>
      <c r="C5095" s="272" t="s">
        <v>193</v>
      </c>
      <c r="D5095" s="273" t="s">
        <v>11530</v>
      </c>
      <c r="E5095" s="274" t="s">
        <v>229</v>
      </c>
    </row>
    <row r="5096" spans="1:5" ht="40.5">
      <c r="A5096" s="271">
        <v>87482</v>
      </c>
      <c r="B5096" s="272" t="s">
        <v>2516</v>
      </c>
      <c r="C5096" s="272" t="s">
        <v>193</v>
      </c>
      <c r="D5096" s="273" t="s">
        <v>23713</v>
      </c>
      <c r="E5096" s="274" t="s">
        <v>229</v>
      </c>
    </row>
    <row r="5097" spans="1:5" ht="40.5">
      <c r="A5097" s="271">
        <v>87483</v>
      </c>
      <c r="B5097" s="272" t="s">
        <v>2517</v>
      </c>
      <c r="C5097" s="272" t="s">
        <v>193</v>
      </c>
      <c r="D5097" s="273" t="s">
        <v>23714</v>
      </c>
      <c r="E5097" s="274" t="s">
        <v>229</v>
      </c>
    </row>
    <row r="5098" spans="1:5" ht="40.5">
      <c r="A5098" s="271">
        <v>87484</v>
      </c>
      <c r="B5098" s="272" t="s">
        <v>2518</v>
      </c>
      <c r="C5098" s="272" t="s">
        <v>193</v>
      </c>
      <c r="D5098" s="273" t="s">
        <v>15820</v>
      </c>
      <c r="E5098" s="274" t="s">
        <v>229</v>
      </c>
    </row>
    <row r="5099" spans="1:5" ht="40.5">
      <c r="A5099" s="271">
        <v>87485</v>
      </c>
      <c r="B5099" s="272" t="s">
        <v>2519</v>
      </c>
      <c r="C5099" s="272" t="s">
        <v>193</v>
      </c>
      <c r="D5099" s="273" t="s">
        <v>23715</v>
      </c>
      <c r="E5099" s="274" t="s">
        <v>229</v>
      </c>
    </row>
    <row r="5100" spans="1:5" ht="40.5">
      <c r="A5100" s="271">
        <v>87487</v>
      </c>
      <c r="B5100" s="272" t="s">
        <v>2520</v>
      </c>
      <c r="C5100" s="272" t="s">
        <v>193</v>
      </c>
      <c r="D5100" s="273" t="s">
        <v>23716</v>
      </c>
      <c r="E5100" s="274" t="s">
        <v>229</v>
      </c>
    </row>
    <row r="5101" spans="1:5" ht="40.5">
      <c r="A5101" s="271">
        <v>87488</v>
      </c>
      <c r="B5101" s="272" t="s">
        <v>2521</v>
      </c>
      <c r="C5101" s="272" t="s">
        <v>193</v>
      </c>
      <c r="D5101" s="273" t="s">
        <v>23717</v>
      </c>
      <c r="E5101" s="274" t="s">
        <v>229</v>
      </c>
    </row>
    <row r="5102" spans="1:5" ht="40.5">
      <c r="A5102" s="271">
        <v>87489</v>
      </c>
      <c r="B5102" s="272" t="s">
        <v>2522</v>
      </c>
      <c r="C5102" s="272" t="s">
        <v>193</v>
      </c>
      <c r="D5102" s="273" t="s">
        <v>23718</v>
      </c>
      <c r="E5102" s="274" t="s">
        <v>229</v>
      </c>
    </row>
    <row r="5103" spans="1:5" ht="40.5">
      <c r="A5103" s="271">
        <v>87490</v>
      </c>
      <c r="B5103" s="272" t="s">
        <v>2523</v>
      </c>
      <c r="C5103" s="272" t="s">
        <v>193</v>
      </c>
      <c r="D5103" s="273" t="s">
        <v>23719</v>
      </c>
      <c r="E5103" s="274" t="s">
        <v>229</v>
      </c>
    </row>
    <row r="5104" spans="1:5" ht="40.5">
      <c r="A5104" s="271">
        <v>87491</v>
      </c>
      <c r="B5104" s="272" t="s">
        <v>2524</v>
      </c>
      <c r="C5104" s="272" t="s">
        <v>193</v>
      </c>
      <c r="D5104" s="273" t="s">
        <v>23720</v>
      </c>
      <c r="E5104" s="274" t="s">
        <v>229</v>
      </c>
    </row>
    <row r="5105" spans="1:5" ht="40.5">
      <c r="A5105" s="271">
        <v>87492</v>
      </c>
      <c r="B5105" s="272" t="s">
        <v>2525</v>
      </c>
      <c r="C5105" s="272" t="s">
        <v>193</v>
      </c>
      <c r="D5105" s="273" t="s">
        <v>23721</v>
      </c>
      <c r="E5105" s="274" t="s">
        <v>229</v>
      </c>
    </row>
    <row r="5106" spans="1:5" ht="40.5">
      <c r="A5106" s="271">
        <v>87493</v>
      </c>
      <c r="B5106" s="272" t="s">
        <v>2526</v>
      </c>
      <c r="C5106" s="272" t="s">
        <v>193</v>
      </c>
      <c r="D5106" s="273" t="s">
        <v>23722</v>
      </c>
      <c r="E5106" s="274" t="s">
        <v>229</v>
      </c>
    </row>
    <row r="5107" spans="1:5" ht="40.5">
      <c r="A5107" s="271">
        <v>87494</v>
      </c>
      <c r="B5107" s="272" t="s">
        <v>2527</v>
      </c>
      <c r="C5107" s="272" t="s">
        <v>193</v>
      </c>
      <c r="D5107" s="273" t="s">
        <v>23723</v>
      </c>
      <c r="E5107" s="274" t="s">
        <v>229</v>
      </c>
    </row>
    <row r="5108" spans="1:5" ht="40.5">
      <c r="A5108" s="271">
        <v>87495</v>
      </c>
      <c r="B5108" s="272" t="s">
        <v>2528</v>
      </c>
      <c r="C5108" s="272" t="s">
        <v>193</v>
      </c>
      <c r="D5108" s="273" t="s">
        <v>15800</v>
      </c>
      <c r="E5108" s="274" t="s">
        <v>229</v>
      </c>
    </row>
    <row r="5109" spans="1:5" ht="40.5">
      <c r="A5109" s="271">
        <v>87496</v>
      </c>
      <c r="B5109" s="272" t="s">
        <v>2529</v>
      </c>
      <c r="C5109" s="272" t="s">
        <v>193</v>
      </c>
      <c r="D5109" s="273" t="s">
        <v>23724</v>
      </c>
      <c r="E5109" s="274" t="s">
        <v>229</v>
      </c>
    </row>
    <row r="5110" spans="1:5" ht="40.5">
      <c r="A5110" s="271">
        <v>87497</v>
      </c>
      <c r="B5110" s="272" t="s">
        <v>2530</v>
      </c>
      <c r="C5110" s="272" t="s">
        <v>193</v>
      </c>
      <c r="D5110" s="273" t="s">
        <v>23725</v>
      </c>
      <c r="E5110" s="274" t="s">
        <v>229</v>
      </c>
    </row>
    <row r="5111" spans="1:5" ht="40.5">
      <c r="A5111" s="271">
        <v>87498</v>
      </c>
      <c r="B5111" s="272" t="s">
        <v>2531</v>
      </c>
      <c r="C5111" s="272" t="s">
        <v>193</v>
      </c>
      <c r="D5111" s="273" t="s">
        <v>12465</v>
      </c>
      <c r="E5111" s="274" t="s">
        <v>229</v>
      </c>
    </row>
    <row r="5112" spans="1:5" ht="40.5">
      <c r="A5112" s="271">
        <v>87499</v>
      </c>
      <c r="B5112" s="272" t="s">
        <v>2532</v>
      </c>
      <c r="C5112" s="272" t="s">
        <v>193</v>
      </c>
      <c r="D5112" s="273" t="s">
        <v>23726</v>
      </c>
      <c r="E5112" s="274" t="s">
        <v>229</v>
      </c>
    </row>
    <row r="5113" spans="1:5" ht="40.5">
      <c r="A5113" s="271">
        <v>87500</v>
      </c>
      <c r="B5113" s="272" t="s">
        <v>2533</v>
      </c>
      <c r="C5113" s="272" t="s">
        <v>193</v>
      </c>
      <c r="D5113" s="273" t="s">
        <v>23727</v>
      </c>
      <c r="E5113" s="274" t="s">
        <v>229</v>
      </c>
    </row>
    <row r="5114" spans="1:5" ht="40.5">
      <c r="A5114" s="271">
        <v>87501</v>
      </c>
      <c r="B5114" s="272" t="s">
        <v>2534</v>
      </c>
      <c r="C5114" s="272" t="s">
        <v>193</v>
      </c>
      <c r="D5114" s="273" t="s">
        <v>23728</v>
      </c>
      <c r="E5114" s="274" t="s">
        <v>229</v>
      </c>
    </row>
    <row r="5115" spans="1:5" ht="40.5">
      <c r="A5115" s="271">
        <v>87502</v>
      </c>
      <c r="B5115" s="272" t="s">
        <v>2535</v>
      </c>
      <c r="C5115" s="272" t="s">
        <v>193</v>
      </c>
      <c r="D5115" s="273" t="s">
        <v>23729</v>
      </c>
      <c r="E5115" s="274" t="s">
        <v>229</v>
      </c>
    </row>
    <row r="5116" spans="1:5" ht="40.5">
      <c r="A5116" s="271">
        <v>87503</v>
      </c>
      <c r="B5116" s="272" t="s">
        <v>2536</v>
      </c>
      <c r="C5116" s="272" t="s">
        <v>193</v>
      </c>
      <c r="D5116" s="273" t="s">
        <v>23730</v>
      </c>
      <c r="E5116" s="274" t="s">
        <v>229</v>
      </c>
    </row>
    <row r="5117" spans="1:5" ht="40.5">
      <c r="A5117" s="271">
        <v>87504</v>
      </c>
      <c r="B5117" s="272" t="s">
        <v>2537</v>
      </c>
      <c r="C5117" s="272" t="s">
        <v>193</v>
      </c>
      <c r="D5117" s="273" t="s">
        <v>23731</v>
      </c>
      <c r="E5117" s="274" t="s">
        <v>229</v>
      </c>
    </row>
    <row r="5118" spans="1:5" ht="40.5">
      <c r="A5118" s="271">
        <v>87505</v>
      </c>
      <c r="B5118" s="272" t="s">
        <v>2538</v>
      </c>
      <c r="C5118" s="272" t="s">
        <v>193</v>
      </c>
      <c r="D5118" s="273" t="s">
        <v>20410</v>
      </c>
      <c r="E5118" s="274" t="s">
        <v>229</v>
      </c>
    </row>
    <row r="5119" spans="1:5" ht="40.5">
      <c r="A5119" s="271">
        <v>87506</v>
      </c>
      <c r="B5119" s="272" t="s">
        <v>2539</v>
      </c>
      <c r="C5119" s="272" t="s">
        <v>193</v>
      </c>
      <c r="D5119" s="273" t="s">
        <v>23732</v>
      </c>
      <c r="E5119" s="274" t="s">
        <v>229</v>
      </c>
    </row>
    <row r="5120" spans="1:5" ht="40.5">
      <c r="A5120" s="271">
        <v>87507</v>
      </c>
      <c r="B5120" s="272" t="s">
        <v>2540</v>
      </c>
      <c r="C5120" s="272" t="s">
        <v>193</v>
      </c>
      <c r="D5120" s="273" t="s">
        <v>22523</v>
      </c>
      <c r="E5120" s="274" t="s">
        <v>229</v>
      </c>
    </row>
    <row r="5121" spans="1:5" ht="40.5">
      <c r="A5121" s="271">
        <v>87508</v>
      </c>
      <c r="B5121" s="272" t="s">
        <v>2541</v>
      </c>
      <c r="C5121" s="272" t="s">
        <v>193</v>
      </c>
      <c r="D5121" s="273" t="s">
        <v>23733</v>
      </c>
      <c r="E5121" s="274" t="s">
        <v>229</v>
      </c>
    </row>
    <row r="5122" spans="1:5" ht="40.5">
      <c r="A5122" s="271">
        <v>87509</v>
      </c>
      <c r="B5122" s="272" t="s">
        <v>2542</v>
      </c>
      <c r="C5122" s="272" t="s">
        <v>193</v>
      </c>
      <c r="D5122" s="273" t="s">
        <v>23734</v>
      </c>
      <c r="E5122" s="274" t="s">
        <v>229</v>
      </c>
    </row>
    <row r="5123" spans="1:5" ht="40.5">
      <c r="A5123" s="271">
        <v>87510</v>
      </c>
      <c r="B5123" s="272" t="s">
        <v>2543</v>
      </c>
      <c r="C5123" s="272" t="s">
        <v>193</v>
      </c>
      <c r="D5123" s="273" t="s">
        <v>23735</v>
      </c>
      <c r="E5123" s="274" t="s">
        <v>229</v>
      </c>
    </row>
    <row r="5124" spans="1:5" ht="40.5">
      <c r="A5124" s="271">
        <v>87511</v>
      </c>
      <c r="B5124" s="272" t="s">
        <v>2544</v>
      </c>
      <c r="C5124" s="272" t="s">
        <v>193</v>
      </c>
      <c r="D5124" s="273" t="s">
        <v>16289</v>
      </c>
      <c r="E5124" s="274" t="s">
        <v>229</v>
      </c>
    </row>
    <row r="5125" spans="1:5" ht="40.5">
      <c r="A5125" s="271">
        <v>87512</v>
      </c>
      <c r="B5125" s="272" t="s">
        <v>2545</v>
      </c>
      <c r="C5125" s="272" t="s">
        <v>193</v>
      </c>
      <c r="D5125" s="273" t="s">
        <v>23736</v>
      </c>
      <c r="E5125" s="274" t="s">
        <v>229</v>
      </c>
    </row>
    <row r="5126" spans="1:5" ht="40.5">
      <c r="A5126" s="271">
        <v>87513</v>
      </c>
      <c r="B5126" s="272" t="s">
        <v>2546</v>
      </c>
      <c r="C5126" s="272" t="s">
        <v>193</v>
      </c>
      <c r="D5126" s="273" t="s">
        <v>23737</v>
      </c>
      <c r="E5126" s="274" t="s">
        <v>229</v>
      </c>
    </row>
    <row r="5127" spans="1:5" ht="40.5">
      <c r="A5127" s="271">
        <v>87514</v>
      </c>
      <c r="B5127" s="272" t="s">
        <v>2547</v>
      </c>
      <c r="C5127" s="272" t="s">
        <v>193</v>
      </c>
      <c r="D5127" s="273" t="s">
        <v>15907</v>
      </c>
      <c r="E5127" s="274" t="s">
        <v>229</v>
      </c>
    </row>
    <row r="5128" spans="1:5" ht="40.5">
      <c r="A5128" s="271">
        <v>87515</v>
      </c>
      <c r="B5128" s="272" t="s">
        <v>2548</v>
      </c>
      <c r="C5128" s="272" t="s">
        <v>193</v>
      </c>
      <c r="D5128" s="273" t="s">
        <v>23738</v>
      </c>
      <c r="E5128" s="274" t="s">
        <v>229</v>
      </c>
    </row>
    <row r="5129" spans="1:5" ht="40.5">
      <c r="A5129" s="271">
        <v>87516</v>
      </c>
      <c r="B5129" s="272" t="s">
        <v>2549</v>
      </c>
      <c r="C5129" s="272" t="s">
        <v>193</v>
      </c>
      <c r="D5129" s="273" t="s">
        <v>23739</v>
      </c>
      <c r="E5129" s="274" t="s">
        <v>229</v>
      </c>
    </row>
    <row r="5130" spans="1:5" ht="40.5">
      <c r="A5130" s="271">
        <v>87517</v>
      </c>
      <c r="B5130" s="272" t="s">
        <v>2550</v>
      </c>
      <c r="C5130" s="272" t="s">
        <v>193</v>
      </c>
      <c r="D5130" s="273" t="s">
        <v>23740</v>
      </c>
      <c r="E5130" s="274" t="s">
        <v>229</v>
      </c>
    </row>
    <row r="5131" spans="1:5" ht="40.5">
      <c r="A5131" s="271">
        <v>87518</v>
      </c>
      <c r="B5131" s="272" t="s">
        <v>2551</v>
      </c>
      <c r="C5131" s="272" t="s">
        <v>193</v>
      </c>
      <c r="D5131" s="273" t="s">
        <v>23741</v>
      </c>
      <c r="E5131" s="274" t="s">
        <v>229</v>
      </c>
    </row>
    <row r="5132" spans="1:5" ht="40.5">
      <c r="A5132" s="271">
        <v>87519</v>
      </c>
      <c r="B5132" s="272" t="s">
        <v>2552</v>
      </c>
      <c r="C5132" s="272" t="s">
        <v>193</v>
      </c>
      <c r="D5132" s="273" t="s">
        <v>23742</v>
      </c>
      <c r="E5132" s="274" t="s">
        <v>229</v>
      </c>
    </row>
    <row r="5133" spans="1:5" ht="40.5">
      <c r="A5133" s="271">
        <v>87520</v>
      </c>
      <c r="B5133" s="272" t="s">
        <v>2553</v>
      </c>
      <c r="C5133" s="272" t="s">
        <v>193</v>
      </c>
      <c r="D5133" s="273" t="s">
        <v>23743</v>
      </c>
      <c r="E5133" s="274" t="s">
        <v>229</v>
      </c>
    </row>
    <row r="5134" spans="1:5" ht="40.5">
      <c r="A5134" s="271">
        <v>87521</v>
      </c>
      <c r="B5134" s="272" t="s">
        <v>2554</v>
      </c>
      <c r="C5134" s="272" t="s">
        <v>193</v>
      </c>
      <c r="D5134" s="273" t="s">
        <v>16187</v>
      </c>
      <c r="E5134" s="274" t="s">
        <v>229</v>
      </c>
    </row>
    <row r="5135" spans="1:5" ht="40.5">
      <c r="A5135" s="271">
        <v>87522</v>
      </c>
      <c r="B5135" s="272" t="s">
        <v>2555</v>
      </c>
      <c r="C5135" s="272" t="s">
        <v>193</v>
      </c>
      <c r="D5135" s="273" t="s">
        <v>11224</v>
      </c>
      <c r="E5135" s="274" t="s">
        <v>229</v>
      </c>
    </row>
    <row r="5136" spans="1:5" ht="40.5">
      <c r="A5136" s="271">
        <v>87523</v>
      </c>
      <c r="B5136" s="272" t="s">
        <v>2556</v>
      </c>
      <c r="C5136" s="272" t="s">
        <v>193</v>
      </c>
      <c r="D5136" s="273" t="s">
        <v>12283</v>
      </c>
      <c r="E5136" s="274" t="s">
        <v>229</v>
      </c>
    </row>
    <row r="5137" spans="1:5" ht="40.5">
      <c r="A5137" s="271">
        <v>87524</v>
      </c>
      <c r="B5137" s="272" t="s">
        <v>2557</v>
      </c>
      <c r="C5137" s="272" t="s">
        <v>193</v>
      </c>
      <c r="D5137" s="273" t="s">
        <v>23744</v>
      </c>
      <c r="E5137" s="274" t="s">
        <v>229</v>
      </c>
    </row>
    <row r="5138" spans="1:5" ht="40.5">
      <c r="A5138" s="271">
        <v>87525</v>
      </c>
      <c r="B5138" s="272" t="s">
        <v>2558</v>
      </c>
      <c r="C5138" s="272" t="s">
        <v>193</v>
      </c>
      <c r="D5138" s="273" t="s">
        <v>23745</v>
      </c>
      <c r="E5138" s="274" t="s">
        <v>229</v>
      </c>
    </row>
    <row r="5139" spans="1:5" ht="40.5">
      <c r="A5139" s="271">
        <v>87526</v>
      </c>
      <c r="B5139" s="272" t="s">
        <v>2559</v>
      </c>
      <c r="C5139" s="272" t="s">
        <v>193</v>
      </c>
      <c r="D5139" s="273" t="s">
        <v>23746</v>
      </c>
      <c r="E5139" s="274" t="s">
        <v>229</v>
      </c>
    </row>
    <row r="5140" spans="1:5" ht="40.5">
      <c r="A5140" s="271">
        <v>89043</v>
      </c>
      <c r="B5140" s="272" t="s">
        <v>2560</v>
      </c>
      <c r="C5140" s="272" t="s">
        <v>193</v>
      </c>
      <c r="D5140" s="273" t="s">
        <v>23747</v>
      </c>
      <c r="E5140" s="274" t="s">
        <v>229</v>
      </c>
    </row>
    <row r="5141" spans="1:5" ht="40.5">
      <c r="A5141" s="271">
        <v>89168</v>
      </c>
      <c r="B5141" s="272" t="s">
        <v>203</v>
      </c>
      <c r="C5141" s="272" t="s">
        <v>193</v>
      </c>
      <c r="D5141" s="273" t="s">
        <v>23577</v>
      </c>
      <c r="E5141" s="274" t="s">
        <v>229</v>
      </c>
    </row>
    <row r="5142" spans="1:5" ht="40.5">
      <c r="A5142" s="271">
        <v>89977</v>
      </c>
      <c r="B5142" s="272" t="s">
        <v>2561</v>
      </c>
      <c r="C5142" s="272" t="s">
        <v>193</v>
      </c>
      <c r="D5142" s="273" t="s">
        <v>23748</v>
      </c>
      <c r="E5142" s="274" t="s">
        <v>229</v>
      </c>
    </row>
    <row r="5143" spans="1:5" ht="40.5">
      <c r="A5143" s="271">
        <v>90112</v>
      </c>
      <c r="B5143" s="272" t="s">
        <v>2562</v>
      </c>
      <c r="C5143" s="272" t="s">
        <v>193</v>
      </c>
      <c r="D5143" s="273" t="s">
        <v>23749</v>
      </c>
      <c r="E5143" s="274" t="s">
        <v>229</v>
      </c>
    </row>
    <row r="5144" spans="1:5" ht="27">
      <c r="A5144" s="271">
        <v>101159</v>
      </c>
      <c r="B5144" s="272" t="s">
        <v>10919</v>
      </c>
      <c r="C5144" s="272" t="s">
        <v>193</v>
      </c>
      <c r="D5144" s="273" t="s">
        <v>23750</v>
      </c>
      <c r="E5144" s="274" t="s">
        <v>229</v>
      </c>
    </row>
    <row r="5145" spans="1:5" ht="40.5">
      <c r="A5145" s="271">
        <v>89282</v>
      </c>
      <c r="B5145" s="272" t="s">
        <v>2563</v>
      </c>
      <c r="C5145" s="272" t="s">
        <v>193</v>
      </c>
      <c r="D5145" s="273" t="s">
        <v>23751</v>
      </c>
      <c r="E5145" s="274" t="s">
        <v>229</v>
      </c>
    </row>
    <row r="5146" spans="1:5" ht="40.5">
      <c r="A5146" s="271">
        <v>89283</v>
      </c>
      <c r="B5146" s="272" t="s">
        <v>2564</v>
      </c>
      <c r="C5146" s="272" t="s">
        <v>193</v>
      </c>
      <c r="D5146" s="273" t="s">
        <v>23752</v>
      </c>
      <c r="E5146" s="274" t="s">
        <v>229</v>
      </c>
    </row>
    <row r="5147" spans="1:5" ht="40.5">
      <c r="A5147" s="271">
        <v>89284</v>
      </c>
      <c r="B5147" s="272" t="s">
        <v>2565</v>
      </c>
      <c r="C5147" s="272" t="s">
        <v>193</v>
      </c>
      <c r="D5147" s="273" t="s">
        <v>23753</v>
      </c>
      <c r="E5147" s="274" t="s">
        <v>229</v>
      </c>
    </row>
    <row r="5148" spans="1:5" ht="40.5">
      <c r="A5148" s="271">
        <v>89285</v>
      </c>
      <c r="B5148" s="272" t="s">
        <v>2566</v>
      </c>
      <c r="C5148" s="272" t="s">
        <v>193</v>
      </c>
      <c r="D5148" s="273" t="s">
        <v>23754</v>
      </c>
      <c r="E5148" s="274" t="s">
        <v>229</v>
      </c>
    </row>
    <row r="5149" spans="1:5" ht="40.5">
      <c r="A5149" s="271">
        <v>89286</v>
      </c>
      <c r="B5149" s="272" t="s">
        <v>2567</v>
      </c>
      <c r="C5149" s="272" t="s">
        <v>193</v>
      </c>
      <c r="D5149" s="273" t="s">
        <v>23755</v>
      </c>
      <c r="E5149" s="274" t="s">
        <v>229</v>
      </c>
    </row>
    <row r="5150" spans="1:5" ht="40.5">
      <c r="A5150" s="271">
        <v>89287</v>
      </c>
      <c r="B5150" s="272" t="s">
        <v>2568</v>
      </c>
      <c r="C5150" s="272" t="s">
        <v>193</v>
      </c>
      <c r="D5150" s="273" t="s">
        <v>23756</v>
      </c>
      <c r="E5150" s="274" t="s">
        <v>229</v>
      </c>
    </row>
    <row r="5151" spans="1:5" ht="40.5">
      <c r="A5151" s="271">
        <v>89288</v>
      </c>
      <c r="B5151" s="272" t="s">
        <v>2569</v>
      </c>
      <c r="C5151" s="272" t="s">
        <v>193</v>
      </c>
      <c r="D5151" s="273" t="s">
        <v>16705</v>
      </c>
      <c r="E5151" s="274" t="s">
        <v>229</v>
      </c>
    </row>
    <row r="5152" spans="1:5" ht="40.5">
      <c r="A5152" s="271">
        <v>89289</v>
      </c>
      <c r="B5152" s="272" t="s">
        <v>2570</v>
      </c>
      <c r="C5152" s="272" t="s">
        <v>193</v>
      </c>
      <c r="D5152" s="273" t="s">
        <v>23757</v>
      </c>
      <c r="E5152" s="274" t="s">
        <v>229</v>
      </c>
    </row>
    <row r="5153" spans="1:5" ht="40.5">
      <c r="A5153" s="271">
        <v>89290</v>
      </c>
      <c r="B5153" s="272" t="s">
        <v>2571</v>
      </c>
      <c r="C5153" s="272" t="s">
        <v>193</v>
      </c>
      <c r="D5153" s="273" t="s">
        <v>16395</v>
      </c>
      <c r="E5153" s="274" t="s">
        <v>229</v>
      </c>
    </row>
    <row r="5154" spans="1:5" ht="40.5">
      <c r="A5154" s="271">
        <v>89291</v>
      </c>
      <c r="B5154" s="272" t="s">
        <v>2572</v>
      </c>
      <c r="C5154" s="272" t="s">
        <v>193</v>
      </c>
      <c r="D5154" s="273" t="s">
        <v>23758</v>
      </c>
      <c r="E5154" s="274" t="s">
        <v>229</v>
      </c>
    </row>
    <row r="5155" spans="1:5" ht="40.5">
      <c r="A5155" s="271">
        <v>89292</v>
      </c>
      <c r="B5155" s="272" t="s">
        <v>2573</v>
      </c>
      <c r="C5155" s="272" t="s">
        <v>193</v>
      </c>
      <c r="D5155" s="273" t="s">
        <v>23759</v>
      </c>
      <c r="E5155" s="274" t="s">
        <v>229</v>
      </c>
    </row>
    <row r="5156" spans="1:5" ht="40.5">
      <c r="A5156" s="271">
        <v>89293</v>
      </c>
      <c r="B5156" s="272" t="s">
        <v>2574</v>
      </c>
      <c r="C5156" s="272" t="s">
        <v>193</v>
      </c>
      <c r="D5156" s="273" t="s">
        <v>18850</v>
      </c>
      <c r="E5156" s="274" t="s">
        <v>229</v>
      </c>
    </row>
    <row r="5157" spans="1:5" ht="40.5">
      <c r="A5157" s="271">
        <v>89294</v>
      </c>
      <c r="B5157" s="272" t="s">
        <v>2575</v>
      </c>
      <c r="C5157" s="272" t="s">
        <v>193</v>
      </c>
      <c r="D5157" s="273" t="s">
        <v>23760</v>
      </c>
      <c r="E5157" s="274" t="s">
        <v>229</v>
      </c>
    </row>
    <row r="5158" spans="1:5" ht="40.5">
      <c r="A5158" s="271">
        <v>89295</v>
      </c>
      <c r="B5158" s="272" t="s">
        <v>2576</v>
      </c>
      <c r="C5158" s="272" t="s">
        <v>193</v>
      </c>
      <c r="D5158" s="273" t="s">
        <v>19153</v>
      </c>
      <c r="E5158" s="274" t="s">
        <v>229</v>
      </c>
    </row>
    <row r="5159" spans="1:5" ht="40.5">
      <c r="A5159" s="271">
        <v>89296</v>
      </c>
      <c r="B5159" s="272" t="s">
        <v>2577</v>
      </c>
      <c r="C5159" s="272" t="s">
        <v>193</v>
      </c>
      <c r="D5159" s="273" t="s">
        <v>23761</v>
      </c>
      <c r="E5159" s="274" t="s">
        <v>229</v>
      </c>
    </row>
    <row r="5160" spans="1:5" ht="40.5">
      <c r="A5160" s="271">
        <v>89297</v>
      </c>
      <c r="B5160" s="272" t="s">
        <v>2578</v>
      </c>
      <c r="C5160" s="272" t="s">
        <v>193</v>
      </c>
      <c r="D5160" s="273" t="s">
        <v>23762</v>
      </c>
      <c r="E5160" s="274" t="s">
        <v>229</v>
      </c>
    </row>
    <row r="5161" spans="1:5" ht="40.5">
      <c r="A5161" s="271">
        <v>89298</v>
      </c>
      <c r="B5161" s="272" t="s">
        <v>2579</v>
      </c>
      <c r="C5161" s="272" t="s">
        <v>193</v>
      </c>
      <c r="D5161" s="273" t="s">
        <v>16685</v>
      </c>
      <c r="E5161" s="274" t="s">
        <v>229</v>
      </c>
    </row>
    <row r="5162" spans="1:5" ht="40.5">
      <c r="A5162" s="271">
        <v>89299</v>
      </c>
      <c r="B5162" s="272" t="s">
        <v>2580</v>
      </c>
      <c r="C5162" s="272" t="s">
        <v>193</v>
      </c>
      <c r="D5162" s="273" t="s">
        <v>23763</v>
      </c>
      <c r="E5162" s="274" t="s">
        <v>229</v>
      </c>
    </row>
    <row r="5163" spans="1:5" ht="40.5">
      <c r="A5163" s="271">
        <v>89300</v>
      </c>
      <c r="B5163" s="272" t="s">
        <v>2581</v>
      </c>
      <c r="C5163" s="272" t="s">
        <v>193</v>
      </c>
      <c r="D5163" s="273" t="s">
        <v>21252</v>
      </c>
      <c r="E5163" s="274" t="s">
        <v>229</v>
      </c>
    </row>
    <row r="5164" spans="1:5" ht="40.5">
      <c r="A5164" s="271">
        <v>89301</v>
      </c>
      <c r="B5164" s="272" t="s">
        <v>2582</v>
      </c>
      <c r="C5164" s="272" t="s">
        <v>193</v>
      </c>
      <c r="D5164" s="273" t="s">
        <v>21336</v>
      </c>
      <c r="E5164" s="274" t="s">
        <v>229</v>
      </c>
    </row>
    <row r="5165" spans="1:5" ht="40.5">
      <c r="A5165" s="271">
        <v>89302</v>
      </c>
      <c r="B5165" s="272" t="s">
        <v>2583</v>
      </c>
      <c r="C5165" s="272" t="s">
        <v>193</v>
      </c>
      <c r="D5165" s="273" t="s">
        <v>23764</v>
      </c>
      <c r="E5165" s="274" t="s">
        <v>229</v>
      </c>
    </row>
    <row r="5166" spans="1:5" ht="40.5">
      <c r="A5166" s="271">
        <v>89303</v>
      </c>
      <c r="B5166" s="272" t="s">
        <v>2584</v>
      </c>
      <c r="C5166" s="272" t="s">
        <v>193</v>
      </c>
      <c r="D5166" s="273" t="s">
        <v>23765</v>
      </c>
      <c r="E5166" s="274" t="s">
        <v>229</v>
      </c>
    </row>
    <row r="5167" spans="1:5" ht="40.5">
      <c r="A5167" s="271">
        <v>89304</v>
      </c>
      <c r="B5167" s="272" t="s">
        <v>2585</v>
      </c>
      <c r="C5167" s="272" t="s">
        <v>193</v>
      </c>
      <c r="D5167" s="273" t="s">
        <v>20540</v>
      </c>
      <c r="E5167" s="274" t="s">
        <v>229</v>
      </c>
    </row>
    <row r="5168" spans="1:5" ht="40.5">
      <c r="A5168" s="271">
        <v>89305</v>
      </c>
      <c r="B5168" s="272" t="s">
        <v>2586</v>
      </c>
      <c r="C5168" s="272" t="s">
        <v>193</v>
      </c>
      <c r="D5168" s="273" t="s">
        <v>15836</v>
      </c>
      <c r="E5168" s="274" t="s">
        <v>229</v>
      </c>
    </row>
    <row r="5169" spans="1:5" ht="40.5">
      <c r="A5169" s="271">
        <v>89306</v>
      </c>
      <c r="B5169" s="272" t="s">
        <v>2587</v>
      </c>
      <c r="C5169" s="272" t="s">
        <v>193</v>
      </c>
      <c r="D5169" s="273" t="s">
        <v>23766</v>
      </c>
      <c r="E5169" s="274" t="s">
        <v>229</v>
      </c>
    </row>
    <row r="5170" spans="1:5" ht="40.5">
      <c r="A5170" s="271">
        <v>89307</v>
      </c>
      <c r="B5170" s="272" t="s">
        <v>2588</v>
      </c>
      <c r="C5170" s="272" t="s">
        <v>193</v>
      </c>
      <c r="D5170" s="273" t="s">
        <v>14054</v>
      </c>
      <c r="E5170" s="274" t="s">
        <v>229</v>
      </c>
    </row>
    <row r="5171" spans="1:5" ht="40.5">
      <c r="A5171" s="271">
        <v>89308</v>
      </c>
      <c r="B5171" s="272" t="s">
        <v>2589</v>
      </c>
      <c r="C5171" s="272" t="s">
        <v>193</v>
      </c>
      <c r="D5171" s="273" t="s">
        <v>23767</v>
      </c>
      <c r="E5171" s="274" t="s">
        <v>229</v>
      </c>
    </row>
    <row r="5172" spans="1:5" ht="40.5">
      <c r="A5172" s="271">
        <v>89309</v>
      </c>
      <c r="B5172" s="272" t="s">
        <v>2590</v>
      </c>
      <c r="C5172" s="272" t="s">
        <v>193</v>
      </c>
      <c r="D5172" s="273" t="s">
        <v>23768</v>
      </c>
      <c r="E5172" s="274" t="s">
        <v>229</v>
      </c>
    </row>
    <row r="5173" spans="1:5" ht="40.5">
      <c r="A5173" s="271">
        <v>89310</v>
      </c>
      <c r="B5173" s="272" t="s">
        <v>2591</v>
      </c>
      <c r="C5173" s="272" t="s">
        <v>193</v>
      </c>
      <c r="D5173" s="273" t="s">
        <v>16415</v>
      </c>
      <c r="E5173" s="274" t="s">
        <v>229</v>
      </c>
    </row>
    <row r="5174" spans="1:5" ht="40.5">
      <c r="A5174" s="271">
        <v>89311</v>
      </c>
      <c r="B5174" s="272" t="s">
        <v>2592</v>
      </c>
      <c r="C5174" s="272" t="s">
        <v>193</v>
      </c>
      <c r="D5174" s="273" t="s">
        <v>23769</v>
      </c>
      <c r="E5174" s="274" t="s">
        <v>229</v>
      </c>
    </row>
    <row r="5175" spans="1:5" ht="40.5">
      <c r="A5175" s="271">
        <v>89312</v>
      </c>
      <c r="B5175" s="272" t="s">
        <v>2593</v>
      </c>
      <c r="C5175" s="272" t="s">
        <v>193</v>
      </c>
      <c r="D5175" s="273" t="s">
        <v>23770</v>
      </c>
      <c r="E5175" s="274" t="s">
        <v>229</v>
      </c>
    </row>
    <row r="5176" spans="1:5" ht="40.5">
      <c r="A5176" s="271">
        <v>89313</v>
      </c>
      <c r="B5176" s="272" t="s">
        <v>2594</v>
      </c>
      <c r="C5176" s="272" t="s">
        <v>193</v>
      </c>
      <c r="D5176" s="273" t="s">
        <v>23771</v>
      </c>
      <c r="E5176" s="274" t="s">
        <v>229</v>
      </c>
    </row>
    <row r="5177" spans="1:5" ht="27">
      <c r="A5177" s="271">
        <v>101162</v>
      </c>
      <c r="B5177" s="272" t="s">
        <v>10921</v>
      </c>
      <c r="C5177" s="272" t="s">
        <v>193</v>
      </c>
      <c r="D5177" s="273" t="s">
        <v>23772</v>
      </c>
      <c r="E5177" s="274" t="s">
        <v>229</v>
      </c>
    </row>
    <row r="5178" spans="1:5" ht="40.5">
      <c r="A5178" s="271">
        <v>87447</v>
      </c>
      <c r="B5178" s="272" t="s">
        <v>2595</v>
      </c>
      <c r="C5178" s="272" t="s">
        <v>193</v>
      </c>
      <c r="D5178" s="273" t="s">
        <v>12471</v>
      </c>
      <c r="E5178" s="274" t="s">
        <v>229</v>
      </c>
    </row>
    <row r="5179" spans="1:5" ht="40.5">
      <c r="A5179" s="271">
        <v>87448</v>
      </c>
      <c r="B5179" s="272" t="s">
        <v>2596</v>
      </c>
      <c r="C5179" s="272" t="s">
        <v>193</v>
      </c>
      <c r="D5179" s="273" t="s">
        <v>23773</v>
      </c>
      <c r="E5179" s="274" t="s">
        <v>229</v>
      </c>
    </row>
    <row r="5180" spans="1:5" ht="40.5">
      <c r="A5180" s="271">
        <v>87449</v>
      </c>
      <c r="B5180" s="272" t="s">
        <v>2597</v>
      </c>
      <c r="C5180" s="272" t="s">
        <v>193</v>
      </c>
      <c r="D5180" s="273" t="s">
        <v>23715</v>
      </c>
      <c r="E5180" s="274" t="s">
        <v>229</v>
      </c>
    </row>
    <row r="5181" spans="1:5" ht="40.5">
      <c r="A5181" s="271">
        <v>87450</v>
      </c>
      <c r="B5181" s="272" t="s">
        <v>2598</v>
      </c>
      <c r="C5181" s="272" t="s">
        <v>193</v>
      </c>
      <c r="D5181" s="273" t="s">
        <v>16416</v>
      </c>
      <c r="E5181" s="274" t="s">
        <v>229</v>
      </c>
    </row>
    <row r="5182" spans="1:5" ht="40.5">
      <c r="A5182" s="271">
        <v>87451</v>
      </c>
      <c r="B5182" s="272" t="s">
        <v>2599</v>
      </c>
      <c r="C5182" s="272" t="s">
        <v>193</v>
      </c>
      <c r="D5182" s="273" t="s">
        <v>23774</v>
      </c>
      <c r="E5182" s="274" t="s">
        <v>229</v>
      </c>
    </row>
    <row r="5183" spans="1:5" ht="40.5">
      <c r="A5183" s="271">
        <v>87452</v>
      </c>
      <c r="B5183" s="272" t="s">
        <v>2600</v>
      </c>
      <c r="C5183" s="272" t="s">
        <v>193</v>
      </c>
      <c r="D5183" s="273" t="s">
        <v>20424</v>
      </c>
      <c r="E5183" s="274" t="s">
        <v>229</v>
      </c>
    </row>
    <row r="5184" spans="1:5" ht="40.5">
      <c r="A5184" s="271">
        <v>87453</v>
      </c>
      <c r="B5184" s="272" t="s">
        <v>2601</v>
      </c>
      <c r="C5184" s="272" t="s">
        <v>193</v>
      </c>
      <c r="D5184" s="273" t="s">
        <v>23775</v>
      </c>
      <c r="E5184" s="274" t="s">
        <v>229</v>
      </c>
    </row>
    <row r="5185" spans="1:5" ht="40.5">
      <c r="A5185" s="271">
        <v>87454</v>
      </c>
      <c r="B5185" s="272" t="s">
        <v>2602</v>
      </c>
      <c r="C5185" s="272" t="s">
        <v>193</v>
      </c>
      <c r="D5185" s="273" t="s">
        <v>23776</v>
      </c>
      <c r="E5185" s="274" t="s">
        <v>229</v>
      </c>
    </row>
    <row r="5186" spans="1:5" ht="40.5">
      <c r="A5186" s="271">
        <v>87455</v>
      </c>
      <c r="B5186" s="272" t="s">
        <v>2603</v>
      </c>
      <c r="C5186" s="272" t="s">
        <v>193</v>
      </c>
      <c r="D5186" s="273" t="s">
        <v>16453</v>
      </c>
      <c r="E5186" s="274" t="s">
        <v>229</v>
      </c>
    </row>
    <row r="5187" spans="1:5" ht="40.5">
      <c r="A5187" s="271">
        <v>87456</v>
      </c>
      <c r="B5187" s="272" t="s">
        <v>2604</v>
      </c>
      <c r="C5187" s="272" t="s">
        <v>193</v>
      </c>
      <c r="D5187" s="273" t="s">
        <v>16035</v>
      </c>
      <c r="E5187" s="274" t="s">
        <v>229</v>
      </c>
    </row>
    <row r="5188" spans="1:5" ht="40.5">
      <c r="A5188" s="271">
        <v>87457</v>
      </c>
      <c r="B5188" s="272" t="s">
        <v>2605</v>
      </c>
      <c r="C5188" s="272" t="s">
        <v>193</v>
      </c>
      <c r="D5188" s="273" t="s">
        <v>23777</v>
      </c>
      <c r="E5188" s="274" t="s">
        <v>229</v>
      </c>
    </row>
    <row r="5189" spans="1:5" ht="40.5">
      <c r="A5189" s="271">
        <v>87458</v>
      </c>
      <c r="B5189" s="272" t="s">
        <v>2606</v>
      </c>
      <c r="C5189" s="272" t="s">
        <v>193</v>
      </c>
      <c r="D5189" s="273" t="s">
        <v>23778</v>
      </c>
      <c r="E5189" s="274" t="s">
        <v>229</v>
      </c>
    </row>
    <row r="5190" spans="1:5" ht="40.5">
      <c r="A5190" s="271">
        <v>87459</v>
      </c>
      <c r="B5190" s="272" t="s">
        <v>2607</v>
      </c>
      <c r="C5190" s="272" t="s">
        <v>193</v>
      </c>
      <c r="D5190" s="273" t="s">
        <v>23779</v>
      </c>
      <c r="E5190" s="274" t="s">
        <v>229</v>
      </c>
    </row>
    <row r="5191" spans="1:5" ht="40.5">
      <c r="A5191" s="271">
        <v>87460</v>
      </c>
      <c r="B5191" s="272" t="s">
        <v>2608</v>
      </c>
      <c r="C5191" s="272" t="s">
        <v>193</v>
      </c>
      <c r="D5191" s="273" t="s">
        <v>11482</v>
      </c>
      <c r="E5191" s="274" t="s">
        <v>229</v>
      </c>
    </row>
    <row r="5192" spans="1:5" ht="40.5">
      <c r="A5192" s="271">
        <v>87461</v>
      </c>
      <c r="B5192" s="272" t="s">
        <v>2609</v>
      </c>
      <c r="C5192" s="272" t="s">
        <v>193</v>
      </c>
      <c r="D5192" s="273" t="s">
        <v>23780</v>
      </c>
      <c r="E5192" s="274" t="s">
        <v>229</v>
      </c>
    </row>
    <row r="5193" spans="1:5" ht="40.5">
      <c r="A5193" s="271">
        <v>87462</v>
      </c>
      <c r="B5193" s="272" t="s">
        <v>2610</v>
      </c>
      <c r="C5193" s="272" t="s">
        <v>193</v>
      </c>
      <c r="D5193" s="273" t="s">
        <v>23781</v>
      </c>
      <c r="E5193" s="274" t="s">
        <v>229</v>
      </c>
    </row>
    <row r="5194" spans="1:5" ht="40.5">
      <c r="A5194" s="271">
        <v>87463</v>
      </c>
      <c r="B5194" s="272" t="s">
        <v>2611</v>
      </c>
      <c r="C5194" s="272" t="s">
        <v>193</v>
      </c>
      <c r="D5194" s="273" t="s">
        <v>23782</v>
      </c>
      <c r="E5194" s="274" t="s">
        <v>229</v>
      </c>
    </row>
    <row r="5195" spans="1:5" ht="40.5">
      <c r="A5195" s="271">
        <v>87464</v>
      </c>
      <c r="B5195" s="272" t="s">
        <v>2612</v>
      </c>
      <c r="C5195" s="272" t="s">
        <v>193</v>
      </c>
      <c r="D5195" s="273" t="s">
        <v>23398</v>
      </c>
      <c r="E5195" s="274" t="s">
        <v>229</v>
      </c>
    </row>
    <row r="5196" spans="1:5" ht="40.5">
      <c r="A5196" s="271">
        <v>87465</v>
      </c>
      <c r="B5196" s="272" t="s">
        <v>2613</v>
      </c>
      <c r="C5196" s="272" t="s">
        <v>193</v>
      </c>
      <c r="D5196" s="273" t="s">
        <v>21535</v>
      </c>
      <c r="E5196" s="274" t="s">
        <v>229</v>
      </c>
    </row>
    <row r="5197" spans="1:5" ht="40.5">
      <c r="A5197" s="271">
        <v>87466</v>
      </c>
      <c r="B5197" s="272" t="s">
        <v>2614</v>
      </c>
      <c r="C5197" s="272" t="s">
        <v>193</v>
      </c>
      <c r="D5197" s="273" t="s">
        <v>11559</v>
      </c>
      <c r="E5197" s="274" t="s">
        <v>229</v>
      </c>
    </row>
    <row r="5198" spans="1:5" ht="40.5">
      <c r="A5198" s="271">
        <v>87467</v>
      </c>
      <c r="B5198" s="272" t="s">
        <v>2615</v>
      </c>
      <c r="C5198" s="272" t="s">
        <v>193</v>
      </c>
      <c r="D5198" s="273" t="s">
        <v>23783</v>
      </c>
      <c r="E5198" s="274" t="s">
        <v>229</v>
      </c>
    </row>
    <row r="5199" spans="1:5" ht="40.5">
      <c r="A5199" s="271">
        <v>87468</v>
      </c>
      <c r="B5199" s="272" t="s">
        <v>2616</v>
      </c>
      <c r="C5199" s="272" t="s">
        <v>193</v>
      </c>
      <c r="D5199" s="273" t="s">
        <v>23784</v>
      </c>
      <c r="E5199" s="274" t="s">
        <v>229</v>
      </c>
    </row>
    <row r="5200" spans="1:5" ht="40.5">
      <c r="A5200" s="271">
        <v>87469</v>
      </c>
      <c r="B5200" s="272" t="s">
        <v>2617</v>
      </c>
      <c r="C5200" s="272" t="s">
        <v>193</v>
      </c>
      <c r="D5200" s="273" t="s">
        <v>23785</v>
      </c>
      <c r="E5200" s="274" t="s">
        <v>229</v>
      </c>
    </row>
    <row r="5201" spans="1:5" ht="40.5">
      <c r="A5201" s="271">
        <v>87470</v>
      </c>
      <c r="B5201" s="272" t="s">
        <v>2618</v>
      </c>
      <c r="C5201" s="272" t="s">
        <v>193</v>
      </c>
      <c r="D5201" s="273" t="s">
        <v>21063</v>
      </c>
      <c r="E5201" s="274" t="s">
        <v>229</v>
      </c>
    </row>
    <row r="5202" spans="1:5" ht="40.5">
      <c r="A5202" s="271">
        <v>89044</v>
      </c>
      <c r="B5202" s="272" t="s">
        <v>2619</v>
      </c>
      <c r="C5202" s="272" t="s">
        <v>193</v>
      </c>
      <c r="D5202" s="273" t="s">
        <v>23786</v>
      </c>
      <c r="E5202" s="274" t="s">
        <v>229</v>
      </c>
    </row>
    <row r="5203" spans="1:5" ht="40.5">
      <c r="A5203" s="271">
        <v>89169</v>
      </c>
      <c r="B5203" s="272" t="s">
        <v>2620</v>
      </c>
      <c r="C5203" s="272" t="s">
        <v>193</v>
      </c>
      <c r="D5203" s="273" t="s">
        <v>23787</v>
      </c>
      <c r="E5203" s="274" t="s">
        <v>229</v>
      </c>
    </row>
    <row r="5204" spans="1:5" ht="40.5">
      <c r="A5204" s="271">
        <v>89978</v>
      </c>
      <c r="B5204" s="272" t="s">
        <v>202</v>
      </c>
      <c r="C5204" s="272" t="s">
        <v>193</v>
      </c>
      <c r="D5204" s="273" t="s">
        <v>21183</v>
      </c>
      <c r="E5204" s="274" t="s">
        <v>229</v>
      </c>
    </row>
    <row r="5205" spans="1:5" ht="40.5">
      <c r="A5205" s="271">
        <v>89453</v>
      </c>
      <c r="B5205" s="272" t="s">
        <v>2621</v>
      </c>
      <c r="C5205" s="272" t="s">
        <v>193</v>
      </c>
      <c r="D5205" s="273" t="s">
        <v>23788</v>
      </c>
      <c r="E5205" s="274" t="s">
        <v>229</v>
      </c>
    </row>
    <row r="5206" spans="1:5" ht="40.5">
      <c r="A5206" s="271">
        <v>89454</v>
      </c>
      <c r="B5206" s="272" t="s">
        <v>2622</v>
      </c>
      <c r="C5206" s="272" t="s">
        <v>193</v>
      </c>
      <c r="D5206" s="273" t="s">
        <v>23789</v>
      </c>
      <c r="E5206" s="274" t="s">
        <v>229</v>
      </c>
    </row>
    <row r="5207" spans="1:5" ht="40.5">
      <c r="A5207" s="271">
        <v>89455</v>
      </c>
      <c r="B5207" s="272" t="s">
        <v>2623</v>
      </c>
      <c r="C5207" s="272" t="s">
        <v>193</v>
      </c>
      <c r="D5207" s="273" t="s">
        <v>23790</v>
      </c>
      <c r="E5207" s="274" t="s">
        <v>229</v>
      </c>
    </row>
    <row r="5208" spans="1:5" ht="40.5">
      <c r="A5208" s="271">
        <v>89456</v>
      </c>
      <c r="B5208" s="272" t="s">
        <v>2624</v>
      </c>
      <c r="C5208" s="272" t="s">
        <v>193</v>
      </c>
      <c r="D5208" s="273" t="s">
        <v>23791</v>
      </c>
      <c r="E5208" s="274" t="s">
        <v>229</v>
      </c>
    </row>
    <row r="5209" spans="1:5" ht="40.5">
      <c r="A5209" s="271">
        <v>89457</v>
      </c>
      <c r="B5209" s="272" t="s">
        <v>2625</v>
      </c>
      <c r="C5209" s="272" t="s">
        <v>193</v>
      </c>
      <c r="D5209" s="273" t="s">
        <v>23792</v>
      </c>
      <c r="E5209" s="274" t="s">
        <v>229</v>
      </c>
    </row>
    <row r="5210" spans="1:5" ht="40.5">
      <c r="A5210" s="271">
        <v>89458</v>
      </c>
      <c r="B5210" s="272" t="s">
        <v>2626</v>
      </c>
      <c r="C5210" s="272" t="s">
        <v>193</v>
      </c>
      <c r="D5210" s="273" t="s">
        <v>22121</v>
      </c>
      <c r="E5210" s="274" t="s">
        <v>229</v>
      </c>
    </row>
    <row r="5211" spans="1:5" ht="40.5">
      <c r="A5211" s="271">
        <v>89459</v>
      </c>
      <c r="B5211" s="272" t="s">
        <v>2627</v>
      </c>
      <c r="C5211" s="272" t="s">
        <v>193</v>
      </c>
      <c r="D5211" s="273" t="s">
        <v>20795</v>
      </c>
      <c r="E5211" s="274" t="s">
        <v>229</v>
      </c>
    </row>
    <row r="5212" spans="1:5" ht="40.5">
      <c r="A5212" s="271">
        <v>89460</v>
      </c>
      <c r="B5212" s="272" t="s">
        <v>2628</v>
      </c>
      <c r="C5212" s="272" t="s">
        <v>193</v>
      </c>
      <c r="D5212" s="273" t="s">
        <v>23793</v>
      </c>
      <c r="E5212" s="274" t="s">
        <v>229</v>
      </c>
    </row>
    <row r="5213" spans="1:5" ht="40.5">
      <c r="A5213" s="271">
        <v>89462</v>
      </c>
      <c r="B5213" s="272" t="s">
        <v>2629</v>
      </c>
      <c r="C5213" s="272" t="s">
        <v>193</v>
      </c>
      <c r="D5213" s="273" t="s">
        <v>23794</v>
      </c>
      <c r="E5213" s="274" t="s">
        <v>229</v>
      </c>
    </row>
    <row r="5214" spans="1:5" ht="40.5">
      <c r="A5214" s="271">
        <v>89463</v>
      </c>
      <c r="B5214" s="272" t="s">
        <v>2630</v>
      </c>
      <c r="C5214" s="272" t="s">
        <v>193</v>
      </c>
      <c r="D5214" s="273" t="s">
        <v>23795</v>
      </c>
      <c r="E5214" s="274" t="s">
        <v>229</v>
      </c>
    </row>
    <row r="5215" spans="1:5" ht="40.5">
      <c r="A5215" s="271">
        <v>89464</v>
      </c>
      <c r="B5215" s="272" t="s">
        <v>2631</v>
      </c>
      <c r="C5215" s="272" t="s">
        <v>193</v>
      </c>
      <c r="D5215" s="273" t="s">
        <v>12270</v>
      </c>
      <c r="E5215" s="274" t="s">
        <v>229</v>
      </c>
    </row>
    <row r="5216" spans="1:5" ht="40.5">
      <c r="A5216" s="271">
        <v>89465</v>
      </c>
      <c r="B5216" s="272" t="s">
        <v>2632</v>
      </c>
      <c r="C5216" s="272" t="s">
        <v>193</v>
      </c>
      <c r="D5216" s="273" t="s">
        <v>14110</v>
      </c>
      <c r="E5216" s="274" t="s">
        <v>229</v>
      </c>
    </row>
    <row r="5217" spans="1:5" ht="40.5">
      <c r="A5217" s="271">
        <v>89466</v>
      </c>
      <c r="B5217" s="272" t="s">
        <v>2633</v>
      </c>
      <c r="C5217" s="272" t="s">
        <v>193</v>
      </c>
      <c r="D5217" s="273" t="s">
        <v>23796</v>
      </c>
      <c r="E5217" s="274" t="s">
        <v>229</v>
      </c>
    </row>
    <row r="5218" spans="1:5" ht="40.5">
      <c r="A5218" s="271">
        <v>89467</v>
      </c>
      <c r="B5218" s="272" t="s">
        <v>2634</v>
      </c>
      <c r="C5218" s="272" t="s">
        <v>193</v>
      </c>
      <c r="D5218" s="273" t="s">
        <v>23797</v>
      </c>
      <c r="E5218" s="274" t="s">
        <v>229</v>
      </c>
    </row>
    <row r="5219" spans="1:5" ht="40.5">
      <c r="A5219" s="271">
        <v>89468</v>
      </c>
      <c r="B5219" s="272" t="s">
        <v>2635</v>
      </c>
      <c r="C5219" s="272" t="s">
        <v>193</v>
      </c>
      <c r="D5219" s="273" t="s">
        <v>23798</v>
      </c>
      <c r="E5219" s="274" t="s">
        <v>229</v>
      </c>
    </row>
    <row r="5220" spans="1:5" ht="40.5">
      <c r="A5220" s="271">
        <v>89469</v>
      </c>
      <c r="B5220" s="272" t="s">
        <v>2636</v>
      </c>
      <c r="C5220" s="272" t="s">
        <v>193</v>
      </c>
      <c r="D5220" s="273" t="s">
        <v>21120</v>
      </c>
      <c r="E5220" s="274" t="s">
        <v>229</v>
      </c>
    </row>
    <row r="5221" spans="1:5" ht="40.5">
      <c r="A5221" s="271">
        <v>89470</v>
      </c>
      <c r="B5221" s="272" t="s">
        <v>2637</v>
      </c>
      <c r="C5221" s="272" t="s">
        <v>193</v>
      </c>
      <c r="D5221" s="273" t="s">
        <v>23799</v>
      </c>
      <c r="E5221" s="274" t="s">
        <v>229</v>
      </c>
    </row>
    <row r="5222" spans="1:5" ht="40.5">
      <c r="A5222" s="271">
        <v>89471</v>
      </c>
      <c r="B5222" s="272" t="s">
        <v>2638</v>
      </c>
      <c r="C5222" s="272" t="s">
        <v>193</v>
      </c>
      <c r="D5222" s="273" t="s">
        <v>23800</v>
      </c>
      <c r="E5222" s="274" t="s">
        <v>229</v>
      </c>
    </row>
    <row r="5223" spans="1:5" ht="40.5">
      <c r="A5223" s="271">
        <v>89472</v>
      </c>
      <c r="B5223" s="272" t="s">
        <v>2639</v>
      </c>
      <c r="C5223" s="272" t="s">
        <v>193</v>
      </c>
      <c r="D5223" s="273" t="s">
        <v>23801</v>
      </c>
      <c r="E5223" s="274" t="s">
        <v>229</v>
      </c>
    </row>
    <row r="5224" spans="1:5" ht="40.5">
      <c r="A5224" s="271">
        <v>89473</v>
      </c>
      <c r="B5224" s="272" t="s">
        <v>2640</v>
      </c>
      <c r="C5224" s="272" t="s">
        <v>193</v>
      </c>
      <c r="D5224" s="273" t="s">
        <v>16663</v>
      </c>
      <c r="E5224" s="274" t="s">
        <v>229</v>
      </c>
    </row>
    <row r="5225" spans="1:5" ht="40.5">
      <c r="A5225" s="271">
        <v>89474</v>
      </c>
      <c r="B5225" s="272" t="s">
        <v>2641</v>
      </c>
      <c r="C5225" s="272" t="s">
        <v>193</v>
      </c>
      <c r="D5225" s="273" t="s">
        <v>23802</v>
      </c>
      <c r="E5225" s="274" t="s">
        <v>229</v>
      </c>
    </row>
    <row r="5226" spans="1:5" ht="40.5">
      <c r="A5226" s="271">
        <v>89475</v>
      </c>
      <c r="B5226" s="272" t="s">
        <v>2642</v>
      </c>
      <c r="C5226" s="272" t="s">
        <v>193</v>
      </c>
      <c r="D5226" s="273" t="s">
        <v>23803</v>
      </c>
      <c r="E5226" s="274" t="s">
        <v>229</v>
      </c>
    </row>
    <row r="5227" spans="1:5" ht="40.5">
      <c r="A5227" s="271">
        <v>89476</v>
      </c>
      <c r="B5227" s="272" t="s">
        <v>2643</v>
      </c>
      <c r="C5227" s="272" t="s">
        <v>193</v>
      </c>
      <c r="D5227" s="273" t="s">
        <v>23804</v>
      </c>
      <c r="E5227" s="274" t="s">
        <v>229</v>
      </c>
    </row>
    <row r="5228" spans="1:5" ht="40.5">
      <c r="A5228" s="271">
        <v>89477</v>
      </c>
      <c r="B5228" s="272" t="s">
        <v>2644</v>
      </c>
      <c r="C5228" s="272" t="s">
        <v>193</v>
      </c>
      <c r="D5228" s="273" t="s">
        <v>23805</v>
      </c>
      <c r="E5228" s="274" t="s">
        <v>229</v>
      </c>
    </row>
    <row r="5229" spans="1:5" ht="40.5">
      <c r="A5229" s="271">
        <v>89478</v>
      </c>
      <c r="B5229" s="272" t="s">
        <v>2645</v>
      </c>
      <c r="C5229" s="272" t="s">
        <v>193</v>
      </c>
      <c r="D5229" s="273" t="s">
        <v>23073</v>
      </c>
      <c r="E5229" s="274" t="s">
        <v>229</v>
      </c>
    </row>
    <row r="5230" spans="1:5" ht="40.5">
      <c r="A5230" s="271">
        <v>89479</v>
      </c>
      <c r="B5230" s="272" t="s">
        <v>2646</v>
      </c>
      <c r="C5230" s="272" t="s">
        <v>193</v>
      </c>
      <c r="D5230" s="273" t="s">
        <v>23806</v>
      </c>
      <c r="E5230" s="274" t="s">
        <v>229</v>
      </c>
    </row>
    <row r="5231" spans="1:5" ht="40.5">
      <c r="A5231" s="271">
        <v>89480</v>
      </c>
      <c r="B5231" s="272" t="s">
        <v>2647</v>
      </c>
      <c r="C5231" s="272" t="s">
        <v>193</v>
      </c>
      <c r="D5231" s="273" t="s">
        <v>23807</v>
      </c>
      <c r="E5231" s="274" t="s">
        <v>229</v>
      </c>
    </row>
    <row r="5232" spans="1:5" ht="40.5">
      <c r="A5232" s="271">
        <v>89483</v>
      </c>
      <c r="B5232" s="272" t="s">
        <v>2648</v>
      </c>
      <c r="C5232" s="272" t="s">
        <v>193</v>
      </c>
      <c r="D5232" s="273" t="s">
        <v>23808</v>
      </c>
      <c r="E5232" s="274" t="s">
        <v>229</v>
      </c>
    </row>
    <row r="5233" spans="1:5" ht="40.5">
      <c r="A5233" s="271">
        <v>89484</v>
      </c>
      <c r="B5233" s="272" t="s">
        <v>2649</v>
      </c>
      <c r="C5233" s="272" t="s">
        <v>193</v>
      </c>
      <c r="D5233" s="273" t="s">
        <v>23809</v>
      </c>
      <c r="E5233" s="274" t="s">
        <v>229</v>
      </c>
    </row>
    <row r="5234" spans="1:5" ht="40.5">
      <c r="A5234" s="271">
        <v>89486</v>
      </c>
      <c r="B5234" s="272" t="s">
        <v>2650</v>
      </c>
      <c r="C5234" s="272" t="s">
        <v>193</v>
      </c>
      <c r="D5234" s="273" t="s">
        <v>16355</v>
      </c>
      <c r="E5234" s="274" t="s">
        <v>229</v>
      </c>
    </row>
    <row r="5235" spans="1:5" ht="40.5">
      <c r="A5235" s="271">
        <v>89487</v>
      </c>
      <c r="B5235" s="272" t="s">
        <v>2651</v>
      </c>
      <c r="C5235" s="272" t="s">
        <v>193</v>
      </c>
      <c r="D5235" s="273" t="s">
        <v>23810</v>
      </c>
      <c r="E5235" s="274" t="s">
        <v>229</v>
      </c>
    </row>
    <row r="5236" spans="1:5" ht="40.5">
      <c r="A5236" s="271">
        <v>89488</v>
      </c>
      <c r="B5236" s="272" t="s">
        <v>2652</v>
      </c>
      <c r="C5236" s="272" t="s">
        <v>193</v>
      </c>
      <c r="D5236" s="273" t="s">
        <v>23811</v>
      </c>
      <c r="E5236" s="274" t="s">
        <v>229</v>
      </c>
    </row>
    <row r="5237" spans="1:5" ht="40.5">
      <c r="A5237" s="271">
        <v>91815</v>
      </c>
      <c r="B5237" s="272" t="s">
        <v>2653</v>
      </c>
      <c r="C5237" s="272" t="s">
        <v>193</v>
      </c>
      <c r="D5237" s="273" t="s">
        <v>16191</v>
      </c>
      <c r="E5237" s="274" t="s">
        <v>229</v>
      </c>
    </row>
    <row r="5238" spans="1:5" ht="40.5">
      <c r="A5238" s="271">
        <v>91816</v>
      </c>
      <c r="B5238" s="272" t="s">
        <v>2654</v>
      </c>
      <c r="C5238" s="272" t="s">
        <v>193</v>
      </c>
      <c r="D5238" s="273" t="s">
        <v>23812</v>
      </c>
      <c r="E5238" s="274" t="s">
        <v>229</v>
      </c>
    </row>
    <row r="5239" spans="1:5" ht="27">
      <c r="A5239" s="271">
        <v>101161</v>
      </c>
      <c r="B5239" s="272" t="s">
        <v>10924</v>
      </c>
      <c r="C5239" s="272" t="s">
        <v>193</v>
      </c>
      <c r="D5239" s="273" t="s">
        <v>23813</v>
      </c>
      <c r="E5239" s="274" t="s">
        <v>229</v>
      </c>
    </row>
    <row r="5240" spans="1:5" ht="27">
      <c r="A5240" s="271">
        <v>101163</v>
      </c>
      <c r="B5240" s="272" t="s">
        <v>10925</v>
      </c>
      <c r="C5240" s="272" t="s">
        <v>193</v>
      </c>
      <c r="D5240" s="273" t="s">
        <v>23814</v>
      </c>
      <c r="E5240" s="274" t="s">
        <v>229</v>
      </c>
    </row>
    <row r="5241" spans="1:5" ht="27">
      <c r="A5241" s="271">
        <v>101164</v>
      </c>
      <c r="B5241" s="272" t="s">
        <v>10926</v>
      </c>
      <c r="C5241" s="272" t="s">
        <v>193</v>
      </c>
      <c r="D5241" s="273" t="s">
        <v>23815</v>
      </c>
      <c r="E5241" s="274" t="s">
        <v>229</v>
      </c>
    </row>
    <row r="5242" spans="1:5" ht="27">
      <c r="A5242" s="271">
        <v>96358</v>
      </c>
      <c r="B5242" s="272" t="s">
        <v>2655</v>
      </c>
      <c r="C5242" s="272" t="s">
        <v>193</v>
      </c>
      <c r="D5242" s="273" t="s">
        <v>22664</v>
      </c>
      <c r="E5242" s="274" t="s">
        <v>229</v>
      </c>
    </row>
    <row r="5243" spans="1:5" ht="27">
      <c r="A5243" s="271">
        <v>96359</v>
      </c>
      <c r="B5243" s="272" t="s">
        <v>2656</v>
      </c>
      <c r="C5243" s="272" t="s">
        <v>193</v>
      </c>
      <c r="D5243" s="273" t="s">
        <v>16175</v>
      </c>
      <c r="E5243" s="274" t="s">
        <v>229</v>
      </c>
    </row>
    <row r="5244" spans="1:5" ht="27">
      <c r="A5244" s="271">
        <v>96360</v>
      </c>
      <c r="B5244" s="272" t="s">
        <v>2657</v>
      </c>
      <c r="C5244" s="272" t="s">
        <v>193</v>
      </c>
      <c r="D5244" s="273" t="s">
        <v>23816</v>
      </c>
      <c r="E5244" s="274" t="s">
        <v>229</v>
      </c>
    </row>
    <row r="5245" spans="1:5" ht="27">
      <c r="A5245" s="271">
        <v>96361</v>
      </c>
      <c r="B5245" s="272" t="s">
        <v>2658</v>
      </c>
      <c r="C5245" s="272" t="s">
        <v>193</v>
      </c>
      <c r="D5245" s="273" t="s">
        <v>23693</v>
      </c>
      <c r="E5245" s="274" t="s">
        <v>229</v>
      </c>
    </row>
    <row r="5246" spans="1:5" ht="40.5">
      <c r="A5246" s="271">
        <v>96362</v>
      </c>
      <c r="B5246" s="272" t="s">
        <v>2659</v>
      </c>
      <c r="C5246" s="272" t="s">
        <v>193</v>
      </c>
      <c r="D5246" s="273" t="s">
        <v>16296</v>
      </c>
      <c r="E5246" s="274" t="s">
        <v>229</v>
      </c>
    </row>
    <row r="5247" spans="1:5" ht="40.5">
      <c r="A5247" s="271">
        <v>96363</v>
      </c>
      <c r="B5247" s="272" t="s">
        <v>2660</v>
      </c>
      <c r="C5247" s="272" t="s">
        <v>193</v>
      </c>
      <c r="D5247" s="273" t="s">
        <v>16303</v>
      </c>
      <c r="E5247" s="274" t="s">
        <v>229</v>
      </c>
    </row>
    <row r="5248" spans="1:5" ht="40.5">
      <c r="A5248" s="271">
        <v>96364</v>
      </c>
      <c r="B5248" s="272" t="s">
        <v>2661</v>
      </c>
      <c r="C5248" s="272" t="s">
        <v>193</v>
      </c>
      <c r="D5248" s="273" t="s">
        <v>22986</v>
      </c>
      <c r="E5248" s="274" t="s">
        <v>229</v>
      </c>
    </row>
    <row r="5249" spans="1:5" ht="40.5">
      <c r="A5249" s="271">
        <v>96365</v>
      </c>
      <c r="B5249" s="272" t="s">
        <v>2662</v>
      </c>
      <c r="C5249" s="272" t="s">
        <v>193</v>
      </c>
      <c r="D5249" s="273" t="s">
        <v>16475</v>
      </c>
      <c r="E5249" s="274" t="s">
        <v>229</v>
      </c>
    </row>
    <row r="5250" spans="1:5" ht="27">
      <c r="A5250" s="271">
        <v>96366</v>
      </c>
      <c r="B5250" s="272" t="s">
        <v>2663</v>
      </c>
      <c r="C5250" s="272" t="s">
        <v>193</v>
      </c>
      <c r="D5250" s="273" t="s">
        <v>14303</v>
      </c>
      <c r="E5250" s="274" t="s">
        <v>229</v>
      </c>
    </row>
    <row r="5251" spans="1:5" ht="27">
      <c r="A5251" s="271">
        <v>96367</v>
      </c>
      <c r="B5251" s="272" t="s">
        <v>2664</v>
      </c>
      <c r="C5251" s="272" t="s">
        <v>193</v>
      </c>
      <c r="D5251" s="273" t="s">
        <v>23817</v>
      </c>
      <c r="E5251" s="274" t="s">
        <v>229</v>
      </c>
    </row>
    <row r="5252" spans="1:5" ht="27">
      <c r="A5252" s="271">
        <v>96368</v>
      </c>
      <c r="B5252" s="272" t="s">
        <v>2665</v>
      </c>
      <c r="C5252" s="272" t="s">
        <v>193</v>
      </c>
      <c r="D5252" s="273" t="s">
        <v>23818</v>
      </c>
      <c r="E5252" s="274" t="s">
        <v>229</v>
      </c>
    </row>
    <row r="5253" spans="1:5" ht="27">
      <c r="A5253" s="271">
        <v>96369</v>
      </c>
      <c r="B5253" s="272" t="s">
        <v>2666</v>
      </c>
      <c r="C5253" s="272" t="s">
        <v>193</v>
      </c>
      <c r="D5253" s="273" t="s">
        <v>23819</v>
      </c>
      <c r="E5253" s="274" t="s">
        <v>229</v>
      </c>
    </row>
    <row r="5254" spans="1:5" ht="27">
      <c r="A5254" s="271">
        <v>96370</v>
      </c>
      <c r="B5254" s="272" t="s">
        <v>2667</v>
      </c>
      <c r="C5254" s="272" t="s">
        <v>193</v>
      </c>
      <c r="D5254" s="273" t="s">
        <v>14252</v>
      </c>
      <c r="E5254" s="274" t="s">
        <v>229</v>
      </c>
    </row>
    <row r="5255" spans="1:5" ht="27">
      <c r="A5255" s="271">
        <v>96371</v>
      </c>
      <c r="B5255" s="272" t="s">
        <v>2668</v>
      </c>
      <c r="C5255" s="272" t="s">
        <v>193</v>
      </c>
      <c r="D5255" s="273" t="s">
        <v>23820</v>
      </c>
      <c r="E5255" s="274" t="s">
        <v>229</v>
      </c>
    </row>
    <row r="5256" spans="1:5" ht="13.5">
      <c r="A5256" s="271">
        <v>96372</v>
      </c>
      <c r="B5256" s="272" t="s">
        <v>2669</v>
      </c>
      <c r="C5256" s="272" t="s">
        <v>193</v>
      </c>
      <c r="D5256" s="273" t="s">
        <v>16467</v>
      </c>
      <c r="E5256" s="274" t="s">
        <v>229</v>
      </c>
    </row>
    <row r="5257" spans="1:5" ht="13.5">
      <c r="A5257" s="271">
        <v>96373</v>
      </c>
      <c r="B5257" s="272" t="s">
        <v>2670</v>
      </c>
      <c r="C5257" s="272" t="s">
        <v>5</v>
      </c>
      <c r="D5257" s="273" t="s">
        <v>10237</v>
      </c>
      <c r="E5257" s="274" t="s">
        <v>229</v>
      </c>
    </row>
    <row r="5258" spans="1:5" ht="13.5">
      <c r="A5258" s="271">
        <v>96374</v>
      </c>
      <c r="B5258" s="272" t="s">
        <v>2671</v>
      </c>
      <c r="C5258" s="272" t="s">
        <v>5</v>
      </c>
      <c r="D5258" s="273" t="s">
        <v>23821</v>
      </c>
      <c r="E5258" s="274" t="s">
        <v>229</v>
      </c>
    </row>
    <row r="5259" spans="1:5" ht="13.5">
      <c r="A5259" s="271">
        <v>102235</v>
      </c>
      <c r="B5259" s="272" t="s">
        <v>13674</v>
      </c>
      <c r="C5259" s="272" t="s">
        <v>193</v>
      </c>
      <c r="D5259" s="273" t="s">
        <v>23822</v>
      </c>
      <c r="E5259" s="274" t="s">
        <v>229</v>
      </c>
    </row>
    <row r="5260" spans="1:5" ht="27">
      <c r="A5260" s="271">
        <v>102253</v>
      </c>
      <c r="B5260" s="272" t="s">
        <v>13675</v>
      </c>
      <c r="C5260" s="272" t="s">
        <v>193</v>
      </c>
      <c r="D5260" s="273" t="s">
        <v>23823</v>
      </c>
      <c r="E5260" s="274" t="s">
        <v>229</v>
      </c>
    </row>
    <row r="5261" spans="1:5" ht="27">
      <c r="A5261" s="271">
        <v>102254</v>
      </c>
      <c r="B5261" s="272" t="s">
        <v>13676</v>
      </c>
      <c r="C5261" s="272" t="s">
        <v>193</v>
      </c>
      <c r="D5261" s="273" t="s">
        <v>23824</v>
      </c>
      <c r="E5261" s="274" t="s">
        <v>229</v>
      </c>
    </row>
    <row r="5262" spans="1:5" ht="27">
      <c r="A5262" s="271">
        <v>102255</v>
      </c>
      <c r="B5262" s="272" t="s">
        <v>13677</v>
      </c>
      <c r="C5262" s="272" t="s">
        <v>193</v>
      </c>
      <c r="D5262" s="273" t="s">
        <v>23825</v>
      </c>
      <c r="E5262" s="274" t="s">
        <v>229</v>
      </c>
    </row>
    <row r="5263" spans="1:5" ht="27">
      <c r="A5263" s="271">
        <v>102256</v>
      </c>
      <c r="B5263" s="272" t="s">
        <v>13678</v>
      </c>
      <c r="C5263" s="272" t="s">
        <v>193</v>
      </c>
      <c r="D5263" s="273" t="s">
        <v>23826</v>
      </c>
      <c r="E5263" s="274" t="s">
        <v>229</v>
      </c>
    </row>
    <row r="5264" spans="1:5" ht="27">
      <c r="A5264" s="271">
        <v>102257</v>
      </c>
      <c r="B5264" s="272" t="s">
        <v>13679</v>
      </c>
      <c r="C5264" s="272" t="s">
        <v>193</v>
      </c>
      <c r="D5264" s="273" t="s">
        <v>23827</v>
      </c>
      <c r="E5264" s="274" t="s">
        <v>229</v>
      </c>
    </row>
    <row r="5265" spans="1:5" ht="27">
      <c r="A5265" s="271">
        <v>102258</v>
      </c>
      <c r="B5265" s="272" t="s">
        <v>13680</v>
      </c>
      <c r="C5265" s="272" t="s">
        <v>193</v>
      </c>
      <c r="D5265" s="273" t="s">
        <v>23828</v>
      </c>
      <c r="E5265" s="274" t="s">
        <v>229</v>
      </c>
    </row>
    <row r="5266" spans="1:5" ht="27">
      <c r="A5266" s="271">
        <v>101154</v>
      </c>
      <c r="B5266" s="272" t="s">
        <v>10930</v>
      </c>
      <c r="C5266" s="272" t="s">
        <v>193</v>
      </c>
      <c r="D5266" s="273" t="s">
        <v>23829</v>
      </c>
      <c r="E5266" s="274" t="s">
        <v>229</v>
      </c>
    </row>
    <row r="5267" spans="1:5" ht="27">
      <c r="A5267" s="271">
        <v>101155</v>
      </c>
      <c r="B5267" s="272" t="s">
        <v>10931</v>
      </c>
      <c r="C5267" s="272" t="s">
        <v>193</v>
      </c>
      <c r="D5267" s="273" t="s">
        <v>23830</v>
      </c>
      <c r="E5267" s="274" t="s">
        <v>229</v>
      </c>
    </row>
    <row r="5268" spans="1:5" ht="27">
      <c r="A5268" s="271">
        <v>101156</v>
      </c>
      <c r="B5268" s="272" t="s">
        <v>10932</v>
      </c>
      <c r="C5268" s="272" t="s">
        <v>193</v>
      </c>
      <c r="D5268" s="273" t="s">
        <v>23831</v>
      </c>
      <c r="E5268" s="274" t="s">
        <v>229</v>
      </c>
    </row>
    <row r="5269" spans="1:5" ht="27">
      <c r="A5269" s="271">
        <v>101810</v>
      </c>
      <c r="B5269" s="272" t="s">
        <v>13681</v>
      </c>
      <c r="C5269" s="272" t="s">
        <v>209</v>
      </c>
      <c r="D5269" s="273" t="s">
        <v>23832</v>
      </c>
      <c r="E5269" s="274" t="s">
        <v>229</v>
      </c>
    </row>
    <row r="5270" spans="1:5" ht="27">
      <c r="A5270" s="271">
        <v>101811</v>
      </c>
      <c r="B5270" s="272" t="s">
        <v>13682</v>
      </c>
      <c r="C5270" s="272" t="s">
        <v>209</v>
      </c>
      <c r="D5270" s="273" t="s">
        <v>23833</v>
      </c>
      <c r="E5270" s="274" t="s">
        <v>229</v>
      </c>
    </row>
    <row r="5271" spans="1:5" ht="27">
      <c r="A5271" s="271">
        <v>101812</v>
      </c>
      <c r="B5271" s="272" t="s">
        <v>23834</v>
      </c>
      <c r="C5271" s="272" t="s">
        <v>209</v>
      </c>
      <c r="D5271" s="273" t="s">
        <v>23835</v>
      </c>
      <c r="E5271" s="274" t="s">
        <v>229</v>
      </c>
    </row>
    <row r="5272" spans="1:5" ht="27">
      <c r="A5272" s="271">
        <v>101813</v>
      </c>
      <c r="B5272" s="272" t="s">
        <v>23836</v>
      </c>
      <c r="C5272" s="272" t="s">
        <v>209</v>
      </c>
      <c r="D5272" s="273" t="s">
        <v>23837</v>
      </c>
      <c r="E5272" s="274" t="s">
        <v>229</v>
      </c>
    </row>
    <row r="5273" spans="1:5" ht="40.5">
      <c r="A5273" s="271">
        <v>101814</v>
      </c>
      <c r="B5273" s="272" t="s">
        <v>23838</v>
      </c>
      <c r="C5273" s="272" t="s">
        <v>193</v>
      </c>
      <c r="D5273" s="273" t="s">
        <v>11476</v>
      </c>
      <c r="E5273" s="274" t="s">
        <v>229</v>
      </c>
    </row>
    <row r="5274" spans="1:5" ht="40.5">
      <c r="A5274" s="271">
        <v>101815</v>
      </c>
      <c r="B5274" s="272" t="s">
        <v>23839</v>
      </c>
      <c r="C5274" s="272" t="s">
        <v>193</v>
      </c>
      <c r="D5274" s="273" t="s">
        <v>16056</v>
      </c>
      <c r="E5274" s="274" t="s">
        <v>229</v>
      </c>
    </row>
    <row r="5275" spans="1:5" ht="40.5">
      <c r="A5275" s="271">
        <v>101816</v>
      </c>
      <c r="B5275" s="272" t="s">
        <v>23840</v>
      </c>
      <c r="C5275" s="272" t="s">
        <v>193</v>
      </c>
      <c r="D5275" s="273" t="s">
        <v>23276</v>
      </c>
      <c r="E5275" s="274" t="s">
        <v>229</v>
      </c>
    </row>
    <row r="5276" spans="1:5" ht="40.5">
      <c r="A5276" s="271">
        <v>101817</v>
      </c>
      <c r="B5276" s="272" t="s">
        <v>23841</v>
      </c>
      <c r="C5276" s="272" t="s">
        <v>193</v>
      </c>
      <c r="D5276" s="273" t="s">
        <v>23842</v>
      </c>
      <c r="E5276" s="274" t="s">
        <v>229</v>
      </c>
    </row>
    <row r="5277" spans="1:5" ht="40.5">
      <c r="A5277" s="271">
        <v>101818</v>
      </c>
      <c r="B5277" s="272" t="s">
        <v>23843</v>
      </c>
      <c r="C5277" s="272" t="s">
        <v>193</v>
      </c>
      <c r="D5277" s="273" t="s">
        <v>23844</v>
      </c>
      <c r="E5277" s="274" t="s">
        <v>229</v>
      </c>
    </row>
    <row r="5278" spans="1:5" ht="40.5">
      <c r="A5278" s="271">
        <v>101819</v>
      </c>
      <c r="B5278" s="272" t="s">
        <v>23845</v>
      </c>
      <c r="C5278" s="272" t="s">
        <v>193</v>
      </c>
      <c r="D5278" s="273" t="s">
        <v>23846</v>
      </c>
      <c r="E5278" s="274" t="s">
        <v>229</v>
      </c>
    </row>
    <row r="5279" spans="1:5" ht="40.5">
      <c r="A5279" s="271">
        <v>101820</v>
      </c>
      <c r="B5279" s="272" t="s">
        <v>23847</v>
      </c>
      <c r="C5279" s="272" t="s">
        <v>193</v>
      </c>
      <c r="D5279" s="273" t="s">
        <v>10442</v>
      </c>
      <c r="E5279" s="274" t="s">
        <v>229</v>
      </c>
    </row>
    <row r="5280" spans="1:5" ht="40.5">
      <c r="A5280" s="271">
        <v>101821</v>
      </c>
      <c r="B5280" s="272" t="s">
        <v>23848</v>
      </c>
      <c r="C5280" s="272" t="s">
        <v>209</v>
      </c>
      <c r="D5280" s="273" t="s">
        <v>19559</v>
      </c>
      <c r="E5280" s="274" t="s">
        <v>229</v>
      </c>
    </row>
    <row r="5281" spans="1:5" ht="27">
      <c r="A5281" s="271">
        <v>101822</v>
      </c>
      <c r="B5281" s="272" t="s">
        <v>23849</v>
      </c>
      <c r="C5281" s="272" t="s">
        <v>209</v>
      </c>
      <c r="D5281" s="273" t="s">
        <v>23850</v>
      </c>
      <c r="E5281" s="274" t="s">
        <v>229</v>
      </c>
    </row>
    <row r="5282" spans="1:5" ht="27">
      <c r="A5282" s="271">
        <v>101823</v>
      </c>
      <c r="B5282" s="272" t="s">
        <v>23851</v>
      </c>
      <c r="C5282" s="272" t="s">
        <v>209</v>
      </c>
      <c r="D5282" s="273" t="s">
        <v>23852</v>
      </c>
      <c r="E5282" s="274" t="s">
        <v>229</v>
      </c>
    </row>
    <row r="5283" spans="1:5" ht="27">
      <c r="A5283" s="271">
        <v>101824</v>
      </c>
      <c r="B5283" s="272" t="s">
        <v>23853</v>
      </c>
      <c r="C5283" s="272" t="s">
        <v>209</v>
      </c>
      <c r="D5283" s="273" t="s">
        <v>23854</v>
      </c>
      <c r="E5283" s="274" t="s">
        <v>229</v>
      </c>
    </row>
    <row r="5284" spans="1:5" ht="27">
      <c r="A5284" s="271">
        <v>101825</v>
      </c>
      <c r="B5284" s="272" t="s">
        <v>23855</v>
      </c>
      <c r="C5284" s="272" t="s">
        <v>209</v>
      </c>
      <c r="D5284" s="273" t="s">
        <v>23856</v>
      </c>
      <c r="E5284" s="274" t="s">
        <v>229</v>
      </c>
    </row>
    <row r="5285" spans="1:5" ht="27">
      <c r="A5285" s="271">
        <v>101826</v>
      </c>
      <c r="B5285" s="272" t="s">
        <v>23857</v>
      </c>
      <c r="C5285" s="272" t="s">
        <v>209</v>
      </c>
      <c r="D5285" s="273" t="s">
        <v>22273</v>
      </c>
      <c r="E5285" s="274" t="s">
        <v>229</v>
      </c>
    </row>
    <row r="5286" spans="1:5" ht="27">
      <c r="A5286" s="271">
        <v>101827</v>
      </c>
      <c r="B5286" s="272" t="s">
        <v>23858</v>
      </c>
      <c r="C5286" s="272" t="s">
        <v>209</v>
      </c>
      <c r="D5286" s="273" t="s">
        <v>23859</v>
      </c>
      <c r="E5286" s="274" t="s">
        <v>229</v>
      </c>
    </row>
    <row r="5287" spans="1:5" ht="27">
      <c r="A5287" s="271">
        <v>101828</v>
      </c>
      <c r="B5287" s="272" t="s">
        <v>23860</v>
      </c>
      <c r="C5287" s="272" t="s">
        <v>209</v>
      </c>
      <c r="D5287" s="273" t="s">
        <v>23861</v>
      </c>
      <c r="E5287" s="274" t="s">
        <v>229</v>
      </c>
    </row>
    <row r="5288" spans="1:5" ht="27">
      <c r="A5288" s="271">
        <v>101829</v>
      </c>
      <c r="B5288" s="272" t="s">
        <v>23862</v>
      </c>
      <c r="C5288" s="272" t="s">
        <v>209</v>
      </c>
      <c r="D5288" s="273" t="s">
        <v>23863</v>
      </c>
      <c r="E5288" s="274" t="s">
        <v>229</v>
      </c>
    </row>
    <row r="5289" spans="1:5" ht="27">
      <c r="A5289" s="271">
        <v>101830</v>
      </c>
      <c r="B5289" s="272" t="s">
        <v>23864</v>
      </c>
      <c r="C5289" s="272" t="s">
        <v>209</v>
      </c>
      <c r="D5289" s="273" t="s">
        <v>23865</v>
      </c>
      <c r="E5289" s="274" t="s">
        <v>229</v>
      </c>
    </row>
    <row r="5290" spans="1:5" ht="27">
      <c r="A5290" s="271">
        <v>101831</v>
      </c>
      <c r="B5290" s="272" t="s">
        <v>23866</v>
      </c>
      <c r="C5290" s="272" t="s">
        <v>209</v>
      </c>
      <c r="D5290" s="273" t="s">
        <v>23867</v>
      </c>
      <c r="E5290" s="274" t="s">
        <v>229</v>
      </c>
    </row>
    <row r="5291" spans="1:5" ht="27">
      <c r="A5291" s="271">
        <v>101832</v>
      </c>
      <c r="B5291" s="272" t="s">
        <v>23868</v>
      </c>
      <c r="C5291" s="272" t="s">
        <v>209</v>
      </c>
      <c r="D5291" s="273" t="s">
        <v>23869</v>
      </c>
      <c r="E5291" s="274" t="s">
        <v>229</v>
      </c>
    </row>
    <row r="5292" spans="1:5" ht="27">
      <c r="A5292" s="271">
        <v>101833</v>
      </c>
      <c r="B5292" s="272" t="s">
        <v>23870</v>
      </c>
      <c r="C5292" s="272" t="s">
        <v>209</v>
      </c>
      <c r="D5292" s="273" t="s">
        <v>23871</v>
      </c>
      <c r="E5292" s="274" t="s">
        <v>229</v>
      </c>
    </row>
    <row r="5293" spans="1:5" ht="27">
      <c r="A5293" s="271">
        <v>101834</v>
      </c>
      <c r="B5293" s="272" t="s">
        <v>23872</v>
      </c>
      <c r="C5293" s="272" t="s">
        <v>209</v>
      </c>
      <c r="D5293" s="273" t="s">
        <v>23873</v>
      </c>
      <c r="E5293" s="274" t="s">
        <v>229</v>
      </c>
    </row>
    <row r="5294" spans="1:5" ht="27">
      <c r="A5294" s="271">
        <v>101835</v>
      </c>
      <c r="B5294" s="272" t="s">
        <v>23874</v>
      </c>
      <c r="C5294" s="272" t="s">
        <v>209</v>
      </c>
      <c r="D5294" s="273" t="s">
        <v>23875</v>
      </c>
      <c r="E5294" s="274" t="s">
        <v>229</v>
      </c>
    </row>
    <row r="5295" spans="1:5" ht="27">
      <c r="A5295" s="271">
        <v>101836</v>
      </c>
      <c r="B5295" s="272" t="s">
        <v>23876</v>
      </c>
      <c r="C5295" s="272" t="s">
        <v>209</v>
      </c>
      <c r="D5295" s="273" t="s">
        <v>9868</v>
      </c>
      <c r="E5295" s="274" t="s">
        <v>229</v>
      </c>
    </row>
    <row r="5296" spans="1:5" ht="27">
      <c r="A5296" s="271">
        <v>101837</v>
      </c>
      <c r="B5296" s="272" t="s">
        <v>23877</v>
      </c>
      <c r="C5296" s="272" t="s">
        <v>209</v>
      </c>
      <c r="D5296" s="273" t="s">
        <v>16183</v>
      </c>
      <c r="E5296" s="274" t="s">
        <v>229</v>
      </c>
    </row>
    <row r="5297" spans="1:5" ht="27">
      <c r="A5297" s="271">
        <v>101838</v>
      </c>
      <c r="B5297" s="272" t="s">
        <v>23878</v>
      </c>
      <c r="C5297" s="272" t="s">
        <v>209</v>
      </c>
      <c r="D5297" s="273" t="s">
        <v>23879</v>
      </c>
      <c r="E5297" s="274" t="s">
        <v>229</v>
      </c>
    </row>
    <row r="5298" spans="1:5" ht="27">
      <c r="A5298" s="271">
        <v>101839</v>
      </c>
      <c r="B5298" s="272" t="s">
        <v>23880</v>
      </c>
      <c r="C5298" s="272" t="s">
        <v>209</v>
      </c>
      <c r="D5298" s="273" t="s">
        <v>16160</v>
      </c>
      <c r="E5298" s="274" t="s">
        <v>229</v>
      </c>
    </row>
    <row r="5299" spans="1:5" ht="27">
      <c r="A5299" s="271">
        <v>101840</v>
      </c>
      <c r="B5299" s="272" t="s">
        <v>23881</v>
      </c>
      <c r="C5299" s="272" t="s">
        <v>209</v>
      </c>
      <c r="D5299" s="273" t="s">
        <v>23882</v>
      </c>
      <c r="E5299" s="274" t="s">
        <v>229</v>
      </c>
    </row>
    <row r="5300" spans="1:5" ht="27">
      <c r="A5300" s="271">
        <v>101841</v>
      </c>
      <c r="B5300" s="272" t="s">
        <v>23883</v>
      </c>
      <c r="C5300" s="272" t="s">
        <v>209</v>
      </c>
      <c r="D5300" s="273" t="s">
        <v>18982</v>
      </c>
      <c r="E5300" s="274" t="s">
        <v>229</v>
      </c>
    </row>
    <row r="5301" spans="1:5" ht="27">
      <c r="A5301" s="271">
        <v>101842</v>
      </c>
      <c r="B5301" s="272" t="s">
        <v>23884</v>
      </c>
      <c r="C5301" s="272" t="s">
        <v>209</v>
      </c>
      <c r="D5301" s="273" t="s">
        <v>23885</v>
      </c>
      <c r="E5301" s="274" t="s">
        <v>229</v>
      </c>
    </row>
    <row r="5302" spans="1:5" ht="27">
      <c r="A5302" s="271">
        <v>101843</v>
      </c>
      <c r="B5302" s="272" t="s">
        <v>23886</v>
      </c>
      <c r="C5302" s="272" t="s">
        <v>209</v>
      </c>
      <c r="D5302" s="273" t="s">
        <v>23887</v>
      </c>
      <c r="E5302" s="274" t="s">
        <v>229</v>
      </c>
    </row>
    <row r="5303" spans="1:5" ht="27">
      <c r="A5303" s="271">
        <v>101844</v>
      </c>
      <c r="B5303" s="272" t="s">
        <v>23888</v>
      </c>
      <c r="C5303" s="272" t="s">
        <v>209</v>
      </c>
      <c r="D5303" s="273" t="s">
        <v>23889</v>
      </c>
      <c r="E5303" s="274" t="s">
        <v>229</v>
      </c>
    </row>
    <row r="5304" spans="1:5" ht="27">
      <c r="A5304" s="271">
        <v>101845</v>
      </c>
      <c r="B5304" s="272" t="s">
        <v>23890</v>
      </c>
      <c r="C5304" s="272" t="s">
        <v>209</v>
      </c>
      <c r="D5304" s="273" t="s">
        <v>23891</v>
      </c>
      <c r="E5304" s="274" t="s">
        <v>229</v>
      </c>
    </row>
    <row r="5305" spans="1:5" ht="27">
      <c r="A5305" s="271">
        <v>101846</v>
      </c>
      <c r="B5305" s="272" t="s">
        <v>23892</v>
      </c>
      <c r="C5305" s="272" t="s">
        <v>209</v>
      </c>
      <c r="D5305" s="273" t="s">
        <v>23893</v>
      </c>
      <c r="E5305" s="274" t="s">
        <v>229</v>
      </c>
    </row>
    <row r="5306" spans="1:5" ht="27">
      <c r="A5306" s="271">
        <v>101847</v>
      </c>
      <c r="B5306" s="272" t="s">
        <v>23894</v>
      </c>
      <c r="C5306" s="272" t="s">
        <v>209</v>
      </c>
      <c r="D5306" s="273" t="s">
        <v>23895</v>
      </c>
      <c r="E5306" s="274" t="s">
        <v>229</v>
      </c>
    </row>
    <row r="5307" spans="1:5" ht="27">
      <c r="A5307" s="271">
        <v>101848</v>
      </c>
      <c r="B5307" s="272" t="s">
        <v>23896</v>
      </c>
      <c r="C5307" s="272" t="s">
        <v>209</v>
      </c>
      <c r="D5307" s="273" t="s">
        <v>23897</v>
      </c>
      <c r="E5307" s="274" t="s">
        <v>229</v>
      </c>
    </row>
    <row r="5308" spans="1:5" ht="27">
      <c r="A5308" s="271">
        <v>101849</v>
      </c>
      <c r="B5308" s="272" t="s">
        <v>23898</v>
      </c>
      <c r="C5308" s="272" t="s">
        <v>209</v>
      </c>
      <c r="D5308" s="273" t="s">
        <v>23899</v>
      </c>
      <c r="E5308" s="274" t="s">
        <v>229</v>
      </c>
    </row>
    <row r="5309" spans="1:5" ht="27">
      <c r="A5309" s="271">
        <v>101850</v>
      </c>
      <c r="B5309" s="272" t="s">
        <v>23900</v>
      </c>
      <c r="C5309" s="272" t="s">
        <v>193</v>
      </c>
      <c r="D5309" s="273" t="s">
        <v>16103</v>
      </c>
      <c r="E5309" s="274" t="s">
        <v>229</v>
      </c>
    </row>
    <row r="5310" spans="1:5" ht="40.5">
      <c r="A5310" s="271">
        <v>101851</v>
      </c>
      <c r="B5310" s="272" t="s">
        <v>23901</v>
      </c>
      <c r="C5310" s="272" t="s">
        <v>193</v>
      </c>
      <c r="D5310" s="273" t="s">
        <v>23902</v>
      </c>
      <c r="E5310" s="274" t="s">
        <v>229</v>
      </c>
    </row>
    <row r="5311" spans="1:5" ht="27">
      <c r="A5311" s="271">
        <v>101852</v>
      </c>
      <c r="B5311" s="272" t="s">
        <v>23903</v>
      </c>
      <c r="C5311" s="272" t="s">
        <v>193</v>
      </c>
      <c r="D5311" s="273" t="s">
        <v>9737</v>
      </c>
      <c r="E5311" s="274" t="s">
        <v>229</v>
      </c>
    </row>
    <row r="5312" spans="1:5" ht="40.5">
      <c r="A5312" s="271">
        <v>101853</v>
      </c>
      <c r="B5312" s="272" t="s">
        <v>23904</v>
      </c>
      <c r="C5312" s="272" t="s">
        <v>193</v>
      </c>
      <c r="D5312" s="273" t="s">
        <v>23179</v>
      </c>
      <c r="E5312" s="274" t="s">
        <v>229</v>
      </c>
    </row>
    <row r="5313" spans="1:5" ht="40.5">
      <c r="A5313" s="271">
        <v>101854</v>
      </c>
      <c r="B5313" s="272" t="s">
        <v>23905</v>
      </c>
      <c r="C5313" s="272" t="s">
        <v>193</v>
      </c>
      <c r="D5313" s="273" t="s">
        <v>23906</v>
      </c>
      <c r="E5313" s="274" t="s">
        <v>229</v>
      </c>
    </row>
    <row r="5314" spans="1:5" ht="40.5">
      <c r="A5314" s="271">
        <v>101855</v>
      </c>
      <c r="B5314" s="272" t="s">
        <v>23907</v>
      </c>
      <c r="C5314" s="272" t="s">
        <v>193</v>
      </c>
      <c r="D5314" s="273" t="s">
        <v>20034</v>
      </c>
      <c r="E5314" s="274" t="s">
        <v>229</v>
      </c>
    </row>
    <row r="5315" spans="1:5" ht="27">
      <c r="A5315" s="271">
        <v>101856</v>
      </c>
      <c r="B5315" s="272" t="s">
        <v>23908</v>
      </c>
      <c r="C5315" s="272" t="s">
        <v>193</v>
      </c>
      <c r="D5315" s="273" t="s">
        <v>23909</v>
      </c>
      <c r="E5315" s="274" t="s">
        <v>229</v>
      </c>
    </row>
    <row r="5316" spans="1:5" ht="40.5">
      <c r="A5316" s="271">
        <v>101857</v>
      </c>
      <c r="B5316" s="272" t="s">
        <v>23910</v>
      </c>
      <c r="C5316" s="272" t="s">
        <v>193</v>
      </c>
      <c r="D5316" s="273" t="s">
        <v>23911</v>
      </c>
      <c r="E5316" s="274" t="s">
        <v>229</v>
      </c>
    </row>
    <row r="5317" spans="1:5" ht="40.5">
      <c r="A5317" s="271">
        <v>101858</v>
      </c>
      <c r="B5317" s="272" t="s">
        <v>23912</v>
      </c>
      <c r="C5317" s="272" t="s">
        <v>193</v>
      </c>
      <c r="D5317" s="273" t="s">
        <v>23913</v>
      </c>
      <c r="E5317" s="274" t="s">
        <v>229</v>
      </c>
    </row>
    <row r="5318" spans="1:5" ht="40.5">
      <c r="A5318" s="271">
        <v>101859</v>
      </c>
      <c r="B5318" s="272" t="s">
        <v>23914</v>
      </c>
      <c r="C5318" s="272" t="s">
        <v>193</v>
      </c>
      <c r="D5318" s="273" t="s">
        <v>23299</v>
      </c>
      <c r="E5318" s="274" t="s">
        <v>229</v>
      </c>
    </row>
    <row r="5319" spans="1:5" ht="40.5">
      <c r="A5319" s="271">
        <v>101860</v>
      </c>
      <c r="B5319" s="272" t="s">
        <v>23915</v>
      </c>
      <c r="C5319" s="272" t="s">
        <v>193</v>
      </c>
      <c r="D5319" s="273" t="s">
        <v>11497</v>
      </c>
      <c r="E5319" s="274" t="s">
        <v>229</v>
      </c>
    </row>
    <row r="5320" spans="1:5" ht="40.5">
      <c r="A5320" s="271">
        <v>101861</v>
      </c>
      <c r="B5320" s="272" t="s">
        <v>23916</v>
      </c>
      <c r="C5320" s="272" t="s">
        <v>193</v>
      </c>
      <c r="D5320" s="273" t="s">
        <v>23332</v>
      </c>
      <c r="E5320" s="274" t="s">
        <v>229</v>
      </c>
    </row>
    <row r="5321" spans="1:5" ht="40.5">
      <c r="A5321" s="271">
        <v>101862</v>
      </c>
      <c r="B5321" s="272" t="s">
        <v>23917</v>
      </c>
      <c r="C5321" s="272" t="s">
        <v>193</v>
      </c>
      <c r="D5321" s="273" t="s">
        <v>20103</v>
      </c>
      <c r="E5321" s="274" t="s">
        <v>229</v>
      </c>
    </row>
    <row r="5322" spans="1:5" ht="40.5">
      <c r="A5322" s="271">
        <v>101863</v>
      </c>
      <c r="B5322" s="272" t="s">
        <v>23918</v>
      </c>
      <c r="C5322" s="272" t="s">
        <v>193</v>
      </c>
      <c r="D5322" s="273" t="s">
        <v>11325</v>
      </c>
      <c r="E5322" s="274" t="s">
        <v>229</v>
      </c>
    </row>
    <row r="5323" spans="1:5" ht="40.5">
      <c r="A5323" s="271">
        <v>101864</v>
      </c>
      <c r="B5323" s="272" t="s">
        <v>23919</v>
      </c>
      <c r="C5323" s="272" t="s">
        <v>193</v>
      </c>
      <c r="D5323" s="273" t="s">
        <v>11374</v>
      </c>
      <c r="E5323" s="274" t="s">
        <v>229</v>
      </c>
    </row>
    <row r="5324" spans="1:5" ht="40.5">
      <c r="A5324" s="271">
        <v>101865</v>
      </c>
      <c r="B5324" s="272" t="s">
        <v>23920</v>
      </c>
      <c r="C5324" s="272" t="s">
        <v>193</v>
      </c>
      <c r="D5324" s="273" t="s">
        <v>12330</v>
      </c>
      <c r="E5324" s="274" t="s">
        <v>229</v>
      </c>
    </row>
    <row r="5325" spans="1:5" ht="40.5">
      <c r="A5325" s="271">
        <v>101866</v>
      </c>
      <c r="B5325" s="272" t="s">
        <v>23921</v>
      </c>
      <c r="C5325" s="272" t="s">
        <v>193</v>
      </c>
      <c r="D5325" s="273" t="s">
        <v>16392</v>
      </c>
      <c r="E5325" s="274" t="s">
        <v>229</v>
      </c>
    </row>
    <row r="5326" spans="1:5" ht="40.5">
      <c r="A5326" s="271">
        <v>101867</v>
      </c>
      <c r="B5326" s="272" t="s">
        <v>23922</v>
      </c>
      <c r="C5326" s="272" t="s">
        <v>193</v>
      </c>
      <c r="D5326" s="273" t="s">
        <v>14189</v>
      </c>
      <c r="E5326" s="274" t="s">
        <v>229</v>
      </c>
    </row>
    <row r="5327" spans="1:5" ht="40.5">
      <c r="A5327" s="271">
        <v>101868</v>
      </c>
      <c r="B5327" s="272" t="s">
        <v>23923</v>
      </c>
      <c r="C5327" s="272" t="s">
        <v>193</v>
      </c>
      <c r="D5327" s="273" t="s">
        <v>23924</v>
      </c>
      <c r="E5327" s="274" t="s">
        <v>229</v>
      </c>
    </row>
    <row r="5328" spans="1:5" ht="40.5">
      <c r="A5328" s="271">
        <v>101869</v>
      </c>
      <c r="B5328" s="272" t="s">
        <v>23925</v>
      </c>
      <c r="C5328" s="272" t="s">
        <v>193</v>
      </c>
      <c r="D5328" s="273" t="s">
        <v>16477</v>
      </c>
      <c r="E5328" s="274" t="s">
        <v>229</v>
      </c>
    </row>
    <row r="5329" spans="1:5" ht="40.5">
      <c r="A5329" s="271">
        <v>101870</v>
      </c>
      <c r="B5329" s="272" t="s">
        <v>23926</v>
      </c>
      <c r="C5329" s="272" t="s">
        <v>193</v>
      </c>
      <c r="D5329" s="273" t="s">
        <v>20575</v>
      </c>
      <c r="E5329" s="274" t="s">
        <v>229</v>
      </c>
    </row>
    <row r="5330" spans="1:5" ht="27">
      <c r="A5330" s="271">
        <v>102096</v>
      </c>
      <c r="B5330" s="272" t="s">
        <v>13683</v>
      </c>
      <c r="C5330" s="272" t="s">
        <v>209</v>
      </c>
      <c r="D5330" s="273" t="s">
        <v>23927</v>
      </c>
      <c r="E5330" s="274" t="s">
        <v>229</v>
      </c>
    </row>
    <row r="5331" spans="1:5" ht="27">
      <c r="A5331" s="271">
        <v>102098</v>
      </c>
      <c r="B5331" s="272" t="s">
        <v>23928</v>
      </c>
      <c r="C5331" s="272" t="s">
        <v>209</v>
      </c>
      <c r="D5331" s="273" t="s">
        <v>23929</v>
      </c>
      <c r="E5331" s="274" t="s">
        <v>229</v>
      </c>
    </row>
    <row r="5332" spans="1:5" ht="27">
      <c r="A5332" s="271">
        <v>102101</v>
      </c>
      <c r="B5332" s="272" t="s">
        <v>13684</v>
      </c>
      <c r="C5332" s="272" t="s">
        <v>193</v>
      </c>
      <c r="D5332" s="273" t="s">
        <v>10520</v>
      </c>
      <c r="E5332" s="274" t="s">
        <v>229</v>
      </c>
    </row>
    <row r="5333" spans="1:5" ht="27">
      <c r="A5333" s="271">
        <v>100576</v>
      </c>
      <c r="B5333" s="272" t="s">
        <v>9279</v>
      </c>
      <c r="C5333" s="272" t="s">
        <v>193</v>
      </c>
      <c r="D5333" s="273" t="s">
        <v>10022</v>
      </c>
      <c r="E5333" s="274" t="s">
        <v>229</v>
      </c>
    </row>
    <row r="5334" spans="1:5" ht="13.5">
      <c r="A5334" s="271">
        <v>100577</v>
      </c>
      <c r="B5334" s="272" t="s">
        <v>9280</v>
      </c>
      <c r="C5334" s="272" t="s">
        <v>193</v>
      </c>
      <c r="D5334" s="273" t="s">
        <v>10015</v>
      </c>
      <c r="E5334" s="274" t="s">
        <v>229</v>
      </c>
    </row>
    <row r="5335" spans="1:5" ht="40.5">
      <c r="A5335" s="271">
        <v>96388</v>
      </c>
      <c r="B5335" s="272" t="s">
        <v>9281</v>
      </c>
      <c r="C5335" s="272" t="s">
        <v>209</v>
      </c>
      <c r="D5335" s="273" t="s">
        <v>20317</v>
      </c>
      <c r="E5335" s="274" t="s">
        <v>229</v>
      </c>
    </row>
    <row r="5336" spans="1:5" ht="40.5">
      <c r="A5336" s="271">
        <v>96389</v>
      </c>
      <c r="B5336" s="272" t="s">
        <v>10934</v>
      </c>
      <c r="C5336" s="272" t="s">
        <v>209</v>
      </c>
      <c r="D5336" s="273" t="s">
        <v>23930</v>
      </c>
      <c r="E5336" s="274" t="s">
        <v>229</v>
      </c>
    </row>
    <row r="5337" spans="1:5" ht="40.5">
      <c r="A5337" s="271">
        <v>96390</v>
      </c>
      <c r="B5337" s="272" t="s">
        <v>10935</v>
      </c>
      <c r="C5337" s="272" t="s">
        <v>209</v>
      </c>
      <c r="D5337" s="273" t="s">
        <v>23931</v>
      </c>
      <c r="E5337" s="274" t="s">
        <v>229</v>
      </c>
    </row>
    <row r="5338" spans="1:5" ht="40.5">
      <c r="A5338" s="271">
        <v>96391</v>
      </c>
      <c r="B5338" s="272" t="s">
        <v>9282</v>
      </c>
      <c r="C5338" s="272" t="s">
        <v>209</v>
      </c>
      <c r="D5338" s="273" t="s">
        <v>16138</v>
      </c>
      <c r="E5338" s="274" t="s">
        <v>229</v>
      </c>
    </row>
    <row r="5339" spans="1:5" ht="40.5">
      <c r="A5339" s="271">
        <v>96392</v>
      </c>
      <c r="B5339" s="272" t="s">
        <v>9283</v>
      </c>
      <c r="C5339" s="272" t="s">
        <v>209</v>
      </c>
      <c r="D5339" s="273" t="s">
        <v>23932</v>
      </c>
      <c r="E5339" s="274" t="s">
        <v>229</v>
      </c>
    </row>
    <row r="5340" spans="1:5" ht="27">
      <c r="A5340" s="271">
        <v>96396</v>
      </c>
      <c r="B5340" s="272" t="s">
        <v>9284</v>
      </c>
      <c r="C5340" s="272" t="s">
        <v>209</v>
      </c>
      <c r="D5340" s="273" t="s">
        <v>23933</v>
      </c>
      <c r="E5340" s="274" t="s">
        <v>229</v>
      </c>
    </row>
    <row r="5341" spans="1:5" ht="27">
      <c r="A5341" s="271">
        <v>96397</v>
      </c>
      <c r="B5341" s="272" t="s">
        <v>9285</v>
      </c>
      <c r="C5341" s="272" t="s">
        <v>209</v>
      </c>
      <c r="D5341" s="273" t="s">
        <v>23934</v>
      </c>
      <c r="E5341" s="274" t="s">
        <v>229</v>
      </c>
    </row>
    <row r="5342" spans="1:5" ht="27">
      <c r="A5342" s="271">
        <v>96398</v>
      </c>
      <c r="B5342" s="272" t="s">
        <v>9286</v>
      </c>
      <c r="C5342" s="272" t="s">
        <v>209</v>
      </c>
      <c r="D5342" s="273" t="s">
        <v>23935</v>
      </c>
      <c r="E5342" s="274" t="s">
        <v>229</v>
      </c>
    </row>
    <row r="5343" spans="1:5" ht="27">
      <c r="A5343" s="271">
        <v>96399</v>
      </c>
      <c r="B5343" s="272" t="s">
        <v>10936</v>
      </c>
      <c r="C5343" s="272" t="s">
        <v>209</v>
      </c>
      <c r="D5343" s="273" t="s">
        <v>23936</v>
      </c>
      <c r="E5343" s="274" t="s">
        <v>229</v>
      </c>
    </row>
    <row r="5344" spans="1:5" ht="27">
      <c r="A5344" s="271">
        <v>96400</v>
      </c>
      <c r="B5344" s="272" t="s">
        <v>9287</v>
      </c>
      <c r="C5344" s="272" t="s">
        <v>209</v>
      </c>
      <c r="D5344" s="273" t="s">
        <v>23937</v>
      </c>
      <c r="E5344" s="274" t="s">
        <v>229</v>
      </c>
    </row>
    <row r="5345" spans="1:5" ht="13.5">
      <c r="A5345" s="271">
        <v>96402</v>
      </c>
      <c r="B5345" s="272" t="s">
        <v>9288</v>
      </c>
      <c r="C5345" s="272" t="s">
        <v>193</v>
      </c>
      <c r="D5345" s="273" t="s">
        <v>9949</v>
      </c>
      <c r="E5345" s="274" t="s">
        <v>229</v>
      </c>
    </row>
    <row r="5346" spans="1:5" ht="40.5">
      <c r="A5346" s="271">
        <v>100564</v>
      </c>
      <c r="B5346" s="272" t="s">
        <v>9289</v>
      </c>
      <c r="C5346" s="272" t="s">
        <v>209</v>
      </c>
      <c r="D5346" s="273" t="s">
        <v>23938</v>
      </c>
      <c r="E5346" s="274" t="s">
        <v>229</v>
      </c>
    </row>
    <row r="5347" spans="1:5" ht="40.5">
      <c r="A5347" s="271">
        <v>100565</v>
      </c>
      <c r="B5347" s="272" t="s">
        <v>9290</v>
      </c>
      <c r="C5347" s="272" t="s">
        <v>209</v>
      </c>
      <c r="D5347" s="273" t="s">
        <v>23939</v>
      </c>
      <c r="E5347" s="274" t="s">
        <v>229</v>
      </c>
    </row>
    <row r="5348" spans="1:5" ht="40.5">
      <c r="A5348" s="271">
        <v>100566</v>
      </c>
      <c r="B5348" s="272" t="s">
        <v>9291</v>
      </c>
      <c r="C5348" s="272" t="s">
        <v>209</v>
      </c>
      <c r="D5348" s="273" t="s">
        <v>23940</v>
      </c>
      <c r="E5348" s="274" t="s">
        <v>229</v>
      </c>
    </row>
    <row r="5349" spans="1:5" ht="40.5">
      <c r="A5349" s="271">
        <v>100567</v>
      </c>
      <c r="B5349" s="272" t="s">
        <v>9292</v>
      </c>
      <c r="C5349" s="272" t="s">
        <v>209</v>
      </c>
      <c r="D5349" s="273" t="s">
        <v>23941</v>
      </c>
      <c r="E5349" s="274" t="s">
        <v>229</v>
      </c>
    </row>
    <row r="5350" spans="1:5" ht="40.5">
      <c r="A5350" s="271">
        <v>100568</v>
      </c>
      <c r="B5350" s="272" t="s">
        <v>9293</v>
      </c>
      <c r="C5350" s="272" t="s">
        <v>209</v>
      </c>
      <c r="D5350" s="273" t="s">
        <v>23942</v>
      </c>
      <c r="E5350" s="274" t="s">
        <v>229</v>
      </c>
    </row>
    <row r="5351" spans="1:5" ht="40.5">
      <c r="A5351" s="271">
        <v>100569</v>
      </c>
      <c r="B5351" s="272" t="s">
        <v>9294</v>
      </c>
      <c r="C5351" s="272" t="s">
        <v>209</v>
      </c>
      <c r="D5351" s="273" t="s">
        <v>23943</v>
      </c>
      <c r="E5351" s="274" t="s">
        <v>229</v>
      </c>
    </row>
    <row r="5352" spans="1:5" ht="40.5">
      <c r="A5352" s="271">
        <v>100570</v>
      </c>
      <c r="B5352" s="272" t="s">
        <v>9295</v>
      </c>
      <c r="C5352" s="272" t="s">
        <v>209</v>
      </c>
      <c r="D5352" s="273" t="s">
        <v>23944</v>
      </c>
      <c r="E5352" s="274" t="s">
        <v>229</v>
      </c>
    </row>
    <row r="5353" spans="1:5" ht="40.5">
      <c r="A5353" s="271">
        <v>100571</v>
      </c>
      <c r="B5353" s="272" t="s">
        <v>9296</v>
      </c>
      <c r="C5353" s="272" t="s">
        <v>209</v>
      </c>
      <c r="D5353" s="273" t="s">
        <v>23945</v>
      </c>
      <c r="E5353" s="274" t="s">
        <v>229</v>
      </c>
    </row>
    <row r="5354" spans="1:5" ht="40.5">
      <c r="A5354" s="271">
        <v>100572</v>
      </c>
      <c r="B5354" s="272" t="s">
        <v>9297</v>
      </c>
      <c r="C5354" s="272" t="s">
        <v>209</v>
      </c>
      <c r="D5354" s="273" t="s">
        <v>23946</v>
      </c>
      <c r="E5354" s="274" t="s">
        <v>229</v>
      </c>
    </row>
    <row r="5355" spans="1:5" ht="40.5">
      <c r="A5355" s="271">
        <v>100573</v>
      </c>
      <c r="B5355" s="272" t="s">
        <v>9298</v>
      </c>
      <c r="C5355" s="272" t="s">
        <v>209</v>
      </c>
      <c r="D5355" s="273" t="s">
        <v>23947</v>
      </c>
      <c r="E5355" s="274" t="s">
        <v>229</v>
      </c>
    </row>
    <row r="5356" spans="1:5" ht="13.5">
      <c r="A5356" s="271">
        <v>100574</v>
      </c>
      <c r="B5356" s="272" t="s">
        <v>9299</v>
      </c>
      <c r="C5356" s="272" t="s">
        <v>209</v>
      </c>
      <c r="D5356" s="273" t="s">
        <v>77</v>
      </c>
      <c r="E5356" s="274" t="s">
        <v>229</v>
      </c>
    </row>
    <row r="5357" spans="1:5" ht="13.5">
      <c r="A5357" s="271">
        <v>100575</v>
      </c>
      <c r="B5357" s="272" t="s">
        <v>9300</v>
      </c>
      <c r="C5357" s="272" t="s">
        <v>193</v>
      </c>
      <c r="D5357" s="273" t="s">
        <v>9921</v>
      </c>
      <c r="E5357" s="274" t="s">
        <v>229</v>
      </c>
    </row>
    <row r="5358" spans="1:5" ht="40.5">
      <c r="A5358" s="271">
        <v>101767</v>
      </c>
      <c r="B5358" s="272" t="s">
        <v>13685</v>
      </c>
      <c r="C5358" s="272" t="s">
        <v>209</v>
      </c>
      <c r="D5358" s="273" t="s">
        <v>11031</v>
      </c>
      <c r="E5358" s="274" t="s">
        <v>229</v>
      </c>
    </row>
    <row r="5359" spans="1:5" ht="40.5">
      <c r="A5359" s="271">
        <v>101768</v>
      </c>
      <c r="B5359" s="272" t="s">
        <v>13686</v>
      </c>
      <c r="C5359" s="272" t="s">
        <v>209</v>
      </c>
      <c r="D5359" s="273" t="s">
        <v>14085</v>
      </c>
      <c r="E5359" s="274" t="s">
        <v>229</v>
      </c>
    </row>
    <row r="5360" spans="1:5" ht="27">
      <c r="A5360" s="271">
        <v>92391</v>
      </c>
      <c r="B5360" s="272" t="s">
        <v>2672</v>
      </c>
      <c r="C5360" s="272" t="s">
        <v>193</v>
      </c>
      <c r="D5360" s="273" t="s">
        <v>11159</v>
      </c>
      <c r="E5360" s="274" t="s">
        <v>229</v>
      </c>
    </row>
    <row r="5361" spans="1:5" ht="27">
      <c r="A5361" s="271">
        <v>92392</v>
      </c>
      <c r="B5361" s="272" t="s">
        <v>2673</v>
      </c>
      <c r="C5361" s="272" t="s">
        <v>193</v>
      </c>
      <c r="D5361" s="273" t="s">
        <v>23948</v>
      </c>
      <c r="E5361" s="274" t="s">
        <v>229</v>
      </c>
    </row>
    <row r="5362" spans="1:5" ht="27">
      <c r="A5362" s="271">
        <v>92393</v>
      </c>
      <c r="B5362" s="272" t="s">
        <v>2674</v>
      </c>
      <c r="C5362" s="272" t="s">
        <v>193</v>
      </c>
      <c r="D5362" s="273" t="s">
        <v>14062</v>
      </c>
      <c r="E5362" s="274" t="s">
        <v>229</v>
      </c>
    </row>
    <row r="5363" spans="1:5" ht="27">
      <c r="A5363" s="271">
        <v>92394</v>
      </c>
      <c r="B5363" s="272" t="s">
        <v>2675</v>
      </c>
      <c r="C5363" s="272" t="s">
        <v>193</v>
      </c>
      <c r="D5363" s="273" t="s">
        <v>23949</v>
      </c>
      <c r="E5363" s="274" t="s">
        <v>229</v>
      </c>
    </row>
    <row r="5364" spans="1:5" ht="27">
      <c r="A5364" s="271">
        <v>92395</v>
      </c>
      <c r="B5364" s="272" t="s">
        <v>2676</v>
      </c>
      <c r="C5364" s="272" t="s">
        <v>193</v>
      </c>
      <c r="D5364" s="273" t="s">
        <v>16685</v>
      </c>
      <c r="E5364" s="274" t="s">
        <v>229</v>
      </c>
    </row>
    <row r="5365" spans="1:5" ht="27">
      <c r="A5365" s="271">
        <v>92396</v>
      </c>
      <c r="B5365" s="272" t="s">
        <v>2677</v>
      </c>
      <c r="C5365" s="272" t="s">
        <v>193</v>
      </c>
      <c r="D5365" s="273" t="s">
        <v>16374</v>
      </c>
      <c r="E5365" s="274" t="s">
        <v>229</v>
      </c>
    </row>
    <row r="5366" spans="1:5" ht="27">
      <c r="A5366" s="271">
        <v>92397</v>
      </c>
      <c r="B5366" s="272" t="s">
        <v>2678</v>
      </c>
      <c r="C5366" s="272" t="s">
        <v>193</v>
      </c>
      <c r="D5366" s="273" t="s">
        <v>16498</v>
      </c>
      <c r="E5366" s="274" t="s">
        <v>229</v>
      </c>
    </row>
    <row r="5367" spans="1:5" ht="27">
      <c r="A5367" s="271">
        <v>92398</v>
      </c>
      <c r="B5367" s="272" t="s">
        <v>2679</v>
      </c>
      <c r="C5367" s="272" t="s">
        <v>193</v>
      </c>
      <c r="D5367" s="273" t="s">
        <v>23950</v>
      </c>
      <c r="E5367" s="274" t="s">
        <v>229</v>
      </c>
    </row>
    <row r="5368" spans="1:5" ht="27">
      <c r="A5368" s="271">
        <v>92399</v>
      </c>
      <c r="B5368" s="272" t="s">
        <v>2680</v>
      </c>
      <c r="C5368" s="272" t="s">
        <v>193</v>
      </c>
      <c r="D5368" s="273" t="s">
        <v>23951</v>
      </c>
      <c r="E5368" s="274" t="s">
        <v>229</v>
      </c>
    </row>
    <row r="5369" spans="1:5" ht="27">
      <c r="A5369" s="271">
        <v>92400</v>
      </c>
      <c r="B5369" s="272" t="s">
        <v>2681</v>
      </c>
      <c r="C5369" s="272" t="s">
        <v>193</v>
      </c>
      <c r="D5369" s="273" t="s">
        <v>23952</v>
      </c>
      <c r="E5369" s="274" t="s">
        <v>229</v>
      </c>
    </row>
    <row r="5370" spans="1:5" ht="27">
      <c r="A5370" s="271">
        <v>92401</v>
      </c>
      <c r="B5370" s="272" t="s">
        <v>2682</v>
      </c>
      <c r="C5370" s="272" t="s">
        <v>193</v>
      </c>
      <c r="D5370" s="273" t="s">
        <v>23953</v>
      </c>
      <c r="E5370" s="274" t="s">
        <v>229</v>
      </c>
    </row>
    <row r="5371" spans="1:5" ht="27">
      <c r="A5371" s="271">
        <v>92402</v>
      </c>
      <c r="B5371" s="272" t="s">
        <v>2683</v>
      </c>
      <c r="C5371" s="272" t="s">
        <v>193</v>
      </c>
      <c r="D5371" s="273" t="s">
        <v>14255</v>
      </c>
      <c r="E5371" s="274" t="s">
        <v>229</v>
      </c>
    </row>
    <row r="5372" spans="1:5" ht="27">
      <c r="A5372" s="271">
        <v>92403</v>
      </c>
      <c r="B5372" s="272" t="s">
        <v>2684</v>
      </c>
      <c r="C5372" s="272" t="s">
        <v>193</v>
      </c>
      <c r="D5372" s="273" t="s">
        <v>20933</v>
      </c>
      <c r="E5372" s="274" t="s">
        <v>229</v>
      </c>
    </row>
    <row r="5373" spans="1:5" ht="27">
      <c r="A5373" s="271">
        <v>92404</v>
      </c>
      <c r="B5373" s="272" t="s">
        <v>2685</v>
      </c>
      <c r="C5373" s="272" t="s">
        <v>193</v>
      </c>
      <c r="D5373" s="273" t="s">
        <v>23954</v>
      </c>
      <c r="E5373" s="274" t="s">
        <v>229</v>
      </c>
    </row>
    <row r="5374" spans="1:5" ht="27">
      <c r="A5374" s="271">
        <v>92405</v>
      </c>
      <c r="B5374" s="272" t="s">
        <v>2686</v>
      </c>
      <c r="C5374" s="272" t="s">
        <v>193</v>
      </c>
      <c r="D5374" s="273" t="s">
        <v>15804</v>
      </c>
      <c r="E5374" s="274" t="s">
        <v>229</v>
      </c>
    </row>
    <row r="5375" spans="1:5" ht="27">
      <c r="A5375" s="271">
        <v>92406</v>
      </c>
      <c r="B5375" s="272" t="s">
        <v>2687</v>
      </c>
      <c r="C5375" s="272" t="s">
        <v>193</v>
      </c>
      <c r="D5375" s="273" t="s">
        <v>23955</v>
      </c>
      <c r="E5375" s="274" t="s">
        <v>229</v>
      </c>
    </row>
    <row r="5376" spans="1:5" ht="27">
      <c r="A5376" s="271">
        <v>92407</v>
      </c>
      <c r="B5376" s="272" t="s">
        <v>2688</v>
      </c>
      <c r="C5376" s="272" t="s">
        <v>193</v>
      </c>
      <c r="D5376" s="273" t="s">
        <v>20416</v>
      </c>
      <c r="E5376" s="274" t="s">
        <v>229</v>
      </c>
    </row>
    <row r="5377" spans="1:5" ht="27">
      <c r="A5377" s="271">
        <v>93679</v>
      </c>
      <c r="B5377" s="272" t="s">
        <v>2689</v>
      </c>
      <c r="C5377" s="272" t="s">
        <v>193</v>
      </c>
      <c r="D5377" s="273" t="s">
        <v>23956</v>
      </c>
      <c r="E5377" s="274" t="s">
        <v>229</v>
      </c>
    </row>
    <row r="5378" spans="1:5" ht="27">
      <c r="A5378" s="271">
        <v>93680</v>
      </c>
      <c r="B5378" s="272" t="s">
        <v>2690</v>
      </c>
      <c r="C5378" s="272" t="s">
        <v>193</v>
      </c>
      <c r="D5378" s="273" t="s">
        <v>22696</v>
      </c>
      <c r="E5378" s="274" t="s">
        <v>229</v>
      </c>
    </row>
    <row r="5379" spans="1:5" ht="27">
      <c r="A5379" s="271">
        <v>93681</v>
      </c>
      <c r="B5379" s="272" t="s">
        <v>2691</v>
      </c>
      <c r="C5379" s="272" t="s">
        <v>193</v>
      </c>
      <c r="D5379" s="273" t="s">
        <v>23957</v>
      </c>
      <c r="E5379" s="274" t="s">
        <v>229</v>
      </c>
    </row>
    <row r="5380" spans="1:5" ht="27">
      <c r="A5380" s="271">
        <v>93682</v>
      </c>
      <c r="B5380" s="272" t="s">
        <v>2692</v>
      </c>
      <c r="C5380" s="272" t="s">
        <v>193</v>
      </c>
      <c r="D5380" s="273" t="s">
        <v>16011</v>
      </c>
      <c r="E5380" s="274" t="s">
        <v>229</v>
      </c>
    </row>
    <row r="5381" spans="1:5" ht="27">
      <c r="A5381" s="271">
        <v>97104</v>
      </c>
      <c r="B5381" s="272" t="s">
        <v>13687</v>
      </c>
      <c r="C5381" s="272" t="s">
        <v>193</v>
      </c>
      <c r="D5381" s="273" t="s">
        <v>23958</v>
      </c>
      <c r="E5381" s="274" t="s">
        <v>229</v>
      </c>
    </row>
    <row r="5382" spans="1:5" ht="27">
      <c r="A5382" s="271">
        <v>97105</v>
      </c>
      <c r="B5382" s="272" t="s">
        <v>13688</v>
      </c>
      <c r="C5382" s="272" t="s">
        <v>193</v>
      </c>
      <c r="D5382" s="273" t="s">
        <v>23959</v>
      </c>
      <c r="E5382" s="274" t="s">
        <v>229</v>
      </c>
    </row>
    <row r="5383" spans="1:5" ht="27">
      <c r="A5383" s="271">
        <v>97106</v>
      </c>
      <c r="B5383" s="272" t="s">
        <v>13689</v>
      </c>
      <c r="C5383" s="272" t="s">
        <v>193</v>
      </c>
      <c r="D5383" s="273" t="s">
        <v>21730</v>
      </c>
      <c r="E5383" s="274" t="s">
        <v>229</v>
      </c>
    </row>
    <row r="5384" spans="1:5" ht="27">
      <c r="A5384" s="271">
        <v>97107</v>
      </c>
      <c r="B5384" s="272" t="s">
        <v>13690</v>
      </c>
      <c r="C5384" s="272" t="s">
        <v>193</v>
      </c>
      <c r="D5384" s="273" t="s">
        <v>16413</v>
      </c>
      <c r="E5384" s="274" t="s">
        <v>229</v>
      </c>
    </row>
    <row r="5385" spans="1:5" ht="27">
      <c r="A5385" s="271">
        <v>97108</v>
      </c>
      <c r="B5385" s="272" t="s">
        <v>13691</v>
      </c>
      <c r="C5385" s="272" t="s">
        <v>193</v>
      </c>
      <c r="D5385" s="273" t="s">
        <v>16291</v>
      </c>
      <c r="E5385" s="274" t="s">
        <v>229</v>
      </c>
    </row>
    <row r="5386" spans="1:5" ht="27">
      <c r="A5386" s="271">
        <v>97109</v>
      </c>
      <c r="B5386" s="272" t="s">
        <v>13692</v>
      </c>
      <c r="C5386" s="272" t="s">
        <v>193</v>
      </c>
      <c r="D5386" s="273" t="s">
        <v>23960</v>
      </c>
      <c r="E5386" s="274" t="s">
        <v>229</v>
      </c>
    </row>
    <row r="5387" spans="1:5" ht="27">
      <c r="A5387" s="271">
        <v>97110</v>
      </c>
      <c r="B5387" s="272" t="s">
        <v>13693</v>
      </c>
      <c r="C5387" s="272" t="s">
        <v>193</v>
      </c>
      <c r="D5387" s="273" t="s">
        <v>23706</v>
      </c>
      <c r="E5387" s="274" t="s">
        <v>229</v>
      </c>
    </row>
    <row r="5388" spans="1:5" ht="27">
      <c r="A5388" s="271">
        <v>97111</v>
      </c>
      <c r="B5388" s="272" t="s">
        <v>13694</v>
      </c>
      <c r="C5388" s="272" t="s">
        <v>193</v>
      </c>
      <c r="D5388" s="273" t="s">
        <v>23961</v>
      </c>
      <c r="E5388" s="274" t="s">
        <v>229</v>
      </c>
    </row>
    <row r="5389" spans="1:5" ht="27">
      <c r="A5389" s="271">
        <v>97112</v>
      </c>
      <c r="B5389" s="272" t="s">
        <v>13695</v>
      </c>
      <c r="C5389" s="272" t="s">
        <v>193</v>
      </c>
      <c r="D5389" s="273" t="s">
        <v>23962</v>
      </c>
      <c r="E5389" s="274" t="s">
        <v>229</v>
      </c>
    </row>
    <row r="5390" spans="1:5" ht="13.5">
      <c r="A5390" s="271">
        <v>97113</v>
      </c>
      <c r="B5390" s="272" t="s">
        <v>13696</v>
      </c>
      <c r="C5390" s="272" t="s">
        <v>193</v>
      </c>
      <c r="D5390" s="273" t="s">
        <v>10914</v>
      </c>
      <c r="E5390" s="274" t="s">
        <v>229</v>
      </c>
    </row>
    <row r="5391" spans="1:5" ht="13.5">
      <c r="A5391" s="271">
        <v>97114</v>
      </c>
      <c r="B5391" s="272" t="s">
        <v>3696</v>
      </c>
      <c r="C5391" s="272" t="s">
        <v>5</v>
      </c>
      <c r="D5391" s="273" t="s">
        <v>10036</v>
      </c>
      <c r="E5391" s="274" t="s">
        <v>229</v>
      </c>
    </row>
    <row r="5392" spans="1:5" ht="27">
      <c r="A5392" s="271">
        <v>97115</v>
      </c>
      <c r="B5392" s="272" t="s">
        <v>3697</v>
      </c>
      <c r="C5392" s="272" t="s">
        <v>108</v>
      </c>
      <c r="D5392" s="273" t="s">
        <v>19326</v>
      </c>
      <c r="E5392" s="274" t="s">
        <v>229</v>
      </c>
    </row>
    <row r="5393" spans="1:5" ht="27">
      <c r="A5393" s="271">
        <v>97116</v>
      </c>
      <c r="B5393" s="272" t="s">
        <v>13697</v>
      </c>
      <c r="C5393" s="272" t="s">
        <v>108</v>
      </c>
      <c r="D5393" s="273" t="s">
        <v>10355</v>
      </c>
      <c r="E5393" s="274" t="s">
        <v>229</v>
      </c>
    </row>
    <row r="5394" spans="1:5" ht="27">
      <c r="A5394" s="271">
        <v>97117</v>
      </c>
      <c r="B5394" s="272" t="s">
        <v>13698</v>
      </c>
      <c r="C5394" s="272" t="s">
        <v>108</v>
      </c>
      <c r="D5394" s="273" t="s">
        <v>21303</v>
      </c>
      <c r="E5394" s="274" t="s">
        <v>229</v>
      </c>
    </row>
    <row r="5395" spans="1:5" ht="27">
      <c r="A5395" s="271">
        <v>97118</v>
      </c>
      <c r="B5395" s="272" t="s">
        <v>13699</v>
      </c>
      <c r="C5395" s="272" t="s">
        <v>108</v>
      </c>
      <c r="D5395" s="273" t="s">
        <v>23963</v>
      </c>
      <c r="E5395" s="274" t="s">
        <v>229</v>
      </c>
    </row>
    <row r="5396" spans="1:5" ht="27">
      <c r="A5396" s="271">
        <v>97119</v>
      </c>
      <c r="B5396" s="272" t="s">
        <v>13700</v>
      </c>
      <c r="C5396" s="272" t="s">
        <v>108</v>
      </c>
      <c r="D5396" s="273" t="s">
        <v>15976</v>
      </c>
      <c r="E5396" s="274" t="s">
        <v>229</v>
      </c>
    </row>
    <row r="5397" spans="1:5" ht="27">
      <c r="A5397" s="271">
        <v>97120</v>
      </c>
      <c r="B5397" s="272" t="s">
        <v>3698</v>
      </c>
      <c r="C5397" s="272" t="s">
        <v>108</v>
      </c>
      <c r="D5397" s="273" t="s">
        <v>10056</v>
      </c>
      <c r="E5397" s="274" t="s">
        <v>229</v>
      </c>
    </row>
    <row r="5398" spans="1:5" ht="13.5">
      <c r="A5398" s="271">
        <v>97802</v>
      </c>
      <c r="B5398" s="272" t="s">
        <v>10939</v>
      </c>
      <c r="C5398" s="272" t="s">
        <v>193</v>
      </c>
      <c r="D5398" s="273" t="s">
        <v>12136</v>
      </c>
      <c r="E5398" s="274" t="s">
        <v>229</v>
      </c>
    </row>
    <row r="5399" spans="1:5" ht="27">
      <c r="A5399" s="271">
        <v>97803</v>
      </c>
      <c r="B5399" s="272" t="s">
        <v>10941</v>
      </c>
      <c r="C5399" s="272" t="s">
        <v>193</v>
      </c>
      <c r="D5399" s="273" t="s">
        <v>12141</v>
      </c>
      <c r="E5399" s="274" t="s">
        <v>229</v>
      </c>
    </row>
    <row r="5400" spans="1:5" ht="13.5">
      <c r="A5400" s="271">
        <v>97805</v>
      </c>
      <c r="B5400" s="272" t="s">
        <v>10942</v>
      </c>
      <c r="C5400" s="272" t="s">
        <v>193</v>
      </c>
      <c r="D5400" s="273" t="s">
        <v>10527</v>
      </c>
      <c r="E5400" s="274" t="s">
        <v>229</v>
      </c>
    </row>
    <row r="5401" spans="1:5" ht="27">
      <c r="A5401" s="271">
        <v>97806</v>
      </c>
      <c r="B5401" s="272" t="s">
        <v>10943</v>
      </c>
      <c r="C5401" s="272" t="s">
        <v>193</v>
      </c>
      <c r="D5401" s="273" t="s">
        <v>23675</v>
      </c>
      <c r="E5401" s="274" t="s">
        <v>229</v>
      </c>
    </row>
    <row r="5402" spans="1:5" ht="27">
      <c r="A5402" s="271">
        <v>97807</v>
      </c>
      <c r="B5402" s="272" t="s">
        <v>10944</v>
      </c>
      <c r="C5402" s="272" t="s">
        <v>193</v>
      </c>
      <c r="D5402" s="273" t="s">
        <v>12252</v>
      </c>
      <c r="E5402" s="274" t="s">
        <v>229</v>
      </c>
    </row>
    <row r="5403" spans="1:5" ht="13.5">
      <c r="A5403" s="271">
        <v>97809</v>
      </c>
      <c r="B5403" s="272" t="s">
        <v>10945</v>
      </c>
      <c r="C5403" s="272" t="s">
        <v>193</v>
      </c>
      <c r="D5403" s="273" t="s">
        <v>10524</v>
      </c>
      <c r="E5403" s="274" t="s">
        <v>229</v>
      </c>
    </row>
    <row r="5404" spans="1:5" ht="27">
      <c r="A5404" s="271">
        <v>97810</v>
      </c>
      <c r="B5404" s="272" t="s">
        <v>10946</v>
      </c>
      <c r="C5404" s="272" t="s">
        <v>193</v>
      </c>
      <c r="D5404" s="273" t="s">
        <v>16025</v>
      </c>
      <c r="E5404" s="274" t="s">
        <v>229</v>
      </c>
    </row>
    <row r="5405" spans="1:5" ht="27">
      <c r="A5405" s="271">
        <v>97811</v>
      </c>
      <c r="B5405" s="272" t="s">
        <v>10947</v>
      </c>
      <c r="C5405" s="272" t="s">
        <v>193</v>
      </c>
      <c r="D5405" s="273" t="s">
        <v>12310</v>
      </c>
      <c r="E5405" s="274" t="s">
        <v>229</v>
      </c>
    </row>
    <row r="5406" spans="1:5" ht="13.5">
      <c r="A5406" s="271">
        <v>101167</v>
      </c>
      <c r="B5406" s="272" t="s">
        <v>10948</v>
      </c>
      <c r="C5406" s="272" t="s">
        <v>193</v>
      </c>
      <c r="D5406" s="273" t="s">
        <v>23964</v>
      </c>
      <c r="E5406" s="274" t="s">
        <v>229</v>
      </c>
    </row>
    <row r="5407" spans="1:5" ht="27">
      <c r="A5407" s="271">
        <v>101168</v>
      </c>
      <c r="B5407" s="272" t="s">
        <v>10949</v>
      </c>
      <c r="C5407" s="272" t="s">
        <v>193</v>
      </c>
      <c r="D5407" s="273" t="s">
        <v>23965</v>
      </c>
      <c r="E5407" s="274" t="s">
        <v>229</v>
      </c>
    </row>
    <row r="5408" spans="1:5" ht="27">
      <c r="A5408" s="271">
        <v>101169</v>
      </c>
      <c r="B5408" s="272" t="s">
        <v>10950</v>
      </c>
      <c r="C5408" s="272" t="s">
        <v>193</v>
      </c>
      <c r="D5408" s="273" t="s">
        <v>23966</v>
      </c>
      <c r="E5408" s="274" t="s">
        <v>229</v>
      </c>
    </row>
    <row r="5409" spans="1:5" ht="13.5">
      <c r="A5409" s="271">
        <v>101170</v>
      </c>
      <c r="B5409" s="272" t="s">
        <v>10951</v>
      </c>
      <c r="C5409" s="272" t="s">
        <v>193</v>
      </c>
      <c r="D5409" s="273" t="s">
        <v>23213</v>
      </c>
      <c r="E5409" s="274" t="s">
        <v>229</v>
      </c>
    </row>
    <row r="5410" spans="1:5" ht="27">
      <c r="A5410" s="271">
        <v>101171</v>
      </c>
      <c r="B5410" s="272" t="s">
        <v>13701</v>
      </c>
      <c r="C5410" s="272" t="s">
        <v>193</v>
      </c>
      <c r="D5410" s="273" t="s">
        <v>23967</v>
      </c>
      <c r="E5410" s="274" t="s">
        <v>229</v>
      </c>
    </row>
    <row r="5411" spans="1:5" ht="27">
      <c r="A5411" s="271">
        <v>101172</v>
      </c>
      <c r="B5411" s="272" t="s">
        <v>10952</v>
      </c>
      <c r="C5411" s="272" t="s">
        <v>193</v>
      </c>
      <c r="D5411" s="273" t="s">
        <v>12309</v>
      </c>
      <c r="E5411" s="274" t="s">
        <v>229</v>
      </c>
    </row>
    <row r="5412" spans="1:5" ht="27">
      <c r="A5412" s="271">
        <v>95995</v>
      </c>
      <c r="B5412" s="272" t="s">
        <v>9301</v>
      </c>
      <c r="C5412" s="272" t="s">
        <v>209</v>
      </c>
      <c r="D5412" s="273" t="s">
        <v>23968</v>
      </c>
      <c r="E5412" s="274" t="s">
        <v>229</v>
      </c>
    </row>
    <row r="5413" spans="1:5" ht="27">
      <c r="A5413" s="271">
        <v>95996</v>
      </c>
      <c r="B5413" s="272" t="s">
        <v>9302</v>
      </c>
      <c r="C5413" s="272" t="s">
        <v>209</v>
      </c>
      <c r="D5413" s="273" t="s">
        <v>23969</v>
      </c>
      <c r="E5413" s="274" t="s">
        <v>229</v>
      </c>
    </row>
    <row r="5414" spans="1:5" ht="27">
      <c r="A5414" s="271">
        <v>96001</v>
      </c>
      <c r="B5414" s="272" t="s">
        <v>9303</v>
      </c>
      <c r="C5414" s="272" t="s">
        <v>193</v>
      </c>
      <c r="D5414" s="273" t="s">
        <v>10307</v>
      </c>
      <c r="E5414" s="274" t="s">
        <v>229</v>
      </c>
    </row>
    <row r="5415" spans="1:5" ht="13.5">
      <c r="A5415" s="271">
        <v>96393</v>
      </c>
      <c r="B5415" s="272" t="s">
        <v>10955</v>
      </c>
      <c r="C5415" s="272" t="s">
        <v>209</v>
      </c>
      <c r="D5415" s="273" t="s">
        <v>23970</v>
      </c>
      <c r="E5415" s="274" t="s">
        <v>229</v>
      </c>
    </row>
    <row r="5416" spans="1:5" ht="13.5">
      <c r="A5416" s="271">
        <v>96394</v>
      </c>
      <c r="B5416" s="272" t="s">
        <v>10956</v>
      </c>
      <c r="C5416" s="272" t="s">
        <v>209</v>
      </c>
      <c r="D5416" s="273" t="s">
        <v>23971</v>
      </c>
      <c r="E5416" s="274" t="s">
        <v>229</v>
      </c>
    </row>
    <row r="5417" spans="1:5" ht="13.5">
      <c r="A5417" s="271">
        <v>96395</v>
      </c>
      <c r="B5417" s="272" t="s">
        <v>10957</v>
      </c>
      <c r="C5417" s="272" t="s">
        <v>209</v>
      </c>
      <c r="D5417" s="273" t="s">
        <v>23972</v>
      </c>
      <c r="E5417" s="274" t="s">
        <v>229</v>
      </c>
    </row>
    <row r="5418" spans="1:5" ht="27">
      <c r="A5418" s="271">
        <v>100624</v>
      </c>
      <c r="B5418" s="272" t="s">
        <v>13702</v>
      </c>
      <c r="C5418" s="272" t="s">
        <v>209</v>
      </c>
      <c r="D5418" s="273" t="s">
        <v>23973</v>
      </c>
      <c r="E5418" s="274" t="s">
        <v>229</v>
      </c>
    </row>
    <row r="5419" spans="1:5" ht="27">
      <c r="A5419" s="271">
        <v>100625</v>
      </c>
      <c r="B5419" s="272" t="s">
        <v>13703</v>
      </c>
      <c r="C5419" s="272" t="s">
        <v>209</v>
      </c>
      <c r="D5419" s="273" t="s">
        <v>23974</v>
      </c>
      <c r="E5419" s="274" t="s">
        <v>229</v>
      </c>
    </row>
    <row r="5420" spans="1:5" ht="27">
      <c r="A5420" s="271">
        <v>101020</v>
      </c>
      <c r="B5420" s="272" t="s">
        <v>10959</v>
      </c>
      <c r="C5420" s="272" t="s">
        <v>2503</v>
      </c>
      <c r="D5420" s="273" t="s">
        <v>23975</v>
      </c>
      <c r="E5420" s="274" t="s">
        <v>229</v>
      </c>
    </row>
    <row r="5421" spans="1:5" ht="27">
      <c r="A5421" s="271">
        <v>101021</v>
      </c>
      <c r="B5421" s="272" t="s">
        <v>10960</v>
      </c>
      <c r="C5421" s="272" t="s">
        <v>2503</v>
      </c>
      <c r="D5421" s="273" t="s">
        <v>23976</v>
      </c>
      <c r="E5421" s="274" t="s">
        <v>229</v>
      </c>
    </row>
    <row r="5422" spans="1:5" ht="27">
      <c r="A5422" s="271">
        <v>101022</v>
      </c>
      <c r="B5422" s="272" t="s">
        <v>10961</v>
      </c>
      <c r="C5422" s="272" t="s">
        <v>2503</v>
      </c>
      <c r="D5422" s="273" t="s">
        <v>23977</v>
      </c>
      <c r="E5422" s="274" t="s">
        <v>229</v>
      </c>
    </row>
    <row r="5423" spans="1:5" ht="27">
      <c r="A5423" s="271">
        <v>101023</v>
      </c>
      <c r="B5423" s="272" t="s">
        <v>10962</v>
      </c>
      <c r="C5423" s="272" t="s">
        <v>2503</v>
      </c>
      <c r="D5423" s="273" t="s">
        <v>23978</v>
      </c>
      <c r="E5423" s="274" t="s">
        <v>229</v>
      </c>
    </row>
    <row r="5424" spans="1:5" ht="27">
      <c r="A5424" s="271">
        <v>101024</v>
      </c>
      <c r="B5424" s="272" t="s">
        <v>10963</v>
      </c>
      <c r="C5424" s="272" t="s">
        <v>2503</v>
      </c>
      <c r="D5424" s="273" t="s">
        <v>23979</v>
      </c>
      <c r="E5424" s="274" t="s">
        <v>229</v>
      </c>
    </row>
    <row r="5425" spans="1:5" ht="27">
      <c r="A5425" s="271">
        <v>101025</v>
      </c>
      <c r="B5425" s="272" t="s">
        <v>10964</v>
      </c>
      <c r="C5425" s="272" t="s">
        <v>2503</v>
      </c>
      <c r="D5425" s="273" t="s">
        <v>23980</v>
      </c>
      <c r="E5425" s="274" t="s">
        <v>229</v>
      </c>
    </row>
    <row r="5426" spans="1:5" ht="27">
      <c r="A5426" s="271">
        <v>101026</v>
      </c>
      <c r="B5426" s="272" t="s">
        <v>10965</v>
      </c>
      <c r="C5426" s="272" t="s">
        <v>2503</v>
      </c>
      <c r="D5426" s="273" t="s">
        <v>23981</v>
      </c>
      <c r="E5426" s="274" t="s">
        <v>229</v>
      </c>
    </row>
    <row r="5427" spans="1:5" ht="27">
      <c r="A5427" s="271">
        <v>101027</v>
      </c>
      <c r="B5427" s="272" t="s">
        <v>10966</v>
      </c>
      <c r="C5427" s="272" t="s">
        <v>2503</v>
      </c>
      <c r="D5427" s="273" t="s">
        <v>23982</v>
      </c>
      <c r="E5427" s="274" t="s">
        <v>229</v>
      </c>
    </row>
    <row r="5428" spans="1:5" ht="27">
      <c r="A5428" s="271">
        <v>88411</v>
      </c>
      <c r="B5428" s="272" t="s">
        <v>2693</v>
      </c>
      <c r="C5428" s="272" t="s">
        <v>193</v>
      </c>
      <c r="D5428" s="273" t="s">
        <v>10012</v>
      </c>
      <c r="E5428" s="274" t="s">
        <v>229</v>
      </c>
    </row>
    <row r="5429" spans="1:5" ht="27">
      <c r="A5429" s="271">
        <v>88412</v>
      </c>
      <c r="B5429" s="272" t="s">
        <v>2694</v>
      </c>
      <c r="C5429" s="272" t="s">
        <v>193</v>
      </c>
      <c r="D5429" s="273" t="s">
        <v>11068</v>
      </c>
      <c r="E5429" s="274" t="s">
        <v>229</v>
      </c>
    </row>
    <row r="5430" spans="1:5" ht="27">
      <c r="A5430" s="271">
        <v>88413</v>
      </c>
      <c r="B5430" s="272" t="s">
        <v>2695</v>
      </c>
      <c r="C5430" s="272" t="s">
        <v>193</v>
      </c>
      <c r="D5430" s="273" t="s">
        <v>11258</v>
      </c>
      <c r="E5430" s="274" t="s">
        <v>229</v>
      </c>
    </row>
    <row r="5431" spans="1:5" ht="27">
      <c r="A5431" s="271">
        <v>88414</v>
      </c>
      <c r="B5431" s="272" t="s">
        <v>2696</v>
      </c>
      <c r="C5431" s="272" t="s">
        <v>193</v>
      </c>
      <c r="D5431" s="273" t="s">
        <v>9846</v>
      </c>
      <c r="E5431" s="274" t="s">
        <v>229</v>
      </c>
    </row>
    <row r="5432" spans="1:5" ht="13.5">
      <c r="A5432" s="271">
        <v>88415</v>
      </c>
      <c r="B5432" s="272" t="s">
        <v>2697</v>
      </c>
      <c r="C5432" s="272" t="s">
        <v>193</v>
      </c>
      <c r="D5432" s="273" t="s">
        <v>20321</v>
      </c>
      <c r="E5432" s="274" t="s">
        <v>229</v>
      </c>
    </row>
    <row r="5433" spans="1:5" ht="27">
      <c r="A5433" s="271">
        <v>88416</v>
      </c>
      <c r="B5433" s="272" t="s">
        <v>2698</v>
      </c>
      <c r="C5433" s="272" t="s">
        <v>193</v>
      </c>
      <c r="D5433" s="273" t="s">
        <v>20041</v>
      </c>
      <c r="E5433" s="274" t="s">
        <v>229</v>
      </c>
    </row>
    <row r="5434" spans="1:5" ht="27">
      <c r="A5434" s="271">
        <v>88417</v>
      </c>
      <c r="B5434" s="272" t="s">
        <v>2699</v>
      </c>
      <c r="C5434" s="272" t="s">
        <v>193</v>
      </c>
      <c r="D5434" s="273" t="s">
        <v>14091</v>
      </c>
      <c r="E5434" s="274" t="s">
        <v>229</v>
      </c>
    </row>
    <row r="5435" spans="1:5" ht="27">
      <c r="A5435" s="271">
        <v>88420</v>
      </c>
      <c r="B5435" s="272" t="s">
        <v>2700</v>
      </c>
      <c r="C5435" s="272" t="s">
        <v>193</v>
      </c>
      <c r="D5435" s="273" t="s">
        <v>21142</v>
      </c>
      <c r="E5435" s="274" t="s">
        <v>229</v>
      </c>
    </row>
    <row r="5436" spans="1:5" ht="27">
      <c r="A5436" s="271">
        <v>88421</v>
      </c>
      <c r="B5436" s="272" t="s">
        <v>2701</v>
      </c>
      <c r="C5436" s="272" t="s">
        <v>193</v>
      </c>
      <c r="D5436" s="273" t="s">
        <v>21651</v>
      </c>
      <c r="E5436" s="274" t="s">
        <v>229</v>
      </c>
    </row>
    <row r="5437" spans="1:5" ht="27">
      <c r="A5437" s="271">
        <v>88423</v>
      </c>
      <c r="B5437" s="272" t="s">
        <v>2702</v>
      </c>
      <c r="C5437" s="272" t="s">
        <v>193</v>
      </c>
      <c r="D5437" s="273" t="s">
        <v>10665</v>
      </c>
      <c r="E5437" s="274" t="s">
        <v>229</v>
      </c>
    </row>
    <row r="5438" spans="1:5" ht="27">
      <c r="A5438" s="271">
        <v>88424</v>
      </c>
      <c r="B5438" s="272" t="s">
        <v>2703</v>
      </c>
      <c r="C5438" s="272" t="s">
        <v>193</v>
      </c>
      <c r="D5438" s="273" t="s">
        <v>10666</v>
      </c>
      <c r="E5438" s="274" t="s">
        <v>229</v>
      </c>
    </row>
    <row r="5439" spans="1:5" ht="27">
      <c r="A5439" s="271">
        <v>88426</v>
      </c>
      <c r="B5439" s="272" t="s">
        <v>2704</v>
      </c>
      <c r="C5439" s="272" t="s">
        <v>193</v>
      </c>
      <c r="D5439" s="273" t="s">
        <v>23983</v>
      </c>
      <c r="E5439" s="274" t="s">
        <v>229</v>
      </c>
    </row>
    <row r="5440" spans="1:5" ht="27">
      <c r="A5440" s="271">
        <v>88428</v>
      </c>
      <c r="B5440" s="272" t="s">
        <v>2705</v>
      </c>
      <c r="C5440" s="272" t="s">
        <v>193</v>
      </c>
      <c r="D5440" s="273" t="s">
        <v>19791</v>
      </c>
      <c r="E5440" s="274" t="s">
        <v>229</v>
      </c>
    </row>
    <row r="5441" spans="1:5" ht="27">
      <c r="A5441" s="271">
        <v>88429</v>
      </c>
      <c r="B5441" s="272" t="s">
        <v>2706</v>
      </c>
      <c r="C5441" s="272" t="s">
        <v>193</v>
      </c>
      <c r="D5441" s="273" t="s">
        <v>22611</v>
      </c>
      <c r="E5441" s="274" t="s">
        <v>229</v>
      </c>
    </row>
    <row r="5442" spans="1:5" ht="27">
      <c r="A5442" s="271">
        <v>88431</v>
      </c>
      <c r="B5442" s="272" t="s">
        <v>2707</v>
      </c>
      <c r="C5442" s="272" t="s">
        <v>193</v>
      </c>
      <c r="D5442" s="273" t="s">
        <v>15922</v>
      </c>
      <c r="E5442" s="274" t="s">
        <v>229</v>
      </c>
    </row>
    <row r="5443" spans="1:5" ht="27">
      <c r="A5443" s="271">
        <v>88432</v>
      </c>
      <c r="B5443" s="272" t="s">
        <v>2708</v>
      </c>
      <c r="C5443" s="272" t="s">
        <v>193</v>
      </c>
      <c r="D5443" s="273" t="s">
        <v>23984</v>
      </c>
      <c r="E5443" s="274" t="s">
        <v>229</v>
      </c>
    </row>
    <row r="5444" spans="1:5" ht="13.5">
      <c r="A5444" s="271">
        <v>88484</v>
      </c>
      <c r="B5444" s="272" t="s">
        <v>2709</v>
      </c>
      <c r="C5444" s="272" t="s">
        <v>193</v>
      </c>
      <c r="D5444" s="273" t="s">
        <v>9889</v>
      </c>
      <c r="E5444" s="274" t="s">
        <v>229</v>
      </c>
    </row>
    <row r="5445" spans="1:5" ht="13.5">
      <c r="A5445" s="271">
        <v>88485</v>
      </c>
      <c r="B5445" s="272" t="s">
        <v>225</v>
      </c>
      <c r="C5445" s="272" t="s">
        <v>193</v>
      </c>
      <c r="D5445" s="273" t="s">
        <v>9888</v>
      </c>
      <c r="E5445" s="274" t="s">
        <v>229</v>
      </c>
    </row>
    <row r="5446" spans="1:5" ht="13.5">
      <c r="A5446" s="271">
        <v>88488</v>
      </c>
      <c r="B5446" s="272" t="s">
        <v>221</v>
      </c>
      <c r="C5446" s="272" t="s">
        <v>193</v>
      </c>
      <c r="D5446" s="273" t="s">
        <v>11043</v>
      </c>
      <c r="E5446" s="274" t="s">
        <v>229</v>
      </c>
    </row>
    <row r="5447" spans="1:5" ht="27">
      <c r="A5447" s="271">
        <v>88489</v>
      </c>
      <c r="B5447" s="272" t="s">
        <v>227</v>
      </c>
      <c r="C5447" s="272" t="s">
        <v>193</v>
      </c>
      <c r="D5447" s="273" t="s">
        <v>11393</v>
      </c>
      <c r="E5447" s="274" t="s">
        <v>229</v>
      </c>
    </row>
    <row r="5448" spans="1:5" ht="27">
      <c r="A5448" s="271">
        <v>88492</v>
      </c>
      <c r="B5448" s="272" t="s">
        <v>2710</v>
      </c>
      <c r="C5448" s="272" t="s">
        <v>193</v>
      </c>
      <c r="D5448" s="273" t="s">
        <v>16021</v>
      </c>
      <c r="E5448" s="274" t="s">
        <v>229</v>
      </c>
    </row>
    <row r="5449" spans="1:5" ht="27">
      <c r="A5449" s="271">
        <v>88493</v>
      </c>
      <c r="B5449" s="272" t="s">
        <v>2711</v>
      </c>
      <c r="C5449" s="272" t="s">
        <v>193</v>
      </c>
      <c r="D5449" s="273" t="s">
        <v>10546</v>
      </c>
      <c r="E5449" s="274" t="s">
        <v>229</v>
      </c>
    </row>
    <row r="5450" spans="1:5" ht="13.5">
      <c r="A5450" s="271">
        <v>88494</v>
      </c>
      <c r="B5450" s="272" t="s">
        <v>2712</v>
      </c>
      <c r="C5450" s="272" t="s">
        <v>193</v>
      </c>
      <c r="D5450" s="275" t="s">
        <v>22394</v>
      </c>
      <c r="E5450" s="274" t="s">
        <v>229</v>
      </c>
    </row>
    <row r="5451" spans="1:5" ht="13.5">
      <c r="A5451" s="271">
        <v>88495</v>
      </c>
      <c r="B5451" s="272" t="s">
        <v>2713</v>
      </c>
      <c r="C5451" s="272" t="s">
        <v>193</v>
      </c>
      <c r="D5451" s="275" t="s">
        <v>10994</v>
      </c>
      <c r="E5451" s="274" t="s">
        <v>229</v>
      </c>
    </row>
    <row r="5452" spans="1:5" ht="13.5">
      <c r="A5452" s="271">
        <v>88496</v>
      </c>
      <c r="B5452" s="272" t="s">
        <v>220</v>
      </c>
      <c r="C5452" s="272" t="s">
        <v>193</v>
      </c>
      <c r="D5452" s="275" t="s">
        <v>12267</v>
      </c>
      <c r="E5452" s="274" t="s">
        <v>229</v>
      </c>
    </row>
    <row r="5453" spans="1:5" ht="13.5">
      <c r="A5453" s="271">
        <v>88497</v>
      </c>
      <c r="B5453" s="272" t="s">
        <v>224</v>
      </c>
      <c r="C5453" s="272" t="s">
        <v>193</v>
      </c>
      <c r="D5453" s="275" t="s">
        <v>10093</v>
      </c>
      <c r="E5453" s="274" t="s">
        <v>229</v>
      </c>
    </row>
    <row r="5454" spans="1:5" ht="13.5">
      <c r="A5454" s="271">
        <v>95305</v>
      </c>
      <c r="B5454" s="272" t="s">
        <v>2714</v>
      </c>
      <c r="C5454" s="272" t="s">
        <v>193</v>
      </c>
      <c r="D5454" s="275" t="s">
        <v>16287</v>
      </c>
      <c r="E5454" s="274" t="s">
        <v>229</v>
      </c>
    </row>
    <row r="5455" spans="1:5" ht="13.5">
      <c r="A5455" s="271">
        <v>95306</v>
      </c>
      <c r="B5455" s="272" t="s">
        <v>2715</v>
      </c>
      <c r="C5455" s="272" t="s">
        <v>193</v>
      </c>
      <c r="D5455" s="275" t="s">
        <v>10315</v>
      </c>
      <c r="E5455" s="274" t="s">
        <v>229</v>
      </c>
    </row>
    <row r="5456" spans="1:5" ht="27">
      <c r="A5456" s="271">
        <v>95622</v>
      </c>
      <c r="B5456" s="272" t="s">
        <v>2716</v>
      </c>
      <c r="C5456" s="272" t="s">
        <v>193</v>
      </c>
      <c r="D5456" s="273" t="s">
        <v>19283</v>
      </c>
      <c r="E5456" s="274" t="s">
        <v>229</v>
      </c>
    </row>
    <row r="5457" spans="1:5" ht="27">
      <c r="A5457" s="271">
        <v>95623</v>
      </c>
      <c r="B5457" s="272" t="s">
        <v>2717</v>
      </c>
      <c r="C5457" s="272" t="s">
        <v>193</v>
      </c>
      <c r="D5457" s="273" t="s">
        <v>10994</v>
      </c>
      <c r="E5457" s="274" t="s">
        <v>229</v>
      </c>
    </row>
    <row r="5458" spans="1:5" ht="27">
      <c r="A5458" s="271">
        <v>95624</v>
      </c>
      <c r="B5458" s="272" t="s">
        <v>2718</v>
      </c>
      <c r="C5458" s="272" t="s">
        <v>193</v>
      </c>
      <c r="D5458" s="273" t="s">
        <v>15840</v>
      </c>
      <c r="E5458" s="274" t="s">
        <v>229</v>
      </c>
    </row>
    <row r="5459" spans="1:5" ht="27">
      <c r="A5459" s="271">
        <v>95625</v>
      </c>
      <c r="B5459" s="272" t="s">
        <v>2719</v>
      </c>
      <c r="C5459" s="272" t="s">
        <v>193</v>
      </c>
      <c r="D5459" s="273" t="s">
        <v>16558</v>
      </c>
      <c r="E5459" s="274" t="s">
        <v>229</v>
      </c>
    </row>
    <row r="5460" spans="1:5" ht="27">
      <c r="A5460" s="271">
        <v>95626</v>
      </c>
      <c r="B5460" s="272" t="s">
        <v>2720</v>
      </c>
      <c r="C5460" s="272" t="s">
        <v>193</v>
      </c>
      <c r="D5460" s="273" t="s">
        <v>10090</v>
      </c>
      <c r="E5460" s="274" t="s">
        <v>229</v>
      </c>
    </row>
    <row r="5461" spans="1:5" ht="27">
      <c r="A5461" s="271">
        <v>96126</v>
      </c>
      <c r="B5461" s="272" t="s">
        <v>2721</v>
      </c>
      <c r="C5461" s="272" t="s">
        <v>193</v>
      </c>
      <c r="D5461" s="273" t="s">
        <v>16668</v>
      </c>
      <c r="E5461" s="274" t="s">
        <v>229</v>
      </c>
    </row>
    <row r="5462" spans="1:5" ht="27">
      <c r="A5462" s="271">
        <v>96127</v>
      </c>
      <c r="B5462" s="272" t="s">
        <v>2722</v>
      </c>
      <c r="C5462" s="272" t="s">
        <v>193</v>
      </c>
      <c r="D5462" s="273" t="s">
        <v>12139</v>
      </c>
      <c r="E5462" s="274" t="s">
        <v>229</v>
      </c>
    </row>
    <row r="5463" spans="1:5" ht="27">
      <c r="A5463" s="271">
        <v>96128</v>
      </c>
      <c r="B5463" s="272" t="s">
        <v>2723</v>
      </c>
      <c r="C5463" s="272" t="s">
        <v>193</v>
      </c>
      <c r="D5463" s="273" t="s">
        <v>23985</v>
      </c>
      <c r="E5463" s="274" t="s">
        <v>229</v>
      </c>
    </row>
    <row r="5464" spans="1:5" ht="27">
      <c r="A5464" s="271">
        <v>96129</v>
      </c>
      <c r="B5464" s="272" t="s">
        <v>2724</v>
      </c>
      <c r="C5464" s="272" t="s">
        <v>193</v>
      </c>
      <c r="D5464" s="273" t="s">
        <v>16545</v>
      </c>
      <c r="E5464" s="274" t="s">
        <v>229</v>
      </c>
    </row>
    <row r="5465" spans="1:5" ht="27">
      <c r="A5465" s="271">
        <v>96130</v>
      </c>
      <c r="B5465" s="272" t="s">
        <v>2725</v>
      </c>
      <c r="C5465" s="272" t="s">
        <v>193</v>
      </c>
      <c r="D5465" s="273" t="s">
        <v>23986</v>
      </c>
      <c r="E5465" s="274" t="s">
        <v>229</v>
      </c>
    </row>
    <row r="5466" spans="1:5" ht="27">
      <c r="A5466" s="271">
        <v>96131</v>
      </c>
      <c r="B5466" s="272" t="s">
        <v>2726</v>
      </c>
      <c r="C5466" s="272" t="s">
        <v>193</v>
      </c>
      <c r="D5466" s="273" t="s">
        <v>10758</v>
      </c>
      <c r="E5466" s="274" t="s">
        <v>229</v>
      </c>
    </row>
    <row r="5467" spans="1:5" ht="27">
      <c r="A5467" s="271">
        <v>96132</v>
      </c>
      <c r="B5467" s="272" t="s">
        <v>2727</v>
      </c>
      <c r="C5467" s="272" t="s">
        <v>193</v>
      </c>
      <c r="D5467" s="273" t="s">
        <v>23087</v>
      </c>
      <c r="E5467" s="274" t="s">
        <v>229</v>
      </c>
    </row>
    <row r="5468" spans="1:5" ht="27">
      <c r="A5468" s="271">
        <v>96133</v>
      </c>
      <c r="B5468" s="272" t="s">
        <v>2728</v>
      </c>
      <c r="C5468" s="272" t="s">
        <v>193</v>
      </c>
      <c r="D5468" s="273" t="s">
        <v>23987</v>
      </c>
      <c r="E5468" s="274" t="s">
        <v>229</v>
      </c>
    </row>
    <row r="5469" spans="1:5" ht="27">
      <c r="A5469" s="271">
        <v>96134</v>
      </c>
      <c r="B5469" s="272" t="s">
        <v>2729</v>
      </c>
      <c r="C5469" s="272" t="s">
        <v>193</v>
      </c>
      <c r="D5469" s="273" t="s">
        <v>16438</v>
      </c>
      <c r="E5469" s="274" t="s">
        <v>229</v>
      </c>
    </row>
    <row r="5470" spans="1:5" ht="27">
      <c r="A5470" s="271">
        <v>96135</v>
      </c>
      <c r="B5470" s="272" t="s">
        <v>2730</v>
      </c>
      <c r="C5470" s="272" t="s">
        <v>193</v>
      </c>
      <c r="D5470" s="273" t="s">
        <v>23985</v>
      </c>
      <c r="E5470" s="274" t="s">
        <v>229</v>
      </c>
    </row>
    <row r="5471" spans="1:5" ht="13.5">
      <c r="A5471" s="271">
        <v>102193</v>
      </c>
      <c r="B5471" s="272" t="s">
        <v>13704</v>
      </c>
      <c r="C5471" s="272" t="s">
        <v>193</v>
      </c>
      <c r="D5471" s="273" t="s">
        <v>12374</v>
      </c>
      <c r="E5471" s="274" t="s">
        <v>229</v>
      </c>
    </row>
    <row r="5472" spans="1:5" ht="13.5">
      <c r="A5472" s="271">
        <v>102194</v>
      </c>
      <c r="B5472" s="272" t="s">
        <v>13705</v>
      </c>
      <c r="C5472" s="272" t="s">
        <v>193</v>
      </c>
      <c r="D5472" s="273" t="s">
        <v>10512</v>
      </c>
      <c r="E5472" s="274" t="s">
        <v>229</v>
      </c>
    </row>
    <row r="5473" spans="1:5" ht="13.5">
      <c r="A5473" s="271">
        <v>102197</v>
      </c>
      <c r="B5473" s="272" t="s">
        <v>13706</v>
      </c>
      <c r="C5473" s="272" t="s">
        <v>193</v>
      </c>
      <c r="D5473" s="273" t="s">
        <v>12153</v>
      </c>
      <c r="E5473" s="274" t="s">
        <v>229</v>
      </c>
    </row>
    <row r="5474" spans="1:5" ht="27">
      <c r="A5474" s="271">
        <v>102200</v>
      </c>
      <c r="B5474" s="272" t="s">
        <v>13707</v>
      </c>
      <c r="C5474" s="272" t="s">
        <v>193</v>
      </c>
      <c r="D5474" s="273" t="s">
        <v>14118</v>
      </c>
      <c r="E5474" s="274" t="s">
        <v>229</v>
      </c>
    </row>
    <row r="5475" spans="1:5" ht="27">
      <c r="A5475" s="271">
        <v>102202</v>
      </c>
      <c r="B5475" s="272" t="s">
        <v>13708</v>
      </c>
      <c r="C5475" s="272" t="s">
        <v>193</v>
      </c>
      <c r="D5475" s="273" t="s">
        <v>19706</v>
      </c>
      <c r="E5475" s="274" t="s">
        <v>229</v>
      </c>
    </row>
    <row r="5476" spans="1:5" ht="27">
      <c r="A5476" s="271">
        <v>102203</v>
      </c>
      <c r="B5476" s="272" t="s">
        <v>13709</v>
      </c>
      <c r="C5476" s="272" t="s">
        <v>193</v>
      </c>
      <c r="D5476" s="273" t="s">
        <v>10540</v>
      </c>
      <c r="E5476" s="274" t="s">
        <v>229</v>
      </c>
    </row>
    <row r="5477" spans="1:5" ht="13.5">
      <c r="A5477" s="271">
        <v>102204</v>
      </c>
      <c r="B5477" s="272" t="s">
        <v>13710</v>
      </c>
      <c r="C5477" s="272" t="s">
        <v>193</v>
      </c>
      <c r="D5477" s="273" t="s">
        <v>10195</v>
      </c>
      <c r="E5477" s="274" t="s">
        <v>229</v>
      </c>
    </row>
    <row r="5478" spans="1:5" ht="27">
      <c r="A5478" s="271">
        <v>102205</v>
      </c>
      <c r="B5478" s="272" t="s">
        <v>13711</v>
      </c>
      <c r="C5478" s="272" t="s">
        <v>193</v>
      </c>
      <c r="D5478" s="273" t="s">
        <v>14056</v>
      </c>
      <c r="E5478" s="274" t="s">
        <v>229</v>
      </c>
    </row>
    <row r="5479" spans="1:5" ht="13.5">
      <c r="A5479" s="271">
        <v>102207</v>
      </c>
      <c r="B5479" s="272" t="s">
        <v>13712</v>
      </c>
      <c r="C5479" s="272" t="s">
        <v>193</v>
      </c>
      <c r="D5479" s="273" t="s">
        <v>11526</v>
      </c>
      <c r="E5479" s="274" t="s">
        <v>229</v>
      </c>
    </row>
    <row r="5480" spans="1:5" ht="27">
      <c r="A5480" s="271">
        <v>102208</v>
      </c>
      <c r="B5480" s="272" t="s">
        <v>13713</v>
      </c>
      <c r="C5480" s="272" t="s">
        <v>193</v>
      </c>
      <c r="D5480" s="273" t="s">
        <v>10232</v>
      </c>
      <c r="E5480" s="274" t="s">
        <v>229</v>
      </c>
    </row>
    <row r="5481" spans="1:5" ht="27">
      <c r="A5481" s="271">
        <v>102209</v>
      </c>
      <c r="B5481" s="272" t="s">
        <v>13714</v>
      </c>
      <c r="C5481" s="272" t="s">
        <v>193</v>
      </c>
      <c r="D5481" s="273" t="s">
        <v>15974</v>
      </c>
      <c r="E5481" s="274" t="s">
        <v>229</v>
      </c>
    </row>
    <row r="5482" spans="1:5" ht="27">
      <c r="A5482" s="271">
        <v>102210</v>
      </c>
      <c r="B5482" s="272" t="s">
        <v>13715</v>
      </c>
      <c r="C5482" s="272" t="s">
        <v>193</v>
      </c>
      <c r="D5482" s="273" t="s">
        <v>16003</v>
      </c>
      <c r="E5482" s="274" t="s">
        <v>229</v>
      </c>
    </row>
    <row r="5483" spans="1:5" ht="27">
      <c r="A5483" s="271">
        <v>102213</v>
      </c>
      <c r="B5483" s="272" t="s">
        <v>13716</v>
      </c>
      <c r="C5483" s="272" t="s">
        <v>193</v>
      </c>
      <c r="D5483" s="273" t="s">
        <v>10577</v>
      </c>
      <c r="E5483" s="274" t="s">
        <v>229</v>
      </c>
    </row>
    <row r="5484" spans="1:5" ht="13.5">
      <c r="A5484" s="271">
        <v>102214</v>
      </c>
      <c r="B5484" s="272" t="s">
        <v>13717</v>
      </c>
      <c r="C5484" s="272" t="s">
        <v>193</v>
      </c>
      <c r="D5484" s="273" t="s">
        <v>10665</v>
      </c>
      <c r="E5484" s="274" t="s">
        <v>229</v>
      </c>
    </row>
    <row r="5485" spans="1:5" ht="27">
      <c r="A5485" s="271">
        <v>102215</v>
      </c>
      <c r="B5485" s="272" t="s">
        <v>13718</v>
      </c>
      <c r="C5485" s="272" t="s">
        <v>193</v>
      </c>
      <c r="D5485" s="273" t="s">
        <v>14118</v>
      </c>
      <c r="E5485" s="274" t="s">
        <v>229</v>
      </c>
    </row>
    <row r="5486" spans="1:5" ht="13.5">
      <c r="A5486" s="271">
        <v>102217</v>
      </c>
      <c r="B5486" s="272" t="s">
        <v>13719</v>
      </c>
      <c r="C5486" s="272" t="s">
        <v>193</v>
      </c>
      <c r="D5486" s="273" t="s">
        <v>10290</v>
      </c>
      <c r="E5486" s="274" t="s">
        <v>229</v>
      </c>
    </row>
    <row r="5487" spans="1:5" ht="27">
      <c r="A5487" s="271">
        <v>102218</v>
      </c>
      <c r="B5487" s="272" t="s">
        <v>13720</v>
      </c>
      <c r="C5487" s="272" t="s">
        <v>193</v>
      </c>
      <c r="D5487" s="275" t="s">
        <v>20125</v>
      </c>
      <c r="E5487" s="274" t="s">
        <v>229</v>
      </c>
    </row>
    <row r="5488" spans="1:5" ht="27">
      <c r="A5488" s="271">
        <v>102219</v>
      </c>
      <c r="B5488" s="272" t="s">
        <v>13721</v>
      </c>
      <c r="C5488" s="272" t="s">
        <v>193</v>
      </c>
      <c r="D5488" s="275" t="s">
        <v>10093</v>
      </c>
      <c r="E5488" s="274" t="s">
        <v>229</v>
      </c>
    </row>
    <row r="5489" spans="1:5" ht="27">
      <c r="A5489" s="271">
        <v>102220</v>
      </c>
      <c r="B5489" s="272" t="s">
        <v>13722</v>
      </c>
      <c r="C5489" s="272" t="s">
        <v>193</v>
      </c>
      <c r="D5489" s="275" t="s">
        <v>19283</v>
      </c>
      <c r="E5489" s="274" t="s">
        <v>229</v>
      </c>
    </row>
    <row r="5490" spans="1:5" ht="27">
      <c r="A5490" s="271">
        <v>102223</v>
      </c>
      <c r="B5490" s="272" t="s">
        <v>13723</v>
      </c>
      <c r="C5490" s="272" t="s">
        <v>193</v>
      </c>
      <c r="D5490" s="275" t="s">
        <v>10780</v>
      </c>
      <c r="E5490" s="274" t="s">
        <v>229</v>
      </c>
    </row>
    <row r="5491" spans="1:5" ht="13.5">
      <c r="A5491" s="271">
        <v>102224</v>
      </c>
      <c r="B5491" s="272" t="s">
        <v>13724</v>
      </c>
      <c r="C5491" s="272" t="s">
        <v>193</v>
      </c>
      <c r="D5491" s="275" t="s">
        <v>16485</v>
      </c>
      <c r="E5491" s="274" t="s">
        <v>229</v>
      </c>
    </row>
    <row r="5492" spans="1:5" ht="27">
      <c r="A5492" s="271">
        <v>102225</v>
      </c>
      <c r="B5492" s="272" t="s">
        <v>13725</v>
      </c>
      <c r="C5492" s="272" t="s">
        <v>193</v>
      </c>
      <c r="D5492" s="275" t="s">
        <v>11019</v>
      </c>
      <c r="E5492" s="274" t="s">
        <v>229</v>
      </c>
    </row>
    <row r="5493" spans="1:5" ht="13.5">
      <c r="A5493" s="271">
        <v>102227</v>
      </c>
      <c r="B5493" s="272" t="s">
        <v>13726</v>
      </c>
      <c r="C5493" s="272" t="s">
        <v>193</v>
      </c>
      <c r="D5493" s="275" t="s">
        <v>16693</v>
      </c>
      <c r="E5493" s="274" t="s">
        <v>229</v>
      </c>
    </row>
    <row r="5494" spans="1:5" ht="27">
      <c r="A5494" s="271">
        <v>102228</v>
      </c>
      <c r="B5494" s="272" t="s">
        <v>13727</v>
      </c>
      <c r="C5494" s="272" t="s">
        <v>193</v>
      </c>
      <c r="D5494" s="273" t="s">
        <v>20148</v>
      </c>
      <c r="E5494" s="274" t="s">
        <v>229</v>
      </c>
    </row>
    <row r="5495" spans="1:5" ht="27">
      <c r="A5495" s="271">
        <v>102229</v>
      </c>
      <c r="B5495" s="272" t="s">
        <v>13728</v>
      </c>
      <c r="C5495" s="272" t="s">
        <v>193</v>
      </c>
      <c r="D5495" s="273" t="s">
        <v>23687</v>
      </c>
      <c r="E5495" s="274" t="s">
        <v>229</v>
      </c>
    </row>
    <row r="5496" spans="1:5" ht="27">
      <c r="A5496" s="271">
        <v>102230</v>
      </c>
      <c r="B5496" s="272" t="s">
        <v>13729</v>
      </c>
      <c r="C5496" s="272" t="s">
        <v>193</v>
      </c>
      <c r="D5496" s="273" t="s">
        <v>10607</v>
      </c>
      <c r="E5496" s="274" t="s">
        <v>229</v>
      </c>
    </row>
    <row r="5497" spans="1:5" ht="13.5">
      <c r="A5497" s="271">
        <v>102233</v>
      </c>
      <c r="B5497" s="272" t="s">
        <v>13730</v>
      </c>
      <c r="C5497" s="272" t="s">
        <v>193</v>
      </c>
      <c r="D5497" s="273" t="s">
        <v>15839</v>
      </c>
      <c r="E5497" s="274" t="s">
        <v>229</v>
      </c>
    </row>
    <row r="5498" spans="1:5" ht="13.5">
      <c r="A5498" s="271">
        <v>102234</v>
      </c>
      <c r="B5498" s="272" t="s">
        <v>13731</v>
      </c>
      <c r="C5498" s="272" t="s">
        <v>193</v>
      </c>
      <c r="D5498" s="273" t="s">
        <v>11534</v>
      </c>
      <c r="E5498" s="274" t="s">
        <v>229</v>
      </c>
    </row>
    <row r="5499" spans="1:5" ht="13.5">
      <c r="A5499" s="271">
        <v>100716</v>
      </c>
      <c r="B5499" s="272" t="s">
        <v>10981</v>
      </c>
      <c r="C5499" s="272" t="s">
        <v>193</v>
      </c>
      <c r="D5499" s="273" t="s">
        <v>11511</v>
      </c>
      <c r="E5499" s="274" t="s">
        <v>229</v>
      </c>
    </row>
    <row r="5500" spans="1:5" ht="13.5">
      <c r="A5500" s="271">
        <v>100717</v>
      </c>
      <c r="B5500" s="272" t="s">
        <v>10982</v>
      </c>
      <c r="C5500" s="272" t="s">
        <v>193</v>
      </c>
      <c r="D5500" s="273" t="s">
        <v>10910</v>
      </c>
      <c r="E5500" s="274" t="s">
        <v>229</v>
      </c>
    </row>
    <row r="5501" spans="1:5" ht="13.5">
      <c r="A5501" s="271">
        <v>100718</v>
      </c>
      <c r="B5501" s="272" t="s">
        <v>10983</v>
      </c>
      <c r="C5501" s="272" t="s">
        <v>5</v>
      </c>
      <c r="D5501" s="273" t="s">
        <v>9765</v>
      </c>
      <c r="E5501" s="274" t="s">
        <v>229</v>
      </c>
    </row>
    <row r="5502" spans="1:5" ht="27">
      <c r="A5502" s="271">
        <v>100719</v>
      </c>
      <c r="B5502" s="272" t="s">
        <v>23988</v>
      </c>
      <c r="C5502" s="272" t="s">
        <v>193</v>
      </c>
      <c r="D5502" s="273" t="s">
        <v>9966</v>
      </c>
      <c r="E5502" s="274" t="s">
        <v>229</v>
      </c>
    </row>
    <row r="5503" spans="1:5" ht="27">
      <c r="A5503" s="271">
        <v>100720</v>
      </c>
      <c r="B5503" s="272" t="s">
        <v>10984</v>
      </c>
      <c r="C5503" s="272" t="s">
        <v>193</v>
      </c>
      <c r="D5503" s="273" t="s">
        <v>10195</v>
      </c>
      <c r="E5503" s="274" t="s">
        <v>229</v>
      </c>
    </row>
    <row r="5504" spans="1:5" ht="27">
      <c r="A5504" s="271">
        <v>100721</v>
      </c>
      <c r="B5504" s="272" t="s">
        <v>23989</v>
      </c>
      <c r="C5504" s="272" t="s">
        <v>193</v>
      </c>
      <c r="D5504" s="273" t="s">
        <v>12354</v>
      </c>
      <c r="E5504" s="274" t="s">
        <v>229</v>
      </c>
    </row>
    <row r="5505" spans="1:5" ht="27">
      <c r="A5505" s="271">
        <v>100722</v>
      </c>
      <c r="B5505" s="272" t="s">
        <v>10986</v>
      </c>
      <c r="C5505" s="272" t="s">
        <v>193</v>
      </c>
      <c r="D5505" s="273" t="s">
        <v>11249</v>
      </c>
      <c r="E5505" s="274" t="s">
        <v>229</v>
      </c>
    </row>
    <row r="5506" spans="1:5" ht="40.5">
      <c r="A5506" s="271">
        <v>100724</v>
      </c>
      <c r="B5506" s="272" t="s">
        <v>10988</v>
      </c>
      <c r="C5506" s="272" t="s">
        <v>193</v>
      </c>
      <c r="D5506" s="273" t="s">
        <v>14120</v>
      </c>
      <c r="E5506" s="274" t="s">
        <v>229</v>
      </c>
    </row>
    <row r="5507" spans="1:5" ht="40.5">
      <c r="A5507" s="271">
        <v>100725</v>
      </c>
      <c r="B5507" s="272" t="s">
        <v>23990</v>
      </c>
      <c r="C5507" s="272" t="s">
        <v>193</v>
      </c>
      <c r="D5507" s="273" t="s">
        <v>11249</v>
      </c>
      <c r="E5507" s="274" t="s">
        <v>229</v>
      </c>
    </row>
    <row r="5508" spans="1:5" ht="40.5">
      <c r="A5508" s="271">
        <v>100726</v>
      </c>
      <c r="B5508" s="272" t="s">
        <v>10989</v>
      </c>
      <c r="C5508" s="272" t="s">
        <v>193</v>
      </c>
      <c r="D5508" s="275" t="s">
        <v>23991</v>
      </c>
      <c r="E5508" s="274" t="s">
        <v>229</v>
      </c>
    </row>
    <row r="5509" spans="1:5" ht="27">
      <c r="A5509" s="271">
        <v>100727</v>
      </c>
      <c r="B5509" s="272" t="s">
        <v>23992</v>
      </c>
      <c r="C5509" s="272" t="s">
        <v>193</v>
      </c>
      <c r="D5509" s="275" t="s">
        <v>11270</v>
      </c>
      <c r="E5509" s="274" t="s">
        <v>229</v>
      </c>
    </row>
    <row r="5510" spans="1:5" ht="27">
      <c r="A5510" s="271">
        <v>100728</v>
      </c>
      <c r="B5510" s="272" t="s">
        <v>10990</v>
      </c>
      <c r="C5510" s="272" t="s">
        <v>193</v>
      </c>
      <c r="D5510" s="275" t="s">
        <v>14237</v>
      </c>
      <c r="E5510" s="274" t="s">
        <v>229</v>
      </c>
    </row>
    <row r="5511" spans="1:5" ht="27">
      <c r="A5511" s="271">
        <v>100729</v>
      </c>
      <c r="B5511" s="272" t="s">
        <v>23993</v>
      </c>
      <c r="C5511" s="272" t="s">
        <v>193</v>
      </c>
      <c r="D5511" s="273" t="s">
        <v>10095</v>
      </c>
      <c r="E5511" s="274" t="s">
        <v>229</v>
      </c>
    </row>
    <row r="5512" spans="1:5" ht="27">
      <c r="A5512" s="271">
        <v>100730</v>
      </c>
      <c r="B5512" s="272" t="s">
        <v>10992</v>
      </c>
      <c r="C5512" s="272" t="s">
        <v>193</v>
      </c>
      <c r="D5512" s="273" t="s">
        <v>9766</v>
      </c>
      <c r="E5512" s="274" t="s">
        <v>229</v>
      </c>
    </row>
    <row r="5513" spans="1:5" ht="27">
      <c r="A5513" s="271">
        <v>100733</v>
      </c>
      <c r="B5513" s="272" t="s">
        <v>23994</v>
      </c>
      <c r="C5513" s="272" t="s">
        <v>193</v>
      </c>
      <c r="D5513" s="273" t="s">
        <v>10600</v>
      </c>
      <c r="E5513" s="274" t="s">
        <v>229</v>
      </c>
    </row>
    <row r="5514" spans="1:5" ht="27">
      <c r="A5514" s="271">
        <v>100734</v>
      </c>
      <c r="B5514" s="272" t="s">
        <v>10995</v>
      </c>
      <c r="C5514" s="272" t="s">
        <v>193</v>
      </c>
      <c r="D5514" s="273" t="s">
        <v>20118</v>
      </c>
      <c r="E5514" s="274" t="s">
        <v>229</v>
      </c>
    </row>
    <row r="5515" spans="1:5" ht="27">
      <c r="A5515" s="271">
        <v>100735</v>
      </c>
      <c r="B5515" s="272" t="s">
        <v>23995</v>
      </c>
      <c r="C5515" s="272" t="s">
        <v>193</v>
      </c>
      <c r="D5515" s="273" t="s">
        <v>10556</v>
      </c>
      <c r="E5515" s="274" t="s">
        <v>229</v>
      </c>
    </row>
    <row r="5516" spans="1:5" ht="27">
      <c r="A5516" s="271">
        <v>100736</v>
      </c>
      <c r="B5516" s="272" t="s">
        <v>10996</v>
      </c>
      <c r="C5516" s="272" t="s">
        <v>193</v>
      </c>
      <c r="D5516" s="273" t="s">
        <v>12369</v>
      </c>
      <c r="E5516" s="274" t="s">
        <v>229</v>
      </c>
    </row>
    <row r="5517" spans="1:5" ht="27">
      <c r="A5517" s="271">
        <v>100739</v>
      </c>
      <c r="B5517" s="272" t="s">
        <v>23996</v>
      </c>
      <c r="C5517" s="272" t="s">
        <v>193</v>
      </c>
      <c r="D5517" s="275" t="s">
        <v>10191</v>
      </c>
      <c r="E5517" s="274" t="s">
        <v>229</v>
      </c>
    </row>
    <row r="5518" spans="1:5" ht="27">
      <c r="A5518" s="271">
        <v>100740</v>
      </c>
      <c r="B5518" s="272" t="s">
        <v>10998</v>
      </c>
      <c r="C5518" s="272" t="s">
        <v>193</v>
      </c>
      <c r="D5518" s="275" t="s">
        <v>12335</v>
      </c>
      <c r="E5518" s="274" t="s">
        <v>229</v>
      </c>
    </row>
    <row r="5519" spans="1:5" ht="40.5">
      <c r="A5519" s="271">
        <v>100741</v>
      </c>
      <c r="B5519" s="272" t="s">
        <v>23997</v>
      </c>
      <c r="C5519" s="272" t="s">
        <v>193</v>
      </c>
      <c r="D5519" s="275" t="s">
        <v>14318</v>
      </c>
      <c r="E5519" s="274" t="s">
        <v>229</v>
      </c>
    </row>
    <row r="5520" spans="1:5" ht="40.5">
      <c r="A5520" s="271">
        <v>100742</v>
      </c>
      <c r="B5520" s="272" t="s">
        <v>11000</v>
      </c>
      <c r="C5520" s="272" t="s">
        <v>193</v>
      </c>
      <c r="D5520" s="275" t="s">
        <v>10102</v>
      </c>
      <c r="E5520" s="274" t="s">
        <v>229</v>
      </c>
    </row>
    <row r="5521" spans="1:5" ht="27">
      <c r="A5521" s="271">
        <v>100743</v>
      </c>
      <c r="B5521" s="272" t="s">
        <v>23998</v>
      </c>
      <c r="C5521" s="272" t="s">
        <v>193</v>
      </c>
      <c r="D5521" s="275" t="s">
        <v>10240</v>
      </c>
      <c r="E5521" s="274" t="s">
        <v>229</v>
      </c>
    </row>
    <row r="5522" spans="1:5" ht="27">
      <c r="A5522" s="271">
        <v>100744</v>
      </c>
      <c r="B5522" s="272" t="s">
        <v>11002</v>
      </c>
      <c r="C5522" s="272" t="s">
        <v>193</v>
      </c>
      <c r="D5522" s="275" t="s">
        <v>18848</v>
      </c>
      <c r="E5522" s="274" t="s">
        <v>229</v>
      </c>
    </row>
    <row r="5523" spans="1:5" ht="40.5">
      <c r="A5523" s="271">
        <v>100745</v>
      </c>
      <c r="B5523" s="272" t="s">
        <v>23999</v>
      </c>
      <c r="C5523" s="272" t="s">
        <v>193</v>
      </c>
      <c r="D5523" s="275" t="s">
        <v>10491</v>
      </c>
      <c r="E5523" s="274" t="s">
        <v>229</v>
      </c>
    </row>
    <row r="5524" spans="1:5" ht="40.5">
      <c r="A5524" s="271">
        <v>100746</v>
      </c>
      <c r="B5524" s="272" t="s">
        <v>11003</v>
      </c>
      <c r="C5524" s="272" t="s">
        <v>193</v>
      </c>
      <c r="D5524" s="275" t="s">
        <v>11013</v>
      </c>
      <c r="E5524" s="274" t="s">
        <v>229</v>
      </c>
    </row>
    <row r="5525" spans="1:5" ht="27">
      <c r="A5525" s="271">
        <v>100747</v>
      </c>
      <c r="B5525" s="272" t="s">
        <v>24000</v>
      </c>
      <c r="C5525" s="272" t="s">
        <v>193</v>
      </c>
      <c r="D5525" s="275" t="s">
        <v>10477</v>
      </c>
      <c r="E5525" s="274" t="s">
        <v>229</v>
      </c>
    </row>
    <row r="5526" spans="1:5" ht="27">
      <c r="A5526" s="271">
        <v>100748</v>
      </c>
      <c r="B5526" s="272" t="s">
        <v>11004</v>
      </c>
      <c r="C5526" s="272" t="s">
        <v>193</v>
      </c>
      <c r="D5526" s="273" t="s">
        <v>10201</v>
      </c>
      <c r="E5526" s="274" t="s">
        <v>229</v>
      </c>
    </row>
    <row r="5527" spans="1:5" ht="27">
      <c r="A5527" s="271">
        <v>100749</v>
      </c>
      <c r="B5527" s="272" t="s">
        <v>24001</v>
      </c>
      <c r="C5527" s="272" t="s">
        <v>193</v>
      </c>
      <c r="D5527" s="275" t="s">
        <v>15822</v>
      </c>
      <c r="E5527" s="274" t="s">
        <v>229</v>
      </c>
    </row>
    <row r="5528" spans="1:5" ht="40.5">
      <c r="A5528" s="271">
        <v>100750</v>
      </c>
      <c r="B5528" s="272" t="s">
        <v>11005</v>
      </c>
      <c r="C5528" s="272" t="s">
        <v>193</v>
      </c>
      <c r="D5528" s="275" t="s">
        <v>15996</v>
      </c>
      <c r="E5528" s="274" t="s">
        <v>229</v>
      </c>
    </row>
    <row r="5529" spans="1:5" ht="27">
      <c r="A5529" s="271">
        <v>100751</v>
      </c>
      <c r="B5529" s="272" t="s">
        <v>24002</v>
      </c>
      <c r="C5529" s="272" t="s">
        <v>193</v>
      </c>
      <c r="D5529" s="275" t="s">
        <v>11016</v>
      </c>
      <c r="E5529" s="274" t="s">
        <v>229</v>
      </c>
    </row>
    <row r="5530" spans="1:5" ht="27">
      <c r="A5530" s="271">
        <v>100752</v>
      </c>
      <c r="B5530" s="272" t="s">
        <v>11006</v>
      </c>
      <c r="C5530" s="272" t="s">
        <v>193</v>
      </c>
      <c r="D5530" s="275" t="s">
        <v>10341</v>
      </c>
      <c r="E5530" s="274" t="s">
        <v>229</v>
      </c>
    </row>
    <row r="5531" spans="1:5" ht="27">
      <c r="A5531" s="271">
        <v>100753</v>
      </c>
      <c r="B5531" s="272" t="s">
        <v>24003</v>
      </c>
      <c r="C5531" s="272" t="s">
        <v>193</v>
      </c>
      <c r="D5531" s="275" t="s">
        <v>11542</v>
      </c>
      <c r="E5531" s="274" t="s">
        <v>229</v>
      </c>
    </row>
    <row r="5532" spans="1:5" ht="27">
      <c r="A5532" s="271">
        <v>100754</v>
      </c>
      <c r="B5532" s="272" t="s">
        <v>11007</v>
      </c>
      <c r="C5532" s="272" t="s">
        <v>193</v>
      </c>
      <c r="D5532" s="273" t="s">
        <v>14212</v>
      </c>
      <c r="E5532" s="274" t="s">
        <v>229</v>
      </c>
    </row>
    <row r="5533" spans="1:5" ht="40.5">
      <c r="A5533" s="271">
        <v>100757</v>
      </c>
      <c r="B5533" s="272" t="s">
        <v>24004</v>
      </c>
      <c r="C5533" s="272" t="s">
        <v>193</v>
      </c>
      <c r="D5533" s="273" t="s">
        <v>14304</v>
      </c>
      <c r="E5533" s="274" t="s">
        <v>229</v>
      </c>
    </row>
    <row r="5534" spans="1:5" ht="40.5">
      <c r="A5534" s="271">
        <v>100758</v>
      </c>
      <c r="B5534" s="272" t="s">
        <v>11009</v>
      </c>
      <c r="C5534" s="272" t="s">
        <v>193</v>
      </c>
      <c r="D5534" s="273" t="s">
        <v>12133</v>
      </c>
      <c r="E5534" s="274" t="s">
        <v>229</v>
      </c>
    </row>
    <row r="5535" spans="1:5" ht="40.5">
      <c r="A5535" s="271">
        <v>100759</v>
      </c>
      <c r="B5535" s="272" t="s">
        <v>24005</v>
      </c>
      <c r="C5535" s="272" t="s">
        <v>193</v>
      </c>
      <c r="D5535" s="273" t="s">
        <v>24006</v>
      </c>
      <c r="E5535" s="274" t="s">
        <v>229</v>
      </c>
    </row>
    <row r="5536" spans="1:5" ht="40.5">
      <c r="A5536" s="271">
        <v>100760</v>
      </c>
      <c r="B5536" s="272" t="s">
        <v>11010</v>
      </c>
      <c r="C5536" s="272" t="s">
        <v>193</v>
      </c>
      <c r="D5536" s="273" t="s">
        <v>16072</v>
      </c>
      <c r="E5536" s="274" t="s">
        <v>229</v>
      </c>
    </row>
    <row r="5537" spans="1:5" ht="27">
      <c r="A5537" s="271">
        <v>100761</v>
      </c>
      <c r="B5537" s="272" t="s">
        <v>24007</v>
      </c>
      <c r="C5537" s="272" t="s">
        <v>193</v>
      </c>
      <c r="D5537" s="273" t="s">
        <v>12428</v>
      </c>
      <c r="E5537" s="274" t="s">
        <v>229</v>
      </c>
    </row>
    <row r="5538" spans="1:5" ht="40.5">
      <c r="A5538" s="271">
        <v>100762</v>
      </c>
      <c r="B5538" s="272" t="s">
        <v>11011</v>
      </c>
      <c r="C5538" s="272" t="s">
        <v>193</v>
      </c>
      <c r="D5538" s="273" t="s">
        <v>24008</v>
      </c>
      <c r="E5538" s="274" t="s">
        <v>229</v>
      </c>
    </row>
    <row r="5539" spans="1:5" ht="13.5">
      <c r="A5539" s="271">
        <v>102488</v>
      </c>
      <c r="B5539" s="272" t="s">
        <v>24009</v>
      </c>
      <c r="C5539" s="272" t="s">
        <v>193</v>
      </c>
      <c r="D5539" s="273" t="s">
        <v>9896</v>
      </c>
      <c r="E5539" s="274" t="s">
        <v>229</v>
      </c>
    </row>
    <row r="5540" spans="1:5" ht="13.5">
      <c r="A5540" s="271">
        <v>102489</v>
      </c>
      <c r="B5540" s="272" t="s">
        <v>24010</v>
      </c>
      <c r="C5540" s="272" t="s">
        <v>193</v>
      </c>
      <c r="D5540" s="273" t="s">
        <v>22291</v>
      </c>
      <c r="E5540" s="274" t="s">
        <v>229</v>
      </c>
    </row>
    <row r="5541" spans="1:5" ht="27">
      <c r="A5541" s="271">
        <v>102491</v>
      </c>
      <c r="B5541" s="272" t="s">
        <v>24011</v>
      </c>
      <c r="C5541" s="272" t="s">
        <v>193</v>
      </c>
      <c r="D5541" s="273" t="s">
        <v>20143</v>
      </c>
      <c r="E5541" s="274" t="s">
        <v>229</v>
      </c>
    </row>
    <row r="5542" spans="1:5" ht="27">
      <c r="A5542" s="271">
        <v>102492</v>
      </c>
      <c r="B5542" s="272" t="s">
        <v>24012</v>
      </c>
      <c r="C5542" s="272" t="s">
        <v>193</v>
      </c>
      <c r="D5542" s="273" t="s">
        <v>12472</v>
      </c>
      <c r="E5542" s="274" t="s">
        <v>229</v>
      </c>
    </row>
    <row r="5543" spans="1:5" ht="27">
      <c r="A5543" s="271">
        <v>102493</v>
      </c>
      <c r="B5543" s="272" t="s">
        <v>24013</v>
      </c>
      <c r="C5543" s="272" t="s">
        <v>193</v>
      </c>
      <c r="D5543" s="273" t="s">
        <v>10354</v>
      </c>
      <c r="E5543" s="274" t="s">
        <v>229</v>
      </c>
    </row>
    <row r="5544" spans="1:5" ht="27">
      <c r="A5544" s="271">
        <v>102494</v>
      </c>
      <c r="B5544" s="272" t="s">
        <v>24014</v>
      </c>
      <c r="C5544" s="272" t="s">
        <v>193</v>
      </c>
      <c r="D5544" s="273" t="s">
        <v>12176</v>
      </c>
      <c r="E5544" s="274" t="s">
        <v>229</v>
      </c>
    </row>
    <row r="5545" spans="1:5" ht="13.5">
      <c r="A5545" s="271">
        <v>102495</v>
      </c>
      <c r="B5545" s="272" t="s">
        <v>24015</v>
      </c>
      <c r="C5545" s="272" t="s">
        <v>193</v>
      </c>
      <c r="D5545" s="273" t="s">
        <v>12441</v>
      </c>
      <c r="E5545" s="274" t="s">
        <v>229</v>
      </c>
    </row>
    <row r="5546" spans="1:5" ht="27">
      <c r="A5546" s="271">
        <v>102496</v>
      </c>
      <c r="B5546" s="272" t="s">
        <v>24016</v>
      </c>
      <c r="C5546" s="272" t="s">
        <v>5</v>
      </c>
      <c r="D5546" s="273" t="s">
        <v>10205</v>
      </c>
      <c r="E5546" s="274" t="s">
        <v>229</v>
      </c>
    </row>
    <row r="5547" spans="1:5" ht="27">
      <c r="A5547" s="271">
        <v>102497</v>
      </c>
      <c r="B5547" s="272" t="s">
        <v>24017</v>
      </c>
      <c r="C5547" s="272" t="s">
        <v>5</v>
      </c>
      <c r="D5547" s="273" t="s">
        <v>11184</v>
      </c>
      <c r="E5547" s="274" t="s">
        <v>229</v>
      </c>
    </row>
    <row r="5548" spans="1:5" ht="13.5">
      <c r="A5548" s="271">
        <v>102498</v>
      </c>
      <c r="B5548" s="272" t="s">
        <v>24018</v>
      </c>
      <c r="C5548" s="272" t="s">
        <v>5</v>
      </c>
      <c r="D5548" s="273" t="s">
        <v>9903</v>
      </c>
      <c r="E5548" s="274" t="s">
        <v>229</v>
      </c>
    </row>
    <row r="5549" spans="1:5" ht="13.5">
      <c r="A5549" s="271">
        <v>102499</v>
      </c>
      <c r="B5549" s="272" t="s">
        <v>24019</v>
      </c>
      <c r="C5549" s="272" t="s">
        <v>193</v>
      </c>
      <c r="D5549" s="273" t="s">
        <v>10060</v>
      </c>
      <c r="E5549" s="274" t="s">
        <v>229</v>
      </c>
    </row>
    <row r="5550" spans="1:5" ht="27">
      <c r="A5550" s="271">
        <v>102500</v>
      </c>
      <c r="B5550" s="272" t="s">
        <v>24020</v>
      </c>
      <c r="C5550" s="272" t="s">
        <v>5</v>
      </c>
      <c r="D5550" s="273" t="s">
        <v>10435</v>
      </c>
      <c r="E5550" s="274" t="s">
        <v>229</v>
      </c>
    </row>
    <row r="5551" spans="1:5" ht="27">
      <c r="A5551" s="271">
        <v>102501</v>
      </c>
      <c r="B5551" s="272" t="s">
        <v>24021</v>
      </c>
      <c r="C5551" s="272" t="s">
        <v>193</v>
      </c>
      <c r="D5551" s="273" t="s">
        <v>10637</v>
      </c>
      <c r="E5551" s="274" t="s">
        <v>229</v>
      </c>
    </row>
    <row r="5552" spans="1:5" ht="27">
      <c r="A5552" s="271">
        <v>102504</v>
      </c>
      <c r="B5552" s="272" t="s">
        <v>24022</v>
      </c>
      <c r="C5552" s="272" t="s">
        <v>5</v>
      </c>
      <c r="D5552" s="273" t="s">
        <v>12216</v>
      </c>
      <c r="E5552" s="274" t="s">
        <v>229</v>
      </c>
    </row>
    <row r="5553" spans="1:5" ht="27">
      <c r="A5553" s="271">
        <v>102505</v>
      </c>
      <c r="B5553" s="272" t="s">
        <v>24023</v>
      </c>
      <c r="C5553" s="272" t="s">
        <v>5</v>
      </c>
      <c r="D5553" s="273" t="s">
        <v>24024</v>
      </c>
      <c r="E5553" s="274" t="s">
        <v>229</v>
      </c>
    </row>
    <row r="5554" spans="1:5" ht="27">
      <c r="A5554" s="271">
        <v>102506</v>
      </c>
      <c r="B5554" s="272" t="s">
        <v>24025</v>
      </c>
      <c r="C5554" s="272" t="s">
        <v>5</v>
      </c>
      <c r="D5554" s="273" t="s">
        <v>19410</v>
      </c>
      <c r="E5554" s="274" t="s">
        <v>229</v>
      </c>
    </row>
    <row r="5555" spans="1:5" ht="27">
      <c r="A5555" s="271">
        <v>102507</v>
      </c>
      <c r="B5555" s="272" t="s">
        <v>24026</v>
      </c>
      <c r="C5555" s="272" t="s">
        <v>5</v>
      </c>
      <c r="D5555" s="273" t="s">
        <v>10657</v>
      </c>
      <c r="E5555" s="274" t="s">
        <v>229</v>
      </c>
    </row>
    <row r="5556" spans="1:5" ht="27">
      <c r="A5556" s="271">
        <v>102508</v>
      </c>
      <c r="B5556" s="272" t="s">
        <v>24027</v>
      </c>
      <c r="C5556" s="272" t="s">
        <v>193</v>
      </c>
      <c r="D5556" s="273" t="s">
        <v>16382</v>
      </c>
      <c r="E5556" s="274" t="s">
        <v>229</v>
      </c>
    </row>
    <row r="5557" spans="1:5" ht="27">
      <c r="A5557" s="271">
        <v>102509</v>
      </c>
      <c r="B5557" s="272" t="s">
        <v>24028</v>
      </c>
      <c r="C5557" s="272" t="s">
        <v>193</v>
      </c>
      <c r="D5557" s="273" t="s">
        <v>16689</v>
      </c>
      <c r="E5557" s="274" t="s">
        <v>229</v>
      </c>
    </row>
    <row r="5558" spans="1:5" ht="40.5">
      <c r="A5558" s="271">
        <v>102512</v>
      </c>
      <c r="B5558" s="272" t="s">
        <v>24029</v>
      </c>
      <c r="C5558" s="272" t="s">
        <v>5</v>
      </c>
      <c r="D5558" s="273" t="s">
        <v>11462</v>
      </c>
      <c r="E5558" s="274" t="s">
        <v>229</v>
      </c>
    </row>
    <row r="5559" spans="1:5" ht="27">
      <c r="A5559" s="271">
        <v>102513</v>
      </c>
      <c r="B5559" s="272" t="s">
        <v>24030</v>
      </c>
      <c r="C5559" s="272" t="s">
        <v>193</v>
      </c>
      <c r="D5559" s="273" t="s">
        <v>24031</v>
      </c>
      <c r="E5559" s="274" t="s">
        <v>229</v>
      </c>
    </row>
    <row r="5560" spans="1:5" ht="27">
      <c r="A5560" s="271">
        <v>102520</v>
      </c>
      <c r="B5560" s="272" t="s">
        <v>24032</v>
      </c>
      <c r="C5560" s="272" t="s">
        <v>193</v>
      </c>
      <c r="D5560" s="273" t="s">
        <v>15917</v>
      </c>
      <c r="E5560" s="274" t="s">
        <v>229</v>
      </c>
    </row>
    <row r="5561" spans="1:5" ht="27">
      <c r="A5561" s="271">
        <v>101749</v>
      </c>
      <c r="B5561" s="272" t="s">
        <v>13732</v>
      </c>
      <c r="C5561" s="272" t="s">
        <v>193</v>
      </c>
      <c r="D5561" s="273" t="s">
        <v>16630</v>
      </c>
      <c r="E5561" s="274" t="s">
        <v>229</v>
      </c>
    </row>
    <row r="5562" spans="1:5" ht="27">
      <c r="A5562" s="271">
        <v>101750</v>
      </c>
      <c r="B5562" s="272" t="s">
        <v>13733</v>
      </c>
      <c r="C5562" s="272" t="s">
        <v>193</v>
      </c>
      <c r="D5562" s="273" t="s">
        <v>16092</v>
      </c>
      <c r="E5562" s="274" t="s">
        <v>229</v>
      </c>
    </row>
    <row r="5563" spans="1:5" ht="13.5">
      <c r="A5563" s="271">
        <v>101729</v>
      </c>
      <c r="B5563" s="272" t="s">
        <v>13734</v>
      </c>
      <c r="C5563" s="272" t="s">
        <v>193</v>
      </c>
      <c r="D5563" s="273" t="s">
        <v>24033</v>
      </c>
      <c r="E5563" s="274" t="s">
        <v>229</v>
      </c>
    </row>
    <row r="5564" spans="1:5" ht="13.5">
      <c r="A5564" s="271">
        <v>101746</v>
      </c>
      <c r="B5564" s="272" t="s">
        <v>13735</v>
      </c>
      <c r="C5564" s="272" t="s">
        <v>193</v>
      </c>
      <c r="D5564" s="273" t="s">
        <v>24034</v>
      </c>
      <c r="E5564" s="274" t="s">
        <v>229</v>
      </c>
    </row>
    <row r="5565" spans="1:5" ht="13.5">
      <c r="A5565" s="271">
        <v>101751</v>
      </c>
      <c r="B5565" s="272" t="s">
        <v>13736</v>
      </c>
      <c r="C5565" s="272" t="s">
        <v>193</v>
      </c>
      <c r="D5565" s="273" t="s">
        <v>24035</v>
      </c>
      <c r="E5565" s="274" t="s">
        <v>229</v>
      </c>
    </row>
    <row r="5566" spans="1:5" ht="27">
      <c r="A5566" s="271">
        <v>87246</v>
      </c>
      <c r="B5566" s="272" t="s">
        <v>2731</v>
      </c>
      <c r="C5566" s="272" t="s">
        <v>193</v>
      </c>
      <c r="D5566" s="273" t="s">
        <v>24036</v>
      </c>
      <c r="E5566" s="274" t="s">
        <v>229</v>
      </c>
    </row>
    <row r="5567" spans="1:5" ht="27">
      <c r="A5567" s="271">
        <v>87247</v>
      </c>
      <c r="B5567" s="272" t="s">
        <v>2732</v>
      </c>
      <c r="C5567" s="272" t="s">
        <v>193</v>
      </c>
      <c r="D5567" s="273" t="s">
        <v>14304</v>
      </c>
      <c r="E5567" s="274" t="s">
        <v>229</v>
      </c>
    </row>
    <row r="5568" spans="1:5" ht="27">
      <c r="A5568" s="271">
        <v>87248</v>
      </c>
      <c r="B5568" s="272" t="s">
        <v>2733</v>
      </c>
      <c r="C5568" s="272" t="s">
        <v>193</v>
      </c>
      <c r="D5568" s="273" t="s">
        <v>9858</v>
      </c>
      <c r="E5568" s="274" t="s">
        <v>229</v>
      </c>
    </row>
    <row r="5569" spans="1:5" ht="27">
      <c r="A5569" s="271">
        <v>87249</v>
      </c>
      <c r="B5569" s="272" t="s">
        <v>2734</v>
      </c>
      <c r="C5569" s="272" t="s">
        <v>193</v>
      </c>
      <c r="D5569" s="273" t="s">
        <v>24037</v>
      </c>
      <c r="E5569" s="274" t="s">
        <v>229</v>
      </c>
    </row>
    <row r="5570" spans="1:5" ht="27">
      <c r="A5570" s="271">
        <v>87250</v>
      </c>
      <c r="B5570" s="272" t="s">
        <v>2735</v>
      </c>
      <c r="C5570" s="272" t="s">
        <v>193</v>
      </c>
      <c r="D5570" s="273" t="s">
        <v>16143</v>
      </c>
      <c r="E5570" s="274" t="s">
        <v>229</v>
      </c>
    </row>
    <row r="5571" spans="1:5" ht="27">
      <c r="A5571" s="271">
        <v>87251</v>
      </c>
      <c r="B5571" s="272" t="s">
        <v>2736</v>
      </c>
      <c r="C5571" s="272" t="s">
        <v>193</v>
      </c>
      <c r="D5571" s="273" t="s">
        <v>24038</v>
      </c>
      <c r="E5571" s="274" t="s">
        <v>229</v>
      </c>
    </row>
    <row r="5572" spans="1:5" ht="27">
      <c r="A5572" s="271">
        <v>87255</v>
      </c>
      <c r="B5572" s="272" t="s">
        <v>2737</v>
      </c>
      <c r="C5572" s="272" t="s">
        <v>193</v>
      </c>
      <c r="D5572" s="273" t="s">
        <v>24039</v>
      </c>
      <c r="E5572" s="274" t="s">
        <v>229</v>
      </c>
    </row>
    <row r="5573" spans="1:5" ht="27">
      <c r="A5573" s="271">
        <v>87256</v>
      </c>
      <c r="B5573" s="272" t="s">
        <v>2738</v>
      </c>
      <c r="C5573" s="272" t="s">
        <v>193</v>
      </c>
      <c r="D5573" s="273" t="s">
        <v>15957</v>
      </c>
      <c r="E5573" s="274" t="s">
        <v>229</v>
      </c>
    </row>
    <row r="5574" spans="1:5" ht="27">
      <c r="A5574" s="271">
        <v>87257</v>
      </c>
      <c r="B5574" s="272" t="s">
        <v>2739</v>
      </c>
      <c r="C5574" s="272" t="s">
        <v>193</v>
      </c>
      <c r="D5574" s="273" t="s">
        <v>12471</v>
      </c>
      <c r="E5574" s="274" t="s">
        <v>229</v>
      </c>
    </row>
    <row r="5575" spans="1:5" ht="27">
      <c r="A5575" s="271">
        <v>87258</v>
      </c>
      <c r="B5575" s="272" t="s">
        <v>2740</v>
      </c>
      <c r="C5575" s="272" t="s">
        <v>193</v>
      </c>
      <c r="D5575" s="273" t="s">
        <v>16511</v>
      </c>
      <c r="E5575" s="274" t="s">
        <v>229</v>
      </c>
    </row>
    <row r="5576" spans="1:5" ht="27">
      <c r="A5576" s="271">
        <v>87259</v>
      </c>
      <c r="B5576" s="272" t="s">
        <v>2741</v>
      </c>
      <c r="C5576" s="272" t="s">
        <v>193</v>
      </c>
      <c r="D5576" s="273" t="s">
        <v>24040</v>
      </c>
      <c r="E5576" s="274" t="s">
        <v>229</v>
      </c>
    </row>
    <row r="5577" spans="1:5" ht="27">
      <c r="A5577" s="271">
        <v>87260</v>
      </c>
      <c r="B5577" s="272" t="s">
        <v>2742</v>
      </c>
      <c r="C5577" s="272" t="s">
        <v>193</v>
      </c>
      <c r="D5577" s="273" t="s">
        <v>24041</v>
      </c>
      <c r="E5577" s="274" t="s">
        <v>229</v>
      </c>
    </row>
    <row r="5578" spans="1:5" ht="27">
      <c r="A5578" s="271">
        <v>87261</v>
      </c>
      <c r="B5578" s="272" t="s">
        <v>2743</v>
      </c>
      <c r="C5578" s="272" t="s">
        <v>193</v>
      </c>
      <c r="D5578" s="273" t="s">
        <v>22324</v>
      </c>
      <c r="E5578" s="274" t="s">
        <v>229</v>
      </c>
    </row>
    <row r="5579" spans="1:5" ht="27">
      <c r="A5579" s="271">
        <v>87262</v>
      </c>
      <c r="B5579" s="272" t="s">
        <v>2744</v>
      </c>
      <c r="C5579" s="272" t="s">
        <v>193</v>
      </c>
      <c r="D5579" s="273" t="s">
        <v>24042</v>
      </c>
      <c r="E5579" s="274" t="s">
        <v>229</v>
      </c>
    </row>
    <row r="5580" spans="1:5" ht="27">
      <c r="A5580" s="271">
        <v>87263</v>
      </c>
      <c r="B5580" s="272" t="s">
        <v>2745</v>
      </c>
      <c r="C5580" s="272" t="s">
        <v>193</v>
      </c>
      <c r="D5580" s="273" t="s">
        <v>24043</v>
      </c>
      <c r="E5580" s="274" t="s">
        <v>229</v>
      </c>
    </row>
    <row r="5581" spans="1:5" ht="40.5">
      <c r="A5581" s="271">
        <v>89046</v>
      </c>
      <c r="B5581" s="272" t="s">
        <v>13737</v>
      </c>
      <c r="C5581" s="272" t="s">
        <v>193</v>
      </c>
      <c r="D5581" s="273" t="s">
        <v>15969</v>
      </c>
      <c r="E5581" s="274" t="s">
        <v>229</v>
      </c>
    </row>
    <row r="5582" spans="1:5" ht="40.5">
      <c r="A5582" s="271">
        <v>89171</v>
      </c>
      <c r="B5582" s="272" t="s">
        <v>13738</v>
      </c>
      <c r="C5582" s="272" t="s">
        <v>193</v>
      </c>
      <c r="D5582" s="273" t="s">
        <v>16451</v>
      </c>
      <c r="E5582" s="274" t="s">
        <v>229</v>
      </c>
    </row>
    <row r="5583" spans="1:5" ht="27">
      <c r="A5583" s="271">
        <v>93389</v>
      </c>
      <c r="B5583" s="272" t="s">
        <v>2746</v>
      </c>
      <c r="C5583" s="272" t="s">
        <v>193</v>
      </c>
      <c r="D5583" s="273" t="s">
        <v>23701</v>
      </c>
      <c r="E5583" s="274" t="s">
        <v>229</v>
      </c>
    </row>
    <row r="5584" spans="1:5" ht="27">
      <c r="A5584" s="271">
        <v>93390</v>
      </c>
      <c r="B5584" s="272" t="s">
        <v>2747</v>
      </c>
      <c r="C5584" s="272" t="s">
        <v>193</v>
      </c>
      <c r="D5584" s="273" t="s">
        <v>16088</v>
      </c>
      <c r="E5584" s="274" t="s">
        <v>229</v>
      </c>
    </row>
    <row r="5585" spans="1:5" ht="27">
      <c r="A5585" s="271">
        <v>93391</v>
      </c>
      <c r="B5585" s="272" t="s">
        <v>2748</v>
      </c>
      <c r="C5585" s="272" t="s">
        <v>193</v>
      </c>
      <c r="D5585" s="273" t="s">
        <v>14139</v>
      </c>
      <c r="E5585" s="274" t="s">
        <v>229</v>
      </c>
    </row>
    <row r="5586" spans="1:5" ht="27">
      <c r="A5586" s="271">
        <v>98670</v>
      </c>
      <c r="B5586" s="272" t="s">
        <v>4366</v>
      </c>
      <c r="C5586" s="272" t="s">
        <v>193</v>
      </c>
      <c r="D5586" s="273" t="s">
        <v>24044</v>
      </c>
      <c r="E5586" s="274" t="s">
        <v>229</v>
      </c>
    </row>
    <row r="5587" spans="1:5" ht="13.5">
      <c r="A5587" s="271">
        <v>98671</v>
      </c>
      <c r="B5587" s="272" t="s">
        <v>13739</v>
      </c>
      <c r="C5587" s="272" t="s">
        <v>193</v>
      </c>
      <c r="D5587" s="273" t="s">
        <v>24045</v>
      </c>
      <c r="E5587" s="274" t="s">
        <v>229</v>
      </c>
    </row>
    <row r="5588" spans="1:5" ht="13.5">
      <c r="A5588" s="271">
        <v>98672</v>
      </c>
      <c r="B5588" s="272" t="s">
        <v>13740</v>
      </c>
      <c r="C5588" s="272" t="s">
        <v>193</v>
      </c>
      <c r="D5588" s="273" t="s">
        <v>24046</v>
      </c>
      <c r="E5588" s="274" t="s">
        <v>229</v>
      </c>
    </row>
    <row r="5589" spans="1:5" ht="27">
      <c r="A5589" s="271">
        <v>98673</v>
      </c>
      <c r="B5589" s="272" t="s">
        <v>4367</v>
      </c>
      <c r="C5589" s="272" t="s">
        <v>193</v>
      </c>
      <c r="D5589" s="273" t="s">
        <v>24047</v>
      </c>
      <c r="E5589" s="274" t="s">
        <v>229</v>
      </c>
    </row>
    <row r="5590" spans="1:5" ht="13.5">
      <c r="A5590" s="271">
        <v>98678</v>
      </c>
      <c r="B5590" s="272" t="s">
        <v>13741</v>
      </c>
      <c r="C5590" s="272" t="s">
        <v>193</v>
      </c>
      <c r="D5590" s="273" t="s">
        <v>24048</v>
      </c>
      <c r="E5590" s="274" t="s">
        <v>229</v>
      </c>
    </row>
    <row r="5591" spans="1:5" ht="27">
      <c r="A5591" s="271">
        <v>98679</v>
      </c>
      <c r="B5591" s="272" t="s">
        <v>13742</v>
      </c>
      <c r="C5591" s="272" t="s">
        <v>193</v>
      </c>
      <c r="D5591" s="273" t="s">
        <v>23274</v>
      </c>
      <c r="E5591" s="274" t="s">
        <v>229</v>
      </c>
    </row>
    <row r="5592" spans="1:5" ht="27">
      <c r="A5592" s="271">
        <v>98680</v>
      </c>
      <c r="B5592" s="272" t="s">
        <v>13743</v>
      </c>
      <c r="C5592" s="272" t="s">
        <v>193</v>
      </c>
      <c r="D5592" s="273" t="s">
        <v>10275</v>
      </c>
      <c r="E5592" s="274" t="s">
        <v>229</v>
      </c>
    </row>
    <row r="5593" spans="1:5" ht="27">
      <c r="A5593" s="271">
        <v>98681</v>
      </c>
      <c r="B5593" s="272" t="s">
        <v>13744</v>
      </c>
      <c r="C5593" s="272" t="s">
        <v>193</v>
      </c>
      <c r="D5593" s="273" t="s">
        <v>16483</v>
      </c>
      <c r="E5593" s="274" t="s">
        <v>229</v>
      </c>
    </row>
    <row r="5594" spans="1:5" ht="27">
      <c r="A5594" s="271">
        <v>98682</v>
      </c>
      <c r="B5594" s="272" t="s">
        <v>13745</v>
      </c>
      <c r="C5594" s="272" t="s">
        <v>193</v>
      </c>
      <c r="D5594" s="273" t="s">
        <v>24049</v>
      </c>
      <c r="E5594" s="274" t="s">
        <v>229</v>
      </c>
    </row>
    <row r="5595" spans="1:5" ht="13.5">
      <c r="A5595" s="271">
        <v>98685</v>
      </c>
      <c r="B5595" s="272" t="s">
        <v>13746</v>
      </c>
      <c r="C5595" s="272" t="s">
        <v>5</v>
      </c>
      <c r="D5595" s="273" t="s">
        <v>24050</v>
      </c>
      <c r="E5595" s="274" t="s">
        <v>229</v>
      </c>
    </row>
    <row r="5596" spans="1:5" ht="13.5">
      <c r="A5596" s="271">
        <v>98686</v>
      </c>
      <c r="B5596" s="272" t="s">
        <v>13747</v>
      </c>
      <c r="C5596" s="272" t="s">
        <v>5</v>
      </c>
      <c r="D5596" s="273" t="s">
        <v>24051</v>
      </c>
      <c r="E5596" s="274" t="s">
        <v>229</v>
      </c>
    </row>
    <row r="5597" spans="1:5" ht="13.5">
      <c r="A5597" s="271">
        <v>98688</v>
      </c>
      <c r="B5597" s="272" t="s">
        <v>13748</v>
      </c>
      <c r="C5597" s="272" t="s">
        <v>5</v>
      </c>
      <c r="D5597" s="273" t="s">
        <v>24052</v>
      </c>
      <c r="E5597" s="274" t="s">
        <v>229</v>
      </c>
    </row>
    <row r="5598" spans="1:5" ht="13.5">
      <c r="A5598" s="271">
        <v>98689</v>
      </c>
      <c r="B5598" s="272" t="s">
        <v>13749</v>
      </c>
      <c r="C5598" s="272" t="s">
        <v>5</v>
      </c>
      <c r="D5598" s="273" t="s">
        <v>22545</v>
      </c>
      <c r="E5598" s="274" t="s">
        <v>229</v>
      </c>
    </row>
    <row r="5599" spans="1:5" ht="27">
      <c r="A5599" s="271">
        <v>101090</v>
      </c>
      <c r="B5599" s="272" t="s">
        <v>11020</v>
      </c>
      <c r="C5599" s="272" t="s">
        <v>193</v>
      </c>
      <c r="D5599" s="273" t="s">
        <v>23940</v>
      </c>
      <c r="E5599" s="274" t="s">
        <v>229</v>
      </c>
    </row>
    <row r="5600" spans="1:5" ht="13.5">
      <c r="A5600" s="271">
        <v>101091</v>
      </c>
      <c r="B5600" s="272" t="s">
        <v>11021</v>
      </c>
      <c r="C5600" s="272" t="s">
        <v>193</v>
      </c>
      <c r="D5600" s="273" t="s">
        <v>24053</v>
      </c>
      <c r="E5600" s="274" t="s">
        <v>229</v>
      </c>
    </row>
    <row r="5601" spans="1:5" ht="27">
      <c r="A5601" s="271">
        <v>101725</v>
      </c>
      <c r="B5601" s="272" t="s">
        <v>13750</v>
      </c>
      <c r="C5601" s="272" t="s">
        <v>193</v>
      </c>
      <c r="D5601" s="273" t="s">
        <v>24054</v>
      </c>
      <c r="E5601" s="274" t="s">
        <v>229</v>
      </c>
    </row>
    <row r="5602" spans="1:5" ht="27">
      <c r="A5602" s="271">
        <v>101726</v>
      </c>
      <c r="B5602" s="272" t="s">
        <v>13751</v>
      </c>
      <c r="C5602" s="272" t="s">
        <v>193</v>
      </c>
      <c r="D5602" s="273" t="s">
        <v>24044</v>
      </c>
      <c r="E5602" s="274" t="s">
        <v>229</v>
      </c>
    </row>
    <row r="5603" spans="1:5" ht="13.5">
      <c r="A5603" s="271">
        <v>101731</v>
      </c>
      <c r="B5603" s="272" t="s">
        <v>13752</v>
      </c>
      <c r="C5603" s="272" t="s">
        <v>193</v>
      </c>
      <c r="D5603" s="273" t="s">
        <v>24055</v>
      </c>
      <c r="E5603" s="274" t="s">
        <v>229</v>
      </c>
    </row>
    <row r="5604" spans="1:5" ht="13.5">
      <c r="A5604" s="271">
        <v>101732</v>
      </c>
      <c r="B5604" s="272" t="s">
        <v>13753</v>
      </c>
      <c r="C5604" s="272" t="s">
        <v>193</v>
      </c>
      <c r="D5604" s="273" t="s">
        <v>21255</v>
      </c>
      <c r="E5604" s="274" t="s">
        <v>229</v>
      </c>
    </row>
    <row r="5605" spans="1:5" ht="13.5">
      <c r="A5605" s="271">
        <v>101752</v>
      </c>
      <c r="B5605" s="272" t="s">
        <v>13754</v>
      </c>
      <c r="C5605" s="272" t="s">
        <v>193</v>
      </c>
      <c r="D5605" s="273" t="s">
        <v>12169</v>
      </c>
      <c r="E5605" s="274" t="s">
        <v>229</v>
      </c>
    </row>
    <row r="5606" spans="1:5" ht="13.5">
      <c r="A5606" s="271">
        <v>101094</v>
      </c>
      <c r="B5606" s="272" t="s">
        <v>11022</v>
      </c>
      <c r="C5606" s="272" t="s">
        <v>5</v>
      </c>
      <c r="D5606" s="273" t="s">
        <v>24056</v>
      </c>
      <c r="E5606" s="274" t="s">
        <v>229</v>
      </c>
    </row>
    <row r="5607" spans="1:5" ht="27">
      <c r="A5607" s="271">
        <v>101727</v>
      </c>
      <c r="B5607" s="272" t="s">
        <v>13755</v>
      </c>
      <c r="C5607" s="272" t="s">
        <v>193</v>
      </c>
      <c r="D5607" s="273" t="s">
        <v>24057</v>
      </c>
      <c r="E5607" s="274" t="s">
        <v>229</v>
      </c>
    </row>
    <row r="5608" spans="1:5" ht="27">
      <c r="A5608" s="271">
        <v>101733</v>
      </c>
      <c r="B5608" s="272" t="s">
        <v>13756</v>
      </c>
      <c r="C5608" s="272" t="s">
        <v>193</v>
      </c>
      <c r="D5608" s="273" t="s">
        <v>15872</v>
      </c>
      <c r="E5608" s="274" t="s">
        <v>229</v>
      </c>
    </row>
    <row r="5609" spans="1:5" ht="13.5">
      <c r="A5609" s="271">
        <v>101734</v>
      </c>
      <c r="B5609" s="272" t="s">
        <v>13757</v>
      </c>
      <c r="C5609" s="272" t="s">
        <v>193</v>
      </c>
      <c r="D5609" s="273" t="s">
        <v>24058</v>
      </c>
      <c r="E5609" s="274" t="s">
        <v>229</v>
      </c>
    </row>
    <row r="5610" spans="1:5" ht="13.5">
      <c r="A5610" s="271">
        <v>101735</v>
      </c>
      <c r="B5610" s="272" t="s">
        <v>13758</v>
      </c>
      <c r="C5610" s="272" t="s">
        <v>193</v>
      </c>
      <c r="D5610" s="273" t="s">
        <v>24059</v>
      </c>
      <c r="E5610" s="274" t="s">
        <v>229</v>
      </c>
    </row>
    <row r="5611" spans="1:5" ht="13.5">
      <c r="A5611" s="271">
        <v>101736</v>
      </c>
      <c r="B5611" s="272" t="s">
        <v>13759</v>
      </c>
      <c r="C5611" s="272" t="s">
        <v>193</v>
      </c>
      <c r="D5611" s="273" t="s">
        <v>24060</v>
      </c>
      <c r="E5611" s="274" t="s">
        <v>229</v>
      </c>
    </row>
    <row r="5612" spans="1:5" ht="13.5">
      <c r="A5612" s="271">
        <v>101737</v>
      </c>
      <c r="B5612" s="272" t="s">
        <v>13760</v>
      </c>
      <c r="C5612" s="272" t="s">
        <v>193</v>
      </c>
      <c r="D5612" s="273" t="s">
        <v>24061</v>
      </c>
      <c r="E5612" s="274" t="s">
        <v>229</v>
      </c>
    </row>
    <row r="5613" spans="1:5" ht="13.5">
      <c r="A5613" s="271">
        <v>101748</v>
      </c>
      <c r="B5613" s="272" t="s">
        <v>13761</v>
      </c>
      <c r="C5613" s="272" t="s">
        <v>193</v>
      </c>
      <c r="D5613" s="273" t="s">
        <v>9896</v>
      </c>
      <c r="E5613" s="274" t="s">
        <v>229</v>
      </c>
    </row>
    <row r="5614" spans="1:5" ht="13.5">
      <c r="A5614" s="271">
        <v>101092</v>
      </c>
      <c r="B5614" s="272" t="s">
        <v>11023</v>
      </c>
      <c r="C5614" s="272" t="s">
        <v>193</v>
      </c>
      <c r="D5614" s="273" t="s">
        <v>24062</v>
      </c>
      <c r="E5614" s="274" t="s">
        <v>229</v>
      </c>
    </row>
    <row r="5615" spans="1:5" ht="13.5">
      <c r="A5615" s="271">
        <v>101093</v>
      </c>
      <c r="B5615" s="272" t="s">
        <v>11024</v>
      </c>
      <c r="C5615" s="272" t="s">
        <v>193</v>
      </c>
      <c r="D5615" s="273" t="s">
        <v>24063</v>
      </c>
      <c r="E5615" s="274" t="s">
        <v>229</v>
      </c>
    </row>
    <row r="5616" spans="1:5" ht="13.5">
      <c r="A5616" s="271">
        <v>98695</v>
      </c>
      <c r="B5616" s="272" t="s">
        <v>13762</v>
      </c>
      <c r="C5616" s="272" t="s">
        <v>5</v>
      </c>
      <c r="D5616" s="273" t="s">
        <v>14108</v>
      </c>
      <c r="E5616" s="274" t="s">
        <v>229</v>
      </c>
    </row>
    <row r="5617" spans="1:5" ht="13.5">
      <c r="A5617" s="271">
        <v>98697</v>
      </c>
      <c r="B5617" s="272" t="s">
        <v>13763</v>
      </c>
      <c r="C5617" s="272" t="s">
        <v>5</v>
      </c>
      <c r="D5617" s="273" t="s">
        <v>21195</v>
      </c>
      <c r="E5617" s="274" t="s">
        <v>229</v>
      </c>
    </row>
    <row r="5618" spans="1:5" ht="13.5">
      <c r="A5618" s="271">
        <v>101738</v>
      </c>
      <c r="B5618" s="272" t="s">
        <v>13764</v>
      </c>
      <c r="C5618" s="272" t="s">
        <v>5</v>
      </c>
      <c r="D5618" s="273" t="s">
        <v>20824</v>
      </c>
      <c r="E5618" s="274" t="s">
        <v>229</v>
      </c>
    </row>
    <row r="5619" spans="1:5" ht="13.5">
      <c r="A5619" s="271">
        <v>101739</v>
      </c>
      <c r="B5619" s="272" t="s">
        <v>13765</v>
      </c>
      <c r="C5619" s="272" t="s">
        <v>5</v>
      </c>
      <c r="D5619" s="273" t="s">
        <v>23274</v>
      </c>
      <c r="E5619" s="274" t="s">
        <v>229</v>
      </c>
    </row>
    <row r="5620" spans="1:5" ht="27">
      <c r="A5620" s="271">
        <v>88648</v>
      </c>
      <c r="B5620" s="272" t="s">
        <v>2749</v>
      </c>
      <c r="C5620" s="272" t="s">
        <v>5</v>
      </c>
      <c r="D5620" s="273" t="s">
        <v>9804</v>
      </c>
      <c r="E5620" s="274" t="s">
        <v>229</v>
      </c>
    </row>
    <row r="5621" spans="1:5" ht="27">
      <c r="A5621" s="271">
        <v>88649</v>
      </c>
      <c r="B5621" s="272" t="s">
        <v>2750</v>
      </c>
      <c r="C5621" s="272" t="s">
        <v>5</v>
      </c>
      <c r="D5621" s="273" t="s">
        <v>10284</v>
      </c>
      <c r="E5621" s="274" t="s">
        <v>229</v>
      </c>
    </row>
    <row r="5622" spans="1:5" ht="27">
      <c r="A5622" s="271">
        <v>88650</v>
      </c>
      <c r="B5622" s="272" t="s">
        <v>2751</v>
      </c>
      <c r="C5622" s="272" t="s">
        <v>5</v>
      </c>
      <c r="D5622" s="273" t="s">
        <v>10207</v>
      </c>
      <c r="E5622" s="274" t="s">
        <v>229</v>
      </c>
    </row>
    <row r="5623" spans="1:5" ht="27">
      <c r="A5623" s="271">
        <v>96467</v>
      </c>
      <c r="B5623" s="272" t="s">
        <v>2752</v>
      </c>
      <c r="C5623" s="272" t="s">
        <v>5</v>
      </c>
      <c r="D5623" s="273" t="s">
        <v>10899</v>
      </c>
      <c r="E5623" s="274" t="s">
        <v>229</v>
      </c>
    </row>
    <row r="5624" spans="1:5" ht="13.5">
      <c r="A5624" s="271">
        <v>101740</v>
      </c>
      <c r="B5624" s="272" t="s">
        <v>13766</v>
      </c>
      <c r="C5624" s="272" t="s">
        <v>5</v>
      </c>
      <c r="D5624" s="273" t="s">
        <v>20740</v>
      </c>
      <c r="E5624" s="274" t="s">
        <v>229</v>
      </c>
    </row>
    <row r="5625" spans="1:5" ht="13.5">
      <c r="A5625" s="271">
        <v>101741</v>
      </c>
      <c r="B5625" s="272" t="s">
        <v>13767</v>
      </c>
      <c r="C5625" s="272" t="s">
        <v>5</v>
      </c>
      <c r="D5625" s="273" t="s">
        <v>10666</v>
      </c>
      <c r="E5625" s="274" t="s">
        <v>229</v>
      </c>
    </row>
    <row r="5626" spans="1:5" ht="27">
      <c r="A5626" s="271">
        <v>94990</v>
      </c>
      <c r="B5626" s="272" t="s">
        <v>2753</v>
      </c>
      <c r="C5626" s="272" t="s">
        <v>209</v>
      </c>
      <c r="D5626" s="273" t="s">
        <v>24064</v>
      </c>
      <c r="E5626" s="274" t="s">
        <v>229</v>
      </c>
    </row>
    <row r="5627" spans="1:5" ht="27">
      <c r="A5627" s="271">
        <v>94991</v>
      </c>
      <c r="B5627" s="272" t="s">
        <v>2754</v>
      </c>
      <c r="C5627" s="272" t="s">
        <v>209</v>
      </c>
      <c r="D5627" s="273" t="s">
        <v>24065</v>
      </c>
      <c r="E5627" s="274" t="s">
        <v>229</v>
      </c>
    </row>
    <row r="5628" spans="1:5" ht="27">
      <c r="A5628" s="271">
        <v>94992</v>
      </c>
      <c r="B5628" s="272" t="s">
        <v>2755</v>
      </c>
      <c r="C5628" s="272" t="s">
        <v>193</v>
      </c>
      <c r="D5628" s="273" t="s">
        <v>24066</v>
      </c>
      <c r="E5628" s="274" t="s">
        <v>229</v>
      </c>
    </row>
    <row r="5629" spans="1:5" ht="27">
      <c r="A5629" s="271">
        <v>94993</v>
      </c>
      <c r="B5629" s="272" t="s">
        <v>2756</v>
      </c>
      <c r="C5629" s="272" t="s">
        <v>193</v>
      </c>
      <c r="D5629" s="273" t="s">
        <v>24067</v>
      </c>
      <c r="E5629" s="274" t="s">
        <v>229</v>
      </c>
    </row>
    <row r="5630" spans="1:5" ht="27">
      <c r="A5630" s="271">
        <v>94994</v>
      </c>
      <c r="B5630" s="272" t="s">
        <v>2757</v>
      </c>
      <c r="C5630" s="272" t="s">
        <v>193</v>
      </c>
      <c r="D5630" s="273" t="s">
        <v>24068</v>
      </c>
      <c r="E5630" s="274" t="s">
        <v>229</v>
      </c>
    </row>
    <row r="5631" spans="1:5" ht="27">
      <c r="A5631" s="271">
        <v>94995</v>
      </c>
      <c r="B5631" s="272" t="s">
        <v>2758</v>
      </c>
      <c r="C5631" s="272" t="s">
        <v>193</v>
      </c>
      <c r="D5631" s="273" t="s">
        <v>24069</v>
      </c>
      <c r="E5631" s="274" t="s">
        <v>229</v>
      </c>
    </row>
    <row r="5632" spans="1:5" ht="27">
      <c r="A5632" s="271">
        <v>94996</v>
      </c>
      <c r="B5632" s="272" t="s">
        <v>2759</v>
      </c>
      <c r="C5632" s="272" t="s">
        <v>193</v>
      </c>
      <c r="D5632" s="273" t="s">
        <v>24070</v>
      </c>
      <c r="E5632" s="274" t="s">
        <v>229</v>
      </c>
    </row>
    <row r="5633" spans="1:5" ht="27">
      <c r="A5633" s="271">
        <v>94997</v>
      </c>
      <c r="B5633" s="272" t="s">
        <v>2760</v>
      </c>
      <c r="C5633" s="272" t="s">
        <v>193</v>
      </c>
      <c r="D5633" s="273" t="s">
        <v>24071</v>
      </c>
      <c r="E5633" s="274" t="s">
        <v>229</v>
      </c>
    </row>
    <row r="5634" spans="1:5" ht="27">
      <c r="A5634" s="271">
        <v>94998</v>
      </c>
      <c r="B5634" s="272" t="s">
        <v>2761</v>
      </c>
      <c r="C5634" s="272" t="s">
        <v>193</v>
      </c>
      <c r="D5634" s="273" t="s">
        <v>24072</v>
      </c>
      <c r="E5634" s="274" t="s">
        <v>229</v>
      </c>
    </row>
    <row r="5635" spans="1:5" ht="27">
      <c r="A5635" s="271">
        <v>94999</v>
      </c>
      <c r="B5635" s="272" t="s">
        <v>2762</v>
      </c>
      <c r="C5635" s="272" t="s">
        <v>193</v>
      </c>
      <c r="D5635" s="273" t="s">
        <v>24073</v>
      </c>
      <c r="E5635" s="274" t="s">
        <v>229</v>
      </c>
    </row>
    <row r="5636" spans="1:5" ht="13.5">
      <c r="A5636" s="271">
        <v>101747</v>
      </c>
      <c r="B5636" s="272" t="s">
        <v>13768</v>
      </c>
      <c r="C5636" s="272" t="s">
        <v>193</v>
      </c>
      <c r="D5636" s="273" t="s">
        <v>15823</v>
      </c>
      <c r="E5636" s="274" t="s">
        <v>229</v>
      </c>
    </row>
    <row r="5637" spans="1:5" ht="13.5">
      <c r="A5637" s="271">
        <v>101743</v>
      </c>
      <c r="B5637" s="272" t="s">
        <v>13769</v>
      </c>
      <c r="C5637" s="272" t="s">
        <v>193</v>
      </c>
      <c r="D5637" s="273" t="s">
        <v>12456</v>
      </c>
      <c r="E5637" s="274" t="s">
        <v>229</v>
      </c>
    </row>
    <row r="5638" spans="1:5" ht="13.5">
      <c r="A5638" s="271">
        <v>101744</v>
      </c>
      <c r="B5638" s="272" t="s">
        <v>13770</v>
      </c>
      <c r="C5638" s="272" t="s">
        <v>193</v>
      </c>
      <c r="D5638" s="273" t="s">
        <v>19295</v>
      </c>
      <c r="E5638" s="274" t="s">
        <v>229</v>
      </c>
    </row>
    <row r="5639" spans="1:5" ht="13.5">
      <c r="A5639" s="271">
        <v>101745</v>
      </c>
      <c r="B5639" s="272" t="s">
        <v>13771</v>
      </c>
      <c r="C5639" s="272" t="s">
        <v>193</v>
      </c>
      <c r="D5639" s="273" t="s">
        <v>19296</v>
      </c>
      <c r="E5639" s="274" t="s">
        <v>229</v>
      </c>
    </row>
    <row r="5640" spans="1:5" ht="27">
      <c r="A5640" s="271">
        <v>87620</v>
      </c>
      <c r="B5640" s="272" t="s">
        <v>218</v>
      </c>
      <c r="C5640" s="272" t="s">
        <v>193</v>
      </c>
      <c r="D5640" s="273" t="s">
        <v>24074</v>
      </c>
      <c r="E5640" s="274" t="s">
        <v>229</v>
      </c>
    </row>
    <row r="5641" spans="1:5" ht="27">
      <c r="A5641" s="271">
        <v>87622</v>
      </c>
      <c r="B5641" s="272" t="s">
        <v>2763</v>
      </c>
      <c r="C5641" s="272" t="s">
        <v>193</v>
      </c>
      <c r="D5641" s="273" t="s">
        <v>24075</v>
      </c>
      <c r="E5641" s="274" t="s">
        <v>229</v>
      </c>
    </row>
    <row r="5642" spans="1:5" ht="27">
      <c r="A5642" s="271">
        <v>87623</v>
      </c>
      <c r="B5642" s="272" t="s">
        <v>2764</v>
      </c>
      <c r="C5642" s="272" t="s">
        <v>193</v>
      </c>
      <c r="D5642" s="273" t="s">
        <v>24076</v>
      </c>
      <c r="E5642" s="274" t="s">
        <v>229</v>
      </c>
    </row>
    <row r="5643" spans="1:5" ht="27">
      <c r="A5643" s="271">
        <v>87624</v>
      </c>
      <c r="B5643" s="272" t="s">
        <v>2765</v>
      </c>
      <c r="C5643" s="272" t="s">
        <v>193</v>
      </c>
      <c r="D5643" s="273" t="s">
        <v>24077</v>
      </c>
      <c r="E5643" s="274" t="s">
        <v>229</v>
      </c>
    </row>
    <row r="5644" spans="1:5" ht="27">
      <c r="A5644" s="271">
        <v>87630</v>
      </c>
      <c r="B5644" s="272" t="s">
        <v>2766</v>
      </c>
      <c r="C5644" s="272" t="s">
        <v>193</v>
      </c>
      <c r="D5644" s="273" t="s">
        <v>15967</v>
      </c>
      <c r="E5644" s="274" t="s">
        <v>229</v>
      </c>
    </row>
    <row r="5645" spans="1:5" ht="27">
      <c r="A5645" s="271">
        <v>87632</v>
      </c>
      <c r="B5645" s="272" t="s">
        <v>2767</v>
      </c>
      <c r="C5645" s="272" t="s">
        <v>193</v>
      </c>
      <c r="D5645" s="273" t="s">
        <v>16198</v>
      </c>
      <c r="E5645" s="274" t="s">
        <v>229</v>
      </c>
    </row>
    <row r="5646" spans="1:5" ht="27">
      <c r="A5646" s="271">
        <v>87633</v>
      </c>
      <c r="B5646" s="272" t="s">
        <v>2768</v>
      </c>
      <c r="C5646" s="272" t="s">
        <v>193</v>
      </c>
      <c r="D5646" s="273" t="s">
        <v>14094</v>
      </c>
      <c r="E5646" s="274" t="s">
        <v>229</v>
      </c>
    </row>
    <row r="5647" spans="1:5" ht="27">
      <c r="A5647" s="271">
        <v>87634</v>
      </c>
      <c r="B5647" s="272" t="s">
        <v>2769</v>
      </c>
      <c r="C5647" s="272" t="s">
        <v>193</v>
      </c>
      <c r="D5647" s="273" t="s">
        <v>16488</v>
      </c>
      <c r="E5647" s="274" t="s">
        <v>229</v>
      </c>
    </row>
    <row r="5648" spans="1:5" ht="27">
      <c r="A5648" s="271">
        <v>87640</v>
      </c>
      <c r="B5648" s="272" t="s">
        <v>2770</v>
      </c>
      <c r="C5648" s="272" t="s">
        <v>193</v>
      </c>
      <c r="D5648" s="273" t="s">
        <v>16581</v>
      </c>
      <c r="E5648" s="274" t="s">
        <v>229</v>
      </c>
    </row>
    <row r="5649" spans="1:5" ht="27">
      <c r="A5649" s="271">
        <v>87642</v>
      </c>
      <c r="B5649" s="272" t="s">
        <v>2771</v>
      </c>
      <c r="C5649" s="272" t="s">
        <v>193</v>
      </c>
      <c r="D5649" s="273" t="s">
        <v>19726</v>
      </c>
      <c r="E5649" s="274" t="s">
        <v>229</v>
      </c>
    </row>
    <row r="5650" spans="1:5" ht="27">
      <c r="A5650" s="271">
        <v>87643</v>
      </c>
      <c r="B5650" s="272" t="s">
        <v>2772</v>
      </c>
      <c r="C5650" s="272" t="s">
        <v>193</v>
      </c>
      <c r="D5650" s="273" t="s">
        <v>16622</v>
      </c>
      <c r="E5650" s="274" t="s">
        <v>229</v>
      </c>
    </row>
    <row r="5651" spans="1:5" ht="27">
      <c r="A5651" s="271">
        <v>87644</v>
      </c>
      <c r="B5651" s="272" t="s">
        <v>2773</v>
      </c>
      <c r="C5651" s="272" t="s">
        <v>193</v>
      </c>
      <c r="D5651" s="273" t="s">
        <v>24078</v>
      </c>
      <c r="E5651" s="274" t="s">
        <v>229</v>
      </c>
    </row>
    <row r="5652" spans="1:5" ht="27">
      <c r="A5652" s="271">
        <v>87680</v>
      </c>
      <c r="B5652" s="272" t="s">
        <v>2774</v>
      </c>
      <c r="C5652" s="272" t="s">
        <v>193</v>
      </c>
      <c r="D5652" s="273" t="s">
        <v>9734</v>
      </c>
      <c r="E5652" s="274" t="s">
        <v>229</v>
      </c>
    </row>
    <row r="5653" spans="1:5" ht="27">
      <c r="A5653" s="271">
        <v>87682</v>
      </c>
      <c r="B5653" s="272" t="s">
        <v>2775</v>
      </c>
      <c r="C5653" s="272" t="s">
        <v>193</v>
      </c>
      <c r="D5653" s="273" t="s">
        <v>24079</v>
      </c>
      <c r="E5653" s="274" t="s">
        <v>229</v>
      </c>
    </row>
    <row r="5654" spans="1:5" ht="27">
      <c r="A5654" s="271">
        <v>87683</v>
      </c>
      <c r="B5654" s="272" t="s">
        <v>2776</v>
      </c>
      <c r="C5654" s="272" t="s">
        <v>193</v>
      </c>
      <c r="D5654" s="273" t="s">
        <v>24080</v>
      </c>
      <c r="E5654" s="274" t="s">
        <v>229</v>
      </c>
    </row>
    <row r="5655" spans="1:5" ht="27">
      <c r="A5655" s="271">
        <v>87684</v>
      </c>
      <c r="B5655" s="272" t="s">
        <v>2777</v>
      </c>
      <c r="C5655" s="272" t="s">
        <v>193</v>
      </c>
      <c r="D5655" s="273" t="s">
        <v>24081</v>
      </c>
      <c r="E5655" s="274" t="s">
        <v>229</v>
      </c>
    </row>
    <row r="5656" spans="1:5" ht="27">
      <c r="A5656" s="271">
        <v>87690</v>
      </c>
      <c r="B5656" s="272" t="s">
        <v>2778</v>
      </c>
      <c r="C5656" s="272" t="s">
        <v>193</v>
      </c>
      <c r="D5656" s="273" t="s">
        <v>24082</v>
      </c>
      <c r="E5656" s="274" t="s">
        <v>229</v>
      </c>
    </row>
    <row r="5657" spans="1:5" ht="27">
      <c r="A5657" s="271">
        <v>87692</v>
      </c>
      <c r="B5657" s="272" t="s">
        <v>2779</v>
      </c>
      <c r="C5657" s="272" t="s">
        <v>193</v>
      </c>
      <c r="D5657" s="273" t="s">
        <v>21197</v>
      </c>
      <c r="E5657" s="274" t="s">
        <v>229</v>
      </c>
    </row>
    <row r="5658" spans="1:5" ht="27">
      <c r="A5658" s="271">
        <v>87693</v>
      </c>
      <c r="B5658" s="272" t="s">
        <v>2780</v>
      </c>
      <c r="C5658" s="272" t="s">
        <v>193</v>
      </c>
      <c r="D5658" s="273" t="s">
        <v>24083</v>
      </c>
      <c r="E5658" s="274" t="s">
        <v>229</v>
      </c>
    </row>
    <row r="5659" spans="1:5" ht="27">
      <c r="A5659" s="271">
        <v>87694</v>
      </c>
      <c r="B5659" s="272" t="s">
        <v>2781</v>
      </c>
      <c r="C5659" s="272" t="s">
        <v>193</v>
      </c>
      <c r="D5659" s="273" t="s">
        <v>24084</v>
      </c>
      <c r="E5659" s="274" t="s">
        <v>229</v>
      </c>
    </row>
    <row r="5660" spans="1:5" ht="27">
      <c r="A5660" s="271">
        <v>87700</v>
      </c>
      <c r="B5660" s="272" t="s">
        <v>2782</v>
      </c>
      <c r="C5660" s="272" t="s">
        <v>193</v>
      </c>
      <c r="D5660" s="273" t="s">
        <v>24085</v>
      </c>
      <c r="E5660" s="274" t="s">
        <v>229</v>
      </c>
    </row>
    <row r="5661" spans="1:5" ht="27">
      <c r="A5661" s="271">
        <v>87702</v>
      </c>
      <c r="B5661" s="272" t="s">
        <v>2783</v>
      </c>
      <c r="C5661" s="272" t="s">
        <v>193</v>
      </c>
      <c r="D5661" s="273" t="s">
        <v>16055</v>
      </c>
      <c r="E5661" s="274" t="s">
        <v>229</v>
      </c>
    </row>
    <row r="5662" spans="1:5" ht="27">
      <c r="A5662" s="271">
        <v>87703</v>
      </c>
      <c r="B5662" s="272" t="s">
        <v>2784</v>
      </c>
      <c r="C5662" s="272" t="s">
        <v>193</v>
      </c>
      <c r="D5662" s="273" t="s">
        <v>24086</v>
      </c>
      <c r="E5662" s="274" t="s">
        <v>229</v>
      </c>
    </row>
    <row r="5663" spans="1:5" ht="27">
      <c r="A5663" s="271">
        <v>87704</v>
      </c>
      <c r="B5663" s="272" t="s">
        <v>2785</v>
      </c>
      <c r="C5663" s="272" t="s">
        <v>193</v>
      </c>
      <c r="D5663" s="273" t="s">
        <v>12255</v>
      </c>
      <c r="E5663" s="274" t="s">
        <v>229</v>
      </c>
    </row>
    <row r="5664" spans="1:5" ht="27">
      <c r="A5664" s="271">
        <v>87735</v>
      </c>
      <c r="B5664" s="272" t="s">
        <v>2786</v>
      </c>
      <c r="C5664" s="272" t="s">
        <v>193</v>
      </c>
      <c r="D5664" s="273" t="s">
        <v>15797</v>
      </c>
      <c r="E5664" s="274" t="s">
        <v>229</v>
      </c>
    </row>
    <row r="5665" spans="1:5" ht="27">
      <c r="A5665" s="271">
        <v>87737</v>
      </c>
      <c r="B5665" s="272" t="s">
        <v>2787</v>
      </c>
      <c r="C5665" s="272" t="s">
        <v>193</v>
      </c>
      <c r="D5665" s="273" t="s">
        <v>23185</v>
      </c>
      <c r="E5665" s="274" t="s">
        <v>229</v>
      </c>
    </row>
    <row r="5666" spans="1:5" ht="27">
      <c r="A5666" s="271">
        <v>87738</v>
      </c>
      <c r="B5666" s="272" t="s">
        <v>2788</v>
      </c>
      <c r="C5666" s="272" t="s">
        <v>193</v>
      </c>
      <c r="D5666" s="273" t="s">
        <v>24087</v>
      </c>
      <c r="E5666" s="274" t="s">
        <v>229</v>
      </c>
    </row>
    <row r="5667" spans="1:5" ht="27">
      <c r="A5667" s="271">
        <v>87739</v>
      </c>
      <c r="B5667" s="272" t="s">
        <v>2789</v>
      </c>
      <c r="C5667" s="272" t="s">
        <v>193</v>
      </c>
      <c r="D5667" s="273" t="s">
        <v>16015</v>
      </c>
      <c r="E5667" s="274" t="s">
        <v>229</v>
      </c>
    </row>
    <row r="5668" spans="1:5" ht="27">
      <c r="A5668" s="271">
        <v>87745</v>
      </c>
      <c r="B5668" s="272" t="s">
        <v>2790</v>
      </c>
      <c r="C5668" s="272" t="s">
        <v>193</v>
      </c>
      <c r="D5668" s="273" t="s">
        <v>24088</v>
      </c>
      <c r="E5668" s="274" t="s">
        <v>229</v>
      </c>
    </row>
    <row r="5669" spans="1:5" ht="27">
      <c r="A5669" s="271">
        <v>87747</v>
      </c>
      <c r="B5669" s="272" t="s">
        <v>2791</v>
      </c>
      <c r="C5669" s="272" t="s">
        <v>193</v>
      </c>
      <c r="D5669" s="273" t="s">
        <v>14257</v>
      </c>
      <c r="E5669" s="274" t="s">
        <v>229</v>
      </c>
    </row>
    <row r="5670" spans="1:5" ht="27">
      <c r="A5670" s="271">
        <v>87748</v>
      </c>
      <c r="B5670" s="272" t="s">
        <v>2792</v>
      </c>
      <c r="C5670" s="272" t="s">
        <v>193</v>
      </c>
      <c r="D5670" s="273" t="s">
        <v>16184</v>
      </c>
      <c r="E5670" s="274" t="s">
        <v>229</v>
      </c>
    </row>
    <row r="5671" spans="1:5" ht="27">
      <c r="A5671" s="271">
        <v>87749</v>
      </c>
      <c r="B5671" s="272" t="s">
        <v>2793</v>
      </c>
      <c r="C5671" s="272" t="s">
        <v>193</v>
      </c>
      <c r="D5671" s="273" t="s">
        <v>24089</v>
      </c>
      <c r="E5671" s="274" t="s">
        <v>229</v>
      </c>
    </row>
    <row r="5672" spans="1:5" ht="27">
      <c r="A5672" s="271">
        <v>87755</v>
      </c>
      <c r="B5672" s="272" t="s">
        <v>2794</v>
      </c>
      <c r="C5672" s="272" t="s">
        <v>193</v>
      </c>
      <c r="D5672" s="273" t="s">
        <v>24090</v>
      </c>
      <c r="E5672" s="274" t="s">
        <v>229</v>
      </c>
    </row>
    <row r="5673" spans="1:5" ht="27">
      <c r="A5673" s="271">
        <v>87757</v>
      </c>
      <c r="B5673" s="272" t="s">
        <v>2795</v>
      </c>
      <c r="C5673" s="272" t="s">
        <v>193</v>
      </c>
      <c r="D5673" s="273" t="s">
        <v>14215</v>
      </c>
      <c r="E5673" s="274" t="s">
        <v>229</v>
      </c>
    </row>
    <row r="5674" spans="1:5" ht="27">
      <c r="A5674" s="271">
        <v>87758</v>
      </c>
      <c r="B5674" s="272" t="s">
        <v>2796</v>
      </c>
      <c r="C5674" s="272" t="s">
        <v>193</v>
      </c>
      <c r="D5674" s="273" t="s">
        <v>21196</v>
      </c>
      <c r="E5674" s="274" t="s">
        <v>229</v>
      </c>
    </row>
    <row r="5675" spans="1:5" ht="27">
      <c r="A5675" s="271">
        <v>87759</v>
      </c>
      <c r="B5675" s="272" t="s">
        <v>2797</v>
      </c>
      <c r="C5675" s="272" t="s">
        <v>193</v>
      </c>
      <c r="D5675" s="273" t="s">
        <v>24091</v>
      </c>
      <c r="E5675" s="274" t="s">
        <v>229</v>
      </c>
    </row>
    <row r="5676" spans="1:5" ht="27">
      <c r="A5676" s="271">
        <v>87765</v>
      </c>
      <c r="B5676" s="272" t="s">
        <v>2798</v>
      </c>
      <c r="C5676" s="272" t="s">
        <v>193</v>
      </c>
      <c r="D5676" s="273" t="s">
        <v>24092</v>
      </c>
      <c r="E5676" s="274" t="s">
        <v>229</v>
      </c>
    </row>
    <row r="5677" spans="1:5" ht="27">
      <c r="A5677" s="271">
        <v>87767</v>
      </c>
      <c r="B5677" s="272" t="s">
        <v>2799</v>
      </c>
      <c r="C5677" s="272" t="s">
        <v>193</v>
      </c>
      <c r="D5677" s="273" t="s">
        <v>24093</v>
      </c>
      <c r="E5677" s="274" t="s">
        <v>229</v>
      </c>
    </row>
    <row r="5678" spans="1:5" ht="27">
      <c r="A5678" s="271">
        <v>87768</v>
      </c>
      <c r="B5678" s="272" t="s">
        <v>2800</v>
      </c>
      <c r="C5678" s="272" t="s">
        <v>193</v>
      </c>
      <c r="D5678" s="273" t="s">
        <v>24094</v>
      </c>
      <c r="E5678" s="274" t="s">
        <v>229</v>
      </c>
    </row>
    <row r="5679" spans="1:5" ht="27">
      <c r="A5679" s="271">
        <v>87769</v>
      </c>
      <c r="B5679" s="272" t="s">
        <v>2801</v>
      </c>
      <c r="C5679" s="272" t="s">
        <v>193</v>
      </c>
      <c r="D5679" s="273" t="s">
        <v>24095</v>
      </c>
      <c r="E5679" s="274" t="s">
        <v>229</v>
      </c>
    </row>
    <row r="5680" spans="1:5" ht="13.5">
      <c r="A5680" s="271">
        <v>88470</v>
      </c>
      <c r="B5680" s="272" t="s">
        <v>2802</v>
      </c>
      <c r="C5680" s="272" t="s">
        <v>193</v>
      </c>
      <c r="D5680" s="273" t="s">
        <v>14218</v>
      </c>
      <c r="E5680" s="274" t="s">
        <v>229</v>
      </c>
    </row>
    <row r="5681" spans="1:5" ht="13.5">
      <c r="A5681" s="271">
        <v>88471</v>
      </c>
      <c r="B5681" s="272" t="s">
        <v>2803</v>
      </c>
      <c r="C5681" s="272" t="s">
        <v>193</v>
      </c>
      <c r="D5681" s="273" t="s">
        <v>11008</v>
      </c>
      <c r="E5681" s="274" t="s">
        <v>229</v>
      </c>
    </row>
    <row r="5682" spans="1:5" ht="13.5">
      <c r="A5682" s="271">
        <v>88472</v>
      </c>
      <c r="B5682" s="272" t="s">
        <v>2804</v>
      </c>
      <c r="C5682" s="272" t="s">
        <v>193</v>
      </c>
      <c r="D5682" s="273" t="s">
        <v>19951</v>
      </c>
      <c r="E5682" s="274" t="s">
        <v>229</v>
      </c>
    </row>
    <row r="5683" spans="1:5" ht="13.5">
      <c r="A5683" s="271">
        <v>88476</v>
      </c>
      <c r="B5683" s="272" t="s">
        <v>2805</v>
      </c>
      <c r="C5683" s="272" t="s">
        <v>193</v>
      </c>
      <c r="D5683" s="273" t="s">
        <v>10173</v>
      </c>
      <c r="E5683" s="274" t="s">
        <v>229</v>
      </c>
    </row>
    <row r="5684" spans="1:5" ht="13.5">
      <c r="A5684" s="271">
        <v>88477</v>
      </c>
      <c r="B5684" s="272" t="s">
        <v>2806</v>
      </c>
      <c r="C5684" s="272" t="s">
        <v>193</v>
      </c>
      <c r="D5684" s="273" t="s">
        <v>22676</v>
      </c>
      <c r="E5684" s="274" t="s">
        <v>229</v>
      </c>
    </row>
    <row r="5685" spans="1:5" ht="13.5">
      <c r="A5685" s="271">
        <v>88478</v>
      </c>
      <c r="B5685" s="272" t="s">
        <v>2807</v>
      </c>
      <c r="C5685" s="272" t="s">
        <v>193</v>
      </c>
      <c r="D5685" s="273" t="s">
        <v>11520</v>
      </c>
      <c r="E5685" s="274" t="s">
        <v>229</v>
      </c>
    </row>
    <row r="5686" spans="1:5" ht="27">
      <c r="A5686" s="271">
        <v>90900</v>
      </c>
      <c r="B5686" s="272" t="s">
        <v>2808</v>
      </c>
      <c r="C5686" s="272" t="s">
        <v>193</v>
      </c>
      <c r="D5686" s="273" t="s">
        <v>24050</v>
      </c>
      <c r="E5686" s="274" t="s">
        <v>229</v>
      </c>
    </row>
    <row r="5687" spans="1:5" ht="27">
      <c r="A5687" s="271">
        <v>90902</v>
      </c>
      <c r="B5687" s="272" t="s">
        <v>2809</v>
      </c>
      <c r="C5687" s="272" t="s">
        <v>193</v>
      </c>
      <c r="D5687" s="273" t="s">
        <v>22522</v>
      </c>
      <c r="E5687" s="274" t="s">
        <v>229</v>
      </c>
    </row>
    <row r="5688" spans="1:5" ht="27">
      <c r="A5688" s="271">
        <v>90903</v>
      </c>
      <c r="B5688" s="272" t="s">
        <v>2810</v>
      </c>
      <c r="C5688" s="272" t="s">
        <v>193</v>
      </c>
      <c r="D5688" s="273" t="s">
        <v>22225</v>
      </c>
      <c r="E5688" s="274" t="s">
        <v>229</v>
      </c>
    </row>
    <row r="5689" spans="1:5" ht="27">
      <c r="A5689" s="271">
        <v>90904</v>
      </c>
      <c r="B5689" s="272" t="s">
        <v>2811</v>
      </c>
      <c r="C5689" s="272" t="s">
        <v>193</v>
      </c>
      <c r="D5689" s="273" t="s">
        <v>21652</v>
      </c>
      <c r="E5689" s="274" t="s">
        <v>229</v>
      </c>
    </row>
    <row r="5690" spans="1:5" ht="27">
      <c r="A5690" s="271">
        <v>90910</v>
      </c>
      <c r="B5690" s="272" t="s">
        <v>2812</v>
      </c>
      <c r="C5690" s="272" t="s">
        <v>193</v>
      </c>
      <c r="D5690" s="273" t="s">
        <v>24096</v>
      </c>
      <c r="E5690" s="274" t="s">
        <v>229</v>
      </c>
    </row>
    <row r="5691" spans="1:5" ht="27">
      <c r="A5691" s="271">
        <v>90912</v>
      </c>
      <c r="B5691" s="272" t="s">
        <v>2813</v>
      </c>
      <c r="C5691" s="272" t="s">
        <v>193</v>
      </c>
      <c r="D5691" s="273" t="s">
        <v>20344</v>
      </c>
      <c r="E5691" s="274" t="s">
        <v>229</v>
      </c>
    </row>
    <row r="5692" spans="1:5" ht="27">
      <c r="A5692" s="271">
        <v>90913</v>
      </c>
      <c r="B5692" s="272" t="s">
        <v>2814</v>
      </c>
      <c r="C5692" s="272" t="s">
        <v>193</v>
      </c>
      <c r="D5692" s="273" t="s">
        <v>21730</v>
      </c>
      <c r="E5692" s="274" t="s">
        <v>229</v>
      </c>
    </row>
    <row r="5693" spans="1:5" ht="27">
      <c r="A5693" s="271">
        <v>90914</v>
      </c>
      <c r="B5693" s="272" t="s">
        <v>2815</v>
      </c>
      <c r="C5693" s="272" t="s">
        <v>193</v>
      </c>
      <c r="D5693" s="273" t="s">
        <v>24097</v>
      </c>
      <c r="E5693" s="274" t="s">
        <v>229</v>
      </c>
    </row>
    <row r="5694" spans="1:5" ht="27">
      <c r="A5694" s="271">
        <v>90920</v>
      </c>
      <c r="B5694" s="272" t="s">
        <v>2816</v>
      </c>
      <c r="C5694" s="272" t="s">
        <v>193</v>
      </c>
      <c r="D5694" s="273" t="s">
        <v>24098</v>
      </c>
      <c r="E5694" s="274" t="s">
        <v>229</v>
      </c>
    </row>
    <row r="5695" spans="1:5" ht="27">
      <c r="A5695" s="271">
        <v>90922</v>
      </c>
      <c r="B5695" s="272" t="s">
        <v>2817</v>
      </c>
      <c r="C5695" s="272" t="s">
        <v>193</v>
      </c>
      <c r="D5695" s="273" t="s">
        <v>24099</v>
      </c>
      <c r="E5695" s="274" t="s">
        <v>229</v>
      </c>
    </row>
    <row r="5696" spans="1:5" ht="27">
      <c r="A5696" s="271">
        <v>90923</v>
      </c>
      <c r="B5696" s="272" t="s">
        <v>2818</v>
      </c>
      <c r="C5696" s="272" t="s">
        <v>193</v>
      </c>
      <c r="D5696" s="273" t="s">
        <v>24100</v>
      </c>
      <c r="E5696" s="274" t="s">
        <v>229</v>
      </c>
    </row>
    <row r="5697" spans="1:5" ht="27">
      <c r="A5697" s="271">
        <v>90924</v>
      </c>
      <c r="B5697" s="272" t="s">
        <v>2819</v>
      </c>
      <c r="C5697" s="272" t="s">
        <v>193</v>
      </c>
      <c r="D5697" s="273" t="s">
        <v>24101</v>
      </c>
      <c r="E5697" s="274" t="s">
        <v>229</v>
      </c>
    </row>
    <row r="5698" spans="1:5" ht="27">
      <c r="A5698" s="271">
        <v>90930</v>
      </c>
      <c r="B5698" s="272" t="s">
        <v>2820</v>
      </c>
      <c r="C5698" s="272" t="s">
        <v>193</v>
      </c>
      <c r="D5698" s="273" t="s">
        <v>24102</v>
      </c>
      <c r="E5698" s="274" t="s">
        <v>229</v>
      </c>
    </row>
    <row r="5699" spans="1:5" ht="27">
      <c r="A5699" s="271">
        <v>90932</v>
      </c>
      <c r="B5699" s="272" t="s">
        <v>2821</v>
      </c>
      <c r="C5699" s="272" t="s">
        <v>193</v>
      </c>
      <c r="D5699" s="273" t="s">
        <v>24103</v>
      </c>
      <c r="E5699" s="274" t="s">
        <v>229</v>
      </c>
    </row>
    <row r="5700" spans="1:5" ht="27">
      <c r="A5700" s="271">
        <v>90933</v>
      </c>
      <c r="B5700" s="272" t="s">
        <v>2822</v>
      </c>
      <c r="C5700" s="272" t="s">
        <v>193</v>
      </c>
      <c r="D5700" s="273" t="s">
        <v>24104</v>
      </c>
      <c r="E5700" s="274" t="s">
        <v>229</v>
      </c>
    </row>
    <row r="5701" spans="1:5" ht="27">
      <c r="A5701" s="271">
        <v>90934</v>
      </c>
      <c r="B5701" s="272" t="s">
        <v>2823</v>
      </c>
      <c r="C5701" s="272" t="s">
        <v>193</v>
      </c>
      <c r="D5701" s="273" t="s">
        <v>20774</v>
      </c>
      <c r="E5701" s="274" t="s">
        <v>229</v>
      </c>
    </row>
    <row r="5702" spans="1:5" ht="27">
      <c r="A5702" s="271">
        <v>90940</v>
      </c>
      <c r="B5702" s="272" t="s">
        <v>2824</v>
      </c>
      <c r="C5702" s="272" t="s">
        <v>193</v>
      </c>
      <c r="D5702" s="273" t="s">
        <v>19091</v>
      </c>
      <c r="E5702" s="274" t="s">
        <v>229</v>
      </c>
    </row>
    <row r="5703" spans="1:5" ht="27">
      <c r="A5703" s="271">
        <v>90942</v>
      </c>
      <c r="B5703" s="272" t="s">
        <v>2825</v>
      </c>
      <c r="C5703" s="272" t="s">
        <v>193</v>
      </c>
      <c r="D5703" s="273" t="s">
        <v>16457</v>
      </c>
      <c r="E5703" s="274" t="s">
        <v>229</v>
      </c>
    </row>
    <row r="5704" spans="1:5" ht="27">
      <c r="A5704" s="271">
        <v>90943</v>
      </c>
      <c r="B5704" s="272" t="s">
        <v>2826</v>
      </c>
      <c r="C5704" s="272" t="s">
        <v>193</v>
      </c>
      <c r="D5704" s="273" t="s">
        <v>24105</v>
      </c>
      <c r="E5704" s="274" t="s">
        <v>229</v>
      </c>
    </row>
    <row r="5705" spans="1:5" ht="27">
      <c r="A5705" s="271">
        <v>90944</v>
      </c>
      <c r="B5705" s="272" t="s">
        <v>2827</v>
      </c>
      <c r="C5705" s="272" t="s">
        <v>193</v>
      </c>
      <c r="D5705" s="273" t="s">
        <v>22264</v>
      </c>
      <c r="E5705" s="274" t="s">
        <v>229</v>
      </c>
    </row>
    <row r="5706" spans="1:5" ht="27">
      <c r="A5706" s="271">
        <v>90950</v>
      </c>
      <c r="B5706" s="272" t="s">
        <v>2828</v>
      </c>
      <c r="C5706" s="272" t="s">
        <v>193</v>
      </c>
      <c r="D5706" s="273" t="s">
        <v>24106</v>
      </c>
      <c r="E5706" s="274" t="s">
        <v>229</v>
      </c>
    </row>
    <row r="5707" spans="1:5" ht="27">
      <c r="A5707" s="271">
        <v>90952</v>
      </c>
      <c r="B5707" s="272" t="s">
        <v>2829</v>
      </c>
      <c r="C5707" s="272" t="s">
        <v>193</v>
      </c>
      <c r="D5707" s="273" t="s">
        <v>16583</v>
      </c>
      <c r="E5707" s="274" t="s">
        <v>229</v>
      </c>
    </row>
    <row r="5708" spans="1:5" ht="27">
      <c r="A5708" s="271">
        <v>90953</v>
      </c>
      <c r="B5708" s="272" t="s">
        <v>2830</v>
      </c>
      <c r="C5708" s="272" t="s">
        <v>193</v>
      </c>
      <c r="D5708" s="273" t="s">
        <v>24107</v>
      </c>
      <c r="E5708" s="274" t="s">
        <v>229</v>
      </c>
    </row>
    <row r="5709" spans="1:5" ht="27">
      <c r="A5709" s="271">
        <v>90954</v>
      </c>
      <c r="B5709" s="272" t="s">
        <v>2831</v>
      </c>
      <c r="C5709" s="272" t="s">
        <v>193</v>
      </c>
      <c r="D5709" s="273" t="s">
        <v>24108</v>
      </c>
      <c r="E5709" s="274" t="s">
        <v>229</v>
      </c>
    </row>
    <row r="5710" spans="1:5" ht="40.5">
      <c r="A5710" s="271">
        <v>94438</v>
      </c>
      <c r="B5710" s="272" t="s">
        <v>2832</v>
      </c>
      <c r="C5710" s="272" t="s">
        <v>193</v>
      </c>
      <c r="D5710" s="273" t="s">
        <v>10447</v>
      </c>
      <c r="E5710" s="274" t="s">
        <v>229</v>
      </c>
    </row>
    <row r="5711" spans="1:5" ht="54">
      <c r="A5711" s="271">
        <v>94439</v>
      </c>
      <c r="B5711" s="272" t="s">
        <v>2833</v>
      </c>
      <c r="C5711" s="272" t="s">
        <v>193</v>
      </c>
      <c r="D5711" s="273" t="s">
        <v>24109</v>
      </c>
      <c r="E5711" s="274" t="s">
        <v>229</v>
      </c>
    </row>
    <row r="5712" spans="1:5" ht="40.5">
      <c r="A5712" s="271">
        <v>94779</v>
      </c>
      <c r="B5712" s="272" t="s">
        <v>2834</v>
      </c>
      <c r="C5712" s="272" t="s">
        <v>193</v>
      </c>
      <c r="D5712" s="273" t="s">
        <v>20825</v>
      </c>
      <c r="E5712" s="274" t="s">
        <v>229</v>
      </c>
    </row>
    <row r="5713" spans="1:5" ht="54">
      <c r="A5713" s="271">
        <v>94782</v>
      </c>
      <c r="B5713" s="272" t="s">
        <v>2835</v>
      </c>
      <c r="C5713" s="272" t="s">
        <v>193</v>
      </c>
      <c r="D5713" s="273" t="s">
        <v>24110</v>
      </c>
      <c r="E5713" s="274" t="s">
        <v>229</v>
      </c>
    </row>
    <row r="5714" spans="1:5" ht="13.5">
      <c r="A5714" s="271">
        <v>101742</v>
      </c>
      <c r="B5714" s="272" t="s">
        <v>13772</v>
      </c>
      <c r="C5714" s="272" t="s">
        <v>5</v>
      </c>
      <c r="D5714" s="275" t="s">
        <v>24111</v>
      </c>
      <c r="E5714" s="274" t="s">
        <v>229</v>
      </c>
    </row>
    <row r="5715" spans="1:5" ht="27">
      <c r="A5715" s="271">
        <v>87871</v>
      </c>
      <c r="B5715" s="272" t="s">
        <v>2836</v>
      </c>
      <c r="C5715" s="272" t="s">
        <v>193</v>
      </c>
      <c r="D5715" s="273" t="s">
        <v>9814</v>
      </c>
      <c r="E5715" s="274" t="s">
        <v>229</v>
      </c>
    </row>
    <row r="5716" spans="1:5" ht="40.5">
      <c r="A5716" s="271">
        <v>87872</v>
      </c>
      <c r="B5716" s="272" t="s">
        <v>2837</v>
      </c>
      <c r="C5716" s="272" t="s">
        <v>193</v>
      </c>
      <c r="D5716" s="273" t="s">
        <v>10615</v>
      </c>
      <c r="E5716" s="274" t="s">
        <v>229</v>
      </c>
    </row>
    <row r="5717" spans="1:5" ht="40.5">
      <c r="A5717" s="271">
        <v>87873</v>
      </c>
      <c r="B5717" s="272" t="s">
        <v>2838</v>
      </c>
      <c r="C5717" s="272" t="s">
        <v>193</v>
      </c>
      <c r="D5717" s="273" t="s">
        <v>9756</v>
      </c>
      <c r="E5717" s="274" t="s">
        <v>229</v>
      </c>
    </row>
    <row r="5718" spans="1:5" ht="40.5">
      <c r="A5718" s="271">
        <v>87874</v>
      </c>
      <c r="B5718" s="272" t="s">
        <v>2839</v>
      </c>
      <c r="C5718" s="272" t="s">
        <v>193</v>
      </c>
      <c r="D5718" s="273" t="s">
        <v>10212</v>
      </c>
      <c r="E5718" s="274" t="s">
        <v>229</v>
      </c>
    </row>
    <row r="5719" spans="1:5" ht="27">
      <c r="A5719" s="271">
        <v>87876</v>
      </c>
      <c r="B5719" s="272" t="s">
        <v>2840</v>
      </c>
      <c r="C5719" s="272" t="s">
        <v>193</v>
      </c>
      <c r="D5719" s="273" t="s">
        <v>11060</v>
      </c>
      <c r="E5719" s="274" t="s">
        <v>229</v>
      </c>
    </row>
    <row r="5720" spans="1:5" ht="40.5">
      <c r="A5720" s="271">
        <v>87877</v>
      </c>
      <c r="B5720" s="272" t="s">
        <v>2841</v>
      </c>
      <c r="C5720" s="272" t="s">
        <v>193</v>
      </c>
      <c r="D5720" s="273" t="s">
        <v>10074</v>
      </c>
      <c r="E5720" s="274" t="s">
        <v>229</v>
      </c>
    </row>
    <row r="5721" spans="1:5" ht="27">
      <c r="A5721" s="271">
        <v>87878</v>
      </c>
      <c r="B5721" s="272" t="s">
        <v>2842</v>
      </c>
      <c r="C5721" s="272" t="s">
        <v>193</v>
      </c>
      <c r="D5721" s="273" t="s">
        <v>21410</v>
      </c>
      <c r="E5721" s="274" t="s">
        <v>229</v>
      </c>
    </row>
    <row r="5722" spans="1:5" ht="27">
      <c r="A5722" s="271">
        <v>87879</v>
      </c>
      <c r="B5722" s="272" t="s">
        <v>2843</v>
      </c>
      <c r="C5722" s="272" t="s">
        <v>193</v>
      </c>
      <c r="D5722" s="273" t="s">
        <v>9809</v>
      </c>
      <c r="E5722" s="274" t="s">
        <v>229</v>
      </c>
    </row>
    <row r="5723" spans="1:5" ht="27">
      <c r="A5723" s="271">
        <v>87881</v>
      </c>
      <c r="B5723" s="272" t="s">
        <v>2844</v>
      </c>
      <c r="C5723" s="272" t="s">
        <v>193</v>
      </c>
      <c r="D5723" s="273" t="s">
        <v>10218</v>
      </c>
      <c r="E5723" s="274" t="s">
        <v>229</v>
      </c>
    </row>
    <row r="5724" spans="1:5" ht="27">
      <c r="A5724" s="271">
        <v>87882</v>
      </c>
      <c r="B5724" s="272" t="s">
        <v>2845</v>
      </c>
      <c r="C5724" s="272" t="s">
        <v>193</v>
      </c>
      <c r="D5724" s="273" t="s">
        <v>20346</v>
      </c>
      <c r="E5724" s="274" t="s">
        <v>229</v>
      </c>
    </row>
    <row r="5725" spans="1:5" ht="27">
      <c r="A5725" s="271">
        <v>87884</v>
      </c>
      <c r="B5725" s="272" t="s">
        <v>2846</v>
      </c>
      <c r="C5725" s="272" t="s">
        <v>193</v>
      </c>
      <c r="D5725" s="273" t="s">
        <v>19062</v>
      </c>
      <c r="E5725" s="274" t="s">
        <v>229</v>
      </c>
    </row>
    <row r="5726" spans="1:5" ht="27">
      <c r="A5726" s="271">
        <v>87885</v>
      </c>
      <c r="B5726" s="272" t="s">
        <v>2847</v>
      </c>
      <c r="C5726" s="272" t="s">
        <v>193</v>
      </c>
      <c r="D5726" s="273" t="s">
        <v>9748</v>
      </c>
      <c r="E5726" s="274" t="s">
        <v>229</v>
      </c>
    </row>
    <row r="5727" spans="1:5" ht="27">
      <c r="A5727" s="271">
        <v>87886</v>
      </c>
      <c r="B5727" s="272" t="s">
        <v>2848</v>
      </c>
      <c r="C5727" s="272" t="s">
        <v>193</v>
      </c>
      <c r="D5727" s="273" t="s">
        <v>15964</v>
      </c>
      <c r="E5727" s="274" t="s">
        <v>229</v>
      </c>
    </row>
    <row r="5728" spans="1:5" ht="27">
      <c r="A5728" s="271">
        <v>87887</v>
      </c>
      <c r="B5728" s="272" t="s">
        <v>2849</v>
      </c>
      <c r="C5728" s="272" t="s">
        <v>193</v>
      </c>
      <c r="D5728" s="273" t="s">
        <v>12388</v>
      </c>
      <c r="E5728" s="274" t="s">
        <v>229</v>
      </c>
    </row>
    <row r="5729" spans="1:5" ht="40.5">
      <c r="A5729" s="271">
        <v>87888</v>
      </c>
      <c r="B5729" s="272" t="s">
        <v>2850</v>
      </c>
      <c r="C5729" s="272" t="s">
        <v>193</v>
      </c>
      <c r="D5729" s="273" t="s">
        <v>10202</v>
      </c>
      <c r="E5729" s="274" t="s">
        <v>229</v>
      </c>
    </row>
    <row r="5730" spans="1:5" ht="40.5">
      <c r="A5730" s="271">
        <v>87889</v>
      </c>
      <c r="B5730" s="272" t="s">
        <v>2851</v>
      </c>
      <c r="C5730" s="272" t="s">
        <v>193</v>
      </c>
      <c r="D5730" s="273" t="s">
        <v>10219</v>
      </c>
      <c r="E5730" s="274" t="s">
        <v>229</v>
      </c>
    </row>
    <row r="5731" spans="1:5" ht="40.5">
      <c r="A5731" s="271">
        <v>87891</v>
      </c>
      <c r="B5731" s="272" t="s">
        <v>2852</v>
      </c>
      <c r="C5731" s="272" t="s">
        <v>193</v>
      </c>
      <c r="D5731" s="273" t="s">
        <v>12242</v>
      </c>
      <c r="E5731" s="274" t="s">
        <v>229</v>
      </c>
    </row>
    <row r="5732" spans="1:5" ht="40.5">
      <c r="A5732" s="271">
        <v>87892</v>
      </c>
      <c r="B5732" s="272" t="s">
        <v>2853</v>
      </c>
      <c r="C5732" s="272" t="s">
        <v>193</v>
      </c>
      <c r="D5732" s="273" t="s">
        <v>10277</v>
      </c>
      <c r="E5732" s="274" t="s">
        <v>229</v>
      </c>
    </row>
    <row r="5733" spans="1:5" ht="27">
      <c r="A5733" s="271">
        <v>87893</v>
      </c>
      <c r="B5733" s="272" t="s">
        <v>2854</v>
      </c>
      <c r="C5733" s="272" t="s">
        <v>193</v>
      </c>
      <c r="D5733" s="273" t="s">
        <v>10075</v>
      </c>
      <c r="E5733" s="274" t="s">
        <v>229</v>
      </c>
    </row>
    <row r="5734" spans="1:5" ht="40.5">
      <c r="A5734" s="271">
        <v>87894</v>
      </c>
      <c r="B5734" s="272" t="s">
        <v>2855</v>
      </c>
      <c r="C5734" s="272" t="s">
        <v>193</v>
      </c>
      <c r="D5734" s="273" t="s">
        <v>19062</v>
      </c>
      <c r="E5734" s="274" t="s">
        <v>229</v>
      </c>
    </row>
    <row r="5735" spans="1:5" ht="40.5">
      <c r="A5735" s="271">
        <v>87896</v>
      </c>
      <c r="B5735" s="272" t="s">
        <v>2856</v>
      </c>
      <c r="C5735" s="272" t="s">
        <v>193</v>
      </c>
      <c r="D5735" s="273" t="s">
        <v>10194</v>
      </c>
      <c r="E5735" s="274" t="s">
        <v>229</v>
      </c>
    </row>
    <row r="5736" spans="1:5" ht="40.5">
      <c r="A5736" s="271">
        <v>87897</v>
      </c>
      <c r="B5736" s="272" t="s">
        <v>2857</v>
      </c>
      <c r="C5736" s="272" t="s">
        <v>193</v>
      </c>
      <c r="D5736" s="273" t="s">
        <v>10283</v>
      </c>
      <c r="E5736" s="274" t="s">
        <v>229</v>
      </c>
    </row>
    <row r="5737" spans="1:5" ht="40.5">
      <c r="A5737" s="271">
        <v>87899</v>
      </c>
      <c r="B5737" s="272" t="s">
        <v>2858</v>
      </c>
      <c r="C5737" s="272" t="s">
        <v>193</v>
      </c>
      <c r="D5737" s="273" t="s">
        <v>11410</v>
      </c>
      <c r="E5737" s="274" t="s">
        <v>229</v>
      </c>
    </row>
    <row r="5738" spans="1:5" ht="40.5">
      <c r="A5738" s="271">
        <v>87900</v>
      </c>
      <c r="B5738" s="272" t="s">
        <v>2859</v>
      </c>
      <c r="C5738" s="272" t="s">
        <v>193</v>
      </c>
      <c r="D5738" s="273" t="s">
        <v>11414</v>
      </c>
      <c r="E5738" s="274" t="s">
        <v>229</v>
      </c>
    </row>
    <row r="5739" spans="1:5" ht="40.5">
      <c r="A5739" s="271">
        <v>87902</v>
      </c>
      <c r="B5739" s="272" t="s">
        <v>2860</v>
      </c>
      <c r="C5739" s="272" t="s">
        <v>193</v>
      </c>
      <c r="D5739" s="273" t="s">
        <v>12141</v>
      </c>
      <c r="E5739" s="274" t="s">
        <v>229</v>
      </c>
    </row>
    <row r="5740" spans="1:5" ht="40.5">
      <c r="A5740" s="271">
        <v>87903</v>
      </c>
      <c r="B5740" s="272" t="s">
        <v>2861</v>
      </c>
      <c r="C5740" s="272" t="s">
        <v>193</v>
      </c>
      <c r="D5740" s="273" t="s">
        <v>16401</v>
      </c>
      <c r="E5740" s="274" t="s">
        <v>229</v>
      </c>
    </row>
    <row r="5741" spans="1:5" ht="27">
      <c r="A5741" s="271">
        <v>87904</v>
      </c>
      <c r="B5741" s="272" t="s">
        <v>2862</v>
      </c>
      <c r="C5741" s="272" t="s">
        <v>193</v>
      </c>
      <c r="D5741" s="273" t="s">
        <v>11355</v>
      </c>
      <c r="E5741" s="274" t="s">
        <v>229</v>
      </c>
    </row>
    <row r="5742" spans="1:5" ht="40.5">
      <c r="A5742" s="271">
        <v>87905</v>
      </c>
      <c r="B5742" s="272" t="s">
        <v>2863</v>
      </c>
      <c r="C5742" s="272" t="s">
        <v>193</v>
      </c>
      <c r="D5742" s="273" t="s">
        <v>10030</v>
      </c>
      <c r="E5742" s="274" t="s">
        <v>229</v>
      </c>
    </row>
    <row r="5743" spans="1:5" ht="40.5">
      <c r="A5743" s="271">
        <v>87907</v>
      </c>
      <c r="B5743" s="272" t="s">
        <v>2864</v>
      </c>
      <c r="C5743" s="272" t="s">
        <v>193</v>
      </c>
      <c r="D5743" s="273" t="s">
        <v>10158</v>
      </c>
      <c r="E5743" s="274" t="s">
        <v>229</v>
      </c>
    </row>
    <row r="5744" spans="1:5" ht="40.5">
      <c r="A5744" s="271">
        <v>87908</v>
      </c>
      <c r="B5744" s="272" t="s">
        <v>2865</v>
      </c>
      <c r="C5744" s="272" t="s">
        <v>193</v>
      </c>
      <c r="D5744" s="273" t="s">
        <v>15974</v>
      </c>
      <c r="E5744" s="274" t="s">
        <v>229</v>
      </c>
    </row>
    <row r="5745" spans="1:5" ht="27">
      <c r="A5745" s="271">
        <v>87910</v>
      </c>
      <c r="B5745" s="272" t="s">
        <v>2866</v>
      </c>
      <c r="C5745" s="272" t="s">
        <v>193</v>
      </c>
      <c r="D5745" s="273" t="s">
        <v>11254</v>
      </c>
      <c r="E5745" s="274" t="s">
        <v>229</v>
      </c>
    </row>
    <row r="5746" spans="1:5" ht="27">
      <c r="A5746" s="271">
        <v>87911</v>
      </c>
      <c r="B5746" s="272" t="s">
        <v>2867</v>
      </c>
      <c r="C5746" s="272" t="s">
        <v>193</v>
      </c>
      <c r="D5746" s="273" t="s">
        <v>12394</v>
      </c>
      <c r="E5746" s="274" t="s">
        <v>229</v>
      </c>
    </row>
    <row r="5747" spans="1:5" ht="27">
      <c r="A5747" s="271">
        <v>87411</v>
      </c>
      <c r="B5747" s="272" t="s">
        <v>2868</v>
      </c>
      <c r="C5747" s="272" t="s">
        <v>193</v>
      </c>
      <c r="D5747" s="273" t="s">
        <v>9962</v>
      </c>
      <c r="E5747" s="274" t="s">
        <v>229</v>
      </c>
    </row>
    <row r="5748" spans="1:5" ht="27">
      <c r="A5748" s="271">
        <v>87412</v>
      </c>
      <c r="B5748" s="272" t="s">
        <v>2869</v>
      </c>
      <c r="C5748" s="272" t="s">
        <v>193</v>
      </c>
      <c r="D5748" s="273" t="s">
        <v>11312</v>
      </c>
      <c r="E5748" s="274" t="s">
        <v>229</v>
      </c>
    </row>
    <row r="5749" spans="1:5" ht="27">
      <c r="A5749" s="271">
        <v>87413</v>
      </c>
      <c r="B5749" s="272" t="s">
        <v>2870</v>
      </c>
      <c r="C5749" s="272" t="s">
        <v>193</v>
      </c>
      <c r="D5749" s="273" t="s">
        <v>14194</v>
      </c>
      <c r="E5749" s="274" t="s">
        <v>229</v>
      </c>
    </row>
    <row r="5750" spans="1:5" ht="27">
      <c r="A5750" s="271">
        <v>87414</v>
      </c>
      <c r="B5750" s="272" t="s">
        <v>2871</v>
      </c>
      <c r="C5750" s="272" t="s">
        <v>193</v>
      </c>
      <c r="D5750" s="273" t="s">
        <v>10089</v>
      </c>
      <c r="E5750" s="274" t="s">
        <v>229</v>
      </c>
    </row>
    <row r="5751" spans="1:5" ht="27">
      <c r="A5751" s="271">
        <v>87415</v>
      </c>
      <c r="B5751" s="272" t="s">
        <v>2872</v>
      </c>
      <c r="C5751" s="272" t="s">
        <v>193</v>
      </c>
      <c r="D5751" s="273" t="s">
        <v>24112</v>
      </c>
      <c r="E5751" s="274" t="s">
        <v>229</v>
      </c>
    </row>
    <row r="5752" spans="1:5" ht="27">
      <c r="A5752" s="271">
        <v>87416</v>
      </c>
      <c r="B5752" s="272" t="s">
        <v>2873</v>
      </c>
      <c r="C5752" s="272" t="s">
        <v>193</v>
      </c>
      <c r="D5752" s="273" t="s">
        <v>24113</v>
      </c>
      <c r="E5752" s="274" t="s">
        <v>229</v>
      </c>
    </row>
    <row r="5753" spans="1:5" ht="27">
      <c r="A5753" s="271">
        <v>87417</v>
      </c>
      <c r="B5753" s="272" t="s">
        <v>2874</v>
      </c>
      <c r="C5753" s="272" t="s">
        <v>193</v>
      </c>
      <c r="D5753" s="273" t="s">
        <v>11409</v>
      </c>
      <c r="E5753" s="274" t="s">
        <v>229</v>
      </c>
    </row>
    <row r="5754" spans="1:5" ht="27">
      <c r="A5754" s="271">
        <v>87418</v>
      </c>
      <c r="B5754" s="272" t="s">
        <v>2875</v>
      </c>
      <c r="C5754" s="272" t="s">
        <v>193</v>
      </c>
      <c r="D5754" s="273" t="s">
        <v>9722</v>
      </c>
      <c r="E5754" s="274" t="s">
        <v>229</v>
      </c>
    </row>
    <row r="5755" spans="1:5" ht="27">
      <c r="A5755" s="271">
        <v>87419</v>
      </c>
      <c r="B5755" s="272" t="s">
        <v>2876</v>
      </c>
      <c r="C5755" s="272" t="s">
        <v>193</v>
      </c>
      <c r="D5755" s="273" t="s">
        <v>10561</v>
      </c>
      <c r="E5755" s="274" t="s">
        <v>229</v>
      </c>
    </row>
    <row r="5756" spans="1:5" ht="27">
      <c r="A5756" s="271">
        <v>87420</v>
      </c>
      <c r="B5756" s="272" t="s">
        <v>2877</v>
      </c>
      <c r="C5756" s="272" t="s">
        <v>193</v>
      </c>
      <c r="D5756" s="273" t="s">
        <v>9771</v>
      </c>
      <c r="E5756" s="274" t="s">
        <v>229</v>
      </c>
    </row>
    <row r="5757" spans="1:5" ht="27">
      <c r="A5757" s="271">
        <v>87421</v>
      </c>
      <c r="B5757" s="272" t="s">
        <v>2878</v>
      </c>
      <c r="C5757" s="272" t="s">
        <v>193</v>
      </c>
      <c r="D5757" s="273" t="s">
        <v>16040</v>
      </c>
      <c r="E5757" s="274" t="s">
        <v>229</v>
      </c>
    </row>
    <row r="5758" spans="1:5" ht="27">
      <c r="A5758" s="271">
        <v>87422</v>
      </c>
      <c r="B5758" s="272" t="s">
        <v>2879</v>
      </c>
      <c r="C5758" s="272" t="s">
        <v>193</v>
      </c>
      <c r="D5758" s="273" t="s">
        <v>14228</v>
      </c>
      <c r="E5758" s="274" t="s">
        <v>229</v>
      </c>
    </row>
    <row r="5759" spans="1:5" ht="27">
      <c r="A5759" s="271">
        <v>87423</v>
      </c>
      <c r="B5759" s="272" t="s">
        <v>2880</v>
      </c>
      <c r="C5759" s="272" t="s">
        <v>193</v>
      </c>
      <c r="D5759" s="273" t="s">
        <v>11391</v>
      </c>
      <c r="E5759" s="274" t="s">
        <v>229</v>
      </c>
    </row>
    <row r="5760" spans="1:5" ht="27">
      <c r="A5760" s="271">
        <v>87424</v>
      </c>
      <c r="B5760" s="272" t="s">
        <v>2881</v>
      </c>
      <c r="C5760" s="272" t="s">
        <v>193</v>
      </c>
      <c r="D5760" s="273" t="s">
        <v>24113</v>
      </c>
      <c r="E5760" s="274" t="s">
        <v>229</v>
      </c>
    </row>
    <row r="5761" spans="1:5" ht="27">
      <c r="A5761" s="271">
        <v>87425</v>
      </c>
      <c r="B5761" s="272" t="s">
        <v>2882</v>
      </c>
      <c r="C5761" s="272" t="s">
        <v>193</v>
      </c>
      <c r="D5761" s="273" t="s">
        <v>16392</v>
      </c>
      <c r="E5761" s="274" t="s">
        <v>229</v>
      </c>
    </row>
    <row r="5762" spans="1:5" ht="27">
      <c r="A5762" s="271">
        <v>87426</v>
      </c>
      <c r="B5762" s="272" t="s">
        <v>2883</v>
      </c>
      <c r="C5762" s="272" t="s">
        <v>193</v>
      </c>
      <c r="D5762" s="273" t="s">
        <v>20994</v>
      </c>
      <c r="E5762" s="274" t="s">
        <v>229</v>
      </c>
    </row>
    <row r="5763" spans="1:5" ht="27">
      <c r="A5763" s="271">
        <v>87427</v>
      </c>
      <c r="B5763" s="272" t="s">
        <v>2884</v>
      </c>
      <c r="C5763" s="272" t="s">
        <v>193</v>
      </c>
      <c r="D5763" s="273" t="s">
        <v>15821</v>
      </c>
      <c r="E5763" s="274" t="s">
        <v>229</v>
      </c>
    </row>
    <row r="5764" spans="1:5" ht="27">
      <c r="A5764" s="271">
        <v>87428</v>
      </c>
      <c r="B5764" s="272" t="s">
        <v>2885</v>
      </c>
      <c r="C5764" s="272" t="s">
        <v>193</v>
      </c>
      <c r="D5764" s="273" t="s">
        <v>15881</v>
      </c>
      <c r="E5764" s="274" t="s">
        <v>229</v>
      </c>
    </row>
    <row r="5765" spans="1:5" ht="27">
      <c r="A5765" s="271">
        <v>87429</v>
      </c>
      <c r="B5765" s="272" t="s">
        <v>2886</v>
      </c>
      <c r="C5765" s="272" t="s">
        <v>193</v>
      </c>
      <c r="D5765" s="273" t="s">
        <v>10248</v>
      </c>
      <c r="E5765" s="274" t="s">
        <v>229</v>
      </c>
    </row>
    <row r="5766" spans="1:5" ht="27">
      <c r="A5766" s="271">
        <v>87430</v>
      </c>
      <c r="B5766" s="272" t="s">
        <v>2887</v>
      </c>
      <c r="C5766" s="272" t="s">
        <v>193</v>
      </c>
      <c r="D5766" s="273" t="s">
        <v>11137</v>
      </c>
      <c r="E5766" s="274" t="s">
        <v>229</v>
      </c>
    </row>
    <row r="5767" spans="1:5" ht="27">
      <c r="A5767" s="271">
        <v>87431</v>
      </c>
      <c r="B5767" s="272" t="s">
        <v>2888</v>
      </c>
      <c r="C5767" s="272" t="s">
        <v>193</v>
      </c>
      <c r="D5767" s="273" t="s">
        <v>9992</v>
      </c>
      <c r="E5767" s="274" t="s">
        <v>229</v>
      </c>
    </row>
    <row r="5768" spans="1:5" ht="27">
      <c r="A5768" s="271">
        <v>87432</v>
      </c>
      <c r="B5768" s="272" t="s">
        <v>2889</v>
      </c>
      <c r="C5768" s="272" t="s">
        <v>193</v>
      </c>
      <c r="D5768" s="273" t="s">
        <v>16665</v>
      </c>
      <c r="E5768" s="274" t="s">
        <v>229</v>
      </c>
    </row>
    <row r="5769" spans="1:5" ht="27">
      <c r="A5769" s="271">
        <v>87433</v>
      </c>
      <c r="B5769" s="272" t="s">
        <v>2890</v>
      </c>
      <c r="C5769" s="272" t="s">
        <v>193</v>
      </c>
      <c r="D5769" s="273" t="s">
        <v>19012</v>
      </c>
      <c r="E5769" s="274" t="s">
        <v>229</v>
      </c>
    </row>
    <row r="5770" spans="1:5" ht="27">
      <c r="A5770" s="271">
        <v>87434</v>
      </c>
      <c r="B5770" s="272" t="s">
        <v>2891</v>
      </c>
      <c r="C5770" s="272" t="s">
        <v>193</v>
      </c>
      <c r="D5770" s="273" t="s">
        <v>14259</v>
      </c>
      <c r="E5770" s="274" t="s">
        <v>229</v>
      </c>
    </row>
    <row r="5771" spans="1:5" ht="27">
      <c r="A5771" s="271">
        <v>87435</v>
      </c>
      <c r="B5771" s="272" t="s">
        <v>2892</v>
      </c>
      <c r="C5771" s="272" t="s">
        <v>193</v>
      </c>
      <c r="D5771" s="273" t="s">
        <v>24114</v>
      </c>
      <c r="E5771" s="274" t="s">
        <v>229</v>
      </c>
    </row>
    <row r="5772" spans="1:5" ht="27">
      <c r="A5772" s="271">
        <v>87436</v>
      </c>
      <c r="B5772" s="272" t="s">
        <v>2893</v>
      </c>
      <c r="C5772" s="272" t="s">
        <v>193</v>
      </c>
      <c r="D5772" s="273" t="s">
        <v>20413</v>
      </c>
      <c r="E5772" s="274" t="s">
        <v>229</v>
      </c>
    </row>
    <row r="5773" spans="1:5" ht="27">
      <c r="A5773" s="271">
        <v>87437</v>
      </c>
      <c r="B5773" s="272" t="s">
        <v>2894</v>
      </c>
      <c r="C5773" s="272" t="s">
        <v>193</v>
      </c>
      <c r="D5773" s="273" t="s">
        <v>10517</v>
      </c>
      <c r="E5773" s="274" t="s">
        <v>229</v>
      </c>
    </row>
    <row r="5774" spans="1:5" ht="27">
      <c r="A5774" s="271">
        <v>87438</v>
      </c>
      <c r="B5774" s="272" t="s">
        <v>2895</v>
      </c>
      <c r="C5774" s="272" t="s">
        <v>193</v>
      </c>
      <c r="D5774" s="273" t="s">
        <v>12383</v>
      </c>
      <c r="E5774" s="274" t="s">
        <v>229</v>
      </c>
    </row>
    <row r="5775" spans="1:5" ht="27">
      <c r="A5775" s="271">
        <v>87439</v>
      </c>
      <c r="B5775" s="272" t="s">
        <v>2896</v>
      </c>
      <c r="C5775" s="272" t="s">
        <v>193</v>
      </c>
      <c r="D5775" s="273" t="s">
        <v>23229</v>
      </c>
      <c r="E5775" s="274" t="s">
        <v>229</v>
      </c>
    </row>
    <row r="5776" spans="1:5" ht="27">
      <c r="A5776" s="271">
        <v>87440</v>
      </c>
      <c r="B5776" s="272" t="s">
        <v>2897</v>
      </c>
      <c r="C5776" s="272" t="s">
        <v>193</v>
      </c>
      <c r="D5776" s="273" t="s">
        <v>10365</v>
      </c>
      <c r="E5776" s="274" t="s">
        <v>229</v>
      </c>
    </row>
    <row r="5777" spans="1:5" ht="40.5">
      <c r="A5777" s="271">
        <v>87527</v>
      </c>
      <c r="B5777" s="272" t="s">
        <v>2898</v>
      </c>
      <c r="C5777" s="272" t="s">
        <v>193</v>
      </c>
      <c r="D5777" s="273" t="s">
        <v>24115</v>
      </c>
      <c r="E5777" s="274" t="s">
        <v>229</v>
      </c>
    </row>
    <row r="5778" spans="1:5" ht="40.5">
      <c r="A5778" s="271">
        <v>87528</v>
      </c>
      <c r="B5778" s="272" t="s">
        <v>2899</v>
      </c>
      <c r="C5778" s="272" t="s">
        <v>193</v>
      </c>
      <c r="D5778" s="273" t="s">
        <v>20620</v>
      </c>
      <c r="E5778" s="274" t="s">
        <v>229</v>
      </c>
    </row>
    <row r="5779" spans="1:5" ht="40.5">
      <c r="A5779" s="271">
        <v>87529</v>
      </c>
      <c r="B5779" s="272" t="s">
        <v>223</v>
      </c>
      <c r="C5779" s="272" t="s">
        <v>193</v>
      </c>
      <c r="D5779" s="273" t="s">
        <v>22574</v>
      </c>
      <c r="E5779" s="274" t="s">
        <v>229</v>
      </c>
    </row>
    <row r="5780" spans="1:5" ht="40.5">
      <c r="A5780" s="271">
        <v>87530</v>
      </c>
      <c r="B5780" s="272" t="s">
        <v>2900</v>
      </c>
      <c r="C5780" s="272" t="s">
        <v>193</v>
      </c>
      <c r="D5780" s="273" t="s">
        <v>12461</v>
      </c>
      <c r="E5780" s="274" t="s">
        <v>229</v>
      </c>
    </row>
    <row r="5781" spans="1:5" ht="40.5">
      <c r="A5781" s="271">
        <v>87531</v>
      </c>
      <c r="B5781" s="272" t="s">
        <v>222</v>
      </c>
      <c r="C5781" s="272" t="s">
        <v>193</v>
      </c>
      <c r="D5781" s="273" t="s">
        <v>12156</v>
      </c>
      <c r="E5781" s="274" t="s">
        <v>229</v>
      </c>
    </row>
    <row r="5782" spans="1:5" ht="40.5">
      <c r="A5782" s="271">
        <v>87532</v>
      </c>
      <c r="B5782" s="272" t="s">
        <v>2901</v>
      </c>
      <c r="C5782" s="272" t="s">
        <v>193</v>
      </c>
      <c r="D5782" s="273" t="s">
        <v>24116</v>
      </c>
      <c r="E5782" s="274" t="s">
        <v>229</v>
      </c>
    </row>
    <row r="5783" spans="1:5" ht="40.5">
      <c r="A5783" s="271">
        <v>87535</v>
      </c>
      <c r="B5783" s="272" t="s">
        <v>2902</v>
      </c>
      <c r="C5783" s="272" t="s">
        <v>193</v>
      </c>
      <c r="D5783" s="273" t="s">
        <v>24117</v>
      </c>
      <c r="E5783" s="274" t="s">
        <v>229</v>
      </c>
    </row>
    <row r="5784" spans="1:5" ht="40.5">
      <c r="A5784" s="271">
        <v>87536</v>
      </c>
      <c r="B5784" s="272" t="s">
        <v>2903</v>
      </c>
      <c r="C5784" s="272" t="s">
        <v>193</v>
      </c>
      <c r="D5784" s="273" t="s">
        <v>11380</v>
      </c>
      <c r="E5784" s="274" t="s">
        <v>229</v>
      </c>
    </row>
    <row r="5785" spans="1:5" ht="54">
      <c r="A5785" s="271">
        <v>87537</v>
      </c>
      <c r="B5785" s="272" t="s">
        <v>2904</v>
      </c>
      <c r="C5785" s="272" t="s">
        <v>193</v>
      </c>
      <c r="D5785" s="273" t="s">
        <v>14066</v>
      </c>
      <c r="E5785" s="274" t="s">
        <v>229</v>
      </c>
    </row>
    <row r="5786" spans="1:5" ht="40.5">
      <c r="A5786" s="271">
        <v>87538</v>
      </c>
      <c r="B5786" s="272" t="s">
        <v>2905</v>
      </c>
      <c r="C5786" s="272" t="s">
        <v>193</v>
      </c>
      <c r="D5786" s="273" t="s">
        <v>21483</v>
      </c>
      <c r="E5786" s="274" t="s">
        <v>229</v>
      </c>
    </row>
    <row r="5787" spans="1:5" ht="54">
      <c r="A5787" s="271">
        <v>87539</v>
      </c>
      <c r="B5787" s="272" t="s">
        <v>2906</v>
      </c>
      <c r="C5787" s="272" t="s">
        <v>193</v>
      </c>
      <c r="D5787" s="273" t="s">
        <v>20659</v>
      </c>
      <c r="E5787" s="274" t="s">
        <v>229</v>
      </c>
    </row>
    <row r="5788" spans="1:5" ht="54">
      <c r="A5788" s="271">
        <v>87541</v>
      </c>
      <c r="B5788" s="272" t="s">
        <v>2907</v>
      </c>
      <c r="C5788" s="272" t="s">
        <v>193</v>
      </c>
      <c r="D5788" s="273" t="s">
        <v>24118</v>
      </c>
      <c r="E5788" s="274" t="s">
        <v>229</v>
      </c>
    </row>
    <row r="5789" spans="1:5" ht="40.5">
      <c r="A5789" s="271">
        <v>87543</v>
      </c>
      <c r="B5789" s="272" t="s">
        <v>3699</v>
      </c>
      <c r="C5789" s="272" t="s">
        <v>193</v>
      </c>
      <c r="D5789" s="273" t="s">
        <v>9724</v>
      </c>
      <c r="E5789" s="274" t="s">
        <v>229</v>
      </c>
    </row>
    <row r="5790" spans="1:5" ht="40.5">
      <c r="A5790" s="271">
        <v>87545</v>
      </c>
      <c r="B5790" s="272" t="s">
        <v>2908</v>
      </c>
      <c r="C5790" s="272" t="s">
        <v>193</v>
      </c>
      <c r="D5790" s="273" t="s">
        <v>21562</v>
      </c>
      <c r="E5790" s="274" t="s">
        <v>229</v>
      </c>
    </row>
    <row r="5791" spans="1:5" ht="40.5">
      <c r="A5791" s="271">
        <v>87546</v>
      </c>
      <c r="B5791" s="272" t="s">
        <v>2909</v>
      </c>
      <c r="C5791" s="272" t="s">
        <v>193</v>
      </c>
      <c r="D5791" s="273" t="s">
        <v>11266</v>
      </c>
      <c r="E5791" s="274" t="s">
        <v>229</v>
      </c>
    </row>
    <row r="5792" spans="1:5" ht="40.5">
      <c r="A5792" s="271">
        <v>87547</v>
      </c>
      <c r="B5792" s="272" t="s">
        <v>2910</v>
      </c>
      <c r="C5792" s="272" t="s">
        <v>193</v>
      </c>
      <c r="D5792" s="273" t="s">
        <v>16154</v>
      </c>
      <c r="E5792" s="274" t="s">
        <v>229</v>
      </c>
    </row>
    <row r="5793" spans="1:5" ht="40.5">
      <c r="A5793" s="271">
        <v>87548</v>
      </c>
      <c r="B5793" s="272" t="s">
        <v>2911</v>
      </c>
      <c r="C5793" s="272" t="s">
        <v>193</v>
      </c>
      <c r="D5793" s="273" t="s">
        <v>16436</v>
      </c>
      <c r="E5793" s="274" t="s">
        <v>229</v>
      </c>
    </row>
    <row r="5794" spans="1:5" ht="40.5">
      <c r="A5794" s="271">
        <v>87549</v>
      </c>
      <c r="B5794" s="272" t="s">
        <v>2912</v>
      </c>
      <c r="C5794" s="272" t="s">
        <v>193</v>
      </c>
      <c r="D5794" s="273" t="s">
        <v>11544</v>
      </c>
      <c r="E5794" s="274" t="s">
        <v>229</v>
      </c>
    </row>
    <row r="5795" spans="1:5" ht="40.5">
      <c r="A5795" s="271">
        <v>87550</v>
      </c>
      <c r="B5795" s="272" t="s">
        <v>2913</v>
      </c>
      <c r="C5795" s="272" t="s">
        <v>193</v>
      </c>
      <c r="D5795" s="273" t="s">
        <v>24119</v>
      </c>
      <c r="E5795" s="274" t="s">
        <v>229</v>
      </c>
    </row>
    <row r="5796" spans="1:5" ht="40.5">
      <c r="A5796" s="271">
        <v>87553</v>
      </c>
      <c r="B5796" s="272" t="s">
        <v>2914</v>
      </c>
      <c r="C5796" s="272" t="s">
        <v>193</v>
      </c>
      <c r="D5796" s="273" t="s">
        <v>9732</v>
      </c>
      <c r="E5796" s="274" t="s">
        <v>229</v>
      </c>
    </row>
    <row r="5797" spans="1:5" ht="40.5">
      <c r="A5797" s="271">
        <v>87554</v>
      </c>
      <c r="B5797" s="272" t="s">
        <v>2915</v>
      </c>
      <c r="C5797" s="272" t="s">
        <v>193</v>
      </c>
      <c r="D5797" s="273" t="s">
        <v>14161</v>
      </c>
      <c r="E5797" s="274" t="s">
        <v>229</v>
      </c>
    </row>
    <row r="5798" spans="1:5" ht="54">
      <c r="A5798" s="271">
        <v>87555</v>
      </c>
      <c r="B5798" s="272" t="s">
        <v>2916</v>
      </c>
      <c r="C5798" s="272" t="s">
        <v>193</v>
      </c>
      <c r="D5798" s="273" t="s">
        <v>16371</v>
      </c>
      <c r="E5798" s="274" t="s">
        <v>229</v>
      </c>
    </row>
    <row r="5799" spans="1:5" ht="40.5">
      <c r="A5799" s="271">
        <v>87556</v>
      </c>
      <c r="B5799" s="272" t="s">
        <v>2917</v>
      </c>
      <c r="C5799" s="272" t="s">
        <v>193</v>
      </c>
      <c r="D5799" s="273" t="s">
        <v>24120</v>
      </c>
      <c r="E5799" s="274" t="s">
        <v>229</v>
      </c>
    </row>
    <row r="5800" spans="1:5" ht="54">
      <c r="A5800" s="271">
        <v>87557</v>
      </c>
      <c r="B5800" s="272" t="s">
        <v>2918</v>
      </c>
      <c r="C5800" s="272" t="s">
        <v>193</v>
      </c>
      <c r="D5800" s="273" t="s">
        <v>10551</v>
      </c>
      <c r="E5800" s="274" t="s">
        <v>229</v>
      </c>
    </row>
    <row r="5801" spans="1:5" ht="54">
      <c r="A5801" s="271">
        <v>87559</v>
      </c>
      <c r="B5801" s="272" t="s">
        <v>2919</v>
      </c>
      <c r="C5801" s="272" t="s">
        <v>193</v>
      </c>
      <c r="D5801" s="273" t="s">
        <v>11531</v>
      </c>
      <c r="E5801" s="274" t="s">
        <v>229</v>
      </c>
    </row>
    <row r="5802" spans="1:5" ht="54">
      <c r="A5802" s="271">
        <v>87561</v>
      </c>
      <c r="B5802" s="272" t="s">
        <v>2920</v>
      </c>
      <c r="C5802" s="272" t="s">
        <v>193</v>
      </c>
      <c r="D5802" s="273" t="s">
        <v>16157</v>
      </c>
      <c r="E5802" s="274" t="s">
        <v>229</v>
      </c>
    </row>
    <row r="5803" spans="1:5" ht="40.5">
      <c r="A5803" s="271">
        <v>87775</v>
      </c>
      <c r="B5803" s="272" t="s">
        <v>228</v>
      </c>
      <c r="C5803" s="272" t="s">
        <v>193</v>
      </c>
      <c r="D5803" s="273" t="s">
        <v>16019</v>
      </c>
      <c r="E5803" s="274" t="s">
        <v>229</v>
      </c>
    </row>
    <row r="5804" spans="1:5" ht="27">
      <c r="A5804" s="271">
        <v>87777</v>
      </c>
      <c r="B5804" s="272" t="s">
        <v>2921</v>
      </c>
      <c r="C5804" s="272" t="s">
        <v>193</v>
      </c>
      <c r="D5804" s="273" t="s">
        <v>16085</v>
      </c>
      <c r="E5804" s="274" t="s">
        <v>229</v>
      </c>
    </row>
    <row r="5805" spans="1:5" ht="40.5">
      <c r="A5805" s="271">
        <v>87778</v>
      </c>
      <c r="B5805" s="272" t="s">
        <v>2922</v>
      </c>
      <c r="C5805" s="272" t="s">
        <v>193</v>
      </c>
      <c r="D5805" s="273" t="s">
        <v>24121</v>
      </c>
      <c r="E5805" s="274" t="s">
        <v>229</v>
      </c>
    </row>
    <row r="5806" spans="1:5" ht="40.5">
      <c r="A5806" s="271">
        <v>87779</v>
      </c>
      <c r="B5806" s="272" t="s">
        <v>2923</v>
      </c>
      <c r="C5806" s="272" t="s">
        <v>193</v>
      </c>
      <c r="D5806" s="273" t="s">
        <v>24122</v>
      </c>
      <c r="E5806" s="274" t="s">
        <v>229</v>
      </c>
    </row>
    <row r="5807" spans="1:5" ht="27">
      <c r="A5807" s="271">
        <v>87781</v>
      </c>
      <c r="B5807" s="272" t="s">
        <v>2924</v>
      </c>
      <c r="C5807" s="272" t="s">
        <v>193</v>
      </c>
      <c r="D5807" s="273" t="s">
        <v>19084</v>
      </c>
      <c r="E5807" s="274" t="s">
        <v>229</v>
      </c>
    </row>
    <row r="5808" spans="1:5" ht="40.5">
      <c r="A5808" s="271">
        <v>87783</v>
      </c>
      <c r="B5808" s="272" t="s">
        <v>2925</v>
      </c>
      <c r="C5808" s="272" t="s">
        <v>193</v>
      </c>
      <c r="D5808" s="273" t="s">
        <v>24123</v>
      </c>
      <c r="E5808" s="274" t="s">
        <v>229</v>
      </c>
    </row>
    <row r="5809" spans="1:5" ht="40.5">
      <c r="A5809" s="271">
        <v>87784</v>
      </c>
      <c r="B5809" s="272" t="s">
        <v>2926</v>
      </c>
      <c r="C5809" s="272" t="s">
        <v>193</v>
      </c>
      <c r="D5809" s="273" t="s">
        <v>24124</v>
      </c>
      <c r="E5809" s="274" t="s">
        <v>229</v>
      </c>
    </row>
    <row r="5810" spans="1:5" ht="27">
      <c r="A5810" s="271">
        <v>87786</v>
      </c>
      <c r="B5810" s="272" t="s">
        <v>2927</v>
      </c>
      <c r="C5810" s="272" t="s">
        <v>193</v>
      </c>
      <c r="D5810" s="273" t="s">
        <v>12360</v>
      </c>
      <c r="E5810" s="274" t="s">
        <v>229</v>
      </c>
    </row>
    <row r="5811" spans="1:5" ht="40.5">
      <c r="A5811" s="271">
        <v>87787</v>
      </c>
      <c r="B5811" s="272" t="s">
        <v>2928</v>
      </c>
      <c r="C5811" s="272" t="s">
        <v>193</v>
      </c>
      <c r="D5811" s="273" t="s">
        <v>24125</v>
      </c>
      <c r="E5811" s="274" t="s">
        <v>229</v>
      </c>
    </row>
    <row r="5812" spans="1:5" ht="40.5">
      <c r="A5812" s="271">
        <v>87788</v>
      </c>
      <c r="B5812" s="272" t="s">
        <v>2929</v>
      </c>
      <c r="C5812" s="272" t="s">
        <v>193</v>
      </c>
      <c r="D5812" s="273" t="s">
        <v>24126</v>
      </c>
      <c r="E5812" s="274" t="s">
        <v>229</v>
      </c>
    </row>
    <row r="5813" spans="1:5" ht="40.5">
      <c r="A5813" s="271">
        <v>87790</v>
      </c>
      <c r="B5813" s="272" t="s">
        <v>2930</v>
      </c>
      <c r="C5813" s="272" t="s">
        <v>193</v>
      </c>
      <c r="D5813" s="273" t="s">
        <v>22039</v>
      </c>
      <c r="E5813" s="274" t="s">
        <v>229</v>
      </c>
    </row>
    <row r="5814" spans="1:5" ht="40.5">
      <c r="A5814" s="271">
        <v>87791</v>
      </c>
      <c r="B5814" s="272" t="s">
        <v>2931</v>
      </c>
      <c r="C5814" s="272" t="s">
        <v>193</v>
      </c>
      <c r="D5814" s="273" t="s">
        <v>24127</v>
      </c>
      <c r="E5814" s="274" t="s">
        <v>229</v>
      </c>
    </row>
    <row r="5815" spans="1:5" ht="40.5">
      <c r="A5815" s="271">
        <v>87792</v>
      </c>
      <c r="B5815" s="272" t="s">
        <v>2932</v>
      </c>
      <c r="C5815" s="272" t="s">
        <v>193</v>
      </c>
      <c r="D5815" s="273" t="s">
        <v>10667</v>
      </c>
      <c r="E5815" s="274" t="s">
        <v>229</v>
      </c>
    </row>
    <row r="5816" spans="1:5" ht="27">
      <c r="A5816" s="271">
        <v>87794</v>
      </c>
      <c r="B5816" s="272" t="s">
        <v>2933</v>
      </c>
      <c r="C5816" s="272" t="s">
        <v>193</v>
      </c>
      <c r="D5816" s="273" t="s">
        <v>10419</v>
      </c>
      <c r="E5816" s="274" t="s">
        <v>229</v>
      </c>
    </row>
    <row r="5817" spans="1:5" ht="40.5">
      <c r="A5817" s="271">
        <v>87795</v>
      </c>
      <c r="B5817" s="272" t="s">
        <v>2934</v>
      </c>
      <c r="C5817" s="272" t="s">
        <v>193</v>
      </c>
      <c r="D5817" s="273" t="s">
        <v>23022</v>
      </c>
      <c r="E5817" s="274" t="s">
        <v>229</v>
      </c>
    </row>
    <row r="5818" spans="1:5" ht="40.5">
      <c r="A5818" s="271">
        <v>87797</v>
      </c>
      <c r="B5818" s="272" t="s">
        <v>2935</v>
      </c>
      <c r="C5818" s="272" t="s">
        <v>193</v>
      </c>
      <c r="D5818" s="273" t="s">
        <v>16588</v>
      </c>
      <c r="E5818" s="274" t="s">
        <v>229</v>
      </c>
    </row>
    <row r="5819" spans="1:5" ht="27">
      <c r="A5819" s="271">
        <v>87799</v>
      </c>
      <c r="B5819" s="272" t="s">
        <v>2936</v>
      </c>
      <c r="C5819" s="272" t="s">
        <v>193</v>
      </c>
      <c r="D5819" s="273" t="s">
        <v>15911</v>
      </c>
      <c r="E5819" s="274" t="s">
        <v>229</v>
      </c>
    </row>
    <row r="5820" spans="1:5" ht="40.5">
      <c r="A5820" s="271">
        <v>87800</v>
      </c>
      <c r="B5820" s="272" t="s">
        <v>2937</v>
      </c>
      <c r="C5820" s="272" t="s">
        <v>193</v>
      </c>
      <c r="D5820" s="273" t="s">
        <v>20373</v>
      </c>
      <c r="E5820" s="274" t="s">
        <v>229</v>
      </c>
    </row>
    <row r="5821" spans="1:5" ht="40.5">
      <c r="A5821" s="271">
        <v>87801</v>
      </c>
      <c r="B5821" s="272" t="s">
        <v>2938</v>
      </c>
      <c r="C5821" s="272" t="s">
        <v>193</v>
      </c>
      <c r="D5821" s="273" t="s">
        <v>20554</v>
      </c>
      <c r="E5821" s="274" t="s">
        <v>229</v>
      </c>
    </row>
    <row r="5822" spans="1:5" ht="27">
      <c r="A5822" s="271">
        <v>87803</v>
      </c>
      <c r="B5822" s="272" t="s">
        <v>2939</v>
      </c>
      <c r="C5822" s="272" t="s">
        <v>193</v>
      </c>
      <c r="D5822" s="273" t="s">
        <v>24128</v>
      </c>
      <c r="E5822" s="274" t="s">
        <v>229</v>
      </c>
    </row>
    <row r="5823" spans="1:5" ht="40.5">
      <c r="A5823" s="271">
        <v>87804</v>
      </c>
      <c r="B5823" s="272" t="s">
        <v>2940</v>
      </c>
      <c r="C5823" s="272" t="s">
        <v>193</v>
      </c>
      <c r="D5823" s="273" t="s">
        <v>24129</v>
      </c>
      <c r="E5823" s="274" t="s">
        <v>229</v>
      </c>
    </row>
    <row r="5824" spans="1:5" ht="40.5">
      <c r="A5824" s="271">
        <v>87805</v>
      </c>
      <c r="B5824" s="272" t="s">
        <v>2941</v>
      </c>
      <c r="C5824" s="272" t="s">
        <v>193</v>
      </c>
      <c r="D5824" s="273" t="s">
        <v>19949</v>
      </c>
      <c r="E5824" s="274" t="s">
        <v>229</v>
      </c>
    </row>
    <row r="5825" spans="1:5" ht="40.5">
      <c r="A5825" s="271">
        <v>87807</v>
      </c>
      <c r="B5825" s="272" t="s">
        <v>2942</v>
      </c>
      <c r="C5825" s="272" t="s">
        <v>193</v>
      </c>
      <c r="D5825" s="273" t="s">
        <v>14079</v>
      </c>
      <c r="E5825" s="274" t="s">
        <v>229</v>
      </c>
    </row>
    <row r="5826" spans="1:5" ht="40.5">
      <c r="A5826" s="271">
        <v>87808</v>
      </c>
      <c r="B5826" s="272" t="s">
        <v>2943</v>
      </c>
      <c r="C5826" s="272" t="s">
        <v>193</v>
      </c>
      <c r="D5826" s="273" t="s">
        <v>23397</v>
      </c>
      <c r="E5826" s="274" t="s">
        <v>229</v>
      </c>
    </row>
    <row r="5827" spans="1:5" ht="40.5">
      <c r="A5827" s="271">
        <v>87809</v>
      </c>
      <c r="B5827" s="272" t="s">
        <v>2944</v>
      </c>
      <c r="C5827" s="272" t="s">
        <v>193</v>
      </c>
      <c r="D5827" s="273" t="s">
        <v>24130</v>
      </c>
      <c r="E5827" s="274" t="s">
        <v>229</v>
      </c>
    </row>
    <row r="5828" spans="1:5" ht="40.5">
      <c r="A5828" s="271">
        <v>87811</v>
      </c>
      <c r="B5828" s="272" t="s">
        <v>2945</v>
      </c>
      <c r="C5828" s="272" t="s">
        <v>193</v>
      </c>
      <c r="D5828" s="273" t="s">
        <v>24131</v>
      </c>
      <c r="E5828" s="274" t="s">
        <v>229</v>
      </c>
    </row>
    <row r="5829" spans="1:5" ht="40.5">
      <c r="A5829" s="271">
        <v>87812</v>
      </c>
      <c r="B5829" s="272" t="s">
        <v>2946</v>
      </c>
      <c r="C5829" s="272" t="s">
        <v>193</v>
      </c>
      <c r="D5829" s="273" t="s">
        <v>16664</v>
      </c>
      <c r="E5829" s="274" t="s">
        <v>229</v>
      </c>
    </row>
    <row r="5830" spans="1:5" ht="40.5">
      <c r="A5830" s="271">
        <v>87813</v>
      </c>
      <c r="B5830" s="272" t="s">
        <v>2947</v>
      </c>
      <c r="C5830" s="272" t="s">
        <v>193</v>
      </c>
      <c r="D5830" s="273" t="s">
        <v>16626</v>
      </c>
      <c r="E5830" s="274" t="s">
        <v>229</v>
      </c>
    </row>
    <row r="5831" spans="1:5" ht="40.5">
      <c r="A5831" s="271">
        <v>87815</v>
      </c>
      <c r="B5831" s="272" t="s">
        <v>2948</v>
      </c>
      <c r="C5831" s="272" t="s">
        <v>193</v>
      </c>
      <c r="D5831" s="273" t="s">
        <v>24132</v>
      </c>
      <c r="E5831" s="274" t="s">
        <v>229</v>
      </c>
    </row>
    <row r="5832" spans="1:5" ht="40.5">
      <c r="A5832" s="271">
        <v>87816</v>
      </c>
      <c r="B5832" s="272" t="s">
        <v>2949</v>
      </c>
      <c r="C5832" s="272" t="s">
        <v>193</v>
      </c>
      <c r="D5832" s="273" t="s">
        <v>16355</v>
      </c>
      <c r="E5832" s="274" t="s">
        <v>229</v>
      </c>
    </row>
    <row r="5833" spans="1:5" ht="40.5">
      <c r="A5833" s="271">
        <v>87817</v>
      </c>
      <c r="B5833" s="272" t="s">
        <v>2950</v>
      </c>
      <c r="C5833" s="272" t="s">
        <v>193</v>
      </c>
      <c r="D5833" s="273" t="s">
        <v>24133</v>
      </c>
      <c r="E5833" s="274" t="s">
        <v>229</v>
      </c>
    </row>
    <row r="5834" spans="1:5" ht="40.5">
      <c r="A5834" s="271">
        <v>87819</v>
      </c>
      <c r="B5834" s="272" t="s">
        <v>2951</v>
      </c>
      <c r="C5834" s="272" t="s">
        <v>193</v>
      </c>
      <c r="D5834" s="273" t="s">
        <v>24134</v>
      </c>
      <c r="E5834" s="274" t="s">
        <v>229</v>
      </c>
    </row>
    <row r="5835" spans="1:5" ht="40.5">
      <c r="A5835" s="271">
        <v>87820</v>
      </c>
      <c r="B5835" s="272" t="s">
        <v>2952</v>
      </c>
      <c r="C5835" s="272" t="s">
        <v>193</v>
      </c>
      <c r="D5835" s="273" t="s">
        <v>24135</v>
      </c>
      <c r="E5835" s="274" t="s">
        <v>229</v>
      </c>
    </row>
    <row r="5836" spans="1:5" ht="40.5">
      <c r="A5836" s="271">
        <v>87821</v>
      </c>
      <c r="B5836" s="272" t="s">
        <v>2953</v>
      </c>
      <c r="C5836" s="272" t="s">
        <v>193</v>
      </c>
      <c r="D5836" s="273" t="s">
        <v>15913</v>
      </c>
      <c r="E5836" s="274" t="s">
        <v>229</v>
      </c>
    </row>
    <row r="5837" spans="1:5" ht="40.5">
      <c r="A5837" s="271">
        <v>87823</v>
      </c>
      <c r="B5837" s="272" t="s">
        <v>2954</v>
      </c>
      <c r="C5837" s="272" t="s">
        <v>193</v>
      </c>
      <c r="D5837" s="273" t="s">
        <v>24136</v>
      </c>
      <c r="E5837" s="274" t="s">
        <v>229</v>
      </c>
    </row>
    <row r="5838" spans="1:5" ht="40.5">
      <c r="A5838" s="271">
        <v>87824</v>
      </c>
      <c r="B5838" s="272" t="s">
        <v>2955</v>
      </c>
      <c r="C5838" s="272" t="s">
        <v>193</v>
      </c>
      <c r="D5838" s="273" t="s">
        <v>24137</v>
      </c>
      <c r="E5838" s="274" t="s">
        <v>229</v>
      </c>
    </row>
    <row r="5839" spans="1:5" ht="40.5">
      <c r="A5839" s="271">
        <v>87825</v>
      </c>
      <c r="B5839" s="272" t="s">
        <v>2956</v>
      </c>
      <c r="C5839" s="272" t="s">
        <v>193</v>
      </c>
      <c r="D5839" s="273" t="s">
        <v>24138</v>
      </c>
      <c r="E5839" s="274" t="s">
        <v>229</v>
      </c>
    </row>
    <row r="5840" spans="1:5" ht="40.5">
      <c r="A5840" s="271">
        <v>87827</v>
      </c>
      <c r="B5840" s="272" t="s">
        <v>2957</v>
      </c>
      <c r="C5840" s="272" t="s">
        <v>193</v>
      </c>
      <c r="D5840" s="273" t="s">
        <v>16379</v>
      </c>
      <c r="E5840" s="274" t="s">
        <v>229</v>
      </c>
    </row>
    <row r="5841" spans="1:5" ht="40.5">
      <c r="A5841" s="271">
        <v>87828</v>
      </c>
      <c r="B5841" s="272" t="s">
        <v>2958</v>
      </c>
      <c r="C5841" s="272" t="s">
        <v>193</v>
      </c>
      <c r="D5841" s="273" t="s">
        <v>12231</v>
      </c>
      <c r="E5841" s="274" t="s">
        <v>229</v>
      </c>
    </row>
    <row r="5842" spans="1:5" ht="40.5">
      <c r="A5842" s="271">
        <v>87829</v>
      </c>
      <c r="B5842" s="272" t="s">
        <v>2959</v>
      </c>
      <c r="C5842" s="272" t="s">
        <v>193</v>
      </c>
      <c r="D5842" s="273" t="s">
        <v>15890</v>
      </c>
      <c r="E5842" s="274" t="s">
        <v>229</v>
      </c>
    </row>
    <row r="5843" spans="1:5" ht="40.5">
      <c r="A5843" s="271">
        <v>87831</v>
      </c>
      <c r="B5843" s="272" t="s">
        <v>2960</v>
      </c>
      <c r="C5843" s="272" t="s">
        <v>193</v>
      </c>
      <c r="D5843" s="273" t="s">
        <v>16446</v>
      </c>
      <c r="E5843" s="274" t="s">
        <v>229</v>
      </c>
    </row>
    <row r="5844" spans="1:5" ht="40.5">
      <c r="A5844" s="271">
        <v>87832</v>
      </c>
      <c r="B5844" s="272" t="s">
        <v>2961</v>
      </c>
      <c r="C5844" s="272" t="s">
        <v>193</v>
      </c>
      <c r="D5844" s="273" t="s">
        <v>24139</v>
      </c>
      <c r="E5844" s="274" t="s">
        <v>229</v>
      </c>
    </row>
    <row r="5845" spans="1:5" ht="27">
      <c r="A5845" s="271">
        <v>87834</v>
      </c>
      <c r="B5845" s="272" t="s">
        <v>2962</v>
      </c>
      <c r="C5845" s="272" t="s">
        <v>193</v>
      </c>
      <c r="D5845" s="273" t="s">
        <v>24140</v>
      </c>
      <c r="E5845" s="274" t="s">
        <v>229</v>
      </c>
    </row>
    <row r="5846" spans="1:5" ht="27">
      <c r="A5846" s="271">
        <v>87835</v>
      </c>
      <c r="B5846" s="272" t="s">
        <v>2963</v>
      </c>
      <c r="C5846" s="272" t="s">
        <v>193</v>
      </c>
      <c r="D5846" s="273" t="s">
        <v>24141</v>
      </c>
      <c r="E5846" s="274" t="s">
        <v>229</v>
      </c>
    </row>
    <row r="5847" spans="1:5" ht="40.5">
      <c r="A5847" s="271">
        <v>87836</v>
      </c>
      <c r="B5847" s="272" t="s">
        <v>2964</v>
      </c>
      <c r="C5847" s="272" t="s">
        <v>193</v>
      </c>
      <c r="D5847" s="273" t="s">
        <v>24142</v>
      </c>
      <c r="E5847" s="274" t="s">
        <v>229</v>
      </c>
    </row>
    <row r="5848" spans="1:5" ht="40.5">
      <c r="A5848" s="271">
        <v>87837</v>
      </c>
      <c r="B5848" s="272" t="s">
        <v>2965</v>
      </c>
      <c r="C5848" s="272" t="s">
        <v>193</v>
      </c>
      <c r="D5848" s="273" t="s">
        <v>16190</v>
      </c>
      <c r="E5848" s="274" t="s">
        <v>229</v>
      </c>
    </row>
    <row r="5849" spans="1:5" ht="40.5">
      <c r="A5849" s="271">
        <v>87838</v>
      </c>
      <c r="B5849" s="272" t="s">
        <v>2966</v>
      </c>
      <c r="C5849" s="272" t="s">
        <v>193</v>
      </c>
      <c r="D5849" s="273" t="s">
        <v>24143</v>
      </c>
      <c r="E5849" s="274" t="s">
        <v>229</v>
      </c>
    </row>
    <row r="5850" spans="1:5" ht="40.5">
      <c r="A5850" s="271">
        <v>87839</v>
      </c>
      <c r="B5850" s="272" t="s">
        <v>2967</v>
      </c>
      <c r="C5850" s="272" t="s">
        <v>193</v>
      </c>
      <c r="D5850" s="273" t="s">
        <v>24099</v>
      </c>
      <c r="E5850" s="274" t="s">
        <v>229</v>
      </c>
    </row>
    <row r="5851" spans="1:5" ht="40.5">
      <c r="A5851" s="271">
        <v>87840</v>
      </c>
      <c r="B5851" s="272" t="s">
        <v>2968</v>
      </c>
      <c r="C5851" s="272" t="s">
        <v>193</v>
      </c>
      <c r="D5851" s="273" t="s">
        <v>24144</v>
      </c>
      <c r="E5851" s="274" t="s">
        <v>229</v>
      </c>
    </row>
    <row r="5852" spans="1:5" ht="40.5">
      <c r="A5852" s="271">
        <v>87841</v>
      </c>
      <c r="B5852" s="272" t="s">
        <v>2969</v>
      </c>
      <c r="C5852" s="272" t="s">
        <v>193</v>
      </c>
      <c r="D5852" s="273" t="s">
        <v>24145</v>
      </c>
      <c r="E5852" s="274" t="s">
        <v>229</v>
      </c>
    </row>
    <row r="5853" spans="1:5" ht="27">
      <c r="A5853" s="271">
        <v>87842</v>
      </c>
      <c r="B5853" s="272" t="s">
        <v>2970</v>
      </c>
      <c r="C5853" s="272" t="s">
        <v>193</v>
      </c>
      <c r="D5853" s="273" t="s">
        <v>24146</v>
      </c>
      <c r="E5853" s="274" t="s">
        <v>229</v>
      </c>
    </row>
    <row r="5854" spans="1:5" ht="27">
      <c r="A5854" s="271">
        <v>87843</v>
      </c>
      <c r="B5854" s="272" t="s">
        <v>2971</v>
      </c>
      <c r="C5854" s="272" t="s">
        <v>193</v>
      </c>
      <c r="D5854" s="273" t="s">
        <v>23785</v>
      </c>
      <c r="E5854" s="274" t="s">
        <v>229</v>
      </c>
    </row>
    <row r="5855" spans="1:5" ht="40.5">
      <c r="A5855" s="271">
        <v>87844</v>
      </c>
      <c r="B5855" s="272" t="s">
        <v>2972</v>
      </c>
      <c r="C5855" s="272" t="s">
        <v>193</v>
      </c>
      <c r="D5855" s="273" t="s">
        <v>24147</v>
      </c>
      <c r="E5855" s="274" t="s">
        <v>229</v>
      </c>
    </row>
    <row r="5856" spans="1:5" ht="40.5">
      <c r="A5856" s="271">
        <v>87845</v>
      </c>
      <c r="B5856" s="272" t="s">
        <v>2973</v>
      </c>
      <c r="C5856" s="272" t="s">
        <v>193</v>
      </c>
      <c r="D5856" s="273" t="s">
        <v>24148</v>
      </c>
      <c r="E5856" s="274" t="s">
        <v>229</v>
      </c>
    </row>
    <row r="5857" spans="1:5" ht="27">
      <c r="A5857" s="271">
        <v>87846</v>
      </c>
      <c r="B5857" s="272" t="s">
        <v>2974</v>
      </c>
      <c r="C5857" s="272" t="s">
        <v>193</v>
      </c>
      <c r="D5857" s="273" t="s">
        <v>16354</v>
      </c>
      <c r="E5857" s="274" t="s">
        <v>229</v>
      </c>
    </row>
    <row r="5858" spans="1:5" ht="27">
      <c r="A5858" s="271">
        <v>87847</v>
      </c>
      <c r="B5858" s="272" t="s">
        <v>2975</v>
      </c>
      <c r="C5858" s="272" t="s">
        <v>193</v>
      </c>
      <c r="D5858" s="273" t="s">
        <v>24149</v>
      </c>
      <c r="E5858" s="274" t="s">
        <v>229</v>
      </c>
    </row>
    <row r="5859" spans="1:5" ht="40.5">
      <c r="A5859" s="271">
        <v>87848</v>
      </c>
      <c r="B5859" s="272" t="s">
        <v>2976</v>
      </c>
      <c r="C5859" s="272" t="s">
        <v>193</v>
      </c>
      <c r="D5859" s="273" t="s">
        <v>15906</v>
      </c>
      <c r="E5859" s="274" t="s">
        <v>229</v>
      </c>
    </row>
    <row r="5860" spans="1:5" ht="40.5">
      <c r="A5860" s="271">
        <v>87849</v>
      </c>
      <c r="B5860" s="272" t="s">
        <v>2977</v>
      </c>
      <c r="C5860" s="272" t="s">
        <v>193</v>
      </c>
      <c r="D5860" s="273" t="s">
        <v>24150</v>
      </c>
      <c r="E5860" s="274" t="s">
        <v>229</v>
      </c>
    </row>
    <row r="5861" spans="1:5" ht="40.5">
      <c r="A5861" s="271">
        <v>87850</v>
      </c>
      <c r="B5861" s="272" t="s">
        <v>2978</v>
      </c>
      <c r="C5861" s="272" t="s">
        <v>193</v>
      </c>
      <c r="D5861" s="273" t="s">
        <v>14112</v>
      </c>
      <c r="E5861" s="274" t="s">
        <v>229</v>
      </c>
    </row>
    <row r="5862" spans="1:5" ht="40.5">
      <c r="A5862" s="271">
        <v>87851</v>
      </c>
      <c r="B5862" s="272" t="s">
        <v>2979</v>
      </c>
      <c r="C5862" s="272" t="s">
        <v>193</v>
      </c>
      <c r="D5862" s="273" t="s">
        <v>12307</v>
      </c>
      <c r="E5862" s="274" t="s">
        <v>229</v>
      </c>
    </row>
    <row r="5863" spans="1:5" ht="40.5">
      <c r="A5863" s="271">
        <v>87852</v>
      </c>
      <c r="B5863" s="272" t="s">
        <v>2980</v>
      </c>
      <c r="C5863" s="272" t="s">
        <v>193</v>
      </c>
      <c r="D5863" s="273" t="s">
        <v>24070</v>
      </c>
      <c r="E5863" s="274" t="s">
        <v>229</v>
      </c>
    </row>
    <row r="5864" spans="1:5" ht="40.5">
      <c r="A5864" s="271">
        <v>87853</v>
      </c>
      <c r="B5864" s="272" t="s">
        <v>2981</v>
      </c>
      <c r="C5864" s="272" t="s">
        <v>193</v>
      </c>
      <c r="D5864" s="273" t="s">
        <v>23723</v>
      </c>
      <c r="E5864" s="274" t="s">
        <v>229</v>
      </c>
    </row>
    <row r="5865" spans="1:5" ht="27">
      <c r="A5865" s="271">
        <v>87854</v>
      </c>
      <c r="B5865" s="272" t="s">
        <v>2982</v>
      </c>
      <c r="C5865" s="272" t="s">
        <v>193</v>
      </c>
      <c r="D5865" s="273" t="s">
        <v>24151</v>
      </c>
      <c r="E5865" s="274" t="s">
        <v>229</v>
      </c>
    </row>
    <row r="5866" spans="1:5" ht="27">
      <c r="A5866" s="271">
        <v>87855</v>
      </c>
      <c r="B5866" s="272" t="s">
        <v>2983</v>
      </c>
      <c r="C5866" s="272" t="s">
        <v>193</v>
      </c>
      <c r="D5866" s="273" t="s">
        <v>23782</v>
      </c>
      <c r="E5866" s="274" t="s">
        <v>229</v>
      </c>
    </row>
    <row r="5867" spans="1:5" ht="40.5">
      <c r="A5867" s="271">
        <v>87856</v>
      </c>
      <c r="B5867" s="272" t="s">
        <v>2984</v>
      </c>
      <c r="C5867" s="272" t="s">
        <v>193</v>
      </c>
      <c r="D5867" s="273" t="s">
        <v>24152</v>
      </c>
      <c r="E5867" s="274" t="s">
        <v>229</v>
      </c>
    </row>
    <row r="5868" spans="1:5" ht="40.5">
      <c r="A5868" s="271">
        <v>87857</v>
      </c>
      <c r="B5868" s="272" t="s">
        <v>2985</v>
      </c>
      <c r="C5868" s="272" t="s">
        <v>193</v>
      </c>
      <c r="D5868" s="273" t="s">
        <v>24153</v>
      </c>
      <c r="E5868" s="274" t="s">
        <v>229</v>
      </c>
    </row>
    <row r="5869" spans="1:5" ht="27">
      <c r="A5869" s="271">
        <v>87858</v>
      </c>
      <c r="B5869" s="272" t="s">
        <v>2986</v>
      </c>
      <c r="C5869" s="272" t="s">
        <v>193</v>
      </c>
      <c r="D5869" s="273" t="s">
        <v>24154</v>
      </c>
      <c r="E5869" s="274" t="s">
        <v>229</v>
      </c>
    </row>
    <row r="5870" spans="1:5" ht="27">
      <c r="A5870" s="271">
        <v>87859</v>
      </c>
      <c r="B5870" s="272" t="s">
        <v>2987</v>
      </c>
      <c r="C5870" s="272" t="s">
        <v>193</v>
      </c>
      <c r="D5870" s="273" t="s">
        <v>24155</v>
      </c>
      <c r="E5870" s="274" t="s">
        <v>229</v>
      </c>
    </row>
    <row r="5871" spans="1:5" ht="40.5">
      <c r="A5871" s="271">
        <v>89048</v>
      </c>
      <c r="B5871" s="272" t="s">
        <v>2988</v>
      </c>
      <c r="C5871" s="272" t="s">
        <v>193</v>
      </c>
      <c r="D5871" s="273" t="s">
        <v>14186</v>
      </c>
      <c r="E5871" s="274" t="s">
        <v>229</v>
      </c>
    </row>
    <row r="5872" spans="1:5" ht="40.5">
      <c r="A5872" s="271">
        <v>89049</v>
      </c>
      <c r="B5872" s="272" t="s">
        <v>2989</v>
      </c>
      <c r="C5872" s="272" t="s">
        <v>193</v>
      </c>
      <c r="D5872" s="273" t="s">
        <v>19699</v>
      </c>
      <c r="E5872" s="274" t="s">
        <v>229</v>
      </c>
    </row>
    <row r="5873" spans="1:5" ht="40.5">
      <c r="A5873" s="271">
        <v>89173</v>
      </c>
      <c r="B5873" s="272" t="s">
        <v>2990</v>
      </c>
      <c r="C5873" s="272" t="s">
        <v>193</v>
      </c>
      <c r="D5873" s="273" t="s">
        <v>12400</v>
      </c>
      <c r="E5873" s="274" t="s">
        <v>229</v>
      </c>
    </row>
    <row r="5874" spans="1:5" ht="40.5">
      <c r="A5874" s="271">
        <v>90406</v>
      </c>
      <c r="B5874" s="272" t="s">
        <v>2991</v>
      </c>
      <c r="C5874" s="272" t="s">
        <v>193</v>
      </c>
      <c r="D5874" s="273" t="s">
        <v>15999</v>
      </c>
      <c r="E5874" s="274" t="s">
        <v>229</v>
      </c>
    </row>
    <row r="5875" spans="1:5" ht="27">
      <c r="A5875" s="271">
        <v>90407</v>
      </c>
      <c r="B5875" s="272" t="s">
        <v>2992</v>
      </c>
      <c r="C5875" s="272" t="s">
        <v>193</v>
      </c>
      <c r="D5875" s="273" t="s">
        <v>24156</v>
      </c>
      <c r="E5875" s="274" t="s">
        <v>229</v>
      </c>
    </row>
    <row r="5876" spans="1:5" ht="40.5">
      <c r="A5876" s="271">
        <v>90408</v>
      </c>
      <c r="B5876" s="272" t="s">
        <v>2993</v>
      </c>
      <c r="C5876" s="272" t="s">
        <v>193</v>
      </c>
      <c r="D5876" s="273" t="s">
        <v>23334</v>
      </c>
      <c r="E5876" s="274" t="s">
        <v>229</v>
      </c>
    </row>
    <row r="5877" spans="1:5" ht="27">
      <c r="A5877" s="271">
        <v>90409</v>
      </c>
      <c r="B5877" s="272" t="s">
        <v>2994</v>
      </c>
      <c r="C5877" s="272" t="s">
        <v>193</v>
      </c>
      <c r="D5877" s="273" t="s">
        <v>24157</v>
      </c>
      <c r="E5877" s="274" t="s">
        <v>229</v>
      </c>
    </row>
    <row r="5878" spans="1:5" ht="27">
      <c r="A5878" s="271">
        <v>87242</v>
      </c>
      <c r="B5878" s="272" t="s">
        <v>2995</v>
      </c>
      <c r="C5878" s="272" t="s">
        <v>193</v>
      </c>
      <c r="D5878" s="273" t="s">
        <v>24158</v>
      </c>
      <c r="E5878" s="274" t="s">
        <v>229</v>
      </c>
    </row>
    <row r="5879" spans="1:5" ht="27">
      <c r="A5879" s="271">
        <v>87243</v>
      </c>
      <c r="B5879" s="272" t="s">
        <v>2996</v>
      </c>
      <c r="C5879" s="272" t="s">
        <v>193</v>
      </c>
      <c r="D5879" s="273" t="s">
        <v>24159</v>
      </c>
      <c r="E5879" s="274" t="s">
        <v>229</v>
      </c>
    </row>
    <row r="5880" spans="1:5" ht="40.5">
      <c r="A5880" s="271">
        <v>87244</v>
      </c>
      <c r="B5880" s="272" t="s">
        <v>2997</v>
      </c>
      <c r="C5880" s="272" t="s">
        <v>193</v>
      </c>
      <c r="D5880" s="273" t="s">
        <v>24160</v>
      </c>
      <c r="E5880" s="274" t="s">
        <v>229</v>
      </c>
    </row>
    <row r="5881" spans="1:5" ht="40.5">
      <c r="A5881" s="271">
        <v>87245</v>
      </c>
      <c r="B5881" s="272" t="s">
        <v>2998</v>
      </c>
      <c r="C5881" s="272" t="s">
        <v>193</v>
      </c>
      <c r="D5881" s="273" t="s">
        <v>24161</v>
      </c>
      <c r="E5881" s="274" t="s">
        <v>229</v>
      </c>
    </row>
    <row r="5882" spans="1:5" ht="40.5">
      <c r="A5882" s="271">
        <v>87264</v>
      </c>
      <c r="B5882" s="272" t="s">
        <v>2999</v>
      </c>
      <c r="C5882" s="272" t="s">
        <v>193</v>
      </c>
      <c r="D5882" s="273" t="s">
        <v>16519</v>
      </c>
      <c r="E5882" s="274" t="s">
        <v>229</v>
      </c>
    </row>
    <row r="5883" spans="1:5" ht="40.5">
      <c r="A5883" s="271">
        <v>87265</v>
      </c>
      <c r="B5883" s="272" t="s">
        <v>3000</v>
      </c>
      <c r="C5883" s="272" t="s">
        <v>193</v>
      </c>
      <c r="D5883" s="273" t="s">
        <v>20767</v>
      </c>
      <c r="E5883" s="274" t="s">
        <v>229</v>
      </c>
    </row>
    <row r="5884" spans="1:5" ht="40.5">
      <c r="A5884" s="271">
        <v>87266</v>
      </c>
      <c r="B5884" s="272" t="s">
        <v>3001</v>
      </c>
      <c r="C5884" s="272" t="s">
        <v>193</v>
      </c>
      <c r="D5884" s="273" t="s">
        <v>21008</v>
      </c>
      <c r="E5884" s="274" t="s">
        <v>229</v>
      </c>
    </row>
    <row r="5885" spans="1:5" ht="40.5">
      <c r="A5885" s="271">
        <v>87267</v>
      </c>
      <c r="B5885" s="272" t="s">
        <v>3002</v>
      </c>
      <c r="C5885" s="272" t="s">
        <v>193</v>
      </c>
      <c r="D5885" s="273" t="s">
        <v>24162</v>
      </c>
      <c r="E5885" s="274" t="s">
        <v>229</v>
      </c>
    </row>
    <row r="5886" spans="1:5" ht="40.5">
      <c r="A5886" s="271">
        <v>87268</v>
      </c>
      <c r="B5886" s="272" t="s">
        <v>3003</v>
      </c>
      <c r="C5886" s="272" t="s">
        <v>193</v>
      </c>
      <c r="D5886" s="273" t="s">
        <v>14253</v>
      </c>
      <c r="E5886" s="274" t="s">
        <v>229</v>
      </c>
    </row>
    <row r="5887" spans="1:5" ht="40.5">
      <c r="A5887" s="271">
        <v>87269</v>
      </c>
      <c r="B5887" s="272" t="s">
        <v>3004</v>
      </c>
      <c r="C5887" s="272" t="s">
        <v>193</v>
      </c>
      <c r="D5887" s="273" t="s">
        <v>12187</v>
      </c>
      <c r="E5887" s="274" t="s">
        <v>229</v>
      </c>
    </row>
    <row r="5888" spans="1:5" ht="40.5">
      <c r="A5888" s="271">
        <v>87270</v>
      </c>
      <c r="B5888" s="272" t="s">
        <v>3005</v>
      </c>
      <c r="C5888" s="272" t="s">
        <v>193</v>
      </c>
      <c r="D5888" s="273" t="s">
        <v>24163</v>
      </c>
      <c r="E5888" s="274" t="s">
        <v>229</v>
      </c>
    </row>
    <row r="5889" spans="1:5" ht="40.5">
      <c r="A5889" s="271">
        <v>87271</v>
      </c>
      <c r="B5889" s="272" t="s">
        <v>3006</v>
      </c>
      <c r="C5889" s="272" t="s">
        <v>193</v>
      </c>
      <c r="D5889" s="273" t="s">
        <v>18784</v>
      </c>
      <c r="E5889" s="274" t="s">
        <v>229</v>
      </c>
    </row>
    <row r="5890" spans="1:5" ht="40.5">
      <c r="A5890" s="271">
        <v>87272</v>
      </c>
      <c r="B5890" s="272" t="s">
        <v>3007</v>
      </c>
      <c r="C5890" s="272" t="s">
        <v>193</v>
      </c>
      <c r="D5890" s="273" t="s">
        <v>20995</v>
      </c>
      <c r="E5890" s="274" t="s">
        <v>229</v>
      </c>
    </row>
    <row r="5891" spans="1:5" ht="40.5">
      <c r="A5891" s="271">
        <v>87273</v>
      </c>
      <c r="B5891" s="272" t="s">
        <v>3008</v>
      </c>
      <c r="C5891" s="272" t="s">
        <v>193</v>
      </c>
      <c r="D5891" s="273" t="s">
        <v>11508</v>
      </c>
      <c r="E5891" s="274" t="s">
        <v>229</v>
      </c>
    </row>
    <row r="5892" spans="1:5" ht="40.5">
      <c r="A5892" s="271">
        <v>87274</v>
      </c>
      <c r="B5892" s="272" t="s">
        <v>3009</v>
      </c>
      <c r="C5892" s="272" t="s">
        <v>193</v>
      </c>
      <c r="D5892" s="273" t="s">
        <v>16122</v>
      </c>
      <c r="E5892" s="274" t="s">
        <v>229</v>
      </c>
    </row>
    <row r="5893" spans="1:5" ht="40.5">
      <c r="A5893" s="271">
        <v>87275</v>
      </c>
      <c r="B5893" s="272" t="s">
        <v>3010</v>
      </c>
      <c r="C5893" s="272" t="s">
        <v>193</v>
      </c>
      <c r="D5893" s="273" t="s">
        <v>24164</v>
      </c>
      <c r="E5893" s="274" t="s">
        <v>229</v>
      </c>
    </row>
    <row r="5894" spans="1:5" ht="27">
      <c r="A5894" s="271">
        <v>88786</v>
      </c>
      <c r="B5894" s="272" t="s">
        <v>3011</v>
      </c>
      <c r="C5894" s="272" t="s">
        <v>193</v>
      </c>
      <c r="D5894" s="273" t="s">
        <v>24165</v>
      </c>
      <c r="E5894" s="274" t="s">
        <v>229</v>
      </c>
    </row>
    <row r="5895" spans="1:5" ht="27">
      <c r="A5895" s="271">
        <v>88787</v>
      </c>
      <c r="B5895" s="272" t="s">
        <v>3012</v>
      </c>
      <c r="C5895" s="272" t="s">
        <v>193</v>
      </c>
      <c r="D5895" s="273" t="s">
        <v>24166</v>
      </c>
      <c r="E5895" s="274" t="s">
        <v>229</v>
      </c>
    </row>
    <row r="5896" spans="1:5" ht="40.5">
      <c r="A5896" s="271">
        <v>88788</v>
      </c>
      <c r="B5896" s="272" t="s">
        <v>3013</v>
      </c>
      <c r="C5896" s="272" t="s">
        <v>193</v>
      </c>
      <c r="D5896" s="273" t="s">
        <v>24167</v>
      </c>
      <c r="E5896" s="274" t="s">
        <v>229</v>
      </c>
    </row>
    <row r="5897" spans="1:5" ht="40.5">
      <c r="A5897" s="271">
        <v>88789</v>
      </c>
      <c r="B5897" s="272" t="s">
        <v>3014</v>
      </c>
      <c r="C5897" s="272" t="s">
        <v>193</v>
      </c>
      <c r="D5897" s="273" t="s">
        <v>24168</v>
      </c>
      <c r="E5897" s="274" t="s">
        <v>229</v>
      </c>
    </row>
    <row r="5898" spans="1:5" ht="40.5">
      <c r="A5898" s="271">
        <v>89045</v>
      </c>
      <c r="B5898" s="272" t="s">
        <v>13773</v>
      </c>
      <c r="C5898" s="272" t="s">
        <v>193</v>
      </c>
      <c r="D5898" s="273" t="s">
        <v>12179</v>
      </c>
      <c r="E5898" s="274" t="s">
        <v>229</v>
      </c>
    </row>
    <row r="5899" spans="1:5" ht="54">
      <c r="A5899" s="271">
        <v>89170</v>
      </c>
      <c r="B5899" s="272" t="s">
        <v>13774</v>
      </c>
      <c r="C5899" s="272" t="s">
        <v>193</v>
      </c>
      <c r="D5899" s="273" t="s">
        <v>14156</v>
      </c>
      <c r="E5899" s="274" t="s">
        <v>229</v>
      </c>
    </row>
    <row r="5900" spans="1:5" ht="40.5">
      <c r="A5900" s="271">
        <v>93392</v>
      </c>
      <c r="B5900" s="272" t="s">
        <v>4368</v>
      </c>
      <c r="C5900" s="272" t="s">
        <v>193</v>
      </c>
      <c r="D5900" s="273" t="s">
        <v>23567</v>
      </c>
      <c r="E5900" s="274" t="s">
        <v>229</v>
      </c>
    </row>
    <row r="5901" spans="1:5" ht="40.5">
      <c r="A5901" s="271">
        <v>93393</v>
      </c>
      <c r="B5901" s="272" t="s">
        <v>4369</v>
      </c>
      <c r="C5901" s="272" t="s">
        <v>193</v>
      </c>
      <c r="D5901" s="273" t="s">
        <v>11499</v>
      </c>
      <c r="E5901" s="274" t="s">
        <v>229</v>
      </c>
    </row>
    <row r="5902" spans="1:5" ht="40.5">
      <c r="A5902" s="271">
        <v>93394</v>
      </c>
      <c r="B5902" s="272" t="s">
        <v>4370</v>
      </c>
      <c r="C5902" s="272" t="s">
        <v>193</v>
      </c>
      <c r="D5902" s="273" t="s">
        <v>24169</v>
      </c>
      <c r="E5902" s="274" t="s">
        <v>229</v>
      </c>
    </row>
    <row r="5903" spans="1:5" ht="40.5">
      <c r="A5903" s="271">
        <v>93395</v>
      </c>
      <c r="B5903" s="272" t="s">
        <v>4371</v>
      </c>
      <c r="C5903" s="272" t="s">
        <v>193</v>
      </c>
      <c r="D5903" s="273" t="s">
        <v>19722</v>
      </c>
      <c r="E5903" s="274" t="s">
        <v>229</v>
      </c>
    </row>
    <row r="5904" spans="1:5" ht="40.5">
      <c r="A5904" s="271">
        <v>99194</v>
      </c>
      <c r="B5904" s="272" t="s">
        <v>4372</v>
      </c>
      <c r="C5904" s="272" t="s">
        <v>193</v>
      </c>
      <c r="D5904" s="273" t="s">
        <v>24170</v>
      </c>
      <c r="E5904" s="274" t="s">
        <v>229</v>
      </c>
    </row>
    <row r="5905" spans="1:5" ht="40.5">
      <c r="A5905" s="271">
        <v>99195</v>
      </c>
      <c r="B5905" s="272" t="s">
        <v>4373</v>
      </c>
      <c r="C5905" s="272" t="s">
        <v>193</v>
      </c>
      <c r="D5905" s="273" t="s">
        <v>16075</v>
      </c>
      <c r="E5905" s="274" t="s">
        <v>229</v>
      </c>
    </row>
    <row r="5906" spans="1:5" ht="40.5">
      <c r="A5906" s="271">
        <v>99196</v>
      </c>
      <c r="B5906" s="272" t="s">
        <v>4374</v>
      </c>
      <c r="C5906" s="272" t="s">
        <v>193</v>
      </c>
      <c r="D5906" s="273" t="s">
        <v>19156</v>
      </c>
      <c r="E5906" s="274" t="s">
        <v>229</v>
      </c>
    </row>
    <row r="5907" spans="1:5" ht="40.5">
      <c r="A5907" s="271">
        <v>99198</v>
      </c>
      <c r="B5907" s="272" t="s">
        <v>4375</v>
      </c>
      <c r="C5907" s="272" t="s">
        <v>193</v>
      </c>
      <c r="D5907" s="273" t="s">
        <v>24171</v>
      </c>
      <c r="E5907" s="274" t="s">
        <v>229</v>
      </c>
    </row>
    <row r="5908" spans="1:5" ht="27">
      <c r="A5908" s="271">
        <v>101965</v>
      </c>
      <c r="B5908" s="272" t="s">
        <v>13775</v>
      </c>
      <c r="C5908" s="272" t="s">
        <v>5</v>
      </c>
      <c r="D5908" s="273" t="s">
        <v>19899</v>
      </c>
      <c r="E5908" s="274" t="s">
        <v>229</v>
      </c>
    </row>
    <row r="5909" spans="1:5" ht="27">
      <c r="A5909" s="271">
        <v>101966</v>
      </c>
      <c r="B5909" s="272" t="s">
        <v>13776</v>
      </c>
      <c r="C5909" s="272" t="s">
        <v>5</v>
      </c>
      <c r="D5909" s="273" t="s">
        <v>24172</v>
      </c>
      <c r="E5909" s="274" t="s">
        <v>229</v>
      </c>
    </row>
    <row r="5910" spans="1:5" ht="13.5">
      <c r="A5910" s="271">
        <v>101979</v>
      </c>
      <c r="B5910" s="272" t="s">
        <v>13777</v>
      </c>
      <c r="C5910" s="272" t="s">
        <v>5</v>
      </c>
      <c r="D5910" s="273" t="s">
        <v>16356</v>
      </c>
      <c r="E5910" s="274" t="s">
        <v>229</v>
      </c>
    </row>
    <row r="5911" spans="1:5" ht="27">
      <c r="A5911" s="271">
        <v>96112</v>
      </c>
      <c r="B5911" s="272" t="s">
        <v>3015</v>
      </c>
      <c r="C5911" s="272" t="s">
        <v>193</v>
      </c>
      <c r="D5911" s="273" t="s">
        <v>24173</v>
      </c>
      <c r="E5911" s="274" t="s">
        <v>229</v>
      </c>
    </row>
    <row r="5912" spans="1:5" ht="27">
      <c r="A5912" s="271">
        <v>96117</v>
      </c>
      <c r="B5912" s="272" t="s">
        <v>3016</v>
      </c>
      <c r="C5912" s="272" t="s">
        <v>193</v>
      </c>
      <c r="D5912" s="273" t="s">
        <v>24174</v>
      </c>
      <c r="E5912" s="274" t="s">
        <v>229</v>
      </c>
    </row>
    <row r="5913" spans="1:5" ht="13.5">
      <c r="A5913" s="271">
        <v>96122</v>
      </c>
      <c r="B5913" s="272" t="s">
        <v>3017</v>
      </c>
      <c r="C5913" s="272" t="s">
        <v>5</v>
      </c>
      <c r="D5913" s="273" t="s">
        <v>11054</v>
      </c>
      <c r="E5913" s="274" t="s">
        <v>229</v>
      </c>
    </row>
    <row r="5914" spans="1:5" ht="13.5">
      <c r="A5914" s="271">
        <v>96109</v>
      </c>
      <c r="B5914" s="272" t="s">
        <v>3018</v>
      </c>
      <c r="C5914" s="272" t="s">
        <v>193</v>
      </c>
      <c r="D5914" s="273" t="s">
        <v>24175</v>
      </c>
      <c r="E5914" s="274" t="s">
        <v>229</v>
      </c>
    </row>
    <row r="5915" spans="1:5" ht="27">
      <c r="A5915" s="271">
        <v>96110</v>
      </c>
      <c r="B5915" s="272" t="s">
        <v>3019</v>
      </c>
      <c r="C5915" s="272" t="s">
        <v>193</v>
      </c>
      <c r="D5915" s="273" t="s">
        <v>24176</v>
      </c>
      <c r="E5915" s="274" t="s">
        <v>229</v>
      </c>
    </row>
    <row r="5916" spans="1:5" ht="13.5">
      <c r="A5916" s="271">
        <v>96113</v>
      </c>
      <c r="B5916" s="272" t="s">
        <v>3020</v>
      </c>
      <c r="C5916" s="272" t="s">
        <v>193</v>
      </c>
      <c r="D5916" s="273" t="s">
        <v>14273</v>
      </c>
      <c r="E5916" s="274" t="s">
        <v>229</v>
      </c>
    </row>
    <row r="5917" spans="1:5" ht="27">
      <c r="A5917" s="271">
        <v>96114</v>
      </c>
      <c r="B5917" s="272" t="s">
        <v>3021</v>
      </c>
      <c r="C5917" s="272" t="s">
        <v>193</v>
      </c>
      <c r="D5917" s="273" t="s">
        <v>12236</v>
      </c>
      <c r="E5917" s="274" t="s">
        <v>229</v>
      </c>
    </row>
    <row r="5918" spans="1:5" ht="13.5">
      <c r="A5918" s="271">
        <v>96120</v>
      </c>
      <c r="B5918" s="272" t="s">
        <v>3022</v>
      </c>
      <c r="C5918" s="272" t="s">
        <v>5</v>
      </c>
      <c r="D5918" s="273" t="s">
        <v>10791</v>
      </c>
      <c r="E5918" s="274" t="s">
        <v>229</v>
      </c>
    </row>
    <row r="5919" spans="1:5" ht="13.5">
      <c r="A5919" s="271">
        <v>96123</v>
      </c>
      <c r="B5919" s="272" t="s">
        <v>3023</v>
      </c>
      <c r="C5919" s="272" t="s">
        <v>5</v>
      </c>
      <c r="D5919" s="273" t="s">
        <v>15830</v>
      </c>
      <c r="E5919" s="274" t="s">
        <v>229</v>
      </c>
    </row>
    <row r="5920" spans="1:5" ht="13.5">
      <c r="A5920" s="271">
        <v>99054</v>
      </c>
      <c r="B5920" s="272" t="s">
        <v>4376</v>
      </c>
      <c r="C5920" s="272" t="s">
        <v>193</v>
      </c>
      <c r="D5920" s="273" t="s">
        <v>21138</v>
      </c>
      <c r="E5920" s="274" t="s">
        <v>229</v>
      </c>
    </row>
    <row r="5921" spans="1:5" ht="27">
      <c r="A5921" s="271">
        <v>96111</v>
      </c>
      <c r="B5921" s="272" t="s">
        <v>3024</v>
      </c>
      <c r="C5921" s="272" t="s">
        <v>193</v>
      </c>
      <c r="D5921" s="273" t="s">
        <v>15846</v>
      </c>
      <c r="E5921" s="274" t="s">
        <v>229</v>
      </c>
    </row>
    <row r="5922" spans="1:5" ht="27">
      <c r="A5922" s="271">
        <v>96116</v>
      </c>
      <c r="B5922" s="272" t="s">
        <v>3025</v>
      </c>
      <c r="C5922" s="272" t="s">
        <v>193</v>
      </c>
      <c r="D5922" s="273" t="s">
        <v>24177</v>
      </c>
      <c r="E5922" s="274" t="s">
        <v>229</v>
      </c>
    </row>
    <row r="5923" spans="1:5" ht="13.5">
      <c r="A5923" s="271">
        <v>96121</v>
      </c>
      <c r="B5923" s="272" t="s">
        <v>3026</v>
      </c>
      <c r="C5923" s="272" t="s">
        <v>5</v>
      </c>
      <c r="D5923" s="273" t="s">
        <v>10546</v>
      </c>
      <c r="E5923" s="274" t="s">
        <v>229</v>
      </c>
    </row>
    <row r="5924" spans="1:5" ht="27">
      <c r="A5924" s="271">
        <v>96485</v>
      </c>
      <c r="B5924" s="272" t="s">
        <v>3027</v>
      </c>
      <c r="C5924" s="272" t="s">
        <v>193</v>
      </c>
      <c r="D5924" s="273" t="s">
        <v>24178</v>
      </c>
      <c r="E5924" s="274" t="s">
        <v>229</v>
      </c>
    </row>
    <row r="5925" spans="1:5" ht="27">
      <c r="A5925" s="271">
        <v>96486</v>
      </c>
      <c r="B5925" s="272" t="s">
        <v>3028</v>
      </c>
      <c r="C5925" s="272" t="s">
        <v>193</v>
      </c>
      <c r="D5925" s="273" t="s">
        <v>15989</v>
      </c>
      <c r="E5925" s="274" t="s">
        <v>229</v>
      </c>
    </row>
    <row r="5926" spans="1:5" ht="27">
      <c r="A5926" s="271">
        <v>91514</v>
      </c>
      <c r="B5926" s="272" t="s">
        <v>3029</v>
      </c>
      <c r="C5926" s="272" t="s">
        <v>193</v>
      </c>
      <c r="D5926" s="273" t="s">
        <v>11037</v>
      </c>
      <c r="E5926" s="274" t="s">
        <v>229</v>
      </c>
    </row>
    <row r="5927" spans="1:5" ht="27">
      <c r="A5927" s="271">
        <v>91515</v>
      </c>
      <c r="B5927" s="272" t="s">
        <v>3030</v>
      </c>
      <c r="C5927" s="272" t="s">
        <v>193</v>
      </c>
      <c r="D5927" s="273" t="s">
        <v>11355</v>
      </c>
      <c r="E5927" s="274" t="s">
        <v>229</v>
      </c>
    </row>
    <row r="5928" spans="1:5" ht="27">
      <c r="A5928" s="271">
        <v>91516</v>
      </c>
      <c r="B5928" s="272" t="s">
        <v>3031</v>
      </c>
      <c r="C5928" s="272" t="s">
        <v>193</v>
      </c>
      <c r="D5928" s="273" t="s">
        <v>23670</v>
      </c>
      <c r="E5928" s="274" t="s">
        <v>229</v>
      </c>
    </row>
    <row r="5929" spans="1:5" ht="27">
      <c r="A5929" s="271">
        <v>91517</v>
      </c>
      <c r="B5929" s="272" t="s">
        <v>3032</v>
      </c>
      <c r="C5929" s="272" t="s">
        <v>193</v>
      </c>
      <c r="D5929" s="273" t="s">
        <v>9947</v>
      </c>
      <c r="E5929" s="274" t="s">
        <v>229</v>
      </c>
    </row>
    <row r="5930" spans="1:5" ht="27">
      <c r="A5930" s="271">
        <v>91519</v>
      </c>
      <c r="B5930" s="272" t="s">
        <v>3033</v>
      </c>
      <c r="C5930" s="272" t="s">
        <v>193</v>
      </c>
      <c r="D5930" s="273" t="s">
        <v>10953</v>
      </c>
      <c r="E5930" s="274" t="s">
        <v>229</v>
      </c>
    </row>
    <row r="5931" spans="1:5" ht="27">
      <c r="A5931" s="271">
        <v>91520</v>
      </c>
      <c r="B5931" s="272" t="s">
        <v>3034</v>
      </c>
      <c r="C5931" s="272" t="s">
        <v>193</v>
      </c>
      <c r="D5931" s="273" t="s">
        <v>11366</v>
      </c>
      <c r="E5931" s="274" t="s">
        <v>229</v>
      </c>
    </row>
    <row r="5932" spans="1:5" ht="27">
      <c r="A5932" s="271">
        <v>91522</v>
      </c>
      <c r="B5932" s="272" t="s">
        <v>3035</v>
      </c>
      <c r="C5932" s="272" t="s">
        <v>193</v>
      </c>
      <c r="D5932" s="273" t="s">
        <v>9838</v>
      </c>
      <c r="E5932" s="274" t="s">
        <v>229</v>
      </c>
    </row>
    <row r="5933" spans="1:5" ht="27">
      <c r="A5933" s="271">
        <v>91525</v>
      </c>
      <c r="B5933" s="272" t="s">
        <v>3036</v>
      </c>
      <c r="C5933" s="272" t="s">
        <v>193</v>
      </c>
      <c r="D5933" s="273" t="s">
        <v>18938</v>
      </c>
      <c r="E5933" s="274" t="s">
        <v>229</v>
      </c>
    </row>
    <row r="5934" spans="1:5" ht="40.5">
      <c r="A5934" s="271">
        <v>87280</v>
      </c>
      <c r="B5934" s="272" t="s">
        <v>9304</v>
      </c>
      <c r="C5934" s="272" t="s">
        <v>209</v>
      </c>
      <c r="D5934" s="273" t="s">
        <v>24179</v>
      </c>
      <c r="E5934" s="274" t="s">
        <v>229</v>
      </c>
    </row>
    <row r="5935" spans="1:5" ht="40.5">
      <c r="A5935" s="271">
        <v>87281</v>
      </c>
      <c r="B5935" s="272" t="s">
        <v>9305</v>
      </c>
      <c r="C5935" s="272" t="s">
        <v>209</v>
      </c>
      <c r="D5935" s="273" t="s">
        <v>24180</v>
      </c>
      <c r="E5935" s="274" t="s">
        <v>229</v>
      </c>
    </row>
    <row r="5936" spans="1:5" ht="40.5">
      <c r="A5936" s="271">
        <v>87283</v>
      </c>
      <c r="B5936" s="272" t="s">
        <v>9306</v>
      </c>
      <c r="C5936" s="272" t="s">
        <v>209</v>
      </c>
      <c r="D5936" s="273" t="s">
        <v>24181</v>
      </c>
      <c r="E5936" s="274" t="s">
        <v>229</v>
      </c>
    </row>
    <row r="5937" spans="1:5" ht="40.5">
      <c r="A5937" s="271">
        <v>87284</v>
      </c>
      <c r="B5937" s="272" t="s">
        <v>9307</v>
      </c>
      <c r="C5937" s="272" t="s">
        <v>209</v>
      </c>
      <c r="D5937" s="273" t="s">
        <v>24182</v>
      </c>
      <c r="E5937" s="274" t="s">
        <v>229</v>
      </c>
    </row>
    <row r="5938" spans="1:5" ht="40.5">
      <c r="A5938" s="271">
        <v>87286</v>
      </c>
      <c r="B5938" s="272" t="s">
        <v>9308</v>
      </c>
      <c r="C5938" s="272" t="s">
        <v>209</v>
      </c>
      <c r="D5938" s="273" t="s">
        <v>24183</v>
      </c>
      <c r="E5938" s="274" t="s">
        <v>229</v>
      </c>
    </row>
    <row r="5939" spans="1:5" ht="40.5">
      <c r="A5939" s="271">
        <v>87287</v>
      </c>
      <c r="B5939" s="272" t="s">
        <v>9309</v>
      </c>
      <c r="C5939" s="272" t="s">
        <v>209</v>
      </c>
      <c r="D5939" s="273" t="s">
        <v>24184</v>
      </c>
      <c r="E5939" s="274" t="s">
        <v>229</v>
      </c>
    </row>
    <row r="5940" spans="1:5" ht="40.5">
      <c r="A5940" s="271">
        <v>87289</v>
      </c>
      <c r="B5940" s="272" t="s">
        <v>9310</v>
      </c>
      <c r="C5940" s="272" t="s">
        <v>209</v>
      </c>
      <c r="D5940" s="273" t="s">
        <v>24185</v>
      </c>
      <c r="E5940" s="274" t="s">
        <v>229</v>
      </c>
    </row>
    <row r="5941" spans="1:5" ht="40.5">
      <c r="A5941" s="271">
        <v>87290</v>
      </c>
      <c r="B5941" s="272" t="s">
        <v>9311</v>
      </c>
      <c r="C5941" s="272" t="s">
        <v>209</v>
      </c>
      <c r="D5941" s="273" t="s">
        <v>24186</v>
      </c>
      <c r="E5941" s="274" t="s">
        <v>229</v>
      </c>
    </row>
    <row r="5942" spans="1:5" ht="40.5">
      <c r="A5942" s="271">
        <v>87292</v>
      </c>
      <c r="B5942" s="272" t="s">
        <v>9312</v>
      </c>
      <c r="C5942" s="272" t="s">
        <v>209</v>
      </c>
      <c r="D5942" s="273" t="s">
        <v>24187</v>
      </c>
      <c r="E5942" s="274" t="s">
        <v>229</v>
      </c>
    </row>
    <row r="5943" spans="1:5" ht="40.5">
      <c r="A5943" s="271">
        <v>87294</v>
      </c>
      <c r="B5943" s="272" t="s">
        <v>9313</v>
      </c>
      <c r="C5943" s="272" t="s">
        <v>209</v>
      </c>
      <c r="D5943" s="273" t="s">
        <v>24188</v>
      </c>
      <c r="E5943" s="274" t="s">
        <v>229</v>
      </c>
    </row>
    <row r="5944" spans="1:5" ht="40.5">
      <c r="A5944" s="271">
        <v>87295</v>
      </c>
      <c r="B5944" s="272" t="s">
        <v>9314</v>
      </c>
      <c r="C5944" s="272" t="s">
        <v>209</v>
      </c>
      <c r="D5944" s="273" t="s">
        <v>24189</v>
      </c>
      <c r="E5944" s="274" t="s">
        <v>229</v>
      </c>
    </row>
    <row r="5945" spans="1:5" ht="40.5">
      <c r="A5945" s="271">
        <v>87296</v>
      </c>
      <c r="B5945" s="272" t="s">
        <v>9315</v>
      </c>
      <c r="C5945" s="272" t="s">
        <v>209</v>
      </c>
      <c r="D5945" s="273" t="s">
        <v>24190</v>
      </c>
      <c r="E5945" s="274" t="s">
        <v>229</v>
      </c>
    </row>
    <row r="5946" spans="1:5" ht="27">
      <c r="A5946" s="271">
        <v>87298</v>
      </c>
      <c r="B5946" s="272" t="s">
        <v>9316</v>
      </c>
      <c r="C5946" s="272" t="s">
        <v>209</v>
      </c>
      <c r="D5946" s="273" t="s">
        <v>24191</v>
      </c>
      <c r="E5946" s="274" t="s">
        <v>229</v>
      </c>
    </row>
    <row r="5947" spans="1:5" ht="27">
      <c r="A5947" s="271">
        <v>87299</v>
      </c>
      <c r="B5947" s="272" t="s">
        <v>9317</v>
      </c>
      <c r="C5947" s="272" t="s">
        <v>209</v>
      </c>
      <c r="D5947" s="273" t="s">
        <v>24192</v>
      </c>
      <c r="E5947" s="274" t="s">
        <v>229</v>
      </c>
    </row>
    <row r="5948" spans="1:5" ht="27">
      <c r="A5948" s="271">
        <v>87301</v>
      </c>
      <c r="B5948" s="272" t="s">
        <v>9318</v>
      </c>
      <c r="C5948" s="272" t="s">
        <v>209</v>
      </c>
      <c r="D5948" s="273" t="s">
        <v>24193</v>
      </c>
      <c r="E5948" s="274" t="s">
        <v>229</v>
      </c>
    </row>
    <row r="5949" spans="1:5" ht="27">
      <c r="A5949" s="271">
        <v>87302</v>
      </c>
      <c r="B5949" s="272" t="s">
        <v>9319</v>
      </c>
      <c r="C5949" s="272" t="s">
        <v>209</v>
      </c>
      <c r="D5949" s="273" t="s">
        <v>24194</v>
      </c>
      <c r="E5949" s="274" t="s">
        <v>229</v>
      </c>
    </row>
    <row r="5950" spans="1:5" ht="27">
      <c r="A5950" s="271">
        <v>87304</v>
      </c>
      <c r="B5950" s="272" t="s">
        <v>9320</v>
      </c>
      <c r="C5950" s="272" t="s">
        <v>209</v>
      </c>
      <c r="D5950" s="273" t="s">
        <v>15936</v>
      </c>
      <c r="E5950" s="274" t="s">
        <v>229</v>
      </c>
    </row>
    <row r="5951" spans="1:5" ht="27">
      <c r="A5951" s="271">
        <v>87305</v>
      </c>
      <c r="B5951" s="272" t="s">
        <v>9321</v>
      </c>
      <c r="C5951" s="272" t="s">
        <v>209</v>
      </c>
      <c r="D5951" s="273" t="s">
        <v>24195</v>
      </c>
      <c r="E5951" s="274" t="s">
        <v>229</v>
      </c>
    </row>
    <row r="5952" spans="1:5" ht="27">
      <c r="A5952" s="271">
        <v>87307</v>
      </c>
      <c r="B5952" s="272" t="s">
        <v>9322</v>
      </c>
      <c r="C5952" s="272" t="s">
        <v>209</v>
      </c>
      <c r="D5952" s="273" t="s">
        <v>24196</v>
      </c>
      <c r="E5952" s="274" t="s">
        <v>229</v>
      </c>
    </row>
    <row r="5953" spans="1:5" ht="27">
      <c r="A5953" s="271">
        <v>87308</v>
      </c>
      <c r="B5953" s="272" t="s">
        <v>9323</v>
      </c>
      <c r="C5953" s="272" t="s">
        <v>209</v>
      </c>
      <c r="D5953" s="273" t="s">
        <v>24197</v>
      </c>
      <c r="E5953" s="274" t="s">
        <v>229</v>
      </c>
    </row>
    <row r="5954" spans="1:5" ht="27">
      <c r="A5954" s="271">
        <v>87310</v>
      </c>
      <c r="B5954" s="272" t="s">
        <v>9324</v>
      </c>
      <c r="C5954" s="272" t="s">
        <v>209</v>
      </c>
      <c r="D5954" s="273" t="s">
        <v>24198</v>
      </c>
      <c r="E5954" s="274" t="s">
        <v>229</v>
      </c>
    </row>
    <row r="5955" spans="1:5" ht="27">
      <c r="A5955" s="271">
        <v>87311</v>
      </c>
      <c r="B5955" s="272" t="s">
        <v>9325</v>
      </c>
      <c r="C5955" s="272" t="s">
        <v>209</v>
      </c>
      <c r="D5955" s="273" t="s">
        <v>24199</v>
      </c>
      <c r="E5955" s="274" t="s">
        <v>229</v>
      </c>
    </row>
    <row r="5956" spans="1:5" ht="27">
      <c r="A5956" s="271">
        <v>87313</v>
      </c>
      <c r="B5956" s="272" t="s">
        <v>9326</v>
      </c>
      <c r="C5956" s="272" t="s">
        <v>209</v>
      </c>
      <c r="D5956" s="273" t="s">
        <v>24200</v>
      </c>
      <c r="E5956" s="274" t="s">
        <v>229</v>
      </c>
    </row>
    <row r="5957" spans="1:5" ht="27">
      <c r="A5957" s="271">
        <v>87314</v>
      </c>
      <c r="B5957" s="272" t="s">
        <v>9327</v>
      </c>
      <c r="C5957" s="272" t="s">
        <v>209</v>
      </c>
      <c r="D5957" s="273" t="s">
        <v>24201</v>
      </c>
      <c r="E5957" s="274" t="s">
        <v>229</v>
      </c>
    </row>
    <row r="5958" spans="1:5" ht="27">
      <c r="A5958" s="271">
        <v>87316</v>
      </c>
      <c r="B5958" s="272" t="s">
        <v>9328</v>
      </c>
      <c r="C5958" s="272" t="s">
        <v>209</v>
      </c>
      <c r="D5958" s="273" t="s">
        <v>24202</v>
      </c>
      <c r="E5958" s="274" t="s">
        <v>229</v>
      </c>
    </row>
    <row r="5959" spans="1:5" ht="27">
      <c r="A5959" s="271">
        <v>87317</v>
      </c>
      <c r="B5959" s="272" t="s">
        <v>9329</v>
      </c>
      <c r="C5959" s="272" t="s">
        <v>209</v>
      </c>
      <c r="D5959" s="273" t="s">
        <v>24203</v>
      </c>
      <c r="E5959" s="274" t="s">
        <v>229</v>
      </c>
    </row>
    <row r="5960" spans="1:5" ht="27">
      <c r="A5960" s="271">
        <v>87319</v>
      </c>
      <c r="B5960" s="272" t="s">
        <v>9330</v>
      </c>
      <c r="C5960" s="272" t="s">
        <v>209</v>
      </c>
      <c r="D5960" s="273" t="s">
        <v>24204</v>
      </c>
      <c r="E5960" s="274" t="s">
        <v>229</v>
      </c>
    </row>
    <row r="5961" spans="1:5" ht="27">
      <c r="A5961" s="271">
        <v>87320</v>
      </c>
      <c r="B5961" s="272" t="s">
        <v>9331</v>
      </c>
      <c r="C5961" s="272" t="s">
        <v>209</v>
      </c>
      <c r="D5961" s="273" t="s">
        <v>24205</v>
      </c>
      <c r="E5961" s="274" t="s">
        <v>229</v>
      </c>
    </row>
    <row r="5962" spans="1:5" ht="27">
      <c r="A5962" s="271">
        <v>87322</v>
      </c>
      <c r="B5962" s="272" t="s">
        <v>9332</v>
      </c>
      <c r="C5962" s="272" t="s">
        <v>209</v>
      </c>
      <c r="D5962" s="273" t="s">
        <v>24206</v>
      </c>
      <c r="E5962" s="274" t="s">
        <v>229</v>
      </c>
    </row>
    <row r="5963" spans="1:5" ht="27">
      <c r="A5963" s="271">
        <v>87323</v>
      </c>
      <c r="B5963" s="272" t="s">
        <v>9333</v>
      </c>
      <c r="C5963" s="272" t="s">
        <v>209</v>
      </c>
      <c r="D5963" s="273" t="s">
        <v>24207</v>
      </c>
      <c r="E5963" s="274" t="s">
        <v>229</v>
      </c>
    </row>
    <row r="5964" spans="1:5" ht="27">
      <c r="A5964" s="271">
        <v>87325</v>
      </c>
      <c r="B5964" s="272" t="s">
        <v>9334</v>
      </c>
      <c r="C5964" s="272" t="s">
        <v>209</v>
      </c>
      <c r="D5964" s="273" t="s">
        <v>24208</v>
      </c>
      <c r="E5964" s="274" t="s">
        <v>229</v>
      </c>
    </row>
    <row r="5965" spans="1:5" ht="27">
      <c r="A5965" s="271">
        <v>87326</v>
      </c>
      <c r="B5965" s="272" t="s">
        <v>9335</v>
      </c>
      <c r="C5965" s="272" t="s">
        <v>209</v>
      </c>
      <c r="D5965" s="273" t="s">
        <v>24209</v>
      </c>
      <c r="E5965" s="274" t="s">
        <v>229</v>
      </c>
    </row>
    <row r="5966" spans="1:5" ht="40.5">
      <c r="A5966" s="271">
        <v>87327</v>
      </c>
      <c r="B5966" s="272" t="s">
        <v>9336</v>
      </c>
      <c r="C5966" s="272" t="s">
        <v>209</v>
      </c>
      <c r="D5966" s="273" t="s">
        <v>24210</v>
      </c>
      <c r="E5966" s="274" t="s">
        <v>229</v>
      </c>
    </row>
    <row r="5967" spans="1:5" ht="40.5">
      <c r="A5967" s="271">
        <v>87328</v>
      </c>
      <c r="B5967" s="272" t="s">
        <v>9337</v>
      </c>
      <c r="C5967" s="272" t="s">
        <v>209</v>
      </c>
      <c r="D5967" s="273" t="s">
        <v>24211</v>
      </c>
      <c r="E5967" s="274" t="s">
        <v>229</v>
      </c>
    </row>
    <row r="5968" spans="1:5" ht="40.5">
      <c r="A5968" s="271">
        <v>87329</v>
      </c>
      <c r="B5968" s="272" t="s">
        <v>9338</v>
      </c>
      <c r="C5968" s="272" t="s">
        <v>209</v>
      </c>
      <c r="D5968" s="273" t="s">
        <v>24212</v>
      </c>
      <c r="E5968" s="274" t="s">
        <v>229</v>
      </c>
    </row>
    <row r="5969" spans="1:5" ht="40.5">
      <c r="A5969" s="271">
        <v>87330</v>
      </c>
      <c r="B5969" s="272" t="s">
        <v>9339</v>
      </c>
      <c r="C5969" s="272" t="s">
        <v>209</v>
      </c>
      <c r="D5969" s="273" t="s">
        <v>24213</v>
      </c>
      <c r="E5969" s="274" t="s">
        <v>229</v>
      </c>
    </row>
    <row r="5970" spans="1:5" ht="40.5">
      <c r="A5970" s="271">
        <v>87331</v>
      </c>
      <c r="B5970" s="272" t="s">
        <v>9340</v>
      </c>
      <c r="C5970" s="272" t="s">
        <v>209</v>
      </c>
      <c r="D5970" s="273" t="s">
        <v>24214</v>
      </c>
      <c r="E5970" s="274" t="s">
        <v>229</v>
      </c>
    </row>
    <row r="5971" spans="1:5" ht="40.5">
      <c r="A5971" s="271">
        <v>87332</v>
      </c>
      <c r="B5971" s="272" t="s">
        <v>9341</v>
      </c>
      <c r="C5971" s="272" t="s">
        <v>209</v>
      </c>
      <c r="D5971" s="273" t="s">
        <v>24215</v>
      </c>
      <c r="E5971" s="274" t="s">
        <v>229</v>
      </c>
    </row>
    <row r="5972" spans="1:5" ht="40.5">
      <c r="A5972" s="271">
        <v>87333</v>
      </c>
      <c r="B5972" s="272" t="s">
        <v>9342</v>
      </c>
      <c r="C5972" s="272" t="s">
        <v>209</v>
      </c>
      <c r="D5972" s="273" t="s">
        <v>14271</v>
      </c>
      <c r="E5972" s="274" t="s">
        <v>229</v>
      </c>
    </row>
    <row r="5973" spans="1:5" ht="40.5">
      <c r="A5973" s="271">
        <v>87334</v>
      </c>
      <c r="B5973" s="272" t="s">
        <v>9343</v>
      </c>
      <c r="C5973" s="272" t="s">
        <v>209</v>
      </c>
      <c r="D5973" s="273" t="s">
        <v>24216</v>
      </c>
      <c r="E5973" s="274" t="s">
        <v>229</v>
      </c>
    </row>
    <row r="5974" spans="1:5" ht="40.5">
      <c r="A5974" s="271">
        <v>87335</v>
      </c>
      <c r="B5974" s="272" t="s">
        <v>9344</v>
      </c>
      <c r="C5974" s="272" t="s">
        <v>209</v>
      </c>
      <c r="D5974" s="273" t="s">
        <v>24217</v>
      </c>
      <c r="E5974" s="274" t="s">
        <v>229</v>
      </c>
    </row>
    <row r="5975" spans="1:5" ht="40.5">
      <c r="A5975" s="271">
        <v>87336</v>
      </c>
      <c r="B5975" s="272" t="s">
        <v>9345</v>
      </c>
      <c r="C5975" s="272" t="s">
        <v>209</v>
      </c>
      <c r="D5975" s="273" t="s">
        <v>24218</v>
      </c>
      <c r="E5975" s="274" t="s">
        <v>229</v>
      </c>
    </row>
    <row r="5976" spans="1:5" ht="40.5">
      <c r="A5976" s="271">
        <v>87337</v>
      </c>
      <c r="B5976" s="272" t="s">
        <v>9346</v>
      </c>
      <c r="C5976" s="272" t="s">
        <v>209</v>
      </c>
      <c r="D5976" s="273" t="s">
        <v>24219</v>
      </c>
      <c r="E5976" s="274" t="s">
        <v>229</v>
      </c>
    </row>
    <row r="5977" spans="1:5" ht="40.5">
      <c r="A5977" s="271">
        <v>87338</v>
      </c>
      <c r="B5977" s="272" t="s">
        <v>9347</v>
      </c>
      <c r="C5977" s="272" t="s">
        <v>209</v>
      </c>
      <c r="D5977" s="273" t="s">
        <v>24220</v>
      </c>
      <c r="E5977" s="274" t="s">
        <v>229</v>
      </c>
    </row>
    <row r="5978" spans="1:5" ht="27">
      <c r="A5978" s="271">
        <v>87339</v>
      </c>
      <c r="B5978" s="272" t="s">
        <v>9348</v>
      </c>
      <c r="C5978" s="272" t="s">
        <v>209</v>
      </c>
      <c r="D5978" s="273" t="s">
        <v>24221</v>
      </c>
      <c r="E5978" s="274" t="s">
        <v>229</v>
      </c>
    </row>
    <row r="5979" spans="1:5" ht="27">
      <c r="A5979" s="271">
        <v>87340</v>
      </c>
      <c r="B5979" s="272" t="s">
        <v>9349</v>
      </c>
      <c r="C5979" s="272" t="s">
        <v>209</v>
      </c>
      <c r="D5979" s="273" t="s">
        <v>24222</v>
      </c>
      <c r="E5979" s="274" t="s">
        <v>229</v>
      </c>
    </row>
    <row r="5980" spans="1:5" ht="27">
      <c r="A5980" s="271">
        <v>87341</v>
      </c>
      <c r="B5980" s="272" t="s">
        <v>9350</v>
      </c>
      <c r="C5980" s="272" t="s">
        <v>209</v>
      </c>
      <c r="D5980" s="273" t="s">
        <v>24223</v>
      </c>
      <c r="E5980" s="274" t="s">
        <v>229</v>
      </c>
    </row>
    <row r="5981" spans="1:5" ht="27">
      <c r="A5981" s="271">
        <v>87342</v>
      </c>
      <c r="B5981" s="272" t="s">
        <v>9351</v>
      </c>
      <c r="C5981" s="272" t="s">
        <v>209</v>
      </c>
      <c r="D5981" s="273" t="s">
        <v>24224</v>
      </c>
      <c r="E5981" s="274" t="s">
        <v>229</v>
      </c>
    </row>
    <row r="5982" spans="1:5" ht="27">
      <c r="A5982" s="271">
        <v>87343</v>
      </c>
      <c r="B5982" s="272" t="s">
        <v>9352</v>
      </c>
      <c r="C5982" s="272" t="s">
        <v>209</v>
      </c>
      <c r="D5982" s="273" t="s">
        <v>24225</v>
      </c>
      <c r="E5982" s="274" t="s">
        <v>229</v>
      </c>
    </row>
    <row r="5983" spans="1:5" ht="27">
      <c r="A5983" s="271">
        <v>87344</v>
      </c>
      <c r="B5983" s="272" t="s">
        <v>9353</v>
      </c>
      <c r="C5983" s="272" t="s">
        <v>209</v>
      </c>
      <c r="D5983" s="273" t="s">
        <v>24226</v>
      </c>
      <c r="E5983" s="274" t="s">
        <v>229</v>
      </c>
    </row>
    <row r="5984" spans="1:5" ht="27">
      <c r="A5984" s="271">
        <v>87345</v>
      </c>
      <c r="B5984" s="272" t="s">
        <v>9354</v>
      </c>
      <c r="C5984" s="272" t="s">
        <v>209</v>
      </c>
      <c r="D5984" s="273" t="s">
        <v>23386</v>
      </c>
      <c r="E5984" s="274" t="s">
        <v>229</v>
      </c>
    </row>
    <row r="5985" spans="1:5" ht="27">
      <c r="A5985" s="271">
        <v>87346</v>
      </c>
      <c r="B5985" s="272" t="s">
        <v>9355</v>
      </c>
      <c r="C5985" s="272" t="s">
        <v>209</v>
      </c>
      <c r="D5985" s="273" t="s">
        <v>24227</v>
      </c>
      <c r="E5985" s="274" t="s">
        <v>229</v>
      </c>
    </row>
    <row r="5986" spans="1:5" ht="27">
      <c r="A5986" s="271">
        <v>87347</v>
      </c>
      <c r="B5986" s="272" t="s">
        <v>9356</v>
      </c>
      <c r="C5986" s="272" t="s">
        <v>209</v>
      </c>
      <c r="D5986" s="273" t="s">
        <v>24228</v>
      </c>
      <c r="E5986" s="274" t="s">
        <v>229</v>
      </c>
    </row>
    <row r="5987" spans="1:5" ht="27">
      <c r="A5987" s="271">
        <v>87348</v>
      </c>
      <c r="B5987" s="272" t="s">
        <v>9357</v>
      </c>
      <c r="C5987" s="272" t="s">
        <v>209</v>
      </c>
      <c r="D5987" s="273" t="s">
        <v>24229</v>
      </c>
      <c r="E5987" s="274" t="s">
        <v>229</v>
      </c>
    </row>
    <row r="5988" spans="1:5" ht="27">
      <c r="A5988" s="271">
        <v>87349</v>
      </c>
      <c r="B5988" s="272" t="s">
        <v>9358</v>
      </c>
      <c r="C5988" s="272" t="s">
        <v>209</v>
      </c>
      <c r="D5988" s="273" t="s">
        <v>24230</v>
      </c>
      <c r="E5988" s="274" t="s">
        <v>229</v>
      </c>
    </row>
    <row r="5989" spans="1:5" ht="40.5">
      <c r="A5989" s="271">
        <v>87350</v>
      </c>
      <c r="B5989" s="272" t="s">
        <v>9359</v>
      </c>
      <c r="C5989" s="272" t="s">
        <v>209</v>
      </c>
      <c r="D5989" s="273" t="s">
        <v>24231</v>
      </c>
      <c r="E5989" s="274" t="s">
        <v>229</v>
      </c>
    </row>
    <row r="5990" spans="1:5" ht="40.5">
      <c r="A5990" s="271">
        <v>87351</v>
      </c>
      <c r="B5990" s="272" t="s">
        <v>9360</v>
      </c>
      <c r="C5990" s="272" t="s">
        <v>209</v>
      </c>
      <c r="D5990" s="273" t="s">
        <v>24232</v>
      </c>
      <c r="E5990" s="274" t="s">
        <v>229</v>
      </c>
    </row>
    <row r="5991" spans="1:5" ht="40.5">
      <c r="A5991" s="271">
        <v>87352</v>
      </c>
      <c r="B5991" s="272" t="s">
        <v>9361</v>
      </c>
      <c r="C5991" s="272" t="s">
        <v>209</v>
      </c>
      <c r="D5991" s="273" t="s">
        <v>24233</v>
      </c>
      <c r="E5991" s="274" t="s">
        <v>229</v>
      </c>
    </row>
    <row r="5992" spans="1:5" ht="40.5">
      <c r="A5992" s="271">
        <v>87353</v>
      </c>
      <c r="B5992" s="272" t="s">
        <v>9362</v>
      </c>
      <c r="C5992" s="272" t="s">
        <v>209</v>
      </c>
      <c r="D5992" s="273" t="s">
        <v>24234</v>
      </c>
      <c r="E5992" s="274" t="s">
        <v>229</v>
      </c>
    </row>
    <row r="5993" spans="1:5" ht="40.5">
      <c r="A5993" s="271">
        <v>87354</v>
      </c>
      <c r="B5993" s="272" t="s">
        <v>9363</v>
      </c>
      <c r="C5993" s="272" t="s">
        <v>209</v>
      </c>
      <c r="D5993" s="273" t="s">
        <v>24235</v>
      </c>
      <c r="E5993" s="274" t="s">
        <v>229</v>
      </c>
    </row>
    <row r="5994" spans="1:5" ht="40.5">
      <c r="A5994" s="271">
        <v>87355</v>
      </c>
      <c r="B5994" s="272" t="s">
        <v>9364</v>
      </c>
      <c r="C5994" s="272" t="s">
        <v>209</v>
      </c>
      <c r="D5994" s="273" t="s">
        <v>24236</v>
      </c>
      <c r="E5994" s="274" t="s">
        <v>229</v>
      </c>
    </row>
    <row r="5995" spans="1:5" ht="40.5">
      <c r="A5995" s="271">
        <v>87356</v>
      </c>
      <c r="B5995" s="272" t="s">
        <v>9365</v>
      </c>
      <c r="C5995" s="272" t="s">
        <v>209</v>
      </c>
      <c r="D5995" s="273" t="s">
        <v>24237</v>
      </c>
      <c r="E5995" s="274" t="s">
        <v>229</v>
      </c>
    </row>
    <row r="5996" spans="1:5" ht="40.5">
      <c r="A5996" s="271">
        <v>87357</v>
      </c>
      <c r="B5996" s="272" t="s">
        <v>9366</v>
      </c>
      <c r="C5996" s="272" t="s">
        <v>209</v>
      </c>
      <c r="D5996" s="273" t="s">
        <v>24238</v>
      </c>
      <c r="E5996" s="274" t="s">
        <v>229</v>
      </c>
    </row>
    <row r="5997" spans="1:5" ht="40.5">
      <c r="A5997" s="271">
        <v>87358</v>
      </c>
      <c r="B5997" s="272" t="s">
        <v>9367</v>
      </c>
      <c r="C5997" s="272" t="s">
        <v>209</v>
      </c>
      <c r="D5997" s="273" t="s">
        <v>24239</v>
      </c>
      <c r="E5997" s="274" t="s">
        <v>229</v>
      </c>
    </row>
    <row r="5998" spans="1:5" ht="40.5">
      <c r="A5998" s="271">
        <v>87359</v>
      </c>
      <c r="B5998" s="272" t="s">
        <v>9368</v>
      </c>
      <c r="C5998" s="272" t="s">
        <v>209</v>
      </c>
      <c r="D5998" s="273" t="s">
        <v>24240</v>
      </c>
      <c r="E5998" s="274" t="s">
        <v>229</v>
      </c>
    </row>
    <row r="5999" spans="1:5" ht="40.5">
      <c r="A5999" s="271">
        <v>87360</v>
      </c>
      <c r="B5999" s="272" t="s">
        <v>9369</v>
      </c>
      <c r="C5999" s="272" t="s">
        <v>209</v>
      </c>
      <c r="D5999" s="273" t="s">
        <v>24241</v>
      </c>
      <c r="E5999" s="274" t="s">
        <v>229</v>
      </c>
    </row>
    <row r="6000" spans="1:5" ht="40.5">
      <c r="A6000" s="271">
        <v>87361</v>
      </c>
      <c r="B6000" s="272" t="s">
        <v>9370</v>
      </c>
      <c r="C6000" s="272" t="s">
        <v>209</v>
      </c>
      <c r="D6000" s="273" t="s">
        <v>24242</v>
      </c>
      <c r="E6000" s="274" t="s">
        <v>229</v>
      </c>
    </row>
    <row r="6001" spans="1:6" ht="40.5">
      <c r="A6001" s="271">
        <v>87362</v>
      </c>
      <c r="B6001" s="272" t="s">
        <v>9371</v>
      </c>
      <c r="C6001" s="272" t="s">
        <v>209</v>
      </c>
      <c r="D6001" s="273" t="s">
        <v>24243</v>
      </c>
      <c r="E6001" s="274" t="s">
        <v>229</v>
      </c>
    </row>
    <row r="6002" spans="1:6" ht="40.5">
      <c r="A6002" s="271">
        <v>87363</v>
      </c>
      <c r="B6002" s="272" t="s">
        <v>9372</v>
      </c>
      <c r="C6002" s="272" t="s">
        <v>209</v>
      </c>
      <c r="D6002" s="273" t="s">
        <v>24244</v>
      </c>
      <c r="E6002" s="274" t="s">
        <v>229</v>
      </c>
    </row>
    <row r="6003" spans="1:6" ht="40.5">
      <c r="A6003" s="271">
        <v>87364</v>
      </c>
      <c r="B6003" s="272" t="s">
        <v>9373</v>
      </c>
      <c r="C6003" s="272" t="s">
        <v>209</v>
      </c>
      <c r="D6003" s="273" t="s">
        <v>24245</v>
      </c>
      <c r="E6003" s="274" t="s">
        <v>229</v>
      </c>
    </row>
    <row r="6004" spans="1:6" ht="40.5">
      <c r="A6004" s="271">
        <v>87365</v>
      </c>
      <c r="B6004" s="272" t="s">
        <v>9374</v>
      </c>
      <c r="C6004" s="272" t="s">
        <v>209</v>
      </c>
      <c r="D6004" s="273" t="s">
        <v>24246</v>
      </c>
      <c r="E6004" s="274" t="s">
        <v>229</v>
      </c>
    </row>
    <row r="6005" spans="1:6" ht="40.5">
      <c r="A6005" s="271">
        <v>87366</v>
      </c>
      <c r="B6005" s="272" t="s">
        <v>9375</v>
      </c>
      <c r="C6005" s="272" t="s">
        <v>209</v>
      </c>
      <c r="D6005" s="273" t="s">
        <v>24247</v>
      </c>
      <c r="E6005" s="274" t="s">
        <v>229</v>
      </c>
    </row>
    <row r="6006" spans="1:6" ht="27">
      <c r="A6006" s="271">
        <v>87367</v>
      </c>
      <c r="B6006" s="272" t="s">
        <v>9376</v>
      </c>
      <c r="C6006" s="272" t="s">
        <v>209</v>
      </c>
      <c r="D6006" s="273" t="s">
        <v>24248</v>
      </c>
      <c r="E6006" s="274" t="s">
        <v>229</v>
      </c>
    </row>
    <row r="6007" spans="1:6" ht="27">
      <c r="A6007" s="271">
        <v>87368</v>
      </c>
      <c r="B6007" s="272" t="s">
        <v>9377</v>
      </c>
      <c r="C6007" s="272" t="s">
        <v>209</v>
      </c>
      <c r="D6007" s="273" t="s">
        <v>24249</v>
      </c>
      <c r="E6007" s="274" t="s">
        <v>229</v>
      </c>
      <c r="F6007" s="191"/>
    </row>
    <row r="6008" spans="1:6" ht="27">
      <c r="A6008" s="271">
        <v>87369</v>
      </c>
      <c r="B6008" s="272" t="s">
        <v>9378</v>
      </c>
      <c r="C6008" s="272" t="s">
        <v>209</v>
      </c>
      <c r="D6008" s="273" t="s">
        <v>24250</v>
      </c>
      <c r="E6008" s="274" t="s">
        <v>229</v>
      </c>
    </row>
    <row r="6009" spans="1:6" ht="27">
      <c r="A6009" s="271">
        <v>87370</v>
      </c>
      <c r="B6009" s="272" t="s">
        <v>9379</v>
      </c>
      <c r="C6009" s="272" t="s">
        <v>209</v>
      </c>
      <c r="D6009" s="273" t="s">
        <v>24251</v>
      </c>
      <c r="E6009" s="274" t="s">
        <v>229</v>
      </c>
    </row>
    <row r="6010" spans="1:6" ht="27">
      <c r="A6010" s="271">
        <v>87371</v>
      </c>
      <c r="B6010" s="272" t="s">
        <v>9380</v>
      </c>
      <c r="C6010" s="272" t="s">
        <v>209</v>
      </c>
      <c r="D6010" s="273" t="s">
        <v>24252</v>
      </c>
      <c r="E6010" s="274" t="s">
        <v>229</v>
      </c>
    </row>
    <row r="6011" spans="1:6" ht="27">
      <c r="A6011" s="271">
        <v>87372</v>
      </c>
      <c r="B6011" s="272" t="s">
        <v>9381</v>
      </c>
      <c r="C6011" s="272" t="s">
        <v>209</v>
      </c>
      <c r="D6011" s="273" t="s">
        <v>24253</v>
      </c>
      <c r="E6011" s="274" t="s">
        <v>229</v>
      </c>
    </row>
    <row r="6012" spans="1:6" ht="27">
      <c r="A6012" s="271">
        <v>87373</v>
      </c>
      <c r="B6012" s="272" t="s">
        <v>9382</v>
      </c>
      <c r="C6012" s="272" t="s">
        <v>209</v>
      </c>
      <c r="D6012" s="273" t="s">
        <v>24254</v>
      </c>
      <c r="E6012" s="274" t="s">
        <v>229</v>
      </c>
    </row>
    <row r="6013" spans="1:6" ht="27">
      <c r="A6013" s="271">
        <v>87374</v>
      </c>
      <c r="B6013" s="272" t="s">
        <v>9383</v>
      </c>
      <c r="C6013" s="272" t="s">
        <v>209</v>
      </c>
      <c r="D6013" s="273" t="s">
        <v>20525</v>
      </c>
      <c r="E6013" s="274" t="s">
        <v>229</v>
      </c>
    </row>
    <row r="6014" spans="1:6" ht="27">
      <c r="A6014" s="271">
        <v>87375</v>
      </c>
      <c r="B6014" s="272" t="s">
        <v>9384</v>
      </c>
      <c r="C6014" s="272" t="s">
        <v>209</v>
      </c>
      <c r="D6014" s="273" t="s">
        <v>24255</v>
      </c>
      <c r="E6014" s="274" t="s">
        <v>229</v>
      </c>
    </row>
    <row r="6015" spans="1:6" ht="27">
      <c r="A6015" s="271">
        <v>87376</v>
      </c>
      <c r="B6015" s="272" t="s">
        <v>9385</v>
      </c>
      <c r="C6015" s="272" t="s">
        <v>209</v>
      </c>
      <c r="D6015" s="273" t="s">
        <v>24256</v>
      </c>
      <c r="E6015" s="274" t="s">
        <v>229</v>
      </c>
    </row>
    <row r="6016" spans="1:6" ht="27">
      <c r="A6016" s="271">
        <v>87377</v>
      </c>
      <c r="B6016" s="272" t="s">
        <v>9386</v>
      </c>
      <c r="C6016" s="272" t="s">
        <v>209</v>
      </c>
      <c r="D6016" s="273" t="s">
        <v>24257</v>
      </c>
      <c r="E6016" s="274" t="s">
        <v>229</v>
      </c>
    </row>
    <row r="6017" spans="1:5" ht="27">
      <c r="A6017" s="271">
        <v>87378</v>
      </c>
      <c r="B6017" s="272" t="s">
        <v>9387</v>
      </c>
      <c r="C6017" s="272" t="s">
        <v>209</v>
      </c>
      <c r="D6017" s="273" t="s">
        <v>24258</v>
      </c>
      <c r="E6017" s="274" t="s">
        <v>229</v>
      </c>
    </row>
    <row r="6018" spans="1:5" ht="27">
      <c r="A6018" s="271">
        <v>87379</v>
      </c>
      <c r="B6018" s="272" t="s">
        <v>9388</v>
      </c>
      <c r="C6018" s="272" t="s">
        <v>209</v>
      </c>
      <c r="D6018" s="273" t="s">
        <v>24259</v>
      </c>
      <c r="E6018" s="274" t="s">
        <v>229</v>
      </c>
    </row>
    <row r="6019" spans="1:5" ht="27">
      <c r="A6019" s="271">
        <v>87380</v>
      </c>
      <c r="B6019" s="272" t="s">
        <v>9389</v>
      </c>
      <c r="C6019" s="272" t="s">
        <v>209</v>
      </c>
      <c r="D6019" s="273" t="s">
        <v>24260</v>
      </c>
      <c r="E6019" s="274" t="s">
        <v>229</v>
      </c>
    </row>
    <row r="6020" spans="1:5" ht="27">
      <c r="A6020" s="271">
        <v>87381</v>
      </c>
      <c r="B6020" s="272" t="s">
        <v>9390</v>
      </c>
      <c r="C6020" s="272" t="s">
        <v>209</v>
      </c>
      <c r="D6020" s="273" t="s">
        <v>24261</v>
      </c>
      <c r="E6020" s="274" t="s">
        <v>229</v>
      </c>
    </row>
    <row r="6021" spans="1:5" ht="27">
      <c r="A6021" s="271">
        <v>87382</v>
      </c>
      <c r="B6021" s="272" t="s">
        <v>9391</v>
      </c>
      <c r="C6021" s="272" t="s">
        <v>209</v>
      </c>
      <c r="D6021" s="273" t="s">
        <v>24262</v>
      </c>
      <c r="E6021" s="274" t="s">
        <v>229</v>
      </c>
    </row>
    <row r="6022" spans="1:5" ht="27">
      <c r="A6022" s="271">
        <v>87383</v>
      </c>
      <c r="B6022" s="272" t="s">
        <v>9392</v>
      </c>
      <c r="C6022" s="272" t="s">
        <v>209</v>
      </c>
      <c r="D6022" s="273" t="s">
        <v>24263</v>
      </c>
      <c r="E6022" s="274" t="s">
        <v>229</v>
      </c>
    </row>
    <row r="6023" spans="1:5" ht="27">
      <c r="A6023" s="271">
        <v>87384</v>
      </c>
      <c r="B6023" s="272" t="s">
        <v>9393</v>
      </c>
      <c r="C6023" s="272" t="s">
        <v>209</v>
      </c>
      <c r="D6023" s="273" t="s">
        <v>24264</v>
      </c>
      <c r="E6023" s="274" t="s">
        <v>229</v>
      </c>
    </row>
    <row r="6024" spans="1:5" ht="27">
      <c r="A6024" s="271">
        <v>87385</v>
      </c>
      <c r="B6024" s="272" t="s">
        <v>9394</v>
      </c>
      <c r="C6024" s="272" t="s">
        <v>209</v>
      </c>
      <c r="D6024" s="273" t="s">
        <v>24265</v>
      </c>
      <c r="E6024" s="274" t="s">
        <v>229</v>
      </c>
    </row>
    <row r="6025" spans="1:5" ht="27">
      <c r="A6025" s="271">
        <v>87386</v>
      </c>
      <c r="B6025" s="272" t="s">
        <v>9395</v>
      </c>
      <c r="C6025" s="272" t="s">
        <v>209</v>
      </c>
      <c r="D6025" s="273" t="s">
        <v>24266</v>
      </c>
      <c r="E6025" s="274" t="s">
        <v>229</v>
      </c>
    </row>
    <row r="6026" spans="1:5" ht="27">
      <c r="A6026" s="271">
        <v>87387</v>
      </c>
      <c r="B6026" s="272" t="s">
        <v>9396</v>
      </c>
      <c r="C6026" s="272" t="s">
        <v>209</v>
      </c>
      <c r="D6026" s="273" t="s">
        <v>24267</v>
      </c>
      <c r="E6026" s="274" t="s">
        <v>229</v>
      </c>
    </row>
    <row r="6027" spans="1:5" ht="27">
      <c r="A6027" s="271">
        <v>87388</v>
      </c>
      <c r="B6027" s="272" t="s">
        <v>9397</v>
      </c>
      <c r="C6027" s="272" t="s">
        <v>209</v>
      </c>
      <c r="D6027" s="273" t="s">
        <v>24268</v>
      </c>
      <c r="E6027" s="274" t="s">
        <v>229</v>
      </c>
    </row>
    <row r="6028" spans="1:5" ht="27">
      <c r="A6028" s="271">
        <v>87389</v>
      </c>
      <c r="B6028" s="272" t="s">
        <v>9398</v>
      </c>
      <c r="C6028" s="272" t="s">
        <v>209</v>
      </c>
      <c r="D6028" s="273" t="s">
        <v>24269</v>
      </c>
      <c r="E6028" s="274" t="s">
        <v>229</v>
      </c>
    </row>
    <row r="6029" spans="1:5" ht="27">
      <c r="A6029" s="271">
        <v>87390</v>
      </c>
      <c r="B6029" s="272" t="s">
        <v>9399</v>
      </c>
      <c r="C6029" s="272" t="s">
        <v>209</v>
      </c>
      <c r="D6029" s="273" t="s">
        <v>24270</v>
      </c>
      <c r="E6029" s="274" t="s">
        <v>229</v>
      </c>
    </row>
    <row r="6030" spans="1:5" ht="27">
      <c r="A6030" s="271">
        <v>87391</v>
      </c>
      <c r="B6030" s="272" t="s">
        <v>9400</v>
      </c>
      <c r="C6030" s="272" t="s">
        <v>209</v>
      </c>
      <c r="D6030" s="273" t="s">
        <v>24271</v>
      </c>
      <c r="E6030" s="274" t="s">
        <v>229</v>
      </c>
    </row>
    <row r="6031" spans="1:5" ht="27">
      <c r="A6031" s="271">
        <v>87393</v>
      </c>
      <c r="B6031" s="272" t="s">
        <v>9401</v>
      </c>
      <c r="C6031" s="272" t="s">
        <v>209</v>
      </c>
      <c r="D6031" s="273" t="s">
        <v>24272</v>
      </c>
      <c r="E6031" s="274" t="s">
        <v>229</v>
      </c>
    </row>
    <row r="6032" spans="1:5" ht="27">
      <c r="A6032" s="271">
        <v>87394</v>
      </c>
      <c r="B6032" s="272" t="s">
        <v>9402</v>
      </c>
      <c r="C6032" s="272" t="s">
        <v>209</v>
      </c>
      <c r="D6032" s="273" t="s">
        <v>24273</v>
      </c>
      <c r="E6032" s="274" t="s">
        <v>229</v>
      </c>
    </row>
    <row r="6033" spans="1:5" ht="27">
      <c r="A6033" s="271">
        <v>87395</v>
      </c>
      <c r="B6033" s="272" t="s">
        <v>9403</v>
      </c>
      <c r="C6033" s="272" t="s">
        <v>209</v>
      </c>
      <c r="D6033" s="273" t="s">
        <v>24274</v>
      </c>
      <c r="E6033" s="274" t="s">
        <v>229</v>
      </c>
    </row>
    <row r="6034" spans="1:5" ht="27">
      <c r="A6034" s="271">
        <v>87396</v>
      </c>
      <c r="B6034" s="272" t="s">
        <v>9404</v>
      </c>
      <c r="C6034" s="272" t="s">
        <v>209</v>
      </c>
      <c r="D6034" s="273" t="s">
        <v>24275</v>
      </c>
      <c r="E6034" s="274" t="s">
        <v>229</v>
      </c>
    </row>
    <row r="6035" spans="1:5" ht="27">
      <c r="A6035" s="271">
        <v>87397</v>
      </c>
      <c r="B6035" s="272" t="s">
        <v>9405</v>
      </c>
      <c r="C6035" s="272" t="s">
        <v>209</v>
      </c>
      <c r="D6035" s="273" t="s">
        <v>24276</v>
      </c>
      <c r="E6035" s="274" t="s">
        <v>229</v>
      </c>
    </row>
    <row r="6036" spans="1:5" ht="27">
      <c r="A6036" s="271">
        <v>87398</v>
      </c>
      <c r="B6036" s="272" t="s">
        <v>9406</v>
      </c>
      <c r="C6036" s="272" t="s">
        <v>209</v>
      </c>
      <c r="D6036" s="273" t="s">
        <v>24277</v>
      </c>
      <c r="E6036" s="274" t="s">
        <v>229</v>
      </c>
    </row>
    <row r="6037" spans="1:5" ht="13.5">
      <c r="A6037" s="271">
        <v>87399</v>
      </c>
      <c r="B6037" s="272" t="s">
        <v>9407</v>
      </c>
      <c r="C6037" s="272" t="s">
        <v>209</v>
      </c>
      <c r="D6037" s="275" t="s">
        <v>24278</v>
      </c>
      <c r="E6037" s="274" t="s">
        <v>229</v>
      </c>
    </row>
    <row r="6038" spans="1:5" ht="13.5">
      <c r="A6038" s="271">
        <v>87401</v>
      </c>
      <c r="B6038" s="272" t="s">
        <v>9408</v>
      </c>
      <c r="C6038" s="272" t="s">
        <v>209</v>
      </c>
      <c r="D6038" s="275" t="s">
        <v>24279</v>
      </c>
      <c r="E6038" s="274" t="s">
        <v>229</v>
      </c>
    </row>
    <row r="6039" spans="1:5" ht="13.5">
      <c r="A6039" s="271">
        <v>87402</v>
      </c>
      <c r="B6039" s="272" t="s">
        <v>9409</v>
      </c>
      <c r="C6039" s="272" t="s">
        <v>209</v>
      </c>
      <c r="D6039" s="275" t="s">
        <v>24280</v>
      </c>
      <c r="E6039" s="274" t="s">
        <v>229</v>
      </c>
    </row>
    <row r="6040" spans="1:5" ht="27">
      <c r="A6040" s="271">
        <v>87404</v>
      </c>
      <c r="B6040" s="272" t="s">
        <v>9410</v>
      </c>
      <c r="C6040" s="272" t="s">
        <v>209</v>
      </c>
      <c r="D6040" s="275" t="s">
        <v>24281</v>
      </c>
      <c r="E6040" s="274" t="s">
        <v>229</v>
      </c>
    </row>
    <row r="6041" spans="1:5" ht="27">
      <c r="A6041" s="271">
        <v>87405</v>
      </c>
      <c r="B6041" s="272" t="s">
        <v>3037</v>
      </c>
      <c r="C6041" s="272" t="s">
        <v>209</v>
      </c>
      <c r="D6041" s="275" t="s">
        <v>24282</v>
      </c>
      <c r="E6041" s="274" t="s">
        <v>229</v>
      </c>
    </row>
    <row r="6042" spans="1:5" ht="27">
      <c r="A6042" s="271">
        <v>87407</v>
      </c>
      <c r="B6042" s="272" t="s">
        <v>9411</v>
      </c>
      <c r="C6042" s="272" t="s">
        <v>209</v>
      </c>
      <c r="D6042" s="275" t="s">
        <v>24283</v>
      </c>
      <c r="E6042" s="274" t="s">
        <v>229</v>
      </c>
    </row>
    <row r="6043" spans="1:5" ht="27">
      <c r="A6043" s="271">
        <v>87408</v>
      </c>
      <c r="B6043" s="272" t="s">
        <v>3038</v>
      </c>
      <c r="C6043" s="272" t="s">
        <v>209</v>
      </c>
      <c r="D6043" s="275" t="s">
        <v>24284</v>
      </c>
      <c r="E6043" s="274" t="s">
        <v>229</v>
      </c>
    </row>
    <row r="6044" spans="1:5" ht="13.5">
      <c r="A6044" s="271">
        <v>87410</v>
      </c>
      <c r="B6044" s="272" t="s">
        <v>9412</v>
      </c>
      <c r="C6044" s="272" t="s">
        <v>209</v>
      </c>
      <c r="D6044" s="275" t="s">
        <v>24285</v>
      </c>
      <c r="E6044" s="274" t="s">
        <v>229</v>
      </c>
    </row>
    <row r="6045" spans="1:5" ht="27">
      <c r="A6045" s="271">
        <v>88626</v>
      </c>
      <c r="B6045" s="272" t="s">
        <v>9413</v>
      </c>
      <c r="C6045" s="272" t="s">
        <v>209</v>
      </c>
      <c r="D6045" s="275" t="s">
        <v>24286</v>
      </c>
      <c r="E6045" s="274" t="s">
        <v>229</v>
      </c>
    </row>
    <row r="6046" spans="1:5" ht="27">
      <c r="A6046" s="271">
        <v>88627</v>
      </c>
      <c r="B6046" s="272" t="s">
        <v>9414</v>
      </c>
      <c r="C6046" s="272" t="s">
        <v>209</v>
      </c>
      <c r="D6046" s="275" t="s">
        <v>24287</v>
      </c>
      <c r="E6046" s="274" t="s">
        <v>229</v>
      </c>
    </row>
    <row r="6047" spans="1:5" ht="27">
      <c r="A6047" s="271">
        <v>88628</v>
      </c>
      <c r="B6047" s="272" t="s">
        <v>9415</v>
      </c>
      <c r="C6047" s="272" t="s">
        <v>209</v>
      </c>
      <c r="D6047" s="275" t="s">
        <v>24288</v>
      </c>
      <c r="E6047" s="274" t="s">
        <v>229</v>
      </c>
    </row>
    <row r="6048" spans="1:5" ht="27">
      <c r="A6048" s="271">
        <v>88629</v>
      </c>
      <c r="B6048" s="272" t="s">
        <v>9416</v>
      </c>
      <c r="C6048" s="272" t="s">
        <v>209</v>
      </c>
      <c r="D6048" s="275" t="s">
        <v>24289</v>
      </c>
      <c r="E6048" s="274" t="s">
        <v>229</v>
      </c>
    </row>
    <row r="6049" spans="1:5" ht="27">
      <c r="A6049" s="271">
        <v>88630</v>
      </c>
      <c r="B6049" s="272" t="s">
        <v>3039</v>
      </c>
      <c r="C6049" s="272" t="s">
        <v>209</v>
      </c>
      <c r="D6049" s="275" t="s">
        <v>24290</v>
      </c>
      <c r="E6049" s="274" t="s">
        <v>229</v>
      </c>
    </row>
    <row r="6050" spans="1:5" ht="27">
      <c r="A6050" s="271">
        <v>88631</v>
      </c>
      <c r="B6050" s="272" t="s">
        <v>9417</v>
      </c>
      <c r="C6050" s="272" t="s">
        <v>209</v>
      </c>
      <c r="D6050" s="275" t="s">
        <v>12427</v>
      </c>
      <c r="E6050" s="274" t="s">
        <v>229</v>
      </c>
    </row>
    <row r="6051" spans="1:5" ht="40.5">
      <c r="A6051" s="271">
        <v>88715</v>
      </c>
      <c r="B6051" s="272" t="s">
        <v>9418</v>
      </c>
      <c r="C6051" s="272" t="s">
        <v>209</v>
      </c>
      <c r="D6051" s="275" t="s">
        <v>24291</v>
      </c>
      <c r="E6051" s="274" t="s">
        <v>229</v>
      </c>
    </row>
    <row r="6052" spans="1:5" ht="27">
      <c r="A6052" s="271">
        <v>95563</v>
      </c>
      <c r="B6052" s="272" t="s">
        <v>11057</v>
      </c>
      <c r="C6052" s="272" t="s">
        <v>209</v>
      </c>
      <c r="D6052" s="275" t="s">
        <v>24292</v>
      </c>
      <c r="E6052" s="274" t="s">
        <v>229</v>
      </c>
    </row>
    <row r="6053" spans="1:5" ht="27">
      <c r="A6053" s="271">
        <v>100464</v>
      </c>
      <c r="B6053" s="272" t="s">
        <v>9419</v>
      </c>
      <c r="C6053" s="272" t="s">
        <v>209</v>
      </c>
      <c r="D6053" s="275" t="s">
        <v>18756</v>
      </c>
      <c r="E6053" s="274" t="s">
        <v>229</v>
      </c>
    </row>
    <row r="6054" spans="1:5" ht="27">
      <c r="A6054" s="271">
        <v>100465</v>
      </c>
      <c r="B6054" s="272" t="s">
        <v>9420</v>
      </c>
      <c r="C6054" s="272" t="s">
        <v>209</v>
      </c>
      <c r="D6054" s="273" t="s">
        <v>24293</v>
      </c>
      <c r="E6054" s="274" t="s">
        <v>229</v>
      </c>
    </row>
    <row r="6055" spans="1:5" ht="27">
      <c r="A6055" s="271">
        <v>100466</v>
      </c>
      <c r="B6055" s="272" t="s">
        <v>9421</v>
      </c>
      <c r="C6055" s="272" t="s">
        <v>209</v>
      </c>
      <c r="D6055" s="273" t="s">
        <v>24294</v>
      </c>
      <c r="E6055" s="274" t="s">
        <v>229</v>
      </c>
    </row>
    <row r="6056" spans="1:5" ht="27">
      <c r="A6056" s="271">
        <v>100468</v>
      </c>
      <c r="B6056" s="272" t="s">
        <v>9422</v>
      </c>
      <c r="C6056" s="272" t="s">
        <v>209</v>
      </c>
      <c r="D6056" s="273" t="s">
        <v>24295</v>
      </c>
      <c r="E6056" s="274" t="s">
        <v>229</v>
      </c>
    </row>
    <row r="6057" spans="1:5" ht="27">
      <c r="A6057" s="271">
        <v>100469</v>
      </c>
      <c r="B6057" s="272" t="s">
        <v>9423</v>
      </c>
      <c r="C6057" s="272" t="s">
        <v>209</v>
      </c>
      <c r="D6057" s="273" t="s">
        <v>24296</v>
      </c>
      <c r="E6057" s="274" t="s">
        <v>229</v>
      </c>
    </row>
    <row r="6058" spans="1:5" ht="27">
      <c r="A6058" s="271">
        <v>100470</v>
      </c>
      <c r="B6058" s="272" t="s">
        <v>9424</v>
      </c>
      <c r="C6058" s="272" t="s">
        <v>209</v>
      </c>
      <c r="D6058" s="273" t="s">
        <v>24297</v>
      </c>
      <c r="E6058" s="274" t="s">
        <v>229</v>
      </c>
    </row>
    <row r="6059" spans="1:5" ht="27">
      <c r="A6059" s="271">
        <v>100472</v>
      </c>
      <c r="B6059" s="272" t="s">
        <v>9425</v>
      </c>
      <c r="C6059" s="272" t="s">
        <v>209</v>
      </c>
      <c r="D6059" s="273" t="s">
        <v>24298</v>
      </c>
      <c r="E6059" s="274" t="s">
        <v>229</v>
      </c>
    </row>
    <row r="6060" spans="1:5" ht="27">
      <c r="A6060" s="271">
        <v>100473</v>
      </c>
      <c r="B6060" s="272" t="s">
        <v>9426</v>
      </c>
      <c r="C6060" s="272" t="s">
        <v>209</v>
      </c>
      <c r="D6060" s="273" t="s">
        <v>24299</v>
      </c>
      <c r="E6060" s="274" t="s">
        <v>229</v>
      </c>
    </row>
    <row r="6061" spans="1:5" ht="27">
      <c r="A6061" s="271">
        <v>100474</v>
      </c>
      <c r="B6061" s="272" t="s">
        <v>9427</v>
      </c>
      <c r="C6061" s="272" t="s">
        <v>209</v>
      </c>
      <c r="D6061" s="273" t="s">
        <v>24300</v>
      </c>
      <c r="E6061" s="274" t="s">
        <v>229</v>
      </c>
    </row>
    <row r="6062" spans="1:5" ht="27">
      <c r="A6062" s="271">
        <v>100475</v>
      </c>
      <c r="B6062" s="272" t="s">
        <v>9428</v>
      </c>
      <c r="C6062" s="272" t="s">
        <v>209</v>
      </c>
      <c r="D6062" s="273" t="s">
        <v>24301</v>
      </c>
      <c r="E6062" s="274" t="s">
        <v>229</v>
      </c>
    </row>
    <row r="6063" spans="1:5" ht="40.5">
      <c r="A6063" s="271">
        <v>100477</v>
      </c>
      <c r="B6063" s="272" t="s">
        <v>9429</v>
      </c>
      <c r="C6063" s="272" t="s">
        <v>209</v>
      </c>
      <c r="D6063" s="273" t="s">
        <v>24302</v>
      </c>
      <c r="E6063" s="274" t="s">
        <v>229</v>
      </c>
    </row>
    <row r="6064" spans="1:5" ht="40.5">
      <c r="A6064" s="271">
        <v>100478</v>
      </c>
      <c r="B6064" s="272" t="s">
        <v>9430</v>
      </c>
      <c r="C6064" s="272" t="s">
        <v>209</v>
      </c>
      <c r="D6064" s="273" t="s">
        <v>24303</v>
      </c>
      <c r="E6064" s="274" t="s">
        <v>229</v>
      </c>
    </row>
    <row r="6065" spans="1:5" ht="40.5">
      <c r="A6065" s="271">
        <v>100479</v>
      </c>
      <c r="B6065" s="272" t="s">
        <v>9431</v>
      </c>
      <c r="C6065" s="272" t="s">
        <v>209</v>
      </c>
      <c r="D6065" s="273" t="s">
        <v>24304</v>
      </c>
      <c r="E6065" s="274" t="s">
        <v>229</v>
      </c>
    </row>
    <row r="6066" spans="1:5" ht="27">
      <c r="A6066" s="271">
        <v>100480</v>
      </c>
      <c r="B6066" s="272" t="s">
        <v>9432</v>
      </c>
      <c r="C6066" s="272" t="s">
        <v>209</v>
      </c>
      <c r="D6066" s="273" t="s">
        <v>24305</v>
      </c>
      <c r="E6066" s="274" t="s">
        <v>229</v>
      </c>
    </row>
    <row r="6067" spans="1:5" ht="27">
      <c r="A6067" s="271">
        <v>100481</v>
      </c>
      <c r="B6067" s="272" t="s">
        <v>9433</v>
      </c>
      <c r="C6067" s="272" t="s">
        <v>209</v>
      </c>
      <c r="D6067" s="273" t="s">
        <v>24306</v>
      </c>
      <c r="E6067" s="274" t="s">
        <v>229</v>
      </c>
    </row>
    <row r="6068" spans="1:5" ht="40.5">
      <c r="A6068" s="271">
        <v>100483</v>
      </c>
      <c r="B6068" s="272" t="s">
        <v>9434</v>
      </c>
      <c r="C6068" s="272" t="s">
        <v>209</v>
      </c>
      <c r="D6068" s="273" t="s">
        <v>24307</v>
      </c>
      <c r="E6068" s="274" t="s">
        <v>229</v>
      </c>
    </row>
    <row r="6069" spans="1:5" ht="40.5">
      <c r="A6069" s="271">
        <v>100484</v>
      </c>
      <c r="B6069" s="272" t="s">
        <v>9435</v>
      </c>
      <c r="C6069" s="272" t="s">
        <v>209</v>
      </c>
      <c r="D6069" s="273" t="s">
        <v>24308</v>
      </c>
      <c r="E6069" s="274" t="s">
        <v>229</v>
      </c>
    </row>
    <row r="6070" spans="1:5" ht="40.5">
      <c r="A6070" s="271">
        <v>100485</v>
      </c>
      <c r="B6070" s="272" t="s">
        <v>9436</v>
      </c>
      <c r="C6070" s="272" t="s">
        <v>209</v>
      </c>
      <c r="D6070" s="273" t="s">
        <v>22407</v>
      </c>
      <c r="E6070" s="274" t="s">
        <v>229</v>
      </c>
    </row>
    <row r="6071" spans="1:5" ht="27">
      <c r="A6071" s="271">
        <v>100486</v>
      </c>
      <c r="B6071" s="272" t="s">
        <v>9437</v>
      </c>
      <c r="C6071" s="272" t="s">
        <v>209</v>
      </c>
      <c r="D6071" s="273" t="s">
        <v>24309</v>
      </c>
      <c r="E6071" s="274" t="s">
        <v>229</v>
      </c>
    </row>
    <row r="6072" spans="1:5" ht="40.5">
      <c r="A6072" s="271">
        <v>100487</v>
      </c>
      <c r="B6072" s="272" t="s">
        <v>9438</v>
      </c>
      <c r="C6072" s="272" t="s">
        <v>209</v>
      </c>
      <c r="D6072" s="273" t="s">
        <v>24310</v>
      </c>
      <c r="E6072" s="274" t="s">
        <v>229</v>
      </c>
    </row>
    <row r="6073" spans="1:5" ht="27">
      <c r="A6073" s="271">
        <v>100488</v>
      </c>
      <c r="B6073" s="272" t="s">
        <v>9439</v>
      </c>
      <c r="C6073" s="272" t="s">
        <v>209</v>
      </c>
      <c r="D6073" s="273" t="s">
        <v>24311</v>
      </c>
      <c r="E6073" s="274" t="s">
        <v>229</v>
      </c>
    </row>
    <row r="6074" spans="1:5" ht="27">
      <c r="A6074" s="271">
        <v>100489</v>
      </c>
      <c r="B6074" s="272" t="s">
        <v>9440</v>
      </c>
      <c r="C6074" s="272" t="s">
        <v>209</v>
      </c>
      <c r="D6074" s="273" t="s">
        <v>24312</v>
      </c>
      <c r="E6074" s="274" t="s">
        <v>229</v>
      </c>
    </row>
    <row r="6075" spans="1:5" ht="27">
      <c r="A6075" s="271">
        <v>100490</v>
      </c>
      <c r="B6075" s="272" t="s">
        <v>9441</v>
      </c>
      <c r="C6075" s="272" t="s">
        <v>209</v>
      </c>
      <c r="D6075" s="273" t="s">
        <v>24313</v>
      </c>
      <c r="E6075" s="274" t="s">
        <v>229</v>
      </c>
    </row>
    <row r="6076" spans="1:5" ht="27">
      <c r="A6076" s="271">
        <v>100491</v>
      </c>
      <c r="B6076" s="272" t="s">
        <v>9442</v>
      </c>
      <c r="C6076" s="272" t="s">
        <v>209</v>
      </c>
      <c r="D6076" s="273" t="s">
        <v>24314</v>
      </c>
      <c r="E6076" s="274" t="s">
        <v>229</v>
      </c>
    </row>
    <row r="6077" spans="1:5" ht="27">
      <c r="A6077" s="271">
        <v>100492</v>
      </c>
      <c r="B6077" s="272" t="s">
        <v>9443</v>
      </c>
      <c r="C6077" s="272" t="s">
        <v>209</v>
      </c>
      <c r="D6077" s="273" t="s">
        <v>24315</v>
      </c>
      <c r="E6077" s="274" t="s">
        <v>229</v>
      </c>
    </row>
    <row r="6078" spans="1:5" ht="13.5">
      <c r="A6078" s="271">
        <v>92121</v>
      </c>
      <c r="B6078" s="272" t="s">
        <v>3040</v>
      </c>
      <c r="C6078" s="272" t="s">
        <v>209</v>
      </c>
      <c r="D6078" s="273" t="s">
        <v>24316</v>
      </c>
      <c r="E6078" s="274" t="s">
        <v>229</v>
      </c>
    </row>
    <row r="6079" spans="1:5" ht="13.5">
      <c r="A6079" s="271">
        <v>92122</v>
      </c>
      <c r="B6079" s="272" t="s">
        <v>3041</v>
      </c>
      <c r="C6079" s="272" t="s">
        <v>209</v>
      </c>
      <c r="D6079" s="273" t="s">
        <v>24317</v>
      </c>
      <c r="E6079" s="274" t="s">
        <v>229</v>
      </c>
    </row>
    <row r="6080" spans="1:5" ht="13.5">
      <c r="A6080" s="271">
        <v>92123</v>
      </c>
      <c r="B6080" s="272" t="s">
        <v>3042</v>
      </c>
      <c r="C6080" s="272" t="s">
        <v>209</v>
      </c>
      <c r="D6080" s="273" t="s">
        <v>16554</v>
      </c>
      <c r="E6080" s="274" t="s">
        <v>229</v>
      </c>
    </row>
    <row r="6081" spans="1:5" ht="13.5">
      <c r="A6081" s="271">
        <v>100195</v>
      </c>
      <c r="B6081" s="272" t="s">
        <v>4377</v>
      </c>
      <c r="C6081" s="272" t="s">
        <v>4378</v>
      </c>
      <c r="D6081" s="273" t="s">
        <v>9920</v>
      </c>
      <c r="E6081" s="274" t="s">
        <v>229</v>
      </c>
    </row>
    <row r="6082" spans="1:5" ht="13.5">
      <c r="A6082" s="271">
        <v>100196</v>
      </c>
      <c r="B6082" s="272" t="s">
        <v>4379</v>
      </c>
      <c r="C6082" s="272" t="s">
        <v>4378</v>
      </c>
      <c r="D6082" s="273" t="s">
        <v>11364</v>
      </c>
      <c r="E6082" s="274" t="s">
        <v>229</v>
      </c>
    </row>
    <row r="6083" spans="1:5" ht="13.5">
      <c r="A6083" s="271">
        <v>100197</v>
      </c>
      <c r="B6083" s="272" t="s">
        <v>4380</v>
      </c>
      <c r="C6083" s="272" t="s">
        <v>4378</v>
      </c>
      <c r="D6083" s="273" t="s">
        <v>11217</v>
      </c>
      <c r="E6083" s="274" t="s">
        <v>229</v>
      </c>
    </row>
    <row r="6084" spans="1:5" ht="27">
      <c r="A6084" s="271">
        <v>100198</v>
      </c>
      <c r="B6084" s="272" t="s">
        <v>4381</v>
      </c>
      <c r="C6084" s="272" t="s">
        <v>4378</v>
      </c>
      <c r="D6084" s="273" t="s">
        <v>9936</v>
      </c>
      <c r="E6084" s="274" t="s">
        <v>229</v>
      </c>
    </row>
    <row r="6085" spans="1:5" ht="27">
      <c r="A6085" s="271">
        <v>100199</v>
      </c>
      <c r="B6085" s="272" t="s">
        <v>4382</v>
      </c>
      <c r="C6085" s="272" t="s">
        <v>4378</v>
      </c>
      <c r="D6085" s="273" t="s">
        <v>9950</v>
      </c>
      <c r="E6085" s="274" t="s">
        <v>229</v>
      </c>
    </row>
    <row r="6086" spans="1:5" ht="27">
      <c r="A6086" s="271">
        <v>100200</v>
      </c>
      <c r="B6086" s="272" t="s">
        <v>4383</v>
      </c>
      <c r="C6086" s="272" t="s">
        <v>4378</v>
      </c>
      <c r="D6086" s="273" t="s">
        <v>9867</v>
      </c>
      <c r="E6086" s="274" t="s">
        <v>229</v>
      </c>
    </row>
    <row r="6087" spans="1:5" ht="27">
      <c r="A6087" s="271">
        <v>100201</v>
      </c>
      <c r="B6087" s="272" t="s">
        <v>4384</v>
      </c>
      <c r="C6087" s="272" t="s">
        <v>4378</v>
      </c>
      <c r="D6087" s="273" t="s">
        <v>9968</v>
      </c>
      <c r="E6087" s="274" t="s">
        <v>229</v>
      </c>
    </row>
    <row r="6088" spans="1:5" ht="27">
      <c r="A6088" s="271">
        <v>100202</v>
      </c>
      <c r="B6088" s="272" t="s">
        <v>4385</v>
      </c>
      <c r="C6088" s="272" t="s">
        <v>4378</v>
      </c>
      <c r="D6088" s="273" t="s">
        <v>9924</v>
      </c>
      <c r="E6088" s="274" t="s">
        <v>229</v>
      </c>
    </row>
    <row r="6089" spans="1:5" ht="27">
      <c r="A6089" s="271">
        <v>100203</v>
      </c>
      <c r="B6089" s="272" t="s">
        <v>4386</v>
      </c>
      <c r="C6089" s="272" t="s">
        <v>4378</v>
      </c>
      <c r="D6089" s="273" t="s">
        <v>11094</v>
      </c>
      <c r="E6089" s="274" t="s">
        <v>229</v>
      </c>
    </row>
    <row r="6090" spans="1:5" ht="27">
      <c r="A6090" s="271">
        <v>100204</v>
      </c>
      <c r="B6090" s="272" t="s">
        <v>4387</v>
      </c>
      <c r="C6090" s="272" t="s">
        <v>4378</v>
      </c>
      <c r="D6090" s="273" t="s">
        <v>9865</v>
      </c>
      <c r="E6090" s="274" t="s">
        <v>229</v>
      </c>
    </row>
    <row r="6091" spans="1:5" ht="27">
      <c r="A6091" s="271">
        <v>100205</v>
      </c>
      <c r="B6091" s="272" t="s">
        <v>4388</v>
      </c>
      <c r="C6091" s="272" t="s">
        <v>239</v>
      </c>
      <c r="D6091" s="273" t="s">
        <v>24318</v>
      </c>
      <c r="E6091" s="274" t="s">
        <v>229</v>
      </c>
    </row>
    <row r="6092" spans="1:5" ht="27">
      <c r="A6092" s="271">
        <v>100206</v>
      </c>
      <c r="B6092" s="272" t="s">
        <v>4389</v>
      </c>
      <c r="C6092" s="272" t="s">
        <v>239</v>
      </c>
      <c r="D6092" s="273" t="s">
        <v>24319</v>
      </c>
      <c r="E6092" s="274" t="s">
        <v>229</v>
      </c>
    </row>
    <row r="6093" spans="1:5" ht="13.5">
      <c r="A6093" s="271">
        <v>100207</v>
      </c>
      <c r="B6093" s="272" t="s">
        <v>4390</v>
      </c>
      <c r="C6093" s="272" t="s">
        <v>239</v>
      </c>
      <c r="D6093" s="273" t="s">
        <v>24320</v>
      </c>
      <c r="E6093" s="274" t="s">
        <v>229</v>
      </c>
    </row>
    <row r="6094" spans="1:5" ht="27">
      <c r="A6094" s="271">
        <v>100208</v>
      </c>
      <c r="B6094" s="272" t="s">
        <v>4391</v>
      </c>
      <c r="C6094" s="272" t="s">
        <v>4392</v>
      </c>
      <c r="D6094" s="273" t="s">
        <v>12425</v>
      </c>
      <c r="E6094" s="274" t="s">
        <v>229</v>
      </c>
    </row>
    <row r="6095" spans="1:5" ht="27">
      <c r="A6095" s="271">
        <v>100209</v>
      </c>
      <c r="B6095" s="272" t="s">
        <v>4393</v>
      </c>
      <c r="C6095" s="272" t="s">
        <v>4392</v>
      </c>
      <c r="D6095" s="273" t="s">
        <v>10191</v>
      </c>
      <c r="E6095" s="274" t="s">
        <v>229</v>
      </c>
    </row>
    <row r="6096" spans="1:5" ht="27">
      <c r="A6096" s="271">
        <v>100210</v>
      </c>
      <c r="B6096" s="272" t="s">
        <v>4394</v>
      </c>
      <c r="C6096" s="272" t="s">
        <v>4392</v>
      </c>
      <c r="D6096" s="273" t="s">
        <v>19070</v>
      </c>
      <c r="E6096" s="274" t="s">
        <v>229</v>
      </c>
    </row>
    <row r="6097" spans="1:5" ht="27">
      <c r="A6097" s="271">
        <v>100211</v>
      </c>
      <c r="B6097" s="272" t="s">
        <v>4395</v>
      </c>
      <c r="C6097" s="272" t="s">
        <v>4392</v>
      </c>
      <c r="D6097" s="273" t="s">
        <v>14193</v>
      </c>
      <c r="E6097" s="274" t="s">
        <v>229</v>
      </c>
    </row>
    <row r="6098" spans="1:5" ht="27">
      <c r="A6098" s="271">
        <v>100212</v>
      </c>
      <c r="B6098" s="272" t="s">
        <v>4396</v>
      </c>
      <c r="C6098" s="272" t="s">
        <v>4392</v>
      </c>
      <c r="D6098" s="273" t="s">
        <v>10075</v>
      </c>
      <c r="E6098" s="274" t="s">
        <v>229</v>
      </c>
    </row>
    <row r="6099" spans="1:5" ht="27">
      <c r="A6099" s="271">
        <v>100213</v>
      </c>
      <c r="B6099" s="272" t="s">
        <v>4397</v>
      </c>
      <c r="C6099" s="272" t="s">
        <v>4392</v>
      </c>
      <c r="D6099" s="273" t="s">
        <v>11162</v>
      </c>
      <c r="E6099" s="274" t="s">
        <v>229</v>
      </c>
    </row>
    <row r="6100" spans="1:5" ht="27">
      <c r="A6100" s="271">
        <v>100214</v>
      </c>
      <c r="B6100" s="272" t="s">
        <v>4398</v>
      </c>
      <c r="C6100" s="272" t="s">
        <v>4392</v>
      </c>
      <c r="D6100" s="273" t="s">
        <v>10025</v>
      </c>
      <c r="E6100" s="274" t="s">
        <v>229</v>
      </c>
    </row>
    <row r="6101" spans="1:5" ht="27">
      <c r="A6101" s="271">
        <v>100215</v>
      </c>
      <c r="B6101" s="272" t="s">
        <v>4399</v>
      </c>
      <c r="C6101" s="272" t="s">
        <v>4392</v>
      </c>
      <c r="D6101" s="273" t="s">
        <v>9742</v>
      </c>
      <c r="E6101" s="274" t="s">
        <v>229</v>
      </c>
    </row>
    <row r="6102" spans="1:5" ht="27">
      <c r="A6102" s="271">
        <v>100216</v>
      </c>
      <c r="B6102" s="272" t="s">
        <v>4400</v>
      </c>
      <c r="C6102" s="272" t="s">
        <v>4392</v>
      </c>
      <c r="D6102" s="273" t="s">
        <v>9864</v>
      </c>
      <c r="E6102" s="274" t="s">
        <v>229</v>
      </c>
    </row>
    <row r="6103" spans="1:5" ht="27">
      <c r="A6103" s="271">
        <v>100217</v>
      </c>
      <c r="B6103" s="272" t="s">
        <v>4401</v>
      </c>
      <c r="C6103" s="272" t="s">
        <v>4392</v>
      </c>
      <c r="D6103" s="273" t="s">
        <v>11165</v>
      </c>
      <c r="E6103" s="274" t="s">
        <v>229</v>
      </c>
    </row>
    <row r="6104" spans="1:5" ht="27">
      <c r="A6104" s="271">
        <v>100218</v>
      </c>
      <c r="B6104" s="272" t="s">
        <v>4402</v>
      </c>
      <c r="C6104" s="272" t="s">
        <v>4392</v>
      </c>
      <c r="D6104" s="273" t="s">
        <v>12214</v>
      </c>
      <c r="E6104" s="274" t="s">
        <v>229</v>
      </c>
    </row>
    <row r="6105" spans="1:5" ht="27">
      <c r="A6105" s="271">
        <v>100219</v>
      </c>
      <c r="B6105" s="272" t="s">
        <v>4403</v>
      </c>
      <c r="C6105" s="272" t="s">
        <v>4392</v>
      </c>
      <c r="D6105" s="273" t="s">
        <v>9984</v>
      </c>
      <c r="E6105" s="274" t="s">
        <v>229</v>
      </c>
    </row>
    <row r="6106" spans="1:5" ht="27">
      <c r="A6106" s="271">
        <v>100220</v>
      </c>
      <c r="B6106" s="272" t="s">
        <v>4404</v>
      </c>
      <c r="C6106" s="272" t="s">
        <v>4405</v>
      </c>
      <c r="D6106" s="273" t="s">
        <v>12451</v>
      </c>
      <c r="E6106" s="274" t="s">
        <v>229</v>
      </c>
    </row>
    <row r="6107" spans="1:5" ht="27">
      <c r="A6107" s="271">
        <v>100221</v>
      </c>
      <c r="B6107" s="272" t="s">
        <v>4406</v>
      </c>
      <c r="C6107" s="272" t="s">
        <v>4405</v>
      </c>
      <c r="D6107" s="273" t="s">
        <v>11266</v>
      </c>
      <c r="E6107" s="274" t="s">
        <v>229</v>
      </c>
    </row>
    <row r="6108" spans="1:5" ht="27">
      <c r="A6108" s="271">
        <v>100222</v>
      </c>
      <c r="B6108" s="272" t="s">
        <v>4407</v>
      </c>
      <c r="C6108" s="272" t="s">
        <v>4405</v>
      </c>
      <c r="D6108" s="273" t="s">
        <v>9720</v>
      </c>
      <c r="E6108" s="274" t="s">
        <v>229</v>
      </c>
    </row>
    <row r="6109" spans="1:5" ht="27">
      <c r="A6109" s="271">
        <v>100223</v>
      </c>
      <c r="B6109" s="272" t="s">
        <v>4408</v>
      </c>
      <c r="C6109" s="272" t="s">
        <v>4405</v>
      </c>
      <c r="D6109" s="273" t="s">
        <v>10482</v>
      </c>
      <c r="E6109" s="274" t="s">
        <v>229</v>
      </c>
    </row>
    <row r="6110" spans="1:5" ht="27">
      <c r="A6110" s="271">
        <v>100224</v>
      </c>
      <c r="B6110" s="272" t="s">
        <v>4409</v>
      </c>
      <c r="C6110" s="272" t="s">
        <v>4405</v>
      </c>
      <c r="D6110" s="273" t="s">
        <v>11165</v>
      </c>
      <c r="E6110" s="274" t="s">
        <v>229</v>
      </c>
    </row>
    <row r="6111" spans="1:5" ht="13.5">
      <c r="A6111" s="271">
        <v>100225</v>
      </c>
      <c r="B6111" s="272" t="s">
        <v>4410</v>
      </c>
      <c r="C6111" s="272" t="s">
        <v>4411</v>
      </c>
      <c r="D6111" s="273" t="s">
        <v>10060</v>
      </c>
      <c r="E6111" s="274" t="s">
        <v>229</v>
      </c>
    </row>
    <row r="6112" spans="1:5" ht="27">
      <c r="A6112" s="271">
        <v>100226</v>
      </c>
      <c r="B6112" s="272" t="s">
        <v>4412</v>
      </c>
      <c r="C6112" s="272" t="s">
        <v>4411</v>
      </c>
      <c r="D6112" s="273" t="s">
        <v>10906</v>
      </c>
      <c r="E6112" s="274" t="s">
        <v>229</v>
      </c>
    </row>
    <row r="6113" spans="1:5" ht="27">
      <c r="A6113" s="271">
        <v>100227</v>
      </c>
      <c r="B6113" s="272" t="s">
        <v>4413</v>
      </c>
      <c r="C6113" s="272" t="s">
        <v>4411</v>
      </c>
      <c r="D6113" s="273" t="s">
        <v>10909</v>
      </c>
      <c r="E6113" s="274" t="s">
        <v>229</v>
      </c>
    </row>
    <row r="6114" spans="1:5" ht="27">
      <c r="A6114" s="271">
        <v>100228</v>
      </c>
      <c r="B6114" s="272" t="s">
        <v>4414</v>
      </c>
      <c r="C6114" s="272" t="s">
        <v>4411</v>
      </c>
      <c r="D6114" s="273" t="s">
        <v>9936</v>
      </c>
      <c r="E6114" s="274" t="s">
        <v>229</v>
      </c>
    </row>
    <row r="6115" spans="1:5" ht="13.5">
      <c r="A6115" s="271">
        <v>100229</v>
      </c>
      <c r="B6115" s="272" t="s">
        <v>4415</v>
      </c>
      <c r="C6115" s="272" t="s">
        <v>108</v>
      </c>
      <c r="D6115" s="273" t="s">
        <v>9943</v>
      </c>
      <c r="E6115" s="274" t="s">
        <v>229</v>
      </c>
    </row>
    <row r="6116" spans="1:5" ht="13.5">
      <c r="A6116" s="271">
        <v>100230</v>
      </c>
      <c r="B6116" s="272" t="s">
        <v>4416</v>
      </c>
      <c r="C6116" s="272" t="s">
        <v>108</v>
      </c>
      <c r="D6116" s="273" t="s">
        <v>9895</v>
      </c>
      <c r="E6116" s="274" t="s">
        <v>229</v>
      </c>
    </row>
    <row r="6117" spans="1:5" ht="13.5">
      <c r="A6117" s="271">
        <v>100231</v>
      </c>
      <c r="B6117" s="272" t="s">
        <v>4417</v>
      </c>
      <c r="C6117" s="272" t="s">
        <v>108</v>
      </c>
      <c r="D6117" s="273" t="s">
        <v>9917</v>
      </c>
      <c r="E6117" s="274" t="s">
        <v>229</v>
      </c>
    </row>
    <row r="6118" spans="1:5" ht="27">
      <c r="A6118" s="271">
        <v>100232</v>
      </c>
      <c r="B6118" s="272" t="s">
        <v>4418</v>
      </c>
      <c r="C6118" s="272" t="s">
        <v>109</v>
      </c>
      <c r="D6118" s="273" t="s">
        <v>9848</v>
      </c>
      <c r="E6118" s="274" t="s">
        <v>229</v>
      </c>
    </row>
    <row r="6119" spans="1:5" ht="27">
      <c r="A6119" s="271">
        <v>100233</v>
      </c>
      <c r="B6119" s="272" t="s">
        <v>4419</v>
      </c>
      <c r="C6119" s="272" t="s">
        <v>109</v>
      </c>
      <c r="D6119" s="273" t="s">
        <v>9832</v>
      </c>
      <c r="E6119" s="274" t="s">
        <v>229</v>
      </c>
    </row>
    <row r="6120" spans="1:5" ht="27">
      <c r="A6120" s="271">
        <v>100234</v>
      </c>
      <c r="B6120" s="272" t="s">
        <v>4420</v>
      </c>
      <c r="C6120" s="272" t="s">
        <v>193</v>
      </c>
      <c r="D6120" s="273" t="s">
        <v>9876</v>
      </c>
      <c r="E6120" s="274" t="s">
        <v>229</v>
      </c>
    </row>
    <row r="6121" spans="1:5" ht="27">
      <c r="A6121" s="271">
        <v>100235</v>
      </c>
      <c r="B6121" s="272" t="s">
        <v>4421</v>
      </c>
      <c r="C6121" s="272" t="s">
        <v>4</v>
      </c>
      <c r="D6121" s="273" t="s">
        <v>9917</v>
      </c>
      <c r="E6121" s="274" t="s">
        <v>229</v>
      </c>
    </row>
    <row r="6122" spans="1:5" ht="27">
      <c r="A6122" s="271">
        <v>100236</v>
      </c>
      <c r="B6122" s="272" t="s">
        <v>4422</v>
      </c>
      <c r="C6122" s="272" t="s">
        <v>4423</v>
      </c>
      <c r="D6122" s="273" t="s">
        <v>9833</v>
      </c>
      <c r="E6122" s="274" t="s">
        <v>229</v>
      </c>
    </row>
    <row r="6123" spans="1:5" ht="27">
      <c r="A6123" s="271">
        <v>100237</v>
      </c>
      <c r="B6123" s="272" t="s">
        <v>4424</v>
      </c>
      <c r="C6123" s="272" t="s">
        <v>4423</v>
      </c>
      <c r="D6123" s="273" t="s">
        <v>11079</v>
      </c>
      <c r="E6123" s="274" t="s">
        <v>229</v>
      </c>
    </row>
    <row r="6124" spans="1:5" ht="27">
      <c r="A6124" s="271">
        <v>100238</v>
      </c>
      <c r="B6124" s="272" t="s">
        <v>4425</v>
      </c>
      <c r="C6124" s="272" t="s">
        <v>4423</v>
      </c>
      <c r="D6124" s="273" t="s">
        <v>24321</v>
      </c>
      <c r="E6124" s="274" t="s">
        <v>229</v>
      </c>
    </row>
    <row r="6125" spans="1:5" ht="27">
      <c r="A6125" s="271">
        <v>100239</v>
      </c>
      <c r="B6125" s="272" t="s">
        <v>4426</v>
      </c>
      <c r="C6125" s="272" t="s">
        <v>4423</v>
      </c>
      <c r="D6125" s="273" t="s">
        <v>9748</v>
      </c>
      <c r="E6125" s="274" t="s">
        <v>229</v>
      </c>
    </row>
    <row r="6126" spans="1:5" ht="27">
      <c r="A6126" s="271">
        <v>100240</v>
      </c>
      <c r="B6126" s="272" t="s">
        <v>4427</v>
      </c>
      <c r="C6126" s="272" t="s">
        <v>4423</v>
      </c>
      <c r="D6126" s="273" t="s">
        <v>10068</v>
      </c>
      <c r="E6126" s="274" t="s">
        <v>229</v>
      </c>
    </row>
    <row r="6127" spans="1:5" ht="27">
      <c r="A6127" s="271">
        <v>100241</v>
      </c>
      <c r="B6127" s="272" t="s">
        <v>4428</v>
      </c>
      <c r="C6127" s="272" t="s">
        <v>4423</v>
      </c>
      <c r="D6127" s="273" t="s">
        <v>9748</v>
      </c>
      <c r="E6127" s="274" t="s">
        <v>229</v>
      </c>
    </row>
    <row r="6128" spans="1:5" ht="27">
      <c r="A6128" s="271">
        <v>100242</v>
      </c>
      <c r="B6128" s="272" t="s">
        <v>4429</v>
      </c>
      <c r="C6128" s="272" t="s">
        <v>4423</v>
      </c>
      <c r="D6128" s="273" t="s">
        <v>10173</v>
      </c>
      <c r="E6128" s="274" t="s">
        <v>229</v>
      </c>
    </row>
    <row r="6129" spans="1:5" ht="27">
      <c r="A6129" s="271">
        <v>100243</v>
      </c>
      <c r="B6129" s="272" t="s">
        <v>4430</v>
      </c>
      <c r="C6129" s="272" t="s">
        <v>4423</v>
      </c>
      <c r="D6129" s="273" t="s">
        <v>9951</v>
      </c>
      <c r="E6129" s="274" t="s">
        <v>229</v>
      </c>
    </row>
    <row r="6130" spans="1:5" ht="27">
      <c r="A6130" s="271">
        <v>100244</v>
      </c>
      <c r="B6130" s="272" t="s">
        <v>4431</v>
      </c>
      <c r="C6130" s="272" t="s">
        <v>4423</v>
      </c>
      <c r="D6130" s="273" t="s">
        <v>10068</v>
      </c>
      <c r="E6130" s="274" t="s">
        <v>229</v>
      </c>
    </row>
    <row r="6131" spans="1:5" ht="27">
      <c r="A6131" s="271">
        <v>100245</v>
      </c>
      <c r="B6131" s="272" t="s">
        <v>4432</v>
      </c>
      <c r="C6131" s="272" t="s">
        <v>4423</v>
      </c>
      <c r="D6131" s="273" t="s">
        <v>10307</v>
      </c>
      <c r="E6131" s="274" t="s">
        <v>229</v>
      </c>
    </row>
    <row r="6132" spans="1:5" ht="40.5">
      <c r="A6132" s="271">
        <v>100246</v>
      </c>
      <c r="B6132" s="272" t="s">
        <v>4433</v>
      </c>
      <c r="C6132" s="272" t="s">
        <v>4423</v>
      </c>
      <c r="D6132" s="273" t="s">
        <v>11204</v>
      </c>
      <c r="E6132" s="274" t="s">
        <v>229</v>
      </c>
    </row>
    <row r="6133" spans="1:5" ht="40.5">
      <c r="A6133" s="271">
        <v>100247</v>
      </c>
      <c r="B6133" s="272" t="s">
        <v>4434</v>
      </c>
      <c r="C6133" s="272" t="s">
        <v>4423</v>
      </c>
      <c r="D6133" s="273" t="s">
        <v>11079</v>
      </c>
      <c r="E6133" s="274" t="s">
        <v>229</v>
      </c>
    </row>
    <row r="6134" spans="1:5" ht="40.5">
      <c r="A6134" s="271">
        <v>100248</v>
      </c>
      <c r="B6134" s="272" t="s">
        <v>4435</v>
      </c>
      <c r="C6134" s="272" t="s">
        <v>4423</v>
      </c>
      <c r="D6134" s="273" t="s">
        <v>14092</v>
      </c>
      <c r="E6134" s="274" t="s">
        <v>229</v>
      </c>
    </row>
    <row r="6135" spans="1:5" ht="27">
      <c r="A6135" s="271">
        <v>100249</v>
      </c>
      <c r="B6135" s="272" t="s">
        <v>4436</v>
      </c>
      <c r="C6135" s="272" t="s">
        <v>4423</v>
      </c>
      <c r="D6135" s="273" t="s">
        <v>11204</v>
      </c>
      <c r="E6135" s="274" t="s">
        <v>229</v>
      </c>
    </row>
    <row r="6136" spans="1:5" ht="40.5">
      <c r="A6136" s="271">
        <v>100250</v>
      </c>
      <c r="B6136" s="272" t="s">
        <v>4437</v>
      </c>
      <c r="C6136" s="272" t="s">
        <v>4423</v>
      </c>
      <c r="D6136" s="273" t="s">
        <v>10063</v>
      </c>
      <c r="E6136" s="274" t="s">
        <v>229</v>
      </c>
    </row>
    <row r="6137" spans="1:5" ht="40.5">
      <c r="A6137" s="271">
        <v>100251</v>
      </c>
      <c r="B6137" s="272" t="s">
        <v>4438</v>
      </c>
      <c r="C6137" s="272" t="s">
        <v>4423</v>
      </c>
      <c r="D6137" s="273" t="s">
        <v>14092</v>
      </c>
      <c r="E6137" s="274" t="s">
        <v>229</v>
      </c>
    </row>
    <row r="6138" spans="1:5" ht="40.5">
      <c r="A6138" s="271">
        <v>100252</v>
      </c>
      <c r="B6138" s="272" t="s">
        <v>4439</v>
      </c>
      <c r="C6138" s="272" t="s">
        <v>4423</v>
      </c>
      <c r="D6138" s="273" t="s">
        <v>10173</v>
      </c>
      <c r="E6138" s="274" t="s">
        <v>229</v>
      </c>
    </row>
    <row r="6139" spans="1:5" ht="40.5">
      <c r="A6139" s="271">
        <v>100253</v>
      </c>
      <c r="B6139" s="272" t="s">
        <v>4440</v>
      </c>
      <c r="C6139" s="272" t="s">
        <v>4423</v>
      </c>
      <c r="D6139" s="273" t="s">
        <v>24322</v>
      </c>
      <c r="E6139" s="274" t="s">
        <v>229</v>
      </c>
    </row>
    <row r="6140" spans="1:5" ht="40.5">
      <c r="A6140" s="271">
        <v>100254</v>
      </c>
      <c r="B6140" s="272" t="s">
        <v>4441</v>
      </c>
      <c r="C6140" s="272" t="s">
        <v>4423</v>
      </c>
      <c r="D6140" s="273" t="s">
        <v>24323</v>
      </c>
      <c r="E6140" s="274" t="s">
        <v>229</v>
      </c>
    </row>
    <row r="6141" spans="1:5" ht="27">
      <c r="A6141" s="271">
        <v>100255</v>
      </c>
      <c r="B6141" s="272" t="s">
        <v>4442</v>
      </c>
      <c r="C6141" s="272" t="s">
        <v>4423</v>
      </c>
      <c r="D6141" s="273" t="s">
        <v>10647</v>
      </c>
      <c r="E6141" s="274" t="s">
        <v>229</v>
      </c>
    </row>
    <row r="6142" spans="1:5" ht="27">
      <c r="A6142" s="271">
        <v>100256</v>
      </c>
      <c r="B6142" s="272" t="s">
        <v>4443</v>
      </c>
      <c r="C6142" s="272" t="s">
        <v>4423</v>
      </c>
      <c r="D6142" s="273" t="s">
        <v>10245</v>
      </c>
      <c r="E6142" s="274" t="s">
        <v>229</v>
      </c>
    </row>
    <row r="6143" spans="1:5" ht="27">
      <c r="A6143" s="271">
        <v>100257</v>
      </c>
      <c r="B6143" s="272" t="s">
        <v>4444</v>
      </c>
      <c r="C6143" s="272" t="s">
        <v>4423</v>
      </c>
      <c r="D6143" s="273" t="s">
        <v>24321</v>
      </c>
      <c r="E6143" s="274" t="s">
        <v>229</v>
      </c>
    </row>
    <row r="6144" spans="1:5" ht="27">
      <c r="A6144" s="271">
        <v>100258</v>
      </c>
      <c r="B6144" s="272" t="s">
        <v>4445</v>
      </c>
      <c r="C6144" s="272" t="s">
        <v>4423</v>
      </c>
      <c r="D6144" s="273" t="s">
        <v>10647</v>
      </c>
      <c r="E6144" s="274" t="s">
        <v>229</v>
      </c>
    </row>
    <row r="6145" spans="1:5" ht="27">
      <c r="A6145" s="271">
        <v>100259</v>
      </c>
      <c r="B6145" s="272" t="s">
        <v>4446</v>
      </c>
      <c r="C6145" s="272" t="s">
        <v>4423</v>
      </c>
      <c r="D6145" s="273" t="s">
        <v>24322</v>
      </c>
      <c r="E6145" s="274" t="s">
        <v>229</v>
      </c>
    </row>
    <row r="6146" spans="1:5" ht="27">
      <c r="A6146" s="271">
        <v>100260</v>
      </c>
      <c r="B6146" s="272" t="s">
        <v>4447</v>
      </c>
      <c r="C6146" s="272" t="s">
        <v>4378</v>
      </c>
      <c r="D6146" s="273" t="s">
        <v>10476</v>
      </c>
      <c r="E6146" s="274" t="s">
        <v>229</v>
      </c>
    </row>
    <row r="6147" spans="1:5" ht="27">
      <c r="A6147" s="271">
        <v>100261</v>
      </c>
      <c r="B6147" s="272" t="s">
        <v>4448</v>
      </c>
      <c r="C6147" s="272" t="s">
        <v>4378</v>
      </c>
      <c r="D6147" s="273" t="s">
        <v>9798</v>
      </c>
      <c r="E6147" s="274" t="s">
        <v>229</v>
      </c>
    </row>
    <row r="6148" spans="1:5" ht="27">
      <c r="A6148" s="271">
        <v>100262</v>
      </c>
      <c r="B6148" s="272" t="s">
        <v>4449</v>
      </c>
      <c r="C6148" s="272" t="s">
        <v>4378</v>
      </c>
      <c r="D6148" s="273" t="s">
        <v>10052</v>
      </c>
      <c r="E6148" s="274" t="s">
        <v>229</v>
      </c>
    </row>
    <row r="6149" spans="1:5" ht="27">
      <c r="A6149" s="271">
        <v>100263</v>
      </c>
      <c r="B6149" s="272" t="s">
        <v>4450</v>
      </c>
      <c r="C6149" s="272" t="s">
        <v>4378</v>
      </c>
      <c r="D6149" s="273" t="s">
        <v>10908</v>
      </c>
      <c r="E6149" s="274" t="s">
        <v>229</v>
      </c>
    </row>
    <row r="6150" spans="1:5" ht="13.5">
      <c r="A6150" s="271">
        <v>100264</v>
      </c>
      <c r="B6150" s="272" t="s">
        <v>4451</v>
      </c>
      <c r="C6150" s="272" t="s">
        <v>4405</v>
      </c>
      <c r="D6150" s="273" t="s">
        <v>16179</v>
      </c>
      <c r="E6150" s="274" t="s">
        <v>229</v>
      </c>
    </row>
    <row r="6151" spans="1:5" ht="13.5">
      <c r="A6151" s="271">
        <v>100265</v>
      </c>
      <c r="B6151" s="272" t="s">
        <v>4452</v>
      </c>
      <c r="C6151" s="272" t="s">
        <v>193</v>
      </c>
      <c r="D6151" s="273" t="s">
        <v>9777</v>
      </c>
      <c r="E6151" s="274" t="s">
        <v>229</v>
      </c>
    </row>
    <row r="6152" spans="1:5" ht="13.5">
      <c r="A6152" s="271">
        <v>100266</v>
      </c>
      <c r="B6152" s="272" t="s">
        <v>4453</v>
      </c>
      <c r="C6152" s="272" t="s">
        <v>4392</v>
      </c>
      <c r="D6152" s="273" t="s">
        <v>24324</v>
      </c>
      <c r="E6152" s="274" t="s">
        <v>229</v>
      </c>
    </row>
    <row r="6153" spans="1:5" ht="13.5">
      <c r="A6153" s="271">
        <v>100267</v>
      </c>
      <c r="B6153" s="272" t="s">
        <v>4454</v>
      </c>
      <c r="C6153" s="272" t="s">
        <v>109</v>
      </c>
      <c r="D6153" s="273" t="s">
        <v>10914</v>
      </c>
      <c r="E6153" s="274" t="s">
        <v>229</v>
      </c>
    </row>
    <row r="6154" spans="1:5" ht="27">
      <c r="A6154" s="271">
        <v>100268</v>
      </c>
      <c r="B6154" s="272" t="s">
        <v>4455</v>
      </c>
      <c r="C6154" s="272" t="s">
        <v>4392</v>
      </c>
      <c r="D6154" s="273" t="s">
        <v>24324</v>
      </c>
      <c r="E6154" s="274" t="s">
        <v>229</v>
      </c>
    </row>
    <row r="6155" spans="1:5" ht="27">
      <c r="A6155" s="271">
        <v>100269</v>
      </c>
      <c r="B6155" s="272" t="s">
        <v>4456</v>
      </c>
      <c r="C6155" s="272" t="s">
        <v>109</v>
      </c>
      <c r="D6155" s="273" t="s">
        <v>10914</v>
      </c>
      <c r="E6155" s="274" t="s">
        <v>229</v>
      </c>
    </row>
    <row r="6156" spans="1:5" ht="40.5">
      <c r="A6156" s="271">
        <v>100270</v>
      </c>
      <c r="B6156" s="272" t="s">
        <v>4457</v>
      </c>
      <c r="C6156" s="272" t="s">
        <v>4392</v>
      </c>
      <c r="D6156" s="273" t="s">
        <v>19696</v>
      </c>
      <c r="E6156" s="274" t="s">
        <v>229</v>
      </c>
    </row>
    <row r="6157" spans="1:5" ht="13.5">
      <c r="A6157" s="271">
        <v>100271</v>
      </c>
      <c r="B6157" s="272" t="s">
        <v>4458</v>
      </c>
      <c r="C6157" s="272" t="s">
        <v>4405</v>
      </c>
      <c r="D6157" s="273" t="s">
        <v>24325</v>
      </c>
      <c r="E6157" s="274" t="s">
        <v>229</v>
      </c>
    </row>
    <row r="6158" spans="1:5" ht="13.5">
      <c r="A6158" s="271">
        <v>100272</v>
      </c>
      <c r="B6158" s="272" t="s">
        <v>4459</v>
      </c>
      <c r="C6158" s="272" t="s">
        <v>193</v>
      </c>
      <c r="D6158" s="273" t="s">
        <v>9830</v>
      </c>
      <c r="E6158" s="274" t="s">
        <v>229</v>
      </c>
    </row>
    <row r="6159" spans="1:5" ht="13.5">
      <c r="A6159" s="271">
        <v>100273</v>
      </c>
      <c r="B6159" s="272" t="s">
        <v>4460</v>
      </c>
      <c r="C6159" s="272" t="s">
        <v>4378</v>
      </c>
      <c r="D6159" s="273" t="s">
        <v>11242</v>
      </c>
      <c r="E6159" s="274" t="s">
        <v>229</v>
      </c>
    </row>
    <row r="6160" spans="1:5" ht="13.5">
      <c r="A6160" s="271">
        <v>100274</v>
      </c>
      <c r="B6160" s="272" t="s">
        <v>4461</v>
      </c>
      <c r="C6160" s="272" t="s">
        <v>4405</v>
      </c>
      <c r="D6160" s="273" t="s">
        <v>24112</v>
      </c>
      <c r="E6160" s="274" t="s">
        <v>229</v>
      </c>
    </row>
    <row r="6161" spans="1:5" ht="27">
      <c r="A6161" s="271">
        <v>100275</v>
      </c>
      <c r="B6161" s="272" t="s">
        <v>4462</v>
      </c>
      <c r="C6161" s="272" t="s">
        <v>4405</v>
      </c>
      <c r="D6161" s="273" t="s">
        <v>11518</v>
      </c>
      <c r="E6161" s="274" t="s">
        <v>229</v>
      </c>
    </row>
    <row r="6162" spans="1:5" ht="27">
      <c r="A6162" s="271">
        <v>100276</v>
      </c>
      <c r="B6162" s="272" t="s">
        <v>4463</v>
      </c>
      <c r="C6162" s="272" t="s">
        <v>4405</v>
      </c>
      <c r="D6162" s="273" t="s">
        <v>21581</v>
      </c>
      <c r="E6162" s="274" t="s">
        <v>229</v>
      </c>
    </row>
    <row r="6163" spans="1:5" ht="40.5">
      <c r="A6163" s="271">
        <v>100277</v>
      </c>
      <c r="B6163" s="272" t="s">
        <v>4464</v>
      </c>
      <c r="C6163" s="272" t="s">
        <v>4405</v>
      </c>
      <c r="D6163" s="273" t="s">
        <v>11401</v>
      </c>
      <c r="E6163" s="274" t="s">
        <v>229</v>
      </c>
    </row>
    <row r="6164" spans="1:5" ht="27">
      <c r="A6164" s="271">
        <v>100278</v>
      </c>
      <c r="B6164" s="272" t="s">
        <v>4465</v>
      </c>
      <c r="C6164" s="272" t="s">
        <v>4392</v>
      </c>
      <c r="D6164" s="273" t="s">
        <v>24326</v>
      </c>
      <c r="E6164" s="274" t="s">
        <v>229</v>
      </c>
    </row>
    <row r="6165" spans="1:5" ht="27">
      <c r="A6165" s="271">
        <v>100279</v>
      </c>
      <c r="B6165" s="272" t="s">
        <v>4466</v>
      </c>
      <c r="C6165" s="272" t="s">
        <v>109</v>
      </c>
      <c r="D6165" s="273" t="s">
        <v>10915</v>
      </c>
      <c r="E6165" s="274" t="s">
        <v>229</v>
      </c>
    </row>
    <row r="6166" spans="1:5" ht="27">
      <c r="A6166" s="271">
        <v>100280</v>
      </c>
      <c r="B6166" s="272" t="s">
        <v>4467</v>
      </c>
      <c r="C6166" s="272" t="s">
        <v>4392</v>
      </c>
      <c r="D6166" s="273" t="s">
        <v>12241</v>
      </c>
      <c r="E6166" s="274" t="s">
        <v>229</v>
      </c>
    </row>
    <row r="6167" spans="1:5" ht="27">
      <c r="A6167" s="271">
        <v>100281</v>
      </c>
      <c r="B6167" s="272" t="s">
        <v>4468</v>
      </c>
      <c r="C6167" s="272" t="s">
        <v>4392</v>
      </c>
      <c r="D6167" s="273" t="s">
        <v>12325</v>
      </c>
      <c r="E6167" s="274" t="s">
        <v>229</v>
      </c>
    </row>
    <row r="6168" spans="1:5" ht="27">
      <c r="A6168" s="271">
        <v>100282</v>
      </c>
      <c r="B6168" s="272" t="s">
        <v>4469</v>
      </c>
      <c r="C6168" s="272" t="s">
        <v>4405</v>
      </c>
      <c r="D6168" s="273" t="s">
        <v>24327</v>
      </c>
      <c r="E6168" s="274" t="s">
        <v>229</v>
      </c>
    </row>
    <row r="6169" spans="1:5" ht="27">
      <c r="A6169" s="271">
        <v>100283</v>
      </c>
      <c r="B6169" s="272" t="s">
        <v>4470</v>
      </c>
      <c r="C6169" s="272" t="s">
        <v>4405</v>
      </c>
      <c r="D6169" s="273" t="s">
        <v>12223</v>
      </c>
      <c r="E6169" s="274" t="s">
        <v>229</v>
      </c>
    </row>
    <row r="6170" spans="1:5" ht="27">
      <c r="A6170" s="271">
        <v>100284</v>
      </c>
      <c r="B6170" s="272" t="s">
        <v>4471</v>
      </c>
      <c r="C6170" s="272" t="s">
        <v>4405</v>
      </c>
      <c r="D6170" s="273" t="s">
        <v>10910</v>
      </c>
      <c r="E6170" s="274" t="s">
        <v>229</v>
      </c>
    </row>
    <row r="6171" spans="1:5" ht="13.5">
      <c r="A6171" s="282">
        <v>100285</v>
      </c>
      <c r="B6171" s="274" t="s">
        <v>4472</v>
      </c>
      <c r="C6171" s="274" t="s">
        <v>4423</v>
      </c>
      <c r="D6171" s="279" t="s">
        <v>19076</v>
      </c>
      <c r="E6171" s="274" t="s">
        <v>229</v>
      </c>
    </row>
    <row r="6172" spans="1:5" ht="27">
      <c r="A6172" s="282">
        <v>100286</v>
      </c>
      <c r="B6172" s="274" t="s">
        <v>4473</v>
      </c>
      <c r="C6172" s="274" t="s">
        <v>4423</v>
      </c>
      <c r="D6172" s="279" t="s">
        <v>9900</v>
      </c>
      <c r="E6172" s="274" t="s">
        <v>229</v>
      </c>
    </row>
    <row r="6173" spans="1:5" ht="27">
      <c r="A6173" s="282">
        <v>100287</v>
      </c>
      <c r="B6173" s="274" t="s">
        <v>4474</v>
      </c>
      <c r="C6173" s="274" t="s">
        <v>4423</v>
      </c>
      <c r="D6173" s="279" t="s">
        <v>14092</v>
      </c>
      <c r="E6173" s="274" t="s">
        <v>229</v>
      </c>
    </row>
    <row r="6174" spans="1:5" ht="13.5">
      <c r="A6174" s="282">
        <v>99802</v>
      </c>
      <c r="B6174" s="274" t="s">
        <v>4475</v>
      </c>
      <c r="C6174" s="274" t="s">
        <v>193</v>
      </c>
      <c r="D6174" s="279" t="s">
        <v>10036</v>
      </c>
      <c r="E6174" s="274" t="s">
        <v>229</v>
      </c>
    </row>
    <row r="6175" spans="1:5" ht="13.5">
      <c r="A6175" s="282">
        <v>99803</v>
      </c>
      <c r="B6175" s="274" t="s">
        <v>4476</v>
      </c>
      <c r="C6175" s="274" t="s">
        <v>193</v>
      </c>
      <c r="D6175" s="279" t="s">
        <v>11097</v>
      </c>
      <c r="E6175" s="274" t="s">
        <v>229</v>
      </c>
    </row>
    <row r="6176" spans="1:5" ht="27">
      <c r="A6176" s="282">
        <v>99805</v>
      </c>
      <c r="B6176" s="274" t="s">
        <v>4477</v>
      </c>
      <c r="C6176" s="274" t="s">
        <v>193</v>
      </c>
      <c r="D6176" s="279" t="s">
        <v>11302</v>
      </c>
      <c r="E6176" s="274" t="s">
        <v>229</v>
      </c>
    </row>
    <row r="6177" spans="1:5" ht="13.5">
      <c r="A6177" s="282">
        <v>99806</v>
      </c>
      <c r="B6177" s="274" t="s">
        <v>4478</v>
      </c>
      <c r="C6177" s="274" t="s">
        <v>193</v>
      </c>
      <c r="D6177" s="279" t="s">
        <v>10054</v>
      </c>
      <c r="E6177" s="274" t="s">
        <v>229</v>
      </c>
    </row>
    <row r="6178" spans="1:5" ht="13.5">
      <c r="A6178" s="282">
        <v>99808</v>
      </c>
      <c r="B6178" s="274" t="s">
        <v>4479</v>
      </c>
      <c r="C6178" s="274" t="s">
        <v>193</v>
      </c>
      <c r="D6178" s="279" t="s">
        <v>10431</v>
      </c>
      <c r="E6178" s="274" t="s">
        <v>229</v>
      </c>
    </row>
    <row r="6179" spans="1:5" ht="13.5">
      <c r="A6179" s="282">
        <v>99809</v>
      </c>
      <c r="B6179" s="274" t="s">
        <v>4480</v>
      </c>
      <c r="C6179" s="274" t="s">
        <v>193</v>
      </c>
      <c r="D6179" s="279" t="s">
        <v>10900</v>
      </c>
      <c r="E6179" s="274" t="s">
        <v>229</v>
      </c>
    </row>
    <row r="6180" spans="1:5" ht="13.5">
      <c r="A6180" s="282">
        <v>99811</v>
      </c>
      <c r="B6180" s="274" t="s">
        <v>4481</v>
      </c>
      <c r="C6180" s="274" t="s">
        <v>193</v>
      </c>
      <c r="D6180" s="279" t="s">
        <v>10431</v>
      </c>
      <c r="E6180" s="274" t="s">
        <v>229</v>
      </c>
    </row>
    <row r="6181" spans="1:5" ht="13.5">
      <c r="A6181" s="282">
        <v>99812</v>
      </c>
      <c r="B6181" s="274" t="s">
        <v>4482</v>
      </c>
      <c r="C6181" s="274" t="s">
        <v>193</v>
      </c>
      <c r="D6181" s="279" t="s">
        <v>10009</v>
      </c>
      <c r="E6181" s="274" t="s">
        <v>229</v>
      </c>
    </row>
    <row r="6182" spans="1:5" ht="13.5">
      <c r="A6182" s="282">
        <v>99814</v>
      </c>
      <c r="B6182" s="274" t="s">
        <v>4483</v>
      </c>
      <c r="C6182" s="274" t="s">
        <v>193</v>
      </c>
      <c r="D6182" s="279" t="s">
        <v>12214</v>
      </c>
      <c r="E6182" s="498" t="s">
        <v>229</v>
      </c>
    </row>
    <row r="6183" spans="1:5" ht="13.5">
      <c r="A6183" s="282">
        <v>99822</v>
      </c>
      <c r="B6183" s="274" t="s">
        <v>4484</v>
      </c>
      <c r="C6183" s="274" t="s">
        <v>193</v>
      </c>
      <c r="D6183" s="279" t="s">
        <v>11540</v>
      </c>
      <c r="E6183" s="274" t="s">
        <v>229</v>
      </c>
    </row>
    <row r="6184" spans="1:5" ht="13.5">
      <c r="A6184" s="282">
        <v>99826</v>
      </c>
      <c r="B6184" s="274" t="s">
        <v>4485</v>
      </c>
      <c r="C6184" s="274" t="s">
        <v>193</v>
      </c>
      <c r="D6184" s="279" t="s">
        <v>11092</v>
      </c>
      <c r="E6184" s="274" t="s">
        <v>229</v>
      </c>
    </row>
    <row r="6185" spans="1:5" ht="27">
      <c r="A6185" s="282">
        <v>97010</v>
      </c>
      <c r="B6185" s="274" t="s">
        <v>3700</v>
      </c>
      <c r="C6185" s="274" t="s">
        <v>5</v>
      </c>
      <c r="D6185" s="279" t="s">
        <v>20263</v>
      </c>
      <c r="E6185" s="274" t="s">
        <v>229</v>
      </c>
    </row>
    <row r="6186" spans="1:5" ht="27">
      <c r="A6186" s="282">
        <v>97011</v>
      </c>
      <c r="B6186" s="274" t="s">
        <v>3701</v>
      </c>
      <c r="C6186" s="274" t="s">
        <v>5</v>
      </c>
      <c r="D6186" s="279" t="s">
        <v>16027</v>
      </c>
      <c r="E6186" s="274" t="s">
        <v>229</v>
      </c>
    </row>
    <row r="6187" spans="1:5" ht="40.5">
      <c r="A6187" s="282">
        <v>97012</v>
      </c>
      <c r="B6187" s="274" t="s">
        <v>3702</v>
      </c>
      <c r="C6187" s="274" t="s">
        <v>5</v>
      </c>
      <c r="D6187" s="279" t="s">
        <v>24328</v>
      </c>
      <c r="E6187" s="274" t="s">
        <v>229</v>
      </c>
    </row>
    <row r="6188" spans="1:5" ht="27">
      <c r="A6188" s="282">
        <v>97013</v>
      </c>
      <c r="B6188" s="274" t="s">
        <v>3703</v>
      </c>
      <c r="C6188" s="274" t="s">
        <v>5</v>
      </c>
      <c r="D6188" s="279" t="s">
        <v>24329</v>
      </c>
      <c r="E6188" s="274" t="s">
        <v>229</v>
      </c>
    </row>
    <row r="6189" spans="1:5" ht="27">
      <c r="A6189" s="282">
        <v>97014</v>
      </c>
      <c r="B6189" s="274" t="s">
        <v>3704</v>
      </c>
      <c r="C6189" s="274" t="s">
        <v>5</v>
      </c>
      <c r="D6189" s="279" t="s">
        <v>14070</v>
      </c>
      <c r="E6189" s="274" t="s">
        <v>229</v>
      </c>
    </row>
    <row r="6190" spans="1:5" ht="40.5">
      <c r="A6190" s="282">
        <v>97015</v>
      </c>
      <c r="B6190" s="274" t="s">
        <v>3705</v>
      </c>
      <c r="C6190" s="274" t="s">
        <v>5</v>
      </c>
      <c r="D6190" s="279" t="s">
        <v>20821</v>
      </c>
      <c r="E6190" s="274" t="s">
        <v>229</v>
      </c>
    </row>
    <row r="6191" spans="1:5" ht="27">
      <c r="A6191" s="282">
        <v>97016</v>
      </c>
      <c r="B6191" s="274" t="s">
        <v>3706</v>
      </c>
      <c r="C6191" s="274" t="s">
        <v>5</v>
      </c>
      <c r="D6191" s="279" t="s">
        <v>19555</v>
      </c>
      <c r="E6191" s="274" t="s">
        <v>229</v>
      </c>
    </row>
    <row r="6192" spans="1:5" ht="27">
      <c r="A6192" s="282">
        <v>97017</v>
      </c>
      <c r="B6192" s="274" t="s">
        <v>3707</v>
      </c>
      <c r="C6192" s="274" t="s">
        <v>5</v>
      </c>
      <c r="D6192" s="279" t="s">
        <v>23062</v>
      </c>
      <c r="E6192" s="274" t="s">
        <v>229</v>
      </c>
    </row>
    <row r="6193" spans="1:5" ht="40.5">
      <c r="A6193" s="282">
        <v>97018</v>
      </c>
      <c r="B6193" s="274" t="s">
        <v>3708</v>
      </c>
      <c r="C6193" s="274" t="s">
        <v>5</v>
      </c>
      <c r="D6193" s="279" t="s">
        <v>12232</v>
      </c>
      <c r="E6193" s="274" t="s">
        <v>229</v>
      </c>
    </row>
    <row r="6194" spans="1:5" ht="54">
      <c r="A6194" s="282">
        <v>97031</v>
      </c>
      <c r="B6194" s="274" t="s">
        <v>3709</v>
      </c>
      <c r="C6194" s="274" t="s">
        <v>5</v>
      </c>
      <c r="D6194" s="279" t="s">
        <v>15905</v>
      </c>
      <c r="E6194" s="274" t="s">
        <v>229</v>
      </c>
    </row>
    <row r="6195" spans="1:5" ht="40.5">
      <c r="A6195" s="282">
        <v>97032</v>
      </c>
      <c r="B6195" s="274" t="s">
        <v>4486</v>
      </c>
      <c r="C6195" s="274" t="s">
        <v>5</v>
      </c>
      <c r="D6195" s="279" t="s">
        <v>14046</v>
      </c>
      <c r="E6195" s="274" t="s">
        <v>229</v>
      </c>
    </row>
    <row r="6196" spans="1:5" ht="40.5">
      <c r="A6196" s="282">
        <v>97033</v>
      </c>
      <c r="B6196" s="274" t="s">
        <v>4487</v>
      </c>
      <c r="C6196" s="274" t="s">
        <v>5</v>
      </c>
      <c r="D6196" s="279" t="s">
        <v>16389</v>
      </c>
      <c r="E6196" s="274" t="s">
        <v>229</v>
      </c>
    </row>
    <row r="6197" spans="1:5" ht="40.5">
      <c r="A6197" s="282">
        <v>97034</v>
      </c>
      <c r="B6197" s="274" t="s">
        <v>4488</v>
      </c>
      <c r="C6197" s="274" t="s">
        <v>5</v>
      </c>
      <c r="D6197" s="279" t="s">
        <v>24330</v>
      </c>
      <c r="E6197" s="274" t="s">
        <v>229</v>
      </c>
    </row>
    <row r="6198" spans="1:5" ht="27">
      <c r="A6198" s="282">
        <v>97039</v>
      </c>
      <c r="B6198" s="274" t="s">
        <v>3710</v>
      </c>
      <c r="C6198" s="274" t="s">
        <v>193</v>
      </c>
      <c r="D6198" s="279" t="s">
        <v>24331</v>
      </c>
      <c r="E6198" s="274" t="s">
        <v>229</v>
      </c>
    </row>
    <row r="6199" spans="1:5" ht="27">
      <c r="A6199" s="282">
        <v>97040</v>
      </c>
      <c r="B6199" s="274" t="s">
        <v>3711</v>
      </c>
      <c r="C6199" s="274" t="s">
        <v>193</v>
      </c>
      <c r="D6199" s="279" t="s">
        <v>9795</v>
      </c>
      <c r="E6199" s="274" t="s">
        <v>229</v>
      </c>
    </row>
    <row r="6200" spans="1:5" ht="13.5">
      <c r="A6200" s="282">
        <v>97041</v>
      </c>
      <c r="B6200" s="274" t="s">
        <v>3712</v>
      </c>
      <c r="C6200" s="274" t="s">
        <v>193</v>
      </c>
      <c r="D6200" s="279" t="s">
        <v>24332</v>
      </c>
      <c r="E6200" s="274" t="s">
        <v>229</v>
      </c>
    </row>
    <row r="6201" spans="1:5" ht="13.5">
      <c r="A6201" s="282">
        <v>97046</v>
      </c>
      <c r="B6201" s="274" t="s">
        <v>4489</v>
      </c>
      <c r="C6201" s="274" t="s">
        <v>193</v>
      </c>
      <c r="D6201" s="279" t="s">
        <v>9984</v>
      </c>
      <c r="E6201" s="274" t="s">
        <v>229</v>
      </c>
    </row>
    <row r="6202" spans="1:5" ht="27">
      <c r="A6202" s="282">
        <v>97047</v>
      </c>
      <c r="B6202" s="274" t="s">
        <v>4490</v>
      </c>
      <c r="C6202" s="274" t="s">
        <v>193</v>
      </c>
      <c r="D6202" s="279" t="s">
        <v>9880</v>
      </c>
      <c r="E6202" s="274" t="s">
        <v>229</v>
      </c>
    </row>
    <row r="6203" spans="1:5" ht="13.5">
      <c r="A6203" s="282">
        <v>97048</v>
      </c>
      <c r="B6203" s="274" t="s">
        <v>4491</v>
      </c>
      <c r="C6203" s="274" t="s">
        <v>193</v>
      </c>
      <c r="D6203" s="279" t="s">
        <v>10029</v>
      </c>
      <c r="E6203" s="274" t="s">
        <v>229</v>
      </c>
    </row>
    <row r="6204" spans="1:5" ht="13.5">
      <c r="A6204" s="282">
        <v>97051</v>
      </c>
      <c r="B6204" s="274" t="s">
        <v>4492</v>
      </c>
      <c r="C6204" s="274" t="s">
        <v>5</v>
      </c>
      <c r="D6204" s="279" t="s">
        <v>9805</v>
      </c>
      <c r="E6204" s="274" t="s">
        <v>229</v>
      </c>
    </row>
    <row r="6205" spans="1:5" ht="13.5">
      <c r="A6205" s="282">
        <v>97053</v>
      </c>
      <c r="B6205" s="274" t="s">
        <v>4493</v>
      </c>
      <c r="C6205" s="274" t="s">
        <v>5</v>
      </c>
      <c r="D6205" s="279" t="s">
        <v>11406</v>
      </c>
      <c r="E6205" s="274" t="s">
        <v>229</v>
      </c>
    </row>
    <row r="6206" spans="1:5" ht="13.5">
      <c r="A6206" s="282">
        <v>97054</v>
      </c>
      <c r="B6206" s="274" t="s">
        <v>13778</v>
      </c>
      <c r="C6206" s="274" t="s">
        <v>109</v>
      </c>
      <c r="D6206" s="279" t="s">
        <v>21116</v>
      </c>
      <c r="E6206" s="274" t="s">
        <v>229</v>
      </c>
    </row>
    <row r="6207" spans="1:5" ht="13.5">
      <c r="A6207" s="282">
        <v>97062</v>
      </c>
      <c r="B6207" s="274" t="s">
        <v>3713</v>
      </c>
      <c r="C6207" s="274" t="s">
        <v>193</v>
      </c>
      <c r="D6207" s="279" t="s">
        <v>10296</v>
      </c>
      <c r="E6207" s="274" t="s">
        <v>229</v>
      </c>
    </row>
    <row r="6208" spans="1:5" ht="27">
      <c r="A6208" s="282">
        <v>97063</v>
      </c>
      <c r="B6208" s="274" t="s">
        <v>3714</v>
      </c>
      <c r="C6208" s="274" t="s">
        <v>193</v>
      </c>
      <c r="D6208" s="279" t="s">
        <v>12184</v>
      </c>
      <c r="E6208" s="274" t="s">
        <v>229</v>
      </c>
    </row>
    <row r="6209" spans="1:5" ht="27">
      <c r="A6209" s="282">
        <v>97064</v>
      </c>
      <c r="B6209" s="274" t="s">
        <v>3715</v>
      </c>
      <c r="C6209" s="274" t="s">
        <v>5</v>
      </c>
      <c r="D6209" s="279" t="s">
        <v>9956</v>
      </c>
      <c r="E6209" s="274" t="s">
        <v>229</v>
      </c>
    </row>
    <row r="6210" spans="1:5" ht="27">
      <c r="A6210" s="282">
        <v>97065</v>
      </c>
      <c r="B6210" s="274" t="s">
        <v>3716</v>
      </c>
      <c r="C6210" s="274" t="s">
        <v>209</v>
      </c>
      <c r="D6210" s="279" t="s">
        <v>12302</v>
      </c>
      <c r="E6210" s="274" t="s">
        <v>229</v>
      </c>
    </row>
    <row r="6211" spans="1:5" ht="27">
      <c r="A6211" s="282">
        <v>97066</v>
      </c>
      <c r="B6211" s="274" t="s">
        <v>4494</v>
      </c>
      <c r="C6211" s="274" t="s">
        <v>193</v>
      </c>
      <c r="D6211" s="279" t="s">
        <v>24333</v>
      </c>
      <c r="E6211" s="274" t="s">
        <v>229</v>
      </c>
    </row>
    <row r="6212" spans="1:5" ht="27">
      <c r="A6212" s="282">
        <v>97067</v>
      </c>
      <c r="B6212" s="274" t="s">
        <v>3717</v>
      </c>
      <c r="C6212" s="274" t="s">
        <v>5</v>
      </c>
      <c r="D6212" s="279" t="s">
        <v>24334</v>
      </c>
      <c r="E6212" s="274" t="s">
        <v>229</v>
      </c>
    </row>
    <row r="6213" spans="1:5" ht="27">
      <c r="A6213" s="282">
        <v>97621</v>
      </c>
      <c r="B6213" s="274" t="s">
        <v>3718</v>
      </c>
      <c r="C6213" s="274" t="s">
        <v>209</v>
      </c>
      <c r="D6213" s="279" t="s">
        <v>23192</v>
      </c>
      <c r="E6213" s="274" t="s">
        <v>229</v>
      </c>
    </row>
    <row r="6214" spans="1:5" ht="27">
      <c r="A6214" s="282">
        <v>97622</v>
      </c>
      <c r="B6214" s="274" t="s">
        <v>3719</v>
      </c>
      <c r="C6214" s="274" t="s">
        <v>209</v>
      </c>
      <c r="D6214" s="279" t="s">
        <v>21198</v>
      </c>
      <c r="E6214" s="274" t="s">
        <v>229</v>
      </c>
    </row>
    <row r="6215" spans="1:5" ht="27">
      <c r="A6215" s="282">
        <v>97623</v>
      </c>
      <c r="B6215" s="274" t="s">
        <v>3720</v>
      </c>
      <c r="C6215" s="274" t="s">
        <v>209</v>
      </c>
      <c r="D6215" s="279" t="s">
        <v>23187</v>
      </c>
      <c r="E6215" s="274" t="s">
        <v>229</v>
      </c>
    </row>
    <row r="6216" spans="1:5" ht="27">
      <c r="A6216" s="282">
        <v>97624</v>
      </c>
      <c r="B6216" s="274" t="s">
        <v>3721</v>
      </c>
      <c r="C6216" s="274" t="s">
        <v>209</v>
      </c>
      <c r="D6216" s="279" t="s">
        <v>24335</v>
      </c>
      <c r="E6216" s="274" t="s">
        <v>229</v>
      </c>
    </row>
    <row r="6217" spans="1:5" ht="27">
      <c r="A6217" s="282">
        <v>97625</v>
      </c>
      <c r="B6217" s="274" t="s">
        <v>3722</v>
      </c>
      <c r="C6217" s="274" t="s">
        <v>209</v>
      </c>
      <c r="D6217" s="279" t="s">
        <v>16358</v>
      </c>
      <c r="E6217" s="274" t="s">
        <v>229</v>
      </c>
    </row>
    <row r="6218" spans="1:5" ht="27">
      <c r="A6218" s="282">
        <v>97626</v>
      </c>
      <c r="B6218" s="274" t="s">
        <v>3723</v>
      </c>
      <c r="C6218" s="274" t="s">
        <v>209</v>
      </c>
      <c r="D6218" s="279" t="s">
        <v>24336</v>
      </c>
      <c r="E6218" s="274" t="s">
        <v>229</v>
      </c>
    </row>
    <row r="6219" spans="1:5" ht="27">
      <c r="A6219" s="282">
        <v>97627</v>
      </c>
      <c r="B6219" s="274" t="s">
        <v>3724</v>
      </c>
      <c r="C6219" s="274" t="s">
        <v>209</v>
      </c>
      <c r="D6219" s="279" t="s">
        <v>24337</v>
      </c>
      <c r="E6219" s="274" t="s">
        <v>229</v>
      </c>
    </row>
    <row r="6220" spans="1:5" ht="13.5">
      <c r="A6220" s="282">
        <v>97628</v>
      </c>
      <c r="B6220" s="274" t="s">
        <v>3725</v>
      </c>
      <c r="C6220" s="274" t="s">
        <v>209</v>
      </c>
      <c r="D6220" s="279" t="s">
        <v>24338</v>
      </c>
      <c r="E6220" s="274" t="s">
        <v>229</v>
      </c>
    </row>
    <row r="6221" spans="1:5" ht="27">
      <c r="A6221" s="282">
        <v>97629</v>
      </c>
      <c r="B6221" s="274" t="s">
        <v>3726</v>
      </c>
      <c r="C6221" s="274" t="s">
        <v>209</v>
      </c>
      <c r="D6221" s="279" t="s">
        <v>24339</v>
      </c>
      <c r="E6221" s="274" t="s">
        <v>229</v>
      </c>
    </row>
    <row r="6222" spans="1:5" ht="13.5">
      <c r="A6222" s="282">
        <v>97631</v>
      </c>
      <c r="B6222" s="274" t="s">
        <v>3727</v>
      </c>
      <c r="C6222" s="274" t="s">
        <v>193</v>
      </c>
      <c r="D6222" s="279" t="s">
        <v>20412</v>
      </c>
      <c r="E6222" s="274" t="s">
        <v>229</v>
      </c>
    </row>
    <row r="6223" spans="1:5" ht="13.5">
      <c r="A6223" s="282">
        <v>97632</v>
      </c>
      <c r="B6223" s="274" t="s">
        <v>3728</v>
      </c>
      <c r="C6223" s="274" t="s">
        <v>5</v>
      </c>
      <c r="D6223" s="279" t="s">
        <v>10333</v>
      </c>
      <c r="E6223" s="274" t="s">
        <v>229</v>
      </c>
    </row>
    <row r="6224" spans="1:5" ht="13.5">
      <c r="A6224" s="282">
        <v>97633</v>
      </c>
      <c r="B6224" s="274" t="s">
        <v>3729</v>
      </c>
      <c r="C6224" s="274" t="s">
        <v>193</v>
      </c>
      <c r="D6224" s="279" t="s">
        <v>24340</v>
      </c>
      <c r="E6224" s="274" t="s">
        <v>229</v>
      </c>
    </row>
    <row r="6225" spans="1:5" ht="27">
      <c r="A6225" s="282">
        <v>97634</v>
      </c>
      <c r="B6225" s="274" t="s">
        <v>3730</v>
      </c>
      <c r="C6225" s="274" t="s">
        <v>193</v>
      </c>
      <c r="D6225" s="279" t="s">
        <v>10871</v>
      </c>
      <c r="E6225" s="274" t="s">
        <v>229</v>
      </c>
    </row>
    <row r="6226" spans="1:5" ht="27">
      <c r="A6226" s="282">
        <v>97635</v>
      </c>
      <c r="B6226" s="274" t="s">
        <v>3731</v>
      </c>
      <c r="C6226" s="274" t="s">
        <v>193</v>
      </c>
      <c r="D6226" s="279" t="s">
        <v>16287</v>
      </c>
      <c r="E6226" s="274" t="s">
        <v>229</v>
      </c>
    </row>
    <row r="6227" spans="1:5" ht="27">
      <c r="A6227" s="282">
        <v>97636</v>
      </c>
      <c r="B6227" s="274" t="s">
        <v>3732</v>
      </c>
      <c r="C6227" s="274" t="s">
        <v>193</v>
      </c>
      <c r="D6227" s="279" t="s">
        <v>10174</v>
      </c>
      <c r="E6227" s="274" t="s">
        <v>229</v>
      </c>
    </row>
    <row r="6228" spans="1:5" ht="27">
      <c r="A6228" s="282">
        <v>97637</v>
      </c>
      <c r="B6228" s="274" t="s">
        <v>3733</v>
      </c>
      <c r="C6228" s="274" t="s">
        <v>193</v>
      </c>
      <c r="D6228" s="279" t="s">
        <v>11163</v>
      </c>
      <c r="E6228" s="274" t="s">
        <v>229</v>
      </c>
    </row>
    <row r="6229" spans="1:5" ht="27">
      <c r="A6229" s="282">
        <v>97638</v>
      </c>
      <c r="B6229" s="274" t="s">
        <v>3734</v>
      </c>
      <c r="C6229" s="274" t="s">
        <v>193</v>
      </c>
      <c r="D6229" s="279" t="s">
        <v>11262</v>
      </c>
      <c r="E6229" s="274" t="s">
        <v>229</v>
      </c>
    </row>
    <row r="6230" spans="1:5" ht="27">
      <c r="A6230" s="282">
        <v>97639</v>
      </c>
      <c r="B6230" s="274" t="s">
        <v>3735</v>
      </c>
      <c r="C6230" s="274" t="s">
        <v>193</v>
      </c>
      <c r="D6230" s="279" t="s">
        <v>24341</v>
      </c>
      <c r="E6230" s="274" t="s">
        <v>229</v>
      </c>
    </row>
    <row r="6231" spans="1:5" ht="27">
      <c r="A6231" s="282">
        <v>97640</v>
      </c>
      <c r="B6231" s="274" t="s">
        <v>3736</v>
      </c>
      <c r="C6231" s="274" t="s">
        <v>193</v>
      </c>
      <c r="D6231" s="279" t="s">
        <v>10914</v>
      </c>
      <c r="E6231" s="274" t="s">
        <v>229</v>
      </c>
    </row>
    <row r="6232" spans="1:5" ht="13.5">
      <c r="A6232" s="282">
        <v>97641</v>
      </c>
      <c r="B6232" s="274" t="s">
        <v>3737</v>
      </c>
      <c r="C6232" s="274" t="s">
        <v>193</v>
      </c>
      <c r="D6232" s="279" t="s">
        <v>16275</v>
      </c>
      <c r="E6232" s="274" t="s">
        <v>229</v>
      </c>
    </row>
    <row r="6233" spans="1:5" ht="27">
      <c r="A6233" s="282">
        <v>97642</v>
      </c>
      <c r="B6233" s="274" t="s">
        <v>3738</v>
      </c>
      <c r="C6233" s="274" t="s">
        <v>193</v>
      </c>
      <c r="D6233" s="279" t="s">
        <v>10800</v>
      </c>
      <c r="E6233" s="274" t="s">
        <v>229</v>
      </c>
    </row>
    <row r="6234" spans="1:5" ht="27">
      <c r="A6234" s="282">
        <v>97643</v>
      </c>
      <c r="B6234" s="274" t="s">
        <v>3739</v>
      </c>
      <c r="C6234" s="274" t="s">
        <v>193</v>
      </c>
      <c r="D6234" s="279" t="s">
        <v>24342</v>
      </c>
      <c r="E6234" s="274" t="s">
        <v>229</v>
      </c>
    </row>
    <row r="6235" spans="1:5" ht="13.5">
      <c r="A6235" s="282">
        <v>97644</v>
      </c>
      <c r="B6235" s="274" t="s">
        <v>3740</v>
      </c>
      <c r="C6235" s="274" t="s">
        <v>193</v>
      </c>
      <c r="D6235" s="279" t="s">
        <v>10235</v>
      </c>
      <c r="E6235" s="274" t="s">
        <v>229</v>
      </c>
    </row>
    <row r="6236" spans="1:5" ht="13.5">
      <c r="A6236" s="282">
        <v>97645</v>
      </c>
      <c r="B6236" s="274" t="s">
        <v>3741</v>
      </c>
      <c r="C6236" s="274" t="s">
        <v>193</v>
      </c>
      <c r="D6236" s="279" t="s">
        <v>11500</v>
      </c>
      <c r="E6236" s="274" t="s">
        <v>229</v>
      </c>
    </row>
    <row r="6237" spans="1:5" ht="27">
      <c r="A6237" s="282">
        <v>97647</v>
      </c>
      <c r="B6237" s="274" t="s">
        <v>3742</v>
      </c>
      <c r="C6237" s="274" t="s">
        <v>193</v>
      </c>
      <c r="D6237" s="279" t="s">
        <v>16516</v>
      </c>
      <c r="E6237" s="274" t="s">
        <v>229</v>
      </c>
    </row>
    <row r="6238" spans="1:5" ht="27">
      <c r="A6238" s="282">
        <v>97648</v>
      </c>
      <c r="B6238" s="274" t="s">
        <v>3743</v>
      </c>
      <c r="C6238" s="274" t="s">
        <v>193</v>
      </c>
      <c r="D6238" s="279" t="s">
        <v>11097</v>
      </c>
      <c r="E6238" s="274" t="s">
        <v>229</v>
      </c>
    </row>
    <row r="6239" spans="1:5" ht="27">
      <c r="A6239" s="282">
        <v>97649</v>
      </c>
      <c r="B6239" s="274" t="s">
        <v>3744</v>
      </c>
      <c r="C6239" s="274" t="s">
        <v>193</v>
      </c>
      <c r="D6239" s="279" t="s">
        <v>9797</v>
      </c>
      <c r="E6239" s="274" t="s">
        <v>229</v>
      </c>
    </row>
    <row r="6240" spans="1:5" ht="27">
      <c r="A6240" s="282">
        <v>97650</v>
      </c>
      <c r="B6240" s="274" t="s">
        <v>3745</v>
      </c>
      <c r="C6240" s="274" t="s">
        <v>193</v>
      </c>
      <c r="D6240" s="279" t="s">
        <v>9803</v>
      </c>
      <c r="E6240" s="274" t="s">
        <v>229</v>
      </c>
    </row>
    <row r="6241" spans="1:5" ht="27">
      <c r="A6241" s="282">
        <v>97651</v>
      </c>
      <c r="B6241" s="274" t="s">
        <v>3746</v>
      </c>
      <c r="C6241" s="274" t="s">
        <v>109</v>
      </c>
      <c r="D6241" s="279" t="s">
        <v>23215</v>
      </c>
      <c r="E6241" s="274" t="s">
        <v>229</v>
      </c>
    </row>
    <row r="6242" spans="1:5" ht="27">
      <c r="A6242" s="282">
        <v>97652</v>
      </c>
      <c r="B6242" s="274" t="s">
        <v>3747</v>
      </c>
      <c r="C6242" s="274" t="s">
        <v>109</v>
      </c>
      <c r="D6242" s="279" t="s">
        <v>15815</v>
      </c>
      <c r="E6242" s="274" t="s">
        <v>229</v>
      </c>
    </row>
    <row r="6243" spans="1:5" ht="27">
      <c r="A6243" s="282">
        <v>97653</v>
      </c>
      <c r="B6243" s="274" t="s">
        <v>3748</v>
      </c>
      <c r="C6243" s="274" t="s">
        <v>109</v>
      </c>
      <c r="D6243" s="279" t="s">
        <v>24343</v>
      </c>
      <c r="E6243" s="274" t="s">
        <v>229</v>
      </c>
    </row>
    <row r="6244" spans="1:5" ht="27">
      <c r="A6244" s="282">
        <v>97654</v>
      </c>
      <c r="B6244" s="274" t="s">
        <v>3749</v>
      </c>
      <c r="C6244" s="274" t="s">
        <v>109</v>
      </c>
      <c r="D6244" s="279" t="s">
        <v>24344</v>
      </c>
      <c r="E6244" s="274" t="s">
        <v>229</v>
      </c>
    </row>
    <row r="6245" spans="1:5" ht="27">
      <c r="A6245" s="282">
        <v>97655</v>
      </c>
      <c r="B6245" s="274" t="s">
        <v>3750</v>
      </c>
      <c r="C6245" s="274" t="s">
        <v>193</v>
      </c>
      <c r="D6245" s="279" t="s">
        <v>10390</v>
      </c>
      <c r="E6245" s="274" t="s">
        <v>229</v>
      </c>
    </row>
    <row r="6246" spans="1:5" ht="27">
      <c r="A6246" s="282">
        <v>97656</v>
      </c>
      <c r="B6246" s="274" t="s">
        <v>3751</v>
      </c>
      <c r="C6246" s="274" t="s">
        <v>109</v>
      </c>
      <c r="D6246" s="279" t="s">
        <v>22937</v>
      </c>
      <c r="E6246" s="274" t="s">
        <v>229</v>
      </c>
    </row>
    <row r="6247" spans="1:5" ht="27">
      <c r="A6247" s="282">
        <v>97657</v>
      </c>
      <c r="B6247" s="274" t="s">
        <v>3752</v>
      </c>
      <c r="C6247" s="274" t="s">
        <v>109</v>
      </c>
      <c r="D6247" s="279" t="s">
        <v>24345</v>
      </c>
      <c r="E6247" s="274" t="s">
        <v>229</v>
      </c>
    </row>
    <row r="6248" spans="1:5" ht="27">
      <c r="A6248" s="282">
        <v>97658</v>
      </c>
      <c r="B6248" s="274" t="s">
        <v>3753</v>
      </c>
      <c r="C6248" s="274" t="s">
        <v>109</v>
      </c>
      <c r="D6248" s="279" t="s">
        <v>24108</v>
      </c>
      <c r="E6248" s="274" t="s">
        <v>229</v>
      </c>
    </row>
    <row r="6249" spans="1:5" ht="27">
      <c r="A6249" s="282">
        <v>97659</v>
      </c>
      <c r="B6249" s="274" t="s">
        <v>3754</v>
      </c>
      <c r="C6249" s="274" t="s">
        <v>109</v>
      </c>
      <c r="D6249" s="279" t="s">
        <v>24346</v>
      </c>
      <c r="E6249" s="274" t="s">
        <v>229</v>
      </c>
    </row>
    <row r="6250" spans="1:5" ht="27">
      <c r="A6250" s="282">
        <v>97660</v>
      </c>
      <c r="B6250" s="274" t="s">
        <v>3755</v>
      </c>
      <c r="C6250" s="274" t="s">
        <v>109</v>
      </c>
      <c r="D6250" s="279" t="s">
        <v>9854</v>
      </c>
      <c r="E6250" s="274" t="s">
        <v>229</v>
      </c>
    </row>
    <row r="6251" spans="1:5" ht="13.5">
      <c r="A6251" s="282">
        <v>97661</v>
      </c>
      <c r="B6251" s="274" t="s">
        <v>3756</v>
      </c>
      <c r="C6251" s="274" t="s">
        <v>5</v>
      </c>
      <c r="D6251" s="279" t="s">
        <v>10906</v>
      </c>
      <c r="E6251" s="274" t="s">
        <v>229</v>
      </c>
    </row>
    <row r="6252" spans="1:5" ht="27">
      <c r="A6252" s="282">
        <v>97662</v>
      </c>
      <c r="B6252" s="274" t="s">
        <v>3757</v>
      </c>
      <c r="C6252" s="274" t="s">
        <v>5</v>
      </c>
      <c r="D6252" s="279" t="s">
        <v>11201</v>
      </c>
      <c r="E6252" s="274" t="s">
        <v>229</v>
      </c>
    </row>
    <row r="6253" spans="1:5" ht="13.5">
      <c r="A6253" s="282">
        <v>97663</v>
      </c>
      <c r="B6253" s="274" t="s">
        <v>3758</v>
      </c>
      <c r="C6253" s="274" t="s">
        <v>109</v>
      </c>
      <c r="D6253" s="279" t="s">
        <v>11360</v>
      </c>
      <c r="E6253" s="274" t="s">
        <v>229</v>
      </c>
    </row>
    <row r="6254" spans="1:5" ht="13.5">
      <c r="A6254" s="282">
        <v>97664</v>
      </c>
      <c r="B6254" s="274" t="s">
        <v>3759</v>
      </c>
      <c r="C6254" s="274" t="s">
        <v>109</v>
      </c>
      <c r="D6254" s="279" t="s">
        <v>11092</v>
      </c>
      <c r="E6254" s="274" t="s">
        <v>229</v>
      </c>
    </row>
    <row r="6255" spans="1:5" ht="13.5">
      <c r="A6255" s="282">
        <v>97665</v>
      </c>
      <c r="B6255" s="274" t="s">
        <v>3760</v>
      </c>
      <c r="C6255" s="274" t="s">
        <v>109</v>
      </c>
      <c r="D6255" s="279" t="s">
        <v>11364</v>
      </c>
      <c r="E6255" s="274" t="s">
        <v>229</v>
      </c>
    </row>
    <row r="6256" spans="1:5" ht="13.5">
      <c r="A6256" s="282">
        <v>97666</v>
      </c>
      <c r="B6256" s="274" t="s">
        <v>3761</v>
      </c>
      <c r="C6256" s="274" t="s">
        <v>109</v>
      </c>
      <c r="D6256" s="279" t="s">
        <v>12131</v>
      </c>
      <c r="E6256" s="274" t="s">
        <v>229</v>
      </c>
    </row>
    <row r="6257" spans="1:5" ht="27">
      <c r="A6257" s="282">
        <v>95967</v>
      </c>
      <c r="B6257" s="274" t="s">
        <v>3043</v>
      </c>
      <c r="C6257" s="274" t="s">
        <v>206</v>
      </c>
      <c r="D6257" s="279" t="s">
        <v>15869</v>
      </c>
      <c r="E6257" s="274" t="s">
        <v>9714</v>
      </c>
    </row>
    <row r="6258" spans="1:5" ht="13.5">
      <c r="A6258" s="282">
        <v>99058</v>
      </c>
      <c r="B6258" s="274" t="s">
        <v>4495</v>
      </c>
      <c r="C6258" s="274" t="s">
        <v>109</v>
      </c>
      <c r="D6258" s="279" t="s">
        <v>12239</v>
      </c>
      <c r="E6258" s="274" t="s">
        <v>229</v>
      </c>
    </row>
    <row r="6259" spans="1:5" ht="27">
      <c r="A6259" s="282">
        <v>99059</v>
      </c>
      <c r="B6259" s="274" t="s">
        <v>4496</v>
      </c>
      <c r="C6259" s="274" t="s">
        <v>5</v>
      </c>
      <c r="D6259" s="279" t="s">
        <v>12398</v>
      </c>
      <c r="E6259" s="274" t="s">
        <v>229</v>
      </c>
    </row>
    <row r="6260" spans="1:5" ht="13.5">
      <c r="A6260" s="282">
        <v>99060</v>
      </c>
      <c r="B6260" s="274" t="s">
        <v>11090</v>
      </c>
      <c r="C6260" s="274" t="s">
        <v>109</v>
      </c>
      <c r="D6260" s="279" t="s">
        <v>24347</v>
      </c>
      <c r="E6260" s="274" t="s">
        <v>229</v>
      </c>
    </row>
    <row r="6261" spans="1:5" ht="13.5">
      <c r="A6261" s="282">
        <v>99061</v>
      </c>
      <c r="B6261" s="274" t="s">
        <v>11091</v>
      </c>
      <c r="C6261" s="274" t="s">
        <v>109</v>
      </c>
      <c r="D6261" s="279" t="s">
        <v>24348</v>
      </c>
      <c r="E6261" s="274" t="s">
        <v>229</v>
      </c>
    </row>
    <row r="6262" spans="1:5" ht="13.5">
      <c r="A6262" s="282">
        <v>99062</v>
      </c>
      <c r="B6262" s="274" t="s">
        <v>4497</v>
      </c>
      <c r="C6262" s="274" t="s">
        <v>109</v>
      </c>
      <c r="D6262" s="279" t="s">
        <v>11483</v>
      </c>
      <c r="E6262" s="274" t="s">
        <v>229</v>
      </c>
    </row>
    <row r="6263" spans="1:5" ht="13.5">
      <c r="A6263" s="282">
        <v>99063</v>
      </c>
      <c r="B6263" s="274" t="s">
        <v>4498</v>
      </c>
      <c r="C6263" s="274" t="s">
        <v>5</v>
      </c>
      <c r="D6263" s="279" t="s">
        <v>9908</v>
      </c>
      <c r="E6263" s="274" t="s">
        <v>229</v>
      </c>
    </row>
    <row r="6264" spans="1:5" ht="13.5">
      <c r="A6264" s="282">
        <v>99064</v>
      </c>
      <c r="B6264" s="274" t="s">
        <v>4499</v>
      </c>
      <c r="C6264" s="274" t="s">
        <v>5</v>
      </c>
      <c r="D6264" s="279" t="s">
        <v>9852</v>
      </c>
      <c r="E6264" s="274" t="s">
        <v>229</v>
      </c>
    </row>
    <row r="6265" spans="1:5" ht="27">
      <c r="A6265" s="282">
        <v>93588</v>
      </c>
      <c r="B6265" s="274" t="s">
        <v>13779</v>
      </c>
      <c r="C6265" s="274" t="s">
        <v>239</v>
      </c>
      <c r="D6265" s="279" t="s">
        <v>11365</v>
      </c>
      <c r="E6265" s="274" t="s">
        <v>229</v>
      </c>
    </row>
    <row r="6266" spans="1:5" ht="27">
      <c r="A6266" s="282">
        <v>93589</v>
      </c>
      <c r="B6266" s="274" t="s">
        <v>13780</v>
      </c>
      <c r="C6266" s="274" t="s">
        <v>239</v>
      </c>
      <c r="D6266" s="279" t="s">
        <v>12300</v>
      </c>
      <c r="E6266" s="274" t="s">
        <v>229</v>
      </c>
    </row>
    <row r="6267" spans="1:5" ht="27">
      <c r="A6267" s="282">
        <v>93590</v>
      </c>
      <c r="B6267" s="274" t="s">
        <v>13781</v>
      </c>
      <c r="C6267" s="274" t="s">
        <v>239</v>
      </c>
      <c r="D6267" s="279" t="s">
        <v>10040</v>
      </c>
      <c r="E6267" s="274" t="s">
        <v>229</v>
      </c>
    </row>
    <row r="6268" spans="1:5" ht="27">
      <c r="A6268" s="282">
        <v>93591</v>
      </c>
      <c r="B6268" s="274" t="s">
        <v>13782</v>
      </c>
      <c r="C6268" s="274" t="s">
        <v>239</v>
      </c>
      <c r="D6268" s="279" t="s">
        <v>10021</v>
      </c>
      <c r="E6268" s="274" t="s">
        <v>229</v>
      </c>
    </row>
    <row r="6269" spans="1:5" ht="27">
      <c r="A6269" s="282">
        <v>93592</v>
      </c>
      <c r="B6269" s="274" t="s">
        <v>13783</v>
      </c>
      <c r="C6269" s="274" t="s">
        <v>239</v>
      </c>
      <c r="D6269" s="279" t="s">
        <v>10078</v>
      </c>
      <c r="E6269" s="274" t="s">
        <v>229</v>
      </c>
    </row>
    <row r="6270" spans="1:5" ht="27">
      <c r="A6270" s="282">
        <v>93593</v>
      </c>
      <c r="B6270" s="274" t="s">
        <v>13784</v>
      </c>
      <c r="C6270" s="274" t="s">
        <v>239</v>
      </c>
      <c r="D6270" s="279" t="s">
        <v>10010</v>
      </c>
      <c r="E6270" s="274" t="s">
        <v>229</v>
      </c>
    </row>
    <row r="6271" spans="1:5" ht="27">
      <c r="A6271" s="282">
        <v>93594</v>
      </c>
      <c r="B6271" s="274" t="s">
        <v>13785</v>
      </c>
      <c r="C6271" s="274" t="s">
        <v>2502</v>
      </c>
      <c r="D6271" s="279" t="s">
        <v>19883</v>
      </c>
      <c r="E6271" s="274" t="s">
        <v>229</v>
      </c>
    </row>
    <row r="6272" spans="1:5" ht="27">
      <c r="A6272" s="282">
        <v>93595</v>
      </c>
      <c r="B6272" s="274" t="s">
        <v>13786</v>
      </c>
      <c r="C6272" s="274" t="s">
        <v>2502</v>
      </c>
      <c r="D6272" s="279" t="s">
        <v>10081</v>
      </c>
      <c r="E6272" s="274" t="s">
        <v>229</v>
      </c>
    </row>
    <row r="6273" spans="1:5" ht="27">
      <c r="A6273" s="282">
        <v>93596</v>
      </c>
      <c r="B6273" s="274" t="s">
        <v>13787</v>
      </c>
      <c r="C6273" s="274" t="s">
        <v>2502</v>
      </c>
      <c r="D6273" s="279" t="s">
        <v>10036</v>
      </c>
      <c r="E6273" s="274" t="s">
        <v>229</v>
      </c>
    </row>
    <row r="6274" spans="1:5" ht="27">
      <c r="A6274" s="282">
        <v>93597</v>
      </c>
      <c r="B6274" s="274" t="s">
        <v>13788</v>
      </c>
      <c r="C6274" s="274" t="s">
        <v>2502</v>
      </c>
      <c r="D6274" s="279" t="s">
        <v>11087</v>
      </c>
      <c r="E6274" s="274" t="s">
        <v>229</v>
      </c>
    </row>
    <row r="6275" spans="1:5" ht="27">
      <c r="A6275" s="282">
        <v>93598</v>
      </c>
      <c r="B6275" s="274" t="s">
        <v>13789</v>
      </c>
      <c r="C6275" s="274" t="s">
        <v>2502</v>
      </c>
      <c r="D6275" s="279" t="s">
        <v>9995</v>
      </c>
      <c r="E6275" s="274" t="s">
        <v>229</v>
      </c>
    </row>
    <row r="6276" spans="1:5" ht="27">
      <c r="A6276" s="282">
        <v>93599</v>
      </c>
      <c r="B6276" s="274" t="s">
        <v>13790</v>
      </c>
      <c r="C6276" s="274" t="s">
        <v>2502</v>
      </c>
      <c r="D6276" s="279" t="s">
        <v>11201</v>
      </c>
      <c r="E6276" s="274" t="s">
        <v>229</v>
      </c>
    </row>
    <row r="6277" spans="1:5" ht="27">
      <c r="A6277" s="282">
        <v>95425</v>
      </c>
      <c r="B6277" s="274" t="s">
        <v>13791</v>
      </c>
      <c r="C6277" s="274" t="s">
        <v>239</v>
      </c>
      <c r="D6277" s="279" t="s">
        <v>10938</v>
      </c>
      <c r="E6277" s="274" t="s">
        <v>229</v>
      </c>
    </row>
    <row r="6278" spans="1:5" ht="27">
      <c r="A6278" s="282">
        <v>95426</v>
      </c>
      <c r="B6278" s="274" t="s">
        <v>13792</v>
      </c>
      <c r="C6278" s="274" t="s">
        <v>239</v>
      </c>
      <c r="D6278" s="279" t="s">
        <v>9899</v>
      </c>
      <c r="E6278" s="274" t="s">
        <v>229</v>
      </c>
    </row>
    <row r="6279" spans="1:5" ht="27">
      <c r="A6279" s="282">
        <v>95427</v>
      </c>
      <c r="B6279" s="274" t="s">
        <v>13793</v>
      </c>
      <c r="C6279" s="274" t="s">
        <v>239</v>
      </c>
      <c r="D6279" s="279" t="s">
        <v>9891</v>
      </c>
      <c r="E6279" s="274" t="s">
        <v>229</v>
      </c>
    </row>
    <row r="6280" spans="1:5" ht="27">
      <c r="A6280" s="282">
        <v>95428</v>
      </c>
      <c r="B6280" s="274" t="s">
        <v>13794</v>
      </c>
      <c r="C6280" s="274" t="s">
        <v>2502</v>
      </c>
      <c r="D6280" s="279" t="s">
        <v>11202</v>
      </c>
      <c r="E6280" s="274" t="s">
        <v>229</v>
      </c>
    </row>
    <row r="6281" spans="1:5" ht="27">
      <c r="A6281" s="282">
        <v>95429</v>
      </c>
      <c r="B6281" s="274" t="s">
        <v>13795</v>
      </c>
      <c r="C6281" s="274" t="s">
        <v>2502</v>
      </c>
      <c r="D6281" s="279" t="s">
        <v>9778</v>
      </c>
      <c r="E6281" s="274" t="s">
        <v>229</v>
      </c>
    </row>
    <row r="6282" spans="1:5" ht="27">
      <c r="A6282" s="282">
        <v>95430</v>
      </c>
      <c r="B6282" s="274" t="s">
        <v>13796</v>
      </c>
      <c r="C6282" s="274" t="s">
        <v>2502</v>
      </c>
      <c r="D6282" s="279" t="s">
        <v>9867</v>
      </c>
      <c r="E6282" s="274" t="s">
        <v>229</v>
      </c>
    </row>
    <row r="6283" spans="1:5" ht="27">
      <c r="A6283" s="282">
        <v>95875</v>
      </c>
      <c r="B6283" s="274" t="s">
        <v>13797</v>
      </c>
      <c r="C6283" s="274" t="s">
        <v>239</v>
      </c>
      <c r="D6283" s="279" t="s">
        <v>9967</v>
      </c>
      <c r="E6283" s="274" t="s">
        <v>229</v>
      </c>
    </row>
    <row r="6284" spans="1:5" ht="27">
      <c r="A6284" s="282">
        <v>95876</v>
      </c>
      <c r="B6284" s="274" t="s">
        <v>13798</v>
      </c>
      <c r="C6284" s="274" t="s">
        <v>239</v>
      </c>
      <c r="D6284" s="279" t="s">
        <v>9774</v>
      </c>
      <c r="E6284" s="274" t="s">
        <v>229</v>
      </c>
    </row>
    <row r="6285" spans="1:5" ht="27">
      <c r="A6285" s="282">
        <v>95877</v>
      </c>
      <c r="B6285" s="274" t="s">
        <v>13799</v>
      </c>
      <c r="C6285" s="274" t="s">
        <v>239</v>
      </c>
      <c r="D6285" s="279" t="s">
        <v>10083</v>
      </c>
      <c r="E6285" s="274" t="s">
        <v>229</v>
      </c>
    </row>
    <row r="6286" spans="1:5" ht="27">
      <c r="A6286" s="282">
        <v>95878</v>
      </c>
      <c r="B6286" s="274" t="s">
        <v>13800</v>
      </c>
      <c r="C6286" s="274" t="s">
        <v>2502</v>
      </c>
      <c r="D6286" s="279" t="s">
        <v>11168</v>
      </c>
      <c r="E6286" s="274" t="s">
        <v>229</v>
      </c>
    </row>
    <row r="6287" spans="1:5" ht="27">
      <c r="A6287" s="282">
        <v>95879</v>
      </c>
      <c r="B6287" s="274" t="s">
        <v>13801</v>
      </c>
      <c r="C6287" s="274" t="s">
        <v>2502</v>
      </c>
      <c r="D6287" s="279" t="s">
        <v>9828</v>
      </c>
      <c r="E6287" s="274" t="s">
        <v>229</v>
      </c>
    </row>
    <row r="6288" spans="1:5" ht="27">
      <c r="A6288" s="282">
        <v>95880</v>
      </c>
      <c r="B6288" s="274" t="s">
        <v>13802</v>
      </c>
      <c r="C6288" s="274" t="s">
        <v>2502</v>
      </c>
      <c r="D6288" s="279" t="s">
        <v>9874</v>
      </c>
      <c r="E6288" s="274" t="s">
        <v>229</v>
      </c>
    </row>
    <row r="6289" spans="1:5" ht="27">
      <c r="A6289" s="282">
        <v>97912</v>
      </c>
      <c r="B6289" s="274" t="s">
        <v>13803</v>
      </c>
      <c r="C6289" s="274" t="s">
        <v>239</v>
      </c>
      <c r="D6289" s="279" t="s">
        <v>15835</v>
      </c>
      <c r="E6289" s="274" t="s">
        <v>229</v>
      </c>
    </row>
    <row r="6290" spans="1:5" ht="27">
      <c r="A6290" s="282">
        <v>97913</v>
      </c>
      <c r="B6290" s="274" t="s">
        <v>13804</v>
      </c>
      <c r="C6290" s="274" t="s">
        <v>239</v>
      </c>
      <c r="D6290" s="279" t="s">
        <v>11161</v>
      </c>
      <c r="E6290" s="274" t="s">
        <v>229</v>
      </c>
    </row>
    <row r="6291" spans="1:5" ht="27">
      <c r="A6291" s="282">
        <v>97914</v>
      </c>
      <c r="B6291" s="274" t="s">
        <v>13805</v>
      </c>
      <c r="C6291" s="274" t="s">
        <v>239</v>
      </c>
      <c r="D6291" s="279" t="s">
        <v>10803</v>
      </c>
      <c r="E6291" s="274" t="s">
        <v>229</v>
      </c>
    </row>
    <row r="6292" spans="1:5" ht="27">
      <c r="A6292" s="282">
        <v>97915</v>
      </c>
      <c r="B6292" s="274" t="s">
        <v>13806</v>
      </c>
      <c r="C6292" s="274" t="s">
        <v>239</v>
      </c>
      <c r="D6292" s="279" t="s">
        <v>10002</v>
      </c>
      <c r="E6292" s="274" t="s">
        <v>229</v>
      </c>
    </row>
    <row r="6293" spans="1:5" ht="27">
      <c r="A6293" s="282">
        <v>100937</v>
      </c>
      <c r="B6293" s="274" t="s">
        <v>13807</v>
      </c>
      <c r="C6293" s="274" t="s">
        <v>239</v>
      </c>
      <c r="D6293" s="279" t="s">
        <v>11173</v>
      </c>
      <c r="E6293" s="274" t="s">
        <v>229</v>
      </c>
    </row>
    <row r="6294" spans="1:5" ht="27">
      <c r="A6294" s="282">
        <v>100938</v>
      </c>
      <c r="B6294" s="274" t="s">
        <v>13808</v>
      </c>
      <c r="C6294" s="274" t="s">
        <v>239</v>
      </c>
      <c r="D6294" s="279" t="s">
        <v>10657</v>
      </c>
      <c r="E6294" s="274" t="s">
        <v>229</v>
      </c>
    </row>
    <row r="6295" spans="1:5" ht="27">
      <c r="A6295" s="282">
        <v>100939</v>
      </c>
      <c r="B6295" s="274" t="s">
        <v>13809</v>
      </c>
      <c r="C6295" s="274" t="s">
        <v>239</v>
      </c>
      <c r="D6295" s="279" t="s">
        <v>9998</v>
      </c>
      <c r="E6295" s="274" t="s">
        <v>229</v>
      </c>
    </row>
    <row r="6296" spans="1:5" ht="27">
      <c r="A6296" s="282">
        <v>100940</v>
      </c>
      <c r="B6296" s="274" t="s">
        <v>13810</v>
      </c>
      <c r="C6296" s="274" t="s">
        <v>239</v>
      </c>
      <c r="D6296" s="279" t="s">
        <v>9930</v>
      </c>
      <c r="E6296" s="274" t="s">
        <v>229</v>
      </c>
    </row>
    <row r="6297" spans="1:5" ht="27">
      <c r="A6297" s="282">
        <v>100941</v>
      </c>
      <c r="B6297" s="274" t="s">
        <v>13811</v>
      </c>
      <c r="C6297" s="274" t="s">
        <v>2502</v>
      </c>
      <c r="D6297" s="279" t="s">
        <v>9954</v>
      </c>
      <c r="E6297" s="274" t="s">
        <v>229</v>
      </c>
    </row>
    <row r="6298" spans="1:5" ht="27">
      <c r="A6298" s="282">
        <v>100942</v>
      </c>
      <c r="B6298" s="274" t="s">
        <v>13812</v>
      </c>
      <c r="C6298" s="274" t="s">
        <v>2502</v>
      </c>
      <c r="D6298" s="279" t="s">
        <v>10898</v>
      </c>
      <c r="E6298" s="274" t="s">
        <v>229</v>
      </c>
    </row>
    <row r="6299" spans="1:5" ht="27">
      <c r="A6299" s="282">
        <v>100943</v>
      </c>
      <c r="B6299" s="274" t="s">
        <v>13813</v>
      </c>
      <c r="C6299" s="274" t="s">
        <v>2502</v>
      </c>
      <c r="D6299" s="279" t="s">
        <v>10913</v>
      </c>
      <c r="E6299" s="274" t="s">
        <v>229</v>
      </c>
    </row>
    <row r="6300" spans="1:5" ht="27">
      <c r="A6300" s="282">
        <v>100944</v>
      </c>
      <c r="B6300" s="274" t="s">
        <v>13814</v>
      </c>
      <c r="C6300" s="274" t="s">
        <v>2502</v>
      </c>
      <c r="D6300" s="279" t="s">
        <v>9838</v>
      </c>
      <c r="E6300" s="274" t="s">
        <v>229</v>
      </c>
    </row>
    <row r="6301" spans="1:5" ht="27">
      <c r="A6301" s="282">
        <v>100945</v>
      </c>
      <c r="B6301" s="274" t="s">
        <v>13815</v>
      </c>
      <c r="C6301" s="274" t="s">
        <v>2502</v>
      </c>
      <c r="D6301" s="279" t="s">
        <v>20004</v>
      </c>
      <c r="E6301" s="274" t="s">
        <v>229</v>
      </c>
    </row>
    <row r="6302" spans="1:5" ht="27">
      <c r="A6302" s="282">
        <v>100946</v>
      </c>
      <c r="B6302" s="274" t="s">
        <v>13816</v>
      </c>
      <c r="C6302" s="274" t="s">
        <v>2502</v>
      </c>
      <c r="D6302" s="279" t="s">
        <v>9837</v>
      </c>
      <c r="E6302" s="274" t="s">
        <v>229</v>
      </c>
    </row>
    <row r="6303" spans="1:5" ht="27">
      <c r="A6303" s="282">
        <v>100947</v>
      </c>
      <c r="B6303" s="274" t="s">
        <v>13817</v>
      </c>
      <c r="C6303" s="274" t="s">
        <v>2502</v>
      </c>
      <c r="D6303" s="279" t="s">
        <v>12375</v>
      </c>
      <c r="E6303" s="274" t="s">
        <v>229</v>
      </c>
    </row>
    <row r="6304" spans="1:5" ht="27">
      <c r="A6304" s="282">
        <v>100948</v>
      </c>
      <c r="B6304" s="274" t="s">
        <v>13818</v>
      </c>
      <c r="C6304" s="274" t="s">
        <v>2502</v>
      </c>
      <c r="D6304" s="279" t="s">
        <v>10906</v>
      </c>
      <c r="E6304" s="274" t="s">
        <v>229</v>
      </c>
    </row>
    <row r="6305" spans="1:5" ht="27">
      <c r="A6305" s="282">
        <v>100949</v>
      </c>
      <c r="B6305" s="274" t="s">
        <v>13819</v>
      </c>
      <c r="C6305" s="274" t="s">
        <v>2502</v>
      </c>
      <c r="D6305" s="279" t="s">
        <v>14185</v>
      </c>
      <c r="E6305" s="274" t="s">
        <v>229</v>
      </c>
    </row>
    <row r="6306" spans="1:5" ht="27">
      <c r="A6306" s="282">
        <v>100950</v>
      </c>
      <c r="B6306" s="274" t="s">
        <v>13820</v>
      </c>
      <c r="C6306" s="274" t="s">
        <v>2502</v>
      </c>
      <c r="D6306" s="279" t="s">
        <v>11338</v>
      </c>
      <c r="E6306" s="274" t="s">
        <v>229</v>
      </c>
    </row>
    <row r="6307" spans="1:5" ht="27">
      <c r="A6307" s="282">
        <v>100951</v>
      </c>
      <c r="B6307" s="274" t="s">
        <v>13821</v>
      </c>
      <c r="C6307" s="274" t="s">
        <v>2502</v>
      </c>
      <c r="D6307" s="279" t="s">
        <v>11221</v>
      </c>
      <c r="E6307" s="274" t="s">
        <v>229</v>
      </c>
    </row>
    <row r="6308" spans="1:5" ht="27">
      <c r="A6308" s="282">
        <v>100952</v>
      </c>
      <c r="B6308" s="274" t="s">
        <v>13822</v>
      </c>
      <c r="C6308" s="274" t="s">
        <v>2502</v>
      </c>
      <c r="D6308" s="279" t="s">
        <v>9796</v>
      </c>
      <c r="E6308" s="274" t="s">
        <v>229</v>
      </c>
    </row>
    <row r="6309" spans="1:5" ht="40.5">
      <c r="A6309" s="282">
        <v>100953</v>
      </c>
      <c r="B6309" s="274" t="s">
        <v>13823</v>
      </c>
      <c r="C6309" s="274" t="s">
        <v>2502</v>
      </c>
      <c r="D6309" s="279" t="s">
        <v>10054</v>
      </c>
      <c r="E6309" s="274" t="s">
        <v>229</v>
      </c>
    </row>
    <row r="6310" spans="1:5" ht="27">
      <c r="A6310" s="282">
        <v>100954</v>
      </c>
      <c r="B6310" s="274" t="s">
        <v>13824</v>
      </c>
      <c r="C6310" s="274" t="s">
        <v>2502</v>
      </c>
      <c r="D6310" s="279" t="s">
        <v>10484</v>
      </c>
      <c r="E6310" s="274" t="s">
        <v>229</v>
      </c>
    </row>
    <row r="6311" spans="1:5" ht="27">
      <c r="A6311" s="282">
        <v>100955</v>
      </c>
      <c r="B6311" s="274" t="s">
        <v>13825</v>
      </c>
      <c r="C6311" s="274" t="s">
        <v>239</v>
      </c>
      <c r="D6311" s="279" t="s">
        <v>9743</v>
      </c>
      <c r="E6311" s="274" t="s">
        <v>229</v>
      </c>
    </row>
    <row r="6312" spans="1:5" ht="27">
      <c r="A6312" s="282">
        <v>100956</v>
      </c>
      <c r="B6312" s="274" t="s">
        <v>13826</v>
      </c>
      <c r="C6312" s="274" t="s">
        <v>239</v>
      </c>
      <c r="D6312" s="279" t="s">
        <v>21549</v>
      </c>
      <c r="E6312" s="274" t="s">
        <v>229</v>
      </c>
    </row>
    <row r="6313" spans="1:5" ht="27">
      <c r="A6313" s="282">
        <v>100957</v>
      </c>
      <c r="B6313" s="274" t="s">
        <v>13827</v>
      </c>
      <c r="C6313" s="274" t="s">
        <v>239</v>
      </c>
      <c r="D6313" s="279" t="s">
        <v>9776</v>
      </c>
      <c r="E6313" s="274" t="s">
        <v>229</v>
      </c>
    </row>
    <row r="6314" spans="1:5" ht="27">
      <c r="A6314" s="282">
        <v>100958</v>
      </c>
      <c r="B6314" s="274" t="s">
        <v>13828</v>
      </c>
      <c r="C6314" s="274" t="s">
        <v>239</v>
      </c>
      <c r="D6314" s="279" t="s">
        <v>11245</v>
      </c>
      <c r="E6314" s="274" t="s">
        <v>229</v>
      </c>
    </row>
    <row r="6315" spans="1:5" ht="27">
      <c r="A6315" s="282">
        <v>100959</v>
      </c>
      <c r="B6315" s="274" t="s">
        <v>13829</v>
      </c>
      <c r="C6315" s="274" t="s">
        <v>239</v>
      </c>
      <c r="D6315" s="279" t="s">
        <v>14077</v>
      </c>
      <c r="E6315" s="274" t="s">
        <v>229</v>
      </c>
    </row>
    <row r="6316" spans="1:5" ht="27">
      <c r="A6316" s="282">
        <v>100960</v>
      </c>
      <c r="B6316" s="274" t="s">
        <v>13830</v>
      </c>
      <c r="C6316" s="274" t="s">
        <v>239</v>
      </c>
      <c r="D6316" s="279" t="s">
        <v>9935</v>
      </c>
      <c r="E6316" s="274" t="s">
        <v>229</v>
      </c>
    </row>
    <row r="6317" spans="1:5" ht="27">
      <c r="A6317" s="282">
        <v>100961</v>
      </c>
      <c r="B6317" s="274" t="s">
        <v>13831</v>
      </c>
      <c r="C6317" s="274" t="s">
        <v>239</v>
      </c>
      <c r="D6317" s="279" t="s">
        <v>11365</v>
      </c>
      <c r="E6317" s="274" t="s">
        <v>229</v>
      </c>
    </row>
    <row r="6318" spans="1:5" ht="27">
      <c r="A6318" s="282">
        <v>100962</v>
      </c>
      <c r="B6318" s="274" t="s">
        <v>13832</v>
      </c>
      <c r="C6318" s="274" t="s">
        <v>239</v>
      </c>
      <c r="D6318" s="279" t="s">
        <v>11221</v>
      </c>
      <c r="E6318" s="274" t="s">
        <v>229</v>
      </c>
    </row>
    <row r="6319" spans="1:5" ht="27">
      <c r="A6319" s="282">
        <v>100963</v>
      </c>
      <c r="B6319" s="274" t="s">
        <v>13833</v>
      </c>
      <c r="C6319" s="274" t="s">
        <v>239</v>
      </c>
      <c r="D6319" s="279" t="s">
        <v>9924</v>
      </c>
      <c r="E6319" s="274" t="s">
        <v>229</v>
      </c>
    </row>
    <row r="6320" spans="1:5" ht="27">
      <c r="A6320" s="282">
        <v>100964</v>
      </c>
      <c r="B6320" s="274" t="s">
        <v>13834</v>
      </c>
      <c r="C6320" s="274" t="s">
        <v>239</v>
      </c>
      <c r="D6320" s="279" t="s">
        <v>12450</v>
      </c>
      <c r="E6320" s="274" t="s">
        <v>229</v>
      </c>
    </row>
    <row r="6321" spans="1:5" ht="40.5">
      <c r="A6321" s="282">
        <v>100973</v>
      </c>
      <c r="B6321" s="274" t="s">
        <v>13835</v>
      </c>
      <c r="C6321" s="274" t="s">
        <v>209</v>
      </c>
      <c r="D6321" s="279" t="s">
        <v>10325</v>
      </c>
      <c r="E6321" s="274" t="s">
        <v>229</v>
      </c>
    </row>
    <row r="6322" spans="1:5" ht="40.5">
      <c r="A6322" s="282">
        <v>100974</v>
      </c>
      <c r="B6322" s="274" t="s">
        <v>13836</v>
      </c>
      <c r="C6322" s="274" t="s">
        <v>209</v>
      </c>
      <c r="D6322" s="279" t="s">
        <v>19412</v>
      </c>
      <c r="E6322" s="274" t="s">
        <v>229</v>
      </c>
    </row>
    <row r="6323" spans="1:5" ht="40.5">
      <c r="A6323" s="282">
        <v>100975</v>
      </c>
      <c r="B6323" s="274" t="s">
        <v>13837</v>
      </c>
      <c r="C6323" s="274" t="s">
        <v>209</v>
      </c>
      <c r="D6323" s="279" t="s">
        <v>10188</v>
      </c>
      <c r="E6323" s="274" t="s">
        <v>229</v>
      </c>
    </row>
    <row r="6324" spans="1:5" ht="27">
      <c r="A6324" s="282">
        <v>100965</v>
      </c>
      <c r="B6324" s="274" t="s">
        <v>13838</v>
      </c>
      <c r="C6324" s="274" t="s">
        <v>2502</v>
      </c>
      <c r="D6324" s="279" t="s">
        <v>11092</v>
      </c>
      <c r="E6324" s="274" t="s">
        <v>229</v>
      </c>
    </row>
    <row r="6325" spans="1:5" ht="27">
      <c r="A6325" s="282">
        <v>100966</v>
      </c>
      <c r="B6325" s="274" t="s">
        <v>13839</v>
      </c>
      <c r="C6325" s="274" t="s">
        <v>2502</v>
      </c>
      <c r="D6325" s="279" t="s">
        <v>11245</v>
      </c>
      <c r="E6325" s="274" t="s">
        <v>229</v>
      </c>
    </row>
    <row r="6326" spans="1:5" ht="27">
      <c r="A6326" s="282">
        <v>100969</v>
      </c>
      <c r="B6326" s="274" t="s">
        <v>13842</v>
      </c>
      <c r="C6326" s="274" t="s">
        <v>2502</v>
      </c>
      <c r="D6326" s="279" t="s">
        <v>9967</v>
      </c>
      <c r="E6326" s="274" t="s">
        <v>229</v>
      </c>
    </row>
    <row r="6327" spans="1:5" ht="27">
      <c r="A6327" s="282">
        <v>100970</v>
      </c>
      <c r="B6327" s="274" t="s">
        <v>13843</v>
      </c>
      <c r="C6327" s="274" t="s">
        <v>2502</v>
      </c>
      <c r="D6327" s="279" t="s">
        <v>12375</v>
      </c>
      <c r="E6327" s="274" t="s">
        <v>229</v>
      </c>
    </row>
    <row r="6328" spans="1:5" ht="27">
      <c r="A6328" s="282">
        <v>102330</v>
      </c>
      <c r="B6328" s="274" t="s">
        <v>13840</v>
      </c>
      <c r="C6328" s="274" t="s">
        <v>2502</v>
      </c>
      <c r="D6328" s="279" t="s">
        <v>9828</v>
      </c>
      <c r="E6328" s="274" t="s">
        <v>229</v>
      </c>
    </row>
    <row r="6329" spans="1:5" ht="27">
      <c r="A6329" s="282">
        <v>102331</v>
      </c>
      <c r="B6329" s="274" t="s">
        <v>13841</v>
      </c>
      <c r="C6329" s="274" t="s">
        <v>2502</v>
      </c>
      <c r="D6329" s="279" t="s">
        <v>14074</v>
      </c>
      <c r="E6329" s="274" t="s">
        <v>229</v>
      </c>
    </row>
    <row r="6330" spans="1:5" ht="27">
      <c r="A6330" s="282">
        <v>102332</v>
      </c>
      <c r="B6330" s="274" t="s">
        <v>13844</v>
      </c>
      <c r="C6330" s="274" t="s">
        <v>2502</v>
      </c>
      <c r="D6330" s="279" t="s">
        <v>9851</v>
      </c>
      <c r="E6330" s="274" t="s">
        <v>229</v>
      </c>
    </row>
    <row r="6331" spans="1:5" ht="27">
      <c r="A6331" s="282">
        <v>102333</v>
      </c>
      <c r="B6331" s="274" t="s">
        <v>13845</v>
      </c>
      <c r="C6331" s="274" t="s">
        <v>2502</v>
      </c>
      <c r="D6331" s="279" t="s">
        <v>9891</v>
      </c>
      <c r="E6331" s="274" t="s">
        <v>229</v>
      </c>
    </row>
    <row r="6332" spans="1:5" ht="27">
      <c r="A6332" s="282">
        <v>101019</v>
      </c>
      <c r="B6332" s="274" t="s">
        <v>13846</v>
      </c>
      <c r="C6332" s="274" t="s">
        <v>2503</v>
      </c>
      <c r="D6332" s="279" t="s">
        <v>24349</v>
      </c>
      <c r="E6332" s="274" t="s">
        <v>229</v>
      </c>
    </row>
    <row r="6333" spans="1:5" ht="27">
      <c r="A6333" s="282">
        <v>101479</v>
      </c>
      <c r="B6333" s="274" t="s">
        <v>13847</v>
      </c>
      <c r="C6333" s="274" t="s">
        <v>2503</v>
      </c>
      <c r="D6333" s="279" t="s">
        <v>24350</v>
      </c>
      <c r="E6333" s="274" t="s">
        <v>229</v>
      </c>
    </row>
    <row r="6334" spans="1:5" ht="40.5">
      <c r="A6334" s="282">
        <v>100976</v>
      </c>
      <c r="B6334" s="274" t="s">
        <v>13848</v>
      </c>
      <c r="C6334" s="274" t="s">
        <v>209</v>
      </c>
      <c r="D6334" s="279" t="s">
        <v>9826</v>
      </c>
      <c r="E6334" s="274" t="s">
        <v>229</v>
      </c>
    </row>
    <row r="6335" spans="1:5" ht="40.5">
      <c r="A6335" s="282">
        <v>100977</v>
      </c>
      <c r="B6335" s="274" t="s">
        <v>13849</v>
      </c>
      <c r="C6335" s="274" t="s">
        <v>209</v>
      </c>
      <c r="D6335" s="279" t="s">
        <v>12194</v>
      </c>
      <c r="E6335" s="274" t="s">
        <v>229</v>
      </c>
    </row>
    <row r="6336" spans="1:5" ht="40.5">
      <c r="A6336" s="282">
        <v>100978</v>
      </c>
      <c r="B6336" s="274" t="s">
        <v>13850</v>
      </c>
      <c r="C6336" s="274" t="s">
        <v>209</v>
      </c>
      <c r="D6336" s="279" t="s">
        <v>21542</v>
      </c>
      <c r="E6336" s="274" t="s">
        <v>229</v>
      </c>
    </row>
    <row r="6337" spans="1:5" ht="40.5">
      <c r="A6337" s="282">
        <v>100979</v>
      </c>
      <c r="B6337" s="274" t="s">
        <v>13851</v>
      </c>
      <c r="C6337" s="274" t="s">
        <v>209</v>
      </c>
      <c r="D6337" s="279" t="s">
        <v>9806</v>
      </c>
      <c r="E6337" s="274" t="s">
        <v>229</v>
      </c>
    </row>
    <row r="6338" spans="1:5" ht="40.5">
      <c r="A6338" s="282">
        <v>100980</v>
      </c>
      <c r="B6338" s="274" t="s">
        <v>13852</v>
      </c>
      <c r="C6338" s="274" t="s">
        <v>209</v>
      </c>
      <c r="D6338" s="279" t="s">
        <v>9972</v>
      </c>
      <c r="E6338" s="274" t="s">
        <v>229</v>
      </c>
    </row>
    <row r="6339" spans="1:5" ht="40.5">
      <c r="A6339" s="282">
        <v>100981</v>
      </c>
      <c r="B6339" s="274" t="s">
        <v>13853</v>
      </c>
      <c r="C6339" s="274" t="s">
        <v>209</v>
      </c>
      <c r="D6339" s="279" t="s">
        <v>10529</v>
      </c>
      <c r="E6339" s="274" t="s">
        <v>229</v>
      </c>
    </row>
    <row r="6340" spans="1:5" ht="40.5">
      <c r="A6340" s="282">
        <v>100982</v>
      </c>
      <c r="B6340" s="274" t="s">
        <v>13854</v>
      </c>
      <c r="C6340" s="274" t="s">
        <v>209</v>
      </c>
      <c r="D6340" s="279" t="s">
        <v>9892</v>
      </c>
      <c r="E6340" s="274" t="s">
        <v>229</v>
      </c>
    </row>
    <row r="6341" spans="1:5" ht="40.5">
      <c r="A6341" s="282">
        <v>100983</v>
      </c>
      <c r="B6341" s="274" t="s">
        <v>13855</v>
      </c>
      <c r="C6341" s="274" t="s">
        <v>209</v>
      </c>
      <c r="D6341" s="279" t="s">
        <v>10213</v>
      </c>
      <c r="E6341" s="274" t="s">
        <v>229</v>
      </c>
    </row>
    <row r="6342" spans="1:5" ht="40.5">
      <c r="A6342" s="282">
        <v>100984</v>
      </c>
      <c r="B6342" s="274" t="s">
        <v>13856</v>
      </c>
      <c r="C6342" s="274" t="s">
        <v>209</v>
      </c>
      <c r="D6342" s="279" t="s">
        <v>19757</v>
      </c>
      <c r="E6342" s="274" t="s">
        <v>229</v>
      </c>
    </row>
    <row r="6343" spans="1:5" ht="13.5">
      <c r="A6343" s="282">
        <v>100985</v>
      </c>
      <c r="B6343" s="274" t="s">
        <v>13857</v>
      </c>
      <c r="C6343" s="274" t="s">
        <v>209</v>
      </c>
      <c r="D6343" s="279" t="s">
        <v>19942</v>
      </c>
      <c r="E6343" s="274" t="s">
        <v>229</v>
      </c>
    </row>
    <row r="6344" spans="1:5" ht="13.5">
      <c r="A6344" s="282">
        <v>100986</v>
      </c>
      <c r="B6344" s="274" t="s">
        <v>13858</v>
      </c>
      <c r="C6344" s="274" t="s">
        <v>209</v>
      </c>
      <c r="D6344" s="279" t="s">
        <v>10107</v>
      </c>
      <c r="E6344" s="274" t="s">
        <v>229</v>
      </c>
    </row>
    <row r="6345" spans="1:5" ht="13.5">
      <c r="A6345" s="274">
        <v>100987</v>
      </c>
      <c r="B6345" s="274" t="s">
        <v>13859</v>
      </c>
      <c r="C6345" s="274" t="s">
        <v>209</v>
      </c>
      <c r="D6345" s="279" t="s">
        <v>24351</v>
      </c>
      <c r="E6345" s="274" t="s">
        <v>229</v>
      </c>
    </row>
    <row r="6346" spans="1:5" ht="13.5">
      <c r="A6346" s="282">
        <v>100988</v>
      </c>
      <c r="B6346" s="274" t="s">
        <v>13860</v>
      </c>
      <c r="C6346" s="274" t="s">
        <v>209</v>
      </c>
      <c r="D6346" s="279" t="s">
        <v>14232</v>
      </c>
      <c r="E6346" s="274" t="s">
        <v>229</v>
      </c>
    </row>
    <row r="6347" spans="1:5" ht="40.5">
      <c r="A6347" s="282">
        <v>100989</v>
      </c>
      <c r="B6347" s="274" t="s">
        <v>13861</v>
      </c>
      <c r="C6347" s="274" t="s">
        <v>2503</v>
      </c>
      <c r="D6347" s="279" t="s">
        <v>11321</v>
      </c>
      <c r="E6347" s="274" t="s">
        <v>229</v>
      </c>
    </row>
    <row r="6348" spans="1:5" ht="40.5">
      <c r="A6348" s="282">
        <v>100990</v>
      </c>
      <c r="B6348" s="274" t="s">
        <v>13862</v>
      </c>
      <c r="C6348" s="274" t="s">
        <v>2503</v>
      </c>
      <c r="D6348" s="279" t="s">
        <v>11333</v>
      </c>
      <c r="E6348" s="274" t="s">
        <v>229</v>
      </c>
    </row>
    <row r="6349" spans="1:5" ht="40.5">
      <c r="A6349" s="282">
        <v>100991</v>
      </c>
      <c r="B6349" s="274" t="s">
        <v>13863</v>
      </c>
      <c r="C6349" s="274" t="s">
        <v>2503</v>
      </c>
      <c r="D6349" s="279" t="s">
        <v>9940</v>
      </c>
      <c r="E6349" s="274" t="s">
        <v>229</v>
      </c>
    </row>
    <row r="6350" spans="1:5" ht="40.5">
      <c r="A6350" s="282">
        <v>100992</v>
      </c>
      <c r="B6350" s="274" t="s">
        <v>13864</v>
      </c>
      <c r="C6350" s="274" t="s">
        <v>2503</v>
      </c>
      <c r="D6350" s="279" t="s">
        <v>10656</v>
      </c>
      <c r="E6350" s="274" t="s">
        <v>229</v>
      </c>
    </row>
    <row r="6351" spans="1:5" ht="40.5">
      <c r="A6351" s="282">
        <v>100993</v>
      </c>
      <c r="B6351" s="274" t="s">
        <v>13865</v>
      </c>
      <c r="C6351" s="274" t="s">
        <v>2503</v>
      </c>
      <c r="D6351" s="279" t="s">
        <v>10025</v>
      </c>
      <c r="E6351" s="274" t="s">
        <v>229</v>
      </c>
    </row>
    <row r="6352" spans="1:5" ht="40.5">
      <c r="A6352" s="282">
        <v>100994</v>
      </c>
      <c r="B6352" s="274" t="s">
        <v>13866</v>
      </c>
      <c r="C6352" s="274" t="s">
        <v>2503</v>
      </c>
      <c r="D6352" s="279" t="s">
        <v>9938</v>
      </c>
      <c r="E6352" s="274" t="s">
        <v>229</v>
      </c>
    </row>
    <row r="6353" spans="1:5" ht="40.5">
      <c r="A6353" s="282">
        <v>100995</v>
      </c>
      <c r="B6353" s="274" t="s">
        <v>13867</v>
      </c>
      <c r="C6353" s="274" t="s">
        <v>2503</v>
      </c>
      <c r="D6353" s="279" t="s">
        <v>9938</v>
      </c>
      <c r="E6353" s="274" t="s">
        <v>229</v>
      </c>
    </row>
    <row r="6354" spans="1:5" ht="40.5">
      <c r="A6354" s="282">
        <v>100996</v>
      </c>
      <c r="B6354" s="274" t="s">
        <v>13868</v>
      </c>
      <c r="C6354" s="274" t="s">
        <v>2503</v>
      </c>
      <c r="D6354" s="279" t="s">
        <v>20321</v>
      </c>
      <c r="E6354" s="274" t="s">
        <v>229</v>
      </c>
    </row>
    <row r="6355" spans="1:5" ht="40.5">
      <c r="A6355" s="282">
        <v>100997</v>
      </c>
      <c r="B6355" s="274" t="s">
        <v>13869</v>
      </c>
      <c r="C6355" s="274" t="s">
        <v>2503</v>
      </c>
      <c r="D6355" s="279" t="s">
        <v>9857</v>
      </c>
      <c r="E6355" s="274" t="s">
        <v>229</v>
      </c>
    </row>
    <row r="6356" spans="1:5" ht="40.5">
      <c r="A6356" s="282">
        <v>100998</v>
      </c>
      <c r="B6356" s="274" t="s">
        <v>13870</v>
      </c>
      <c r="C6356" s="274" t="s">
        <v>2503</v>
      </c>
      <c r="D6356" s="279" t="s">
        <v>11236</v>
      </c>
      <c r="E6356" s="274" t="s">
        <v>229</v>
      </c>
    </row>
    <row r="6357" spans="1:5" ht="40.5">
      <c r="A6357" s="282">
        <v>100999</v>
      </c>
      <c r="B6357" s="274" t="s">
        <v>13871</v>
      </c>
      <c r="C6357" s="274" t="s">
        <v>2503</v>
      </c>
      <c r="D6357" s="279" t="s">
        <v>21504</v>
      </c>
      <c r="E6357" s="274" t="s">
        <v>229</v>
      </c>
    </row>
    <row r="6358" spans="1:5" ht="40.5">
      <c r="A6358" s="282">
        <v>101000</v>
      </c>
      <c r="B6358" s="274" t="s">
        <v>13872</v>
      </c>
      <c r="C6358" s="274" t="s">
        <v>2503</v>
      </c>
      <c r="D6358" s="279" t="s">
        <v>11440</v>
      </c>
      <c r="E6358" s="274" t="s">
        <v>229</v>
      </c>
    </row>
    <row r="6359" spans="1:5" ht="13.5">
      <c r="A6359" s="282">
        <v>101001</v>
      </c>
      <c r="B6359" s="274" t="s">
        <v>13873</v>
      </c>
      <c r="C6359" s="274" t="s">
        <v>2503</v>
      </c>
      <c r="D6359" s="279" t="s">
        <v>11491</v>
      </c>
      <c r="E6359" s="274" t="s">
        <v>229</v>
      </c>
    </row>
    <row r="6360" spans="1:5" ht="13.5">
      <c r="A6360" s="282">
        <v>101002</v>
      </c>
      <c r="B6360" s="274" t="s">
        <v>13874</v>
      </c>
      <c r="C6360" s="274" t="s">
        <v>2503</v>
      </c>
      <c r="D6360" s="279" t="s">
        <v>9954</v>
      </c>
      <c r="E6360" s="274" t="s">
        <v>229</v>
      </c>
    </row>
    <row r="6361" spans="1:5" ht="13.5">
      <c r="A6361" s="282">
        <v>101003</v>
      </c>
      <c r="B6361" s="274" t="s">
        <v>13875</v>
      </c>
      <c r="C6361" s="274" t="s">
        <v>2503</v>
      </c>
      <c r="D6361" s="279" t="s">
        <v>12167</v>
      </c>
      <c r="E6361" s="274" t="s">
        <v>229</v>
      </c>
    </row>
    <row r="6362" spans="1:5" ht="13.5">
      <c r="A6362" s="282">
        <v>101004</v>
      </c>
      <c r="B6362" s="274" t="s">
        <v>13876</v>
      </c>
      <c r="C6362" s="274" t="s">
        <v>2503</v>
      </c>
      <c r="D6362" s="279" t="s">
        <v>10283</v>
      </c>
      <c r="E6362" s="274" t="s">
        <v>229</v>
      </c>
    </row>
    <row r="6363" spans="1:5" ht="13.5">
      <c r="A6363" s="282">
        <v>101005</v>
      </c>
      <c r="B6363" s="274" t="s">
        <v>13877</v>
      </c>
      <c r="C6363" s="274" t="s">
        <v>209</v>
      </c>
      <c r="D6363" s="279" t="s">
        <v>10008</v>
      </c>
      <c r="E6363" s="274" t="s">
        <v>229</v>
      </c>
    </row>
    <row r="6364" spans="1:5" ht="13.5">
      <c r="A6364" s="282">
        <v>101006</v>
      </c>
      <c r="B6364" s="274" t="s">
        <v>13878</v>
      </c>
      <c r="C6364" s="274" t="s">
        <v>209</v>
      </c>
      <c r="D6364" s="279" t="s">
        <v>10559</v>
      </c>
      <c r="E6364" s="274" t="s">
        <v>229</v>
      </c>
    </row>
    <row r="6365" spans="1:5" ht="13.5">
      <c r="A6365" s="282">
        <v>101007</v>
      </c>
      <c r="B6365" s="274" t="s">
        <v>13879</v>
      </c>
      <c r="C6365" s="274" t="s">
        <v>209</v>
      </c>
      <c r="D6365" s="279" t="s">
        <v>10426</v>
      </c>
      <c r="E6365" s="274" t="s">
        <v>229</v>
      </c>
    </row>
    <row r="6366" spans="1:5" ht="13.5">
      <c r="A6366" s="282">
        <v>101008</v>
      </c>
      <c r="B6366" s="274" t="s">
        <v>13880</v>
      </c>
      <c r="C6366" s="274" t="s">
        <v>209</v>
      </c>
      <c r="D6366" s="279" t="s">
        <v>9996</v>
      </c>
      <c r="E6366" s="274" t="s">
        <v>229</v>
      </c>
    </row>
    <row r="6367" spans="1:5" ht="27">
      <c r="A6367" s="282">
        <v>101009</v>
      </c>
      <c r="B6367" s="274" t="s">
        <v>13881</v>
      </c>
      <c r="C6367" s="274" t="s">
        <v>2503</v>
      </c>
      <c r="D6367" s="279" t="s">
        <v>16126</v>
      </c>
      <c r="E6367" s="274" t="s">
        <v>229</v>
      </c>
    </row>
    <row r="6368" spans="1:5" ht="27">
      <c r="A6368" s="282">
        <v>101010</v>
      </c>
      <c r="B6368" s="274" t="s">
        <v>13882</v>
      </c>
      <c r="C6368" s="274" t="s">
        <v>2503</v>
      </c>
      <c r="D6368" s="279" t="s">
        <v>16433</v>
      </c>
      <c r="E6368" s="274" t="s">
        <v>229</v>
      </c>
    </row>
    <row r="6369" spans="1:5" ht="27">
      <c r="A6369" s="282">
        <v>101013</v>
      </c>
      <c r="B6369" s="274" t="s">
        <v>13883</v>
      </c>
      <c r="C6369" s="274" t="s">
        <v>2503</v>
      </c>
      <c r="D6369" s="279" t="s">
        <v>16368</v>
      </c>
      <c r="E6369" s="498" t="s">
        <v>229</v>
      </c>
    </row>
    <row r="6370" spans="1:5" ht="27">
      <c r="A6370" s="282">
        <v>101014</v>
      </c>
      <c r="B6370" s="274" t="s">
        <v>13884</v>
      </c>
      <c r="C6370" s="274" t="s">
        <v>2503</v>
      </c>
      <c r="D6370" s="279" t="s">
        <v>24352</v>
      </c>
      <c r="E6370" s="498" t="s">
        <v>229</v>
      </c>
    </row>
    <row r="6371" spans="1:5" ht="27">
      <c r="A6371" s="282">
        <v>101015</v>
      </c>
      <c r="B6371" s="274" t="s">
        <v>13885</v>
      </c>
      <c r="C6371" s="274" t="s">
        <v>2503</v>
      </c>
      <c r="D6371" s="279" t="s">
        <v>14281</v>
      </c>
      <c r="E6371" s="498" t="s">
        <v>229</v>
      </c>
    </row>
    <row r="6372" spans="1:5" ht="27">
      <c r="A6372" s="282">
        <v>101016</v>
      </c>
      <c r="B6372" s="274" t="s">
        <v>13886</v>
      </c>
      <c r="C6372" s="274" t="s">
        <v>2503</v>
      </c>
      <c r="D6372" s="279" t="s">
        <v>22974</v>
      </c>
      <c r="E6372" s="498" t="s">
        <v>229</v>
      </c>
    </row>
    <row r="6373" spans="1:5" ht="27">
      <c r="A6373" s="282">
        <v>101017</v>
      </c>
      <c r="B6373" s="274" t="s">
        <v>13887</v>
      </c>
      <c r="C6373" s="274" t="s">
        <v>2503</v>
      </c>
      <c r="D6373" s="279" t="s">
        <v>10635</v>
      </c>
      <c r="E6373" s="498" t="s">
        <v>229</v>
      </c>
    </row>
    <row r="6374" spans="1:5" ht="27">
      <c r="A6374" s="282">
        <v>101018</v>
      </c>
      <c r="B6374" s="274" t="s">
        <v>13888</v>
      </c>
      <c r="C6374" s="274" t="s">
        <v>2503</v>
      </c>
      <c r="D6374" s="279" t="s">
        <v>14123</v>
      </c>
      <c r="E6374" s="498" t="s">
        <v>229</v>
      </c>
    </row>
    <row r="6375" spans="1:5" ht="27">
      <c r="A6375" s="282">
        <v>101463</v>
      </c>
      <c r="B6375" s="274" t="s">
        <v>13889</v>
      </c>
      <c r="C6375" s="274" t="s">
        <v>2503</v>
      </c>
      <c r="D6375" s="279" t="s">
        <v>9836</v>
      </c>
      <c r="E6375" s="498" t="s">
        <v>229</v>
      </c>
    </row>
    <row r="6376" spans="1:5" ht="27">
      <c r="A6376" s="282">
        <v>101464</v>
      </c>
      <c r="B6376" s="274" t="s">
        <v>13890</v>
      </c>
      <c r="C6376" s="274" t="s">
        <v>2503</v>
      </c>
      <c r="D6376" s="279" t="s">
        <v>14100</v>
      </c>
      <c r="E6376" s="498" t="s">
        <v>229</v>
      </c>
    </row>
    <row r="6377" spans="1:5" ht="27">
      <c r="A6377" s="274">
        <v>101465</v>
      </c>
      <c r="B6377" s="274" t="s">
        <v>13891</v>
      </c>
      <c r="C6377" s="274" t="s">
        <v>2503</v>
      </c>
      <c r="D6377" s="279" t="s">
        <v>15899</v>
      </c>
      <c r="E6377" s="498" t="s">
        <v>229</v>
      </c>
    </row>
    <row r="6378" spans="1:5" ht="27">
      <c r="A6378" s="282">
        <v>101466</v>
      </c>
      <c r="B6378" s="274" t="s">
        <v>13892</v>
      </c>
      <c r="C6378" s="274" t="s">
        <v>2503</v>
      </c>
      <c r="D6378" s="279" t="s">
        <v>16062</v>
      </c>
      <c r="E6378" s="498" t="s">
        <v>229</v>
      </c>
    </row>
    <row r="6379" spans="1:5" ht="27">
      <c r="A6379" s="282">
        <v>101467</v>
      </c>
      <c r="B6379" s="274" t="s">
        <v>13893</v>
      </c>
      <c r="C6379" s="274" t="s">
        <v>2503</v>
      </c>
      <c r="D6379" s="279" t="s">
        <v>11270</v>
      </c>
      <c r="E6379" s="498" t="s">
        <v>229</v>
      </c>
    </row>
    <row r="6380" spans="1:5" ht="27">
      <c r="A6380" s="282">
        <v>101468</v>
      </c>
      <c r="B6380" s="274" t="s">
        <v>13894</v>
      </c>
      <c r="C6380" s="274" t="s">
        <v>2503</v>
      </c>
      <c r="D6380" s="279" t="s">
        <v>10568</v>
      </c>
      <c r="E6380" s="498" t="s">
        <v>229</v>
      </c>
    </row>
    <row r="6381" spans="1:5" ht="27">
      <c r="A6381" s="282">
        <v>101469</v>
      </c>
      <c r="B6381" s="274" t="s">
        <v>13895</v>
      </c>
      <c r="C6381" s="274" t="s">
        <v>2503</v>
      </c>
      <c r="D6381" s="279" t="s">
        <v>19130</v>
      </c>
      <c r="E6381" s="498" t="s">
        <v>229</v>
      </c>
    </row>
    <row r="6382" spans="1:5" ht="27">
      <c r="A6382" s="282">
        <v>101470</v>
      </c>
      <c r="B6382" s="274" t="s">
        <v>13896</v>
      </c>
      <c r="C6382" s="274" t="s">
        <v>2503</v>
      </c>
      <c r="D6382" s="279" t="s">
        <v>11293</v>
      </c>
      <c r="E6382" s="498" t="s">
        <v>229</v>
      </c>
    </row>
    <row r="6383" spans="1:5" ht="27">
      <c r="A6383" s="282">
        <v>101471</v>
      </c>
      <c r="B6383" s="274" t="s">
        <v>13897</v>
      </c>
      <c r="C6383" s="274" t="s">
        <v>2503</v>
      </c>
      <c r="D6383" s="279" t="s">
        <v>24353</v>
      </c>
      <c r="E6383" s="498" t="s">
        <v>229</v>
      </c>
    </row>
    <row r="6384" spans="1:5" ht="27">
      <c r="A6384" s="282">
        <v>101472</v>
      </c>
      <c r="B6384" s="274" t="s">
        <v>13898</v>
      </c>
      <c r="C6384" s="274" t="s">
        <v>2503</v>
      </c>
      <c r="D6384" s="279" t="s">
        <v>16150</v>
      </c>
      <c r="E6384" s="498" t="s">
        <v>229</v>
      </c>
    </row>
    <row r="6385" spans="1:5" ht="27">
      <c r="A6385" s="282">
        <v>101473</v>
      </c>
      <c r="B6385" s="274" t="s">
        <v>13899</v>
      </c>
      <c r="C6385" s="274" t="s">
        <v>2503</v>
      </c>
      <c r="D6385" s="279" t="s">
        <v>24354</v>
      </c>
      <c r="E6385" s="498" t="s">
        <v>229</v>
      </c>
    </row>
    <row r="6386" spans="1:5" ht="27">
      <c r="A6386" s="282">
        <v>101474</v>
      </c>
      <c r="B6386" s="274" t="s">
        <v>13900</v>
      </c>
      <c r="C6386" s="274" t="s">
        <v>2503</v>
      </c>
      <c r="D6386" s="279" t="s">
        <v>16049</v>
      </c>
      <c r="E6386" s="498" t="s">
        <v>229</v>
      </c>
    </row>
    <row r="6387" spans="1:5" ht="27">
      <c r="A6387" s="282">
        <v>101475</v>
      </c>
      <c r="B6387" s="274" t="s">
        <v>13901</v>
      </c>
      <c r="C6387" s="274" t="s">
        <v>2503</v>
      </c>
      <c r="D6387" s="279" t="s">
        <v>10056</v>
      </c>
      <c r="E6387" s="498" t="s">
        <v>229</v>
      </c>
    </row>
    <row r="6388" spans="1:5" ht="27">
      <c r="A6388" s="282">
        <v>101476</v>
      </c>
      <c r="B6388" s="274" t="s">
        <v>13902</v>
      </c>
      <c r="C6388" s="274" t="s">
        <v>2503</v>
      </c>
      <c r="D6388" s="279" t="s">
        <v>10204</v>
      </c>
      <c r="E6388" s="498" t="s">
        <v>229</v>
      </c>
    </row>
    <row r="6389" spans="1:5" ht="27">
      <c r="A6389" s="282">
        <v>101477</v>
      </c>
      <c r="B6389" s="274" t="s">
        <v>13903</v>
      </c>
      <c r="C6389" s="274" t="s">
        <v>2503</v>
      </c>
      <c r="D6389" s="279" t="s">
        <v>10459</v>
      </c>
      <c r="E6389" s="498" t="s">
        <v>229</v>
      </c>
    </row>
    <row r="6390" spans="1:5" ht="27">
      <c r="A6390" s="282">
        <v>101478</v>
      </c>
      <c r="B6390" s="274" t="s">
        <v>13904</v>
      </c>
      <c r="C6390" s="274" t="s">
        <v>2503</v>
      </c>
      <c r="D6390" s="279" t="s">
        <v>10928</v>
      </c>
      <c r="E6390" s="498" t="s">
        <v>229</v>
      </c>
    </row>
    <row r="6391" spans="1:5" ht="27">
      <c r="A6391" s="282">
        <v>101480</v>
      </c>
      <c r="B6391" s="274" t="s">
        <v>13905</v>
      </c>
      <c r="C6391" s="274" t="s">
        <v>2503</v>
      </c>
      <c r="D6391" s="279" t="s">
        <v>12180</v>
      </c>
      <c r="E6391" s="498" t="s">
        <v>229</v>
      </c>
    </row>
    <row r="6392" spans="1:5" ht="27">
      <c r="A6392" s="282">
        <v>101481</v>
      </c>
      <c r="B6392" s="274" t="s">
        <v>13906</v>
      </c>
      <c r="C6392" s="274" t="s">
        <v>2503</v>
      </c>
      <c r="D6392" s="279" t="s">
        <v>11267</v>
      </c>
      <c r="E6392" s="498" t="s">
        <v>229</v>
      </c>
    </row>
    <row r="6393" spans="1:5" ht="27">
      <c r="A6393" s="282">
        <v>101482</v>
      </c>
      <c r="B6393" s="274" t="s">
        <v>13907</v>
      </c>
      <c r="C6393" s="274" t="s">
        <v>2503</v>
      </c>
      <c r="D6393" s="279" t="s">
        <v>23062</v>
      </c>
      <c r="E6393" s="498" t="s">
        <v>229</v>
      </c>
    </row>
    <row r="6394" spans="1:5" ht="27">
      <c r="A6394" s="282">
        <v>101483</v>
      </c>
      <c r="B6394" s="274" t="s">
        <v>13908</v>
      </c>
      <c r="C6394" s="274" t="s">
        <v>2503</v>
      </c>
      <c r="D6394" s="279" t="s">
        <v>11546</v>
      </c>
      <c r="E6394" s="498" t="s">
        <v>229</v>
      </c>
    </row>
    <row r="6395" spans="1:5" ht="27">
      <c r="A6395" s="282">
        <v>101484</v>
      </c>
      <c r="B6395" s="274" t="s">
        <v>13909</v>
      </c>
      <c r="C6395" s="274" t="s">
        <v>2503</v>
      </c>
      <c r="D6395" s="279" t="s">
        <v>24355</v>
      </c>
      <c r="E6395" s="498" t="s">
        <v>229</v>
      </c>
    </row>
    <row r="6396" spans="1:5" ht="27">
      <c r="A6396" s="282">
        <v>101485</v>
      </c>
      <c r="B6396" s="274" t="s">
        <v>13910</v>
      </c>
      <c r="C6396" s="274" t="s">
        <v>2503</v>
      </c>
      <c r="D6396" s="279" t="s">
        <v>24356</v>
      </c>
      <c r="E6396" s="498" t="s">
        <v>229</v>
      </c>
    </row>
    <row r="6397" spans="1:5" ht="27">
      <c r="A6397" s="282">
        <v>101486</v>
      </c>
      <c r="B6397" s="274" t="s">
        <v>13911</v>
      </c>
      <c r="C6397" s="274" t="s">
        <v>2503</v>
      </c>
      <c r="D6397" s="279" t="s">
        <v>23207</v>
      </c>
      <c r="E6397" s="498" t="s">
        <v>229</v>
      </c>
    </row>
    <row r="6398" spans="1:5" ht="27">
      <c r="A6398" s="282">
        <v>101487</v>
      </c>
      <c r="B6398" s="274" t="s">
        <v>13912</v>
      </c>
      <c r="C6398" s="274" t="s">
        <v>2503</v>
      </c>
      <c r="D6398" s="279" t="s">
        <v>16510</v>
      </c>
      <c r="E6398" s="498" t="s">
        <v>229</v>
      </c>
    </row>
    <row r="6399" spans="1:5" ht="27">
      <c r="A6399" s="282">
        <v>101488</v>
      </c>
      <c r="B6399" s="274" t="s">
        <v>13913</v>
      </c>
      <c r="C6399" s="274" t="s">
        <v>2503</v>
      </c>
      <c r="D6399" s="279" t="s">
        <v>16678</v>
      </c>
      <c r="E6399" s="498" t="s">
        <v>229</v>
      </c>
    </row>
    <row r="6400" spans="1:5" ht="27">
      <c r="A6400" s="282">
        <v>101188</v>
      </c>
      <c r="B6400" s="274" t="s">
        <v>11098</v>
      </c>
      <c r="C6400" s="274" t="s">
        <v>5</v>
      </c>
      <c r="D6400" s="279" t="s">
        <v>10283</v>
      </c>
      <c r="E6400" s="498" t="s">
        <v>229</v>
      </c>
    </row>
    <row r="6401" spans="1:5" ht="27">
      <c r="A6401" s="282">
        <v>101189</v>
      </c>
      <c r="B6401" s="274" t="s">
        <v>11099</v>
      </c>
      <c r="C6401" s="274" t="s">
        <v>5</v>
      </c>
      <c r="D6401" s="279" t="s">
        <v>24357</v>
      </c>
      <c r="E6401" s="498" t="s">
        <v>229</v>
      </c>
    </row>
    <row r="6402" spans="1:5" ht="27">
      <c r="A6402" s="282">
        <v>101190</v>
      </c>
      <c r="B6402" s="274" t="s">
        <v>11100</v>
      </c>
      <c r="C6402" s="274" t="s">
        <v>5</v>
      </c>
      <c r="D6402" s="279" t="s">
        <v>24358</v>
      </c>
      <c r="E6402" s="498" t="s">
        <v>229</v>
      </c>
    </row>
    <row r="6403" spans="1:5" ht="27">
      <c r="A6403" s="282">
        <v>101191</v>
      </c>
      <c r="B6403" s="274" t="s">
        <v>11101</v>
      </c>
      <c r="C6403" s="274" t="s">
        <v>5</v>
      </c>
      <c r="D6403" s="279" t="s">
        <v>24359</v>
      </c>
      <c r="E6403" s="498" t="s">
        <v>229</v>
      </c>
    </row>
    <row r="6404" spans="1:5" ht="27">
      <c r="A6404" s="282">
        <v>101192</v>
      </c>
      <c r="B6404" s="274" t="s">
        <v>11102</v>
      </c>
      <c r="C6404" s="274" t="s">
        <v>5</v>
      </c>
      <c r="D6404" s="279" t="s">
        <v>24360</v>
      </c>
      <c r="E6404" s="498" t="s">
        <v>229</v>
      </c>
    </row>
    <row r="6405" spans="1:5" ht="27">
      <c r="A6405" s="282">
        <v>101193</v>
      </c>
      <c r="B6405" s="274" t="s">
        <v>11103</v>
      </c>
      <c r="C6405" s="274" t="s">
        <v>5</v>
      </c>
      <c r="D6405" s="279" t="s">
        <v>16320</v>
      </c>
      <c r="E6405" s="498" t="s">
        <v>229</v>
      </c>
    </row>
    <row r="6406" spans="1:5" ht="27">
      <c r="A6406" s="282">
        <v>101194</v>
      </c>
      <c r="B6406" s="274" t="s">
        <v>11104</v>
      </c>
      <c r="C6406" s="274" t="s">
        <v>5</v>
      </c>
      <c r="D6406" s="279" t="s">
        <v>19020</v>
      </c>
      <c r="E6406" s="498" t="s">
        <v>229</v>
      </c>
    </row>
    <row r="6407" spans="1:5" ht="40.5">
      <c r="A6407" s="282">
        <v>101197</v>
      </c>
      <c r="B6407" s="274" t="s">
        <v>11105</v>
      </c>
      <c r="C6407" s="274" t="s">
        <v>5</v>
      </c>
      <c r="D6407" s="279" t="s">
        <v>24361</v>
      </c>
      <c r="E6407" s="498" t="s">
        <v>229</v>
      </c>
    </row>
    <row r="6408" spans="1:5" ht="40.5">
      <c r="A6408" s="282">
        <v>101198</v>
      </c>
      <c r="B6408" s="274" t="s">
        <v>11106</v>
      </c>
      <c r="C6408" s="274" t="s">
        <v>5</v>
      </c>
      <c r="D6408" s="279" t="s">
        <v>24362</v>
      </c>
      <c r="E6408" s="498" t="s">
        <v>229</v>
      </c>
    </row>
    <row r="6409" spans="1:5" ht="40.5">
      <c r="A6409" s="282">
        <v>101199</v>
      </c>
      <c r="B6409" s="274" t="s">
        <v>11107</v>
      </c>
      <c r="C6409" s="274" t="s">
        <v>5</v>
      </c>
      <c r="D6409" s="279" t="s">
        <v>20000</v>
      </c>
      <c r="E6409" s="498" t="s">
        <v>229</v>
      </c>
    </row>
    <row r="6410" spans="1:5" ht="40.5">
      <c r="A6410" s="282">
        <v>101200</v>
      </c>
      <c r="B6410" s="274" t="s">
        <v>11108</v>
      </c>
      <c r="C6410" s="274" t="s">
        <v>5</v>
      </c>
      <c r="D6410" s="279" t="s">
        <v>16681</v>
      </c>
      <c r="E6410" s="498" t="s">
        <v>229</v>
      </c>
    </row>
    <row r="6411" spans="1:5" ht="40.5">
      <c r="A6411" s="282">
        <v>101201</v>
      </c>
      <c r="B6411" s="274" t="s">
        <v>11109</v>
      </c>
      <c r="C6411" s="274" t="s">
        <v>5</v>
      </c>
      <c r="D6411" s="279" t="s">
        <v>15985</v>
      </c>
      <c r="E6411" s="498" t="s">
        <v>229</v>
      </c>
    </row>
    <row r="6412" spans="1:5" ht="40.5">
      <c r="A6412" s="282">
        <v>101202</v>
      </c>
      <c r="B6412" s="274" t="s">
        <v>11110</v>
      </c>
      <c r="C6412" s="274" t="s">
        <v>5</v>
      </c>
      <c r="D6412" s="279" t="s">
        <v>12201</v>
      </c>
      <c r="E6412" s="498" t="s">
        <v>229</v>
      </c>
    </row>
    <row r="6413" spans="1:5" ht="40.5">
      <c r="A6413" s="282">
        <v>101203</v>
      </c>
      <c r="B6413" s="274" t="s">
        <v>11111</v>
      </c>
      <c r="C6413" s="274" t="s">
        <v>5</v>
      </c>
      <c r="D6413" s="279" t="s">
        <v>24363</v>
      </c>
      <c r="E6413" s="498" t="s">
        <v>229</v>
      </c>
    </row>
    <row r="6414" spans="1:5" ht="40.5">
      <c r="A6414" s="282">
        <v>101204</v>
      </c>
      <c r="B6414" s="274" t="s">
        <v>11112</v>
      </c>
      <c r="C6414" s="274" t="s">
        <v>5</v>
      </c>
      <c r="D6414" s="279" t="s">
        <v>14061</v>
      </c>
      <c r="E6414" s="498" t="s">
        <v>229</v>
      </c>
    </row>
    <row r="6415" spans="1:5" ht="27">
      <c r="A6415" s="282">
        <v>101205</v>
      </c>
      <c r="B6415" s="274" t="s">
        <v>11113</v>
      </c>
      <c r="C6415" s="274" t="s">
        <v>5</v>
      </c>
      <c r="D6415" s="279" t="s">
        <v>12201</v>
      </c>
      <c r="E6415" s="498" t="s">
        <v>229</v>
      </c>
    </row>
    <row r="6416" spans="1:5" ht="40.5">
      <c r="A6416" s="282">
        <v>102362</v>
      </c>
      <c r="B6416" s="274" t="s">
        <v>24364</v>
      </c>
      <c r="C6416" s="274" t="s">
        <v>193</v>
      </c>
      <c r="D6416" s="279" t="s">
        <v>24365</v>
      </c>
      <c r="E6416" s="498" t="s">
        <v>229</v>
      </c>
    </row>
    <row r="6417" spans="1:5" ht="40.5">
      <c r="A6417" s="282">
        <v>102363</v>
      </c>
      <c r="B6417" s="274" t="s">
        <v>24366</v>
      </c>
      <c r="C6417" s="274" t="s">
        <v>193</v>
      </c>
      <c r="D6417" s="279" t="s">
        <v>24367</v>
      </c>
      <c r="E6417" s="498" t="s">
        <v>229</v>
      </c>
    </row>
    <row r="6418" spans="1:5" ht="40.5">
      <c r="A6418" s="282">
        <v>102364</v>
      </c>
      <c r="B6418" s="274" t="s">
        <v>24368</v>
      </c>
      <c r="C6418" s="274" t="s">
        <v>193</v>
      </c>
      <c r="D6418" s="279" t="s">
        <v>24369</v>
      </c>
      <c r="E6418" s="498" t="s">
        <v>229</v>
      </c>
    </row>
    <row r="6419" spans="1:5" ht="13.5">
      <c r="A6419" s="282">
        <v>98509</v>
      </c>
      <c r="B6419" s="274" t="s">
        <v>4500</v>
      </c>
      <c r="C6419" s="274" t="s">
        <v>109</v>
      </c>
      <c r="D6419" s="279" t="s">
        <v>19810</v>
      </c>
      <c r="E6419" s="498" t="s">
        <v>229</v>
      </c>
    </row>
    <row r="6420" spans="1:5" ht="13.5">
      <c r="A6420" s="282">
        <v>98510</v>
      </c>
      <c r="B6420" s="274" t="s">
        <v>4501</v>
      </c>
      <c r="C6420" s="274" t="s">
        <v>109</v>
      </c>
      <c r="D6420" s="279" t="s">
        <v>24370</v>
      </c>
      <c r="E6420" s="498" t="s">
        <v>229</v>
      </c>
    </row>
    <row r="6421" spans="1:5" ht="27">
      <c r="A6421" s="282">
        <v>98511</v>
      </c>
      <c r="B6421" s="274" t="s">
        <v>4502</v>
      </c>
      <c r="C6421" s="274" t="s">
        <v>109</v>
      </c>
      <c r="D6421" s="279" t="s">
        <v>24371</v>
      </c>
      <c r="E6421" s="498" t="s">
        <v>229</v>
      </c>
    </row>
    <row r="6422" spans="1:5" ht="13.5">
      <c r="A6422" s="282">
        <v>98516</v>
      </c>
      <c r="B6422" s="274" t="s">
        <v>4503</v>
      </c>
      <c r="C6422" s="274" t="s">
        <v>109</v>
      </c>
      <c r="D6422" s="279" t="s">
        <v>24372</v>
      </c>
      <c r="E6422" s="498" t="s">
        <v>229</v>
      </c>
    </row>
    <row r="6423" spans="1:5" ht="13.5">
      <c r="A6423" s="282">
        <v>98519</v>
      </c>
      <c r="B6423" s="274" t="s">
        <v>4504</v>
      </c>
      <c r="C6423" s="274" t="s">
        <v>193</v>
      </c>
      <c r="D6423" s="279" t="s">
        <v>15842</v>
      </c>
      <c r="E6423" s="498" t="s">
        <v>229</v>
      </c>
    </row>
    <row r="6424" spans="1:5" ht="13.5">
      <c r="A6424" s="282">
        <v>98520</v>
      </c>
      <c r="B6424" s="274" t="s">
        <v>4505</v>
      </c>
      <c r="C6424" s="274" t="s">
        <v>193</v>
      </c>
      <c r="D6424" s="279" t="s">
        <v>9728</v>
      </c>
      <c r="E6424" s="498" t="s">
        <v>229</v>
      </c>
    </row>
    <row r="6425" spans="1:5" ht="13.5">
      <c r="A6425" s="282">
        <v>98521</v>
      </c>
      <c r="B6425" s="274" t="s">
        <v>4506</v>
      </c>
      <c r="C6425" s="274" t="s">
        <v>193</v>
      </c>
      <c r="D6425" s="279" t="s">
        <v>9852</v>
      </c>
      <c r="E6425" s="498" t="s">
        <v>229</v>
      </c>
    </row>
    <row r="6426" spans="1:5" ht="27">
      <c r="A6426" s="282">
        <v>98522</v>
      </c>
      <c r="B6426" s="274" t="s">
        <v>4507</v>
      </c>
      <c r="C6426" s="274" t="s">
        <v>5</v>
      </c>
      <c r="D6426" s="279" t="s">
        <v>24373</v>
      </c>
      <c r="E6426" s="498" t="s">
        <v>229</v>
      </c>
    </row>
    <row r="6427" spans="1:5" ht="13.5">
      <c r="A6427" s="282">
        <v>98524</v>
      </c>
      <c r="B6427" s="274" t="s">
        <v>4508</v>
      </c>
      <c r="C6427" s="274" t="s">
        <v>193</v>
      </c>
      <c r="D6427" s="279" t="s">
        <v>9889</v>
      </c>
      <c r="E6427" s="498" t="s">
        <v>229</v>
      </c>
    </row>
    <row r="6428" spans="1:5" ht="13.5">
      <c r="A6428" s="282">
        <v>98503</v>
      </c>
      <c r="B6428" s="274" t="s">
        <v>4509</v>
      </c>
      <c r="C6428" s="274" t="s">
        <v>193</v>
      </c>
      <c r="D6428" s="279" t="s">
        <v>12376</v>
      </c>
      <c r="E6428" s="498" t="s">
        <v>229</v>
      </c>
    </row>
    <row r="6429" spans="1:5" ht="13.5">
      <c r="A6429" s="282">
        <v>98504</v>
      </c>
      <c r="B6429" s="274" t="s">
        <v>4510</v>
      </c>
      <c r="C6429" s="274" t="s">
        <v>193</v>
      </c>
      <c r="D6429" s="279" t="s">
        <v>10318</v>
      </c>
      <c r="E6429" s="498" t="s">
        <v>229</v>
      </c>
    </row>
    <row r="6430" spans="1:5" ht="13.5">
      <c r="A6430" s="282">
        <v>98505</v>
      </c>
      <c r="B6430" s="274" t="s">
        <v>4511</v>
      </c>
      <c r="C6430" s="274" t="s">
        <v>193</v>
      </c>
      <c r="D6430" s="279" t="s">
        <v>24374</v>
      </c>
      <c r="E6430" s="498" t="s">
        <v>229</v>
      </c>
    </row>
    <row r="6431" spans="1:5" ht="27">
      <c r="A6431" s="282">
        <v>98525</v>
      </c>
      <c r="B6431" s="274" t="s">
        <v>4512</v>
      </c>
      <c r="C6431" s="274" t="s">
        <v>193</v>
      </c>
      <c r="D6431" s="279" t="s">
        <v>9848</v>
      </c>
      <c r="E6431" s="498" t="s">
        <v>229</v>
      </c>
    </row>
    <row r="6432" spans="1:5" ht="27">
      <c r="A6432" s="282">
        <v>98526</v>
      </c>
      <c r="B6432" s="274" t="s">
        <v>4513</v>
      </c>
      <c r="C6432" s="274" t="s">
        <v>109</v>
      </c>
      <c r="D6432" s="279" t="s">
        <v>18842</v>
      </c>
      <c r="E6432" s="498" t="s">
        <v>229</v>
      </c>
    </row>
    <row r="6433" spans="1:5" ht="27">
      <c r="A6433" s="282">
        <v>98527</v>
      </c>
      <c r="B6433" s="274" t="s">
        <v>4514</v>
      </c>
      <c r="C6433" s="274" t="s">
        <v>109</v>
      </c>
      <c r="D6433" s="279" t="s">
        <v>24375</v>
      </c>
      <c r="E6433" s="498" t="s">
        <v>229</v>
      </c>
    </row>
    <row r="6434" spans="1:5" ht="27">
      <c r="A6434" s="282">
        <v>98528</v>
      </c>
      <c r="B6434" s="274" t="s">
        <v>4515</v>
      </c>
      <c r="C6434" s="274" t="s">
        <v>109</v>
      </c>
      <c r="D6434" s="279" t="s">
        <v>24376</v>
      </c>
      <c r="E6434" s="498" t="s">
        <v>229</v>
      </c>
    </row>
    <row r="6435" spans="1:5" ht="27">
      <c r="A6435" s="282">
        <v>98529</v>
      </c>
      <c r="B6435" s="274" t="s">
        <v>4516</v>
      </c>
      <c r="C6435" s="274" t="s">
        <v>109</v>
      </c>
      <c r="D6435" s="279" t="s">
        <v>14097</v>
      </c>
      <c r="E6435" s="498" t="s">
        <v>229</v>
      </c>
    </row>
    <row r="6436" spans="1:5" ht="27">
      <c r="A6436" s="282">
        <v>98530</v>
      </c>
      <c r="B6436" s="274" t="s">
        <v>4517</v>
      </c>
      <c r="C6436" s="274" t="s">
        <v>109</v>
      </c>
      <c r="D6436" s="279" t="s">
        <v>24377</v>
      </c>
      <c r="E6436" s="498" t="s">
        <v>229</v>
      </c>
    </row>
    <row r="6437" spans="1:5" ht="27">
      <c r="A6437" s="282">
        <v>98531</v>
      </c>
      <c r="B6437" s="274" t="s">
        <v>4518</v>
      </c>
      <c r="C6437" s="274" t="s">
        <v>109</v>
      </c>
      <c r="D6437" s="279" t="s">
        <v>24378</v>
      </c>
      <c r="E6437" s="498" t="s">
        <v>229</v>
      </c>
    </row>
    <row r="6438" spans="1:5" ht="13.5">
      <c r="A6438" s="282">
        <v>98532</v>
      </c>
      <c r="B6438" s="274" t="s">
        <v>4519</v>
      </c>
      <c r="C6438" s="274" t="s">
        <v>109</v>
      </c>
      <c r="D6438" s="279" t="s">
        <v>16501</v>
      </c>
      <c r="E6438" s="498" t="s">
        <v>229</v>
      </c>
    </row>
    <row r="6439" spans="1:5" ht="27">
      <c r="A6439" s="282">
        <v>98533</v>
      </c>
      <c r="B6439" s="274" t="s">
        <v>4520</v>
      </c>
      <c r="C6439" s="274" t="s">
        <v>109</v>
      </c>
      <c r="D6439" s="279" t="s">
        <v>24379</v>
      </c>
      <c r="E6439" s="498" t="s">
        <v>229</v>
      </c>
    </row>
    <row r="6440" spans="1:5" ht="27">
      <c r="A6440" s="282">
        <v>98534</v>
      </c>
      <c r="B6440" s="274" t="s">
        <v>4521</v>
      </c>
      <c r="C6440" s="274" t="s">
        <v>109</v>
      </c>
      <c r="D6440" s="279" t="s">
        <v>24380</v>
      </c>
      <c r="E6440" s="498" t="s">
        <v>229</v>
      </c>
    </row>
    <row r="6441" spans="1:5" ht="13.5">
      <c r="A6441" s="282">
        <v>98535</v>
      </c>
      <c r="B6441" s="274" t="s">
        <v>4522</v>
      </c>
      <c r="C6441" s="274" t="s">
        <v>109</v>
      </c>
      <c r="D6441" s="279" t="s">
        <v>24381</v>
      </c>
      <c r="E6441" s="498" t="s">
        <v>229</v>
      </c>
    </row>
    <row r="6442" spans="1:5" ht="13.5">
      <c r="A6442" s="282">
        <v>88238</v>
      </c>
      <c r="B6442" s="274" t="s">
        <v>3044</v>
      </c>
      <c r="C6442" s="274" t="s">
        <v>206</v>
      </c>
      <c r="D6442" s="279" t="s">
        <v>14249</v>
      </c>
      <c r="E6442" s="498" t="s">
        <v>9714</v>
      </c>
    </row>
    <row r="6443" spans="1:5" ht="13.5">
      <c r="A6443" s="282">
        <v>88239</v>
      </c>
      <c r="B6443" s="274" t="s">
        <v>293</v>
      </c>
      <c r="C6443" s="274" t="s">
        <v>206</v>
      </c>
      <c r="D6443" s="279" t="s">
        <v>24382</v>
      </c>
      <c r="E6443" s="498" t="s">
        <v>9714</v>
      </c>
    </row>
    <row r="6444" spans="1:5" ht="13.5">
      <c r="A6444" s="282">
        <v>88240</v>
      </c>
      <c r="B6444" s="274" t="s">
        <v>3045</v>
      </c>
      <c r="C6444" s="274" t="s">
        <v>206</v>
      </c>
      <c r="D6444" s="279" t="s">
        <v>14168</v>
      </c>
      <c r="E6444" s="498" t="s">
        <v>9714</v>
      </c>
    </row>
    <row r="6445" spans="1:5" ht="13.5">
      <c r="A6445" s="282">
        <v>88241</v>
      </c>
      <c r="B6445" s="274" t="s">
        <v>3046</v>
      </c>
      <c r="C6445" s="274" t="s">
        <v>206</v>
      </c>
      <c r="D6445" s="279" t="s">
        <v>12190</v>
      </c>
      <c r="E6445" s="498" t="s">
        <v>9714</v>
      </c>
    </row>
    <row r="6446" spans="1:5" ht="13.5">
      <c r="A6446" s="282">
        <v>88242</v>
      </c>
      <c r="B6446" s="274" t="s">
        <v>3047</v>
      </c>
      <c r="C6446" s="274" t="s">
        <v>206</v>
      </c>
      <c r="D6446" s="279" t="s">
        <v>10575</v>
      </c>
      <c r="E6446" s="498" t="s">
        <v>9714</v>
      </c>
    </row>
    <row r="6447" spans="1:5" ht="13.5">
      <c r="A6447" s="282">
        <v>88243</v>
      </c>
      <c r="B6447" s="274" t="s">
        <v>3048</v>
      </c>
      <c r="C6447" s="274" t="s">
        <v>206</v>
      </c>
      <c r="D6447" s="279" t="s">
        <v>11563</v>
      </c>
      <c r="E6447" s="498" t="s">
        <v>9714</v>
      </c>
    </row>
    <row r="6448" spans="1:5" ht="13.5">
      <c r="A6448" s="282">
        <v>88245</v>
      </c>
      <c r="B6448" s="274" t="s">
        <v>3049</v>
      </c>
      <c r="C6448" s="274" t="s">
        <v>206</v>
      </c>
      <c r="D6448" s="279" t="s">
        <v>21052</v>
      </c>
      <c r="E6448" s="498" t="s">
        <v>9714</v>
      </c>
    </row>
    <row r="6449" spans="1:5" ht="13.5">
      <c r="A6449" s="282">
        <v>88246</v>
      </c>
      <c r="B6449" s="274" t="s">
        <v>3050</v>
      </c>
      <c r="C6449" s="274" t="s">
        <v>206</v>
      </c>
      <c r="D6449" s="279" t="s">
        <v>11199</v>
      </c>
      <c r="E6449" s="498" t="s">
        <v>9714</v>
      </c>
    </row>
    <row r="6450" spans="1:5" ht="13.5">
      <c r="A6450" s="282">
        <v>88247</v>
      </c>
      <c r="B6450" s="274" t="s">
        <v>145</v>
      </c>
      <c r="C6450" s="274" t="s">
        <v>206</v>
      </c>
      <c r="D6450" s="279" t="s">
        <v>12206</v>
      </c>
      <c r="E6450" s="498" t="s">
        <v>9714</v>
      </c>
    </row>
    <row r="6451" spans="1:5" ht="13.5">
      <c r="A6451" s="282">
        <v>88248</v>
      </c>
      <c r="B6451" s="274" t="s">
        <v>106</v>
      </c>
      <c r="C6451" s="274" t="s">
        <v>206</v>
      </c>
      <c r="D6451" s="279" t="s">
        <v>10175</v>
      </c>
      <c r="E6451" s="498" t="s">
        <v>9714</v>
      </c>
    </row>
    <row r="6452" spans="1:5" ht="13.5">
      <c r="A6452" s="282">
        <v>88249</v>
      </c>
      <c r="B6452" s="274" t="s">
        <v>3051</v>
      </c>
      <c r="C6452" s="274" t="s">
        <v>206</v>
      </c>
      <c r="D6452" s="279" t="s">
        <v>10374</v>
      </c>
      <c r="E6452" s="498" t="s">
        <v>9714</v>
      </c>
    </row>
    <row r="6453" spans="1:5" ht="13.5">
      <c r="A6453" s="282">
        <v>88250</v>
      </c>
      <c r="B6453" s="274" t="s">
        <v>3052</v>
      </c>
      <c r="C6453" s="274" t="s">
        <v>206</v>
      </c>
      <c r="D6453" s="279" t="s">
        <v>14205</v>
      </c>
      <c r="E6453" s="498" t="s">
        <v>9714</v>
      </c>
    </row>
    <row r="6454" spans="1:5" ht="13.5">
      <c r="A6454" s="282">
        <v>88251</v>
      </c>
      <c r="B6454" s="274" t="s">
        <v>210</v>
      </c>
      <c r="C6454" s="274" t="s">
        <v>206</v>
      </c>
      <c r="D6454" s="279" t="s">
        <v>21271</v>
      </c>
      <c r="E6454" s="498" t="s">
        <v>9714</v>
      </c>
    </row>
    <row r="6455" spans="1:5" ht="13.5">
      <c r="A6455" s="282">
        <v>88252</v>
      </c>
      <c r="B6455" s="274" t="s">
        <v>3053</v>
      </c>
      <c r="C6455" s="274" t="s">
        <v>206</v>
      </c>
      <c r="D6455" s="279" t="s">
        <v>10664</v>
      </c>
      <c r="E6455" s="498" t="s">
        <v>9714</v>
      </c>
    </row>
    <row r="6456" spans="1:5" ht="13.5">
      <c r="A6456" s="282">
        <v>88253</v>
      </c>
      <c r="B6456" s="274" t="s">
        <v>3054</v>
      </c>
      <c r="C6456" s="274" t="s">
        <v>206</v>
      </c>
      <c r="D6456" s="279" t="s">
        <v>14073</v>
      </c>
      <c r="E6456" s="498" t="s">
        <v>9714</v>
      </c>
    </row>
    <row r="6457" spans="1:5" ht="13.5">
      <c r="A6457" s="282">
        <v>88255</v>
      </c>
      <c r="B6457" s="274" t="s">
        <v>3055</v>
      </c>
      <c r="C6457" s="274" t="s">
        <v>206</v>
      </c>
      <c r="D6457" s="279" t="s">
        <v>10519</v>
      </c>
      <c r="E6457" s="498" t="s">
        <v>9714</v>
      </c>
    </row>
    <row r="6458" spans="1:5" ht="13.5">
      <c r="A6458" s="282">
        <v>88256</v>
      </c>
      <c r="B6458" s="274" t="s">
        <v>219</v>
      </c>
      <c r="C6458" s="274" t="s">
        <v>206</v>
      </c>
      <c r="D6458" s="279" t="s">
        <v>10495</v>
      </c>
      <c r="E6458" s="498" t="s">
        <v>9714</v>
      </c>
    </row>
    <row r="6459" spans="1:5" ht="13.5">
      <c r="A6459" s="282">
        <v>88257</v>
      </c>
      <c r="B6459" s="274" t="s">
        <v>3056</v>
      </c>
      <c r="C6459" s="274" t="s">
        <v>206</v>
      </c>
      <c r="D6459" s="279" t="s">
        <v>12264</v>
      </c>
      <c r="E6459" s="498" t="s">
        <v>9714</v>
      </c>
    </row>
    <row r="6460" spans="1:5" ht="13.5">
      <c r="A6460" s="282">
        <v>88258</v>
      </c>
      <c r="B6460" s="274" t="s">
        <v>3057</v>
      </c>
      <c r="C6460" s="274" t="s">
        <v>206</v>
      </c>
      <c r="D6460" s="279" t="s">
        <v>11044</v>
      </c>
      <c r="E6460" s="498" t="s">
        <v>9714</v>
      </c>
    </row>
    <row r="6461" spans="1:5" ht="13.5">
      <c r="A6461" s="282">
        <v>88260</v>
      </c>
      <c r="B6461" s="274" t="s">
        <v>230</v>
      </c>
      <c r="C6461" s="274" t="s">
        <v>206</v>
      </c>
      <c r="D6461" s="279" t="s">
        <v>12361</v>
      </c>
      <c r="E6461" s="498" t="s">
        <v>9714</v>
      </c>
    </row>
    <row r="6462" spans="1:5" ht="13.5">
      <c r="A6462" s="282">
        <v>88261</v>
      </c>
      <c r="B6462" s="274" t="s">
        <v>294</v>
      </c>
      <c r="C6462" s="274" t="s">
        <v>206</v>
      </c>
      <c r="D6462" s="279" t="s">
        <v>12381</v>
      </c>
      <c r="E6462" s="498" t="s">
        <v>9714</v>
      </c>
    </row>
    <row r="6463" spans="1:5" ht="13.5">
      <c r="A6463" s="282">
        <v>88262</v>
      </c>
      <c r="B6463" s="274" t="s">
        <v>172</v>
      </c>
      <c r="C6463" s="274" t="s">
        <v>206</v>
      </c>
      <c r="D6463" s="279" t="s">
        <v>18773</v>
      </c>
      <c r="E6463" s="498" t="s">
        <v>9714</v>
      </c>
    </row>
    <row r="6464" spans="1:5" ht="13.5">
      <c r="A6464" s="282">
        <v>88263</v>
      </c>
      <c r="B6464" s="274" t="s">
        <v>3058</v>
      </c>
      <c r="C6464" s="274" t="s">
        <v>206</v>
      </c>
      <c r="D6464" s="279" t="s">
        <v>10896</v>
      </c>
      <c r="E6464" s="498" t="s">
        <v>9714</v>
      </c>
    </row>
    <row r="6465" spans="1:5" ht="13.5">
      <c r="A6465" s="282">
        <v>88264</v>
      </c>
      <c r="B6465" s="274" t="s">
        <v>146</v>
      </c>
      <c r="C6465" s="274" t="s">
        <v>206</v>
      </c>
      <c r="D6465" s="279" t="s">
        <v>16504</v>
      </c>
      <c r="E6465" s="498" t="s">
        <v>9714</v>
      </c>
    </row>
    <row r="6466" spans="1:5" ht="13.5">
      <c r="A6466" s="282">
        <v>88265</v>
      </c>
      <c r="B6466" s="274" t="s">
        <v>3059</v>
      </c>
      <c r="C6466" s="274" t="s">
        <v>206</v>
      </c>
      <c r="D6466" s="279" t="s">
        <v>16504</v>
      </c>
      <c r="E6466" s="498" t="s">
        <v>9714</v>
      </c>
    </row>
    <row r="6467" spans="1:5" ht="13.5">
      <c r="A6467" s="282">
        <v>88266</v>
      </c>
      <c r="B6467" s="274" t="s">
        <v>3060</v>
      </c>
      <c r="C6467" s="274" t="s">
        <v>206</v>
      </c>
      <c r="D6467" s="279" t="s">
        <v>24383</v>
      </c>
      <c r="E6467" s="498" t="s">
        <v>9714</v>
      </c>
    </row>
    <row r="6468" spans="1:5" ht="13.5">
      <c r="A6468" s="282">
        <v>88267</v>
      </c>
      <c r="B6468" s="274" t="s">
        <v>107</v>
      </c>
      <c r="C6468" s="274" t="s">
        <v>206</v>
      </c>
      <c r="D6468" s="279" t="s">
        <v>10792</v>
      </c>
      <c r="E6468" s="274" t="s">
        <v>9714</v>
      </c>
    </row>
    <row r="6469" spans="1:5" ht="13.5">
      <c r="A6469" s="282">
        <v>88269</v>
      </c>
      <c r="B6469" s="274" t="s">
        <v>3061</v>
      </c>
      <c r="C6469" s="274" t="s">
        <v>206</v>
      </c>
      <c r="D6469" s="279" t="s">
        <v>21052</v>
      </c>
      <c r="E6469" s="274" t="s">
        <v>9714</v>
      </c>
    </row>
    <row r="6470" spans="1:5" ht="13.5">
      <c r="A6470" s="282">
        <v>88270</v>
      </c>
      <c r="B6470" s="274" t="s">
        <v>3062</v>
      </c>
      <c r="C6470" s="274" t="s">
        <v>206</v>
      </c>
      <c r="D6470" s="279" t="s">
        <v>11439</v>
      </c>
      <c r="E6470" s="274" t="s">
        <v>9714</v>
      </c>
    </row>
    <row r="6471" spans="1:5" ht="13.5">
      <c r="A6471" s="282">
        <v>88272</v>
      </c>
      <c r="B6471" s="274" t="s">
        <v>3063</v>
      </c>
      <c r="C6471" s="274" t="s">
        <v>206</v>
      </c>
      <c r="D6471" s="279" t="s">
        <v>11126</v>
      </c>
      <c r="E6471" s="274" t="s">
        <v>9714</v>
      </c>
    </row>
    <row r="6472" spans="1:5" ht="13.5">
      <c r="A6472" s="282">
        <v>88273</v>
      </c>
      <c r="B6472" s="274" t="s">
        <v>3064</v>
      </c>
      <c r="C6472" s="274" t="s">
        <v>206</v>
      </c>
      <c r="D6472" s="279" t="s">
        <v>16504</v>
      </c>
      <c r="E6472" s="274" t="s">
        <v>9714</v>
      </c>
    </row>
    <row r="6473" spans="1:5" ht="13.5">
      <c r="A6473" s="282">
        <v>88274</v>
      </c>
      <c r="B6473" s="274" t="s">
        <v>205</v>
      </c>
      <c r="C6473" s="274" t="s">
        <v>206</v>
      </c>
      <c r="D6473" s="279" t="s">
        <v>24384</v>
      </c>
      <c r="E6473" s="274" t="s">
        <v>9714</v>
      </c>
    </row>
    <row r="6474" spans="1:5" ht="13.5">
      <c r="A6474" s="282">
        <v>88275</v>
      </c>
      <c r="B6474" s="274" t="s">
        <v>3065</v>
      </c>
      <c r="C6474" s="274" t="s">
        <v>206</v>
      </c>
      <c r="D6474" s="279" t="s">
        <v>24385</v>
      </c>
      <c r="E6474" s="274" t="s">
        <v>9714</v>
      </c>
    </row>
    <row r="6475" spans="1:5" ht="13.5">
      <c r="A6475" s="282">
        <v>88277</v>
      </c>
      <c r="B6475" s="274" t="s">
        <v>148</v>
      </c>
      <c r="C6475" s="274" t="s">
        <v>206</v>
      </c>
      <c r="D6475" s="279" t="s">
        <v>10987</v>
      </c>
      <c r="E6475" s="274" t="s">
        <v>9714</v>
      </c>
    </row>
    <row r="6476" spans="1:5" ht="13.5">
      <c r="A6476" s="282">
        <v>88278</v>
      </c>
      <c r="B6476" s="274" t="s">
        <v>3066</v>
      </c>
      <c r="C6476" s="274" t="s">
        <v>206</v>
      </c>
      <c r="D6476" s="279" t="s">
        <v>19155</v>
      </c>
      <c r="E6476" s="274" t="s">
        <v>9714</v>
      </c>
    </row>
    <row r="6477" spans="1:5" ht="13.5">
      <c r="A6477" s="282">
        <v>88279</v>
      </c>
      <c r="B6477" s="274" t="s">
        <v>3067</v>
      </c>
      <c r="C6477" s="274" t="s">
        <v>206</v>
      </c>
      <c r="D6477" s="279" t="s">
        <v>16364</v>
      </c>
      <c r="E6477" s="274" t="s">
        <v>9714</v>
      </c>
    </row>
    <row r="6478" spans="1:5" ht="13.5">
      <c r="A6478" s="282">
        <v>88281</v>
      </c>
      <c r="B6478" s="274" t="s">
        <v>3068</v>
      </c>
      <c r="C6478" s="274" t="s">
        <v>206</v>
      </c>
      <c r="D6478" s="279" t="s">
        <v>14132</v>
      </c>
      <c r="E6478" s="274" t="s">
        <v>9714</v>
      </c>
    </row>
    <row r="6479" spans="1:5" ht="13.5">
      <c r="A6479" s="282">
        <v>88282</v>
      </c>
      <c r="B6479" s="274" t="s">
        <v>3069</v>
      </c>
      <c r="C6479" s="274" t="s">
        <v>206</v>
      </c>
      <c r="D6479" s="279" t="s">
        <v>14225</v>
      </c>
      <c r="E6479" s="274" t="s">
        <v>9714</v>
      </c>
    </row>
    <row r="6480" spans="1:5" ht="13.5">
      <c r="A6480" s="282">
        <v>88283</v>
      </c>
      <c r="B6480" s="274" t="s">
        <v>3070</v>
      </c>
      <c r="C6480" s="274" t="s">
        <v>206</v>
      </c>
      <c r="D6480" s="279" t="s">
        <v>11381</v>
      </c>
      <c r="E6480" s="274" t="s">
        <v>9714</v>
      </c>
    </row>
    <row r="6481" spans="1:5" ht="13.5">
      <c r="A6481" s="282">
        <v>88284</v>
      </c>
      <c r="B6481" s="274" t="s">
        <v>3071</v>
      </c>
      <c r="C6481" s="274" t="s">
        <v>206</v>
      </c>
      <c r="D6481" s="279" t="s">
        <v>16431</v>
      </c>
      <c r="E6481" s="274" t="s">
        <v>9714</v>
      </c>
    </row>
    <row r="6482" spans="1:5" ht="13.5">
      <c r="A6482" s="282">
        <v>88285</v>
      </c>
      <c r="B6482" s="274" t="s">
        <v>3072</v>
      </c>
      <c r="C6482" s="274" t="s">
        <v>206</v>
      </c>
      <c r="D6482" s="279" t="s">
        <v>12153</v>
      </c>
      <c r="E6482" s="274" t="s">
        <v>9714</v>
      </c>
    </row>
    <row r="6483" spans="1:5" ht="13.5">
      <c r="A6483" s="282">
        <v>88286</v>
      </c>
      <c r="B6483" s="274" t="s">
        <v>3073</v>
      </c>
      <c r="C6483" s="274" t="s">
        <v>206</v>
      </c>
      <c r="D6483" s="279" t="s">
        <v>16439</v>
      </c>
      <c r="E6483" s="274" t="s">
        <v>9714</v>
      </c>
    </row>
    <row r="6484" spans="1:5" ht="13.5">
      <c r="A6484" s="282">
        <v>88288</v>
      </c>
      <c r="B6484" s="274" t="s">
        <v>3074</v>
      </c>
      <c r="C6484" s="274" t="s">
        <v>206</v>
      </c>
      <c r="D6484" s="279" t="s">
        <v>10871</v>
      </c>
      <c r="E6484" s="274" t="s">
        <v>9714</v>
      </c>
    </row>
    <row r="6485" spans="1:5" ht="13.5">
      <c r="A6485" s="282">
        <v>88291</v>
      </c>
      <c r="B6485" s="274" t="s">
        <v>3075</v>
      </c>
      <c r="C6485" s="274" t="s">
        <v>206</v>
      </c>
      <c r="D6485" s="279" t="s">
        <v>12246</v>
      </c>
      <c r="E6485" s="498" t="s">
        <v>9714</v>
      </c>
    </row>
    <row r="6486" spans="1:5" ht="13.5">
      <c r="A6486" s="282">
        <v>88292</v>
      </c>
      <c r="B6486" s="274" t="s">
        <v>3076</v>
      </c>
      <c r="C6486" s="274" t="s">
        <v>206</v>
      </c>
      <c r="D6486" s="279" t="s">
        <v>10999</v>
      </c>
      <c r="E6486" s="498" t="s">
        <v>9714</v>
      </c>
    </row>
    <row r="6487" spans="1:5" ht="13.5">
      <c r="A6487" s="282">
        <v>88293</v>
      </c>
      <c r="B6487" s="274" t="s">
        <v>3077</v>
      </c>
      <c r="C6487" s="274" t="s">
        <v>206</v>
      </c>
      <c r="D6487" s="279" t="s">
        <v>14178</v>
      </c>
      <c r="E6487" s="498" t="s">
        <v>9714</v>
      </c>
    </row>
    <row r="6488" spans="1:5" ht="13.5">
      <c r="A6488" s="282">
        <v>88294</v>
      </c>
      <c r="B6488" s="274" t="s">
        <v>3078</v>
      </c>
      <c r="C6488" s="274" t="s">
        <v>206</v>
      </c>
      <c r="D6488" s="279" t="s">
        <v>23909</v>
      </c>
      <c r="E6488" s="498" t="s">
        <v>9714</v>
      </c>
    </row>
    <row r="6489" spans="1:5" ht="13.5">
      <c r="A6489" s="282">
        <v>88295</v>
      </c>
      <c r="B6489" s="274" t="s">
        <v>3079</v>
      </c>
      <c r="C6489" s="274" t="s">
        <v>206</v>
      </c>
      <c r="D6489" s="279" t="s">
        <v>16439</v>
      </c>
      <c r="E6489" s="498" t="s">
        <v>9714</v>
      </c>
    </row>
    <row r="6490" spans="1:5" ht="13.5">
      <c r="A6490" s="282">
        <v>88296</v>
      </c>
      <c r="B6490" s="274" t="s">
        <v>3080</v>
      </c>
      <c r="C6490" s="274" t="s">
        <v>206</v>
      </c>
      <c r="D6490" s="279" t="s">
        <v>16439</v>
      </c>
      <c r="E6490" s="498" t="s">
        <v>9714</v>
      </c>
    </row>
    <row r="6491" spans="1:5" ht="13.5">
      <c r="A6491" s="282">
        <v>88297</v>
      </c>
      <c r="B6491" s="274" t="s">
        <v>3081</v>
      </c>
      <c r="C6491" s="274" t="s">
        <v>206</v>
      </c>
      <c r="D6491" s="279" t="s">
        <v>14218</v>
      </c>
      <c r="E6491" s="498" t="s">
        <v>9714</v>
      </c>
    </row>
    <row r="6492" spans="1:5" ht="13.5">
      <c r="A6492" s="282">
        <v>88298</v>
      </c>
      <c r="B6492" s="274" t="s">
        <v>3082</v>
      </c>
      <c r="C6492" s="274" t="s">
        <v>206</v>
      </c>
      <c r="D6492" s="279" t="s">
        <v>24386</v>
      </c>
      <c r="E6492" s="498" t="s">
        <v>9714</v>
      </c>
    </row>
    <row r="6493" spans="1:5" ht="13.5">
      <c r="A6493" s="282">
        <v>88299</v>
      </c>
      <c r="B6493" s="274" t="s">
        <v>3083</v>
      </c>
      <c r="C6493" s="274" t="s">
        <v>206</v>
      </c>
      <c r="D6493" s="279" t="s">
        <v>19687</v>
      </c>
      <c r="E6493" s="498" t="s">
        <v>9714</v>
      </c>
    </row>
    <row r="6494" spans="1:5" ht="13.5">
      <c r="A6494" s="282">
        <v>88300</v>
      </c>
      <c r="B6494" s="274" t="s">
        <v>3084</v>
      </c>
      <c r="C6494" s="274" t="s">
        <v>206</v>
      </c>
      <c r="D6494" s="279" t="s">
        <v>23301</v>
      </c>
      <c r="E6494" s="498" t="s">
        <v>9714</v>
      </c>
    </row>
    <row r="6495" spans="1:5" ht="13.5">
      <c r="A6495" s="282">
        <v>88301</v>
      </c>
      <c r="B6495" s="274" t="s">
        <v>3085</v>
      </c>
      <c r="C6495" s="274" t="s">
        <v>206</v>
      </c>
      <c r="D6495" s="279" t="s">
        <v>20664</v>
      </c>
      <c r="E6495" s="498" t="s">
        <v>9714</v>
      </c>
    </row>
    <row r="6496" spans="1:5" ht="13.5">
      <c r="A6496" s="282">
        <v>88302</v>
      </c>
      <c r="B6496" s="274" t="s">
        <v>3086</v>
      </c>
      <c r="C6496" s="274" t="s">
        <v>206</v>
      </c>
      <c r="D6496" s="279" t="s">
        <v>12349</v>
      </c>
      <c r="E6496" s="498" t="s">
        <v>9714</v>
      </c>
    </row>
    <row r="6497" spans="1:5" ht="13.5">
      <c r="A6497" s="282">
        <v>88303</v>
      </c>
      <c r="B6497" s="274" t="s">
        <v>3087</v>
      </c>
      <c r="C6497" s="274" t="s">
        <v>206</v>
      </c>
      <c r="D6497" s="279" t="s">
        <v>11438</v>
      </c>
      <c r="E6497" s="498" t="s">
        <v>9714</v>
      </c>
    </row>
    <row r="6498" spans="1:5" ht="13.5">
      <c r="A6498" s="282">
        <v>88304</v>
      </c>
      <c r="B6498" s="274" t="s">
        <v>3088</v>
      </c>
      <c r="C6498" s="274" t="s">
        <v>206</v>
      </c>
      <c r="D6498" s="279" t="s">
        <v>10579</v>
      </c>
      <c r="E6498" s="498" t="s">
        <v>9714</v>
      </c>
    </row>
    <row r="6499" spans="1:5" ht="13.5">
      <c r="A6499" s="282">
        <v>88306</v>
      </c>
      <c r="B6499" s="274" t="s">
        <v>3089</v>
      </c>
      <c r="C6499" s="274" t="s">
        <v>206</v>
      </c>
      <c r="D6499" s="279" t="s">
        <v>10270</v>
      </c>
      <c r="E6499" s="498" t="s">
        <v>9714</v>
      </c>
    </row>
    <row r="6500" spans="1:5" ht="13.5">
      <c r="A6500" s="282">
        <v>88307</v>
      </c>
      <c r="B6500" s="274" t="s">
        <v>3090</v>
      </c>
      <c r="C6500" s="274" t="s">
        <v>206</v>
      </c>
      <c r="D6500" s="279" t="s">
        <v>23672</v>
      </c>
      <c r="E6500" s="498" t="s">
        <v>9714</v>
      </c>
    </row>
    <row r="6501" spans="1:5" ht="13.5">
      <c r="A6501" s="282">
        <v>88308</v>
      </c>
      <c r="B6501" s="274" t="s">
        <v>3091</v>
      </c>
      <c r="C6501" s="274" t="s">
        <v>206</v>
      </c>
      <c r="D6501" s="279" t="s">
        <v>23304</v>
      </c>
      <c r="E6501" s="498" t="s">
        <v>9714</v>
      </c>
    </row>
    <row r="6502" spans="1:5" ht="13.5">
      <c r="A6502" s="282">
        <v>88309</v>
      </c>
      <c r="B6502" s="274" t="s">
        <v>105</v>
      </c>
      <c r="C6502" s="274" t="s">
        <v>206</v>
      </c>
      <c r="D6502" s="279" t="s">
        <v>11439</v>
      </c>
      <c r="E6502" s="498" t="s">
        <v>9714</v>
      </c>
    </row>
    <row r="6503" spans="1:5" ht="13.5">
      <c r="A6503" s="282">
        <v>88310</v>
      </c>
      <c r="B6503" s="274" t="s">
        <v>226</v>
      </c>
      <c r="C6503" s="274" t="s">
        <v>206</v>
      </c>
      <c r="D6503" s="279" t="s">
        <v>12276</v>
      </c>
      <c r="E6503" s="498" t="s">
        <v>9714</v>
      </c>
    </row>
    <row r="6504" spans="1:5" ht="13.5">
      <c r="A6504" s="282">
        <v>88311</v>
      </c>
      <c r="B6504" s="274" t="s">
        <v>3092</v>
      </c>
      <c r="C6504" s="274" t="s">
        <v>206</v>
      </c>
      <c r="D6504" s="279" t="s">
        <v>10640</v>
      </c>
      <c r="E6504" s="498" t="s">
        <v>9714</v>
      </c>
    </row>
    <row r="6505" spans="1:5" ht="13.5">
      <c r="A6505" s="282">
        <v>88312</v>
      </c>
      <c r="B6505" s="274" t="s">
        <v>3093</v>
      </c>
      <c r="C6505" s="274" t="s">
        <v>206</v>
      </c>
      <c r="D6505" s="279" t="s">
        <v>12443</v>
      </c>
      <c r="E6505" s="498" t="s">
        <v>9714</v>
      </c>
    </row>
    <row r="6506" spans="1:5" ht="13.5">
      <c r="A6506" s="282">
        <v>88313</v>
      </c>
      <c r="B6506" s="274" t="s">
        <v>3094</v>
      </c>
      <c r="C6506" s="274" t="s">
        <v>206</v>
      </c>
      <c r="D6506" s="279" t="s">
        <v>10294</v>
      </c>
      <c r="E6506" s="498" t="s">
        <v>9714</v>
      </c>
    </row>
    <row r="6507" spans="1:5" ht="13.5">
      <c r="A6507" s="282">
        <v>88314</v>
      </c>
      <c r="B6507" s="274" t="s">
        <v>3095</v>
      </c>
      <c r="C6507" s="274" t="s">
        <v>206</v>
      </c>
      <c r="D6507" s="279" t="s">
        <v>11501</v>
      </c>
      <c r="E6507" s="498" t="s">
        <v>9714</v>
      </c>
    </row>
    <row r="6508" spans="1:5" ht="13.5">
      <c r="A6508" s="282">
        <v>88315</v>
      </c>
      <c r="B6508" s="274" t="s">
        <v>208</v>
      </c>
      <c r="C6508" s="274" t="s">
        <v>206</v>
      </c>
      <c r="D6508" s="279" t="s">
        <v>21052</v>
      </c>
      <c r="E6508" s="498" t="s">
        <v>9714</v>
      </c>
    </row>
    <row r="6509" spans="1:5" ht="13.5">
      <c r="A6509" s="282">
        <v>88316</v>
      </c>
      <c r="B6509" s="274" t="s">
        <v>104</v>
      </c>
      <c r="C6509" s="274" t="s">
        <v>206</v>
      </c>
      <c r="D6509" s="279" t="s">
        <v>10172</v>
      </c>
      <c r="E6509" s="498" t="s">
        <v>9714</v>
      </c>
    </row>
    <row r="6510" spans="1:5" ht="13.5">
      <c r="A6510" s="282">
        <v>88317</v>
      </c>
      <c r="B6510" s="274" t="s">
        <v>3096</v>
      </c>
      <c r="C6510" s="274" t="s">
        <v>206</v>
      </c>
      <c r="D6510" s="279" t="s">
        <v>18764</v>
      </c>
      <c r="E6510" s="498" t="s">
        <v>9714</v>
      </c>
    </row>
    <row r="6511" spans="1:5" ht="13.5">
      <c r="A6511" s="282">
        <v>88318</v>
      </c>
      <c r="B6511" s="274" t="s">
        <v>3097</v>
      </c>
      <c r="C6511" s="274" t="s">
        <v>206</v>
      </c>
      <c r="D6511" s="279" t="s">
        <v>24387</v>
      </c>
      <c r="E6511" s="498" t="s">
        <v>9714</v>
      </c>
    </row>
    <row r="6512" spans="1:5" ht="13.5">
      <c r="A6512" s="282">
        <v>88320</v>
      </c>
      <c r="B6512" s="274" t="s">
        <v>3098</v>
      </c>
      <c r="C6512" s="274" t="s">
        <v>206</v>
      </c>
      <c r="D6512" s="279" t="s">
        <v>24388</v>
      </c>
      <c r="E6512" s="498" t="s">
        <v>9714</v>
      </c>
    </row>
    <row r="6513" spans="1:5" ht="13.5">
      <c r="A6513" s="282">
        <v>88321</v>
      </c>
      <c r="B6513" s="274" t="s">
        <v>3099</v>
      </c>
      <c r="C6513" s="274" t="s">
        <v>206</v>
      </c>
      <c r="D6513" s="279" t="s">
        <v>12353</v>
      </c>
      <c r="E6513" s="498" t="s">
        <v>9714</v>
      </c>
    </row>
    <row r="6514" spans="1:5" ht="13.5">
      <c r="A6514" s="282">
        <v>88322</v>
      </c>
      <c r="B6514" s="274" t="s">
        <v>3100</v>
      </c>
      <c r="C6514" s="274" t="s">
        <v>206</v>
      </c>
      <c r="D6514" s="279" t="s">
        <v>16135</v>
      </c>
      <c r="E6514" s="498" t="s">
        <v>9714</v>
      </c>
    </row>
    <row r="6515" spans="1:5" ht="13.5">
      <c r="A6515" s="282">
        <v>88323</v>
      </c>
      <c r="B6515" s="274" t="s">
        <v>211</v>
      </c>
      <c r="C6515" s="274" t="s">
        <v>206</v>
      </c>
      <c r="D6515" s="279" t="s">
        <v>16553</v>
      </c>
      <c r="E6515" s="498" t="s">
        <v>9714</v>
      </c>
    </row>
    <row r="6516" spans="1:5" ht="13.5">
      <c r="A6516" s="282">
        <v>88324</v>
      </c>
      <c r="B6516" s="274" t="s">
        <v>3101</v>
      </c>
      <c r="C6516" s="274" t="s">
        <v>206</v>
      </c>
      <c r="D6516" s="279" t="s">
        <v>11357</v>
      </c>
      <c r="E6516" s="498" t="s">
        <v>9714</v>
      </c>
    </row>
    <row r="6517" spans="1:5" ht="13.5">
      <c r="A6517" s="282">
        <v>88325</v>
      </c>
      <c r="B6517" s="274" t="s">
        <v>3102</v>
      </c>
      <c r="C6517" s="274" t="s">
        <v>206</v>
      </c>
      <c r="D6517" s="279" t="s">
        <v>21076</v>
      </c>
      <c r="E6517" s="498" t="s">
        <v>9714</v>
      </c>
    </row>
    <row r="6518" spans="1:5" ht="13.5">
      <c r="A6518" s="282">
        <v>88326</v>
      </c>
      <c r="B6518" s="274" t="s">
        <v>173</v>
      </c>
      <c r="C6518" s="274" t="s">
        <v>206</v>
      </c>
      <c r="D6518" s="279" t="s">
        <v>11118</v>
      </c>
      <c r="E6518" s="498" t="s">
        <v>9714</v>
      </c>
    </row>
    <row r="6519" spans="1:5" ht="13.5">
      <c r="A6519" s="282">
        <v>88377</v>
      </c>
      <c r="B6519" s="274" t="s">
        <v>3103</v>
      </c>
      <c r="C6519" s="274" t="s">
        <v>206</v>
      </c>
      <c r="D6519" s="279" t="s">
        <v>16071</v>
      </c>
      <c r="E6519" s="498" t="s">
        <v>9714</v>
      </c>
    </row>
    <row r="6520" spans="1:5" ht="13.5">
      <c r="A6520" s="282">
        <v>88441</v>
      </c>
      <c r="B6520" s="274" t="s">
        <v>3104</v>
      </c>
      <c r="C6520" s="274" t="s">
        <v>206</v>
      </c>
      <c r="D6520" s="279" t="s">
        <v>16665</v>
      </c>
      <c r="E6520" s="498" t="s">
        <v>9714</v>
      </c>
    </row>
    <row r="6521" spans="1:5" ht="13.5">
      <c r="A6521" s="282">
        <v>88597</v>
      </c>
      <c r="B6521" s="274" t="s">
        <v>3105</v>
      </c>
      <c r="C6521" s="274" t="s">
        <v>206</v>
      </c>
      <c r="D6521" s="279" t="s">
        <v>14260</v>
      </c>
      <c r="E6521" s="498" t="s">
        <v>9714</v>
      </c>
    </row>
    <row r="6522" spans="1:5" ht="13.5">
      <c r="A6522" s="282">
        <v>90766</v>
      </c>
      <c r="B6522" s="274" t="s">
        <v>164</v>
      </c>
      <c r="C6522" s="274" t="s">
        <v>206</v>
      </c>
      <c r="D6522" s="279" t="s">
        <v>10929</v>
      </c>
      <c r="E6522" s="498" t="s">
        <v>9714</v>
      </c>
    </row>
    <row r="6523" spans="1:5" ht="13.5">
      <c r="A6523" s="282">
        <v>90767</v>
      </c>
      <c r="B6523" s="274" t="s">
        <v>3106</v>
      </c>
      <c r="C6523" s="274" t="s">
        <v>206</v>
      </c>
      <c r="D6523" s="279" t="s">
        <v>11522</v>
      </c>
      <c r="E6523" s="498" t="s">
        <v>9714</v>
      </c>
    </row>
    <row r="6524" spans="1:5" ht="13.5">
      <c r="A6524" s="282">
        <v>90768</v>
      </c>
      <c r="B6524" s="274" t="s">
        <v>3107</v>
      </c>
      <c r="C6524" s="274" t="s">
        <v>206</v>
      </c>
      <c r="D6524" s="279" t="s">
        <v>12463</v>
      </c>
      <c r="E6524" s="498" t="s">
        <v>9714</v>
      </c>
    </row>
    <row r="6525" spans="1:5" ht="13.5">
      <c r="A6525" s="282">
        <v>90769</v>
      </c>
      <c r="B6525" s="274" t="s">
        <v>3108</v>
      </c>
      <c r="C6525" s="274" t="s">
        <v>206</v>
      </c>
      <c r="D6525" s="279" t="s">
        <v>14282</v>
      </c>
      <c r="E6525" s="498" t="s">
        <v>9714</v>
      </c>
    </row>
    <row r="6526" spans="1:5" ht="13.5">
      <c r="A6526" s="282">
        <v>90770</v>
      </c>
      <c r="B6526" s="274" t="s">
        <v>3109</v>
      </c>
      <c r="C6526" s="274" t="s">
        <v>206</v>
      </c>
      <c r="D6526" s="279" t="s">
        <v>14283</v>
      </c>
      <c r="E6526" s="498" t="s">
        <v>9714</v>
      </c>
    </row>
    <row r="6527" spans="1:5" ht="13.5">
      <c r="A6527" s="282">
        <v>90771</v>
      </c>
      <c r="B6527" s="274" t="s">
        <v>3110</v>
      </c>
      <c r="C6527" s="274" t="s">
        <v>206</v>
      </c>
      <c r="D6527" s="279" t="s">
        <v>21150</v>
      </c>
      <c r="E6527" s="498" t="s">
        <v>9714</v>
      </c>
    </row>
    <row r="6528" spans="1:5" ht="13.5">
      <c r="A6528" s="282">
        <v>90772</v>
      </c>
      <c r="B6528" s="274" t="s">
        <v>3111</v>
      </c>
      <c r="C6528" s="274" t="s">
        <v>206</v>
      </c>
      <c r="D6528" s="279" t="s">
        <v>11553</v>
      </c>
      <c r="E6528" s="498" t="s">
        <v>9714</v>
      </c>
    </row>
    <row r="6529" spans="1:5" ht="13.5">
      <c r="A6529" s="282">
        <v>90773</v>
      </c>
      <c r="B6529" s="274" t="s">
        <v>295</v>
      </c>
      <c r="C6529" s="274" t="s">
        <v>206</v>
      </c>
      <c r="D6529" s="279" t="s">
        <v>11376</v>
      </c>
      <c r="E6529" s="498" t="s">
        <v>9714</v>
      </c>
    </row>
    <row r="6530" spans="1:5" ht="13.5">
      <c r="A6530" s="282">
        <v>90775</v>
      </c>
      <c r="B6530" s="274" t="s">
        <v>3112</v>
      </c>
      <c r="C6530" s="274" t="s">
        <v>206</v>
      </c>
      <c r="D6530" s="279" t="s">
        <v>16466</v>
      </c>
      <c r="E6530" s="498" t="s">
        <v>9714</v>
      </c>
    </row>
    <row r="6531" spans="1:5" ht="13.5">
      <c r="A6531" s="282">
        <v>90776</v>
      </c>
      <c r="B6531" s="274" t="s">
        <v>3113</v>
      </c>
      <c r="C6531" s="274" t="s">
        <v>206</v>
      </c>
      <c r="D6531" s="279" t="s">
        <v>15861</v>
      </c>
      <c r="E6531" s="498" t="s">
        <v>9714</v>
      </c>
    </row>
    <row r="6532" spans="1:5" ht="13.5">
      <c r="A6532" s="282">
        <v>90777</v>
      </c>
      <c r="B6532" s="274" t="s">
        <v>3114</v>
      </c>
      <c r="C6532" s="274" t="s">
        <v>206</v>
      </c>
      <c r="D6532" s="279" t="s">
        <v>14206</v>
      </c>
      <c r="E6532" s="498" t="s">
        <v>9714</v>
      </c>
    </row>
    <row r="6533" spans="1:5" ht="13.5">
      <c r="A6533" s="282">
        <v>90778</v>
      </c>
      <c r="B6533" s="274" t="s">
        <v>3115</v>
      </c>
      <c r="C6533" s="274" t="s">
        <v>206</v>
      </c>
      <c r="D6533" s="279" t="s">
        <v>14284</v>
      </c>
      <c r="E6533" s="498" t="s">
        <v>9714</v>
      </c>
    </row>
    <row r="6534" spans="1:5" ht="13.5">
      <c r="A6534" s="282">
        <v>90779</v>
      </c>
      <c r="B6534" s="274" t="s">
        <v>3116</v>
      </c>
      <c r="C6534" s="274" t="s">
        <v>206</v>
      </c>
      <c r="D6534" s="279" t="s">
        <v>14285</v>
      </c>
      <c r="E6534" s="498" t="s">
        <v>9714</v>
      </c>
    </row>
    <row r="6535" spans="1:5" ht="13.5">
      <c r="A6535" s="282">
        <v>90780</v>
      </c>
      <c r="B6535" s="274" t="s">
        <v>165</v>
      </c>
      <c r="C6535" s="274" t="s">
        <v>206</v>
      </c>
      <c r="D6535" s="279" t="s">
        <v>10104</v>
      </c>
      <c r="E6535" s="498" t="s">
        <v>9714</v>
      </c>
    </row>
    <row r="6536" spans="1:5" ht="13.5">
      <c r="A6536" s="282">
        <v>90781</v>
      </c>
      <c r="B6536" s="274" t="s">
        <v>3117</v>
      </c>
      <c r="C6536" s="274" t="s">
        <v>206</v>
      </c>
      <c r="D6536" s="279" t="s">
        <v>11116</v>
      </c>
      <c r="E6536" s="498" t="s">
        <v>9714</v>
      </c>
    </row>
    <row r="6537" spans="1:5" ht="13.5">
      <c r="A6537" s="282">
        <v>91677</v>
      </c>
      <c r="B6537" s="274" t="s">
        <v>3118</v>
      </c>
      <c r="C6537" s="274" t="s">
        <v>206</v>
      </c>
      <c r="D6537" s="279" t="s">
        <v>14229</v>
      </c>
      <c r="E6537" s="498" t="s">
        <v>9714</v>
      </c>
    </row>
    <row r="6538" spans="1:5" ht="13.5">
      <c r="A6538" s="282">
        <v>91678</v>
      </c>
      <c r="B6538" s="274" t="s">
        <v>3119</v>
      </c>
      <c r="C6538" s="274" t="s">
        <v>206</v>
      </c>
      <c r="D6538" s="279" t="s">
        <v>14286</v>
      </c>
      <c r="E6538" s="498" t="s">
        <v>9714</v>
      </c>
    </row>
    <row r="6539" spans="1:5" ht="13.5">
      <c r="A6539" s="282">
        <v>93558</v>
      </c>
      <c r="B6539" s="274" t="s">
        <v>3120</v>
      </c>
      <c r="C6539" s="274" t="s">
        <v>380</v>
      </c>
      <c r="D6539" s="279" t="s">
        <v>24389</v>
      </c>
      <c r="E6539" s="498" t="s">
        <v>9714</v>
      </c>
    </row>
    <row r="6540" spans="1:5" ht="13.5">
      <c r="A6540" s="282">
        <v>93559</v>
      </c>
      <c r="B6540" s="274" t="s">
        <v>3105</v>
      </c>
      <c r="C6540" s="274" t="s">
        <v>380</v>
      </c>
      <c r="D6540" s="279" t="s">
        <v>24390</v>
      </c>
      <c r="E6540" s="498" t="s">
        <v>9714</v>
      </c>
    </row>
    <row r="6541" spans="1:5" ht="13.5">
      <c r="A6541" s="282">
        <v>93560</v>
      </c>
      <c r="B6541" s="274" t="s">
        <v>295</v>
      </c>
      <c r="C6541" s="274" t="s">
        <v>380</v>
      </c>
      <c r="D6541" s="279" t="s">
        <v>24391</v>
      </c>
      <c r="E6541" s="498" t="s">
        <v>9714</v>
      </c>
    </row>
    <row r="6542" spans="1:5" ht="13.5">
      <c r="A6542" s="282">
        <v>93561</v>
      </c>
      <c r="B6542" s="274" t="s">
        <v>3112</v>
      </c>
      <c r="C6542" s="274" t="s">
        <v>380</v>
      </c>
      <c r="D6542" s="279" t="s">
        <v>24392</v>
      </c>
      <c r="E6542" s="498" t="s">
        <v>9714</v>
      </c>
    </row>
    <row r="6543" spans="1:5" ht="13.5">
      <c r="A6543" s="282">
        <v>93562</v>
      </c>
      <c r="B6543" s="274" t="s">
        <v>3110</v>
      </c>
      <c r="C6543" s="274" t="s">
        <v>380</v>
      </c>
      <c r="D6543" s="279" t="s">
        <v>24393</v>
      </c>
      <c r="E6543" s="498" t="s">
        <v>9714</v>
      </c>
    </row>
    <row r="6544" spans="1:5" ht="13.5">
      <c r="A6544" s="282">
        <v>93563</v>
      </c>
      <c r="B6544" s="274" t="s">
        <v>164</v>
      </c>
      <c r="C6544" s="274" t="s">
        <v>380</v>
      </c>
      <c r="D6544" s="279" t="s">
        <v>14287</v>
      </c>
      <c r="E6544" s="498" t="s">
        <v>9714</v>
      </c>
    </row>
    <row r="6545" spans="1:5" ht="13.5">
      <c r="A6545" s="282">
        <v>93564</v>
      </c>
      <c r="B6545" s="274" t="s">
        <v>3106</v>
      </c>
      <c r="C6545" s="274" t="s">
        <v>380</v>
      </c>
      <c r="D6545" s="279" t="s">
        <v>14288</v>
      </c>
      <c r="E6545" s="498" t="s">
        <v>9714</v>
      </c>
    </row>
    <row r="6546" spans="1:5" ht="13.5">
      <c r="A6546" s="282">
        <v>93565</v>
      </c>
      <c r="B6546" s="274" t="s">
        <v>3114</v>
      </c>
      <c r="C6546" s="274" t="s">
        <v>380</v>
      </c>
      <c r="D6546" s="279" t="s">
        <v>14289</v>
      </c>
      <c r="E6546" s="498" t="s">
        <v>9714</v>
      </c>
    </row>
    <row r="6547" spans="1:5" ht="13.5">
      <c r="A6547" s="282">
        <v>93566</v>
      </c>
      <c r="B6547" s="274" t="s">
        <v>3111</v>
      </c>
      <c r="C6547" s="274" t="s">
        <v>380</v>
      </c>
      <c r="D6547" s="279" t="s">
        <v>14290</v>
      </c>
      <c r="E6547" s="498" t="s">
        <v>9714</v>
      </c>
    </row>
    <row r="6548" spans="1:5" ht="13.5">
      <c r="A6548" s="282">
        <v>93567</v>
      </c>
      <c r="B6548" s="274" t="s">
        <v>3115</v>
      </c>
      <c r="C6548" s="274" t="s">
        <v>380</v>
      </c>
      <c r="D6548" s="279" t="s">
        <v>14291</v>
      </c>
      <c r="E6548" s="498" t="s">
        <v>9714</v>
      </c>
    </row>
    <row r="6549" spans="1:5" ht="13.5">
      <c r="A6549" s="282">
        <v>93568</v>
      </c>
      <c r="B6549" s="274" t="s">
        <v>3116</v>
      </c>
      <c r="C6549" s="274" t="s">
        <v>380</v>
      </c>
      <c r="D6549" s="279" t="s">
        <v>14292</v>
      </c>
      <c r="E6549" s="498" t="s">
        <v>9714</v>
      </c>
    </row>
    <row r="6550" spans="1:5" ht="13.5">
      <c r="A6550" s="282">
        <v>93569</v>
      </c>
      <c r="B6550" s="274" t="s">
        <v>3121</v>
      </c>
      <c r="C6550" s="274" t="s">
        <v>380</v>
      </c>
      <c r="D6550" s="279" t="s">
        <v>14293</v>
      </c>
      <c r="E6550" s="498" t="s">
        <v>9714</v>
      </c>
    </row>
    <row r="6551" spans="1:5" ht="13.5">
      <c r="A6551" s="282">
        <v>93570</v>
      </c>
      <c r="B6551" s="274" t="s">
        <v>3122</v>
      </c>
      <c r="C6551" s="274" t="s">
        <v>380</v>
      </c>
      <c r="D6551" s="279" t="s">
        <v>14294</v>
      </c>
      <c r="E6551" s="498" t="s">
        <v>9714</v>
      </c>
    </row>
    <row r="6552" spans="1:5" ht="13.5">
      <c r="A6552" s="282">
        <v>93571</v>
      </c>
      <c r="B6552" s="274" t="s">
        <v>3123</v>
      </c>
      <c r="C6552" s="274" t="s">
        <v>380</v>
      </c>
      <c r="D6552" s="279" t="s">
        <v>14295</v>
      </c>
      <c r="E6552" s="498" t="s">
        <v>9714</v>
      </c>
    </row>
    <row r="6553" spans="1:5" ht="13.5">
      <c r="A6553" s="282">
        <v>93572</v>
      </c>
      <c r="B6553" s="274" t="s">
        <v>291</v>
      </c>
      <c r="C6553" s="274" t="s">
        <v>380</v>
      </c>
      <c r="D6553" s="279" t="s">
        <v>24394</v>
      </c>
      <c r="E6553" s="498" t="s">
        <v>9714</v>
      </c>
    </row>
    <row r="6554" spans="1:5" ht="13.5">
      <c r="A6554" s="282">
        <v>94295</v>
      </c>
      <c r="B6554" s="274" t="s">
        <v>165</v>
      </c>
      <c r="C6554" s="274" t="s">
        <v>380</v>
      </c>
      <c r="D6554" s="279" t="s">
        <v>24395</v>
      </c>
      <c r="E6554" s="498" t="s">
        <v>9714</v>
      </c>
    </row>
    <row r="6555" spans="1:5" ht="13.5">
      <c r="A6555" s="282">
        <v>94296</v>
      </c>
      <c r="B6555" s="274" t="s">
        <v>3117</v>
      </c>
      <c r="C6555" s="274" t="s">
        <v>380</v>
      </c>
      <c r="D6555" s="279" t="s">
        <v>24396</v>
      </c>
      <c r="E6555" s="498" t="s">
        <v>9714</v>
      </c>
    </row>
    <row r="6556" spans="1:5" ht="13.5">
      <c r="A6556" s="282">
        <v>95308</v>
      </c>
      <c r="B6556" s="274" t="s">
        <v>3124</v>
      </c>
      <c r="C6556" s="274" t="s">
        <v>206</v>
      </c>
      <c r="D6556" s="279" t="s">
        <v>10029</v>
      </c>
      <c r="E6556" s="498" t="s">
        <v>9714</v>
      </c>
    </row>
    <row r="6557" spans="1:5" ht="13.5">
      <c r="A6557" s="282">
        <v>95309</v>
      </c>
      <c r="B6557" s="274" t="s">
        <v>3125</v>
      </c>
      <c r="C6557" s="274" t="s">
        <v>206</v>
      </c>
      <c r="D6557" s="279" t="s">
        <v>9942</v>
      </c>
      <c r="E6557" s="498" t="s">
        <v>9714</v>
      </c>
    </row>
    <row r="6558" spans="1:5" ht="27">
      <c r="A6558" s="282">
        <v>95310</v>
      </c>
      <c r="B6558" s="274" t="s">
        <v>3126</v>
      </c>
      <c r="C6558" s="274" t="s">
        <v>206</v>
      </c>
      <c r="D6558" s="279" t="s">
        <v>9921</v>
      </c>
      <c r="E6558" s="498" t="s">
        <v>9714</v>
      </c>
    </row>
    <row r="6559" spans="1:5" ht="27">
      <c r="A6559" s="282">
        <v>95311</v>
      </c>
      <c r="B6559" s="274" t="s">
        <v>3127</v>
      </c>
      <c r="C6559" s="274" t="s">
        <v>206</v>
      </c>
      <c r="D6559" s="279" t="s">
        <v>10029</v>
      </c>
      <c r="E6559" s="498" t="s">
        <v>9714</v>
      </c>
    </row>
    <row r="6560" spans="1:5" ht="13.5">
      <c r="A6560" s="282">
        <v>95312</v>
      </c>
      <c r="B6560" s="274" t="s">
        <v>3128</v>
      </c>
      <c r="C6560" s="274" t="s">
        <v>206</v>
      </c>
      <c r="D6560" s="279" t="s">
        <v>9959</v>
      </c>
      <c r="E6560" s="498" t="s">
        <v>9714</v>
      </c>
    </row>
    <row r="6561" spans="1:5" ht="13.5">
      <c r="A6561" s="282">
        <v>95313</v>
      </c>
      <c r="B6561" s="274" t="s">
        <v>3129</v>
      </c>
      <c r="C6561" s="274" t="s">
        <v>206</v>
      </c>
      <c r="D6561" s="279" t="s">
        <v>9879</v>
      </c>
      <c r="E6561" s="498" t="s">
        <v>9714</v>
      </c>
    </row>
    <row r="6562" spans="1:5" ht="13.5">
      <c r="A6562" s="282">
        <v>95314</v>
      </c>
      <c r="B6562" s="274" t="s">
        <v>3130</v>
      </c>
      <c r="C6562" s="274" t="s">
        <v>206</v>
      </c>
      <c r="D6562" s="279" t="s">
        <v>9942</v>
      </c>
      <c r="E6562" s="498" t="s">
        <v>9714</v>
      </c>
    </row>
    <row r="6563" spans="1:5" ht="13.5">
      <c r="A6563" s="282">
        <v>95315</v>
      </c>
      <c r="B6563" s="274" t="s">
        <v>3131</v>
      </c>
      <c r="C6563" s="274" t="s">
        <v>206</v>
      </c>
      <c r="D6563" s="279" t="s">
        <v>9880</v>
      </c>
      <c r="E6563" s="498" t="s">
        <v>9714</v>
      </c>
    </row>
    <row r="6564" spans="1:5" ht="13.5">
      <c r="A6564" s="282">
        <v>95316</v>
      </c>
      <c r="B6564" s="274" t="s">
        <v>3132</v>
      </c>
      <c r="C6564" s="274" t="s">
        <v>206</v>
      </c>
      <c r="D6564" s="279" t="s">
        <v>9852</v>
      </c>
      <c r="E6564" s="498" t="s">
        <v>9714</v>
      </c>
    </row>
    <row r="6565" spans="1:5" ht="27">
      <c r="A6565" s="282">
        <v>95317</v>
      </c>
      <c r="B6565" s="274" t="s">
        <v>3133</v>
      </c>
      <c r="C6565" s="274" t="s">
        <v>206</v>
      </c>
      <c r="D6565" s="279" t="s">
        <v>9832</v>
      </c>
      <c r="E6565" s="498" t="s">
        <v>9714</v>
      </c>
    </row>
    <row r="6566" spans="1:5" ht="13.5">
      <c r="A6566" s="282">
        <v>95318</v>
      </c>
      <c r="B6566" s="274" t="s">
        <v>3134</v>
      </c>
      <c r="C6566" s="274" t="s">
        <v>206</v>
      </c>
      <c r="D6566" s="279" t="s">
        <v>9866</v>
      </c>
      <c r="E6566" s="498" t="s">
        <v>9714</v>
      </c>
    </row>
    <row r="6567" spans="1:5" ht="13.5">
      <c r="A6567" s="282">
        <v>95319</v>
      </c>
      <c r="B6567" s="274" t="s">
        <v>3135</v>
      </c>
      <c r="C6567" s="274" t="s">
        <v>206</v>
      </c>
      <c r="D6567" s="279" t="s">
        <v>9925</v>
      </c>
      <c r="E6567" s="498" t="s">
        <v>9714</v>
      </c>
    </row>
    <row r="6568" spans="1:5" ht="13.5">
      <c r="A6568" s="282">
        <v>95320</v>
      </c>
      <c r="B6568" s="274" t="s">
        <v>3136</v>
      </c>
      <c r="C6568" s="274" t="s">
        <v>206</v>
      </c>
      <c r="D6568" s="279" t="s">
        <v>10029</v>
      </c>
      <c r="E6568" s="498" t="s">
        <v>9714</v>
      </c>
    </row>
    <row r="6569" spans="1:5" ht="27">
      <c r="A6569" s="282">
        <v>95321</v>
      </c>
      <c r="B6569" s="274" t="s">
        <v>3137</v>
      </c>
      <c r="C6569" s="274" t="s">
        <v>206</v>
      </c>
      <c r="D6569" s="279" t="s">
        <v>10029</v>
      </c>
      <c r="E6569" s="498" t="s">
        <v>9714</v>
      </c>
    </row>
    <row r="6570" spans="1:5" ht="13.5">
      <c r="A6570" s="282">
        <v>95322</v>
      </c>
      <c r="B6570" s="274" t="s">
        <v>3138</v>
      </c>
      <c r="C6570" s="274" t="s">
        <v>206</v>
      </c>
      <c r="D6570" s="279" t="s">
        <v>9873</v>
      </c>
      <c r="E6570" s="498" t="s">
        <v>9714</v>
      </c>
    </row>
    <row r="6571" spans="1:5" ht="27">
      <c r="A6571" s="282">
        <v>95323</v>
      </c>
      <c r="B6571" s="274" t="s">
        <v>3139</v>
      </c>
      <c r="C6571" s="274" t="s">
        <v>206</v>
      </c>
      <c r="D6571" s="279" t="s">
        <v>10050</v>
      </c>
      <c r="E6571" s="498" t="s">
        <v>9714</v>
      </c>
    </row>
    <row r="6572" spans="1:5" ht="27">
      <c r="A6572" s="282">
        <v>95324</v>
      </c>
      <c r="B6572" s="274" t="s">
        <v>3140</v>
      </c>
      <c r="C6572" s="274" t="s">
        <v>206</v>
      </c>
      <c r="D6572" s="279" t="s">
        <v>9820</v>
      </c>
      <c r="E6572" s="498" t="s">
        <v>9714</v>
      </c>
    </row>
    <row r="6573" spans="1:5" ht="27">
      <c r="A6573" s="282">
        <v>95325</v>
      </c>
      <c r="B6573" s="274" t="s">
        <v>3141</v>
      </c>
      <c r="C6573" s="274" t="s">
        <v>206</v>
      </c>
      <c r="D6573" s="279" t="s">
        <v>9832</v>
      </c>
      <c r="E6573" s="498" t="s">
        <v>9714</v>
      </c>
    </row>
    <row r="6574" spans="1:5" ht="27">
      <c r="A6574" s="282">
        <v>95326</v>
      </c>
      <c r="B6574" s="274" t="s">
        <v>3142</v>
      </c>
      <c r="C6574" s="274" t="s">
        <v>206</v>
      </c>
      <c r="D6574" s="279" t="s">
        <v>9921</v>
      </c>
      <c r="E6574" s="498" t="s">
        <v>9714</v>
      </c>
    </row>
    <row r="6575" spans="1:5" ht="13.5">
      <c r="A6575" s="282">
        <v>95328</v>
      </c>
      <c r="B6575" s="274" t="s">
        <v>3143</v>
      </c>
      <c r="C6575" s="274" t="s">
        <v>206</v>
      </c>
      <c r="D6575" s="279" t="s">
        <v>9880</v>
      </c>
      <c r="E6575" s="498" t="s">
        <v>9714</v>
      </c>
    </row>
    <row r="6576" spans="1:5" ht="27">
      <c r="A6576" s="282">
        <v>95329</v>
      </c>
      <c r="B6576" s="274" t="s">
        <v>3144</v>
      </c>
      <c r="C6576" s="274" t="s">
        <v>206</v>
      </c>
      <c r="D6576" s="279" t="s">
        <v>9820</v>
      </c>
      <c r="E6576" s="498" t="s">
        <v>9714</v>
      </c>
    </row>
    <row r="6577" spans="1:5" ht="13.5">
      <c r="A6577" s="282">
        <v>95330</v>
      </c>
      <c r="B6577" s="274" t="s">
        <v>3145</v>
      </c>
      <c r="C6577" s="274" t="s">
        <v>206</v>
      </c>
      <c r="D6577" s="279" t="s">
        <v>9942</v>
      </c>
      <c r="E6577" s="498" t="s">
        <v>9714</v>
      </c>
    </row>
    <row r="6578" spans="1:5" ht="27">
      <c r="A6578" s="282">
        <v>95331</v>
      </c>
      <c r="B6578" s="274" t="s">
        <v>3146</v>
      </c>
      <c r="C6578" s="274" t="s">
        <v>206</v>
      </c>
      <c r="D6578" s="279" t="s">
        <v>9865</v>
      </c>
      <c r="E6578" s="498" t="s">
        <v>9714</v>
      </c>
    </row>
    <row r="6579" spans="1:5" ht="13.5">
      <c r="A6579" s="282">
        <v>95332</v>
      </c>
      <c r="B6579" s="274" t="s">
        <v>3147</v>
      </c>
      <c r="C6579" s="274" t="s">
        <v>206</v>
      </c>
      <c r="D6579" s="279" t="s">
        <v>9875</v>
      </c>
      <c r="E6579" s="498" t="s">
        <v>9714</v>
      </c>
    </row>
    <row r="6580" spans="1:5" ht="13.5">
      <c r="A6580" s="282">
        <v>95333</v>
      </c>
      <c r="B6580" s="274" t="s">
        <v>3148</v>
      </c>
      <c r="C6580" s="274" t="s">
        <v>206</v>
      </c>
      <c r="D6580" s="279" t="s">
        <v>9875</v>
      </c>
      <c r="E6580" s="498" t="s">
        <v>9714</v>
      </c>
    </row>
    <row r="6581" spans="1:5" ht="13.5">
      <c r="A6581" s="282">
        <v>95334</v>
      </c>
      <c r="B6581" s="274" t="s">
        <v>3149</v>
      </c>
      <c r="C6581" s="274" t="s">
        <v>206</v>
      </c>
      <c r="D6581" s="279" t="s">
        <v>10906</v>
      </c>
      <c r="E6581" s="498" t="s">
        <v>9714</v>
      </c>
    </row>
    <row r="6582" spans="1:5" ht="27">
      <c r="A6582" s="282">
        <v>95335</v>
      </c>
      <c r="B6582" s="274" t="s">
        <v>3150</v>
      </c>
      <c r="C6582" s="274" t="s">
        <v>206</v>
      </c>
      <c r="D6582" s="279" t="s">
        <v>9936</v>
      </c>
      <c r="E6582" s="498" t="s">
        <v>9714</v>
      </c>
    </row>
    <row r="6583" spans="1:5" ht="13.5">
      <c r="A6583" s="282">
        <v>95337</v>
      </c>
      <c r="B6583" s="274" t="s">
        <v>3151</v>
      </c>
      <c r="C6583" s="274" t="s">
        <v>206</v>
      </c>
      <c r="D6583" s="279" t="s">
        <v>9942</v>
      </c>
      <c r="E6583" s="274" t="s">
        <v>9714</v>
      </c>
    </row>
    <row r="6584" spans="1:5" ht="13.5">
      <c r="A6584" s="282">
        <v>95338</v>
      </c>
      <c r="B6584" s="274" t="s">
        <v>3152</v>
      </c>
      <c r="C6584" s="274" t="s">
        <v>206</v>
      </c>
      <c r="D6584" s="279" t="s">
        <v>9847</v>
      </c>
      <c r="E6584" s="274" t="s">
        <v>9714</v>
      </c>
    </row>
    <row r="6585" spans="1:5" ht="13.5">
      <c r="A6585" s="282">
        <v>95339</v>
      </c>
      <c r="B6585" s="274" t="s">
        <v>3153</v>
      </c>
      <c r="C6585" s="274" t="s">
        <v>206</v>
      </c>
      <c r="D6585" s="279" t="s">
        <v>10050</v>
      </c>
      <c r="E6585" s="274" t="s">
        <v>9714</v>
      </c>
    </row>
    <row r="6586" spans="1:5" ht="13.5">
      <c r="A6586" s="282">
        <v>95340</v>
      </c>
      <c r="B6586" s="274" t="s">
        <v>3154</v>
      </c>
      <c r="C6586" s="274" t="s">
        <v>206</v>
      </c>
      <c r="D6586" s="279" t="s">
        <v>9820</v>
      </c>
      <c r="E6586" s="274" t="s">
        <v>9714</v>
      </c>
    </row>
    <row r="6587" spans="1:5" ht="13.5">
      <c r="A6587" s="282">
        <v>95341</v>
      </c>
      <c r="B6587" s="274" t="s">
        <v>3155</v>
      </c>
      <c r="C6587" s="274" t="s">
        <v>206</v>
      </c>
      <c r="D6587" s="279" t="s">
        <v>9942</v>
      </c>
      <c r="E6587" s="274" t="s">
        <v>9714</v>
      </c>
    </row>
    <row r="6588" spans="1:5" ht="27">
      <c r="A6588" s="282">
        <v>95342</v>
      </c>
      <c r="B6588" s="274" t="s">
        <v>3156</v>
      </c>
      <c r="C6588" s="274" t="s">
        <v>206</v>
      </c>
      <c r="D6588" s="279" t="s">
        <v>9959</v>
      </c>
      <c r="E6588" s="274" t="s">
        <v>9714</v>
      </c>
    </row>
    <row r="6589" spans="1:5" ht="27">
      <c r="A6589" s="282">
        <v>95343</v>
      </c>
      <c r="B6589" s="274" t="s">
        <v>3157</v>
      </c>
      <c r="C6589" s="274" t="s">
        <v>206</v>
      </c>
      <c r="D6589" s="279" t="s">
        <v>9942</v>
      </c>
      <c r="E6589" s="274" t="s">
        <v>9714</v>
      </c>
    </row>
    <row r="6590" spans="1:5" ht="27">
      <c r="A6590" s="282">
        <v>95344</v>
      </c>
      <c r="B6590" s="274" t="s">
        <v>3158</v>
      </c>
      <c r="C6590" s="274" t="s">
        <v>206</v>
      </c>
      <c r="D6590" s="279" t="s">
        <v>10029</v>
      </c>
      <c r="E6590" s="274" t="s">
        <v>9714</v>
      </c>
    </row>
    <row r="6591" spans="1:5" ht="13.5">
      <c r="A6591" s="282">
        <v>95345</v>
      </c>
      <c r="B6591" s="274" t="s">
        <v>3159</v>
      </c>
      <c r="C6591" s="274" t="s">
        <v>206</v>
      </c>
      <c r="D6591" s="279" t="s">
        <v>11201</v>
      </c>
      <c r="E6591" s="274" t="s">
        <v>9714</v>
      </c>
    </row>
    <row r="6592" spans="1:5" ht="13.5">
      <c r="A6592" s="282">
        <v>95346</v>
      </c>
      <c r="B6592" s="274" t="s">
        <v>3160</v>
      </c>
      <c r="C6592" s="274" t="s">
        <v>206</v>
      </c>
      <c r="D6592" s="279" t="s">
        <v>9873</v>
      </c>
      <c r="E6592" s="274" t="s">
        <v>9714</v>
      </c>
    </row>
    <row r="6593" spans="1:5" ht="13.5">
      <c r="A6593" s="282">
        <v>95347</v>
      </c>
      <c r="B6593" s="274" t="s">
        <v>3161</v>
      </c>
      <c r="C6593" s="274" t="s">
        <v>206</v>
      </c>
      <c r="D6593" s="279" t="s">
        <v>9982</v>
      </c>
      <c r="E6593" s="274" t="s">
        <v>9714</v>
      </c>
    </row>
    <row r="6594" spans="1:5" ht="27">
      <c r="A6594" s="282">
        <v>95348</v>
      </c>
      <c r="B6594" s="274" t="s">
        <v>3162</v>
      </c>
      <c r="C6594" s="274" t="s">
        <v>206</v>
      </c>
      <c r="D6594" s="279" t="s">
        <v>9824</v>
      </c>
      <c r="E6594" s="274" t="s">
        <v>9714</v>
      </c>
    </row>
    <row r="6595" spans="1:5" ht="27">
      <c r="A6595" s="282">
        <v>95349</v>
      </c>
      <c r="B6595" s="274" t="s">
        <v>3163</v>
      </c>
      <c r="C6595" s="274" t="s">
        <v>206</v>
      </c>
      <c r="D6595" s="279" t="s">
        <v>9873</v>
      </c>
      <c r="E6595" s="274" t="s">
        <v>9714</v>
      </c>
    </row>
    <row r="6596" spans="1:5" ht="27">
      <c r="A6596" s="282">
        <v>95350</v>
      </c>
      <c r="B6596" s="274" t="s">
        <v>3164</v>
      </c>
      <c r="C6596" s="274" t="s">
        <v>206</v>
      </c>
      <c r="D6596" s="279" t="s">
        <v>9873</v>
      </c>
      <c r="E6596" s="274" t="s">
        <v>9714</v>
      </c>
    </row>
    <row r="6597" spans="1:5" ht="27">
      <c r="A6597" s="282">
        <v>95351</v>
      </c>
      <c r="B6597" s="274" t="s">
        <v>3165</v>
      </c>
      <c r="C6597" s="274" t="s">
        <v>206</v>
      </c>
      <c r="D6597" s="279" t="s">
        <v>9832</v>
      </c>
      <c r="E6597" s="274" t="s">
        <v>9714</v>
      </c>
    </row>
    <row r="6598" spans="1:5" ht="13.5">
      <c r="A6598" s="282">
        <v>95352</v>
      </c>
      <c r="B6598" s="274" t="s">
        <v>3166</v>
      </c>
      <c r="C6598" s="274" t="s">
        <v>206</v>
      </c>
      <c r="D6598" s="279" t="s">
        <v>9982</v>
      </c>
      <c r="E6598" s="274" t="s">
        <v>9714</v>
      </c>
    </row>
    <row r="6599" spans="1:5" ht="27">
      <c r="A6599" s="282">
        <v>95354</v>
      </c>
      <c r="B6599" s="274" t="s">
        <v>3167</v>
      </c>
      <c r="C6599" s="274" t="s">
        <v>206</v>
      </c>
      <c r="D6599" s="279" t="s">
        <v>9921</v>
      </c>
      <c r="E6599" s="274" t="s">
        <v>9714</v>
      </c>
    </row>
    <row r="6600" spans="1:5" ht="27">
      <c r="A6600" s="282">
        <v>95355</v>
      </c>
      <c r="B6600" s="274" t="s">
        <v>3168</v>
      </c>
      <c r="C6600" s="274" t="s">
        <v>206</v>
      </c>
      <c r="D6600" s="279" t="s">
        <v>9921</v>
      </c>
      <c r="E6600" s="498" t="s">
        <v>9714</v>
      </c>
    </row>
    <row r="6601" spans="1:5" ht="27">
      <c r="A6601" s="282">
        <v>95356</v>
      </c>
      <c r="B6601" s="274" t="s">
        <v>3169</v>
      </c>
      <c r="C6601" s="274" t="s">
        <v>206</v>
      </c>
      <c r="D6601" s="279" t="s">
        <v>9925</v>
      </c>
      <c r="E6601" s="498" t="s">
        <v>9714</v>
      </c>
    </row>
    <row r="6602" spans="1:5" ht="13.5">
      <c r="A6602" s="282">
        <v>95357</v>
      </c>
      <c r="B6602" s="274" t="s">
        <v>3170</v>
      </c>
      <c r="C6602" s="274" t="s">
        <v>206</v>
      </c>
      <c r="D6602" s="279" t="s">
        <v>9942</v>
      </c>
      <c r="E6602" s="498" t="s">
        <v>9714</v>
      </c>
    </row>
    <row r="6603" spans="1:5" ht="13.5">
      <c r="A6603" s="282">
        <v>95358</v>
      </c>
      <c r="B6603" s="274" t="s">
        <v>3171</v>
      </c>
      <c r="C6603" s="274" t="s">
        <v>206</v>
      </c>
      <c r="D6603" s="279" t="s">
        <v>9832</v>
      </c>
      <c r="E6603" s="498" t="s">
        <v>9714</v>
      </c>
    </row>
    <row r="6604" spans="1:5" ht="13.5">
      <c r="A6604" s="282">
        <v>95359</v>
      </c>
      <c r="B6604" s="274" t="s">
        <v>3172</v>
      </c>
      <c r="C6604" s="274" t="s">
        <v>206</v>
      </c>
      <c r="D6604" s="279" t="s">
        <v>9832</v>
      </c>
      <c r="E6604" s="498" t="s">
        <v>9714</v>
      </c>
    </row>
    <row r="6605" spans="1:5" ht="27">
      <c r="A6605" s="282">
        <v>95360</v>
      </c>
      <c r="B6605" s="274" t="s">
        <v>3173</v>
      </c>
      <c r="C6605" s="274" t="s">
        <v>206</v>
      </c>
      <c r="D6605" s="279" t="s">
        <v>10029</v>
      </c>
      <c r="E6605" s="498" t="s">
        <v>9714</v>
      </c>
    </row>
    <row r="6606" spans="1:5" ht="27">
      <c r="A6606" s="282">
        <v>95361</v>
      </c>
      <c r="B6606" s="274" t="s">
        <v>3174</v>
      </c>
      <c r="C6606" s="274" t="s">
        <v>206</v>
      </c>
      <c r="D6606" s="279" t="s">
        <v>9865</v>
      </c>
      <c r="E6606" s="498" t="s">
        <v>9714</v>
      </c>
    </row>
    <row r="6607" spans="1:5" ht="27">
      <c r="A6607" s="282">
        <v>95362</v>
      </c>
      <c r="B6607" s="274" t="s">
        <v>3175</v>
      </c>
      <c r="C6607" s="274" t="s">
        <v>206</v>
      </c>
      <c r="D6607" s="279" t="s">
        <v>9925</v>
      </c>
      <c r="E6607" s="498" t="s">
        <v>9714</v>
      </c>
    </row>
    <row r="6608" spans="1:5" ht="27">
      <c r="A6608" s="282">
        <v>95363</v>
      </c>
      <c r="B6608" s="274" t="s">
        <v>3176</v>
      </c>
      <c r="C6608" s="274" t="s">
        <v>206</v>
      </c>
      <c r="D6608" s="279" t="s">
        <v>9959</v>
      </c>
      <c r="E6608" s="498" t="s">
        <v>9714</v>
      </c>
    </row>
    <row r="6609" spans="1:5" ht="27">
      <c r="A6609" s="282">
        <v>95364</v>
      </c>
      <c r="B6609" s="274" t="s">
        <v>3177</v>
      </c>
      <c r="C6609" s="274" t="s">
        <v>206</v>
      </c>
      <c r="D6609" s="279" t="s">
        <v>9865</v>
      </c>
      <c r="E6609" s="498" t="s">
        <v>9714</v>
      </c>
    </row>
    <row r="6610" spans="1:5" ht="27">
      <c r="A6610" s="282">
        <v>95365</v>
      </c>
      <c r="B6610" s="274" t="s">
        <v>3178</v>
      </c>
      <c r="C6610" s="274" t="s">
        <v>206</v>
      </c>
      <c r="D6610" s="279" t="s">
        <v>9925</v>
      </c>
      <c r="E6610" s="498" t="s">
        <v>9714</v>
      </c>
    </row>
    <row r="6611" spans="1:5" ht="27">
      <c r="A6611" s="282">
        <v>95366</v>
      </c>
      <c r="B6611" s="274" t="s">
        <v>3179</v>
      </c>
      <c r="C6611" s="274" t="s">
        <v>206</v>
      </c>
      <c r="D6611" s="279" t="s">
        <v>9921</v>
      </c>
      <c r="E6611" s="498" t="s">
        <v>9714</v>
      </c>
    </row>
    <row r="6612" spans="1:5" ht="27">
      <c r="A6612" s="282">
        <v>95367</v>
      </c>
      <c r="B6612" s="274" t="s">
        <v>3180</v>
      </c>
      <c r="C6612" s="274" t="s">
        <v>206</v>
      </c>
      <c r="D6612" s="279" t="s">
        <v>9865</v>
      </c>
      <c r="E6612" s="498" t="s">
        <v>9714</v>
      </c>
    </row>
    <row r="6613" spans="1:5" ht="27">
      <c r="A6613" s="282">
        <v>95368</v>
      </c>
      <c r="B6613" s="274" t="s">
        <v>3181</v>
      </c>
      <c r="C6613" s="274" t="s">
        <v>206</v>
      </c>
      <c r="D6613" s="279" t="s">
        <v>9879</v>
      </c>
      <c r="E6613" s="498" t="s">
        <v>9714</v>
      </c>
    </row>
    <row r="6614" spans="1:5" ht="27">
      <c r="A6614" s="282">
        <v>95369</v>
      </c>
      <c r="B6614" s="274" t="s">
        <v>3182</v>
      </c>
      <c r="C6614" s="274" t="s">
        <v>206</v>
      </c>
      <c r="D6614" s="279" t="s">
        <v>9865</v>
      </c>
      <c r="E6614" s="498" t="s">
        <v>9714</v>
      </c>
    </row>
    <row r="6615" spans="1:5" ht="13.5">
      <c r="A6615" s="282">
        <v>95370</v>
      </c>
      <c r="B6615" s="274" t="s">
        <v>3183</v>
      </c>
      <c r="C6615" s="274" t="s">
        <v>206</v>
      </c>
      <c r="D6615" s="279" t="s">
        <v>11131</v>
      </c>
      <c r="E6615" s="498" t="s">
        <v>9714</v>
      </c>
    </row>
    <row r="6616" spans="1:5" ht="13.5">
      <c r="A6616" s="282">
        <v>95371</v>
      </c>
      <c r="B6616" s="274" t="s">
        <v>3184</v>
      </c>
      <c r="C6616" s="274" t="s">
        <v>206</v>
      </c>
      <c r="D6616" s="279" t="s">
        <v>9847</v>
      </c>
      <c r="E6616" s="498" t="s">
        <v>9714</v>
      </c>
    </row>
    <row r="6617" spans="1:5" ht="13.5">
      <c r="A6617" s="282">
        <v>95372</v>
      </c>
      <c r="B6617" s="274" t="s">
        <v>3185</v>
      </c>
      <c r="C6617" s="274" t="s">
        <v>206</v>
      </c>
      <c r="D6617" s="279" t="s">
        <v>9820</v>
      </c>
      <c r="E6617" s="498" t="s">
        <v>9714</v>
      </c>
    </row>
    <row r="6618" spans="1:5" ht="13.5">
      <c r="A6618" s="282">
        <v>95373</v>
      </c>
      <c r="B6618" s="274" t="s">
        <v>3186</v>
      </c>
      <c r="C6618" s="274" t="s">
        <v>206</v>
      </c>
      <c r="D6618" s="279" t="s">
        <v>9841</v>
      </c>
      <c r="E6618" s="498" t="s">
        <v>9714</v>
      </c>
    </row>
    <row r="6619" spans="1:5" ht="13.5">
      <c r="A6619" s="282">
        <v>95374</v>
      </c>
      <c r="B6619" s="274" t="s">
        <v>3187</v>
      </c>
      <c r="C6619" s="274" t="s">
        <v>206</v>
      </c>
      <c r="D6619" s="279" t="s">
        <v>9841</v>
      </c>
      <c r="E6619" s="498" t="s">
        <v>9714</v>
      </c>
    </row>
    <row r="6620" spans="1:5" ht="13.5">
      <c r="A6620" s="282">
        <v>95375</v>
      </c>
      <c r="B6620" s="274" t="s">
        <v>3188</v>
      </c>
      <c r="C6620" s="274" t="s">
        <v>206</v>
      </c>
      <c r="D6620" s="279" t="s">
        <v>9894</v>
      </c>
      <c r="E6620" s="498" t="s">
        <v>9714</v>
      </c>
    </row>
    <row r="6621" spans="1:5" ht="13.5">
      <c r="A6621" s="282">
        <v>95376</v>
      </c>
      <c r="B6621" s="274" t="s">
        <v>3189</v>
      </c>
      <c r="C6621" s="274" t="s">
        <v>206</v>
      </c>
      <c r="D6621" s="279" t="s">
        <v>9873</v>
      </c>
      <c r="E6621" s="498" t="s">
        <v>9714</v>
      </c>
    </row>
    <row r="6622" spans="1:5" ht="13.5">
      <c r="A6622" s="282">
        <v>95377</v>
      </c>
      <c r="B6622" s="274" t="s">
        <v>3190</v>
      </c>
      <c r="C6622" s="274" t="s">
        <v>206</v>
      </c>
      <c r="D6622" s="279" t="s">
        <v>9942</v>
      </c>
      <c r="E6622" s="274" t="s">
        <v>9714</v>
      </c>
    </row>
    <row r="6623" spans="1:5" ht="13.5">
      <c r="A6623" s="282">
        <v>95378</v>
      </c>
      <c r="B6623" s="274" t="s">
        <v>3191</v>
      </c>
      <c r="C6623" s="274" t="s">
        <v>206</v>
      </c>
      <c r="D6623" s="279" t="s">
        <v>9894</v>
      </c>
      <c r="E6623" s="274" t="s">
        <v>9714</v>
      </c>
    </row>
    <row r="6624" spans="1:5" ht="13.5">
      <c r="A6624" s="282">
        <v>95379</v>
      </c>
      <c r="B6624" s="274" t="s">
        <v>3192</v>
      </c>
      <c r="C6624" s="274" t="s">
        <v>206</v>
      </c>
      <c r="D6624" s="279" t="s">
        <v>9942</v>
      </c>
      <c r="E6624" s="274" t="s">
        <v>9714</v>
      </c>
    </row>
    <row r="6625" spans="1:5" ht="27">
      <c r="A6625" s="282">
        <v>95380</v>
      </c>
      <c r="B6625" s="274" t="s">
        <v>3193</v>
      </c>
      <c r="C6625" s="274" t="s">
        <v>206</v>
      </c>
      <c r="D6625" s="279" t="s">
        <v>9866</v>
      </c>
      <c r="E6625" s="274" t="s">
        <v>9714</v>
      </c>
    </row>
    <row r="6626" spans="1:5" ht="13.5">
      <c r="A6626" s="282">
        <v>95382</v>
      </c>
      <c r="B6626" s="274" t="s">
        <v>3194</v>
      </c>
      <c r="C6626" s="274" t="s">
        <v>206</v>
      </c>
      <c r="D6626" s="279" t="s">
        <v>9894</v>
      </c>
      <c r="E6626" s="274" t="s">
        <v>9714</v>
      </c>
    </row>
    <row r="6627" spans="1:5" ht="13.5">
      <c r="A6627" s="282">
        <v>95383</v>
      </c>
      <c r="B6627" s="274" t="s">
        <v>3195</v>
      </c>
      <c r="C6627" s="274" t="s">
        <v>206</v>
      </c>
      <c r="D6627" s="279" t="s">
        <v>9847</v>
      </c>
      <c r="E6627" s="274" t="s">
        <v>9714</v>
      </c>
    </row>
    <row r="6628" spans="1:5" ht="13.5">
      <c r="A6628" s="282">
        <v>95384</v>
      </c>
      <c r="B6628" s="274" t="s">
        <v>3196</v>
      </c>
      <c r="C6628" s="274" t="s">
        <v>206</v>
      </c>
      <c r="D6628" s="279" t="s">
        <v>9841</v>
      </c>
      <c r="E6628" s="274" t="s">
        <v>9714</v>
      </c>
    </row>
    <row r="6629" spans="1:5" ht="13.5">
      <c r="A6629" s="282">
        <v>95385</v>
      </c>
      <c r="B6629" s="274" t="s">
        <v>3197</v>
      </c>
      <c r="C6629" s="274" t="s">
        <v>206</v>
      </c>
      <c r="D6629" s="279" t="s">
        <v>9832</v>
      </c>
      <c r="E6629" s="274" t="s">
        <v>9714</v>
      </c>
    </row>
    <row r="6630" spans="1:5" ht="13.5">
      <c r="A6630" s="282">
        <v>95386</v>
      </c>
      <c r="B6630" s="274" t="s">
        <v>3198</v>
      </c>
      <c r="C6630" s="274" t="s">
        <v>206</v>
      </c>
      <c r="D6630" s="279" t="s">
        <v>10029</v>
      </c>
      <c r="E6630" s="274" t="s">
        <v>9714</v>
      </c>
    </row>
    <row r="6631" spans="1:5" ht="13.5">
      <c r="A6631" s="282">
        <v>95387</v>
      </c>
      <c r="B6631" s="274" t="s">
        <v>3199</v>
      </c>
      <c r="C6631" s="274" t="s">
        <v>206</v>
      </c>
      <c r="D6631" s="279" t="s">
        <v>9866</v>
      </c>
      <c r="E6631" s="274" t="s">
        <v>9714</v>
      </c>
    </row>
    <row r="6632" spans="1:5" ht="13.5">
      <c r="A6632" s="282">
        <v>95388</v>
      </c>
      <c r="B6632" s="274" t="s">
        <v>277</v>
      </c>
      <c r="C6632" s="274" t="s">
        <v>206</v>
      </c>
      <c r="D6632" s="279" t="s">
        <v>9982</v>
      </c>
      <c r="E6632" s="274" t="s">
        <v>9714</v>
      </c>
    </row>
    <row r="6633" spans="1:5" ht="27">
      <c r="A6633" s="282">
        <v>95389</v>
      </c>
      <c r="B6633" s="274" t="s">
        <v>3200</v>
      </c>
      <c r="C6633" s="274" t="s">
        <v>206</v>
      </c>
      <c r="D6633" s="279" t="s">
        <v>9921</v>
      </c>
      <c r="E6633" s="274" t="s">
        <v>9714</v>
      </c>
    </row>
    <row r="6634" spans="1:5" ht="13.5">
      <c r="A6634" s="282">
        <v>95390</v>
      </c>
      <c r="B6634" s="274" t="s">
        <v>3201</v>
      </c>
      <c r="C6634" s="274" t="s">
        <v>206</v>
      </c>
      <c r="D6634" s="279" t="s">
        <v>9824</v>
      </c>
      <c r="E6634" s="498" t="s">
        <v>9714</v>
      </c>
    </row>
    <row r="6635" spans="1:5" ht="13.5">
      <c r="A6635" s="282">
        <v>95391</v>
      </c>
      <c r="B6635" s="274" t="s">
        <v>3202</v>
      </c>
      <c r="C6635" s="274" t="s">
        <v>206</v>
      </c>
      <c r="D6635" s="279" t="s">
        <v>10029</v>
      </c>
      <c r="E6635" s="274" t="s">
        <v>9714</v>
      </c>
    </row>
    <row r="6636" spans="1:5" ht="13.5">
      <c r="A6636" s="282">
        <v>95392</v>
      </c>
      <c r="B6636" s="274" t="s">
        <v>3203</v>
      </c>
      <c r="C6636" s="274" t="s">
        <v>206</v>
      </c>
      <c r="D6636" s="279" t="s">
        <v>9925</v>
      </c>
      <c r="E6636" s="498" t="s">
        <v>9714</v>
      </c>
    </row>
    <row r="6637" spans="1:5" ht="27">
      <c r="A6637" s="282">
        <v>95393</v>
      </c>
      <c r="B6637" s="274" t="s">
        <v>3204</v>
      </c>
      <c r="C6637" s="274" t="s">
        <v>206</v>
      </c>
      <c r="D6637" s="279" t="s">
        <v>9931</v>
      </c>
      <c r="E6637" s="274" t="s">
        <v>9714</v>
      </c>
    </row>
    <row r="6638" spans="1:5" ht="27">
      <c r="A6638" s="282">
        <v>95394</v>
      </c>
      <c r="B6638" s="274" t="s">
        <v>3205</v>
      </c>
      <c r="C6638" s="274" t="s">
        <v>206</v>
      </c>
      <c r="D6638" s="279" t="s">
        <v>14074</v>
      </c>
      <c r="E6638" s="498" t="s">
        <v>9714</v>
      </c>
    </row>
    <row r="6639" spans="1:5" ht="13.5">
      <c r="A6639" s="282">
        <v>95395</v>
      </c>
      <c r="B6639" s="274" t="s">
        <v>3206</v>
      </c>
      <c r="C6639" s="274" t="s">
        <v>206</v>
      </c>
      <c r="D6639" s="279" t="s">
        <v>10906</v>
      </c>
      <c r="E6639" s="498" t="s">
        <v>9714</v>
      </c>
    </row>
    <row r="6640" spans="1:5" ht="27">
      <c r="A6640" s="282">
        <v>95396</v>
      </c>
      <c r="B6640" s="274" t="s">
        <v>3207</v>
      </c>
      <c r="C6640" s="274" t="s">
        <v>206</v>
      </c>
      <c r="D6640" s="279" t="s">
        <v>11062</v>
      </c>
      <c r="E6640" s="274" t="s">
        <v>9714</v>
      </c>
    </row>
    <row r="6641" spans="1:5" ht="13.5">
      <c r="A6641" s="282">
        <v>95397</v>
      </c>
      <c r="B6641" s="274" t="s">
        <v>3208</v>
      </c>
      <c r="C6641" s="274" t="s">
        <v>206</v>
      </c>
      <c r="D6641" s="279" t="s">
        <v>10029</v>
      </c>
      <c r="E6641" s="274" t="s">
        <v>9714</v>
      </c>
    </row>
    <row r="6642" spans="1:5" ht="13.5">
      <c r="A6642" s="282">
        <v>95398</v>
      </c>
      <c r="B6642" s="274" t="s">
        <v>3209</v>
      </c>
      <c r="C6642" s="274" t="s">
        <v>206</v>
      </c>
      <c r="D6642" s="279" t="s">
        <v>9921</v>
      </c>
      <c r="E6642" s="274" t="s">
        <v>9714</v>
      </c>
    </row>
    <row r="6643" spans="1:5" ht="13.5">
      <c r="A6643" s="282">
        <v>95399</v>
      </c>
      <c r="B6643" s="274" t="s">
        <v>3210</v>
      </c>
      <c r="C6643" s="274" t="s">
        <v>206</v>
      </c>
      <c r="D6643" s="279" t="s">
        <v>9873</v>
      </c>
      <c r="E6643" s="274" t="s">
        <v>9714</v>
      </c>
    </row>
    <row r="6644" spans="1:5" ht="13.5">
      <c r="A6644" s="282">
        <v>95400</v>
      </c>
      <c r="B6644" s="274" t="s">
        <v>3211</v>
      </c>
      <c r="C6644" s="274" t="s">
        <v>206</v>
      </c>
      <c r="D6644" s="279" t="s">
        <v>9865</v>
      </c>
      <c r="E6644" s="274" t="s">
        <v>9714</v>
      </c>
    </row>
    <row r="6645" spans="1:5" ht="13.5">
      <c r="A6645" s="282">
        <v>95401</v>
      </c>
      <c r="B6645" s="274" t="s">
        <v>3212</v>
      </c>
      <c r="C6645" s="274" t="s">
        <v>206</v>
      </c>
      <c r="D6645" s="279" t="s">
        <v>9847</v>
      </c>
      <c r="E6645" s="274" t="s">
        <v>9714</v>
      </c>
    </row>
    <row r="6646" spans="1:5" ht="27">
      <c r="A6646" s="282">
        <v>95402</v>
      </c>
      <c r="B6646" s="274" t="s">
        <v>3213</v>
      </c>
      <c r="C6646" s="274" t="s">
        <v>206</v>
      </c>
      <c r="D6646" s="279" t="s">
        <v>9926</v>
      </c>
      <c r="E6646" s="274" t="s">
        <v>9714</v>
      </c>
    </row>
    <row r="6647" spans="1:5" ht="27">
      <c r="A6647" s="282">
        <v>95403</v>
      </c>
      <c r="B6647" s="274" t="s">
        <v>3214</v>
      </c>
      <c r="C6647" s="274" t="s">
        <v>206</v>
      </c>
      <c r="D6647" s="279" t="s">
        <v>11245</v>
      </c>
      <c r="E6647" s="274" t="s">
        <v>9714</v>
      </c>
    </row>
    <row r="6648" spans="1:5" ht="27">
      <c r="A6648" s="282">
        <v>95404</v>
      </c>
      <c r="B6648" s="274" t="s">
        <v>3215</v>
      </c>
      <c r="C6648" s="274" t="s">
        <v>206</v>
      </c>
      <c r="D6648" s="279" t="s">
        <v>11080</v>
      </c>
      <c r="E6648" s="274" t="s">
        <v>9714</v>
      </c>
    </row>
    <row r="6649" spans="1:5" ht="13.5">
      <c r="A6649" s="282">
        <v>95405</v>
      </c>
      <c r="B6649" s="274" t="s">
        <v>3216</v>
      </c>
      <c r="C6649" s="274" t="s">
        <v>206</v>
      </c>
      <c r="D6649" s="279" t="s">
        <v>11201</v>
      </c>
      <c r="E6649" s="274" t="s">
        <v>9714</v>
      </c>
    </row>
    <row r="6650" spans="1:5" ht="13.5">
      <c r="A6650" s="282">
        <v>95406</v>
      </c>
      <c r="B6650" s="274" t="s">
        <v>3217</v>
      </c>
      <c r="C6650" s="274" t="s">
        <v>206</v>
      </c>
      <c r="D6650" s="279" t="s">
        <v>10029</v>
      </c>
      <c r="E6650" s="274" t="s">
        <v>9714</v>
      </c>
    </row>
    <row r="6651" spans="1:5" ht="13.5">
      <c r="A6651" s="282">
        <v>95407</v>
      </c>
      <c r="B6651" s="274" t="s">
        <v>3218</v>
      </c>
      <c r="C6651" s="274" t="s">
        <v>206</v>
      </c>
      <c r="D6651" s="279" t="s">
        <v>12155</v>
      </c>
      <c r="E6651" s="274" t="s">
        <v>9714</v>
      </c>
    </row>
    <row r="6652" spans="1:5" ht="27">
      <c r="A6652" s="282">
        <v>95408</v>
      </c>
      <c r="B6652" s="274" t="s">
        <v>3219</v>
      </c>
      <c r="C6652" s="274" t="s">
        <v>380</v>
      </c>
      <c r="D6652" s="279" t="s">
        <v>10228</v>
      </c>
      <c r="E6652" s="274" t="s">
        <v>9714</v>
      </c>
    </row>
    <row r="6653" spans="1:5" ht="27">
      <c r="A6653" s="282">
        <v>95409</v>
      </c>
      <c r="B6653" s="274" t="s">
        <v>3220</v>
      </c>
      <c r="C6653" s="274" t="s">
        <v>380</v>
      </c>
      <c r="D6653" s="279" t="s">
        <v>12419</v>
      </c>
      <c r="E6653" s="274" t="s">
        <v>9714</v>
      </c>
    </row>
    <row r="6654" spans="1:5" ht="13.5">
      <c r="A6654" s="282">
        <v>95410</v>
      </c>
      <c r="B6654" s="274" t="s">
        <v>3221</v>
      </c>
      <c r="C6654" s="274" t="s">
        <v>380</v>
      </c>
      <c r="D6654" s="279" t="s">
        <v>12239</v>
      </c>
      <c r="E6654" s="274" t="s">
        <v>9714</v>
      </c>
    </row>
    <row r="6655" spans="1:5" ht="27">
      <c r="A6655" s="282">
        <v>95411</v>
      </c>
      <c r="B6655" s="274" t="s">
        <v>3222</v>
      </c>
      <c r="C6655" s="274" t="s">
        <v>380</v>
      </c>
      <c r="D6655" s="279" t="s">
        <v>15831</v>
      </c>
      <c r="E6655" s="274" t="s">
        <v>9714</v>
      </c>
    </row>
    <row r="6656" spans="1:5" ht="27">
      <c r="A6656" s="282">
        <v>95412</v>
      </c>
      <c r="B6656" s="274" t="s">
        <v>3223</v>
      </c>
      <c r="C6656" s="274" t="s">
        <v>380</v>
      </c>
      <c r="D6656" s="279" t="s">
        <v>23075</v>
      </c>
      <c r="E6656" s="274" t="s">
        <v>9714</v>
      </c>
    </row>
    <row r="6657" spans="1:5" ht="13.5">
      <c r="A6657" s="282">
        <v>95413</v>
      </c>
      <c r="B6657" s="274" t="s">
        <v>3224</v>
      </c>
      <c r="C6657" s="274" t="s">
        <v>380</v>
      </c>
      <c r="D6657" s="279" t="s">
        <v>14237</v>
      </c>
      <c r="E6657" s="274" t="s">
        <v>9714</v>
      </c>
    </row>
    <row r="6658" spans="1:5" ht="27">
      <c r="A6658" s="282">
        <v>95414</v>
      </c>
      <c r="B6658" s="274" t="s">
        <v>3225</v>
      </c>
      <c r="C6658" s="274" t="s">
        <v>380</v>
      </c>
      <c r="D6658" s="279" t="s">
        <v>14296</v>
      </c>
      <c r="E6658" s="274" t="s">
        <v>9714</v>
      </c>
    </row>
    <row r="6659" spans="1:5" ht="27">
      <c r="A6659" s="282">
        <v>95415</v>
      </c>
      <c r="B6659" s="274" t="s">
        <v>3226</v>
      </c>
      <c r="C6659" s="274" t="s">
        <v>380</v>
      </c>
      <c r="D6659" s="279" t="s">
        <v>14297</v>
      </c>
      <c r="E6659" s="274" t="s">
        <v>9714</v>
      </c>
    </row>
    <row r="6660" spans="1:5" ht="27">
      <c r="A6660" s="282">
        <v>95416</v>
      </c>
      <c r="B6660" s="274" t="s">
        <v>3227</v>
      </c>
      <c r="C6660" s="274" t="s">
        <v>380</v>
      </c>
      <c r="D6660" s="279" t="s">
        <v>10279</v>
      </c>
      <c r="E6660" s="274" t="s">
        <v>9714</v>
      </c>
    </row>
    <row r="6661" spans="1:5" ht="27">
      <c r="A6661" s="282">
        <v>95417</v>
      </c>
      <c r="B6661" s="274" t="s">
        <v>3228</v>
      </c>
      <c r="C6661" s="274" t="s">
        <v>380</v>
      </c>
      <c r="D6661" s="279" t="s">
        <v>14298</v>
      </c>
      <c r="E6661" s="274" t="s">
        <v>9714</v>
      </c>
    </row>
    <row r="6662" spans="1:5" ht="27">
      <c r="A6662" s="282">
        <v>95418</v>
      </c>
      <c r="B6662" s="274" t="s">
        <v>3229</v>
      </c>
      <c r="C6662" s="274" t="s">
        <v>380</v>
      </c>
      <c r="D6662" s="279" t="s">
        <v>14299</v>
      </c>
      <c r="E6662" s="274" t="s">
        <v>9714</v>
      </c>
    </row>
    <row r="6663" spans="1:5" ht="13.5">
      <c r="A6663" s="282">
        <v>95419</v>
      </c>
      <c r="B6663" s="274" t="s">
        <v>3230</v>
      </c>
      <c r="C6663" s="274" t="s">
        <v>380</v>
      </c>
      <c r="D6663" s="279" t="s">
        <v>10381</v>
      </c>
      <c r="E6663" s="274" t="s">
        <v>9714</v>
      </c>
    </row>
    <row r="6664" spans="1:5" ht="13.5">
      <c r="A6664" s="282">
        <v>95420</v>
      </c>
      <c r="B6664" s="274" t="s">
        <v>3231</v>
      </c>
      <c r="C6664" s="274" t="s">
        <v>380</v>
      </c>
      <c r="D6664" s="279" t="s">
        <v>11308</v>
      </c>
      <c r="E6664" s="274" t="s">
        <v>9714</v>
      </c>
    </row>
    <row r="6665" spans="1:5" ht="13.5">
      <c r="A6665" s="282">
        <v>95421</v>
      </c>
      <c r="B6665" s="274" t="s">
        <v>3232</v>
      </c>
      <c r="C6665" s="274" t="s">
        <v>380</v>
      </c>
      <c r="D6665" s="279" t="s">
        <v>14300</v>
      </c>
      <c r="E6665" s="274" t="s">
        <v>9714</v>
      </c>
    </row>
    <row r="6666" spans="1:5" ht="27">
      <c r="A6666" s="282">
        <v>95422</v>
      </c>
      <c r="B6666" s="274" t="s">
        <v>3233</v>
      </c>
      <c r="C6666" s="274" t="s">
        <v>380</v>
      </c>
      <c r="D6666" s="279" t="s">
        <v>16124</v>
      </c>
      <c r="E6666" s="274" t="s">
        <v>9714</v>
      </c>
    </row>
    <row r="6667" spans="1:5" ht="13.5">
      <c r="A6667" s="282">
        <v>95423</v>
      </c>
      <c r="B6667" s="274" t="s">
        <v>3234</v>
      </c>
      <c r="C6667" s="274" t="s">
        <v>380</v>
      </c>
      <c r="D6667" s="279" t="s">
        <v>23186</v>
      </c>
      <c r="E6667" s="274" t="s">
        <v>9714</v>
      </c>
    </row>
    <row r="6668" spans="1:5" ht="13.5">
      <c r="A6668" s="282">
        <v>95424</v>
      </c>
      <c r="B6668" s="274" t="s">
        <v>3235</v>
      </c>
      <c r="C6668" s="274" t="s">
        <v>380</v>
      </c>
      <c r="D6668" s="279" t="s">
        <v>14091</v>
      </c>
      <c r="E6668" s="274" t="s">
        <v>9714</v>
      </c>
    </row>
    <row r="6669" spans="1:5" ht="13.5">
      <c r="A6669" s="282">
        <v>100288</v>
      </c>
      <c r="B6669" s="274" t="s">
        <v>4523</v>
      </c>
      <c r="C6669" s="274" t="s">
        <v>206</v>
      </c>
      <c r="D6669" s="279" t="s">
        <v>9873</v>
      </c>
      <c r="E6669" s="274" t="s">
        <v>9714</v>
      </c>
    </row>
    <row r="6670" spans="1:5" ht="13.5">
      <c r="A6670" s="282">
        <v>100289</v>
      </c>
      <c r="B6670" s="274" t="s">
        <v>278</v>
      </c>
      <c r="C6670" s="274" t="s">
        <v>206</v>
      </c>
      <c r="D6670" s="279" t="s">
        <v>10122</v>
      </c>
      <c r="E6670" s="274" t="s">
        <v>9714</v>
      </c>
    </row>
    <row r="6671" spans="1:5" ht="13.5">
      <c r="A6671" s="282">
        <v>100290</v>
      </c>
      <c r="B6671" s="274" t="s">
        <v>4524</v>
      </c>
      <c r="C6671" s="274" t="s">
        <v>206</v>
      </c>
      <c r="D6671" s="279" t="s">
        <v>9921</v>
      </c>
      <c r="E6671" s="274" t="s">
        <v>9714</v>
      </c>
    </row>
    <row r="6672" spans="1:5" ht="13.5">
      <c r="A6672" s="282">
        <v>100291</v>
      </c>
      <c r="B6672" s="274" t="s">
        <v>4525</v>
      </c>
      <c r="C6672" s="274" t="s">
        <v>206</v>
      </c>
      <c r="D6672" s="279" t="s">
        <v>9880</v>
      </c>
      <c r="E6672" s="274" t="s">
        <v>9714</v>
      </c>
    </row>
    <row r="6673" spans="1:5" ht="27">
      <c r="A6673" s="282">
        <v>100292</v>
      </c>
      <c r="B6673" s="274" t="s">
        <v>4526</v>
      </c>
      <c r="C6673" s="274" t="s">
        <v>206</v>
      </c>
      <c r="D6673" s="279" t="s">
        <v>9931</v>
      </c>
      <c r="E6673" s="274" t="s">
        <v>9714</v>
      </c>
    </row>
    <row r="6674" spans="1:5" ht="13.5">
      <c r="A6674" s="282">
        <v>100293</v>
      </c>
      <c r="B6674" s="274" t="s">
        <v>4527</v>
      </c>
      <c r="C6674" s="274" t="s">
        <v>206</v>
      </c>
      <c r="D6674" s="279" t="s">
        <v>9880</v>
      </c>
      <c r="E6674" s="274" t="s">
        <v>9714</v>
      </c>
    </row>
    <row r="6675" spans="1:5" ht="13.5">
      <c r="A6675" s="282">
        <v>100294</v>
      </c>
      <c r="B6675" s="274" t="s">
        <v>4528</v>
      </c>
      <c r="C6675" s="274" t="s">
        <v>206</v>
      </c>
      <c r="D6675" s="279" t="s">
        <v>9847</v>
      </c>
      <c r="E6675" s="274" t="s">
        <v>9714</v>
      </c>
    </row>
    <row r="6676" spans="1:5" ht="27">
      <c r="A6676" s="282">
        <v>100295</v>
      </c>
      <c r="B6676" s="274" t="s">
        <v>4529</v>
      </c>
      <c r="C6676" s="274" t="s">
        <v>206</v>
      </c>
      <c r="D6676" s="279" t="s">
        <v>9843</v>
      </c>
      <c r="E6676" s="274" t="s">
        <v>9714</v>
      </c>
    </row>
    <row r="6677" spans="1:5" ht="13.5">
      <c r="A6677" s="282">
        <v>100296</v>
      </c>
      <c r="B6677" s="274" t="s">
        <v>4530</v>
      </c>
      <c r="C6677" s="274" t="s">
        <v>206</v>
      </c>
      <c r="D6677" s="279" t="s">
        <v>9937</v>
      </c>
      <c r="E6677" s="274" t="s">
        <v>9714</v>
      </c>
    </row>
    <row r="6678" spans="1:5" ht="13.5">
      <c r="A6678" s="282">
        <v>100297</v>
      </c>
      <c r="B6678" s="274" t="s">
        <v>4531</v>
      </c>
      <c r="C6678" s="274" t="s">
        <v>206</v>
      </c>
      <c r="D6678" s="279" t="s">
        <v>9845</v>
      </c>
      <c r="E6678" s="274" t="s">
        <v>9714</v>
      </c>
    </row>
    <row r="6679" spans="1:5" ht="27">
      <c r="A6679" s="282">
        <v>100298</v>
      </c>
      <c r="B6679" s="274" t="s">
        <v>4532</v>
      </c>
      <c r="C6679" s="274" t="s">
        <v>206</v>
      </c>
      <c r="D6679" s="279" t="s">
        <v>11201</v>
      </c>
      <c r="E6679" s="274" t="s">
        <v>9714</v>
      </c>
    </row>
    <row r="6680" spans="1:5" ht="27">
      <c r="A6680" s="282">
        <v>100299</v>
      </c>
      <c r="B6680" s="274" t="s">
        <v>4533</v>
      </c>
      <c r="C6680" s="274" t="s">
        <v>206</v>
      </c>
      <c r="D6680" s="279" t="s">
        <v>10031</v>
      </c>
      <c r="E6680" s="274" t="s">
        <v>9714</v>
      </c>
    </row>
    <row r="6681" spans="1:5" ht="13.5">
      <c r="A6681" s="282">
        <v>100300</v>
      </c>
      <c r="B6681" s="274" t="s">
        <v>4534</v>
      </c>
      <c r="C6681" s="274" t="s">
        <v>206</v>
      </c>
      <c r="D6681" s="279" t="s">
        <v>14178</v>
      </c>
      <c r="E6681" s="274" t="s">
        <v>9714</v>
      </c>
    </row>
    <row r="6682" spans="1:5" ht="13.5">
      <c r="A6682" s="282">
        <v>100301</v>
      </c>
      <c r="B6682" s="274" t="s">
        <v>4535</v>
      </c>
      <c r="C6682" s="274" t="s">
        <v>206</v>
      </c>
      <c r="D6682" s="279" t="s">
        <v>10566</v>
      </c>
      <c r="E6682" s="274" t="s">
        <v>9714</v>
      </c>
    </row>
    <row r="6683" spans="1:5" ht="13.5">
      <c r="A6683" s="282">
        <v>100302</v>
      </c>
      <c r="B6683" s="274" t="s">
        <v>4536</v>
      </c>
      <c r="C6683" s="274" t="s">
        <v>206</v>
      </c>
      <c r="D6683" s="279" t="s">
        <v>14125</v>
      </c>
      <c r="E6683" s="274" t="s">
        <v>9714</v>
      </c>
    </row>
    <row r="6684" spans="1:5" ht="13.5">
      <c r="A6684" s="282">
        <v>100303</v>
      </c>
      <c r="B6684" s="274" t="s">
        <v>4537</v>
      </c>
      <c r="C6684" s="274" t="s">
        <v>206</v>
      </c>
      <c r="D6684" s="279" t="s">
        <v>9738</v>
      </c>
      <c r="E6684" s="274" t="s">
        <v>9714</v>
      </c>
    </row>
    <row r="6685" spans="1:5" ht="13.5">
      <c r="A6685" s="282">
        <v>100304</v>
      </c>
      <c r="B6685" s="274" t="s">
        <v>4538</v>
      </c>
      <c r="C6685" s="274" t="s">
        <v>206</v>
      </c>
      <c r="D6685" s="279" t="s">
        <v>14301</v>
      </c>
      <c r="E6685" s="274" t="s">
        <v>9714</v>
      </c>
    </row>
    <row r="6686" spans="1:5" ht="13.5">
      <c r="A6686" s="282">
        <v>100305</v>
      </c>
      <c r="B6686" s="274" t="s">
        <v>4539</v>
      </c>
      <c r="C6686" s="274" t="s">
        <v>206</v>
      </c>
      <c r="D6686" s="279" t="s">
        <v>14302</v>
      </c>
      <c r="E6686" s="274" t="s">
        <v>9714</v>
      </c>
    </row>
    <row r="6687" spans="1:5" ht="13.5">
      <c r="A6687" s="282">
        <v>100306</v>
      </c>
      <c r="B6687" s="274" t="s">
        <v>4540</v>
      </c>
      <c r="C6687" s="274" t="s">
        <v>206</v>
      </c>
      <c r="D6687" s="279" t="s">
        <v>14303</v>
      </c>
      <c r="E6687" s="274" t="s">
        <v>9714</v>
      </c>
    </row>
    <row r="6688" spans="1:5" ht="13.5">
      <c r="A6688" s="282">
        <v>100307</v>
      </c>
      <c r="B6688" s="274" t="s">
        <v>4541</v>
      </c>
      <c r="C6688" s="274" t="s">
        <v>206</v>
      </c>
      <c r="D6688" s="279" t="s">
        <v>14100</v>
      </c>
      <c r="E6688" s="274" t="s">
        <v>9714</v>
      </c>
    </row>
    <row r="6689" spans="1:5" ht="13.5">
      <c r="A6689" s="282">
        <v>100308</v>
      </c>
      <c r="B6689" s="274" t="s">
        <v>4542</v>
      </c>
      <c r="C6689" s="274" t="s">
        <v>206</v>
      </c>
      <c r="D6689" s="279" t="s">
        <v>9767</v>
      </c>
      <c r="E6689" s="274" t="s">
        <v>9714</v>
      </c>
    </row>
    <row r="6690" spans="1:5" ht="13.5">
      <c r="A6690" s="282">
        <v>100309</v>
      </c>
      <c r="B6690" s="274" t="s">
        <v>4550</v>
      </c>
      <c r="C6690" s="274" t="s">
        <v>206</v>
      </c>
      <c r="D6690" s="279" t="s">
        <v>14304</v>
      </c>
      <c r="E6690" s="274" t="s">
        <v>9714</v>
      </c>
    </row>
    <row r="6691" spans="1:5" ht="27">
      <c r="A6691" s="282">
        <v>100310</v>
      </c>
      <c r="B6691" s="274" t="s">
        <v>4543</v>
      </c>
      <c r="C6691" s="274" t="s">
        <v>380</v>
      </c>
      <c r="D6691" s="279" t="s">
        <v>9964</v>
      </c>
      <c r="E6691" s="274" t="s">
        <v>9714</v>
      </c>
    </row>
    <row r="6692" spans="1:5" ht="27">
      <c r="A6692" s="282">
        <v>100311</v>
      </c>
      <c r="B6692" s="274" t="s">
        <v>4544</v>
      </c>
      <c r="C6692" s="274" t="s">
        <v>380</v>
      </c>
      <c r="D6692" s="279" t="s">
        <v>14305</v>
      </c>
      <c r="E6692" s="274" t="s">
        <v>9714</v>
      </c>
    </row>
    <row r="6693" spans="1:5" ht="13.5">
      <c r="A6693" s="282">
        <v>100312</v>
      </c>
      <c r="B6693" s="274" t="s">
        <v>4545</v>
      </c>
      <c r="C6693" s="274" t="s">
        <v>380</v>
      </c>
      <c r="D6693" s="279" t="s">
        <v>14306</v>
      </c>
      <c r="E6693" s="274" t="s">
        <v>9714</v>
      </c>
    </row>
    <row r="6694" spans="1:5" ht="27">
      <c r="A6694" s="282">
        <v>100313</v>
      </c>
      <c r="B6694" s="274" t="s">
        <v>4546</v>
      </c>
      <c r="C6694" s="274" t="s">
        <v>380</v>
      </c>
      <c r="D6694" s="279" t="s">
        <v>12270</v>
      </c>
      <c r="E6694" s="274" t="s">
        <v>9714</v>
      </c>
    </row>
    <row r="6695" spans="1:5" ht="27">
      <c r="A6695" s="282">
        <v>100314</v>
      </c>
      <c r="B6695" s="274" t="s">
        <v>4547</v>
      </c>
      <c r="C6695" s="274" t="s">
        <v>380</v>
      </c>
      <c r="D6695" s="279" t="s">
        <v>14307</v>
      </c>
      <c r="E6695" s="274" t="s">
        <v>9714</v>
      </c>
    </row>
    <row r="6696" spans="1:5" ht="27">
      <c r="A6696" s="282">
        <v>100315</v>
      </c>
      <c r="B6696" s="274" t="s">
        <v>4548</v>
      </c>
      <c r="C6696" s="274" t="s">
        <v>380</v>
      </c>
      <c r="D6696" s="279" t="s">
        <v>10625</v>
      </c>
      <c r="E6696" s="274" t="s">
        <v>9714</v>
      </c>
    </row>
    <row r="6697" spans="1:5" ht="13.5">
      <c r="A6697" s="282">
        <v>100316</v>
      </c>
      <c r="B6697" s="274" t="s">
        <v>4534</v>
      </c>
      <c r="C6697" s="274" t="s">
        <v>380</v>
      </c>
      <c r="D6697" s="279" t="s">
        <v>14308</v>
      </c>
      <c r="E6697" s="274" t="s">
        <v>9714</v>
      </c>
    </row>
    <row r="6698" spans="1:5" ht="13.5">
      <c r="A6698" s="282">
        <v>100317</v>
      </c>
      <c r="B6698" s="274" t="s">
        <v>4549</v>
      </c>
      <c r="C6698" s="274" t="s">
        <v>380</v>
      </c>
      <c r="D6698" s="279" t="s">
        <v>14309</v>
      </c>
      <c r="E6698" s="274" t="s">
        <v>9714</v>
      </c>
    </row>
    <row r="6699" spans="1:5" ht="13.5">
      <c r="A6699" s="282">
        <v>100318</v>
      </c>
      <c r="B6699" s="274" t="s">
        <v>4538</v>
      </c>
      <c r="C6699" s="274" t="s">
        <v>380</v>
      </c>
      <c r="D6699" s="279" t="s">
        <v>14310</v>
      </c>
      <c r="E6699" s="274" t="s">
        <v>9714</v>
      </c>
    </row>
    <row r="6700" spans="1:5" ht="13.5">
      <c r="A6700" s="282">
        <v>100319</v>
      </c>
      <c r="B6700" s="274" t="s">
        <v>4539</v>
      </c>
      <c r="C6700" s="274" t="s">
        <v>380</v>
      </c>
      <c r="D6700" s="279" t="s">
        <v>14311</v>
      </c>
      <c r="E6700" s="274" t="s">
        <v>9714</v>
      </c>
    </row>
    <row r="6701" spans="1:5" ht="13.5">
      <c r="A6701" s="282">
        <v>100320</v>
      </c>
      <c r="B6701" s="274" t="s">
        <v>4540</v>
      </c>
      <c r="C6701" s="274" t="s">
        <v>380</v>
      </c>
      <c r="D6701" s="279" t="s">
        <v>14312</v>
      </c>
      <c r="E6701" s="274" t="s">
        <v>9714</v>
      </c>
    </row>
    <row r="6702" spans="1:5" ht="13.5">
      <c r="A6702" s="282">
        <v>100321</v>
      </c>
      <c r="B6702" s="274" t="s">
        <v>4550</v>
      </c>
      <c r="C6702" s="274" t="s">
        <v>380</v>
      </c>
      <c r="D6702" s="279" t="s">
        <v>14313</v>
      </c>
      <c r="E6702" s="274" t="s">
        <v>9714</v>
      </c>
    </row>
    <row r="6703" spans="1:5" ht="13.5">
      <c r="A6703" s="282">
        <v>100533</v>
      </c>
      <c r="B6703" s="274" t="s">
        <v>9444</v>
      </c>
      <c r="C6703" s="274" t="s">
        <v>206</v>
      </c>
      <c r="D6703" s="279" t="s">
        <v>20284</v>
      </c>
      <c r="E6703" s="274" t="s">
        <v>9714</v>
      </c>
    </row>
    <row r="6704" spans="1:5" ht="13.5">
      <c r="A6704" s="282">
        <v>100534</v>
      </c>
      <c r="B6704" s="274" t="s">
        <v>9444</v>
      </c>
      <c r="C6704" s="274" t="s">
        <v>380</v>
      </c>
      <c r="D6704" s="279" t="s">
        <v>24397</v>
      </c>
      <c r="E6704" s="274" t="s">
        <v>9714</v>
      </c>
    </row>
    <row r="6705" spans="1:5" ht="13.5">
      <c r="A6705" s="282">
        <v>100535</v>
      </c>
      <c r="B6705" s="274" t="s">
        <v>9445</v>
      </c>
      <c r="C6705" s="274" t="s">
        <v>206</v>
      </c>
      <c r="D6705" s="279" t="s">
        <v>10050</v>
      </c>
      <c r="E6705" s="274" t="s">
        <v>9714</v>
      </c>
    </row>
    <row r="6706" spans="1:5" ht="27">
      <c r="A6706" s="282">
        <v>100536</v>
      </c>
      <c r="B6706" s="274" t="s">
        <v>9446</v>
      </c>
      <c r="C6706" s="274" t="s">
        <v>380</v>
      </c>
      <c r="D6706" s="279" t="s">
        <v>21055</v>
      </c>
      <c r="E6706" s="274" t="s">
        <v>9714</v>
      </c>
    </row>
    <row r="6707" spans="1:5" ht="13.5">
      <c r="A6707" s="282">
        <v>101284</v>
      </c>
      <c r="B6707" s="274" t="s">
        <v>13914</v>
      </c>
      <c r="C6707" s="274" t="s">
        <v>206</v>
      </c>
      <c r="D6707" s="279" t="s">
        <v>11167</v>
      </c>
      <c r="E6707" s="274" t="s">
        <v>9714</v>
      </c>
    </row>
    <row r="6708" spans="1:5" ht="13.5">
      <c r="A6708" s="282">
        <v>101285</v>
      </c>
      <c r="B6708" s="274" t="s">
        <v>13915</v>
      </c>
      <c r="C6708" s="274" t="s">
        <v>206</v>
      </c>
      <c r="D6708" s="279" t="s">
        <v>9843</v>
      </c>
      <c r="E6708" s="274" t="s">
        <v>9714</v>
      </c>
    </row>
    <row r="6709" spans="1:5" ht="13.5">
      <c r="A6709" s="282">
        <v>101286</v>
      </c>
      <c r="B6709" s="274" t="s">
        <v>13916</v>
      </c>
      <c r="C6709" s="274" t="s">
        <v>380</v>
      </c>
      <c r="D6709" s="279" t="s">
        <v>10558</v>
      </c>
      <c r="E6709" s="274" t="s">
        <v>9714</v>
      </c>
    </row>
    <row r="6710" spans="1:5" ht="27">
      <c r="A6710" s="282">
        <v>101287</v>
      </c>
      <c r="B6710" s="274" t="s">
        <v>13917</v>
      </c>
      <c r="C6710" s="274" t="s">
        <v>380</v>
      </c>
      <c r="D6710" s="279" t="s">
        <v>21197</v>
      </c>
      <c r="E6710" s="274" t="s">
        <v>9714</v>
      </c>
    </row>
    <row r="6711" spans="1:5" ht="27">
      <c r="A6711" s="282">
        <v>101288</v>
      </c>
      <c r="B6711" s="274" t="s">
        <v>13918</v>
      </c>
      <c r="C6711" s="274" t="s">
        <v>380</v>
      </c>
      <c r="D6711" s="279" t="s">
        <v>10316</v>
      </c>
      <c r="E6711" s="274" t="s">
        <v>9714</v>
      </c>
    </row>
    <row r="6712" spans="1:5" ht="27">
      <c r="A6712" s="282">
        <v>101289</v>
      </c>
      <c r="B6712" s="274" t="s">
        <v>13919</v>
      </c>
      <c r="C6712" s="274" t="s">
        <v>380</v>
      </c>
      <c r="D6712" s="279" t="s">
        <v>16434</v>
      </c>
      <c r="E6712" s="274" t="s">
        <v>9714</v>
      </c>
    </row>
    <row r="6713" spans="1:5" ht="13.5">
      <c r="A6713" s="282">
        <v>101290</v>
      </c>
      <c r="B6713" s="274" t="s">
        <v>13920</v>
      </c>
      <c r="C6713" s="274" t="s">
        <v>380</v>
      </c>
      <c r="D6713" s="279" t="s">
        <v>24398</v>
      </c>
      <c r="E6713" s="274" t="s">
        <v>9714</v>
      </c>
    </row>
    <row r="6714" spans="1:5" ht="27">
      <c r="A6714" s="282">
        <v>101291</v>
      </c>
      <c r="B6714" s="274" t="s">
        <v>13921</v>
      </c>
      <c r="C6714" s="274" t="s">
        <v>380</v>
      </c>
      <c r="D6714" s="279" t="s">
        <v>15950</v>
      </c>
      <c r="E6714" s="274" t="s">
        <v>9714</v>
      </c>
    </row>
    <row r="6715" spans="1:5" ht="27">
      <c r="A6715" s="282">
        <v>101292</v>
      </c>
      <c r="B6715" s="274" t="s">
        <v>13922</v>
      </c>
      <c r="C6715" s="274" t="s">
        <v>380</v>
      </c>
      <c r="D6715" s="279" t="s">
        <v>10064</v>
      </c>
      <c r="E6715" s="274" t="s">
        <v>9714</v>
      </c>
    </row>
    <row r="6716" spans="1:5" ht="13.5">
      <c r="A6716" s="282">
        <v>101293</v>
      </c>
      <c r="B6716" s="274" t="s">
        <v>13923</v>
      </c>
      <c r="C6716" s="274" t="s">
        <v>380</v>
      </c>
      <c r="D6716" s="279" t="s">
        <v>12370</v>
      </c>
      <c r="E6716" s="274" t="s">
        <v>9714</v>
      </c>
    </row>
    <row r="6717" spans="1:5" ht="27">
      <c r="A6717" s="282">
        <v>101294</v>
      </c>
      <c r="B6717" s="274" t="s">
        <v>13924</v>
      </c>
      <c r="C6717" s="274" t="s">
        <v>380</v>
      </c>
      <c r="D6717" s="279" t="s">
        <v>11505</v>
      </c>
      <c r="E6717" s="274" t="s">
        <v>9714</v>
      </c>
    </row>
    <row r="6718" spans="1:5" ht="27">
      <c r="A6718" s="282">
        <v>101295</v>
      </c>
      <c r="B6718" s="274" t="s">
        <v>13925</v>
      </c>
      <c r="C6718" s="274" t="s">
        <v>380</v>
      </c>
      <c r="D6718" s="279" t="s">
        <v>16474</v>
      </c>
      <c r="E6718" s="274" t="s">
        <v>9714</v>
      </c>
    </row>
    <row r="6719" spans="1:5" ht="27">
      <c r="A6719" s="282">
        <v>101296</v>
      </c>
      <c r="B6719" s="274" t="s">
        <v>13926</v>
      </c>
      <c r="C6719" s="274" t="s">
        <v>380</v>
      </c>
      <c r="D6719" s="279" t="s">
        <v>12135</v>
      </c>
      <c r="E6719" s="274" t="s">
        <v>9714</v>
      </c>
    </row>
    <row r="6720" spans="1:5" ht="27">
      <c r="A6720" s="282">
        <v>101297</v>
      </c>
      <c r="B6720" s="274" t="s">
        <v>13927</v>
      </c>
      <c r="C6720" s="274" t="s">
        <v>380</v>
      </c>
      <c r="D6720" s="279" t="s">
        <v>10792</v>
      </c>
      <c r="E6720" s="274" t="s">
        <v>9714</v>
      </c>
    </row>
    <row r="6721" spans="1:5" ht="13.5">
      <c r="A6721" s="282">
        <v>101298</v>
      </c>
      <c r="B6721" s="274" t="s">
        <v>13928</v>
      </c>
      <c r="C6721" s="274" t="s">
        <v>380</v>
      </c>
      <c r="D6721" s="279" t="s">
        <v>10314</v>
      </c>
      <c r="E6721" s="274" t="s">
        <v>9714</v>
      </c>
    </row>
    <row r="6722" spans="1:5" ht="13.5">
      <c r="A6722" s="282">
        <v>101299</v>
      </c>
      <c r="B6722" s="274" t="s">
        <v>13929</v>
      </c>
      <c r="C6722" s="274" t="s">
        <v>380</v>
      </c>
      <c r="D6722" s="279" t="s">
        <v>10975</v>
      </c>
      <c r="E6722" s="274" t="s">
        <v>9714</v>
      </c>
    </row>
    <row r="6723" spans="1:5" ht="27">
      <c r="A6723" s="282">
        <v>101300</v>
      </c>
      <c r="B6723" s="274" t="s">
        <v>13930</v>
      </c>
      <c r="C6723" s="274" t="s">
        <v>380</v>
      </c>
      <c r="D6723" s="279" t="s">
        <v>14128</v>
      </c>
      <c r="E6723" s="274" t="s">
        <v>9714</v>
      </c>
    </row>
    <row r="6724" spans="1:5" ht="27">
      <c r="A6724" s="282">
        <v>101301</v>
      </c>
      <c r="B6724" s="274" t="s">
        <v>13931</v>
      </c>
      <c r="C6724" s="274" t="s">
        <v>380</v>
      </c>
      <c r="D6724" s="279" t="s">
        <v>18795</v>
      </c>
      <c r="E6724" s="274" t="s">
        <v>9714</v>
      </c>
    </row>
    <row r="6725" spans="1:5" ht="27">
      <c r="A6725" s="282">
        <v>101302</v>
      </c>
      <c r="B6725" s="274" t="s">
        <v>13932</v>
      </c>
      <c r="C6725" s="274" t="s">
        <v>380</v>
      </c>
      <c r="D6725" s="279" t="s">
        <v>14314</v>
      </c>
      <c r="E6725" s="274" t="s">
        <v>9714</v>
      </c>
    </row>
    <row r="6726" spans="1:5" ht="27">
      <c r="A6726" s="282">
        <v>101303</v>
      </c>
      <c r="B6726" s="274" t="s">
        <v>13933</v>
      </c>
      <c r="C6726" s="274" t="s">
        <v>380</v>
      </c>
      <c r="D6726" s="279" t="s">
        <v>24399</v>
      </c>
      <c r="E6726" s="274" t="s">
        <v>9714</v>
      </c>
    </row>
    <row r="6727" spans="1:5" ht="27">
      <c r="A6727" s="282">
        <v>101304</v>
      </c>
      <c r="B6727" s="274" t="s">
        <v>13934</v>
      </c>
      <c r="C6727" s="274" t="s">
        <v>380</v>
      </c>
      <c r="D6727" s="279" t="s">
        <v>24400</v>
      </c>
      <c r="E6727" s="498" t="s">
        <v>9714</v>
      </c>
    </row>
    <row r="6728" spans="1:5" ht="27">
      <c r="A6728" s="282">
        <v>101305</v>
      </c>
      <c r="B6728" s="274" t="s">
        <v>13935</v>
      </c>
      <c r="C6728" s="274" t="s">
        <v>380</v>
      </c>
      <c r="D6728" s="279" t="s">
        <v>14145</v>
      </c>
      <c r="E6728" s="274" t="s">
        <v>9714</v>
      </c>
    </row>
    <row r="6729" spans="1:5" ht="13.5">
      <c r="A6729" s="282">
        <v>101307</v>
      </c>
      <c r="B6729" s="274" t="s">
        <v>13936</v>
      </c>
      <c r="C6729" s="274" t="s">
        <v>380</v>
      </c>
      <c r="D6729" s="279" t="s">
        <v>19155</v>
      </c>
      <c r="E6729" s="274" t="s">
        <v>9714</v>
      </c>
    </row>
    <row r="6730" spans="1:5" ht="27">
      <c r="A6730" s="282">
        <v>101308</v>
      </c>
      <c r="B6730" s="274" t="s">
        <v>13937</v>
      </c>
      <c r="C6730" s="274" t="s">
        <v>380</v>
      </c>
      <c r="D6730" s="279" t="s">
        <v>21097</v>
      </c>
      <c r="E6730" s="274" t="s">
        <v>9714</v>
      </c>
    </row>
    <row r="6731" spans="1:5" ht="13.5">
      <c r="A6731" s="282">
        <v>101309</v>
      </c>
      <c r="B6731" s="274" t="s">
        <v>13938</v>
      </c>
      <c r="C6731" s="274" t="s">
        <v>380</v>
      </c>
      <c r="D6731" s="279" t="s">
        <v>12310</v>
      </c>
      <c r="E6731" s="274" t="s">
        <v>9714</v>
      </c>
    </row>
    <row r="6732" spans="1:5" ht="27">
      <c r="A6732" s="282">
        <v>101310</v>
      </c>
      <c r="B6732" s="274" t="s">
        <v>13939</v>
      </c>
      <c r="C6732" s="274" t="s">
        <v>380</v>
      </c>
      <c r="D6732" s="279" t="s">
        <v>24400</v>
      </c>
      <c r="E6732" s="274" t="s">
        <v>9714</v>
      </c>
    </row>
    <row r="6733" spans="1:5" ht="27">
      <c r="A6733" s="282">
        <v>101311</v>
      </c>
      <c r="B6733" s="274" t="s">
        <v>13940</v>
      </c>
      <c r="C6733" s="274" t="s">
        <v>380</v>
      </c>
      <c r="D6733" s="279" t="s">
        <v>12370</v>
      </c>
      <c r="E6733" s="274" t="s">
        <v>9714</v>
      </c>
    </row>
    <row r="6734" spans="1:5" ht="27">
      <c r="A6734" s="282">
        <v>101312</v>
      </c>
      <c r="B6734" s="274" t="s">
        <v>13941</v>
      </c>
      <c r="C6734" s="274" t="s">
        <v>380</v>
      </c>
      <c r="D6734" s="279" t="s">
        <v>10887</v>
      </c>
      <c r="E6734" s="274" t="s">
        <v>9714</v>
      </c>
    </row>
    <row r="6735" spans="1:5" ht="13.5">
      <c r="A6735" s="282">
        <v>101313</v>
      </c>
      <c r="B6735" s="274" t="s">
        <v>13942</v>
      </c>
      <c r="C6735" s="274" t="s">
        <v>380</v>
      </c>
      <c r="D6735" s="279" t="s">
        <v>16706</v>
      </c>
      <c r="E6735" s="274" t="s">
        <v>9714</v>
      </c>
    </row>
    <row r="6736" spans="1:5" ht="27">
      <c r="A6736" s="282">
        <v>101314</v>
      </c>
      <c r="B6736" s="274" t="s">
        <v>13943</v>
      </c>
      <c r="C6736" s="274" t="s">
        <v>380</v>
      </c>
      <c r="D6736" s="279" t="s">
        <v>24401</v>
      </c>
      <c r="E6736" s="274" t="s">
        <v>9714</v>
      </c>
    </row>
    <row r="6737" spans="1:5" ht="13.5">
      <c r="A6737" s="282">
        <v>101315</v>
      </c>
      <c r="B6737" s="274" t="s">
        <v>13944</v>
      </c>
      <c r="C6737" s="274" t="s">
        <v>380</v>
      </c>
      <c r="D6737" s="279" t="s">
        <v>14278</v>
      </c>
      <c r="E6737" s="274" t="s">
        <v>9714</v>
      </c>
    </row>
    <row r="6738" spans="1:5" ht="27">
      <c r="A6738" s="282">
        <v>101316</v>
      </c>
      <c r="B6738" s="274" t="s">
        <v>13945</v>
      </c>
      <c r="C6738" s="274" t="s">
        <v>380</v>
      </c>
      <c r="D6738" s="279" t="s">
        <v>15821</v>
      </c>
      <c r="E6738" s="274" t="s">
        <v>9714</v>
      </c>
    </row>
    <row r="6739" spans="1:5" ht="27">
      <c r="A6739" s="282">
        <v>101317</v>
      </c>
      <c r="B6739" s="274" t="s">
        <v>13946</v>
      </c>
      <c r="C6739" s="274" t="s">
        <v>380</v>
      </c>
      <c r="D6739" s="279" t="s">
        <v>11230</v>
      </c>
      <c r="E6739" s="274" t="s">
        <v>9714</v>
      </c>
    </row>
    <row r="6740" spans="1:5" ht="27">
      <c r="A6740" s="282">
        <v>101318</v>
      </c>
      <c r="B6740" s="274" t="s">
        <v>13947</v>
      </c>
      <c r="C6740" s="274" t="s">
        <v>380</v>
      </c>
      <c r="D6740" s="279" t="s">
        <v>14316</v>
      </c>
      <c r="E6740" s="274" t="s">
        <v>9714</v>
      </c>
    </row>
    <row r="6741" spans="1:5" ht="27">
      <c r="A6741" s="282">
        <v>101319</v>
      </c>
      <c r="B6741" s="274" t="s">
        <v>13948</v>
      </c>
      <c r="C6741" s="274" t="s">
        <v>380</v>
      </c>
      <c r="D6741" s="279" t="s">
        <v>14317</v>
      </c>
      <c r="E6741" s="274" t="s">
        <v>9714</v>
      </c>
    </row>
    <row r="6742" spans="1:5" ht="13.5">
      <c r="A6742" s="282">
        <v>101320</v>
      </c>
      <c r="B6742" s="274" t="s">
        <v>13949</v>
      </c>
      <c r="C6742" s="274" t="s">
        <v>380</v>
      </c>
      <c r="D6742" s="279" t="s">
        <v>19913</v>
      </c>
      <c r="E6742" s="274" t="s">
        <v>9714</v>
      </c>
    </row>
    <row r="6743" spans="1:5" ht="13.5">
      <c r="A6743" s="282">
        <v>101322</v>
      </c>
      <c r="B6743" s="274" t="s">
        <v>13950</v>
      </c>
      <c r="C6743" s="274" t="s">
        <v>380</v>
      </c>
      <c r="D6743" s="279" t="s">
        <v>12370</v>
      </c>
      <c r="E6743" s="274" t="s">
        <v>9714</v>
      </c>
    </row>
    <row r="6744" spans="1:5" ht="13.5">
      <c r="A6744" s="282">
        <v>101323</v>
      </c>
      <c r="B6744" s="274" t="s">
        <v>13951</v>
      </c>
      <c r="C6744" s="274" t="s">
        <v>380</v>
      </c>
      <c r="D6744" s="279" t="s">
        <v>16124</v>
      </c>
      <c r="E6744" s="274" t="s">
        <v>9714</v>
      </c>
    </row>
    <row r="6745" spans="1:5" ht="27">
      <c r="A6745" s="282">
        <v>101324</v>
      </c>
      <c r="B6745" s="274" t="s">
        <v>13952</v>
      </c>
      <c r="C6745" s="274" t="s">
        <v>380</v>
      </c>
      <c r="D6745" s="279" t="s">
        <v>10202</v>
      </c>
      <c r="E6745" s="274" t="s">
        <v>9714</v>
      </c>
    </row>
    <row r="6746" spans="1:5" ht="27">
      <c r="A6746" s="282">
        <v>101325</v>
      </c>
      <c r="B6746" s="274" t="s">
        <v>13953</v>
      </c>
      <c r="C6746" s="274" t="s">
        <v>380</v>
      </c>
      <c r="D6746" s="279" t="s">
        <v>11293</v>
      </c>
      <c r="E6746" s="274" t="s">
        <v>9714</v>
      </c>
    </row>
    <row r="6747" spans="1:5" ht="13.5">
      <c r="A6747" s="282">
        <v>101326</v>
      </c>
      <c r="B6747" s="274" t="s">
        <v>13954</v>
      </c>
      <c r="C6747" s="274" t="s">
        <v>380</v>
      </c>
      <c r="D6747" s="279" t="s">
        <v>10552</v>
      </c>
      <c r="E6747" s="274" t="s">
        <v>9714</v>
      </c>
    </row>
    <row r="6748" spans="1:5" ht="27">
      <c r="A6748" s="282">
        <v>101327</v>
      </c>
      <c r="B6748" s="274" t="s">
        <v>13955</v>
      </c>
      <c r="C6748" s="274" t="s">
        <v>380</v>
      </c>
      <c r="D6748" s="279" t="s">
        <v>10336</v>
      </c>
      <c r="E6748" s="274" t="s">
        <v>9714</v>
      </c>
    </row>
    <row r="6749" spans="1:5" ht="27">
      <c r="A6749" s="282">
        <v>101328</v>
      </c>
      <c r="B6749" s="274" t="s">
        <v>13956</v>
      </c>
      <c r="C6749" s="274" t="s">
        <v>380</v>
      </c>
      <c r="D6749" s="279" t="s">
        <v>10014</v>
      </c>
      <c r="E6749" s="274" t="s">
        <v>9714</v>
      </c>
    </row>
    <row r="6750" spans="1:5" ht="13.5">
      <c r="A6750" s="282">
        <v>101329</v>
      </c>
      <c r="B6750" s="274" t="s">
        <v>13957</v>
      </c>
      <c r="C6750" s="274" t="s">
        <v>380</v>
      </c>
      <c r="D6750" s="279" t="s">
        <v>11548</v>
      </c>
      <c r="E6750" s="274" t="s">
        <v>9714</v>
      </c>
    </row>
    <row r="6751" spans="1:5" ht="13.5">
      <c r="A6751" s="282">
        <v>101330</v>
      </c>
      <c r="B6751" s="274" t="s">
        <v>13958</v>
      </c>
      <c r="C6751" s="274" t="s">
        <v>380</v>
      </c>
      <c r="D6751" s="279" t="s">
        <v>19362</v>
      </c>
      <c r="E6751" s="274" t="s">
        <v>9714</v>
      </c>
    </row>
    <row r="6752" spans="1:5" ht="27">
      <c r="A6752" s="282">
        <v>101331</v>
      </c>
      <c r="B6752" s="274" t="s">
        <v>13959</v>
      </c>
      <c r="C6752" s="274" t="s">
        <v>380</v>
      </c>
      <c r="D6752" s="279" t="s">
        <v>24386</v>
      </c>
      <c r="E6752" s="274" t="s">
        <v>9714</v>
      </c>
    </row>
    <row r="6753" spans="1:5" ht="27">
      <c r="A6753" s="282">
        <v>101332</v>
      </c>
      <c r="B6753" s="274" t="s">
        <v>13960</v>
      </c>
      <c r="C6753" s="274" t="s">
        <v>380</v>
      </c>
      <c r="D6753" s="279" t="s">
        <v>11281</v>
      </c>
      <c r="E6753" s="274" t="s">
        <v>9714</v>
      </c>
    </row>
    <row r="6754" spans="1:5" ht="27">
      <c r="A6754" s="282">
        <v>101333</v>
      </c>
      <c r="B6754" s="274" t="s">
        <v>13961</v>
      </c>
      <c r="C6754" s="274" t="s">
        <v>380</v>
      </c>
      <c r="D6754" s="279" t="s">
        <v>16151</v>
      </c>
      <c r="E6754" s="274" t="s">
        <v>9714</v>
      </c>
    </row>
    <row r="6755" spans="1:5" ht="27">
      <c r="A6755" s="282">
        <v>101334</v>
      </c>
      <c r="B6755" s="274" t="s">
        <v>13962</v>
      </c>
      <c r="C6755" s="274" t="s">
        <v>380</v>
      </c>
      <c r="D6755" s="279" t="s">
        <v>24402</v>
      </c>
      <c r="E6755" s="274" t="s">
        <v>9714</v>
      </c>
    </row>
    <row r="6756" spans="1:5" ht="27">
      <c r="A6756" s="282">
        <v>101335</v>
      </c>
      <c r="B6756" s="274" t="s">
        <v>13963</v>
      </c>
      <c r="C6756" s="274" t="s">
        <v>380</v>
      </c>
      <c r="D6756" s="279" t="s">
        <v>10227</v>
      </c>
      <c r="E6756" s="274" t="s">
        <v>9714</v>
      </c>
    </row>
    <row r="6757" spans="1:5" ht="27">
      <c r="A6757" s="282">
        <v>101336</v>
      </c>
      <c r="B6757" s="274" t="s">
        <v>13964</v>
      </c>
      <c r="C6757" s="274" t="s">
        <v>380</v>
      </c>
      <c r="D6757" s="279" t="s">
        <v>15814</v>
      </c>
      <c r="E6757" s="274" t="s">
        <v>9714</v>
      </c>
    </row>
    <row r="6758" spans="1:5" ht="13.5">
      <c r="A6758" s="282">
        <v>101337</v>
      </c>
      <c r="B6758" s="274" t="s">
        <v>13965</v>
      </c>
      <c r="C6758" s="274" t="s">
        <v>380</v>
      </c>
      <c r="D6758" s="279" t="s">
        <v>22573</v>
      </c>
      <c r="E6758" s="274" t="s">
        <v>9714</v>
      </c>
    </row>
    <row r="6759" spans="1:5" ht="27">
      <c r="A6759" s="282">
        <v>101338</v>
      </c>
      <c r="B6759" s="274" t="s">
        <v>13966</v>
      </c>
      <c r="C6759" s="274" t="s">
        <v>380</v>
      </c>
      <c r="D6759" s="279" t="s">
        <v>9783</v>
      </c>
      <c r="E6759" s="274" t="s">
        <v>9714</v>
      </c>
    </row>
    <row r="6760" spans="1:5" ht="27">
      <c r="A6760" s="282">
        <v>101339</v>
      </c>
      <c r="B6760" s="274" t="s">
        <v>13967</v>
      </c>
      <c r="C6760" s="274" t="s">
        <v>380</v>
      </c>
      <c r="D6760" s="279" t="s">
        <v>11349</v>
      </c>
      <c r="E6760" s="274" t="s">
        <v>9714</v>
      </c>
    </row>
    <row r="6761" spans="1:5" ht="27">
      <c r="A6761" s="282">
        <v>101340</v>
      </c>
      <c r="B6761" s="274" t="s">
        <v>13968</v>
      </c>
      <c r="C6761" s="274" t="s">
        <v>380</v>
      </c>
      <c r="D6761" s="279" t="s">
        <v>11474</v>
      </c>
      <c r="E6761" s="274" t="s">
        <v>9714</v>
      </c>
    </row>
    <row r="6762" spans="1:5" ht="27">
      <c r="A6762" s="282">
        <v>101341</v>
      </c>
      <c r="B6762" s="274" t="s">
        <v>13969</v>
      </c>
      <c r="C6762" s="274" t="s">
        <v>380</v>
      </c>
      <c r="D6762" s="279" t="s">
        <v>14115</v>
      </c>
      <c r="E6762" s="274" t="s">
        <v>9714</v>
      </c>
    </row>
    <row r="6763" spans="1:5" ht="27">
      <c r="A6763" s="282">
        <v>101342</v>
      </c>
      <c r="B6763" s="274" t="s">
        <v>13970</v>
      </c>
      <c r="C6763" s="274" t="s">
        <v>380</v>
      </c>
      <c r="D6763" s="279" t="s">
        <v>11181</v>
      </c>
      <c r="E6763" s="274" t="s">
        <v>9714</v>
      </c>
    </row>
    <row r="6764" spans="1:5" ht="27">
      <c r="A6764" s="282">
        <v>101343</v>
      </c>
      <c r="B6764" s="274" t="s">
        <v>13971</v>
      </c>
      <c r="C6764" s="274" t="s">
        <v>380</v>
      </c>
      <c r="D6764" s="279" t="s">
        <v>12370</v>
      </c>
      <c r="E6764" s="274" t="s">
        <v>9714</v>
      </c>
    </row>
    <row r="6765" spans="1:5" ht="27">
      <c r="A6765" s="282">
        <v>101344</v>
      </c>
      <c r="B6765" s="274" t="s">
        <v>13972</v>
      </c>
      <c r="C6765" s="274" t="s">
        <v>380</v>
      </c>
      <c r="D6765" s="279" t="s">
        <v>15814</v>
      </c>
      <c r="E6765" s="274" t="s">
        <v>9714</v>
      </c>
    </row>
    <row r="6766" spans="1:5" ht="27">
      <c r="A6766" s="282">
        <v>101345</v>
      </c>
      <c r="B6766" s="274" t="s">
        <v>13973</v>
      </c>
      <c r="C6766" s="274" t="s">
        <v>380</v>
      </c>
      <c r="D6766" s="279" t="s">
        <v>15814</v>
      </c>
      <c r="E6766" s="274" t="s">
        <v>9714</v>
      </c>
    </row>
    <row r="6767" spans="1:5" ht="27">
      <c r="A6767" s="282">
        <v>101346</v>
      </c>
      <c r="B6767" s="274" t="s">
        <v>13974</v>
      </c>
      <c r="C6767" s="274" t="s">
        <v>380</v>
      </c>
      <c r="D6767" s="279" t="s">
        <v>15899</v>
      </c>
      <c r="E6767" s="274" t="s">
        <v>9714</v>
      </c>
    </row>
    <row r="6768" spans="1:5" ht="27">
      <c r="A6768" s="282">
        <v>101347</v>
      </c>
      <c r="B6768" s="274" t="s">
        <v>13975</v>
      </c>
      <c r="C6768" s="274" t="s">
        <v>380</v>
      </c>
      <c r="D6768" s="279" t="s">
        <v>11341</v>
      </c>
      <c r="E6768" s="274" t="s">
        <v>9714</v>
      </c>
    </row>
    <row r="6769" spans="1:5" ht="27">
      <c r="A6769" s="282">
        <v>101348</v>
      </c>
      <c r="B6769" s="274" t="s">
        <v>13976</v>
      </c>
      <c r="C6769" s="274" t="s">
        <v>380</v>
      </c>
      <c r="D6769" s="279" t="s">
        <v>14254</v>
      </c>
      <c r="E6769" s="274" t="s">
        <v>9714</v>
      </c>
    </row>
    <row r="6770" spans="1:5" ht="27">
      <c r="A6770" s="282">
        <v>101349</v>
      </c>
      <c r="B6770" s="274" t="s">
        <v>13977</v>
      </c>
      <c r="C6770" s="274" t="s">
        <v>380</v>
      </c>
      <c r="D6770" s="279" t="s">
        <v>15975</v>
      </c>
      <c r="E6770" s="274" t="s">
        <v>9714</v>
      </c>
    </row>
    <row r="6771" spans="1:5" ht="27">
      <c r="A6771" s="282">
        <v>101350</v>
      </c>
      <c r="B6771" s="274" t="s">
        <v>13978</v>
      </c>
      <c r="C6771" s="274" t="s">
        <v>380</v>
      </c>
      <c r="D6771" s="279" t="s">
        <v>10927</v>
      </c>
      <c r="E6771" s="274" t="s">
        <v>9714</v>
      </c>
    </row>
    <row r="6772" spans="1:5" ht="27">
      <c r="A6772" s="282">
        <v>101351</v>
      </c>
      <c r="B6772" s="274" t="s">
        <v>13979</v>
      </c>
      <c r="C6772" s="274" t="s">
        <v>380</v>
      </c>
      <c r="D6772" s="279" t="s">
        <v>20320</v>
      </c>
      <c r="E6772" s="274" t="s">
        <v>9714</v>
      </c>
    </row>
    <row r="6773" spans="1:5" ht="27">
      <c r="A6773" s="282">
        <v>101352</v>
      </c>
      <c r="B6773" s="274" t="s">
        <v>13980</v>
      </c>
      <c r="C6773" s="274" t="s">
        <v>380</v>
      </c>
      <c r="D6773" s="279" t="s">
        <v>10641</v>
      </c>
      <c r="E6773" s="274" t="s">
        <v>9714</v>
      </c>
    </row>
    <row r="6774" spans="1:5" ht="27">
      <c r="A6774" s="282">
        <v>101353</v>
      </c>
      <c r="B6774" s="274" t="s">
        <v>13981</v>
      </c>
      <c r="C6774" s="274" t="s">
        <v>380</v>
      </c>
      <c r="D6774" s="279" t="s">
        <v>19073</v>
      </c>
      <c r="E6774" s="274" t="s">
        <v>9714</v>
      </c>
    </row>
    <row r="6775" spans="1:5" ht="27">
      <c r="A6775" s="282">
        <v>101354</v>
      </c>
      <c r="B6775" s="274" t="s">
        <v>13982</v>
      </c>
      <c r="C6775" s="274" t="s">
        <v>380</v>
      </c>
      <c r="D6775" s="279" t="s">
        <v>11562</v>
      </c>
      <c r="E6775" s="274" t="s">
        <v>9714</v>
      </c>
    </row>
    <row r="6776" spans="1:5" ht="27">
      <c r="A6776" s="282">
        <v>101355</v>
      </c>
      <c r="B6776" s="274" t="s">
        <v>13983</v>
      </c>
      <c r="C6776" s="274" t="s">
        <v>380</v>
      </c>
      <c r="D6776" s="279" t="s">
        <v>10644</v>
      </c>
      <c r="E6776" s="274" t="s">
        <v>9714</v>
      </c>
    </row>
    <row r="6777" spans="1:5" ht="13.5">
      <c r="A6777" s="282">
        <v>101356</v>
      </c>
      <c r="B6777" s="274" t="s">
        <v>13984</v>
      </c>
      <c r="C6777" s="274" t="s">
        <v>380</v>
      </c>
      <c r="D6777" s="279" t="s">
        <v>16694</v>
      </c>
      <c r="E6777" s="274" t="s">
        <v>9714</v>
      </c>
    </row>
    <row r="6778" spans="1:5" ht="13.5">
      <c r="A6778" s="282">
        <v>101357</v>
      </c>
      <c r="B6778" s="274" t="s">
        <v>13985</v>
      </c>
      <c r="C6778" s="274" t="s">
        <v>380</v>
      </c>
      <c r="D6778" s="279" t="s">
        <v>16124</v>
      </c>
      <c r="E6778" s="274" t="s">
        <v>9714</v>
      </c>
    </row>
    <row r="6779" spans="1:5" ht="13.5">
      <c r="A6779" s="282">
        <v>101358</v>
      </c>
      <c r="B6779" s="274" t="s">
        <v>13986</v>
      </c>
      <c r="C6779" s="274" t="s">
        <v>380</v>
      </c>
      <c r="D6779" s="279" t="s">
        <v>24400</v>
      </c>
      <c r="E6779" s="274" t="s">
        <v>9714</v>
      </c>
    </row>
    <row r="6780" spans="1:5" ht="13.5">
      <c r="A6780" s="282">
        <v>101359</v>
      </c>
      <c r="B6780" s="274" t="s">
        <v>13987</v>
      </c>
      <c r="C6780" s="274" t="s">
        <v>380</v>
      </c>
      <c r="D6780" s="279" t="s">
        <v>9885</v>
      </c>
      <c r="E6780" s="274" t="s">
        <v>9714</v>
      </c>
    </row>
    <row r="6781" spans="1:5" ht="27">
      <c r="A6781" s="282">
        <v>101360</v>
      </c>
      <c r="B6781" s="274" t="s">
        <v>13988</v>
      </c>
      <c r="C6781" s="274" t="s">
        <v>380</v>
      </c>
      <c r="D6781" s="279" t="s">
        <v>10562</v>
      </c>
      <c r="E6781" s="274" t="s">
        <v>9714</v>
      </c>
    </row>
    <row r="6782" spans="1:5" ht="27">
      <c r="A6782" s="282">
        <v>101361</v>
      </c>
      <c r="B6782" s="274" t="s">
        <v>13989</v>
      </c>
      <c r="C6782" s="274" t="s">
        <v>380</v>
      </c>
      <c r="D6782" s="279" t="s">
        <v>11361</v>
      </c>
      <c r="E6782" s="274" t="s">
        <v>9714</v>
      </c>
    </row>
    <row r="6783" spans="1:5" ht="13.5">
      <c r="A6783" s="282">
        <v>101362</v>
      </c>
      <c r="B6783" s="274" t="s">
        <v>13990</v>
      </c>
      <c r="C6783" s="274" t="s">
        <v>380</v>
      </c>
      <c r="D6783" s="279" t="s">
        <v>10194</v>
      </c>
      <c r="E6783" s="274" t="s">
        <v>9714</v>
      </c>
    </row>
    <row r="6784" spans="1:5" ht="13.5">
      <c r="A6784" s="282">
        <v>101363</v>
      </c>
      <c r="B6784" s="274" t="s">
        <v>13991</v>
      </c>
      <c r="C6784" s="274" t="s">
        <v>380</v>
      </c>
      <c r="D6784" s="279" t="s">
        <v>12370</v>
      </c>
      <c r="E6784" s="274" t="s">
        <v>9714</v>
      </c>
    </row>
    <row r="6785" spans="1:5" ht="13.5">
      <c r="A6785" s="282">
        <v>101364</v>
      </c>
      <c r="B6785" s="274" t="s">
        <v>13992</v>
      </c>
      <c r="C6785" s="274" t="s">
        <v>380</v>
      </c>
      <c r="D6785" s="279" t="s">
        <v>24403</v>
      </c>
      <c r="E6785" s="274" t="s">
        <v>9714</v>
      </c>
    </row>
    <row r="6786" spans="1:5" ht="13.5">
      <c r="A6786" s="282">
        <v>101365</v>
      </c>
      <c r="B6786" s="274" t="s">
        <v>13993</v>
      </c>
      <c r="C6786" s="274" t="s">
        <v>380</v>
      </c>
      <c r="D6786" s="279" t="s">
        <v>12370</v>
      </c>
      <c r="E6786" s="274" t="s">
        <v>9714</v>
      </c>
    </row>
    <row r="6787" spans="1:5" ht="13.5">
      <c r="A6787" s="282">
        <v>101366</v>
      </c>
      <c r="B6787" s="274" t="s">
        <v>13994</v>
      </c>
      <c r="C6787" s="274" t="s">
        <v>380</v>
      </c>
      <c r="D6787" s="279" t="s">
        <v>16702</v>
      </c>
      <c r="E6787" s="274" t="s">
        <v>9714</v>
      </c>
    </row>
    <row r="6788" spans="1:5" ht="27">
      <c r="A6788" s="282">
        <v>101367</v>
      </c>
      <c r="B6788" s="274" t="s">
        <v>13995</v>
      </c>
      <c r="C6788" s="274" t="s">
        <v>380</v>
      </c>
      <c r="D6788" s="279" t="s">
        <v>16712</v>
      </c>
      <c r="E6788" s="274" t="s">
        <v>9714</v>
      </c>
    </row>
    <row r="6789" spans="1:5" ht="27">
      <c r="A6789" s="282">
        <v>101368</v>
      </c>
      <c r="B6789" s="274" t="s">
        <v>13996</v>
      </c>
      <c r="C6789" s="274" t="s">
        <v>380</v>
      </c>
      <c r="D6789" s="279" t="s">
        <v>11434</v>
      </c>
      <c r="E6789" s="274" t="s">
        <v>9714</v>
      </c>
    </row>
    <row r="6790" spans="1:5" ht="13.5">
      <c r="A6790" s="282">
        <v>101369</v>
      </c>
      <c r="B6790" s="274" t="s">
        <v>13997</v>
      </c>
      <c r="C6790" s="274" t="s">
        <v>380</v>
      </c>
      <c r="D6790" s="279" t="s">
        <v>24404</v>
      </c>
      <c r="E6790" s="274" t="s">
        <v>9714</v>
      </c>
    </row>
    <row r="6791" spans="1:5" ht="13.5">
      <c r="A6791" s="282">
        <v>101370</v>
      </c>
      <c r="B6791" s="274" t="s">
        <v>13998</v>
      </c>
      <c r="C6791" s="274" t="s">
        <v>380</v>
      </c>
      <c r="D6791" s="279" t="s">
        <v>11407</v>
      </c>
      <c r="E6791" s="274" t="s">
        <v>9714</v>
      </c>
    </row>
    <row r="6792" spans="1:5" ht="13.5">
      <c r="A6792" s="282">
        <v>101371</v>
      </c>
      <c r="B6792" s="274" t="s">
        <v>13999</v>
      </c>
      <c r="C6792" s="274" t="s">
        <v>380</v>
      </c>
      <c r="D6792" s="279" t="s">
        <v>19801</v>
      </c>
      <c r="E6792" s="274" t="s">
        <v>9714</v>
      </c>
    </row>
    <row r="6793" spans="1:5" ht="13.5">
      <c r="A6793" s="282">
        <v>101372</v>
      </c>
      <c r="B6793" s="274" t="s">
        <v>14000</v>
      </c>
      <c r="C6793" s="274" t="s">
        <v>380</v>
      </c>
      <c r="D6793" s="279" t="s">
        <v>9757</v>
      </c>
      <c r="E6793" s="274" t="s">
        <v>9714</v>
      </c>
    </row>
    <row r="6794" spans="1:5" ht="13.5">
      <c r="A6794" s="282">
        <v>101373</v>
      </c>
      <c r="B6794" s="274" t="s">
        <v>14001</v>
      </c>
      <c r="C6794" s="274" t="s">
        <v>206</v>
      </c>
      <c r="D6794" s="279" t="s">
        <v>10474</v>
      </c>
      <c r="E6794" s="274" t="s">
        <v>9714</v>
      </c>
    </row>
    <row r="6795" spans="1:5" ht="13.5">
      <c r="A6795" s="282">
        <v>101374</v>
      </c>
      <c r="B6795" s="274" t="s">
        <v>3044</v>
      </c>
      <c r="C6795" s="274" t="s">
        <v>380</v>
      </c>
      <c r="D6795" s="279" t="s">
        <v>24405</v>
      </c>
      <c r="E6795" s="274" t="s">
        <v>9714</v>
      </c>
    </row>
    <row r="6796" spans="1:5" ht="13.5">
      <c r="A6796" s="282">
        <v>101375</v>
      </c>
      <c r="B6796" s="274" t="s">
        <v>14002</v>
      </c>
      <c r="C6796" s="274" t="s">
        <v>380</v>
      </c>
      <c r="D6796" s="279" t="s">
        <v>24406</v>
      </c>
      <c r="E6796" s="274" t="s">
        <v>9714</v>
      </c>
    </row>
    <row r="6797" spans="1:5" ht="13.5">
      <c r="A6797" s="282">
        <v>101376</v>
      </c>
      <c r="B6797" s="274" t="s">
        <v>14003</v>
      </c>
      <c r="C6797" s="274" t="s">
        <v>380</v>
      </c>
      <c r="D6797" s="279" t="s">
        <v>24407</v>
      </c>
      <c r="E6797" s="274" t="s">
        <v>9714</v>
      </c>
    </row>
    <row r="6798" spans="1:5" ht="13.5">
      <c r="A6798" s="282">
        <v>101377</v>
      </c>
      <c r="B6798" s="274" t="s">
        <v>3046</v>
      </c>
      <c r="C6798" s="274" t="s">
        <v>380</v>
      </c>
      <c r="D6798" s="279" t="s">
        <v>24408</v>
      </c>
      <c r="E6798" s="274" t="s">
        <v>9714</v>
      </c>
    </row>
    <row r="6799" spans="1:5" ht="13.5">
      <c r="A6799" s="282">
        <v>101378</v>
      </c>
      <c r="B6799" s="274" t="s">
        <v>4535</v>
      </c>
      <c r="C6799" s="274" t="s">
        <v>380</v>
      </c>
      <c r="D6799" s="279" t="s">
        <v>24409</v>
      </c>
      <c r="E6799" s="274" t="s">
        <v>9714</v>
      </c>
    </row>
    <row r="6800" spans="1:5" ht="13.5">
      <c r="A6800" s="282">
        <v>101379</v>
      </c>
      <c r="B6800" s="274" t="s">
        <v>14004</v>
      </c>
      <c r="C6800" s="274" t="s">
        <v>380</v>
      </c>
      <c r="D6800" s="279" t="s">
        <v>24410</v>
      </c>
      <c r="E6800" s="274" t="s">
        <v>9714</v>
      </c>
    </row>
    <row r="6801" spans="1:5" ht="13.5">
      <c r="A6801" s="282">
        <v>101380</v>
      </c>
      <c r="B6801" s="274" t="s">
        <v>3048</v>
      </c>
      <c r="C6801" s="274" t="s">
        <v>380</v>
      </c>
      <c r="D6801" s="279" t="s">
        <v>24411</v>
      </c>
      <c r="E6801" s="274" t="s">
        <v>9714</v>
      </c>
    </row>
    <row r="6802" spans="1:5" ht="13.5">
      <c r="A6802" s="282">
        <v>101381</v>
      </c>
      <c r="B6802" s="274" t="s">
        <v>3049</v>
      </c>
      <c r="C6802" s="274" t="s">
        <v>380</v>
      </c>
      <c r="D6802" s="279" t="s">
        <v>24412</v>
      </c>
      <c r="E6802" s="274" t="s">
        <v>9714</v>
      </c>
    </row>
    <row r="6803" spans="1:5" ht="13.5">
      <c r="A6803" s="282">
        <v>101382</v>
      </c>
      <c r="B6803" s="274" t="s">
        <v>14005</v>
      </c>
      <c r="C6803" s="274" t="s">
        <v>380</v>
      </c>
      <c r="D6803" s="279" t="s">
        <v>24413</v>
      </c>
      <c r="E6803" s="274" t="s">
        <v>9714</v>
      </c>
    </row>
    <row r="6804" spans="1:5" ht="13.5">
      <c r="A6804" s="282">
        <v>101383</v>
      </c>
      <c r="B6804" s="274" t="s">
        <v>4537</v>
      </c>
      <c r="C6804" s="274" t="s">
        <v>380</v>
      </c>
      <c r="D6804" s="279" t="s">
        <v>24414</v>
      </c>
      <c r="E6804" s="274" t="s">
        <v>9714</v>
      </c>
    </row>
    <row r="6805" spans="1:5" ht="13.5">
      <c r="A6805" s="282">
        <v>101384</v>
      </c>
      <c r="B6805" s="274" t="s">
        <v>106</v>
      </c>
      <c r="C6805" s="274" t="s">
        <v>380</v>
      </c>
      <c r="D6805" s="279" t="s">
        <v>24415</v>
      </c>
      <c r="E6805" s="274" t="s">
        <v>9714</v>
      </c>
    </row>
    <row r="6806" spans="1:5" ht="13.5">
      <c r="A6806" s="282">
        <v>101385</v>
      </c>
      <c r="B6806" s="274" t="s">
        <v>14006</v>
      </c>
      <c r="C6806" s="274" t="s">
        <v>380</v>
      </c>
      <c r="D6806" s="279" t="s">
        <v>14319</v>
      </c>
      <c r="E6806" s="274" t="s">
        <v>9714</v>
      </c>
    </row>
    <row r="6807" spans="1:5" ht="13.5">
      <c r="A6807" s="282">
        <v>101386</v>
      </c>
      <c r="B6807" s="274" t="s">
        <v>3052</v>
      </c>
      <c r="C6807" s="274" t="s">
        <v>380</v>
      </c>
      <c r="D6807" s="279" t="s">
        <v>24416</v>
      </c>
      <c r="E6807" s="274" t="s">
        <v>9714</v>
      </c>
    </row>
    <row r="6808" spans="1:5" ht="13.5">
      <c r="A6808" s="282">
        <v>101387</v>
      </c>
      <c r="B6808" s="274" t="s">
        <v>14007</v>
      </c>
      <c r="C6808" s="274" t="s">
        <v>380</v>
      </c>
      <c r="D6808" s="279" t="s">
        <v>24417</v>
      </c>
      <c r="E6808" s="274" t="s">
        <v>9714</v>
      </c>
    </row>
    <row r="6809" spans="1:5" ht="13.5">
      <c r="A6809" s="282">
        <v>101388</v>
      </c>
      <c r="B6809" s="274" t="s">
        <v>3053</v>
      </c>
      <c r="C6809" s="274" t="s">
        <v>380</v>
      </c>
      <c r="D6809" s="279" t="s">
        <v>24418</v>
      </c>
      <c r="E6809" s="274" t="s">
        <v>9714</v>
      </c>
    </row>
    <row r="6810" spans="1:5" ht="13.5">
      <c r="A6810" s="282">
        <v>101389</v>
      </c>
      <c r="B6810" s="274" t="s">
        <v>3054</v>
      </c>
      <c r="C6810" s="274" t="s">
        <v>380</v>
      </c>
      <c r="D6810" s="279" t="s">
        <v>24419</v>
      </c>
      <c r="E6810" s="274" t="s">
        <v>9714</v>
      </c>
    </row>
    <row r="6811" spans="1:5" ht="13.5">
      <c r="A6811" s="282">
        <v>101390</v>
      </c>
      <c r="B6811" s="274" t="s">
        <v>14008</v>
      </c>
      <c r="C6811" s="274" t="s">
        <v>380</v>
      </c>
      <c r="D6811" s="279" t="s">
        <v>14320</v>
      </c>
      <c r="E6811" s="274" t="s">
        <v>9714</v>
      </c>
    </row>
    <row r="6812" spans="1:5" ht="13.5">
      <c r="A6812" s="282">
        <v>101391</v>
      </c>
      <c r="B6812" s="274" t="s">
        <v>14009</v>
      </c>
      <c r="C6812" s="274" t="s">
        <v>380</v>
      </c>
      <c r="D6812" s="279" t="s">
        <v>24420</v>
      </c>
      <c r="E6812" s="274" t="s">
        <v>9714</v>
      </c>
    </row>
    <row r="6813" spans="1:5" ht="13.5">
      <c r="A6813" s="282">
        <v>101392</v>
      </c>
      <c r="B6813" s="274" t="s">
        <v>14010</v>
      </c>
      <c r="C6813" s="274" t="s">
        <v>380</v>
      </c>
      <c r="D6813" s="279" t="s">
        <v>24421</v>
      </c>
      <c r="E6813" s="274" t="s">
        <v>9714</v>
      </c>
    </row>
    <row r="6814" spans="1:5" ht="13.5">
      <c r="A6814" s="282">
        <v>101394</v>
      </c>
      <c r="B6814" s="274" t="s">
        <v>230</v>
      </c>
      <c r="C6814" s="274" t="s">
        <v>380</v>
      </c>
      <c r="D6814" s="279" t="s">
        <v>24422</v>
      </c>
      <c r="E6814" s="274" t="s">
        <v>9714</v>
      </c>
    </row>
    <row r="6815" spans="1:5" ht="13.5">
      <c r="A6815" s="274">
        <v>101395</v>
      </c>
      <c r="B6815" s="274" t="s">
        <v>14011</v>
      </c>
      <c r="C6815" s="274" t="s">
        <v>380</v>
      </c>
      <c r="D6815" s="279" t="s">
        <v>24423</v>
      </c>
      <c r="E6815" s="274" t="s">
        <v>9714</v>
      </c>
    </row>
    <row r="6816" spans="1:5" ht="13.5">
      <c r="A6816" s="274">
        <v>101396</v>
      </c>
      <c r="B6816" s="274" t="s">
        <v>14012</v>
      </c>
      <c r="C6816" s="274" t="s">
        <v>380</v>
      </c>
      <c r="D6816" s="279" t="s">
        <v>24424</v>
      </c>
      <c r="E6816" s="274" t="s">
        <v>9714</v>
      </c>
    </row>
    <row r="6817" spans="1:5" ht="13.5">
      <c r="A6817" s="274">
        <v>101397</v>
      </c>
      <c r="B6817" s="274" t="s">
        <v>172</v>
      </c>
      <c r="C6817" s="274" t="s">
        <v>380</v>
      </c>
      <c r="D6817" s="279" t="s">
        <v>24425</v>
      </c>
      <c r="E6817" s="274" t="s">
        <v>9714</v>
      </c>
    </row>
    <row r="6818" spans="1:5" ht="13.5">
      <c r="A6818" s="274">
        <v>101398</v>
      </c>
      <c r="B6818" s="274" t="s">
        <v>14013</v>
      </c>
      <c r="C6818" s="274" t="s">
        <v>380</v>
      </c>
      <c r="D6818" s="279" t="s">
        <v>24426</v>
      </c>
      <c r="E6818" s="274" t="s">
        <v>9714</v>
      </c>
    </row>
    <row r="6819" spans="1:5" ht="13.5">
      <c r="A6819" s="274">
        <v>101399</v>
      </c>
      <c r="B6819" s="274" t="s">
        <v>146</v>
      </c>
      <c r="C6819" s="274" t="s">
        <v>380</v>
      </c>
      <c r="D6819" s="279" t="s">
        <v>24427</v>
      </c>
      <c r="E6819" s="274" t="s">
        <v>9714</v>
      </c>
    </row>
    <row r="6820" spans="1:5" ht="13.5">
      <c r="A6820" s="274">
        <v>101400</v>
      </c>
      <c r="B6820" s="274" t="s">
        <v>14014</v>
      </c>
      <c r="C6820" s="274" t="s">
        <v>380</v>
      </c>
      <c r="D6820" s="279" t="s">
        <v>24428</v>
      </c>
      <c r="E6820" s="274" t="s">
        <v>9714</v>
      </c>
    </row>
    <row r="6821" spans="1:5" ht="13.5">
      <c r="A6821" s="274">
        <v>101401</v>
      </c>
      <c r="B6821" s="274" t="s">
        <v>3060</v>
      </c>
      <c r="C6821" s="274" t="s">
        <v>380</v>
      </c>
      <c r="D6821" s="279" t="s">
        <v>24429</v>
      </c>
      <c r="E6821" s="274" t="s">
        <v>9714</v>
      </c>
    </row>
    <row r="6822" spans="1:5" ht="13.5">
      <c r="A6822" s="274">
        <v>101402</v>
      </c>
      <c r="B6822" s="274" t="s">
        <v>107</v>
      </c>
      <c r="C6822" s="274" t="s">
        <v>380</v>
      </c>
      <c r="D6822" s="279" t="s">
        <v>24430</v>
      </c>
      <c r="E6822" s="274" t="s">
        <v>9714</v>
      </c>
    </row>
    <row r="6823" spans="1:5" ht="13.5">
      <c r="A6823" s="274">
        <v>101403</v>
      </c>
      <c r="B6823" s="274" t="s">
        <v>14001</v>
      </c>
      <c r="C6823" s="274" t="s">
        <v>380</v>
      </c>
      <c r="D6823" s="279" t="s">
        <v>14321</v>
      </c>
      <c r="E6823" s="274" t="s">
        <v>9714</v>
      </c>
    </row>
    <row r="6824" spans="1:5" ht="13.5">
      <c r="A6824" s="274">
        <v>101404</v>
      </c>
      <c r="B6824" s="274" t="s">
        <v>3118</v>
      </c>
      <c r="C6824" s="274" t="s">
        <v>380</v>
      </c>
      <c r="D6824" s="279" t="s">
        <v>14322</v>
      </c>
      <c r="E6824" s="274" t="s">
        <v>9714</v>
      </c>
    </row>
    <row r="6825" spans="1:5" ht="13.5">
      <c r="A6825" s="274">
        <v>101405</v>
      </c>
      <c r="B6825" s="274" t="s">
        <v>3119</v>
      </c>
      <c r="C6825" s="274" t="s">
        <v>380</v>
      </c>
      <c r="D6825" s="279" t="s">
        <v>14323</v>
      </c>
      <c r="E6825" s="274" t="s">
        <v>9714</v>
      </c>
    </row>
    <row r="6826" spans="1:5" ht="13.5">
      <c r="A6826" s="274">
        <v>101407</v>
      </c>
      <c r="B6826" s="274" t="s">
        <v>3061</v>
      </c>
      <c r="C6826" s="274" t="s">
        <v>380</v>
      </c>
      <c r="D6826" s="279" t="s">
        <v>24412</v>
      </c>
      <c r="E6826" s="274" t="s">
        <v>9714</v>
      </c>
    </row>
    <row r="6827" spans="1:5" ht="13.5">
      <c r="A6827" s="274">
        <v>101408</v>
      </c>
      <c r="B6827" s="274" t="s">
        <v>3062</v>
      </c>
      <c r="C6827" s="274" t="s">
        <v>380</v>
      </c>
      <c r="D6827" s="279" t="s">
        <v>24431</v>
      </c>
      <c r="E6827" s="274" t="s">
        <v>9714</v>
      </c>
    </row>
    <row r="6828" spans="1:5" ht="13.5">
      <c r="A6828" s="274">
        <v>101409</v>
      </c>
      <c r="B6828" s="274" t="s">
        <v>14015</v>
      </c>
      <c r="C6828" s="274" t="s">
        <v>380</v>
      </c>
      <c r="D6828" s="279" t="s">
        <v>24432</v>
      </c>
      <c r="E6828" s="274" t="s">
        <v>9714</v>
      </c>
    </row>
    <row r="6829" spans="1:5" ht="13.5">
      <c r="A6829" s="274">
        <v>101410</v>
      </c>
      <c r="B6829" s="274" t="s">
        <v>3104</v>
      </c>
      <c r="C6829" s="274" t="s">
        <v>380</v>
      </c>
      <c r="D6829" s="279" t="s">
        <v>24433</v>
      </c>
      <c r="E6829" s="274" t="s">
        <v>9714</v>
      </c>
    </row>
    <row r="6830" spans="1:5" ht="13.5">
      <c r="A6830" s="274">
        <v>101411</v>
      </c>
      <c r="B6830" s="274" t="s">
        <v>14016</v>
      </c>
      <c r="C6830" s="274" t="s">
        <v>380</v>
      </c>
      <c r="D6830" s="279" t="s">
        <v>14324</v>
      </c>
      <c r="E6830" s="274" t="s">
        <v>9714</v>
      </c>
    </row>
    <row r="6831" spans="1:5" ht="13.5">
      <c r="A6831" s="274">
        <v>101412</v>
      </c>
      <c r="B6831" s="274" t="s">
        <v>14017</v>
      </c>
      <c r="C6831" s="274" t="s">
        <v>380</v>
      </c>
      <c r="D6831" s="279" t="s">
        <v>24434</v>
      </c>
      <c r="E6831" s="274" t="s">
        <v>9714</v>
      </c>
    </row>
    <row r="6832" spans="1:5" ht="13.5">
      <c r="A6832" s="274">
        <v>101413</v>
      </c>
      <c r="B6832" s="274" t="s">
        <v>3064</v>
      </c>
      <c r="C6832" s="274" t="s">
        <v>380</v>
      </c>
      <c r="D6832" s="279" t="s">
        <v>24435</v>
      </c>
      <c r="E6832" s="274" t="s">
        <v>9714</v>
      </c>
    </row>
    <row r="6833" spans="1:5" ht="13.5">
      <c r="A6833" s="274">
        <v>101414</v>
      </c>
      <c r="B6833" s="274" t="s">
        <v>14018</v>
      </c>
      <c r="C6833" s="274" t="s">
        <v>380</v>
      </c>
      <c r="D6833" s="279" t="s">
        <v>24436</v>
      </c>
      <c r="E6833" s="274" t="s">
        <v>9714</v>
      </c>
    </row>
    <row r="6834" spans="1:5" ht="13.5">
      <c r="A6834" s="274">
        <v>101415</v>
      </c>
      <c r="B6834" s="274" t="s">
        <v>14019</v>
      </c>
      <c r="C6834" s="274" t="s">
        <v>380</v>
      </c>
      <c r="D6834" s="279" t="s">
        <v>24437</v>
      </c>
      <c r="E6834" s="274" t="s">
        <v>9714</v>
      </c>
    </row>
    <row r="6835" spans="1:5" ht="13.5">
      <c r="A6835" s="274">
        <v>101416</v>
      </c>
      <c r="B6835" s="274" t="s">
        <v>4542</v>
      </c>
      <c r="C6835" s="274" t="s">
        <v>380</v>
      </c>
      <c r="D6835" s="279" t="s">
        <v>24438</v>
      </c>
      <c r="E6835" s="274" t="s">
        <v>9714</v>
      </c>
    </row>
    <row r="6836" spans="1:5" ht="13.5">
      <c r="A6836" s="274">
        <v>101417</v>
      </c>
      <c r="B6836" s="274" t="s">
        <v>14020</v>
      </c>
      <c r="C6836" s="274" t="s">
        <v>380</v>
      </c>
      <c r="D6836" s="279" t="s">
        <v>24439</v>
      </c>
      <c r="E6836" s="274" t="s">
        <v>9714</v>
      </c>
    </row>
    <row r="6837" spans="1:5" ht="13.5">
      <c r="A6837" s="274">
        <v>101418</v>
      </c>
      <c r="B6837" s="274" t="s">
        <v>14021</v>
      </c>
      <c r="C6837" s="274" t="s">
        <v>380</v>
      </c>
      <c r="D6837" s="279" t="s">
        <v>24440</v>
      </c>
      <c r="E6837" s="274" t="s">
        <v>9714</v>
      </c>
    </row>
    <row r="6838" spans="1:5" ht="13.5">
      <c r="A6838" s="274">
        <v>101419</v>
      </c>
      <c r="B6838" s="274" t="s">
        <v>14022</v>
      </c>
      <c r="C6838" s="274" t="s">
        <v>380</v>
      </c>
      <c r="D6838" s="279" t="s">
        <v>24441</v>
      </c>
      <c r="E6838" s="274" t="s">
        <v>9714</v>
      </c>
    </row>
    <row r="6839" spans="1:5" ht="13.5">
      <c r="A6839" s="274">
        <v>101420</v>
      </c>
      <c r="B6839" s="274" t="s">
        <v>14023</v>
      </c>
      <c r="C6839" s="274" t="s">
        <v>380</v>
      </c>
      <c r="D6839" s="279" t="s">
        <v>24442</v>
      </c>
      <c r="E6839" s="274" t="s">
        <v>9714</v>
      </c>
    </row>
    <row r="6840" spans="1:5" ht="13.5">
      <c r="A6840" s="274">
        <v>101421</v>
      </c>
      <c r="B6840" s="274" t="s">
        <v>14024</v>
      </c>
      <c r="C6840" s="274" t="s">
        <v>380</v>
      </c>
      <c r="D6840" s="279" t="s">
        <v>24443</v>
      </c>
      <c r="E6840" s="274" t="s">
        <v>9714</v>
      </c>
    </row>
    <row r="6841" spans="1:5" ht="13.5">
      <c r="A6841" s="274">
        <v>101422</v>
      </c>
      <c r="B6841" s="274" t="s">
        <v>14025</v>
      </c>
      <c r="C6841" s="274" t="s">
        <v>380</v>
      </c>
      <c r="D6841" s="279" t="s">
        <v>24444</v>
      </c>
      <c r="E6841" s="274" t="s">
        <v>9714</v>
      </c>
    </row>
    <row r="6842" spans="1:5" ht="13.5">
      <c r="A6842" s="274">
        <v>101423</v>
      </c>
      <c r="B6842" s="274" t="s">
        <v>14026</v>
      </c>
      <c r="C6842" s="274" t="s">
        <v>380</v>
      </c>
      <c r="D6842" s="279" t="s">
        <v>24445</v>
      </c>
      <c r="E6842" s="274" t="s">
        <v>9714</v>
      </c>
    </row>
    <row r="6843" spans="1:5" ht="13.5">
      <c r="A6843" s="274">
        <v>101424</v>
      </c>
      <c r="B6843" s="274" t="s">
        <v>14027</v>
      </c>
      <c r="C6843" s="274" t="s">
        <v>380</v>
      </c>
      <c r="D6843" s="279" t="s">
        <v>24446</v>
      </c>
      <c r="E6843" s="274" t="s">
        <v>9714</v>
      </c>
    </row>
    <row r="6844" spans="1:5" ht="13.5">
      <c r="A6844" s="274">
        <v>101425</v>
      </c>
      <c r="B6844" s="274" t="s">
        <v>14028</v>
      </c>
      <c r="C6844" s="274" t="s">
        <v>380</v>
      </c>
      <c r="D6844" s="279" t="s">
        <v>24447</v>
      </c>
      <c r="E6844" s="274" t="s">
        <v>9714</v>
      </c>
    </row>
    <row r="6845" spans="1:5" ht="13.5">
      <c r="A6845" s="274">
        <v>101426</v>
      </c>
      <c r="B6845" s="274" t="s">
        <v>14029</v>
      </c>
      <c r="C6845" s="274" t="s">
        <v>380</v>
      </c>
      <c r="D6845" s="279" t="s">
        <v>24448</v>
      </c>
      <c r="E6845" s="274" t="s">
        <v>9714</v>
      </c>
    </row>
    <row r="6846" spans="1:5" ht="13.5">
      <c r="A6846" s="274">
        <v>101427</v>
      </c>
      <c r="B6846" s="274" t="s">
        <v>3075</v>
      </c>
      <c r="C6846" s="274" t="s">
        <v>380</v>
      </c>
      <c r="D6846" s="279" t="s">
        <v>24449</v>
      </c>
      <c r="E6846" s="274" t="s">
        <v>9714</v>
      </c>
    </row>
    <row r="6847" spans="1:5" ht="13.5">
      <c r="A6847" s="274">
        <v>101428</v>
      </c>
      <c r="B6847" s="274" t="s">
        <v>14030</v>
      </c>
      <c r="C6847" s="274" t="s">
        <v>380</v>
      </c>
      <c r="D6847" s="279" t="s">
        <v>24450</v>
      </c>
      <c r="E6847" s="274" t="s">
        <v>9714</v>
      </c>
    </row>
    <row r="6848" spans="1:5" ht="13.5">
      <c r="A6848" s="274">
        <v>101429</v>
      </c>
      <c r="B6848" s="274" t="s">
        <v>14031</v>
      </c>
      <c r="C6848" s="274" t="s">
        <v>380</v>
      </c>
      <c r="D6848" s="279" t="s">
        <v>24451</v>
      </c>
      <c r="E6848" s="274" t="s">
        <v>9714</v>
      </c>
    </row>
    <row r="6849" spans="1:5" ht="13.5">
      <c r="A6849" s="274">
        <v>101430</v>
      </c>
      <c r="B6849" s="274" t="s">
        <v>14032</v>
      </c>
      <c r="C6849" s="274" t="s">
        <v>380</v>
      </c>
      <c r="D6849" s="279" t="s">
        <v>24452</v>
      </c>
      <c r="E6849" s="274" t="s">
        <v>9714</v>
      </c>
    </row>
    <row r="6850" spans="1:5" ht="13.5">
      <c r="A6850" s="274">
        <v>101431</v>
      </c>
      <c r="B6850" s="274" t="s">
        <v>3078</v>
      </c>
      <c r="C6850" s="274" t="s">
        <v>380</v>
      </c>
      <c r="D6850" s="279" t="s">
        <v>24453</v>
      </c>
      <c r="E6850" s="274" t="s">
        <v>9714</v>
      </c>
    </row>
    <row r="6851" spans="1:5" ht="13.5">
      <c r="A6851" s="274">
        <v>101432</v>
      </c>
      <c r="B6851" s="274" t="s">
        <v>14033</v>
      </c>
      <c r="C6851" s="274" t="s">
        <v>380</v>
      </c>
      <c r="D6851" s="279" t="s">
        <v>24446</v>
      </c>
      <c r="E6851" s="274" t="s">
        <v>9714</v>
      </c>
    </row>
    <row r="6852" spans="1:5" ht="13.5">
      <c r="A6852" s="274">
        <v>101433</v>
      </c>
      <c r="B6852" s="274" t="s">
        <v>3080</v>
      </c>
      <c r="C6852" s="274" t="s">
        <v>380</v>
      </c>
      <c r="D6852" s="279" t="s">
        <v>24446</v>
      </c>
      <c r="E6852" s="274" t="s">
        <v>9714</v>
      </c>
    </row>
    <row r="6853" spans="1:5" ht="13.5">
      <c r="A6853" s="274">
        <v>101434</v>
      </c>
      <c r="B6853" s="274" t="s">
        <v>14034</v>
      </c>
      <c r="C6853" s="274" t="s">
        <v>380</v>
      </c>
      <c r="D6853" s="279" t="s">
        <v>24454</v>
      </c>
      <c r="E6853" s="274" t="s">
        <v>9714</v>
      </c>
    </row>
    <row r="6854" spans="1:5" ht="13.5">
      <c r="A6854" s="274">
        <v>101435</v>
      </c>
      <c r="B6854" s="274" t="s">
        <v>14035</v>
      </c>
      <c r="C6854" s="274" t="s">
        <v>380</v>
      </c>
      <c r="D6854" s="279" t="s">
        <v>24455</v>
      </c>
      <c r="E6854" s="274" t="s">
        <v>9714</v>
      </c>
    </row>
    <row r="6855" spans="1:5" ht="13.5">
      <c r="A6855" s="274">
        <v>101436</v>
      </c>
      <c r="B6855" s="274" t="s">
        <v>3082</v>
      </c>
      <c r="C6855" s="274" t="s">
        <v>380</v>
      </c>
      <c r="D6855" s="279" t="s">
        <v>24456</v>
      </c>
      <c r="E6855" s="274" t="s">
        <v>9714</v>
      </c>
    </row>
    <row r="6856" spans="1:5" ht="13.5">
      <c r="A6856" s="274">
        <v>101437</v>
      </c>
      <c r="B6856" s="274" t="s">
        <v>14036</v>
      </c>
      <c r="C6856" s="274" t="s">
        <v>380</v>
      </c>
      <c r="D6856" s="279" t="s">
        <v>24457</v>
      </c>
      <c r="E6856" s="274" t="s">
        <v>9714</v>
      </c>
    </row>
    <row r="6857" spans="1:5" ht="13.5">
      <c r="A6857" s="274">
        <v>101438</v>
      </c>
      <c r="B6857" s="274" t="s">
        <v>3084</v>
      </c>
      <c r="C6857" s="274" t="s">
        <v>380</v>
      </c>
      <c r="D6857" s="279" t="s">
        <v>24458</v>
      </c>
      <c r="E6857" s="274" t="s">
        <v>9714</v>
      </c>
    </row>
    <row r="6858" spans="1:5" ht="13.5">
      <c r="A6858" s="274">
        <v>101439</v>
      </c>
      <c r="B6858" s="274" t="s">
        <v>3085</v>
      </c>
      <c r="C6858" s="274" t="s">
        <v>380</v>
      </c>
      <c r="D6858" s="279" t="s">
        <v>24459</v>
      </c>
      <c r="E6858" s="274" t="s">
        <v>9714</v>
      </c>
    </row>
    <row r="6859" spans="1:5" ht="13.5">
      <c r="A6859" s="274">
        <v>101440</v>
      </c>
      <c r="B6859" s="274" t="s">
        <v>14037</v>
      </c>
      <c r="C6859" s="274" t="s">
        <v>380</v>
      </c>
      <c r="D6859" s="279" t="s">
        <v>24460</v>
      </c>
      <c r="E6859" s="274" t="s">
        <v>9714</v>
      </c>
    </row>
    <row r="6860" spans="1:5" ht="13.5">
      <c r="A6860" s="274">
        <v>101441</v>
      </c>
      <c r="B6860" s="274" t="s">
        <v>3087</v>
      </c>
      <c r="C6860" s="274" t="s">
        <v>380</v>
      </c>
      <c r="D6860" s="279" t="s">
        <v>24461</v>
      </c>
      <c r="E6860" s="274" t="s">
        <v>9714</v>
      </c>
    </row>
    <row r="6861" spans="1:5" ht="13.5">
      <c r="A6861" s="274">
        <v>101442</v>
      </c>
      <c r="B6861" s="274" t="s">
        <v>14038</v>
      </c>
      <c r="C6861" s="274" t="s">
        <v>380</v>
      </c>
      <c r="D6861" s="279" t="s">
        <v>24462</v>
      </c>
      <c r="E6861" s="274" t="s">
        <v>9714</v>
      </c>
    </row>
    <row r="6862" spans="1:5" ht="13.5">
      <c r="A6862" s="274">
        <v>101443</v>
      </c>
      <c r="B6862" s="274" t="s">
        <v>3088</v>
      </c>
      <c r="C6862" s="274" t="s">
        <v>380</v>
      </c>
      <c r="D6862" s="279" t="s">
        <v>24463</v>
      </c>
      <c r="E6862" s="274" t="s">
        <v>9714</v>
      </c>
    </row>
    <row r="6863" spans="1:5" ht="13.5">
      <c r="A6863" s="274">
        <v>101444</v>
      </c>
      <c r="B6863" s="274" t="s">
        <v>3091</v>
      </c>
      <c r="C6863" s="274" t="s">
        <v>380</v>
      </c>
      <c r="D6863" s="279" t="s">
        <v>24464</v>
      </c>
      <c r="E6863" s="274" t="s">
        <v>9714</v>
      </c>
    </row>
    <row r="6864" spans="1:5" ht="13.5">
      <c r="A6864" s="274">
        <v>101445</v>
      </c>
      <c r="B6864" s="274" t="s">
        <v>105</v>
      </c>
      <c r="C6864" s="274" t="s">
        <v>380</v>
      </c>
      <c r="D6864" s="279" t="s">
        <v>24431</v>
      </c>
      <c r="E6864" s="274" t="s">
        <v>9714</v>
      </c>
    </row>
    <row r="6865" spans="1:5" ht="13.5">
      <c r="A6865" s="274">
        <v>101446</v>
      </c>
      <c r="B6865" s="274" t="s">
        <v>226</v>
      </c>
      <c r="C6865" s="274" t="s">
        <v>380</v>
      </c>
      <c r="D6865" s="279" t="s">
        <v>24465</v>
      </c>
      <c r="E6865" s="274" t="s">
        <v>9714</v>
      </c>
    </row>
    <row r="6866" spans="1:5" ht="13.5">
      <c r="A6866" s="274">
        <v>101447</v>
      </c>
      <c r="B6866" s="274" t="s">
        <v>3092</v>
      </c>
      <c r="C6866" s="274" t="s">
        <v>380</v>
      </c>
      <c r="D6866" s="279" t="s">
        <v>24466</v>
      </c>
      <c r="E6866" s="274" t="s">
        <v>9714</v>
      </c>
    </row>
    <row r="6867" spans="1:5" ht="13.5">
      <c r="A6867" s="274">
        <v>101448</v>
      </c>
      <c r="B6867" s="274" t="s">
        <v>3093</v>
      </c>
      <c r="C6867" s="274" t="s">
        <v>380</v>
      </c>
      <c r="D6867" s="279" t="s">
        <v>24467</v>
      </c>
      <c r="E6867" s="274" t="s">
        <v>9714</v>
      </c>
    </row>
    <row r="6868" spans="1:5" ht="13.5">
      <c r="A6868" s="274">
        <v>101449</v>
      </c>
      <c r="B6868" s="274" t="s">
        <v>14039</v>
      </c>
      <c r="C6868" s="274" t="s">
        <v>380</v>
      </c>
      <c r="D6868" s="279" t="s">
        <v>24468</v>
      </c>
      <c r="E6868" s="274" t="s">
        <v>9714</v>
      </c>
    </row>
    <row r="6869" spans="1:5" ht="13.5">
      <c r="A6869" s="274">
        <v>101450</v>
      </c>
      <c r="B6869" s="274" t="s">
        <v>3095</v>
      </c>
      <c r="C6869" s="274" t="s">
        <v>380</v>
      </c>
      <c r="D6869" s="279" t="s">
        <v>24469</v>
      </c>
      <c r="E6869" s="274" t="s">
        <v>9714</v>
      </c>
    </row>
    <row r="6870" spans="1:5" ht="13.5">
      <c r="A6870" s="274">
        <v>101451</v>
      </c>
      <c r="B6870" s="274" t="s">
        <v>208</v>
      </c>
      <c r="C6870" s="274" t="s">
        <v>380</v>
      </c>
      <c r="D6870" s="279" t="s">
        <v>24412</v>
      </c>
      <c r="E6870" s="274" t="s">
        <v>9714</v>
      </c>
    </row>
    <row r="6871" spans="1:5" ht="13.5">
      <c r="A6871" s="274">
        <v>101452</v>
      </c>
      <c r="B6871" s="274" t="s">
        <v>14040</v>
      </c>
      <c r="C6871" s="274" t="s">
        <v>380</v>
      </c>
      <c r="D6871" s="279" t="s">
        <v>24470</v>
      </c>
      <c r="E6871" s="274" t="s">
        <v>9714</v>
      </c>
    </row>
    <row r="6872" spans="1:5" ht="13.5">
      <c r="A6872" s="274">
        <v>101453</v>
      </c>
      <c r="B6872" s="274" t="s">
        <v>3096</v>
      </c>
      <c r="C6872" s="274" t="s">
        <v>380</v>
      </c>
      <c r="D6872" s="279" t="s">
        <v>24471</v>
      </c>
      <c r="E6872" s="274" t="s">
        <v>9714</v>
      </c>
    </row>
    <row r="6873" spans="1:5" ht="13.5">
      <c r="A6873" s="274">
        <v>101454</v>
      </c>
      <c r="B6873" s="274" t="s">
        <v>14041</v>
      </c>
      <c r="C6873" s="274" t="s">
        <v>380</v>
      </c>
      <c r="D6873" s="279" t="s">
        <v>24472</v>
      </c>
      <c r="E6873" s="274" t="s">
        <v>9714</v>
      </c>
    </row>
    <row r="6874" spans="1:5" ht="13.5">
      <c r="A6874" s="274">
        <v>101455</v>
      </c>
      <c r="B6874" s="274" t="s">
        <v>3098</v>
      </c>
      <c r="C6874" s="274" t="s">
        <v>380</v>
      </c>
      <c r="D6874" s="279" t="s">
        <v>24473</v>
      </c>
      <c r="E6874" s="274" t="s">
        <v>9714</v>
      </c>
    </row>
    <row r="6875" spans="1:5" ht="13.5">
      <c r="A6875" s="274">
        <v>101456</v>
      </c>
      <c r="B6875" s="274" t="s">
        <v>14042</v>
      </c>
      <c r="C6875" s="274" t="s">
        <v>380</v>
      </c>
      <c r="D6875" s="279" t="s">
        <v>14325</v>
      </c>
      <c r="E6875" s="274" t="s">
        <v>9714</v>
      </c>
    </row>
    <row r="6876" spans="1:5" ht="13.5">
      <c r="A6876" s="274">
        <v>101457</v>
      </c>
      <c r="B6876" s="274" t="s">
        <v>14043</v>
      </c>
      <c r="C6876" s="274" t="s">
        <v>380</v>
      </c>
      <c r="D6876" s="279" t="s">
        <v>24474</v>
      </c>
      <c r="E6876" s="274" t="s">
        <v>9714</v>
      </c>
    </row>
    <row r="6877" spans="1:5" ht="13.5">
      <c r="A6877" s="274">
        <v>101458</v>
      </c>
      <c r="B6877" s="274" t="s">
        <v>14044</v>
      </c>
      <c r="C6877" s="274" t="s">
        <v>380</v>
      </c>
      <c r="D6877" s="279" t="s">
        <v>24475</v>
      </c>
      <c r="E6877" s="274" t="s">
        <v>9714</v>
      </c>
    </row>
    <row r="6878" spans="1:5" ht="13.5">
      <c r="A6878" s="274">
        <v>101459</v>
      </c>
      <c r="B6878" s="274" t="s">
        <v>3102</v>
      </c>
      <c r="C6878" s="274" t="s">
        <v>380</v>
      </c>
      <c r="D6878" s="279" t="s">
        <v>24476</v>
      </c>
      <c r="E6878" s="274" t="s">
        <v>9714</v>
      </c>
    </row>
    <row r="6879" spans="1:5" ht="13.5">
      <c r="A6879" s="274">
        <v>101460</v>
      </c>
      <c r="B6879" s="274" t="s">
        <v>278</v>
      </c>
      <c r="C6879" s="274" t="s">
        <v>380</v>
      </c>
      <c r="D6879" s="279" t="s">
        <v>24477</v>
      </c>
      <c r="E6879" s="274" t="s">
        <v>9714</v>
      </c>
    </row>
    <row r="6880" spans="1:5" ht="13.5">
      <c r="A6880" s="274"/>
      <c r="B6880" s="274"/>
      <c r="C6880" s="274"/>
      <c r="D6880" s="279"/>
      <c r="E6880" s="274"/>
    </row>
    <row r="6881" spans="1:5" ht="13.5">
      <c r="A6881" s="274" t="s">
        <v>9683</v>
      </c>
      <c r="B6881" s="274" t="s">
        <v>17438</v>
      </c>
      <c r="C6881" s="274" t="s">
        <v>380</v>
      </c>
      <c r="D6881" s="279">
        <v>1464.15</v>
      </c>
      <c r="E6881" s="498" t="s">
        <v>229</v>
      </c>
    </row>
    <row r="6882" spans="1:5" ht="13.5">
      <c r="A6882" s="274" t="s">
        <v>9684</v>
      </c>
      <c r="B6882" s="274" t="s">
        <v>17439</v>
      </c>
      <c r="C6882" s="274" t="s">
        <v>380</v>
      </c>
      <c r="D6882" s="279">
        <v>1211.71</v>
      </c>
      <c r="E6882" s="498" t="s">
        <v>229</v>
      </c>
    </row>
    <row r="6883" spans="1:5" ht="13.5">
      <c r="A6883" s="274" t="s">
        <v>9685</v>
      </c>
      <c r="B6883" s="274" t="s">
        <v>18138</v>
      </c>
      <c r="C6883" s="274" t="s">
        <v>380</v>
      </c>
      <c r="D6883" s="279">
        <v>99</v>
      </c>
      <c r="E6883" s="498" t="s">
        <v>229</v>
      </c>
    </row>
    <row r="6884" spans="1:5" ht="13.5">
      <c r="A6884" s="274" t="s">
        <v>18142</v>
      </c>
      <c r="B6884" s="274" t="s">
        <v>18140</v>
      </c>
      <c r="C6884" s="274" t="s">
        <v>2503</v>
      </c>
      <c r="D6884" s="279">
        <v>12.23</v>
      </c>
      <c r="E6884" s="498" t="s">
        <v>229</v>
      </c>
    </row>
    <row r="6885" spans="1:5" ht="13.5">
      <c r="A6885" s="274" t="s">
        <v>18143</v>
      </c>
      <c r="B6885" s="274" t="s">
        <v>18144</v>
      </c>
      <c r="C6885" s="274" t="s">
        <v>2503</v>
      </c>
      <c r="D6885" s="279">
        <v>19.07</v>
      </c>
      <c r="E6885" s="498" t="s">
        <v>229</v>
      </c>
    </row>
    <row r="6886" spans="1:5" ht="13.5">
      <c r="A6886" s="274"/>
      <c r="B6886" s="274"/>
      <c r="C6886" s="274"/>
      <c r="D6886" s="279"/>
      <c r="E6886" s="274"/>
    </row>
    <row r="6887" spans="1:5" ht="13.5">
      <c r="A6887" s="274"/>
      <c r="B6887" s="274"/>
      <c r="C6887" s="274"/>
      <c r="D6887" s="279"/>
      <c r="E6887" s="274"/>
    </row>
    <row r="6888" spans="1:5" ht="13.5">
      <c r="A6888" s="274"/>
      <c r="B6888" s="274"/>
      <c r="C6888" s="274"/>
      <c r="D6888" s="279"/>
      <c r="E6888" s="274"/>
    </row>
    <row r="6889" spans="1:5" ht="13.5">
      <c r="A6889" s="274"/>
      <c r="B6889" s="274"/>
      <c r="C6889" s="274"/>
      <c r="D6889" s="279"/>
      <c r="E6889" s="274"/>
    </row>
    <row r="6890" spans="1:5">
      <c r="E6890" s="263"/>
    </row>
    <row r="6891" spans="1:5">
      <c r="B6891" s="269" t="s">
        <v>12477</v>
      </c>
      <c r="E6891" s="263"/>
    </row>
  </sheetData>
  <pageMargins left="0.78740157499999996" right="0.78740157499999996" top="0.984251969" bottom="0.984251969" header="0.5" footer="0.5"/>
  <pageSetup orientation="portrait" r:id="rId1"/>
  <headerFooter alignWithMargins="0"/>
</worksheet>
</file>

<file path=xl/worksheets/sheet13.xml><?xml version="1.0" encoding="utf-8"?>
<worksheet xmlns="http://schemas.openxmlformats.org/spreadsheetml/2006/main" xmlns:r="http://schemas.openxmlformats.org/officeDocument/2006/relationships">
  <dimension ref="A1:O5244"/>
  <sheetViews>
    <sheetView topLeftCell="A2108" workbookViewId="0">
      <selection activeCell="A2122" sqref="A2122"/>
    </sheetView>
  </sheetViews>
  <sheetFormatPr defaultRowHeight="12.75"/>
  <cols>
    <col min="1" max="1" width="10.5703125" style="263" customWidth="1"/>
    <col min="2" max="2" width="78.140625" style="263" customWidth="1"/>
    <col min="3" max="3" width="9.140625" style="263" bestFit="1" customWidth="1"/>
    <col min="4" max="4" width="12.85546875" style="263" customWidth="1"/>
    <col min="5" max="5" width="9.140625" style="263"/>
    <col min="6" max="9" width="9.140625" style="146"/>
    <col min="10" max="10" width="11.5703125" style="146" bestFit="1" customWidth="1"/>
    <col min="11" max="255" width="9.140625" style="146"/>
    <col min="256" max="256" width="10.5703125" style="146" customWidth="1"/>
    <col min="257" max="257" width="78.140625" style="146" customWidth="1"/>
    <col min="258" max="258" width="9.140625" style="146" bestFit="1" customWidth="1"/>
    <col min="259" max="259" width="22.28515625" style="146" customWidth="1"/>
    <col min="260" max="511" width="9.140625" style="146"/>
    <col min="512" max="512" width="10.5703125" style="146" customWidth="1"/>
    <col min="513" max="513" width="78.140625" style="146" customWidth="1"/>
    <col min="514" max="514" width="9.140625" style="146" bestFit="1" customWidth="1"/>
    <col min="515" max="515" width="22.28515625" style="146" customWidth="1"/>
    <col min="516" max="767" width="9.140625" style="146"/>
    <col min="768" max="768" width="10.5703125" style="146" customWidth="1"/>
    <col min="769" max="769" width="78.140625" style="146" customWidth="1"/>
    <col min="770" max="770" width="9.140625" style="146" bestFit="1" customWidth="1"/>
    <col min="771" max="771" width="22.28515625" style="146" customWidth="1"/>
    <col min="772" max="1023" width="9.140625" style="146"/>
    <col min="1024" max="1024" width="10.5703125" style="146" customWidth="1"/>
    <col min="1025" max="1025" width="78.140625" style="146" customWidth="1"/>
    <col min="1026" max="1026" width="9.140625" style="146" bestFit="1" customWidth="1"/>
    <col min="1027" max="1027" width="22.28515625" style="146" customWidth="1"/>
    <col min="1028" max="1279" width="9.140625" style="146"/>
    <col min="1280" max="1280" width="10.5703125" style="146" customWidth="1"/>
    <col min="1281" max="1281" width="78.140625" style="146" customWidth="1"/>
    <col min="1282" max="1282" width="9.140625" style="146" bestFit="1" customWidth="1"/>
    <col min="1283" max="1283" width="22.28515625" style="146" customWidth="1"/>
    <col min="1284" max="1535" width="9.140625" style="146"/>
    <col min="1536" max="1536" width="10.5703125" style="146" customWidth="1"/>
    <col min="1537" max="1537" width="78.140625" style="146" customWidth="1"/>
    <col min="1538" max="1538" width="9.140625" style="146" bestFit="1" customWidth="1"/>
    <col min="1539" max="1539" width="22.28515625" style="146" customWidth="1"/>
    <col min="1540" max="1791" width="9.140625" style="146"/>
    <col min="1792" max="1792" width="10.5703125" style="146" customWidth="1"/>
    <col min="1793" max="1793" width="78.140625" style="146" customWidth="1"/>
    <col min="1794" max="1794" width="9.140625" style="146" bestFit="1" customWidth="1"/>
    <col min="1795" max="1795" width="22.28515625" style="146" customWidth="1"/>
    <col min="1796" max="2047" width="9.140625" style="146"/>
    <col min="2048" max="2048" width="10.5703125" style="146" customWidth="1"/>
    <col min="2049" max="2049" width="78.140625" style="146" customWidth="1"/>
    <col min="2050" max="2050" width="9.140625" style="146" bestFit="1" customWidth="1"/>
    <col min="2051" max="2051" width="22.28515625" style="146" customWidth="1"/>
    <col min="2052" max="2303" width="9.140625" style="146"/>
    <col min="2304" max="2304" width="10.5703125" style="146" customWidth="1"/>
    <col min="2305" max="2305" width="78.140625" style="146" customWidth="1"/>
    <col min="2306" max="2306" width="9.140625" style="146" bestFit="1" customWidth="1"/>
    <col min="2307" max="2307" width="22.28515625" style="146" customWidth="1"/>
    <col min="2308" max="2559" width="9.140625" style="146"/>
    <col min="2560" max="2560" width="10.5703125" style="146" customWidth="1"/>
    <col min="2561" max="2561" width="78.140625" style="146" customWidth="1"/>
    <col min="2562" max="2562" width="9.140625" style="146" bestFit="1" customWidth="1"/>
    <col min="2563" max="2563" width="22.28515625" style="146" customWidth="1"/>
    <col min="2564" max="2815" width="9.140625" style="146"/>
    <col min="2816" max="2816" width="10.5703125" style="146" customWidth="1"/>
    <col min="2817" max="2817" width="78.140625" style="146" customWidth="1"/>
    <col min="2818" max="2818" width="9.140625" style="146" bestFit="1" customWidth="1"/>
    <col min="2819" max="2819" width="22.28515625" style="146" customWidth="1"/>
    <col min="2820" max="3071" width="9.140625" style="146"/>
    <col min="3072" max="3072" width="10.5703125" style="146" customWidth="1"/>
    <col min="3073" max="3073" width="78.140625" style="146" customWidth="1"/>
    <col min="3074" max="3074" width="9.140625" style="146" bestFit="1" customWidth="1"/>
    <col min="3075" max="3075" width="22.28515625" style="146" customWidth="1"/>
    <col min="3076" max="3327" width="9.140625" style="146"/>
    <col min="3328" max="3328" width="10.5703125" style="146" customWidth="1"/>
    <col min="3329" max="3329" width="78.140625" style="146" customWidth="1"/>
    <col min="3330" max="3330" width="9.140625" style="146" bestFit="1" customWidth="1"/>
    <col min="3331" max="3331" width="22.28515625" style="146" customWidth="1"/>
    <col min="3332" max="3583" width="9.140625" style="146"/>
    <col min="3584" max="3584" width="10.5703125" style="146" customWidth="1"/>
    <col min="3585" max="3585" width="78.140625" style="146" customWidth="1"/>
    <col min="3586" max="3586" width="9.140625" style="146" bestFit="1" customWidth="1"/>
    <col min="3587" max="3587" width="22.28515625" style="146" customWidth="1"/>
    <col min="3588" max="3839" width="9.140625" style="146"/>
    <col min="3840" max="3840" width="10.5703125" style="146" customWidth="1"/>
    <col min="3841" max="3841" width="78.140625" style="146" customWidth="1"/>
    <col min="3842" max="3842" width="9.140625" style="146" bestFit="1" customWidth="1"/>
    <col min="3843" max="3843" width="22.28515625" style="146" customWidth="1"/>
    <col min="3844" max="4095" width="9.140625" style="146"/>
    <col min="4096" max="4096" width="10.5703125" style="146" customWidth="1"/>
    <col min="4097" max="4097" width="78.140625" style="146" customWidth="1"/>
    <col min="4098" max="4098" width="9.140625" style="146" bestFit="1" customWidth="1"/>
    <col min="4099" max="4099" width="22.28515625" style="146" customWidth="1"/>
    <col min="4100" max="4351" width="9.140625" style="146"/>
    <col min="4352" max="4352" width="10.5703125" style="146" customWidth="1"/>
    <col min="4353" max="4353" width="78.140625" style="146" customWidth="1"/>
    <col min="4354" max="4354" width="9.140625" style="146" bestFit="1" customWidth="1"/>
    <col min="4355" max="4355" width="22.28515625" style="146" customWidth="1"/>
    <col min="4356" max="4607" width="9.140625" style="146"/>
    <col min="4608" max="4608" width="10.5703125" style="146" customWidth="1"/>
    <col min="4609" max="4609" width="78.140625" style="146" customWidth="1"/>
    <col min="4610" max="4610" width="9.140625" style="146" bestFit="1" customWidth="1"/>
    <col min="4611" max="4611" width="22.28515625" style="146" customWidth="1"/>
    <col min="4612" max="4863" width="9.140625" style="146"/>
    <col min="4864" max="4864" width="10.5703125" style="146" customWidth="1"/>
    <col min="4865" max="4865" width="78.140625" style="146" customWidth="1"/>
    <col min="4866" max="4866" width="9.140625" style="146" bestFit="1" customWidth="1"/>
    <col min="4867" max="4867" width="22.28515625" style="146" customWidth="1"/>
    <col min="4868" max="5119" width="9.140625" style="146"/>
    <col min="5120" max="5120" width="10.5703125" style="146" customWidth="1"/>
    <col min="5121" max="5121" width="78.140625" style="146" customWidth="1"/>
    <col min="5122" max="5122" width="9.140625" style="146" bestFit="1" customWidth="1"/>
    <col min="5123" max="5123" width="22.28515625" style="146" customWidth="1"/>
    <col min="5124" max="5375" width="9.140625" style="146"/>
    <col min="5376" max="5376" width="10.5703125" style="146" customWidth="1"/>
    <col min="5377" max="5377" width="78.140625" style="146" customWidth="1"/>
    <col min="5378" max="5378" width="9.140625" style="146" bestFit="1" customWidth="1"/>
    <col min="5379" max="5379" width="22.28515625" style="146" customWidth="1"/>
    <col min="5380" max="5631" width="9.140625" style="146"/>
    <col min="5632" max="5632" width="10.5703125" style="146" customWidth="1"/>
    <col min="5633" max="5633" width="78.140625" style="146" customWidth="1"/>
    <col min="5634" max="5634" width="9.140625" style="146" bestFit="1" customWidth="1"/>
    <col min="5635" max="5635" width="22.28515625" style="146" customWidth="1"/>
    <col min="5636" max="5887" width="9.140625" style="146"/>
    <col min="5888" max="5888" width="10.5703125" style="146" customWidth="1"/>
    <col min="5889" max="5889" width="78.140625" style="146" customWidth="1"/>
    <col min="5890" max="5890" width="9.140625" style="146" bestFit="1" customWidth="1"/>
    <col min="5891" max="5891" width="22.28515625" style="146" customWidth="1"/>
    <col min="5892" max="6143" width="9.140625" style="146"/>
    <col min="6144" max="6144" width="10.5703125" style="146" customWidth="1"/>
    <col min="6145" max="6145" width="78.140625" style="146" customWidth="1"/>
    <col min="6146" max="6146" width="9.140625" style="146" bestFit="1" customWidth="1"/>
    <col min="6147" max="6147" width="22.28515625" style="146" customWidth="1"/>
    <col min="6148" max="6399" width="9.140625" style="146"/>
    <col min="6400" max="6400" width="10.5703125" style="146" customWidth="1"/>
    <col min="6401" max="6401" width="78.140625" style="146" customWidth="1"/>
    <col min="6402" max="6402" width="9.140625" style="146" bestFit="1" customWidth="1"/>
    <col min="6403" max="6403" width="22.28515625" style="146" customWidth="1"/>
    <col min="6404" max="6655" width="9.140625" style="146"/>
    <col min="6656" max="6656" width="10.5703125" style="146" customWidth="1"/>
    <col min="6657" max="6657" width="78.140625" style="146" customWidth="1"/>
    <col min="6658" max="6658" width="9.140625" style="146" bestFit="1" customWidth="1"/>
    <col min="6659" max="6659" width="22.28515625" style="146" customWidth="1"/>
    <col min="6660" max="6911" width="9.140625" style="146"/>
    <col min="6912" max="6912" width="10.5703125" style="146" customWidth="1"/>
    <col min="6913" max="6913" width="78.140625" style="146" customWidth="1"/>
    <col min="6914" max="6914" width="9.140625" style="146" bestFit="1" customWidth="1"/>
    <col min="6915" max="6915" width="22.28515625" style="146" customWidth="1"/>
    <col min="6916" max="7167" width="9.140625" style="146"/>
    <col min="7168" max="7168" width="10.5703125" style="146" customWidth="1"/>
    <col min="7169" max="7169" width="78.140625" style="146" customWidth="1"/>
    <col min="7170" max="7170" width="9.140625" style="146" bestFit="1" customWidth="1"/>
    <col min="7171" max="7171" width="22.28515625" style="146" customWidth="1"/>
    <col min="7172" max="7423" width="9.140625" style="146"/>
    <col min="7424" max="7424" width="10.5703125" style="146" customWidth="1"/>
    <col min="7425" max="7425" width="78.140625" style="146" customWidth="1"/>
    <col min="7426" max="7426" width="9.140625" style="146" bestFit="1" customWidth="1"/>
    <col min="7427" max="7427" width="22.28515625" style="146" customWidth="1"/>
    <col min="7428" max="7679" width="9.140625" style="146"/>
    <col min="7680" max="7680" width="10.5703125" style="146" customWidth="1"/>
    <col min="7681" max="7681" width="78.140625" style="146" customWidth="1"/>
    <col min="7682" max="7682" width="9.140625" style="146" bestFit="1" customWidth="1"/>
    <col min="7683" max="7683" width="22.28515625" style="146" customWidth="1"/>
    <col min="7684" max="7935" width="9.140625" style="146"/>
    <col min="7936" max="7936" width="10.5703125" style="146" customWidth="1"/>
    <col min="7937" max="7937" width="78.140625" style="146" customWidth="1"/>
    <col min="7938" max="7938" width="9.140625" style="146" bestFit="1" customWidth="1"/>
    <col min="7939" max="7939" width="22.28515625" style="146" customWidth="1"/>
    <col min="7940" max="8191" width="9.140625" style="146"/>
    <col min="8192" max="8192" width="10.5703125" style="146" customWidth="1"/>
    <col min="8193" max="8193" width="78.140625" style="146" customWidth="1"/>
    <col min="8194" max="8194" width="9.140625" style="146" bestFit="1" customWidth="1"/>
    <col min="8195" max="8195" width="22.28515625" style="146" customWidth="1"/>
    <col min="8196" max="8447" width="9.140625" style="146"/>
    <col min="8448" max="8448" width="10.5703125" style="146" customWidth="1"/>
    <col min="8449" max="8449" width="78.140625" style="146" customWidth="1"/>
    <col min="8450" max="8450" width="9.140625" style="146" bestFit="1" customWidth="1"/>
    <col min="8451" max="8451" width="22.28515625" style="146" customWidth="1"/>
    <col min="8452" max="8703" width="9.140625" style="146"/>
    <col min="8704" max="8704" width="10.5703125" style="146" customWidth="1"/>
    <col min="8705" max="8705" width="78.140625" style="146" customWidth="1"/>
    <col min="8706" max="8706" width="9.140625" style="146" bestFit="1" customWidth="1"/>
    <col min="8707" max="8707" width="22.28515625" style="146" customWidth="1"/>
    <col min="8708" max="8959" width="9.140625" style="146"/>
    <col min="8960" max="8960" width="10.5703125" style="146" customWidth="1"/>
    <col min="8961" max="8961" width="78.140625" style="146" customWidth="1"/>
    <col min="8962" max="8962" width="9.140625" style="146" bestFit="1" customWidth="1"/>
    <col min="8963" max="8963" width="22.28515625" style="146" customWidth="1"/>
    <col min="8964" max="9215" width="9.140625" style="146"/>
    <col min="9216" max="9216" width="10.5703125" style="146" customWidth="1"/>
    <col min="9217" max="9217" width="78.140625" style="146" customWidth="1"/>
    <col min="9218" max="9218" width="9.140625" style="146" bestFit="1" customWidth="1"/>
    <col min="9219" max="9219" width="22.28515625" style="146" customWidth="1"/>
    <col min="9220" max="9471" width="9.140625" style="146"/>
    <col min="9472" max="9472" width="10.5703125" style="146" customWidth="1"/>
    <col min="9473" max="9473" width="78.140625" style="146" customWidth="1"/>
    <col min="9474" max="9474" width="9.140625" style="146" bestFit="1" customWidth="1"/>
    <col min="9475" max="9475" width="22.28515625" style="146" customWidth="1"/>
    <col min="9476" max="9727" width="9.140625" style="146"/>
    <col min="9728" max="9728" width="10.5703125" style="146" customWidth="1"/>
    <col min="9729" max="9729" width="78.140625" style="146" customWidth="1"/>
    <col min="9730" max="9730" width="9.140625" style="146" bestFit="1" customWidth="1"/>
    <col min="9731" max="9731" width="22.28515625" style="146" customWidth="1"/>
    <col min="9732" max="9983" width="9.140625" style="146"/>
    <col min="9984" max="9984" width="10.5703125" style="146" customWidth="1"/>
    <col min="9985" max="9985" width="78.140625" style="146" customWidth="1"/>
    <col min="9986" max="9986" width="9.140625" style="146" bestFit="1" customWidth="1"/>
    <col min="9987" max="9987" width="22.28515625" style="146" customWidth="1"/>
    <col min="9988" max="10239" width="9.140625" style="146"/>
    <col min="10240" max="10240" width="10.5703125" style="146" customWidth="1"/>
    <col min="10241" max="10241" width="78.140625" style="146" customWidth="1"/>
    <col min="10242" max="10242" width="9.140625" style="146" bestFit="1" customWidth="1"/>
    <col min="10243" max="10243" width="22.28515625" style="146" customWidth="1"/>
    <col min="10244" max="10495" width="9.140625" style="146"/>
    <col min="10496" max="10496" width="10.5703125" style="146" customWidth="1"/>
    <col min="10497" max="10497" width="78.140625" style="146" customWidth="1"/>
    <col min="10498" max="10498" width="9.140625" style="146" bestFit="1" customWidth="1"/>
    <col min="10499" max="10499" width="22.28515625" style="146" customWidth="1"/>
    <col min="10500" max="10751" width="9.140625" style="146"/>
    <col min="10752" max="10752" width="10.5703125" style="146" customWidth="1"/>
    <col min="10753" max="10753" width="78.140625" style="146" customWidth="1"/>
    <col min="10754" max="10754" width="9.140625" style="146" bestFit="1" customWidth="1"/>
    <col min="10755" max="10755" width="22.28515625" style="146" customWidth="1"/>
    <col min="10756" max="11007" width="9.140625" style="146"/>
    <col min="11008" max="11008" width="10.5703125" style="146" customWidth="1"/>
    <col min="11009" max="11009" width="78.140625" style="146" customWidth="1"/>
    <col min="11010" max="11010" width="9.140625" style="146" bestFit="1" customWidth="1"/>
    <col min="11011" max="11011" width="22.28515625" style="146" customWidth="1"/>
    <col min="11012" max="11263" width="9.140625" style="146"/>
    <col min="11264" max="11264" width="10.5703125" style="146" customWidth="1"/>
    <col min="11265" max="11265" width="78.140625" style="146" customWidth="1"/>
    <col min="11266" max="11266" width="9.140625" style="146" bestFit="1" customWidth="1"/>
    <col min="11267" max="11267" width="22.28515625" style="146" customWidth="1"/>
    <col min="11268" max="11519" width="9.140625" style="146"/>
    <col min="11520" max="11520" width="10.5703125" style="146" customWidth="1"/>
    <col min="11521" max="11521" width="78.140625" style="146" customWidth="1"/>
    <col min="11522" max="11522" width="9.140625" style="146" bestFit="1" customWidth="1"/>
    <col min="11523" max="11523" width="22.28515625" style="146" customWidth="1"/>
    <col min="11524" max="11775" width="9.140625" style="146"/>
    <col min="11776" max="11776" width="10.5703125" style="146" customWidth="1"/>
    <col min="11777" max="11777" width="78.140625" style="146" customWidth="1"/>
    <col min="11778" max="11778" width="9.140625" style="146" bestFit="1" customWidth="1"/>
    <col min="11779" max="11779" width="22.28515625" style="146" customWidth="1"/>
    <col min="11780" max="12031" width="9.140625" style="146"/>
    <col min="12032" max="12032" width="10.5703125" style="146" customWidth="1"/>
    <col min="12033" max="12033" width="78.140625" style="146" customWidth="1"/>
    <col min="12034" max="12034" width="9.140625" style="146" bestFit="1" customWidth="1"/>
    <col min="12035" max="12035" width="22.28515625" style="146" customWidth="1"/>
    <col min="12036" max="12287" width="9.140625" style="146"/>
    <col min="12288" max="12288" width="10.5703125" style="146" customWidth="1"/>
    <col min="12289" max="12289" width="78.140625" style="146" customWidth="1"/>
    <col min="12290" max="12290" width="9.140625" style="146" bestFit="1" customWidth="1"/>
    <col min="12291" max="12291" width="22.28515625" style="146" customWidth="1"/>
    <col min="12292" max="12543" width="9.140625" style="146"/>
    <col min="12544" max="12544" width="10.5703125" style="146" customWidth="1"/>
    <col min="12545" max="12545" width="78.140625" style="146" customWidth="1"/>
    <col min="12546" max="12546" width="9.140625" style="146" bestFit="1" customWidth="1"/>
    <col min="12547" max="12547" width="22.28515625" style="146" customWidth="1"/>
    <col min="12548" max="12799" width="9.140625" style="146"/>
    <col min="12800" max="12800" width="10.5703125" style="146" customWidth="1"/>
    <col min="12801" max="12801" width="78.140625" style="146" customWidth="1"/>
    <col min="12802" max="12802" width="9.140625" style="146" bestFit="1" customWidth="1"/>
    <col min="12803" max="12803" width="22.28515625" style="146" customWidth="1"/>
    <col min="12804" max="13055" width="9.140625" style="146"/>
    <col min="13056" max="13056" width="10.5703125" style="146" customWidth="1"/>
    <col min="13057" max="13057" width="78.140625" style="146" customWidth="1"/>
    <col min="13058" max="13058" width="9.140625" style="146" bestFit="1" customWidth="1"/>
    <col min="13059" max="13059" width="22.28515625" style="146" customWidth="1"/>
    <col min="13060" max="13311" width="9.140625" style="146"/>
    <col min="13312" max="13312" width="10.5703125" style="146" customWidth="1"/>
    <col min="13313" max="13313" width="78.140625" style="146" customWidth="1"/>
    <col min="13314" max="13314" width="9.140625" style="146" bestFit="1" customWidth="1"/>
    <col min="13315" max="13315" width="22.28515625" style="146" customWidth="1"/>
    <col min="13316" max="13567" width="9.140625" style="146"/>
    <col min="13568" max="13568" width="10.5703125" style="146" customWidth="1"/>
    <col min="13569" max="13569" width="78.140625" style="146" customWidth="1"/>
    <col min="13570" max="13570" width="9.140625" style="146" bestFit="1" customWidth="1"/>
    <col min="13571" max="13571" width="22.28515625" style="146" customWidth="1"/>
    <col min="13572" max="13823" width="9.140625" style="146"/>
    <col min="13824" max="13824" width="10.5703125" style="146" customWidth="1"/>
    <col min="13825" max="13825" width="78.140625" style="146" customWidth="1"/>
    <col min="13826" max="13826" width="9.140625" style="146" bestFit="1" customWidth="1"/>
    <col min="13827" max="13827" width="22.28515625" style="146" customWidth="1"/>
    <col min="13828" max="14079" width="9.140625" style="146"/>
    <col min="14080" max="14080" width="10.5703125" style="146" customWidth="1"/>
    <col min="14081" max="14081" width="78.140625" style="146" customWidth="1"/>
    <col min="14082" max="14082" width="9.140625" style="146" bestFit="1" customWidth="1"/>
    <col min="14083" max="14083" width="22.28515625" style="146" customWidth="1"/>
    <col min="14084" max="14335" width="9.140625" style="146"/>
    <col min="14336" max="14336" width="10.5703125" style="146" customWidth="1"/>
    <col min="14337" max="14337" width="78.140625" style="146" customWidth="1"/>
    <col min="14338" max="14338" width="9.140625" style="146" bestFit="1" customWidth="1"/>
    <col min="14339" max="14339" width="22.28515625" style="146" customWidth="1"/>
    <col min="14340" max="14591" width="9.140625" style="146"/>
    <col min="14592" max="14592" width="10.5703125" style="146" customWidth="1"/>
    <col min="14593" max="14593" width="78.140625" style="146" customWidth="1"/>
    <col min="14594" max="14594" width="9.140625" style="146" bestFit="1" customWidth="1"/>
    <col min="14595" max="14595" width="22.28515625" style="146" customWidth="1"/>
    <col min="14596" max="14847" width="9.140625" style="146"/>
    <col min="14848" max="14848" width="10.5703125" style="146" customWidth="1"/>
    <col min="14849" max="14849" width="78.140625" style="146" customWidth="1"/>
    <col min="14850" max="14850" width="9.140625" style="146" bestFit="1" customWidth="1"/>
    <col min="14851" max="14851" width="22.28515625" style="146" customWidth="1"/>
    <col min="14852" max="15103" width="9.140625" style="146"/>
    <col min="15104" max="15104" width="10.5703125" style="146" customWidth="1"/>
    <col min="15105" max="15105" width="78.140625" style="146" customWidth="1"/>
    <col min="15106" max="15106" width="9.140625" style="146" bestFit="1" customWidth="1"/>
    <col min="15107" max="15107" width="22.28515625" style="146" customWidth="1"/>
    <col min="15108" max="15359" width="9.140625" style="146"/>
    <col min="15360" max="15360" width="10.5703125" style="146" customWidth="1"/>
    <col min="15361" max="15361" width="78.140625" style="146" customWidth="1"/>
    <col min="15362" max="15362" width="9.140625" style="146" bestFit="1" customWidth="1"/>
    <col min="15363" max="15363" width="22.28515625" style="146" customWidth="1"/>
    <col min="15364" max="15615" width="9.140625" style="146"/>
    <col min="15616" max="15616" width="10.5703125" style="146" customWidth="1"/>
    <col min="15617" max="15617" width="78.140625" style="146" customWidth="1"/>
    <col min="15618" max="15618" width="9.140625" style="146" bestFit="1" customWidth="1"/>
    <col min="15619" max="15619" width="22.28515625" style="146" customWidth="1"/>
    <col min="15620" max="15871" width="9.140625" style="146"/>
    <col min="15872" max="15872" width="10.5703125" style="146" customWidth="1"/>
    <col min="15873" max="15873" width="78.140625" style="146" customWidth="1"/>
    <col min="15874" max="15874" width="9.140625" style="146" bestFit="1" customWidth="1"/>
    <col min="15875" max="15875" width="22.28515625" style="146" customWidth="1"/>
    <col min="15876" max="16127" width="9.140625" style="146"/>
    <col min="16128" max="16128" width="10.5703125" style="146" customWidth="1"/>
    <col min="16129" max="16129" width="78.140625" style="146" customWidth="1"/>
    <col min="16130" max="16130" width="9.140625" style="146" bestFit="1" customWidth="1"/>
    <col min="16131" max="16131" width="22.28515625" style="146" customWidth="1"/>
    <col min="16132" max="16384" width="9.140625" style="146"/>
  </cols>
  <sheetData>
    <row r="1" spans="1:5" s="145" customFormat="1" ht="15">
      <c r="A1" s="513" t="s">
        <v>4551</v>
      </c>
      <c r="B1" s="513"/>
      <c r="C1" s="260"/>
      <c r="D1" s="260"/>
      <c r="E1" s="260"/>
    </row>
    <row r="2" spans="1:5" s="145" customFormat="1" ht="15">
      <c r="A2" s="513" t="s">
        <v>199</v>
      </c>
      <c r="B2" s="513"/>
      <c r="C2" s="260"/>
      <c r="D2" s="260"/>
      <c r="E2" s="260"/>
    </row>
    <row r="3" spans="1:5" s="145" customFormat="1" ht="15">
      <c r="A3" s="513" t="s">
        <v>21239</v>
      </c>
      <c r="B3" s="513"/>
      <c r="C3" s="260"/>
      <c r="D3" s="260"/>
      <c r="E3" s="260"/>
    </row>
    <row r="4" spans="1:5" s="145" customFormat="1" ht="15">
      <c r="A4" s="513" t="s">
        <v>3236</v>
      </c>
      <c r="B4" s="513"/>
      <c r="C4" s="260"/>
      <c r="D4" s="260"/>
      <c r="E4" s="260"/>
    </row>
    <row r="5" spans="1:5" s="145" customFormat="1" ht="15">
      <c r="A5" s="513" t="s">
        <v>21240</v>
      </c>
      <c r="B5" s="513"/>
      <c r="C5" s="260"/>
      <c r="D5" s="260"/>
      <c r="E5" s="260"/>
    </row>
    <row r="6" spans="1:5" s="145" customFormat="1" ht="15">
      <c r="A6" s="260" t="s">
        <v>199</v>
      </c>
      <c r="B6" s="260"/>
      <c r="C6" s="260"/>
      <c r="D6" s="260"/>
      <c r="E6" s="260"/>
    </row>
    <row r="7" spans="1:5" s="145" customFormat="1" ht="15">
      <c r="A7" s="260" t="s">
        <v>3237</v>
      </c>
      <c r="B7" s="260" t="s">
        <v>3238</v>
      </c>
      <c r="C7" s="260" t="s">
        <v>301</v>
      </c>
      <c r="D7" s="260" t="s">
        <v>4552</v>
      </c>
      <c r="E7" s="260" t="s">
        <v>9715</v>
      </c>
    </row>
    <row r="8" spans="1:5" ht="30">
      <c r="A8" s="261">
        <v>1363</v>
      </c>
      <c r="B8" s="261" t="s">
        <v>11138</v>
      </c>
      <c r="C8" s="261" t="s">
        <v>3242</v>
      </c>
      <c r="D8" s="265" t="s">
        <v>18749</v>
      </c>
      <c r="E8" s="261" t="s">
        <v>207</v>
      </c>
    </row>
    <row r="9" spans="1:5" ht="30">
      <c r="A9" s="261">
        <v>1344</v>
      </c>
      <c r="B9" s="261" t="s">
        <v>11139</v>
      </c>
      <c r="C9" s="261" t="s">
        <v>3240</v>
      </c>
      <c r="D9" s="265" t="s">
        <v>14154</v>
      </c>
      <c r="E9" s="261" t="s">
        <v>207</v>
      </c>
    </row>
    <row r="10" spans="1:5" ht="30">
      <c r="A10" s="261">
        <v>1342</v>
      </c>
      <c r="B10" s="261" t="s">
        <v>11140</v>
      </c>
      <c r="C10" s="261" t="s">
        <v>3240</v>
      </c>
      <c r="D10" s="265" t="s">
        <v>16168</v>
      </c>
      <c r="E10" s="261" t="s">
        <v>207</v>
      </c>
    </row>
    <row r="11" spans="1:5" ht="30">
      <c r="A11" s="261">
        <v>1349</v>
      </c>
      <c r="B11" s="261" t="s">
        <v>11141</v>
      </c>
      <c r="C11" s="261" t="s">
        <v>3240</v>
      </c>
      <c r="D11" s="266" t="s">
        <v>18750</v>
      </c>
      <c r="E11" s="261" t="s">
        <v>207</v>
      </c>
    </row>
    <row r="12" spans="1:5" ht="30">
      <c r="A12" s="261">
        <v>1350</v>
      </c>
      <c r="B12" s="261" t="s">
        <v>11142</v>
      </c>
      <c r="C12" s="261" t="s">
        <v>3240</v>
      </c>
      <c r="D12" s="265" t="s">
        <v>10367</v>
      </c>
      <c r="E12" s="261" t="s">
        <v>207</v>
      </c>
    </row>
    <row r="13" spans="1:5" ht="30">
      <c r="A13" s="261">
        <v>1359</v>
      </c>
      <c r="B13" s="261" t="s">
        <v>11143</v>
      </c>
      <c r="C13" s="261" t="s">
        <v>3240</v>
      </c>
      <c r="D13" s="265" t="s">
        <v>18751</v>
      </c>
      <c r="E13" s="261" t="s">
        <v>207</v>
      </c>
    </row>
    <row r="14" spans="1:5" ht="30">
      <c r="A14" s="261">
        <v>1351</v>
      </c>
      <c r="B14" s="261" t="s">
        <v>11144</v>
      </c>
      <c r="C14" s="261" t="s">
        <v>3240</v>
      </c>
      <c r="D14" s="265" t="s">
        <v>14262</v>
      </c>
      <c r="E14" s="261" t="s">
        <v>207</v>
      </c>
    </row>
    <row r="15" spans="1:5" ht="30">
      <c r="A15" s="261">
        <v>2418</v>
      </c>
      <c r="B15" s="261" t="s">
        <v>11145</v>
      </c>
      <c r="C15" s="261" t="s">
        <v>3240</v>
      </c>
      <c r="D15" s="265" t="s">
        <v>11281</v>
      </c>
      <c r="E15" s="261" t="s">
        <v>207</v>
      </c>
    </row>
    <row r="16" spans="1:5" ht="30">
      <c r="A16" s="261">
        <v>6086</v>
      </c>
      <c r="B16" s="261" t="s">
        <v>11147</v>
      </c>
      <c r="C16" s="261" t="s">
        <v>3256</v>
      </c>
      <c r="D16" s="265" t="s">
        <v>18752</v>
      </c>
      <c r="E16" s="261" t="s">
        <v>207</v>
      </c>
    </row>
    <row r="17" spans="1:5" ht="45">
      <c r="A17" s="261">
        <v>3378</v>
      </c>
      <c r="B17" s="261" t="s">
        <v>4553</v>
      </c>
      <c r="C17" s="261" t="s">
        <v>3240</v>
      </c>
      <c r="D17" s="265" t="s">
        <v>18753</v>
      </c>
      <c r="E17" s="261" t="s">
        <v>207</v>
      </c>
    </row>
    <row r="18" spans="1:5" ht="45">
      <c r="A18" s="261">
        <v>3380</v>
      </c>
      <c r="B18" s="261" t="s">
        <v>4554</v>
      </c>
      <c r="C18" s="261" t="s">
        <v>3240</v>
      </c>
      <c r="D18" s="265" t="s">
        <v>18754</v>
      </c>
      <c r="E18" s="261" t="s">
        <v>207</v>
      </c>
    </row>
    <row r="19" spans="1:5" ht="45">
      <c r="A19" s="261">
        <v>3379</v>
      </c>
      <c r="B19" s="261" t="s">
        <v>4555</v>
      </c>
      <c r="C19" s="261" t="s">
        <v>3240</v>
      </c>
      <c r="D19" s="265" t="s">
        <v>18755</v>
      </c>
      <c r="E19" s="261" t="s">
        <v>207</v>
      </c>
    </row>
    <row r="20" spans="1:5" ht="30">
      <c r="A20" s="261">
        <v>615</v>
      </c>
      <c r="B20" s="261" t="s">
        <v>11149</v>
      </c>
      <c r="C20" s="261" t="s">
        <v>3242</v>
      </c>
      <c r="D20" s="265" t="s">
        <v>18756</v>
      </c>
      <c r="E20" s="261" t="s">
        <v>207</v>
      </c>
    </row>
    <row r="21" spans="1:5" ht="45">
      <c r="A21" s="261">
        <v>606</v>
      </c>
      <c r="B21" s="261" t="s">
        <v>11150</v>
      </c>
      <c r="C21" s="261" t="s">
        <v>3242</v>
      </c>
      <c r="D21" s="265" t="s">
        <v>18757</v>
      </c>
      <c r="E21" s="261" t="s">
        <v>207</v>
      </c>
    </row>
    <row r="22" spans="1:5" ht="30">
      <c r="A22" s="261">
        <v>13382</v>
      </c>
      <c r="B22" s="261" t="s">
        <v>4556</v>
      </c>
      <c r="C22" s="261" t="s">
        <v>3240</v>
      </c>
      <c r="D22" s="265" t="s">
        <v>18758</v>
      </c>
      <c r="E22" s="261" t="s">
        <v>207</v>
      </c>
    </row>
    <row r="23" spans="1:5" ht="15">
      <c r="A23" s="261">
        <v>4047</v>
      </c>
      <c r="B23" s="261" t="s">
        <v>11154</v>
      </c>
      <c r="C23" s="261" t="s">
        <v>3256</v>
      </c>
      <c r="D23" s="265" t="s">
        <v>10648</v>
      </c>
      <c r="E23" s="261" t="s">
        <v>207</v>
      </c>
    </row>
    <row r="24" spans="1:5" ht="15">
      <c r="A24" s="261">
        <v>7344</v>
      </c>
      <c r="B24" s="261" t="s">
        <v>11155</v>
      </c>
      <c r="C24" s="261" t="s">
        <v>3256</v>
      </c>
      <c r="D24" s="265" t="s">
        <v>18759</v>
      </c>
      <c r="E24" s="261" t="s">
        <v>207</v>
      </c>
    </row>
    <row r="25" spans="1:5" ht="30">
      <c r="A25" s="261">
        <v>40514</v>
      </c>
      <c r="B25" s="261" t="s">
        <v>11156</v>
      </c>
      <c r="C25" s="261" t="s">
        <v>3245</v>
      </c>
      <c r="D25" s="265" t="s">
        <v>12268</v>
      </c>
      <c r="E25" s="261" t="s">
        <v>207</v>
      </c>
    </row>
    <row r="26" spans="1:5" ht="45">
      <c r="A26" s="261">
        <v>11199</v>
      </c>
      <c r="B26" s="261" t="s">
        <v>11157</v>
      </c>
      <c r="C26" s="261" t="s">
        <v>3240</v>
      </c>
      <c r="D26" s="265" t="s">
        <v>18760</v>
      </c>
      <c r="E26" s="261" t="s">
        <v>207</v>
      </c>
    </row>
    <row r="27" spans="1:5" ht="15">
      <c r="A27" s="261">
        <v>4053</v>
      </c>
      <c r="B27" s="261" t="s">
        <v>11158</v>
      </c>
      <c r="C27" s="261" t="s">
        <v>3256</v>
      </c>
      <c r="D27" s="265" t="s">
        <v>18761</v>
      </c>
      <c r="E27" s="261" t="s">
        <v>207</v>
      </c>
    </row>
    <row r="28" spans="1:5" ht="30">
      <c r="A28" s="261">
        <v>4056</v>
      </c>
      <c r="B28" s="261" t="s">
        <v>11160</v>
      </c>
      <c r="C28" s="261" t="s">
        <v>3256</v>
      </c>
      <c r="D28" s="265" t="s">
        <v>18762</v>
      </c>
      <c r="E28" s="261" t="s">
        <v>207</v>
      </c>
    </row>
    <row r="29" spans="1:5" ht="30">
      <c r="A29" s="261">
        <v>21136</v>
      </c>
      <c r="B29" s="261" t="s">
        <v>4557</v>
      </c>
      <c r="C29" s="261" t="s">
        <v>3243</v>
      </c>
      <c r="D29" s="265" t="s">
        <v>18763</v>
      </c>
      <c r="E29" s="261" t="s">
        <v>207</v>
      </c>
    </row>
    <row r="30" spans="1:5" ht="30">
      <c r="A30" s="261">
        <v>21128</v>
      </c>
      <c r="B30" s="261" t="s">
        <v>4558</v>
      </c>
      <c r="C30" s="261" t="s">
        <v>3243</v>
      </c>
      <c r="D30" s="265" t="s">
        <v>14247</v>
      </c>
      <c r="E30" s="261" t="s">
        <v>207</v>
      </c>
    </row>
    <row r="31" spans="1:5" ht="30">
      <c r="A31" s="261">
        <v>21130</v>
      </c>
      <c r="B31" s="261" t="s">
        <v>4559</v>
      </c>
      <c r="C31" s="261" t="s">
        <v>3243</v>
      </c>
      <c r="D31" s="265" t="s">
        <v>16550</v>
      </c>
      <c r="E31" s="261" t="s">
        <v>207</v>
      </c>
    </row>
    <row r="32" spans="1:5" ht="30">
      <c r="A32" s="261">
        <v>21135</v>
      </c>
      <c r="B32" s="261" t="s">
        <v>4560</v>
      </c>
      <c r="C32" s="261" t="s">
        <v>3243</v>
      </c>
      <c r="D32" s="265" t="s">
        <v>18764</v>
      </c>
      <c r="E32" s="261" t="s">
        <v>207</v>
      </c>
    </row>
    <row r="33" spans="1:5" ht="30">
      <c r="A33" s="261">
        <v>38605</v>
      </c>
      <c r="B33" s="261" t="s">
        <v>4561</v>
      </c>
      <c r="C33" s="261" t="s">
        <v>3240</v>
      </c>
      <c r="D33" s="265" t="s">
        <v>15882</v>
      </c>
      <c r="E33" s="261" t="s">
        <v>207</v>
      </c>
    </row>
    <row r="34" spans="1:5" ht="30">
      <c r="A34" s="261">
        <v>11270</v>
      </c>
      <c r="B34" s="261" t="s">
        <v>4562</v>
      </c>
      <c r="C34" s="261" t="s">
        <v>3240</v>
      </c>
      <c r="D34" s="265" t="s">
        <v>11194</v>
      </c>
      <c r="E34" s="261" t="s">
        <v>207</v>
      </c>
    </row>
    <row r="35" spans="1:5" ht="30">
      <c r="A35" s="261">
        <v>412</v>
      </c>
      <c r="B35" s="261" t="s">
        <v>4563</v>
      </c>
      <c r="C35" s="261" t="s">
        <v>3240</v>
      </c>
      <c r="D35" s="265" t="s">
        <v>10015</v>
      </c>
      <c r="E35" s="261" t="s">
        <v>207</v>
      </c>
    </row>
    <row r="36" spans="1:5" ht="30">
      <c r="A36" s="261">
        <v>414</v>
      </c>
      <c r="B36" s="261" t="s">
        <v>4564</v>
      </c>
      <c r="C36" s="261" t="s">
        <v>3240</v>
      </c>
      <c r="D36" s="265" t="s">
        <v>9873</v>
      </c>
      <c r="E36" s="261" t="s">
        <v>207</v>
      </c>
    </row>
    <row r="37" spans="1:5" ht="30">
      <c r="A37" s="261">
        <v>410</v>
      </c>
      <c r="B37" s="261" t="s">
        <v>4565</v>
      </c>
      <c r="C37" s="261" t="s">
        <v>3240</v>
      </c>
      <c r="D37" s="265" t="s">
        <v>9959</v>
      </c>
      <c r="E37" s="261" t="s">
        <v>207</v>
      </c>
    </row>
    <row r="38" spans="1:5" ht="30">
      <c r="A38" s="261">
        <v>411</v>
      </c>
      <c r="B38" s="261" t="s">
        <v>4566</v>
      </c>
      <c r="C38" s="261" t="s">
        <v>3240</v>
      </c>
      <c r="D38" s="265" t="s">
        <v>9832</v>
      </c>
      <c r="E38" s="261" t="s">
        <v>207</v>
      </c>
    </row>
    <row r="39" spans="1:5" ht="30">
      <c r="A39" s="261">
        <v>408</v>
      </c>
      <c r="B39" s="261" t="s">
        <v>4567</v>
      </c>
      <c r="C39" s="261" t="s">
        <v>3240</v>
      </c>
      <c r="D39" s="265" t="s">
        <v>11062</v>
      </c>
      <c r="E39" s="261" t="s">
        <v>207</v>
      </c>
    </row>
    <row r="40" spans="1:5" ht="30">
      <c r="A40" s="261">
        <v>39131</v>
      </c>
      <c r="B40" s="261" t="s">
        <v>4568</v>
      </c>
      <c r="C40" s="261" t="s">
        <v>3240</v>
      </c>
      <c r="D40" s="265" t="s">
        <v>15835</v>
      </c>
      <c r="E40" s="261" t="s">
        <v>207</v>
      </c>
    </row>
    <row r="41" spans="1:5" ht="30">
      <c r="A41" s="261">
        <v>394</v>
      </c>
      <c r="B41" s="261" t="s">
        <v>4569</v>
      </c>
      <c r="C41" s="261" t="s">
        <v>3240</v>
      </c>
      <c r="D41" s="265" t="s">
        <v>12155</v>
      </c>
      <c r="E41" s="261" t="s">
        <v>207</v>
      </c>
    </row>
    <row r="42" spans="1:5" ht="30">
      <c r="A42" s="261">
        <v>39130</v>
      </c>
      <c r="B42" s="261" t="s">
        <v>4570</v>
      </c>
      <c r="C42" s="261" t="s">
        <v>3240</v>
      </c>
      <c r="D42" s="265" t="s">
        <v>11165</v>
      </c>
      <c r="E42" s="261" t="s">
        <v>207</v>
      </c>
    </row>
    <row r="43" spans="1:5" ht="30">
      <c r="A43" s="261">
        <v>395</v>
      </c>
      <c r="B43" s="261" t="s">
        <v>4571</v>
      </c>
      <c r="C43" s="261" t="s">
        <v>3240</v>
      </c>
      <c r="D43" s="265" t="s">
        <v>10424</v>
      </c>
      <c r="E43" s="261" t="s">
        <v>207</v>
      </c>
    </row>
    <row r="44" spans="1:5" ht="30">
      <c r="A44" s="261">
        <v>39127</v>
      </c>
      <c r="B44" s="261" t="s">
        <v>4572</v>
      </c>
      <c r="C44" s="261" t="s">
        <v>3240</v>
      </c>
      <c r="D44" s="265" t="s">
        <v>10081</v>
      </c>
      <c r="E44" s="261" t="s">
        <v>207</v>
      </c>
    </row>
    <row r="45" spans="1:5" ht="30">
      <c r="A45" s="261">
        <v>392</v>
      </c>
      <c r="B45" s="261" t="s">
        <v>4573</v>
      </c>
      <c r="C45" s="261" t="s">
        <v>3240</v>
      </c>
      <c r="D45" s="265" t="s">
        <v>11092</v>
      </c>
      <c r="E45" s="261" t="s">
        <v>207</v>
      </c>
    </row>
    <row r="46" spans="1:5" ht="30">
      <c r="A46" s="261">
        <v>39129</v>
      </c>
      <c r="B46" s="261" t="s">
        <v>4574</v>
      </c>
      <c r="C46" s="261" t="s">
        <v>3240</v>
      </c>
      <c r="D46" s="265" t="s">
        <v>12375</v>
      </c>
      <c r="E46" s="261" t="s">
        <v>207</v>
      </c>
    </row>
    <row r="47" spans="1:5" ht="30">
      <c r="A47" s="261">
        <v>393</v>
      </c>
      <c r="B47" s="261" t="s">
        <v>4575</v>
      </c>
      <c r="C47" s="261" t="s">
        <v>3240</v>
      </c>
      <c r="D47" s="265" t="s">
        <v>9770</v>
      </c>
      <c r="E47" s="261" t="s">
        <v>207</v>
      </c>
    </row>
    <row r="48" spans="1:5" ht="30">
      <c r="A48" s="261">
        <v>39133</v>
      </c>
      <c r="B48" s="261" t="s">
        <v>4576</v>
      </c>
      <c r="C48" s="261" t="s">
        <v>3240</v>
      </c>
      <c r="D48" s="265" t="s">
        <v>18765</v>
      </c>
      <c r="E48" s="261" t="s">
        <v>207</v>
      </c>
    </row>
    <row r="49" spans="1:5" ht="30">
      <c r="A49" s="261">
        <v>397</v>
      </c>
      <c r="B49" s="261" t="s">
        <v>4577</v>
      </c>
      <c r="C49" s="261" t="s">
        <v>3240</v>
      </c>
      <c r="D49" s="265" t="s">
        <v>9996</v>
      </c>
      <c r="E49" s="261" t="s">
        <v>207</v>
      </c>
    </row>
    <row r="50" spans="1:5" ht="30">
      <c r="A50" s="261">
        <v>39132</v>
      </c>
      <c r="B50" s="261" t="s">
        <v>4578</v>
      </c>
      <c r="C50" s="261" t="s">
        <v>3240</v>
      </c>
      <c r="D50" s="265" t="s">
        <v>11242</v>
      </c>
      <c r="E50" s="261" t="s">
        <v>207</v>
      </c>
    </row>
    <row r="51" spans="1:5" ht="30">
      <c r="A51" s="261">
        <v>396</v>
      </c>
      <c r="B51" s="261" t="s">
        <v>4579</v>
      </c>
      <c r="C51" s="261" t="s">
        <v>3240</v>
      </c>
      <c r="D51" s="265" t="s">
        <v>10042</v>
      </c>
      <c r="E51" s="261" t="s">
        <v>207</v>
      </c>
    </row>
    <row r="52" spans="1:5" ht="30">
      <c r="A52" s="261">
        <v>39135</v>
      </c>
      <c r="B52" s="261" t="s">
        <v>4580</v>
      </c>
      <c r="C52" s="261" t="s">
        <v>3240</v>
      </c>
      <c r="D52" s="265" t="s">
        <v>10484</v>
      </c>
      <c r="E52" s="261" t="s">
        <v>207</v>
      </c>
    </row>
    <row r="53" spans="1:5" ht="30">
      <c r="A53" s="261">
        <v>39128</v>
      </c>
      <c r="B53" s="261" t="s">
        <v>4581</v>
      </c>
      <c r="C53" s="261" t="s">
        <v>3240</v>
      </c>
      <c r="D53" s="265" t="s">
        <v>9851</v>
      </c>
      <c r="E53" s="261" t="s">
        <v>207</v>
      </c>
    </row>
    <row r="54" spans="1:5" ht="30">
      <c r="A54" s="261">
        <v>400</v>
      </c>
      <c r="B54" s="261" t="s">
        <v>4582</v>
      </c>
      <c r="C54" s="261" t="s">
        <v>3240</v>
      </c>
      <c r="D54" s="265" t="s">
        <v>10083</v>
      </c>
      <c r="E54" s="261" t="s">
        <v>207</v>
      </c>
    </row>
    <row r="55" spans="1:5" ht="30">
      <c r="A55" s="261">
        <v>39125</v>
      </c>
      <c r="B55" s="261" t="s">
        <v>4583</v>
      </c>
      <c r="C55" s="261" t="s">
        <v>3240</v>
      </c>
      <c r="D55" s="265" t="s">
        <v>9851</v>
      </c>
      <c r="E55" s="261" t="s">
        <v>207</v>
      </c>
    </row>
    <row r="56" spans="1:5" ht="30">
      <c r="A56" s="261">
        <v>39134</v>
      </c>
      <c r="B56" s="261" t="s">
        <v>4584</v>
      </c>
      <c r="C56" s="261" t="s">
        <v>3240</v>
      </c>
      <c r="D56" s="265" t="s">
        <v>9798</v>
      </c>
      <c r="E56" s="261" t="s">
        <v>207</v>
      </c>
    </row>
    <row r="57" spans="1:5" ht="30">
      <c r="A57" s="261">
        <v>398</v>
      </c>
      <c r="B57" s="261" t="s">
        <v>4585</v>
      </c>
      <c r="C57" s="261" t="s">
        <v>3240</v>
      </c>
      <c r="D57" s="265" t="s">
        <v>10037</v>
      </c>
      <c r="E57" s="261" t="s">
        <v>207</v>
      </c>
    </row>
    <row r="58" spans="1:5" ht="30">
      <c r="A58" s="261">
        <v>39126</v>
      </c>
      <c r="B58" s="261" t="s">
        <v>4586</v>
      </c>
      <c r="C58" s="261" t="s">
        <v>3240</v>
      </c>
      <c r="D58" s="265" t="s">
        <v>16211</v>
      </c>
      <c r="E58" s="261" t="s">
        <v>207</v>
      </c>
    </row>
    <row r="59" spans="1:5" ht="30">
      <c r="A59" s="261">
        <v>399</v>
      </c>
      <c r="B59" s="261" t="s">
        <v>4587</v>
      </c>
      <c r="C59" s="261" t="s">
        <v>3240</v>
      </c>
      <c r="D59" s="265" t="s">
        <v>18766</v>
      </c>
      <c r="E59" s="261" t="s">
        <v>207</v>
      </c>
    </row>
    <row r="60" spans="1:5" ht="30">
      <c r="A60" s="261">
        <v>39158</v>
      </c>
      <c r="B60" s="261" t="s">
        <v>4588</v>
      </c>
      <c r="C60" s="261" t="s">
        <v>3240</v>
      </c>
      <c r="D60" s="265" t="s">
        <v>11376</v>
      </c>
      <c r="E60" s="261" t="s">
        <v>207</v>
      </c>
    </row>
    <row r="61" spans="1:5" ht="30">
      <c r="A61" s="261">
        <v>39141</v>
      </c>
      <c r="B61" s="261" t="s">
        <v>4589</v>
      </c>
      <c r="C61" s="261" t="s">
        <v>3240</v>
      </c>
      <c r="D61" s="265" t="s">
        <v>10916</v>
      </c>
      <c r="E61" s="261" t="s">
        <v>207</v>
      </c>
    </row>
    <row r="62" spans="1:5" ht="30">
      <c r="A62" s="261">
        <v>39140</v>
      </c>
      <c r="B62" s="261" t="s">
        <v>4590</v>
      </c>
      <c r="C62" s="261" t="s">
        <v>3240</v>
      </c>
      <c r="D62" s="265" t="s">
        <v>9904</v>
      </c>
      <c r="E62" s="261" t="s">
        <v>207</v>
      </c>
    </row>
    <row r="63" spans="1:5" ht="30">
      <c r="A63" s="261">
        <v>39137</v>
      </c>
      <c r="B63" s="261" t="s">
        <v>4591</v>
      </c>
      <c r="C63" s="261" t="s">
        <v>3240</v>
      </c>
      <c r="D63" s="265" t="s">
        <v>9854</v>
      </c>
      <c r="E63" s="261" t="s">
        <v>207</v>
      </c>
    </row>
    <row r="64" spans="1:5" ht="30">
      <c r="A64" s="261">
        <v>39139</v>
      </c>
      <c r="B64" s="261" t="s">
        <v>4592</v>
      </c>
      <c r="C64" s="261" t="s">
        <v>3240</v>
      </c>
      <c r="D64" s="265" t="s">
        <v>11066</v>
      </c>
      <c r="E64" s="261" t="s">
        <v>207</v>
      </c>
    </row>
    <row r="65" spans="1:5" ht="30">
      <c r="A65" s="261">
        <v>39143</v>
      </c>
      <c r="B65" s="261" t="s">
        <v>4593</v>
      </c>
      <c r="C65" s="261" t="s">
        <v>3240</v>
      </c>
      <c r="D65" s="265" t="s">
        <v>9775</v>
      </c>
      <c r="E65" s="261" t="s">
        <v>207</v>
      </c>
    </row>
    <row r="66" spans="1:5" ht="30">
      <c r="A66" s="261">
        <v>39142</v>
      </c>
      <c r="B66" s="261" t="s">
        <v>4594</v>
      </c>
      <c r="C66" s="261" t="s">
        <v>3240</v>
      </c>
      <c r="D66" s="265" t="s">
        <v>11096</v>
      </c>
      <c r="E66" s="261" t="s">
        <v>207</v>
      </c>
    </row>
    <row r="67" spans="1:5" ht="30">
      <c r="A67" s="261">
        <v>39138</v>
      </c>
      <c r="B67" s="261" t="s">
        <v>4595</v>
      </c>
      <c r="C67" s="261" t="s">
        <v>3240</v>
      </c>
      <c r="D67" s="265" t="s">
        <v>11362</v>
      </c>
      <c r="E67" s="261" t="s">
        <v>207</v>
      </c>
    </row>
    <row r="68" spans="1:5" ht="30">
      <c r="A68" s="261">
        <v>39136</v>
      </c>
      <c r="B68" s="261" t="s">
        <v>4596</v>
      </c>
      <c r="C68" s="261" t="s">
        <v>3240</v>
      </c>
      <c r="D68" s="265" t="s">
        <v>10070</v>
      </c>
      <c r="E68" s="261" t="s">
        <v>207</v>
      </c>
    </row>
    <row r="69" spans="1:5" ht="30">
      <c r="A69" s="261">
        <v>39144</v>
      </c>
      <c r="B69" s="261" t="s">
        <v>4597</v>
      </c>
      <c r="C69" s="261" t="s">
        <v>3240</v>
      </c>
      <c r="D69" s="265" t="s">
        <v>10424</v>
      </c>
      <c r="E69" s="261" t="s">
        <v>207</v>
      </c>
    </row>
    <row r="70" spans="1:5" ht="30">
      <c r="A70" s="261">
        <v>39145</v>
      </c>
      <c r="B70" s="261" t="s">
        <v>4598</v>
      </c>
      <c r="C70" s="261" t="s">
        <v>3240</v>
      </c>
      <c r="D70" s="265" t="s">
        <v>11440</v>
      </c>
      <c r="E70" s="261" t="s">
        <v>207</v>
      </c>
    </row>
    <row r="71" spans="1:5" ht="30">
      <c r="A71" s="261">
        <v>12615</v>
      </c>
      <c r="B71" s="261" t="s">
        <v>4599</v>
      </c>
      <c r="C71" s="261" t="s">
        <v>3240</v>
      </c>
      <c r="D71" s="265" t="s">
        <v>9909</v>
      </c>
      <c r="E71" s="261" t="s">
        <v>207</v>
      </c>
    </row>
    <row r="72" spans="1:5" ht="30">
      <c r="A72" s="261">
        <v>11927</v>
      </c>
      <c r="B72" s="261" t="s">
        <v>4600</v>
      </c>
      <c r="C72" s="261" t="s">
        <v>3240</v>
      </c>
      <c r="D72" s="265" t="s">
        <v>18767</v>
      </c>
      <c r="E72" s="261" t="s">
        <v>207</v>
      </c>
    </row>
    <row r="73" spans="1:5" ht="30">
      <c r="A73" s="261">
        <v>11928</v>
      </c>
      <c r="B73" s="261" t="s">
        <v>4601</v>
      </c>
      <c r="C73" s="261" t="s">
        <v>3240</v>
      </c>
      <c r="D73" s="265" t="s">
        <v>10899</v>
      </c>
      <c r="E73" s="261" t="s">
        <v>207</v>
      </c>
    </row>
    <row r="74" spans="1:5" ht="30">
      <c r="A74" s="261">
        <v>11929</v>
      </c>
      <c r="B74" s="261" t="s">
        <v>4602</v>
      </c>
      <c r="C74" s="261" t="s">
        <v>3240</v>
      </c>
      <c r="D74" s="265" t="s">
        <v>10154</v>
      </c>
      <c r="E74" s="261" t="s">
        <v>207</v>
      </c>
    </row>
    <row r="75" spans="1:5" ht="15">
      <c r="A75" s="261">
        <v>36801</v>
      </c>
      <c r="B75" s="261" t="s">
        <v>4603</v>
      </c>
      <c r="C75" s="261" t="s">
        <v>3240</v>
      </c>
      <c r="D75" s="265" t="s">
        <v>11513</v>
      </c>
      <c r="E75" s="261" t="s">
        <v>207</v>
      </c>
    </row>
    <row r="76" spans="1:5" ht="30">
      <c r="A76" s="261">
        <v>36246</v>
      </c>
      <c r="B76" s="261" t="s">
        <v>4604</v>
      </c>
      <c r="C76" s="261" t="s">
        <v>3243</v>
      </c>
      <c r="D76" s="265" t="s">
        <v>9990</v>
      </c>
      <c r="E76" s="261" t="s">
        <v>207</v>
      </c>
    </row>
    <row r="77" spans="1:5" ht="15">
      <c r="A77" s="261">
        <v>37600</v>
      </c>
      <c r="B77" s="261" t="s">
        <v>4605</v>
      </c>
      <c r="C77" s="261" t="s">
        <v>3240</v>
      </c>
      <c r="D77" s="265" t="s">
        <v>16288</v>
      </c>
      <c r="E77" s="261" t="s">
        <v>207</v>
      </c>
    </row>
    <row r="78" spans="1:5" ht="30">
      <c r="A78" s="261">
        <v>37599</v>
      </c>
      <c r="B78" s="261" t="s">
        <v>4606</v>
      </c>
      <c r="C78" s="261" t="s">
        <v>3240</v>
      </c>
      <c r="D78" s="265" t="s">
        <v>18768</v>
      </c>
      <c r="E78" s="261" t="s">
        <v>207</v>
      </c>
    </row>
    <row r="79" spans="1:5" ht="15">
      <c r="A79" s="261">
        <v>1</v>
      </c>
      <c r="B79" s="261" t="s">
        <v>4607</v>
      </c>
      <c r="C79" s="261" t="s">
        <v>3244</v>
      </c>
      <c r="D79" s="265" t="s">
        <v>18769</v>
      </c>
      <c r="E79" s="261" t="s">
        <v>207</v>
      </c>
    </row>
    <row r="80" spans="1:5" ht="15">
      <c r="A80" s="261">
        <v>3</v>
      </c>
      <c r="B80" s="261" t="s">
        <v>4608</v>
      </c>
      <c r="C80" s="261" t="s">
        <v>3245</v>
      </c>
      <c r="D80" s="265" t="s">
        <v>11319</v>
      </c>
      <c r="E80" s="261" t="s">
        <v>207</v>
      </c>
    </row>
    <row r="81" spans="1:5" ht="30">
      <c r="A81" s="261">
        <v>43054</v>
      </c>
      <c r="B81" s="261" t="s">
        <v>9447</v>
      </c>
      <c r="C81" s="261" t="s">
        <v>3244</v>
      </c>
      <c r="D81" s="265" t="s">
        <v>10316</v>
      </c>
      <c r="E81" s="261" t="s">
        <v>207</v>
      </c>
    </row>
    <row r="82" spans="1:5" ht="15">
      <c r="A82" s="261">
        <v>42402</v>
      </c>
      <c r="B82" s="261" t="s">
        <v>11175</v>
      </c>
      <c r="C82" s="261" t="s">
        <v>3244</v>
      </c>
      <c r="D82" s="265" t="s">
        <v>16149</v>
      </c>
      <c r="E82" s="261" t="s">
        <v>207</v>
      </c>
    </row>
    <row r="83" spans="1:5" ht="15">
      <c r="A83" s="261">
        <v>42403</v>
      </c>
      <c r="B83" s="261" t="s">
        <v>9448</v>
      </c>
      <c r="C83" s="261" t="s">
        <v>3244</v>
      </c>
      <c r="D83" s="265" t="s">
        <v>11409</v>
      </c>
      <c r="E83" s="261" t="s">
        <v>207</v>
      </c>
    </row>
    <row r="84" spans="1:5" ht="15">
      <c r="A84" s="261">
        <v>42404</v>
      </c>
      <c r="B84" s="261" t="s">
        <v>9449</v>
      </c>
      <c r="C84" s="261" t="s">
        <v>3244</v>
      </c>
      <c r="D84" s="265" t="s">
        <v>12303</v>
      </c>
      <c r="E84" s="261" t="s">
        <v>207</v>
      </c>
    </row>
    <row r="85" spans="1:5" ht="15">
      <c r="A85" s="261">
        <v>42405</v>
      </c>
      <c r="B85" s="261" t="s">
        <v>9450</v>
      </c>
      <c r="C85" s="261" t="s">
        <v>3244</v>
      </c>
      <c r="D85" s="265" t="s">
        <v>18770</v>
      </c>
      <c r="E85" s="261" t="s">
        <v>207</v>
      </c>
    </row>
    <row r="86" spans="1:5" ht="15">
      <c r="A86" s="261">
        <v>34341</v>
      </c>
      <c r="B86" s="261" t="s">
        <v>4609</v>
      </c>
      <c r="C86" s="261" t="s">
        <v>3244</v>
      </c>
      <c r="D86" s="265" t="s">
        <v>9914</v>
      </c>
      <c r="E86" s="261" t="s">
        <v>207</v>
      </c>
    </row>
    <row r="87" spans="1:5" ht="15">
      <c r="A87" s="261">
        <v>43053</v>
      </c>
      <c r="B87" s="261" t="s">
        <v>9451</v>
      </c>
      <c r="C87" s="261" t="s">
        <v>3244</v>
      </c>
      <c r="D87" s="265" t="s">
        <v>11310</v>
      </c>
      <c r="E87" s="261" t="s">
        <v>207</v>
      </c>
    </row>
    <row r="88" spans="1:5" ht="15">
      <c r="A88" s="261">
        <v>43058</v>
      </c>
      <c r="B88" s="261" t="s">
        <v>9452</v>
      </c>
      <c r="C88" s="261" t="s">
        <v>3244</v>
      </c>
      <c r="D88" s="265" t="s">
        <v>10032</v>
      </c>
      <c r="E88" s="261" t="s">
        <v>207</v>
      </c>
    </row>
    <row r="89" spans="1:5" ht="15">
      <c r="A89" s="261">
        <v>34</v>
      </c>
      <c r="B89" s="261" t="s">
        <v>4610</v>
      </c>
      <c r="C89" s="261" t="s">
        <v>3244</v>
      </c>
      <c r="D89" s="265" t="s">
        <v>12365</v>
      </c>
      <c r="E89" s="261" t="s">
        <v>207</v>
      </c>
    </row>
    <row r="90" spans="1:5" ht="15">
      <c r="A90" s="261">
        <v>43055</v>
      </c>
      <c r="B90" s="261" t="s">
        <v>9453</v>
      </c>
      <c r="C90" s="261" t="s">
        <v>3244</v>
      </c>
      <c r="D90" s="265" t="s">
        <v>11078</v>
      </c>
      <c r="E90" s="261" t="s">
        <v>207</v>
      </c>
    </row>
    <row r="91" spans="1:5" ht="15">
      <c r="A91" s="261">
        <v>43056</v>
      </c>
      <c r="B91" s="261" t="s">
        <v>9454</v>
      </c>
      <c r="C91" s="261" t="s">
        <v>3244</v>
      </c>
      <c r="D91" s="265" t="s">
        <v>18771</v>
      </c>
      <c r="E91" s="261" t="s">
        <v>207</v>
      </c>
    </row>
    <row r="92" spans="1:5" ht="15">
      <c r="A92" s="261">
        <v>43057</v>
      </c>
      <c r="B92" s="261" t="s">
        <v>9455</v>
      </c>
      <c r="C92" s="261" t="s">
        <v>3244</v>
      </c>
      <c r="D92" s="265" t="s">
        <v>10204</v>
      </c>
      <c r="E92" s="261" t="s">
        <v>207</v>
      </c>
    </row>
    <row r="93" spans="1:5" ht="15">
      <c r="A93" s="261">
        <v>34449</v>
      </c>
      <c r="B93" s="261" t="s">
        <v>4611</v>
      </c>
      <c r="C93" s="261" t="s">
        <v>3244</v>
      </c>
      <c r="D93" s="265" t="s">
        <v>11431</v>
      </c>
      <c r="E93" s="261" t="s">
        <v>207</v>
      </c>
    </row>
    <row r="94" spans="1:5" ht="15">
      <c r="A94" s="261">
        <v>32</v>
      </c>
      <c r="B94" s="261" t="s">
        <v>4612</v>
      </c>
      <c r="C94" s="261" t="s">
        <v>3244</v>
      </c>
      <c r="D94" s="265" t="s">
        <v>10317</v>
      </c>
      <c r="E94" s="261" t="s">
        <v>207</v>
      </c>
    </row>
    <row r="95" spans="1:5" ht="15">
      <c r="A95" s="261">
        <v>33</v>
      </c>
      <c r="B95" s="261" t="s">
        <v>4613</v>
      </c>
      <c r="C95" s="261" t="s">
        <v>3244</v>
      </c>
      <c r="D95" s="265" t="s">
        <v>10833</v>
      </c>
      <c r="E95" s="261" t="s">
        <v>207</v>
      </c>
    </row>
    <row r="96" spans="1:5" ht="15">
      <c r="A96" s="261">
        <v>43061</v>
      </c>
      <c r="B96" s="261" t="s">
        <v>9456</v>
      </c>
      <c r="C96" s="261" t="s">
        <v>3244</v>
      </c>
      <c r="D96" s="265" t="s">
        <v>10628</v>
      </c>
      <c r="E96" s="261" t="s">
        <v>207</v>
      </c>
    </row>
    <row r="97" spans="1:5" ht="15">
      <c r="A97" s="261">
        <v>43059</v>
      </c>
      <c r="B97" s="261" t="s">
        <v>9457</v>
      </c>
      <c r="C97" s="261" t="s">
        <v>3244</v>
      </c>
      <c r="D97" s="265" t="s">
        <v>10616</v>
      </c>
      <c r="E97" s="261" t="s">
        <v>207</v>
      </c>
    </row>
    <row r="98" spans="1:5" ht="15">
      <c r="A98" s="261">
        <v>43062</v>
      </c>
      <c r="B98" s="261" t="s">
        <v>9458</v>
      </c>
      <c r="C98" s="261" t="s">
        <v>3244</v>
      </c>
      <c r="D98" s="265" t="s">
        <v>11305</v>
      </c>
      <c r="E98" s="261" t="s">
        <v>207</v>
      </c>
    </row>
    <row r="99" spans="1:5" ht="15">
      <c r="A99" s="261">
        <v>43060</v>
      </c>
      <c r="B99" s="261" t="s">
        <v>9459</v>
      </c>
      <c r="C99" s="261" t="s">
        <v>3244</v>
      </c>
      <c r="D99" s="265" t="s">
        <v>11330</v>
      </c>
      <c r="E99" s="261" t="s">
        <v>207</v>
      </c>
    </row>
    <row r="100" spans="1:5" ht="30">
      <c r="A100" s="261">
        <v>20063</v>
      </c>
      <c r="B100" s="261" t="s">
        <v>4614</v>
      </c>
      <c r="C100" s="261" t="s">
        <v>3240</v>
      </c>
      <c r="D100" s="265" t="s">
        <v>18772</v>
      </c>
      <c r="E100" s="261" t="s">
        <v>207</v>
      </c>
    </row>
    <row r="101" spans="1:5" ht="30">
      <c r="A101" s="261">
        <v>40410</v>
      </c>
      <c r="B101" s="261" t="s">
        <v>4615</v>
      </c>
      <c r="C101" s="261" t="s">
        <v>3240</v>
      </c>
      <c r="D101" s="265" t="s">
        <v>18773</v>
      </c>
      <c r="E101" s="261" t="s">
        <v>207</v>
      </c>
    </row>
    <row r="102" spans="1:5" ht="30">
      <c r="A102" s="261">
        <v>40411</v>
      </c>
      <c r="B102" s="261" t="s">
        <v>4616</v>
      </c>
      <c r="C102" s="261" t="s">
        <v>3240</v>
      </c>
      <c r="D102" s="265" t="s">
        <v>10340</v>
      </c>
      <c r="E102" s="261" t="s">
        <v>207</v>
      </c>
    </row>
    <row r="103" spans="1:5" ht="30">
      <c r="A103" s="261">
        <v>40412</v>
      </c>
      <c r="B103" s="261" t="s">
        <v>4617</v>
      </c>
      <c r="C103" s="261" t="s">
        <v>3240</v>
      </c>
      <c r="D103" s="265" t="s">
        <v>16157</v>
      </c>
      <c r="E103" s="261" t="s">
        <v>207</v>
      </c>
    </row>
    <row r="104" spans="1:5" ht="15">
      <c r="A104" s="261">
        <v>38838</v>
      </c>
      <c r="B104" s="261" t="s">
        <v>4618</v>
      </c>
      <c r="C104" s="261" t="s">
        <v>3240</v>
      </c>
      <c r="D104" s="265" t="s">
        <v>14184</v>
      </c>
      <c r="E104" s="261" t="s">
        <v>207</v>
      </c>
    </row>
    <row r="105" spans="1:5" ht="15">
      <c r="A105" s="261">
        <v>38839</v>
      </c>
      <c r="B105" s="261" t="s">
        <v>4619</v>
      </c>
      <c r="C105" s="261" t="s">
        <v>3240</v>
      </c>
      <c r="D105" s="265" t="s">
        <v>11409</v>
      </c>
      <c r="E105" s="261" t="s">
        <v>207</v>
      </c>
    </row>
    <row r="106" spans="1:5" ht="30">
      <c r="A106" s="261">
        <v>55</v>
      </c>
      <c r="B106" s="261" t="s">
        <v>4620</v>
      </c>
      <c r="C106" s="261" t="s">
        <v>3240</v>
      </c>
      <c r="D106" s="265" t="s">
        <v>18774</v>
      </c>
      <c r="E106" s="261" t="s">
        <v>207</v>
      </c>
    </row>
    <row r="107" spans="1:5" ht="30">
      <c r="A107" s="261">
        <v>61</v>
      </c>
      <c r="B107" s="261" t="s">
        <v>4621</v>
      </c>
      <c r="C107" s="261" t="s">
        <v>3240</v>
      </c>
      <c r="D107" s="265" t="s">
        <v>16489</v>
      </c>
      <c r="E107" s="261" t="s">
        <v>207</v>
      </c>
    </row>
    <row r="108" spans="1:5" ht="30">
      <c r="A108" s="261">
        <v>62</v>
      </c>
      <c r="B108" s="261" t="s">
        <v>4622</v>
      </c>
      <c r="C108" s="261" t="s">
        <v>3240</v>
      </c>
      <c r="D108" s="265" t="s">
        <v>18775</v>
      </c>
      <c r="E108" s="261" t="s">
        <v>207</v>
      </c>
    </row>
    <row r="109" spans="1:5" ht="30">
      <c r="A109" s="261">
        <v>77</v>
      </c>
      <c r="B109" s="261" t="s">
        <v>4623</v>
      </c>
      <c r="C109" s="261" t="s">
        <v>3240</v>
      </c>
      <c r="D109" s="265" t="s">
        <v>11072</v>
      </c>
      <c r="E109" s="261" t="s">
        <v>207</v>
      </c>
    </row>
    <row r="110" spans="1:5" ht="15">
      <c r="A110" s="261">
        <v>76</v>
      </c>
      <c r="B110" s="261" t="s">
        <v>4624</v>
      </c>
      <c r="C110" s="261" t="s">
        <v>3240</v>
      </c>
      <c r="D110" s="265" t="s">
        <v>11092</v>
      </c>
      <c r="E110" s="261" t="s">
        <v>207</v>
      </c>
    </row>
    <row r="111" spans="1:5" ht="30">
      <c r="A111" s="261">
        <v>67</v>
      </c>
      <c r="B111" s="261" t="s">
        <v>4625</v>
      </c>
      <c r="C111" s="261" t="s">
        <v>3240</v>
      </c>
      <c r="D111" s="265" t="s">
        <v>12138</v>
      </c>
      <c r="E111" s="261" t="s">
        <v>207</v>
      </c>
    </row>
    <row r="112" spans="1:5" ht="30">
      <c r="A112" s="261">
        <v>71</v>
      </c>
      <c r="B112" s="261" t="s">
        <v>4626</v>
      </c>
      <c r="C112" s="261" t="s">
        <v>3240</v>
      </c>
      <c r="D112" s="265" t="s">
        <v>16114</v>
      </c>
      <c r="E112" s="261" t="s">
        <v>207</v>
      </c>
    </row>
    <row r="113" spans="1:5" ht="30">
      <c r="A113" s="261">
        <v>73</v>
      </c>
      <c r="B113" s="261" t="s">
        <v>4627</v>
      </c>
      <c r="C113" s="261" t="s">
        <v>3240</v>
      </c>
      <c r="D113" s="265" t="s">
        <v>18776</v>
      </c>
      <c r="E113" s="261" t="s">
        <v>207</v>
      </c>
    </row>
    <row r="114" spans="1:5" ht="30">
      <c r="A114" s="261">
        <v>103</v>
      </c>
      <c r="B114" s="261" t="s">
        <v>4628</v>
      </c>
      <c r="C114" s="261" t="s">
        <v>3240</v>
      </c>
      <c r="D114" s="265" t="s">
        <v>18777</v>
      </c>
      <c r="E114" s="261" t="s">
        <v>207</v>
      </c>
    </row>
    <row r="115" spans="1:5" ht="30">
      <c r="A115" s="261">
        <v>107</v>
      </c>
      <c r="B115" s="261" t="s">
        <v>4629</v>
      </c>
      <c r="C115" s="261" t="s">
        <v>3240</v>
      </c>
      <c r="D115" s="265" t="s">
        <v>11066</v>
      </c>
      <c r="E115" s="261" t="s">
        <v>207</v>
      </c>
    </row>
    <row r="116" spans="1:5" ht="30">
      <c r="A116" s="261">
        <v>65</v>
      </c>
      <c r="B116" s="261" t="s">
        <v>4630</v>
      </c>
      <c r="C116" s="261" t="s">
        <v>3240</v>
      </c>
      <c r="D116" s="265" t="s">
        <v>9778</v>
      </c>
      <c r="E116" s="261" t="s">
        <v>207</v>
      </c>
    </row>
    <row r="117" spans="1:5" ht="30">
      <c r="A117" s="261">
        <v>108</v>
      </c>
      <c r="B117" s="261" t="s">
        <v>4631</v>
      </c>
      <c r="C117" s="261" t="s">
        <v>3240</v>
      </c>
      <c r="D117" s="265" t="s">
        <v>9831</v>
      </c>
      <c r="E117" s="261" t="s">
        <v>207</v>
      </c>
    </row>
    <row r="118" spans="1:5" ht="30">
      <c r="A118" s="261">
        <v>110</v>
      </c>
      <c r="B118" s="261" t="s">
        <v>4632</v>
      </c>
      <c r="C118" s="261" t="s">
        <v>3240</v>
      </c>
      <c r="D118" s="265" t="s">
        <v>10235</v>
      </c>
      <c r="E118" s="261" t="s">
        <v>207</v>
      </c>
    </row>
    <row r="119" spans="1:5" ht="30">
      <c r="A119" s="261">
        <v>109</v>
      </c>
      <c r="B119" s="261" t="s">
        <v>4633</v>
      </c>
      <c r="C119" s="261" t="s">
        <v>3240</v>
      </c>
      <c r="D119" s="265" t="s">
        <v>10073</v>
      </c>
      <c r="E119" s="261" t="s">
        <v>207</v>
      </c>
    </row>
    <row r="120" spans="1:5" ht="30">
      <c r="A120" s="261">
        <v>111</v>
      </c>
      <c r="B120" s="261" t="s">
        <v>4634</v>
      </c>
      <c r="C120" s="261" t="s">
        <v>3240</v>
      </c>
      <c r="D120" s="265" t="s">
        <v>11318</v>
      </c>
      <c r="E120" s="261" t="s">
        <v>207</v>
      </c>
    </row>
    <row r="121" spans="1:5" ht="30">
      <c r="A121" s="261">
        <v>112</v>
      </c>
      <c r="B121" s="261" t="s">
        <v>4635</v>
      </c>
      <c r="C121" s="261" t="s">
        <v>3240</v>
      </c>
      <c r="D121" s="265" t="s">
        <v>11319</v>
      </c>
      <c r="E121" s="261" t="s">
        <v>207</v>
      </c>
    </row>
    <row r="122" spans="1:5" ht="30">
      <c r="A122" s="261">
        <v>113</v>
      </c>
      <c r="B122" s="261" t="s">
        <v>4636</v>
      </c>
      <c r="C122" s="261" t="s">
        <v>3240</v>
      </c>
      <c r="D122" s="265" t="s">
        <v>18778</v>
      </c>
      <c r="E122" s="261" t="s">
        <v>207</v>
      </c>
    </row>
    <row r="123" spans="1:5" ht="30">
      <c r="A123" s="261">
        <v>104</v>
      </c>
      <c r="B123" s="261" t="s">
        <v>4637</v>
      </c>
      <c r="C123" s="261" t="s">
        <v>3240</v>
      </c>
      <c r="D123" s="265" t="s">
        <v>16440</v>
      </c>
      <c r="E123" s="261" t="s">
        <v>207</v>
      </c>
    </row>
    <row r="124" spans="1:5" ht="30">
      <c r="A124" s="261">
        <v>102</v>
      </c>
      <c r="B124" s="261" t="s">
        <v>4638</v>
      </c>
      <c r="C124" s="261" t="s">
        <v>3240</v>
      </c>
      <c r="D124" s="265" t="s">
        <v>16618</v>
      </c>
      <c r="E124" s="261" t="s">
        <v>207</v>
      </c>
    </row>
    <row r="125" spans="1:5" ht="30">
      <c r="A125" s="261">
        <v>95</v>
      </c>
      <c r="B125" s="261" t="s">
        <v>4639</v>
      </c>
      <c r="C125" s="261" t="s">
        <v>3240</v>
      </c>
      <c r="D125" s="265" t="s">
        <v>14078</v>
      </c>
      <c r="E125" s="261" t="s">
        <v>207</v>
      </c>
    </row>
    <row r="126" spans="1:5" ht="30">
      <c r="A126" s="261">
        <v>96</v>
      </c>
      <c r="B126" s="261" t="s">
        <v>4640</v>
      </c>
      <c r="C126" s="261" t="s">
        <v>3240</v>
      </c>
      <c r="D126" s="265" t="s">
        <v>11468</v>
      </c>
      <c r="E126" s="261" t="s">
        <v>207</v>
      </c>
    </row>
    <row r="127" spans="1:5" ht="30">
      <c r="A127" s="261">
        <v>97</v>
      </c>
      <c r="B127" s="261" t="s">
        <v>4641</v>
      </c>
      <c r="C127" s="261" t="s">
        <v>3240</v>
      </c>
      <c r="D127" s="265" t="s">
        <v>9732</v>
      </c>
      <c r="E127" s="261" t="s">
        <v>207</v>
      </c>
    </row>
    <row r="128" spans="1:5" ht="30">
      <c r="A128" s="261">
        <v>98</v>
      </c>
      <c r="B128" s="261" t="s">
        <v>4642</v>
      </c>
      <c r="C128" s="261" t="s">
        <v>3240</v>
      </c>
      <c r="D128" s="265" t="s">
        <v>18779</v>
      </c>
      <c r="E128" s="261" t="s">
        <v>207</v>
      </c>
    </row>
    <row r="129" spans="1:5" ht="30">
      <c r="A129" s="261">
        <v>99</v>
      </c>
      <c r="B129" s="261" t="s">
        <v>4643</v>
      </c>
      <c r="C129" s="261" t="s">
        <v>3240</v>
      </c>
      <c r="D129" s="265" t="s">
        <v>16349</v>
      </c>
      <c r="E129" s="261" t="s">
        <v>207</v>
      </c>
    </row>
    <row r="130" spans="1:5" ht="30">
      <c r="A130" s="261">
        <v>100</v>
      </c>
      <c r="B130" s="261" t="s">
        <v>4644</v>
      </c>
      <c r="C130" s="261" t="s">
        <v>3240</v>
      </c>
      <c r="D130" s="265" t="s">
        <v>18780</v>
      </c>
      <c r="E130" s="261" t="s">
        <v>207</v>
      </c>
    </row>
    <row r="131" spans="1:5" ht="30">
      <c r="A131" s="261">
        <v>75</v>
      </c>
      <c r="B131" s="261" t="s">
        <v>4645</v>
      </c>
      <c r="C131" s="261" t="s">
        <v>3240</v>
      </c>
      <c r="D131" s="265" t="s">
        <v>18781</v>
      </c>
      <c r="E131" s="261" t="s">
        <v>207</v>
      </c>
    </row>
    <row r="132" spans="1:5" ht="30">
      <c r="A132" s="261">
        <v>114</v>
      </c>
      <c r="B132" s="261" t="s">
        <v>4646</v>
      </c>
      <c r="C132" s="261" t="s">
        <v>3240</v>
      </c>
      <c r="D132" s="265" t="s">
        <v>10470</v>
      </c>
      <c r="E132" s="261" t="s">
        <v>207</v>
      </c>
    </row>
    <row r="133" spans="1:5" ht="15">
      <c r="A133" s="261">
        <v>68</v>
      </c>
      <c r="B133" s="261" t="s">
        <v>4647</v>
      </c>
      <c r="C133" s="261" t="s">
        <v>3240</v>
      </c>
      <c r="D133" s="265" t="s">
        <v>10612</v>
      </c>
      <c r="E133" s="261" t="s">
        <v>207</v>
      </c>
    </row>
    <row r="134" spans="1:5" ht="30">
      <c r="A134" s="261">
        <v>86</v>
      </c>
      <c r="B134" s="261" t="s">
        <v>4648</v>
      </c>
      <c r="C134" s="261" t="s">
        <v>3240</v>
      </c>
      <c r="D134" s="265" t="s">
        <v>18782</v>
      </c>
      <c r="E134" s="261" t="s">
        <v>207</v>
      </c>
    </row>
    <row r="135" spans="1:5" ht="30">
      <c r="A135" s="261">
        <v>66</v>
      </c>
      <c r="B135" s="261" t="s">
        <v>4649</v>
      </c>
      <c r="C135" s="261" t="s">
        <v>3240</v>
      </c>
      <c r="D135" s="265" t="s">
        <v>18783</v>
      </c>
      <c r="E135" s="261" t="s">
        <v>207</v>
      </c>
    </row>
    <row r="136" spans="1:5" ht="15">
      <c r="A136" s="261">
        <v>69</v>
      </c>
      <c r="B136" s="261" t="s">
        <v>4650</v>
      </c>
      <c r="C136" s="261" t="s">
        <v>3240</v>
      </c>
      <c r="D136" s="265" t="s">
        <v>18784</v>
      </c>
      <c r="E136" s="261" t="s">
        <v>207</v>
      </c>
    </row>
    <row r="137" spans="1:5" ht="30">
      <c r="A137" s="261">
        <v>83</v>
      </c>
      <c r="B137" s="261" t="s">
        <v>4651</v>
      </c>
      <c r="C137" s="261" t="s">
        <v>3240</v>
      </c>
      <c r="D137" s="265" t="s">
        <v>18785</v>
      </c>
      <c r="E137" s="261" t="s">
        <v>207</v>
      </c>
    </row>
    <row r="138" spans="1:5" ht="15">
      <c r="A138" s="261">
        <v>74</v>
      </c>
      <c r="B138" s="261" t="s">
        <v>4652</v>
      </c>
      <c r="C138" s="261" t="s">
        <v>3240</v>
      </c>
      <c r="D138" s="265" t="s">
        <v>18786</v>
      </c>
      <c r="E138" s="261" t="s">
        <v>207</v>
      </c>
    </row>
    <row r="139" spans="1:5" ht="30">
      <c r="A139" s="261">
        <v>106</v>
      </c>
      <c r="B139" s="261" t="s">
        <v>4653</v>
      </c>
      <c r="C139" s="261" t="s">
        <v>3240</v>
      </c>
      <c r="D139" s="265" t="s">
        <v>18787</v>
      </c>
      <c r="E139" s="261" t="s">
        <v>207</v>
      </c>
    </row>
    <row r="140" spans="1:5" ht="30">
      <c r="A140" s="261">
        <v>87</v>
      </c>
      <c r="B140" s="261" t="s">
        <v>4654</v>
      </c>
      <c r="C140" s="261" t="s">
        <v>3240</v>
      </c>
      <c r="D140" s="265" t="s">
        <v>18788</v>
      </c>
      <c r="E140" s="261" t="s">
        <v>207</v>
      </c>
    </row>
    <row r="141" spans="1:5" ht="30">
      <c r="A141" s="261">
        <v>88</v>
      </c>
      <c r="B141" s="261" t="s">
        <v>4655</v>
      </c>
      <c r="C141" s="261" t="s">
        <v>3240</v>
      </c>
      <c r="D141" s="265" t="s">
        <v>18789</v>
      </c>
      <c r="E141" s="261" t="s">
        <v>207</v>
      </c>
    </row>
    <row r="142" spans="1:5" ht="30">
      <c r="A142" s="261">
        <v>89</v>
      </c>
      <c r="B142" s="261" t="s">
        <v>4656</v>
      </c>
      <c r="C142" s="261" t="s">
        <v>3240</v>
      </c>
      <c r="D142" s="265" t="s">
        <v>18790</v>
      </c>
      <c r="E142" s="261" t="s">
        <v>207</v>
      </c>
    </row>
    <row r="143" spans="1:5" ht="30">
      <c r="A143" s="261">
        <v>90</v>
      </c>
      <c r="B143" s="261" t="s">
        <v>4657</v>
      </c>
      <c r="C143" s="261" t="s">
        <v>3240</v>
      </c>
      <c r="D143" s="265" t="s">
        <v>18791</v>
      </c>
      <c r="E143" s="261" t="s">
        <v>207</v>
      </c>
    </row>
    <row r="144" spans="1:5" ht="30">
      <c r="A144" s="261">
        <v>81</v>
      </c>
      <c r="B144" s="261" t="s">
        <v>4658</v>
      </c>
      <c r="C144" s="261" t="s">
        <v>3240</v>
      </c>
      <c r="D144" s="265" t="s">
        <v>18792</v>
      </c>
      <c r="E144" s="261" t="s">
        <v>207</v>
      </c>
    </row>
    <row r="145" spans="1:5" ht="30">
      <c r="A145" s="261">
        <v>82</v>
      </c>
      <c r="B145" s="261" t="s">
        <v>4659</v>
      </c>
      <c r="C145" s="261" t="s">
        <v>3240</v>
      </c>
      <c r="D145" s="265" t="s">
        <v>18793</v>
      </c>
      <c r="E145" s="261" t="s">
        <v>207</v>
      </c>
    </row>
    <row r="146" spans="1:5" ht="30">
      <c r="A146" s="261">
        <v>105</v>
      </c>
      <c r="B146" s="261" t="s">
        <v>4660</v>
      </c>
      <c r="C146" s="261" t="s">
        <v>3240</v>
      </c>
      <c r="D146" s="265" t="s">
        <v>18794</v>
      </c>
      <c r="E146" s="261" t="s">
        <v>207</v>
      </c>
    </row>
    <row r="147" spans="1:5" ht="30">
      <c r="A147" s="261">
        <v>60</v>
      </c>
      <c r="B147" s="261" t="s">
        <v>4661</v>
      </c>
      <c r="C147" s="261" t="s">
        <v>3240</v>
      </c>
      <c r="D147" s="265" t="s">
        <v>18795</v>
      </c>
      <c r="E147" s="261" t="s">
        <v>207</v>
      </c>
    </row>
    <row r="148" spans="1:5" ht="30">
      <c r="A148" s="261">
        <v>72</v>
      </c>
      <c r="B148" s="261" t="s">
        <v>4662</v>
      </c>
      <c r="C148" s="261" t="s">
        <v>3240</v>
      </c>
      <c r="D148" s="265" t="s">
        <v>18796</v>
      </c>
      <c r="E148" s="261" t="s">
        <v>207</v>
      </c>
    </row>
    <row r="149" spans="1:5" ht="30">
      <c r="A149" s="261">
        <v>70</v>
      </c>
      <c r="B149" s="261" t="s">
        <v>4663</v>
      </c>
      <c r="C149" s="261" t="s">
        <v>3240</v>
      </c>
      <c r="D149" s="265" t="s">
        <v>18797</v>
      </c>
      <c r="E149" s="261" t="s">
        <v>207</v>
      </c>
    </row>
    <row r="150" spans="1:5" ht="30">
      <c r="A150" s="261">
        <v>85</v>
      </c>
      <c r="B150" s="261" t="s">
        <v>4664</v>
      </c>
      <c r="C150" s="261" t="s">
        <v>3240</v>
      </c>
      <c r="D150" s="265" t="s">
        <v>18798</v>
      </c>
      <c r="E150" s="261" t="s">
        <v>207</v>
      </c>
    </row>
    <row r="151" spans="1:5" ht="15">
      <c r="A151" s="261">
        <v>84</v>
      </c>
      <c r="B151" s="261" t="s">
        <v>4665</v>
      </c>
      <c r="C151" s="261" t="s">
        <v>3240</v>
      </c>
      <c r="D151" s="265" t="s">
        <v>9891</v>
      </c>
      <c r="E151" s="261" t="s">
        <v>207</v>
      </c>
    </row>
    <row r="152" spans="1:5" ht="15">
      <c r="A152" s="261">
        <v>37997</v>
      </c>
      <c r="B152" s="261" t="s">
        <v>4666</v>
      </c>
      <c r="C152" s="261" t="s">
        <v>3240</v>
      </c>
      <c r="D152" s="265" t="s">
        <v>10627</v>
      </c>
      <c r="E152" s="261" t="s">
        <v>207</v>
      </c>
    </row>
    <row r="153" spans="1:5" ht="15">
      <c r="A153" s="261">
        <v>37998</v>
      </c>
      <c r="B153" s="261" t="s">
        <v>4667</v>
      </c>
      <c r="C153" s="261" t="s">
        <v>3240</v>
      </c>
      <c r="D153" s="265" t="s">
        <v>9749</v>
      </c>
      <c r="E153" s="261" t="s">
        <v>207</v>
      </c>
    </row>
    <row r="154" spans="1:5" ht="30">
      <c r="A154" s="261">
        <v>10899</v>
      </c>
      <c r="B154" s="261" t="s">
        <v>4668</v>
      </c>
      <c r="C154" s="261" t="s">
        <v>3240</v>
      </c>
      <c r="D154" s="265" t="s">
        <v>18799</v>
      </c>
      <c r="E154" s="261" t="s">
        <v>207</v>
      </c>
    </row>
    <row r="155" spans="1:5" ht="30">
      <c r="A155" s="261">
        <v>10900</v>
      </c>
      <c r="B155" s="261" t="s">
        <v>4669</v>
      </c>
      <c r="C155" s="261" t="s">
        <v>3240</v>
      </c>
      <c r="D155" s="265" t="s">
        <v>18800</v>
      </c>
      <c r="E155" s="261" t="s">
        <v>207</v>
      </c>
    </row>
    <row r="156" spans="1:5" ht="15">
      <c r="A156" s="261">
        <v>46</v>
      </c>
      <c r="B156" s="261" t="s">
        <v>4670</v>
      </c>
      <c r="C156" s="261" t="s">
        <v>3240</v>
      </c>
      <c r="D156" s="265" t="s">
        <v>18801</v>
      </c>
      <c r="E156" s="261" t="s">
        <v>207</v>
      </c>
    </row>
    <row r="157" spans="1:5" ht="15">
      <c r="A157" s="261">
        <v>51</v>
      </c>
      <c r="B157" s="261" t="s">
        <v>4671</v>
      </c>
      <c r="C157" s="261" t="s">
        <v>3240</v>
      </c>
      <c r="D157" s="265" t="s">
        <v>18802</v>
      </c>
      <c r="E157" s="261" t="s">
        <v>207</v>
      </c>
    </row>
    <row r="158" spans="1:5" ht="15">
      <c r="A158" s="261">
        <v>12863</v>
      </c>
      <c r="B158" s="261" t="s">
        <v>4672</v>
      </c>
      <c r="C158" s="261" t="s">
        <v>3240</v>
      </c>
      <c r="D158" s="265" t="s">
        <v>15850</v>
      </c>
      <c r="E158" s="261" t="s">
        <v>207</v>
      </c>
    </row>
    <row r="159" spans="1:5" ht="15">
      <c r="A159" s="261">
        <v>50</v>
      </c>
      <c r="B159" s="261" t="s">
        <v>4673</v>
      </c>
      <c r="C159" s="261" t="s">
        <v>3240</v>
      </c>
      <c r="D159" s="265" t="s">
        <v>18803</v>
      </c>
      <c r="E159" s="261" t="s">
        <v>207</v>
      </c>
    </row>
    <row r="160" spans="1:5" ht="15">
      <c r="A160" s="261">
        <v>47</v>
      </c>
      <c r="B160" s="261" t="s">
        <v>4674</v>
      </c>
      <c r="C160" s="261" t="s">
        <v>3240</v>
      </c>
      <c r="D160" s="265" t="s">
        <v>18804</v>
      </c>
      <c r="E160" s="261" t="s">
        <v>207</v>
      </c>
    </row>
    <row r="161" spans="1:5" ht="15">
      <c r="A161" s="261">
        <v>48</v>
      </c>
      <c r="B161" s="261" t="s">
        <v>4675</v>
      </c>
      <c r="C161" s="261" t="s">
        <v>3240</v>
      </c>
      <c r="D161" s="265" t="s">
        <v>10453</v>
      </c>
      <c r="E161" s="261" t="s">
        <v>207</v>
      </c>
    </row>
    <row r="162" spans="1:5" ht="15">
      <c r="A162" s="261">
        <v>52</v>
      </c>
      <c r="B162" s="261" t="s">
        <v>4676</v>
      </c>
      <c r="C162" s="261" t="s">
        <v>3240</v>
      </c>
      <c r="D162" s="265" t="s">
        <v>11312</v>
      </c>
      <c r="E162" s="261" t="s">
        <v>207</v>
      </c>
    </row>
    <row r="163" spans="1:5" ht="15">
      <c r="A163" s="261">
        <v>43</v>
      </c>
      <c r="B163" s="261" t="s">
        <v>4677</v>
      </c>
      <c r="C163" s="261" t="s">
        <v>3240</v>
      </c>
      <c r="D163" s="265" t="s">
        <v>18805</v>
      </c>
      <c r="E163" s="261" t="s">
        <v>207</v>
      </c>
    </row>
    <row r="164" spans="1:5" ht="15">
      <c r="A164" s="261">
        <v>4791</v>
      </c>
      <c r="B164" s="261" t="s">
        <v>4678</v>
      </c>
      <c r="C164" s="261" t="s">
        <v>3244</v>
      </c>
      <c r="D164" s="265" t="s">
        <v>18806</v>
      </c>
      <c r="E164" s="261" t="s">
        <v>207</v>
      </c>
    </row>
    <row r="165" spans="1:5" ht="30">
      <c r="A165" s="261">
        <v>157</v>
      </c>
      <c r="B165" s="261" t="s">
        <v>4679</v>
      </c>
      <c r="C165" s="261" t="s">
        <v>3244</v>
      </c>
      <c r="D165" s="265" t="s">
        <v>18807</v>
      </c>
      <c r="E165" s="261" t="s">
        <v>207</v>
      </c>
    </row>
    <row r="166" spans="1:5" ht="15">
      <c r="A166" s="261">
        <v>156</v>
      </c>
      <c r="B166" s="261" t="s">
        <v>4680</v>
      </c>
      <c r="C166" s="261" t="s">
        <v>3244</v>
      </c>
      <c r="D166" s="265" t="s">
        <v>18808</v>
      </c>
      <c r="E166" s="261" t="s">
        <v>207</v>
      </c>
    </row>
    <row r="167" spans="1:5" ht="30">
      <c r="A167" s="261">
        <v>131</v>
      </c>
      <c r="B167" s="261" t="s">
        <v>4681</v>
      </c>
      <c r="C167" s="261" t="s">
        <v>3244</v>
      </c>
      <c r="D167" s="265" t="s">
        <v>14146</v>
      </c>
      <c r="E167" s="261" t="s">
        <v>207</v>
      </c>
    </row>
    <row r="168" spans="1:5" ht="30">
      <c r="A168" s="261">
        <v>39719</v>
      </c>
      <c r="B168" s="261" t="s">
        <v>4682</v>
      </c>
      <c r="C168" s="261" t="s">
        <v>3245</v>
      </c>
      <c r="D168" s="265" t="s">
        <v>18809</v>
      </c>
      <c r="E168" s="261" t="s">
        <v>207</v>
      </c>
    </row>
    <row r="169" spans="1:5" ht="15">
      <c r="A169" s="261">
        <v>21114</v>
      </c>
      <c r="B169" s="261" t="s">
        <v>4683</v>
      </c>
      <c r="C169" s="261" t="s">
        <v>3240</v>
      </c>
      <c r="D169" s="265" t="s">
        <v>10613</v>
      </c>
      <c r="E169" s="261" t="s">
        <v>207</v>
      </c>
    </row>
    <row r="170" spans="1:5" ht="15">
      <c r="A170" s="261">
        <v>119</v>
      </c>
      <c r="B170" s="261" t="s">
        <v>4684</v>
      </c>
      <c r="C170" s="261" t="s">
        <v>3240</v>
      </c>
      <c r="D170" s="265" t="s">
        <v>11213</v>
      </c>
      <c r="E170" s="261" t="s">
        <v>207</v>
      </c>
    </row>
    <row r="171" spans="1:5" ht="15">
      <c r="A171" s="261">
        <v>20080</v>
      </c>
      <c r="B171" s="261" t="s">
        <v>4685</v>
      </c>
      <c r="C171" s="261" t="s">
        <v>3240</v>
      </c>
      <c r="D171" s="265" t="s">
        <v>18810</v>
      </c>
      <c r="E171" s="261" t="s">
        <v>207</v>
      </c>
    </row>
    <row r="172" spans="1:5" ht="15">
      <c r="A172" s="261">
        <v>122</v>
      </c>
      <c r="B172" s="261" t="s">
        <v>4686</v>
      </c>
      <c r="C172" s="261" t="s">
        <v>3240</v>
      </c>
      <c r="D172" s="265" t="s">
        <v>16584</v>
      </c>
      <c r="E172" s="261" t="s">
        <v>207</v>
      </c>
    </row>
    <row r="173" spans="1:5" ht="15">
      <c r="A173" s="261">
        <v>3410</v>
      </c>
      <c r="B173" s="261" t="s">
        <v>4687</v>
      </c>
      <c r="C173" s="261" t="s">
        <v>3244</v>
      </c>
      <c r="D173" s="265" t="s">
        <v>18811</v>
      </c>
      <c r="E173" s="261" t="s">
        <v>207</v>
      </c>
    </row>
    <row r="174" spans="1:5" ht="30">
      <c r="A174" s="261">
        <v>124</v>
      </c>
      <c r="B174" s="261" t="s">
        <v>9460</v>
      </c>
      <c r="C174" s="261" t="s">
        <v>3245</v>
      </c>
      <c r="D174" s="266" t="s">
        <v>12213</v>
      </c>
      <c r="E174" s="261" t="s">
        <v>207</v>
      </c>
    </row>
    <row r="175" spans="1:5" ht="15">
      <c r="A175" s="261">
        <v>7334</v>
      </c>
      <c r="B175" s="261" t="s">
        <v>4688</v>
      </c>
      <c r="C175" s="261" t="s">
        <v>3245</v>
      </c>
      <c r="D175" s="266" t="s">
        <v>18812</v>
      </c>
      <c r="E175" s="261" t="s">
        <v>207</v>
      </c>
    </row>
    <row r="176" spans="1:5" ht="30">
      <c r="A176" s="261">
        <v>123</v>
      </c>
      <c r="B176" s="261" t="s">
        <v>9461</v>
      </c>
      <c r="C176" s="261" t="s">
        <v>3245</v>
      </c>
      <c r="D176" s="266" t="s">
        <v>11412</v>
      </c>
      <c r="E176" s="261" t="s">
        <v>207</v>
      </c>
    </row>
    <row r="177" spans="1:5" ht="30">
      <c r="A177" s="261">
        <v>127</v>
      </c>
      <c r="B177" s="261" t="s">
        <v>9462</v>
      </c>
      <c r="C177" s="261" t="s">
        <v>3245</v>
      </c>
      <c r="D177" s="266" t="s">
        <v>11315</v>
      </c>
      <c r="E177" s="261" t="s">
        <v>207</v>
      </c>
    </row>
    <row r="178" spans="1:5" ht="15">
      <c r="A178" s="261">
        <v>41373</v>
      </c>
      <c r="B178" s="261" t="s">
        <v>9463</v>
      </c>
      <c r="C178" s="261" t="s">
        <v>3245</v>
      </c>
      <c r="D178" s="266" t="s">
        <v>14196</v>
      </c>
      <c r="E178" s="261" t="s">
        <v>207</v>
      </c>
    </row>
    <row r="179" spans="1:5" ht="30">
      <c r="A179" s="261">
        <v>133</v>
      </c>
      <c r="B179" s="261" t="s">
        <v>9464</v>
      </c>
      <c r="C179" s="261" t="s">
        <v>3245</v>
      </c>
      <c r="D179" s="265" t="s">
        <v>10152</v>
      </c>
      <c r="E179" s="261" t="s">
        <v>207</v>
      </c>
    </row>
    <row r="180" spans="1:5" ht="30">
      <c r="A180" s="261">
        <v>43617</v>
      </c>
      <c r="B180" s="261" t="s">
        <v>9465</v>
      </c>
      <c r="C180" s="261" t="s">
        <v>3245</v>
      </c>
      <c r="D180" s="265" t="s">
        <v>10291</v>
      </c>
      <c r="E180" s="261" t="s">
        <v>207</v>
      </c>
    </row>
    <row r="181" spans="1:5" ht="30">
      <c r="A181" s="261">
        <v>132</v>
      </c>
      <c r="B181" s="261" t="s">
        <v>9466</v>
      </c>
      <c r="C181" s="261" t="s">
        <v>3245</v>
      </c>
      <c r="D181" s="265" t="s">
        <v>10307</v>
      </c>
      <c r="E181" s="261" t="s">
        <v>207</v>
      </c>
    </row>
    <row r="182" spans="1:5" ht="30">
      <c r="A182" s="261">
        <v>43618</v>
      </c>
      <c r="B182" s="261" t="s">
        <v>9467</v>
      </c>
      <c r="C182" s="261" t="s">
        <v>3244</v>
      </c>
      <c r="D182" s="265" t="s">
        <v>18813</v>
      </c>
      <c r="E182" s="262" t="s">
        <v>207</v>
      </c>
    </row>
    <row r="183" spans="1:5" ht="45">
      <c r="A183" s="261">
        <v>37476</v>
      </c>
      <c r="B183" s="261" t="s">
        <v>18814</v>
      </c>
      <c r="C183" s="261" t="s">
        <v>3240</v>
      </c>
      <c r="D183" s="265" t="s">
        <v>18815</v>
      </c>
      <c r="E183" s="262" t="s">
        <v>207</v>
      </c>
    </row>
    <row r="184" spans="1:5" ht="45">
      <c r="A184" s="261">
        <v>37478</v>
      </c>
      <c r="B184" s="261" t="s">
        <v>18816</v>
      </c>
      <c r="C184" s="261" t="s">
        <v>3240</v>
      </c>
      <c r="D184" s="265" t="s">
        <v>18817</v>
      </c>
      <c r="E184" s="262" t="s">
        <v>207</v>
      </c>
    </row>
    <row r="185" spans="1:5" ht="45">
      <c r="A185" s="261">
        <v>37477</v>
      </c>
      <c r="B185" s="261" t="s">
        <v>18818</v>
      </c>
      <c r="C185" s="261" t="s">
        <v>3240</v>
      </c>
      <c r="D185" s="265" t="s">
        <v>18819</v>
      </c>
      <c r="E185" s="262" t="s">
        <v>207</v>
      </c>
    </row>
    <row r="186" spans="1:5" ht="45">
      <c r="A186" s="261">
        <v>37479</v>
      </c>
      <c r="B186" s="261" t="s">
        <v>18820</v>
      </c>
      <c r="C186" s="261" t="s">
        <v>3240</v>
      </c>
      <c r="D186" s="265" t="s">
        <v>18821</v>
      </c>
      <c r="E186" s="262" t="s">
        <v>207</v>
      </c>
    </row>
    <row r="187" spans="1:5" ht="15">
      <c r="A187" s="261">
        <v>4319</v>
      </c>
      <c r="B187" s="261" t="s">
        <v>4689</v>
      </c>
      <c r="C187" s="261" t="s">
        <v>3240</v>
      </c>
      <c r="D187" s="265" t="s">
        <v>11087</v>
      </c>
      <c r="E187" s="262" t="s">
        <v>207</v>
      </c>
    </row>
    <row r="188" spans="1:5" ht="30">
      <c r="A188" s="261">
        <v>42409</v>
      </c>
      <c r="B188" s="261" t="s">
        <v>9468</v>
      </c>
      <c r="C188" s="261" t="s">
        <v>3244</v>
      </c>
      <c r="D188" s="265" t="s">
        <v>18822</v>
      </c>
      <c r="E188" s="262" t="s">
        <v>207</v>
      </c>
    </row>
    <row r="189" spans="1:5" ht="15">
      <c r="A189" s="261">
        <v>40553</v>
      </c>
      <c r="B189" s="261" t="s">
        <v>4690</v>
      </c>
      <c r="C189" s="261" t="s">
        <v>3241</v>
      </c>
      <c r="D189" s="265" t="s">
        <v>18823</v>
      </c>
      <c r="E189" s="262" t="s">
        <v>207</v>
      </c>
    </row>
    <row r="190" spans="1:5" ht="15">
      <c r="A190" s="261">
        <v>6114</v>
      </c>
      <c r="B190" s="261" t="s">
        <v>4691</v>
      </c>
      <c r="C190" s="261" t="s">
        <v>3239</v>
      </c>
      <c r="D190" s="265" t="s">
        <v>10622</v>
      </c>
      <c r="E190" s="262" t="s">
        <v>9714</v>
      </c>
    </row>
    <row r="191" spans="1:5" ht="15">
      <c r="A191" s="261">
        <v>40912</v>
      </c>
      <c r="B191" s="261" t="s">
        <v>4692</v>
      </c>
      <c r="C191" s="261" t="s">
        <v>3246</v>
      </c>
      <c r="D191" s="265" t="s">
        <v>18824</v>
      </c>
      <c r="E191" s="262" t="s">
        <v>9714</v>
      </c>
    </row>
    <row r="192" spans="1:5" ht="15">
      <c r="A192" s="261">
        <v>247</v>
      </c>
      <c r="B192" s="261" t="s">
        <v>4693</v>
      </c>
      <c r="C192" s="261" t="s">
        <v>3239</v>
      </c>
      <c r="D192" s="265" t="s">
        <v>11085</v>
      </c>
      <c r="E192" s="262" t="s">
        <v>9714</v>
      </c>
    </row>
    <row r="193" spans="1:5" ht="15">
      <c r="A193" s="261">
        <v>40919</v>
      </c>
      <c r="B193" s="261" t="s">
        <v>4694</v>
      </c>
      <c r="C193" s="261" t="s">
        <v>3246</v>
      </c>
      <c r="D193" s="265" t="s">
        <v>18825</v>
      </c>
      <c r="E193" s="262" t="s">
        <v>9714</v>
      </c>
    </row>
    <row r="194" spans="1:5" ht="15">
      <c r="A194" s="261">
        <v>25958</v>
      </c>
      <c r="B194" s="261" t="s">
        <v>4695</v>
      </c>
      <c r="C194" s="261" t="s">
        <v>3239</v>
      </c>
      <c r="D194" s="266" t="s">
        <v>15942</v>
      </c>
      <c r="E194" s="262" t="s">
        <v>9714</v>
      </c>
    </row>
    <row r="195" spans="1:5" ht="15">
      <c r="A195" s="261">
        <v>40984</v>
      </c>
      <c r="B195" s="261" t="s">
        <v>4696</v>
      </c>
      <c r="C195" s="261" t="s">
        <v>3246</v>
      </c>
      <c r="D195" s="265" t="s">
        <v>18826</v>
      </c>
      <c r="E195" s="262" t="s">
        <v>9714</v>
      </c>
    </row>
    <row r="196" spans="1:5" ht="15">
      <c r="A196" s="261">
        <v>248</v>
      </c>
      <c r="B196" s="261" t="s">
        <v>4697</v>
      </c>
      <c r="C196" s="261" t="s">
        <v>3239</v>
      </c>
      <c r="D196" s="265" t="s">
        <v>12139</v>
      </c>
      <c r="E196" s="262" t="s">
        <v>9714</v>
      </c>
    </row>
    <row r="197" spans="1:5" ht="15">
      <c r="A197" s="261">
        <v>41086</v>
      </c>
      <c r="B197" s="261" t="s">
        <v>4698</v>
      </c>
      <c r="C197" s="261" t="s">
        <v>3246</v>
      </c>
      <c r="D197" s="265" t="s">
        <v>18827</v>
      </c>
      <c r="E197" s="262" t="s">
        <v>9714</v>
      </c>
    </row>
    <row r="198" spans="1:5" ht="15">
      <c r="A198" s="261">
        <v>34466</v>
      </c>
      <c r="B198" s="261" t="s">
        <v>4699</v>
      </c>
      <c r="C198" s="261" t="s">
        <v>3239</v>
      </c>
      <c r="D198" s="265" t="s">
        <v>12139</v>
      </c>
      <c r="E198" s="262" t="s">
        <v>9714</v>
      </c>
    </row>
    <row r="199" spans="1:5" ht="15">
      <c r="A199" s="261">
        <v>41083</v>
      </c>
      <c r="B199" s="261" t="s">
        <v>4700</v>
      </c>
      <c r="C199" s="261" t="s">
        <v>3246</v>
      </c>
      <c r="D199" s="265" t="s">
        <v>18827</v>
      </c>
      <c r="E199" s="262" t="s">
        <v>9714</v>
      </c>
    </row>
    <row r="200" spans="1:5" ht="15">
      <c r="A200" s="261">
        <v>252</v>
      </c>
      <c r="B200" s="261" t="s">
        <v>4701</v>
      </c>
      <c r="C200" s="261" t="s">
        <v>3239</v>
      </c>
      <c r="D200" s="265" t="s">
        <v>16287</v>
      </c>
      <c r="E200" s="262" t="s">
        <v>9714</v>
      </c>
    </row>
    <row r="201" spans="1:5" ht="15">
      <c r="A201" s="261">
        <v>40909</v>
      </c>
      <c r="B201" s="261" t="s">
        <v>4702</v>
      </c>
      <c r="C201" s="261" t="s">
        <v>3246</v>
      </c>
      <c r="D201" s="265" t="s">
        <v>18828</v>
      </c>
      <c r="E201" s="262" t="s">
        <v>9714</v>
      </c>
    </row>
    <row r="202" spans="1:5" ht="15">
      <c r="A202" s="261">
        <v>242</v>
      </c>
      <c r="B202" s="261" t="s">
        <v>4703</v>
      </c>
      <c r="C202" s="261" t="s">
        <v>3239</v>
      </c>
      <c r="D202" s="265" t="s">
        <v>15939</v>
      </c>
      <c r="E202" s="262" t="s">
        <v>9714</v>
      </c>
    </row>
    <row r="203" spans="1:5" ht="15">
      <c r="A203" s="261">
        <v>41085</v>
      </c>
      <c r="B203" s="261" t="s">
        <v>4704</v>
      </c>
      <c r="C203" s="261" t="s">
        <v>3246</v>
      </c>
      <c r="D203" s="265" t="s">
        <v>18829</v>
      </c>
      <c r="E203" s="262" t="s">
        <v>9714</v>
      </c>
    </row>
    <row r="204" spans="1:5" ht="30">
      <c r="A204" s="261">
        <v>427</v>
      </c>
      <c r="B204" s="261" t="s">
        <v>4705</v>
      </c>
      <c r="C204" s="261" t="s">
        <v>3240</v>
      </c>
      <c r="D204" s="265" t="s">
        <v>15844</v>
      </c>
      <c r="E204" s="262" t="s">
        <v>207</v>
      </c>
    </row>
    <row r="205" spans="1:5" ht="30">
      <c r="A205" s="261">
        <v>417</v>
      </c>
      <c r="B205" s="261" t="s">
        <v>4706</v>
      </c>
      <c r="C205" s="261" t="s">
        <v>3240</v>
      </c>
      <c r="D205" s="265" t="s">
        <v>10034</v>
      </c>
      <c r="E205" s="262" t="s">
        <v>207</v>
      </c>
    </row>
    <row r="206" spans="1:5" ht="30">
      <c r="A206" s="261">
        <v>11273</v>
      </c>
      <c r="B206" s="261" t="s">
        <v>4707</v>
      </c>
      <c r="C206" s="261" t="s">
        <v>3240</v>
      </c>
      <c r="D206" s="265" t="s">
        <v>16530</v>
      </c>
      <c r="E206" s="262" t="s">
        <v>207</v>
      </c>
    </row>
    <row r="207" spans="1:5" ht="30">
      <c r="A207" s="261">
        <v>11272</v>
      </c>
      <c r="B207" s="261" t="s">
        <v>4708</v>
      </c>
      <c r="C207" s="261" t="s">
        <v>3240</v>
      </c>
      <c r="D207" s="265" t="s">
        <v>10048</v>
      </c>
      <c r="E207" s="262" t="s">
        <v>207</v>
      </c>
    </row>
    <row r="208" spans="1:5" ht="30">
      <c r="A208" s="261">
        <v>11275</v>
      </c>
      <c r="B208" s="261" t="s">
        <v>4709</v>
      </c>
      <c r="C208" s="261" t="s">
        <v>3240</v>
      </c>
      <c r="D208" s="265" t="s">
        <v>11366</v>
      </c>
      <c r="E208" s="262" t="s">
        <v>207</v>
      </c>
    </row>
    <row r="209" spans="1:5" ht="30">
      <c r="A209" s="261">
        <v>11274</v>
      </c>
      <c r="B209" s="261" t="s">
        <v>4710</v>
      </c>
      <c r="C209" s="261" t="s">
        <v>3240</v>
      </c>
      <c r="D209" s="265" t="s">
        <v>9967</v>
      </c>
      <c r="E209" s="262" t="s">
        <v>207</v>
      </c>
    </row>
    <row r="210" spans="1:5" ht="15">
      <c r="A210" s="261">
        <v>38470</v>
      </c>
      <c r="B210" s="261" t="s">
        <v>4711</v>
      </c>
      <c r="C210" s="261" t="s">
        <v>3240</v>
      </c>
      <c r="D210" s="265" t="s">
        <v>18830</v>
      </c>
      <c r="E210" s="262" t="s">
        <v>207</v>
      </c>
    </row>
    <row r="211" spans="1:5" ht="15">
      <c r="A211" s="261">
        <v>38547</v>
      </c>
      <c r="B211" s="261" t="s">
        <v>4712</v>
      </c>
      <c r="C211" s="261" t="s">
        <v>3240</v>
      </c>
      <c r="D211" s="265" t="s">
        <v>18831</v>
      </c>
      <c r="E211" s="262" t="s">
        <v>207</v>
      </c>
    </row>
    <row r="212" spans="1:5" ht="15">
      <c r="A212" s="261">
        <v>38469</v>
      </c>
      <c r="B212" s="261" t="s">
        <v>4713</v>
      </c>
      <c r="C212" s="261" t="s">
        <v>3240</v>
      </c>
      <c r="D212" s="265" t="s">
        <v>18832</v>
      </c>
      <c r="E212" s="262" t="s">
        <v>207</v>
      </c>
    </row>
    <row r="213" spans="1:5" ht="15">
      <c r="A213" s="261">
        <v>38467</v>
      </c>
      <c r="B213" s="261" t="s">
        <v>4714</v>
      </c>
      <c r="C213" s="261" t="s">
        <v>3240</v>
      </c>
      <c r="D213" s="265" t="s">
        <v>18833</v>
      </c>
      <c r="E213" s="262" t="s">
        <v>207</v>
      </c>
    </row>
    <row r="214" spans="1:5" ht="15">
      <c r="A214" s="261">
        <v>38468</v>
      </c>
      <c r="B214" s="261" t="s">
        <v>4715</v>
      </c>
      <c r="C214" s="261" t="s">
        <v>3240</v>
      </c>
      <c r="D214" s="265" t="s">
        <v>18834</v>
      </c>
      <c r="E214" s="262" t="s">
        <v>207</v>
      </c>
    </row>
    <row r="215" spans="1:5" ht="15">
      <c r="A215" s="261">
        <v>38471</v>
      </c>
      <c r="B215" s="261" t="s">
        <v>4716</v>
      </c>
      <c r="C215" s="261" t="s">
        <v>3240</v>
      </c>
      <c r="D215" s="265" t="s">
        <v>15845</v>
      </c>
      <c r="E215" s="262" t="s">
        <v>207</v>
      </c>
    </row>
    <row r="216" spans="1:5" ht="15">
      <c r="A216" s="261">
        <v>37370</v>
      </c>
      <c r="B216" s="261" t="s">
        <v>4717</v>
      </c>
      <c r="C216" s="261" t="s">
        <v>3239</v>
      </c>
      <c r="D216" s="265" t="s">
        <v>9951</v>
      </c>
      <c r="E216" s="262" t="s">
        <v>9714</v>
      </c>
    </row>
    <row r="217" spans="1:5" ht="15">
      <c r="A217" s="261">
        <v>40862</v>
      </c>
      <c r="B217" s="261" t="s">
        <v>4718</v>
      </c>
      <c r="C217" s="261" t="s">
        <v>3246</v>
      </c>
      <c r="D217" s="265" t="s">
        <v>12142</v>
      </c>
      <c r="E217" s="262" t="s">
        <v>9714</v>
      </c>
    </row>
    <row r="218" spans="1:5" ht="30">
      <c r="A218" s="261">
        <v>10658</v>
      </c>
      <c r="B218" s="261" t="s">
        <v>4719</v>
      </c>
      <c r="C218" s="261" t="s">
        <v>3240</v>
      </c>
      <c r="D218" s="265" t="s">
        <v>18835</v>
      </c>
      <c r="E218" s="262" t="s">
        <v>8987</v>
      </c>
    </row>
    <row r="219" spans="1:5" ht="15">
      <c r="A219" s="261">
        <v>253</v>
      </c>
      <c r="B219" s="261" t="s">
        <v>4720</v>
      </c>
      <c r="C219" s="261" t="s">
        <v>3239</v>
      </c>
      <c r="D219" s="265" t="s">
        <v>11337</v>
      </c>
      <c r="E219" s="262" t="s">
        <v>9714</v>
      </c>
    </row>
    <row r="220" spans="1:5" ht="15">
      <c r="A220" s="261">
        <v>40809</v>
      </c>
      <c r="B220" s="261" t="s">
        <v>4721</v>
      </c>
      <c r="C220" s="261" t="s">
        <v>3246</v>
      </c>
      <c r="D220" s="265" t="s">
        <v>12143</v>
      </c>
      <c r="E220" s="262" t="s">
        <v>9714</v>
      </c>
    </row>
    <row r="221" spans="1:5" ht="45">
      <c r="A221" s="261">
        <v>42428</v>
      </c>
      <c r="B221" s="261" t="s">
        <v>4722</v>
      </c>
      <c r="C221" s="261" t="s">
        <v>3240</v>
      </c>
      <c r="D221" s="265" t="s">
        <v>18836</v>
      </c>
      <c r="E221" s="262" t="s">
        <v>207</v>
      </c>
    </row>
    <row r="222" spans="1:5" ht="15">
      <c r="A222" s="261">
        <v>583</v>
      </c>
      <c r="B222" s="261" t="s">
        <v>4723</v>
      </c>
      <c r="C222" s="261" t="s">
        <v>3244</v>
      </c>
      <c r="D222" s="265" t="s">
        <v>15918</v>
      </c>
      <c r="E222" s="262" t="s">
        <v>207</v>
      </c>
    </row>
    <row r="223" spans="1:5" ht="15">
      <c r="A223" s="261">
        <v>299</v>
      </c>
      <c r="B223" s="261" t="s">
        <v>4724</v>
      </c>
      <c r="C223" s="261" t="s">
        <v>3240</v>
      </c>
      <c r="D223" s="265" t="s">
        <v>9951</v>
      </c>
      <c r="E223" s="262" t="s">
        <v>207</v>
      </c>
    </row>
    <row r="224" spans="1:5" ht="15">
      <c r="A224" s="261">
        <v>298</v>
      </c>
      <c r="B224" s="261" t="s">
        <v>4725</v>
      </c>
      <c r="C224" s="261" t="s">
        <v>3240</v>
      </c>
      <c r="D224" s="265" t="s">
        <v>11340</v>
      </c>
      <c r="E224" s="262" t="s">
        <v>207</v>
      </c>
    </row>
    <row r="225" spans="1:5" ht="15">
      <c r="A225" s="261">
        <v>295</v>
      </c>
      <c r="B225" s="261" t="s">
        <v>4726</v>
      </c>
      <c r="C225" s="261" t="s">
        <v>3240</v>
      </c>
      <c r="D225" s="265" t="s">
        <v>12214</v>
      </c>
      <c r="E225" s="262" t="s">
        <v>207</v>
      </c>
    </row>
    <row r="226" spans="1:5" ht="15">
      <c r="A226" s="261">
        <v>296</v>
      </c>
      <c r="B226" s="261" t="s">
        <v>4727</v>
      </c>
      <c r="C226" s="261" t="s">
        <v>3240</v>
      </c>
      <c r="D226" s="265" t="s">
        <v>10022</v>
      </c>
      <c r="E226" s="262" t="s">
        <v>207</v>
      </c>
    </row>
    <row r="227" spans="1:5" ht="15">
      <c r="A227" s="261">
        <v>297</v>
      </c>
      <c r="B227" s="261" t="s">
        <v>4728</v>
      </c>
      <c r="C227" s="261" t="s">
        <v>3240</v>
      </c>
      <c r="D227" s="265" t="s">
        <v>18837</v>
      </c>
      <c r="E227" s="262" t="s">
        <v>207</v>
      </c>
    </row>
    <row r="228" spans="1:5" ht="15">
      <c r="A228" s="261">
        <v>301</v>
      </c>
      <c r="B228" s="261" t="s">
        <v>4729</v>
      </c>
      <c r="C228" s="261" t="s">
        <v>3240</v>
      </c>
      <c r="D228" s="265" t="s">
        <v>11402</v>
      </c>
      <c r="E228" s="262" t="s">
        <v>207</v>
      </c>
    </row>
    <row r="229" spans="1:5" ht="15">
      <c r="A229" s="261">
        <v>300</v>
      </c>
      <c r="B229" s="261" t="s">
        <v>4730</v>
      </c>
      <c r="C229" s="261" t="s">
        <v>3240</v>
      </c>
      <c r="D229" s="265" t="s">
        <v>11320</v>
      </c>
      <c r="E229" s="262" t="s">
        <v>207</v>
      </c>
    </row>
    <row r="230" spans="1:5" ht="15">
      <c r="A230" s="261">
        <v>20084</v>
      </c>
      <c r="B230" s="261" t="s">
        <v>4731</v>
      </c>
      <c r="C230" s="261" t="s">
        <v>3240</v>
      </c>
      <c r="D230" s="265" t="s">
        <v>12214</v>
      </c>
      <c r="E230" s="262" t="s">
        <v>207</v>
      </c>
    </row>
    <row r="231" spans="1:5" ht="15">
      <c r="A231" s="261">
        <v>20085</v>
      </c>
      <c r="B231" s="261" t="s">
        <v>4732</v>
      </c>
      <c r="C231" s="261" t="s">
        <v>3240</v>
      </c>
      <c r="D231" s="265" t="s">
        <v>11377</v>
      </c>
      <c r="E231" s="262" t="s">
        <v>207</v>
      </c>
    </row>
    <row r="232" spans="1:5" ht="15">
      <c r="A232" s="261">
        <v>311</v>
      </c>
      <c r="B232" s="261" t="s">
        <v>4733</v>
      </c>
      <c r="C232" s="261" t="s">
        <v>3240</v>
      </c>
      <c r="D232" s="265" t="s">
        <v>10590</v>
      </c>
      <c r="E232" s="262" t="s">
        <v>207</v>
      </c>
    </row>
    <row r="233" spans="1:5" ht="15">
      <c r="A233" s="261">
        <v>318</v>
      </c>
      <c r="B233" s="261" t="s">
        <v>4734</v>
      </c>
      <c r="C233" s="261" t="s">
        <v>3240</v>
      </c>
      <c r="D233" s="265" t="s">
        <v>9910</v>
      </c>
      <c r="E233" s="262" t="s">
        <v>207</v>
      </c>
    </row>
    <row r="234" spans="1:5" ht="15">
      <c r="A234" s="261">
        <v>319</v>
      </c>
      <c r="B234" s="261" t="s">
        <v>4735</v>
      </c>
      <c r="C234" s="261" t="s">
        <v>3240</v>
      </c>
      <c r="D234" s="265" t="s">
        <v>12224</v>
      </c>
      <c r="E234" s="262" t="s">
        <v>207</v>
      </c>
    </row>
    <row r="235" spans="1:5" ht="15">
      <c r="A235" s="261">
        <v>320</v>
      </c>
      <c r="B235" s="261" t="s">
        <v>4736</v>
      </c>
      <c r="C235" s="261" t="s">
        <v>3240</v>
      </c>
      <c r="D235" s="265" t="s">
        <v>18838</v>
      </c>
      <c r="E235" s="262" t="s">
        <v>207</v>
      </c>
    </row>
    <row r="236" spans="1:5" ht="15">
      <c r="A236" s="261">
        <v>314</v>
      </c>
      <c r="B236" s="261" t="s">
        <v>4737</v>
      </c>
      <c r="C236" s="261" t="s">
        <v>3240</v>
      </c>
      <c r="D236" s="265" t="s">
        <v>18839</v>
      </c>
      <c r="E236" s="262" t="s">
        <v>207</v>
      </c>
    </row>
    <row r="237" spans="1:5" ht="15">
      <c r="A237" s="261">
        <v>303</v>
      </c>
      <c r="B237" s="261" t="s">
        <v>4738</v>
      </c>
      <c r="C237" s="261" t="s">
        <v>3240</v>
      </c>
      <c r="D237" s="265" t="s">
        <v>10334</v>
      </c>
      <c r="E237" s="262" t="s">
        <v>207</v>
      </c>
    </row>
    <row r="238" spans="1:5" ht="15">
      <c r="A238" s="261">
        <v>305</v>
      </c>
      <c r="B238" s="261" t="s">
        <v>4739</v>
      </c>
      <c r="C238" s="261" t="s">
        <v>3240</v>
      </c>
      <c r="D238" s="265" t="s">
        <v>11474</v>
      </c>
      <c r="E238" s="262" t="s">
        <v>207</v>
      </c>
    </row>
    <row r="239" spans="1:5" ht="15">
      <c r="A239" s="261">
        <v>306</v>
      </c>
      <c r="B239" s="261" t="s">
        <v>4740</v>
      </c>
      <c r="C239" s="261" t="s">
        <v>3240</v>
      </c>
      <c r="D239" s="265" t="s">
        <v>11189</v>
      </c>
      <c r="E239" s="262" t="s">
        <v>207</v>
      </c>
    </row>
    <row r="240" spans="1:5" ht="15">
      <c r="A240" s="261">
        <v>307</v>
      </c>
      <c r="B240" s="261" t="s">
        <v>4741</v>
      </c>
      <c r="C240" s="261" t="s">
        <v>3240</v>
      </c>
      <c r="D240" s="265" t="s">
        <v>18840</v>
      </c>
      <c r="E240" s="262" t="s">
        <v>207</v>
      </c>
    </row>
    <row r="241" spans="1:5" ht="15">
      <c r="A241" s="261">
        <v>309</v>
      </c>
      <c r="B241" s="261" t="s">
        <v>4742</v>
      </c>
      <c r="C241" s="261" t="s">
        <v>3240</v>
      </c>
      <c r="D241" s="265" t="s">
        <v>18841</v>
      </c>
      <c r="E241" s="262" t="s">
        <v>207</v>
      </c>
    </row>
    <row r="242" spans="1:5" ht="15">
      <c r="A242" s="261">
        <v>310</v>
      </c>
      <c r="B242" s="261" t="s">
        <v>4743</v>
      </c>
      <c r="C242" s="261" t="s">
        <v>3240</v>
      </c>
      <c r="D242" s="265" t="s">
        <v>18842</v>
      </c>
      <c r="E242" s="262" t="s">
        <v>207</v>
      </c>
    </row>
    <row r="243" spans="1:5" ht="15">
      <c r="A243" s="261">
        <v>328</v>
      </c>
      <c r="B243" s="261" t="s">
        <v>4744</v>
      </c>
      <c r="C243" s="261" t="s">
        <v>3240</v>
      </c>
      <c r="D243" s="265" t="s">
        <v>16547</v>
      </c>
      <c r="E243" s="262" t="s">
        <v>207</v>
      </c>
    </row>
    <row r="244" spans="1:5" ht="15">
      <c r="A244" s="261">
        <v>325</v>
      </c>
      <c r="B244" s="261" t="s">
        <v>4745</v>
      </c>
      <c r="C244" s="261" t="s">
        <v>3240</v>
      </c>
      <c r="D244" s="265" t="s">
        <v>10034</v>
      </c>
      <c r="E244" s="262" t="s">
        <v>207</v>
      </c>
    </row>
    <row r="245" spans="1:5" ht="15">
      <c r="A245" s="261">
        <v>20326</v>
      </c>
      <c r="B245" s="261" t="s">
        <v>4746</v>
      </c>
      <c r="C245" s="261" t="s">
        <v>3240</v>
      </c>
      <c r="D245" s="265" t="s">
        <v>10477</v>
      </c>
      <c r="E245" s="262" t="s">
        <v>207</v>
      </c>
    </row>
    <row r="246" spans="1:5" ht="15">
      <c r="A246" s="261">
        <v>329</v>
      </c>
      <c r="B246" s="261" t="s">
        <v>4747</v>
      </c>
      <c r="C246" s="261" t="s">
        <v>3240</v>
      </c>
      <c r="D246" s="265" t="s">
        <v>12365</v>
      </c>
      <c r="E246" s="262" t="s">
        <v>207</v>
      </c>
    </row>
    <row r="247" spans="1:5" ht="15">
      <c r="A247" s="261">
        <v>308</v>
      </c>
      <c r="B247" s="261" t="s">
        <v>4748</v>
      </c>
      <c r="C247" s="261" t="s">
        <v>3240</v>
      </c>
      <c r="D247" s="265" t="s">
        <v>10588</v>
      </c>
      <c r="E247" s="262" t="s">
        <v>207</v>
      </c>
    </row>
    <row r="248" spans="1:5" ht="30">
      <c r="A248" s="261">
        <v>39642</v>
      </c>
      <c r="B248" s="261" t="s">
        <v>4749</v>
      </c>
      <c r="C248" s="261" t="s">
        <v>3240</v>
      </c>
      <c r="D248" s="265" t="s">
        <v>10084</v>
      </c>
      <c r="E248" s="262" t="s">
        <v>207</v>
      </c>
    </row>
    <row r="249" spans="1:5" ht="30">
      <c r="A249" s="261">
        <v>39641</v>
      </c>
      <c r="B249" s="261" t="s">
        <v>4750</v>
      </c>
      <c r="C249" s="261" t="s">
        <v>3240</v>
      </c>
      <c r="D249" s="265" t="s">
        <v>10933</v>
      </c>
      <c r="E249" s="262" t="s">
        <v>207</v>
      </c>
    </row>
    <row r="250" spans="1:5" ht="30">
      <c r="A250" s="261">
        <v>39643</v>
      </c>
      <c r="B250" s="261" t="s">
        <v>4751</v>
      </c>
      <c r="C250" s="261" t="s">
        <v>3240</v>
      </c>
      <c r="D250" s="265" t="s">
        <v>10048</v>
      </c>
      <c r="E250" s="262" t="s">
        <v>207</v>
      </c>
    </row>
    <row r="251" spans="1:5" ht="30">
      <c r="A251" s="261">
        <v>39644</v>
      </c>
      <c r="B251" s="261" t="s">
        <v>4752</v>
      </c>
      <c r="C251" s="261" t="s">
        <v>3240</v>
      </c>
      <c r="D251" s="265" t="s">
        <v>9760</v>
      </c>
      <c r="E251" s="262" t="s">
        <v>207</v>
      </c>
    </row>
    <row r="252" spans="1:5" ht="30">
      <c r="A252" s="261">
        <v>39645</v>
      </c>
      <c r="B252" s="261" t="s">
        <v>4753</v>
      </c>
      <c r="C252" s="261" t="s">
        <v>3240</v>
      </c>
      <c r="D252" s="265" t="s">
        <v>16478</v>
      </c>
      <c r="E252" s="262" t="s">
        <v>207</v>
      </c>
    </row>
    <row r="253" spans="1:5" ht="15">
      <c r="A253" s="261">
        <v>41610</v>
      </c>
      <c r="B253" s="261" t="s">
        <v>11615</v>
      </c>
      <c r="C253" s="261" t="s">
        <v>3240</v>
      </c>
      <c r="D253" s="265" t="s">
        <v>18843</v>
      </c>
      <c r="E253" s="262" t="s">
        <v>207</v>
      </c>
    </row>
    <row r="254" spans="1:5" ht="15">
      <c r="A254" s="261">
        <v>41611</v>
      </c>
      <c r="B254" s="261" t="s">
        <v>11616</v>
      </c>
      <c r="C254" s="261" t="s">
        <v>3240</v>
      </c>
      <c r="D254" s="265" t="s">
        <v>18844</v>
      </c>
      <c r="E254" s="262" t="s">
        <v>207</v>
      </c>
    </row>
    <row r="255" spans="1:5" ht="15">
      <c r="A255" s="261">
        <v>41612</v>
      </c>
      <c r="B255" s="261" t="s">
        <v>11617</v>
      </c>
      <c r="C255" s="261" t="s">
        <v>3240</v>
      </c>
      <c r="D255" s="265" t="s">
        <v>18845</v>
      </c>
      <c r="E255" s="262" t="s">
        <v>207</v>
      </c>
    </row>
    <row r="256" spans="1:5" ht="30">
      <c r="A256" s="261">
        <v>41637</v>
      </c>
      <c r="B256" s="261" t="s">
        <v>11618</v>
      </c>
      <c r="C256" s="261" t="s">
        <v>3240</v>
      </c>
      <c r="D256" s="265" t="s">
        <v>18846</v>
      </c>
      <c r="E256" s="262" t="s">
        <v>207</v>
      </c>
    </row>
    <row r="257" spans="1:5" ht="30">
      <c r="A257" s="261">
        <v>41638</v>
      </c>
      <c r="B257" s="261" t="s">
        <v>11619</v>
      </c>
      <c r="C257" s="261" t="s">
        <v>3240</v>
      </c>
      <c r="D257" s="266" t="s">
        <v>16016</v>
      </c>
      <c r="E257" s="262" t="s">
        <v>207</v>
      </c>
    </row>
    <row r="258" spans="1:5" ht="30">
      <c r="A258" s="261">
        <v>41639</v>
      </c>
      <c r="B258" s="261" t="s">
        <v>11620</v>
      </c>
      <c r="C258" s="261" t="s">
        <v>3240</v>
      </c>
      <c r="D258" s="265" t="s">
        <v>18847</v>
      </c>
      <c r="E258" s="262" t="s">
        <v>207</v>
      </c>
    </row>
    <row r="259" spans="1:5" ht="15">
      <c r="A259" s="261">
        <v>11789</v>
      </c>
      <c r="B259" s="261" t="s">
        <v>4754</v>
      </c>
      <c r="C259" s="261" t="s">
        <v>3240</v>
      </c>
      <c r="D259" s="265" t="s">
        <v>10909</v>
      </c>
      <c r="E259" s="262" t="s">
        <v>207</v>
      </c>
    </row>
    <row r="260" spans="1:5" ht="30">
      <c r="A260" s="261">
        <v>20975</v>
      </c>
      <c r="B260" s="261" t="s">
        <v>4755</v>
      </c>
      <c r="C260" s="261" t="s">
        <v>3240</v>
      </c>
      <c r="D260" s="265" t="s">
        <v>18848</v>
      </c>
      <c r="E260" s="262" t="s">
        <v>207</v>
      </c>
    </row>
    <row r="261" spans="1:5" ht="30">
      <c r="A261" s="261">
        <v>20976</v>
      </c>
      <c r="B261" s="261" t="s">
        <v>4756</v>
      </c>
      <c r="C261" s="261" t="s">
        <v>3240</v>
      </c>
      <c r="D261" s="266" t="s">
        <v>18849</v>
      </c>
      <c r="E261" s="262" t="s">
        <v>207</v>
      </c>
    </row>
    <row r="262" spans="1:5" ht="30">
      <c r="A262" s="261">
        <v>40340</v>
      </c>
      <c r="B262" s="261" t="s">
        <v>4757</v>
      </c>
      <c r="C262" s="261" t="s">
        <v>3240</v>
      </c>
      <c r="D262" s="266" t="s">
        <v>18850</v>
      </c>
      <c r="E262" s="262" t="s">
        <v>207</v>
      </c>
    </row>
    <row r="263" spans="1:5" ht="30">
      <c r="A263" s="261">
        <v>40341</v>
      </c>
      <c r="B263" s="261" t="s">
        <v>4758</v>
      </c>
      <c r="C263" s="261" t="s">
        <v>3240</v>
      </c>
      <c r="D263" s="266" t="s">
        <v>18851</v>
      </c>
      <c r="E263" s="262" t="s">
        <v>207</v>
      </c>
    </row>
    <row r="264" spans="1:5" ht="30">
      <c r="A264" s="261">
        <v>40342</v>
      </c>
      <c r="B264" s="261" t="s">
        <v>4759</v>
      </c>
      <c r="C264" s="261" t="s">
        <v>3240</v>
      </c>
      <c r="D264" s="266" t="s">
        <v>18852</v>
      </c>
      <c r="E264" s="262" t="s">
        <v>207</v>
      </c>
    </row>
    <row r="265" spans="1:5" ht="30">
      <c r="A265" s="261">
        <v>40343</v>
      </c>
      <c r="B265" s="261" t="s">
        <v>4760</v>
      </c>
      <c r="C265" s="261" t="s">
        <v>3240</v>
      </c>
      <c r="D265" s="266" t="s">
        <v>18853</v>
      </c>
      <c r="E265" s="262" t="s">
        <v>207</v>
      </c>
    </row>
    <row r="266" spans="1:5" ht="30">
      <c r="A266" s="261">
        <v>40344</v>
      </c>
      <c r="B266" s="261" t="s">
        <v>4761</v>
      </c>
      <c r="C266" s="261" t="s">
        <v>3240</v>
      </c>
      <c r="D266" s="266" t="s">
        <v>18854</v>
      </c>
      <c r="E266" s="262" t="s">
        <v>207</v>
      </c>
    </row>
    <row r="267" spans="1:5" ht="30">
      <c r="A267" s="261">
        <v>40345</v>
      </c>
      <c r="B267" s="261" t="s">
        <v>4762</v>
      </c>
      <c r="C267" s="261" t="s">
        <v>3240</v>
      </c>
      <c r="D267" s="266" t="s">
        <v>18855</v>
      </c>
      <c r="E267" s="262" t="s">
        <v>207</v>
      </c>
    </row>
    <row r="268" spans="1:5" ht="30">
      <c r="A268" s="261">
        <v>40346</v>
      </c>
      <c r="B268" s="261" t="s">
        <v>4763</v>
      </c>
      <c r="C268" s="261" t="s">
        <v>3240</v>
      </c>
      <c r="D268" s="266" t="s">
        <v>18856</v>
      </c>
      <c r="E268" s="262" t="s">
        <v>207</v>
      </c>
    </row>
    <row r="269" spans="1:5" ht="30">
      <c r="A269" s="261">
        <v>40347</v>
      </c>
      <c r="B269" s="261" t="s">
        <v>4764</v>
      </c>
      <c r="C269" s="261" t="s">
        <v>3240</v>
      </c>
      <c r="D269" s="266" t="s">
        <v>18857</v>
      </c>
      <c r="E269" s="262" t="s">
        <v>207</v>
      </c>
    </row>
    <row r="270" spans="1:5" ht="15">
      <c r="A270" s="261">
        <v>38840</v>
      </c>
      <c r="B270" s="261" t="s">
        <v>4765</v>
      </c>
      <c r="C270" s="261" t="s">
        <v>3240</v>
      </c>
      <c r="D270" s="266" t="s">
        <v>11441</v>
      </c>
      <c r="E270" s="262" t="s">
        <v>207</v>
      </c>
    </row>
    <row r="271" spans="1:5" ht="15">
      <c r="A271" s="261">
        <v>38841</v>
      </c>
      <c r="B271" s="261" t="s">
        <v>4766</v>
      </c>
      <c r="C271" s="261" t="s">
        <v>3240</v>
      </c>
      <c r="D271" s="266" t="s">
        <v>11089</v>
      </c>
      <c r="E271" s="262" t="s">
        <v>207</v>
      </c>
    </row>
    <row r="272" spans="1:5" ht="15">
      <c r="A272" s="261">
        <v>38842</v>
      </c>
      <c r="B272" s="261" t="s">
        <v>4767</v>
      </c>
      <c r="C272" s="261" t="s">
        <v>3240</v>
      </c>
      <c r="D272" s="266" t="s">
        <v>10219</v>
      </c>
      <c r="E272" s="262" t="s">
        <v>207</v>
      </c>
    </row>
    <row r="273" spans="1:5" ht="15">
      <c r="A273" s="261">
        <v>38843</v>
      </c>
      <c r="B273" s="261" t="s">
        <v>4768</v>
      </c>
      <c r="C273" s="261" t="s">
        <v>3240</v>
      </c>
      <c r="D273" s="266" t="s">
        <v>12235</v>
      </c>
      <c r="E273" s="262" t="s">
        <v>207</v>
      </c>
    </row>
    <row r="274" spans="1:5" ht="30">
      <c r="A274" s="261">
        <v>43424</v>
      </c>
      <c r="B274" s="261" t="s">
        <v>11621</v>
      </c>
      <c r="C274" s="261" t="s">
        <v>3240</v>
      </c>
      <c r="D274" s="266" t="s">
        <v>18858</v>
      </c>
      <c r="E274" s="262" t="s">
        <v>207</v>
      </c>
    </row>
    <row r="275" spans="1:5" ht="30">
      <c r="A275" s="261">
        <v>43426</v>
      </c>
      <c r="B275" s="261" t="s">
        <v>11622</v>
      </c>
      <c r="C275" s="261" t="s">
        <v>3240</v>
      </c>
      <c r="D275" s="266" t="s">
        <v>18859</v>
      </c>
      <c r="E275" s="262" t="s">
        <v>207</v>
      </c>
    </row>
    <row r="276" spans="1:5" ht="30">
      <c r="A276" s="261">
        <v>12565</v>
      </c>
      <c r="B276" s="261" t="s">
        <v>11623</v>
      </c>
      <c r="C276" s="261" t="s">
        <v>3240</v>
      </c>
      <c r="D276" s="266" t="s">
        <v>18860</v>
      </c>
      <c r="E276" s="262" t="s">
        <v>207</v>
      </c>
    </row>
    <row r="277" spans="1:5" ht="30">
      <c r="A277" s="261">
        <v>12567</v>
      </c>
      <c r="B277" s="261" t="s">
        <v>11624</v>
      </c>
      <c r="C277" s="261" t="s">
        <v>3240</v>
      </c>
      <c r="D277" s="266" t="s">
        <v>18861</v>
      </c>
      <c r="E277" s="262" t="s">
        <v>207</v>
      </c>
    </row>
    <row r="278" spans="1:5" ht="30">
      <c r="A278" s="261">
        <v>12568</v>
      </c>
      <c r="B278" s="261" t="s">
        <v>11625</v>
      </c>
      <c r="C278" s="261" t="s">
        <v>3240</v>
      </c>
      <c r="D278" s="266" t="s">
        <v>18862</v>
      </c>
      <c r="E278" s="262" t="s">
        <v>207</v>
      </c>
    </row>
    <row r="279" spans="1:5" ht="30">
      <c r="A279" s="261">
        <v>43441</v>
      </c>
      <c r="B279" s="261" t="s">
        <v>11626</v>
      </c>
      <c r="C279" s="261" t="s">
        <v>3240</v>
      </c>
      <c r="D279" s="266" t="s">
        <v>18863</v>
      </c>
      <c r="E279" s="262" t="s">
        <v>207</v>
      </c>
    </row>
    <row r="280" spans="1:5" ht="30">
      <c r="A280" s="261">
        <v>43423</v>
      </c>
      <c r="B280" s="261" t="s">
        <v>11627</v>
      </c>
      <c r="C280" s="261" t="s">
        <v>3240</v>
      </c>
      <c r="D280" s="266" t="s">
        <v>18864</v>
      </c>
      <c r="E280" s="262" t="s">
        <v>207</v>
      </c>
    </row>
    <row r="281" spans="1:5" ht="30">
      <c r="A281" s="261">
        <v>12532</v>
      </c>
      <c r="B281" s="261" t="s">
        <v>11628</v>
      </c>
      <c r="C281" s="261" t="s">
        <v>3240</v>
      </c>
      <c r="D281" s="266" t="s">
        <v>9801</v>
      </c>
      <c r="E281" s="262" t="s">
        <v>207</v>
      </c>
    </row>
    <row r="282" spans="1:5" ht="45">
      <c r="A282" s="261">
        <v>43444</v>
      </c>
      <c r="B282" s="261" t="s">
        <v>11629</v>
      </c>
      <c r="C282" s="261" t="s">
        <v>3240</v>
      </c>
      <c r="D282" s="266" t="s">
        <v>18865</v>
      </c>
      <c r="E282" s="262" t="s">
        <v>207</v>
      </c>
    </row>
    <row r="283" spans="1:5" ht="45">
      <c r="A283" s="261">
        <v>12551</v>
      </c>
      <c r="B283" s="261" t="s">
        <v>11630</v>
      </c>
      <c r="C283" s="261" t="s">
        <v>3240</v>
      </c>
      <c r="D283" s="266" t="s">
        <v>18866</v>
      </c>
      <c r="E283" s="262" t="s">
        <v>207</v>
      </c>
    </row>
    <row r="284" spans="1:5" ht="45">
      <c r="A284" s="261">
        <v>43442</v>
      </c>
      <c r="B284" s="261" t="s">
        <v>11631</v>
      </c>
      <c r="C284" s="261" t="s">
        <v>3240</v>
      </c>
      <c r="D284" s="266" t="s">
        <v>18867</v>
      </c>
      <c r="E284" s="262" t="s">
        <v>207</v>
      </c>
    </row>
    <row r="285" spans="1:5" ht="45">
      <c r="A285" s="261">
        <v>43443</v>
      </c>
      <c r="B285" s="261" t="s">
        <v>11632</v>
      </c>
      <c r="C285" s="261" t="s">
        <v>3240</v>
      </c>
      <c r="D285" s="266" t="s">
        <v>18868</v>
      </c>
      <c r="E285" s="262" t="s">
        <v>207</v>
      </c>
    </row>
    <row r="286" spans="1:5" ht="45">
      <c r="A286" s="261">
        <v>12544</v>
      </c>
      <c r="B286" s="261" t="s">
        <v>11633</v>
      </c>
      <c r="C286" s="261" t="s">
        <v>3240</v>
      </c>
      <c r="D286" s="266" t="s">
        <v>18869</v>
      </c>
      <c r="E286" s="262" t="s">
        <v>207</v>
      </c>
    </row>
    <row r="287" spans="1:5" ht="45">
      <c r="A287" s="261">
        <v>12547</v>
      </c>
      <c r="B287" s="261" t="s">
        <v>11634</v>
      </c>
      <c r="C287" s="261" t="s">
        <v>3240</v>
      </c>
      <c r="D287" s="266" t="s">
        <v>18870</v>
      </c>
      <c r="E287" s="262" t="s">
        <v>207</v>
      </c>
    </row>
    <row r="288" spans="1:5" ht="45">
      <c r="A288" s="261">
        <v>43445</v>
      </c>
      <c r="B288" s="261" t="s">
        <v>11635</v>
      </c>
      <c r="C288" s="261" t="s">
        <v>3240</v>
      </c>
      <c r="D288" s="266" t="s">
        <v>18871</v>
      </c>
      <c r="E288" s="262" t="s">
        <v>207</v>
      </c>
    </row>
    <row r="289" spans="1:5" ht="45">
      <c r="A289" s="261">
        <v>12563</v>
      </c>
      <c r="B289" s="261" t="s">
        <v>11636</v>
      </c>
      <c r="C289" s="261" t="s">
        <v>3240</v>
      </c>
      <c r="D289" s="266" t="s">
        <v>18872</v>
      </c>
      <c r="E289" s="262" t="s">
        <v>207</v>
      </c>
    </row>
    <row r="290" spans="1:5" ht="30">
      <c r="A290" s="261">
        <v>43425</v>
      </c>
      <c r="B290" s="261" t="s">
        <v>11637</v>
      </c>
      <c r="C290" s="261" t="s">
        <v>3240</v>
      </c>
      <c r="D290" s="266" t="s">
        <v>18873</v>
      </c>
      <c r="E290" s="262" t="s">
        <v>207</v>
      </c>
    </row>
    <row r="291" spans="1:5" ht="30">
      <c r="A291" s="261">
        <v>43446</v>
      </c>
      <c r="B291" s="261" t="s">
        <v>11638</v>
      </c>
      <c r="C291" s="261" t="s">
        <v>3240</v>
      </c>
      <c r="D291" s="266" t="s">
        <v>18874</v>
      </c>
      <c r="E291" s="262" t="s">
        <v>207</v>
      </c>
    </row>
    <row r="292" spans="1:5" ht="30">
      <c r="A292" s="261">
        <v>43447</v>
      </c>
      <c r="B292" s="261" t="s">
        <v>11639</v>
      </c>
      <c r="C292" s="261" t="s">
        <v>3240</v>
      </c>
      <c r="D292" s="266" t="s">
        <v>18875</v>
      </c>
      <c r="E292" s="262" t="s">
        <v>207</v>
      </c>
    </row>
    <row r="293" spans="1:5" ht="30">
      <c r="A293" s="261">
        <v>43448</v>
      </c>
      <c r="B293" s="261" t="s">
        <v>11640</v>
      </c>
      <c r="C293" s="261" t="s">
        <v>3240</v>
      </c>
      <c r="D293" s="266" t="s">
        <v>18876</v>
      </c>
      <c r="E293" s="262" t="s">
        <v>207</v>
      </c>
    </row>
    <row r="294" spans="1:5" ht="30">
      <c r="A294" s="261">
        <v>13761</v>
      </c>
      <c r="B294" s="261" t="s">
        <v>4769</v>
      </c>
      <c r="C294" s="261" t="s">
        <v>3240</v>
      </c>
      <c r="D294" s="266" t="s">
        <v>16420</v>
      </c>
      <c r="E294" s="262" t="s">
        <v>207</v>
      </c>
    </row>
    <row r="295" spans="1:5" ht="45">
      <c r="A295" s="261">
        <v>12888</v>
      </c>
      <c r="B295" s="261" t="s">
        <v>4770</v>
      </c>
      <c r="C295" s="261" t="s">
        <v>3248</v>
      </c>
      <c r="D295" s="266" t="s">
        <v>12147</v>
      </c>
      <c r="E295" s="262" t="s">
        <v>207</v>
      </c>
    </row>
    <row r="296" spans="1:5" ht="30">
      <c r="A296" s="261">
        <v>12889</v>
      </c>
      <c r="B296" s="261" t="s">
        <v>4771</v>
      </c>
      <c r="C296" s="261" t="s">
        <v>3248</v>
      </c>
      <c r="D296" s="266" t="s">
        <v>12148</v>
      </c>
      <c r="E296" s="262" t="s">
        <v>207</v>
      </c>
    </row>
    <row r="297" spans="1:5" ht="30">
      <c r="A297" s="261">
        <v>4814</v>
      </c>
      <c r="B297" s="261" t="s">
        <v>4772</v>
      </c>
      <c r="C297" s="261" t="s">
        <v>3240</v>
      </c>
      <c r="D297" s="266" t="s">
        <v>18877</v>
      </c>
      <c r="E297" s="262" t="s">
        <v>207</v>
      </c>
    </row>
    <row r="298" spans="1:5" ht="15">
      <c r="A298" s="261">
        <v>25967</v>
      </c>
      <c r="B298" s="261" t="s">
        <v>4773</v>
      </c>
      <c r="C298" s="261" t="s">
        <v>3240</v>
      </c>
      <c r="D298" s="266" t="s">
        <v>18878</v>
      </c>
      <c r="E298" s="262" t="s">
        <v>207</v>
      </c>
    </row>
    <row r="299" spans="1:5" ht="15">
      <c r="A299" s="261">
        <v>6122</v>
      </c>
      <c r="B299" s="261" t="s">
        <v>11197</v>
      </c>
      <c r="C299" s="261" t="s">
        <v>3239</v>
      </c>
      <c r="D299" s="266" t="s">
        <v>12149</v>
      </c>
      <c r="E299" s="262" t="s">
        <v>9714</v>
      </c>
    </row>
    <row r="300" spans="1:5" ht="15">
      <c r="A300" s="261">
        <v>40810</v>
      </c>
      <c r="B300" s="261" t="s">
        <v>4774</v>
      </c>
      <c r="C300" s="261" t="s">
        <v>3246</v>
      </c>
      <c r="D300" s="266" t="s">
        <v>12150</v>
      </c>
      <c r="E300" s="262" t="s">
        <v>9714</v>
      </c>
    </row>
    <row r="301" spans="1:5" ht="30">
      <c r="A301" s="261">
        <v>21100</v>
      </c>
      <c r="B301" s="261" t="s">
        <v>4775</v>
      </c>
      <c r="C301" s="261" t="s">
        <v>3240</v>
      </c>
      <c r="D301" s="265" t="s">
        <v>18879</v>
      </c>
      <c r="E301" s="262" t="s">
        <v>207</v>
      </c>
    </row>
    <row r="302" spans="1:5" ht="30">
      <c r="A302" s="261">
        <v>11816</v>
      </c>
      <c r="B302" s="261" t="s">
        <v>4776</v>
      </c>
      <c r="C302" s="261" t="s">
        <v>3240</v>
      </c>
      <c r="D302" s="265" t="s">
        <v>18880</v>
      </c>
      <c r="E302" s="262" t="s">
        <v>207</v>
      </c>
    </row>
    <row r="303" spans="1:5" ht="30">
      <c r="A303" s="261">
        <v>11814</v>
      </c>
      <c r="B303" s="261" t="s">
        <v>4777</v>
      </c>
      <c r="C303" s="261" t="s">
        <v>3240</v>
      </c>
      <c r="D303" s="265" t="s">
        <v>18881</v>
      </c>
      <c r="E303" s="262" t="s">
        <v>207</v>
      </c>
    </row>
    <row r="304" spans="1:5" ht="45">
      <c r="A304" s="261">
        <v>14186</v>
      </c>
      <c r="B304" s="261" t="s">
        <v>4778</v>
      </c>
      <c r="C304" s="261" t="s">
        <v>3240</v>
      </c>
      <c r="D304" s="265" t="s">
        <v>18882</v>
      </c>
      <c r="E304" s="262" t="s">
        <v>207</v>
      </c>
    </row>
    <row r="305" spans="1:5" ht="30">
      <c r="A305" s="261">
        <v>14185</v>
      </c>
      <c r="B305" s="261" t="s">
        <v>4779</v>
      </c>
      <c r="C305" s="261" t="s">
        <v>3240</v>
      </c>
      <c r="D305" s="265" t="s">
        <v>18883</v>
      </c>
      <c r="E305" s="262" t="s">
        <v>207</v>
      </c>
    </row>
    <row r="306" spans="1:5" ht="45">
      <c r="A306" s="261">
        <v>11811</v>
      </c>
      <c r="B306" s="261" t="s">
        <v>4780</v>
      </c>
      <c r="C306" s="261" t="s">
        <v>3240</v>
      </c>
      <c r="D306" s="265" t="s">
        <v>18884</v>
      </c>
      <c r="E306" s="262" t="s">
        <v>207</v>
      </c>
    </row>
    <row r="307" spans="1:5" ht="15">
      <c r="A307" s="261">
        <v>26038</v>
      </c>
      <c r="B307" s="261" t="s">
        <v>4781</v>
      </c>
      <c r="C307" s="261" t="s">
        <v>3240</v>
      </c>
      <c r="D307" s="265" t="s">
        <v>18885</v>
      </c>
      <c r="E307" s="262" t="s">
        <v>207</v>
      </c>
    </row>
    <row r="308" spans="1:5" ht="30">
      <c r="A308" s="261">
        <v>34482</v>
      </c>
      <c r="B308" s="261" t="s">
        <v>4782</v>
      </c>
      <c r="C308" s="261" t="s">
        <v>3240</v>
      </c>
      <c r="D308" s="265" t="s">
        <v>18886</v>
      </c>
      <c r="E308" s="262" t="s">
        <v>207</v>
      </c>
    </row>
    <row r="309" spans="1:5" ht="30">
      <c r="A309" s="261">
        <v>34469</v>
      </c>
      <c r="B309" s="261" t="s">
        <v>4783</v>
      </c>
      <c r="C309" s="261" t="s">
        <v>3240</v>
      </c>
      <c r="D309" s="265" t="s">
        <v>18887</v>
      </c>
      <c r="E309" s="262" t="s">
        <v>207</v>
      </c>
    </row>
    <row r="310" spans="1:5" ht="30">
      <c r="A310" s="261">
        <v>34472</v>
      </c>
      <c r="B310" s="261" t="s">
        <v>4784</v>
      </c>
      <c r="C310" s="261" t="s">
        <v>3240</v>
      </c>
      <c r="D310" s="265" t="s">
        <v>18888</v>
      </c>
      <c r="E310" s="262" t="s">
        <v>207</v>
      </c>
    </row>
    <row r="311" spans="1:5" ht="30">
      <c r="A311" s="261">
        <v>34476</v>
      </c>
      <c r="B311" s="261" t="s">
        <v>4785</v>
      </c>
      <c r="C311" s="261" t="s">
        <v>3240</v>
      </c>
      <c r="D311" s="265" t="s">
        <v>18889</v>
      </c>
      <c r="E311" s="262" t="s">
        <v>207</v>
      </c>
    </row>
    <row r="312" spans="1:5" ht="30">
      <c r="A312" s="261">
        <v>34477</v>
      </c>
      <c r="B312" s="261" t="s">
        <v>4786</v>
      </c>
      <c r="C312" s="261" t="s">
        <v>3240</v>
      </c>
      <c r="D312" s="265" t="s">
        <v>18890</v>
      </c>
      <c r="E312" s="262" t="s">
        <v>207</v>
      </c>
    </row>
    <row r="313" spans="1:5" ht="30">
      <c r="A313" s="261">
        <v>42425</v>
      </c>
      <c r="B313" s="261" t="s">
        <v>4787</v>
      </c>
      <c r="C313" s="261" t="s">
        <v>3240</v>
      </c>
      <c r="D313" s="265" t="s">
        <v>18891</v>
      </c>
      <c r="E313" s="262" t="s">
        <v>207</v>
      </c>
    </row>
    <row r="314" spans="1:5" ht="30">
      <c r="A314" s="261">
        <v>42422</v>
      </c>
      <c r="B314" s="261" t="s">
        <v>4788</v>
      </c>
      <c r="C314" s="261" t="s">
        <v>3240</v>
      </c>
      <c r="D314" s="265" t="s">
        <v>18892</v>
      </c>
      <c r="E314" s="262" t="s">
        <v>207</v>
      </c>
    </row>
    <row r="315" spans="1:5" ht="30">
      <c r="A315" s="261">
        <v>43184</v>
      </c>
      <c r="B315" s="261" t="s">
        <v>9469</v>
      </c>
      <c r="C315" s="261" t="s">
        <v>3240</v>
      </c>
      <c r="D315" s="265" t="s">
        <v>18893</v>
      </c>
      <c r="E315" s="262" t="s">
        <v>207</v>
      </c>
    </row>
    <row r="316" spans="1:5" ht="30">
      <c r="A316" s="261">
        <v>42424</v>
      </c>
      <c r="B316" s="261" t="s">
        <v>4789</v>
      </c>
      <c r="C316" s="261" t="s">
        <v>3240</v>
      </c>
      <c r="D316" s="265" t="s">
        <v>18894</v>
      </c>
      <c r="E316" s="264" t="s">
        <v>207</v>
      </c>
    </row>
    <row r="317" spans="1:5" ht="45">
      <c r="A317" s="261">
        <v>42421</v>
      </c>
      <c r="B317" s="261" t="s">
        <v>9470</v>
      </c>
      <c r="C317" s="261" t="s">
        <v>3240</v>
      </c>
      <c r="D317" s="265" t="s">
        <v>18895</v>
      </c>
      <c r="E317" s="264" t="s">
        <v>207</v>
      </c>
    </row>
    <row r="318" spans="1:5" ht="30">
      <c r="A318" s="261">
        <v>42416</v>
      </c>
      <c r="B318" s="261" t="s">
        <v>4790</v>
      </c>
      <c r="C318" s="261" t="s">
        <v>3240</v>
      </c>
      <c r="D318" s="265" t="s">
        <v>18896</v>
      </c>
      <c r="E318" s="262" t="s">
        <v>207</v>
      </c>
    </row>
    <row r="319" spans="1:5" ht="30">
      <c r="A319" s="261">
        <v>42417</v>
      </c>
      <c r="B319" s="261" t="s">
        <v>4791</v>
      </c>
      <c r="C319" s="261" t="s">
        <v>3240</v>
      </c>
      <c r="D319" s="265" t="s">
        <v>18897</v>
      </c>
      <c r="E319" s="262" t="s">
        <v>207</v>
      </c>
    </row>
    <row r="320" spans="1:5" ht="30">
      <c r="A320" s="261">
        <v>42419</v>
      </c>
      <c r="B320" s="261" t="s">
        <v>4792</v>
      </c>
      <c r="C320" s="261" t="s">
        <v>3240</v>
      </c>
      <c r="D320" s="265" t="s">
        <v>18898</v>
      </c>
      <c r="E320" s="262" t="s">
        <v>207</v>
      </c>
    </row>
    <row r="321" spans="1:5" ht="30">
      <c r="A321" s="261">
        <v>42420</v>
      </c>
      <c r="B321" s="261" t="s">
        <v>4793</v>
      </c>
      <c r="C321" s="261" t="s">
        <v>3240</v>
      </c>
      <c r="D321" s="265" t="s">
        <v>18899</v>
      </c>
      <c r="E321" s="262" t="s">
        <v>207</v>
      </c>
    </row>
    <row r="322" spans="1:5" ht="30">
      <c r="A322" s="261">
        <v>43195</v>
      </c>
      <c r="B322" s="261" t="s">
        <v>9471</v>
      </c>
      <c r="C322" s="261" t="s">
        <v>3240</v>
      </c>
      <c r="D322" s="265" t="s">
        <v>18900</v>
      </c>
      <c r="E322" s="262" t="s">
        <v>207</v>
      </c>
    </row>
    <row r="323" spans="1:5" ht="30">
      <c r="A323" s="261">
        <v>43196</v>
      </c>
      <c r="B323" s="261" t="s">
        <v>9472</v>
      </c>
      <c r="C323" s="261" t="s">
        <v>3240</v>
      </c>
      <c r="D323" s="266" t="s">
        <v>18901</v>
      </c>
      <c r="E323" s="262" t="s">
        <v>207</v>
      </c>
    </row>
    <row r="324" spans="1:5" ht="30">
      <c r="A324" s="261">
        <v>43198</v>
      </c>
      <c r="B324" s="261" t="s">
        <v>9473</v>
      </c>
      <c r="C324" s="261" t="s">
        <v>3240</v>
      </c>
      <c r="D324" s="265" t="s">
        <v>18902</v>
      </c>
      <c r="E324" s="262" t="s">
        <v>207</v>
      </c>
    </row>
    <row r="325" spans="1:5" ht="30">
      <c r="A325" s="261">
        <v>43199</v>
      </c>
      <c r="B325" s="261" t="s">
        <v>9474</v>
      </c>
      <c r="C325" s="261" t="s">
        <v>3240</v>
      </c>
      <c r="D325" s="265" t="s">
        <v>18903</v>
      </c>
      <c r="E325" s="262" t="s">
        <v>207</v>
      </c>
    </row>
    <row r="326" spans="1:5" ht="30">
      <c r="A326" s="261">
        <v>43200</v>
      </c>
      <c r="B326" s="261" t="s">
        <v>9475</v>
      </c>
      <c r="C326" s="261" t="s">
        <v>3240</v>
      </c>
      <c r="D326" s="265" t="s">
        <v>18904</v>
      </c>
      <c r="E326" s="262" t="s">
        <v>207</v>
      </c>
    </row>
    <row r="327" spans="1:5" ht="45">
      <c r="A327" s="261">
        <v>39556</v>
      </c>
      <c r="B327" s="261" t="s">
        <v>4794</v>
      </c>
      <c r="C327" s="261" t="s">
        <v>3240</v>
      </c>
      <c r="D327" s="265" t="s">
        <v>18905</v>
      </c>
      <c r="E327" s="262" t="s">
        <v>207</v>
      </c>
    </row>
    <row r="328" spans="1:5" ht="45">
      <c r="A328" s="261">
        <v>39557</v>
      </c>
      <c r="B328" s="261" t="s">
        <v>4795</v>
      </c>
      <c r="C328" s="261" t="s">
        <v>3240</v>
      </c>
      <c r="D328" s="265" t="s">
        <v>18906</v>
      </c>
      <c r="E328" s="262" t="s">
        <v>207</v>
      </c>
    </row>
    <row r="329" spans="1:5" ht="45">
      <c r="A329" s="261">
        <v>39559</v>
      </c>
      <c r="B329" s="261" t="s">
        <v>4796</v>
      </c>
      <c r="C329" s="261" t="s">
        <v>3240</v>
      </c>
      <c r="D329" s="265" t="s">
        <v>18907</v>
      </c>
      <c r="E329" s="262" t="s">
        <v>207</v>
      </c>
    </row>
    <row r="330" spans="1:5" ht="45">
      <c r="A330" s="261">
        <v>39560</v>
      </c>
      <c r="B330" s="261" t="s">
        <v>4797</v>
      </c>
      <c r="C330" s="261" t="s">
        <v>3240</v>
      </c>
      <c r="D330" s="265" t="s">
        <v>18908</v>
      </c>
      <c r="E330" s="262" t="s">
        <v>207</v>
      </c>
    </row>
    <row r="331" spans="1:5" ht="45">
      <c r="A331" s="261">
        <v>39561</v>
      </c>
      <c r="B331" s="261" t="s">
        <v>4798</v>
      </c>
      <c r="C331" s="261" t="s">
        <v>3240</v>
      </c>
      <c r="D331" s="265" t="s">
        <v>18909</v>
      </c>
      <c r="E331" s="262" t="s">
        <v>207</v>
      </c>
    </row>
    <row r="332" spans="1:5" ht="30">
      <c r="A332" s="261">
        <v>43190</v>
      </c>
      <c r="B332" s="261" t="s">
        <v>9476</v>
      </c>
      <c r="C332" s="261" t="s">
        <v>3240</v>
      </c>
      <c r="D332" s="265" t="s">
        <v>18910</v>
      </c>
      <c r="E332" s="262" t="s">
        <v>207</v>
      </c>
    </row>
    <row r="333" spans="1:5" ht="45">
      <c r="A333" s="261">
        <v>39555</v>
      </c>
      <c r="B333" s="261" t="s">
        <v>4799</v>
      </c>
      <c r="C333" s="261" t="s">
        <v>3240</v>
      </c>
      <c r="D333" s="265" t="s">
        <v>18911</v>
      </c>
      <c r="E333" s="262" t="s">
        <v>207</v>
      </c>
    </row>
    <row r="334" spans="1:5" ht="30">
      <c r="A334" s="261">
        <v>43191</v>
      </c>
      <c r="B334" s="261" t="s">
        <v>9477</v>
      </c>
      <c r="C334" s="261" t="s">
        <v>3240</v>
      </c>
      <c r="D334" s="265" t="s">
        <v>18912</v>
      </c>
      <c r="E334" s="262" t="s">
        <v>207</v>
      </c>
    </row>
    <row r="335" spans="1:5" ht="45">
      <c r="A335" s="261">
        <v>39548</v>
      </c>
      <c r="B335" s="261" t="s">
        <v>4800</v>
      </c>
      <c r="C335" s="261" t="s">
        <v>3240</v>
      </c>
      <c r="D335" s="265" t="s">
        <v>18913</v>
      </c>
      <c r="E335" s="262" t="s">
        <v>207</v>
      </c>
    </row>
    <row r="336" spans="1:5" ht="30">
      <c r="A336" s="261">
        <v>43192</v>
      </c>
      <c r="B336" s="261" t="s">
        <v>9478</v>
      </c>
      <c r="C336" s="261" t="s">
        <v>3240</v>
      </c>
      <c r="D336" s="265" t="s">
        <v>18914</v>
      </c>
      <c r="E336" s="262" t="s">
        <v>207</v>
      </c>
    </row>
    <row r="337" spans="1:5" ht="45">
      <c r="A337" s="261">
        <v>39554</v>
      </c>
      <c r="B337" s="261" t="s">
        <v>4801</v>
      </c>
      <c r="C337" s="261" t="s">
        <v>3240</v>
      </c>
      <c r="D337" s="265" t="s">
        <v>18915</v>
      </c>
      <c r="E337" s="262" t="s">
        <v>207</v>
      </c>
    </row>
    <row r="338" spans="1:5" ht="30">
      <c r="A338" s="261">
        <v>43194</v>
      </c>
      <c r="B338" s="261" t="s">
        <v>9479</v>
      </c>
      <c r="C338" s="261" t="s">
        <v>3240</v>
      </c>
      <c r="D338" s="265" t="s">
        <v>18916</v>
      </c>
      <c r="E338" s="262" t="s">
        <v>207</v>
      </c>
    </row>
    <row r="339" spans="1:5" ht="45">
      <c r="A339" s="261">
        <v>39551</v>
      </c>
      <c r="B339" s="261" t="s">
        <v>4802</v>
      </c>
      <c r="C339" s="261" t="s">
        <v>3240</v>
      </c>
      <c r="D339" s="265" t="s">
        <v>18917</v>
      </c>
      <c r="E339" s="262" t="s">
        <v>207</v>
      </c>
    </row>
    <row r="340" spans="1:5" ht="30">
      <c r="A340" s="261">
        <v>43185</v>
      </c>
      <c r="B340" s="261" t="s">
        <v>9480</v>
      </c>
      <c r="C340" s="261" t="s">
        <v>3240</v>
      </c>
      <c r="D340" s="265" t="s">
        <v>18918</v>
      </c>
      <c r="E340" s="262" t="s">
        <v>207</v>
      </c>
    </row>
    <row r="341" spans="1:5" ht="30">
      <c r="A341" s="261">
        <v>43186</v>
      </c>
      <c r="B341" s="261" t="s">
        <v>9481</v>
      </c>
      <c r="C341" s="261" t="s">
        <v>3240</v>
      </c>
      <c r="D341" s="265" t="s">
        <v>18919</v>
      </c>
      <c r="E341" s="262" t="s">
        <v>207</v>
      </c>
    </row>
    <row r="342" spans="1:5" ht="30">
      <c r="A342" s="261">
        <v>43187</v>
      </c>
      <c r="B342" s="261" t="s">
        <v>9482</v>
      </c>
      <c r="C342" s="261" t="s">
        <v>3240</v>
      </c>
      <c r="D342" s="265" t="s">
        <v>18920</v>
      </c>
      <c r="E342" s="262" t="s">
        <v>207</v>
      </c>
    </row>
    <row r="343" spans="1:5" ht="30">
      <c r="A343" s="261">
        <v>43188</v>
      </c>
      <c r="B343" s="261" t="s">
        <v>9483</v>
      </c>
      <c r="C343" s="261" t="s">
        <v>3240</v>
      </c>
      <c r="D343" s="265" t="s">
        <v>18921</v>
      </c>
      <c r="E343" s="262" t="s">
        <v>207</v>
      </c>
    </row>
    <row r="344" spans="1:5" ht="30">
      <c r="A344" s="261">
        <v>43189</v>
      </c>
      <c r="B344" s="261" t="s">
        <v>9484</v>
      </c>
      <c r="C344" s="261" t="s">
        <v>3240</v>
      </c>
      <c r="D344" s="265" t="s">
        <v>18922</v>
      </c>
      <c r="E344" s="262" t="s">
        <v>207</v>
      </c>
    </row>
    <row r="345" spans="1:5" ht="15">
      <c r="A345" s="261">
        <v>39580</v>
      </c>
      <c r="B345" s="261" t="s">
        <v>4803</v>
      </c>
      <c r="C345" s="261" t="s">
        <v>3240</v>
      </c>
      <c r="D345" s="265" t="s">
        <v>18923</v>
      </c>
      <c r="E345" s="262" t="s">
        <v>207</v>
      </c>
    </row>
    <row r="346" spans="1:5" ht="15">
      <c r="A346" s="261">
        <v>39577</v>
      </c>
      <c r="B346" s="261" t="s">
        <v>4804</v>
      </c>
      <c r="C346" s="261" t="s">
        <v>3240</v>
      </c>
      <c r="D346" s="265" t="s">
        <v>18924</v>
      </c>
      <c r="E346" s="262" t="s">
        <v>207</v>
      </c>
    </row>
    <row r="347" spans="1:5" ht="15">
      <c r="A347" s="261">
        <v>39578</v>
      </c>
      <c r="B347" s="261" t="s">
        <v>4805</v>
      </c>
      <c r="C347" s="261" t="s">
        <v>3240</v>
      </c>
      <c r="D347" s="265" t="s">
        <v>18925</v>
      </c>
      <c r="E347" s="262" t="s">
        <v>207</v>
      </c>
    </row>
    <row r="348" spans="1:5" ht="15">
      <c r="A348" s="261">
        <v>39579</v>
      </c>
      <c r="B348" s="261" t="s">
        <v>4806</v>
      </c>
      <c r="C348" s="261" t="s">
        <v>3240</v>
      </c>
      <c r="D348" s="265" t="s">
        <v>18926</v>
      </c>
      <c r="E348" s="262" t="s">
        <v>207</v>
      </c>
    </row>
    <row r="349" spans="1:5" ht="30">
      <c r="A349" s="261">
        <v>39826</v>
      </c>
      <c r="B349" s="261" t="s">
        <v>4807</v>
      </c>
      <c r="C349" s="261" t="s">
        <v>3240</v>
      </c>
      <c r="D349" s="265" t="s">
        <v>18927</v>
      </c>
      <c r="E349" s="262" t="s">
        <v>207</v>
      </c>
    </row>
    <row r="350" spans="1:5" ht="15">
      <c r="A350" s="261">
        <v>10700</v>
      </c>
      <c r="B350" s="261" t="s">
        <v>4808</v>
      </c>
      <c r="C350" s="261" t="s">
        <v>3240</v>
      </c>
      <c r="D350" s="265" t="s">
        <v>18928</v>
      </c>
      <c r="E350" s="262" t="s">
        <v>207</v>
      </c>
    </row>
    <row r="351" spans="1:5" ht="15">
      <c r="A351" s="261">
        <v>346</v>
      </c>
      <c r="B351" s="261" t="s">
        <v>4809</v>
      </c>
      <c r="C351" s="261" t="s">
        <v>3244</v>
      </c>
      <c r="D351" s="265" t="s">
        <v>10295</v>
      </c>
      <c r="E351" s="262" t="s">
        <v>207</v>
      </c>
    </row>
    <row r="352" spans="1:5" ht="15">
      <c r="A352" s="261">
        <v>3312</v>
      </c>
      <c r="B352" s="261" t="s">
        <v>4810</v>
      </c>
      <c r="C352" s="261" t="s">
        <v>3244</v>
      </c>
      <c r="D352" s="265" t="s">
        <v>11198</v>
      </c>
      <c r="E352" s="262" t="s">
        <v>207</v>
      </c>
    </row>
    <row r="353" spans="1:5" ht="15">
      <c r="A353" s="261">
        <v>339</v>
      </c>
      <c r="B353" s="261" t="s">
        <v>9485</v>
      </c>
      <c r="C353" s="261" t="s">
        <v>3243</v>
      </c>
      <c r="D353" s="265" t="s">
        <v>18929</v>
      </c>
      <c r="E353" s="262" t="s">
        <v>207</v>
      </c>
    </row>
    <row r="354" spans="1:5" ht="15">
      <c r="A354" s="261">
        <v>340</v>
      </c>
      <c r="B354" s="261" t="s">
        <v>4811</v>
      </c>
      <c r="C354" s="261" t="s">
        <v>3243</v>
      </c>
      <c r="D354" s="265" t="s">
        <v>9995</v>
      </c>
      <c r="E354" s="262" t="s">
        <v>207</v>
      </c>
    </row>
    <row r="355" spans="1:5" ht="30">
      <c r="A355" s="261">
        <v>43130</v>
      </c>
      <c r="B355" s="261" t="s">
        <v>9486</v>
      </c>
      <c r="C355" s="261" t="s">
        <v>3244</v>
      </c>
      <c r="D355" s="265" t="s">
        <v>12310</v>
      </c>
      <c r="E355" s="262" t="s">
        <v>207</v>
      </c>
    </row>
    <row r="356" spans="1:5" ht="15">
      <c r="A356" s="261">
        <v>344</v>
      </c>
      <c r="B356" s="261" t="s">
        <v>9487</v>
      </c>
      <c r="C356" s="261" t="s">
        <v>3244</v>
      </c>
      <c r="D356" s="265" t="s">
        <v>16466</v>
      </c>
      <c r="E356" s="262" t="s">
        <v>207</v>
      </c>
    </row>
    <row r="357" spans="1:5" ht="15">
      <c r="A357" s="261">
        <v>345</v>
      </c>
      <c r="B357" s="261" t="s">
        <v>9488</v>
      </c>
      <c r="C357" s="261" t="s">
        <v>3244</v>
      </c>
      <c r="D357" s="265" t="s">
        <v>16646</v>
      </c>
      <c r="E357" s="262" t="s">
        <v>207</v>
      </c>
    </row>
    <row r="358" spans="1:5" ht="30">
      <c r="A358" s="261">
        <v>43131</v>
      </c>
      <c r="B358" s="261" t="s">
        <v>9489</v>
      </c>
      <c r="C358" s="261" t="s">
        <v>3244</v>
      </c>
      <c r="D358" s="265" t="s">
        <v>11253</v>
      </c>
      <c r="E358" s="262" t="s">
        <v>207</v>
      </c>
    </row>
    <row r="359" spans="1:5" ht="15">
      <c r="A359" s="261">
        <v>3313</v>
      </c>
      <c r="B359" s="261" t="s">
        <v>4812</v>
      </c>
      <c r="C359" s="261" t="s">
        <v>3244</v>
      </c>
      <c r="D359" s="265" t="s">
        <v>10429</v>
      </c>
      <c r="E359" s="262" t="s">
        <v>207</v>
      </c>
    </row>
    <row r="360" spans="1:5" ht="30">
      <c r="A360" s="261">
        <v>43132</v>
      </c>
      <c r="B360" s="261" t="s">
        <v>11641</v>
      </c>
      <c r="C360" s="261" t="s">
        <v>3244</v>
      </c>
      <c r="D360" s="265" t="s">
        <v>12310</v>
      </c>
      <c r="E360" s="262" t="s">
        <v>207</v>
      </c>
    </row>
    <row r="361" spans="1:5" ht="15">
      <c r="A361" s="261">
        <v>366</v>
      </c>
      <c r="B361" s="261" t="s">
        <v>4813</v>
      </c>
      <c r="C361" s="261" t="s">
        <v>3241</v>
      </c>
      <c r="D361" s="265" t="s">
        <v>16423</v>
      </c>
      <c r="E361" s="262" t="s">
        <v>207</v>
      </c>
    </row>
    <row r="362" spans="1:5" ht="30">
      <c r="A362" s="261">
        <v>367</v>
      </c>
      <c r="B362" s="261" t="s">
        <v>4814</v>
      </c>
      <c r="C362" s="261" t="s">
        <v>3241</v>
      </c>
      <c r="D362" s="265" t="s">
        <v>18930</v>
      </c>
      <c r="E362" s="262" t="s">
        <v>207</v>
      </c>
    </row>
    <row r="363" spans="1:5" ht="30">
      <c r="A363" s="261">
        <v>370</v>
      </c>
      <c r="B363" s="261" t="s">
        <v>4815</v>
      </c>
      <c r="C363" s="261" t="s">
        <v>3241</v>
      </c>
      <c r="D363" s="265" t="s">
        <v>12154</v>
      </c>
      <c r="E363" s="262" t="s">
        <v>207</v>
      </c>
    </row>
    <row r="364" spans="1:5" ht="30">
      <c r="A364" s="261">
        <v>368</v>
      </c>
      <c r="B364" s="261" t="s">
        <v>4816</v>
      </c>
      <c r="C364" s="261" t="s">
        <v>3241</v>
      </c>
      <c r="D364" s="265" t="s">
        <v>15958</v>
      </c>
      <c r="E364" s="262" t="s">
        <v>207</v>
      </c>
    </row>
    <row r="365" spans="1:5" ht="30">
      <c r="A365" s="261">
        <v>11075</v>
      </c>
      <c r="B365" s="261" t="s">
        <v>4817</v>
      </c>
      <c r="C365" s="261" t="s">
        <v>3241</v>
      </c>
      <c r="D365" s="265" t="s">
        <v>18931</v>
      </c>
      <c r="E365" s="262" t="s">
        <v>207</v>
      </c>
    </row>
    <row r="366" spans="1:5" ht="15">
      <c r="A366" s="261">
        <v>1381</v>
      </c>
      <c r="B366" s="261" t="s">
        <v>4818</v>
      </c>
      <c r="C366" s="261" t="s">
        <v>3244</v>
      </c>
      <c r="D366" s="265" t="s">
        <v>9876</v>
      </c>
      <c r="E366" s="262" t="s">
        <v>207</v>
      </c>
    </row>
    <row r="367" spans="1:5" ht="15">
      <c r="A367" s="261">
        <v>34353</v>
      </c>
      <c r="B367" s="261" t="s">
        <v>11642</v>
      </c>
      <c r="C367" s="261" t="s">
        <v>3244</v>
      </c>
      <c r="D367" s="265" t="s">
        <v>10909</v>
      </c>
      <c r="E367" s="262" t="s">
        <v>207</v>
      </c>
    </row>
    <row r="368" spans="1:5" ht="15">
      <c r="A368" s="261">
        <v>37595</v>
      </c>
      <c r="B368" s="261" t="s">
        <v>11643</v>
      </c>
      <c r="C368" s="261" t="s">
        <v>3244</v>
      </c>
      <c r="D368" s="265" t="s">
        <v>9906</v>
      </c>
      <c r="E368" s="262" t="s">
        <v>207</v>
      </c>
    </row>
    <row r="369" spans="1:5" ht="15">
      <c r="A369" s="261">
        <v>37596</v>
      </c>
      <c r="B369" s="261" t="s">
        <v>11644</v>
      </c>
      <c r="C369" s="261" t="s">
        <v>3244</v>
      </c>
      <c r="D369" s="265" t="s">
        <v>11246</v>
      </c>
      <c r="E369" s="262" t="s">
        <v>207</v>
      </c>
    </row>
    <row r="370" spans="1:5" ht="30">
      <c r="A370" s="261">
        <v>371</v>
      </c>
      <c r="B370" s="261" t="s">
        <v>4819</v>
      </c>
      <c r="C370" s="261" t="s">
        <v>3244</v>
      </c>
      <c r="D370" s="265" t="s">
        <v>9981</v>
      </c>
      <c r="E370" s="262" t="s">
        <v>207</v>
      </c>
    </row>
    <row r="371" spans="1:5" ht="15">
      <c r="A371" s="261">
        <v>37553</v>
      </c>
      <c r="B371" s="261" t="s">
        <v>4820</v>
      </c>
      <c r="C371" s="261" t="s">
        <v>3244</v>
      </c>
      <c r="D371" s="265" t="s">
        <v>9960</v>
      </c>
      <c r="E371" s="262" t="s">
        <v>207</v>
      </c>
    </row>
    <row r="372" spans="1:5" ht="15">
      <c r="A372" s="261">
        <v>37552</v>
      </c>
      <c r="B372" s="261" t="s">
        <v>4821</v>
      </c>
      <c r="C372" s="261" t="s">
        <v>3244</v>
      </c>
      <c r="D372" s="265" t="s">
        <v>9977</v>
      </c>
      <c r="E372" s="262" t="s">
        <v>207</v>
      </c>
    </row>
    <row r="373" spans="1:5" ht="15">
      <c r="A373" s="261">
        <v>36880</v>
      </c>
      <c r="B373" s="261" t="s">
        <v>11645</v>
      </c>
      <c r="C373" s="261" t="s">
        <v>3244</v>
      </c>
      <c r="D373" s="265" t="s">
        <v>9770</v>
      </c>
      <c r="E373" s="262" t="s">
        <v>207</v>
      </c>
    </row>
    <row r="374" spans="1:5" ht="15">
      <c r="A374" s="261">
        <v>34355</v>
      </c>
      <c r="B374" s="261" t="s">
        <v>4822</v>
      </c>
      <c r="C374" s="261" t="s">
        <v>3244</v>
      </c>
      <c r="D374" s="265" t="s">
        <v>9810</v>
      </c>
      <c r="E374" s="262" t="s">
        <v>207</v>
      </c>
    </row>
    <row r="375" spans="1:5" ht="15">
      <c r="A375" s="261">
        <v>130</v>
      </c>
      <c r="B375" s="261" t="s">
        <v>4823</v>
      </c>
      <c r="C375" s="261" t="s">
        <v>3244</v>
      </c>
      <c r="D375" s="265" t="s">
        <v>11359</v>
      </c>
      <c r="E375" s="262" t="s">
        <v>207</v>
      </c>
    </row>
    <row r="376" spans="1:5" ht="30">
      <c r="A376" s="261">
        <v>135</v>
      </c>
      <c r="B376" s="261" t="s">
        <v>4824</v>
      </c>
      <c r="C376" s="261" t="s">
        <v>3244</v>
      </c>
      <c r="D376" s="265" t="s">
        <v>9889</v>
      </c>
      <c r="E376" s="262" t="s">
        <v>207</v>
      </c>
    </row>
    <row r="377" spans="1:5" ht="15">
      <c r="A377" s="261">
        <v>36886</v>
      </c>
      <c r="B377" s="261" t="s">
        <v>4825</v>
      </c>
      <c r="C377" s="261" t="s">
        <v>3244</v>
      </c>
      <c r="D377" s="265" t="s">
        <v>9875</v>
      </c>
      <c r="E377" s="262" t="s">
        <v>207</v>
      </c>
    </row>
    <row r="378" spans="1:5" ht="30">
      <c r="A378" s="261">
        <v>38546</v>
      </c>
      <c r="B378" s="261" t="s">
        <v>4826</v>
      </c>
      <c r="C378" s="261" t="s">
        <v>3241</v>
      </c>
      <c r="D378" s="265" t="s">
        <v>18932</v>
      </c>
      <c r="E378" s="262" t="s">
        <v>207</v>
      </c>
    </row>
    <row r="379" spans="1:5" ht="15">
      <c r="A379" s="261">
        <v>34549</v>
      </c>
      <c r="B379" s="261" t="s">
        <v>4827</v>
      </c>
      <c r="C379" s="261" t="s">
        <v>3241</v>
      </c>
      <c r="D379" s="265" t="s">
        <v>16164</v>
      </c>
      <c r="E379" s="262" t="s">
        <v>207</v>
      </c>
    </row>
    <row r="380" spans="1:5" ht="15">
      <c r="A380" s="261">
        <v>6081</v>
      </c>
      <c r="B380" s="261" t="s">
        <v>4828</v>
      </c>
      <c r="C380" s="261" t="s">
        <v>3241</v>
      </c>
      <c r="D380" s="265" t="s">
        <v>16145</v>
      </c>
      <c r="E380" s="262" t="s">
        <v>207</v>
      </c>
    </row>
    <row r="381" spans="1:5" ht="30">
      <c r="A381" s="261">
        <v>6077</v>
      </c>
      <c r="B381" s="261" t="s">
        <v>4829</v>
      </c>
      <c r="C381" s="261" t="s">
        <v>3241</v>
      </c>
      <c r="D381" s="265" t="s">
        <v>11137</v>
      </c>
      <c r="E381" s="262" t="s">
        <v>207</v>
      </c>
    </row>
    <row r="382" spans="1:5" ht="30">
      <c r="A382" s="261">
        <v>6079</v>
      </c>
      <c r="B382" s="261" t="s">
        <v>4830</v>
      </c>
      <c r="C382" s="261" t="s">
        <v>3241</v>
      </c>
      <c r="D382" s="265" t="s">
        <v>10979</v>
      </c>
      <c r="E382" s="262" t="s">
        <v>207</v>
      </c>
    </row>
    <row r="383" spans="1:5" ht="30">
      <c r="A383" s="261">
        <v>1091</v>
      </c>
      <c r="B383" s="261" t="s">
        <v>4831</v>
      </c>
      <c r="C383" s="261" t="s">
        <v>3240</v>
      </c>
      <c r="D383" s="265" t="s">
        <v>11309</v>
      </c>
      <c r="E383" s="262" t="s">
        <v>207</v>
      </c>
    </row>
    <row r="384" spans="1:5" ht="30">
      <c r="A384" s="261">
        <v>1094</v>
      </c>
      <c r="B384" s="261" t="s">
        <v>4832</v>
      </c>
      <c r="C384" s="261" t="s">
        <v>3240</v>
      </c>
      <c r="D384" s="265" t="s">
        <v>11115</v>
      </c>
      <c r="E384" s="262" t="s">
        <v>207</v>
      </c>
    </row>
    <row r="385" spans="1:5" ht="30">
      <c r="A385" s="261">
        <v>1095</v>
      </c>
      <c r="B385" s="261" t="s">
        <v>4833</v>
      </c>
      <c r="C385" s="261" t="s">
        <v>3240</v>
      </c>
      <c r="D385" s="265" t="s">
        <v>16451</v>
      </c>
      <c r="E385" s="262" t="s">
        <v>207</v>
      </c>
    </row>
    <row r="386" spans="1:5" ht="30">
      <c r="A386" s="261">
        <v>1092</v>
      </c>
      <c r="B386" s="261" t="s">
        <v>4834</v>
      </c>
      <c r="C386" s="261" t="s">
        <v>3240</v>
      </c>
      <c r="D386" s="265" t="s">
        <v>10580</v>
      </c>
      <c r="E386" s="262" t="s">
        <v>207</v>
      </c>
    </row>
    <row r="387" spans="1:5" ht="30">
      <c r="A387" s="261">
        <v>1093</v>
      </c>
      <c r="B387" s="261" t="s">
        <v>4835</v>
      </c>
      <c r="C387" s="261" t="s">
        <v>3240</v>
      </c>
      <c r="D387" s="265" t="s">
        <v>18933</v>
      </c>
      <c r="E387" s="262" t="s">
        <v>207</v>
      </c>
    </row>
    <row r="388" spans="1:5" ht="30">
      <c r="A388" s="261">
        <v>1090</v>
      </c>
      <c r="B388" s="261" t="s">
        <v>4836</v>
      </c>
      <c r="C388" s="261" t="s">
        <v>3240</v>
      </c>
      <c r="D388" s="265" t="s">
        <v>16427</v>
      </c>
      <c r="E388" s="262" t="s">
        <v>207</v>
      </c>
    </row>
    <row r="389" spans="1:5" ht="30">
      <c r="A389" s="261">
        <v>1096</v>
      </c>
      <c r="B389" s="261" t="s">
        <v>4837</v>
      </c>
      <c r="C389" s="261" t="s">
        <v>3240</v>
      </c>
      <c r="D389" s="265" t="s">
        <v>18934</v>
      </c>
      <c r="E389" s="262" t="s">
        <v>207</v>
      </c>
    </row>
    <row r="390" spans="1:5" ht="30">
      <c r="A390" s="261">
        <v>1097</v>
      </c>
      <c r="B390" s="261" t="s">
        <v>4838</v>
      </c>
      <c r="C390" s="261" t="s">
        <v>3240</v>
      </c>
      <c r="D390" s="265" t="s">
        <v>18935</v>
      </c>
      <c r="E390" s="262" t="s">
        <v>207</v>
      </c>
    </row>
    <row r="391" spans="1:5" ht="15">
      <c r="A391" s="261">
        <v>378</v>
      </c>
      <c r="B391" s="261" t="s">
        <v>4839</v>
      </c>
      <c r="C391" s="261" t="s">
        <v>3239</v>
      </c>
      <c r="D391" s="265" t="s">
        <v>11524</v>
      </c>
      <c r="E391" s="262" t="s">
        <v>9714</v>
      </c>
    </row>
    <row r="392" spans="1:5" ht="15">
      <c r="A392" s="261">
        <v>40911</v>
      </c>
      <c r="B392" s="261" t="s">
        <v>4840</v>
      </c>
      <c r="C392" s="261" t="s">
        <v>3246</v>
      </c>
      <c r="D392" s="265" t="s">
        <v>18936</v>
      </c>
      <c r="E392" s="262" t="s">
        <v>9714</v>
      </c>
    </row>
    <row r="393" spans="1:5" ht="15">
      <c r="A393" s="261">
        <v>33939</v>
      </c>
      <c r="B393" s="261" t="s">
        <v>4841</v>
      </c>
      <c r="C393" s="261" t="s">
        <v>3239</v>
      </c>
      <c r="D393" s="265" t="s">
        <v>12158</v>
      </c>
      <c r="E393" s="262" t="s">
        <v>9714</v>
      </c>
    </row>
    <row r="394" spans="1:5" ht="15">
      <c r="A394" s="261">
        <v>40815</v>
      </c>
      <c r="B394" s="261" t="s">
        <v>4842</v>
      </c>
      <c r="C394" s="261" t="s">
        <v>3246</v>
      </c>
      <c r="D394" s="265" t="s">
        <v>12159</v>
      </c>
      <c r="E394" s="262" t="s">
        <v>9714</v>
      </c>
    </row>
    <row r="395" spans="1:5" ht="15">
      <c r="A395" s="261">
        <v>34760</v>
      </c>
      <c r="B395" s="261" t="s">
        <v>4843</v>
      </c>
      <c r="C395" s="261" t="s">
        <v>3239</v>
      </c>
      <c r="D395" s="265" t="s">
        <v>12160</v>
      </c>
      <c r="E395" s="262" t="s">
        <v>9714</v>
      </c>
    </row>
    <row r="396" spans="1:5" ht="15">
      <c r="A396" s="261">
        <v>40935</v>
      </c>
      <c r="B396" s="261" t="s">
        <v>4844</v>
      </c>
      <c r="C396" s="261" t="s">
        <v>3246</v>
      </c>
      <c r="D396" s="266" t="s">
        <v>12161</v>
      </c>
      <c r="E396" s="262" t="s">
        <v>9714</v>
      </c>
    </row>
    <row r="397" spans="1:5" ht="15">
      <c r="A397" s="261">
        <v>33952</v>
      </c>
      <c r="B397" s="261" t="s">
        <v>4845</v>
      </c>
      <c r="C397" s="261" t="s">
        <v>3239</v>
      </c>
      <c r="D397" s="266" t="s">
        <v>12162</v>
      </c>
      <c r="E397" s="262" t="s">
        <v>9714</v>
      </c>
    </row>
    <row r="398" spans="1:5" ht="15">
      <c r="A398" s="261">
        <v>40816</v>
      </c>
      <c r="B398" s="261" t="s">
        <v>4846</v>
      </c>
      <c r="C398" s="261" t="s">
        <v>3246</v>
      </c>
      <c r="D398" s="265" t="s">
        <v>12163</v>
      </c>
      <c r="E398" s="262" t="s">
        <v>9714</v>
      </c>
    </row>
    <row r="399" spans="1:5" ht="15">
      <c r="A399" s="261">
        <v>33953</v>
      </c>
      <c r="B399" s="261" t="s">
        <v>4847</v>
      </c>
      <c r="C399" s="261" t="s">
        <v>3239</v>
      </c>
      <c r="D399" s="265" t="s">
        <v>12164</v>
      </c>
      <c r="E399" s="262" t="s">
        <v>9714</v>
      </c>
    </row>
    <row r="400" spans="1:5" ht="15">
      <c r="A400" s="261">
        <v>40817</v>
      </c>
      <c r="B400" s="261" t="s">
        <v>4848</v>
      </c>
      <c r="C400" s="261" t="s">
        <v>3246</v>
      </c>
      <c r="D400" s="265" t="s">
        <v>12165</v>
      </c>
      <c r="E400" s="262" t="s">
        <v>9714</v>
      </c>
    </row>
    <row r="401" spans="1:5" ht="30">
      <c r="A401" s="261">
        <v>13348</v>
      </c>
      <c r="B401" s="261" t="s">
        <v>4849</v>
      </c>
      <c r="C401" s="261" t="s">
        <v>3240</v>
      </c>
      <c r="D401" s="265" t="s">
        <v>10916</v>
      </c>
      <c r="E401" s="262" t="s">
        <v>207</v>
      </c>
    </row>
    <row r="402" spans="1:5" ht="15">
      <c r="A402" s="261">
        <v>39211</v>
      </c>
      <c r="B402" s="261" t="s">
        <v>4850</v>
      </c>
      <c r="C402" s="261" t="s">
        <v>3240</v>
      </c>
      <c r="D402" s="265" t="s">
        <v>10017</v>
      </c>
      <c r="E402" s="262" t="s">
        <v>207</v>
      </c>
    </row>
    <row r="403" spans="1:5" ht="15">
      <c r="A403" s="261">
        <v>39212</v>
      </c>
      <c r="B403" s="261" t="s">
        <v>4851</v>
      </c>
      <c r="C403" s="261" t="s">
        <v>3240</v>
      </c>
      <c r="D403" s="265" t="s">
        <v>77</v>
      </c>
      <c r="E403" s="262" t="s">
        <v>207</v>
      </c>
    </row>
    <row r="404" spans="1:5" ht="15">
      <c r="A404" s="261">
        <v>39208</v>
      </c>
      <c r="B404" s="261" t="s">
        <v>4852</v>
      </c>
      <c r="C404" s="261" t="s">
        <v>3240</v>
      </c>
      <c r="D404" s="265" t="s">
        <v>9950</v>
      </c>
      <c r="E404" s="262" t="s">
        <v>207</v>
      </c>
    </row>
    <row r="405" spans="1:5" ht="15">
      <c r="A405" s="261">
        <v>39210</v>
      </c>
      <c r="B405" s="261" t="s">
        <v>4853</v>
      </c>
      <c r="C405" s="261" t="s">
        <v>3240</v>
      </c>
      <c r="D405" s="265" t="s">
        <v>18937</v>
      </c>
      <c r="E405" s="262" t="s">
        <v>207</v>
      </c>
    </row>
    <row r="406" spans="1:5" ht="15">
      <c r="A406" s="261">
        <v>39214</v>
      </c>
      <c r="B406" s="261" t="s">
        <v>4854</v>
      </c>
      <c r="C406" s="261" t="s">
        <v>3240</v>
      </c>
      <c r="D406" s="265" t="s">
        <v>11171</v>
      </c>
      <c r="E406" s="262" t="s">
        <v>207</v>
      </c>
    </row>
    <row r="407" spans="1:5" ht="15">
      <c r="A407" s="261">
        <v>39213</v>
      </c>
      <c r="B407" s="261" t="s">
        <v>4855</v>
      </c>
      <c r="C407" s="261" t="s">
        <v>3240</v>
      </c>
      <c r="D407" s="265" t="s">
        <v>10430</v>
      </c>
      <c r="E407" s="262" t="s">
        <v>207</v>
      </c>
    </row>
    <row r="408" spans="1:5" ht="15">
      <c r="A408" s="261">
        <v>39209</v>
      </c>
      <c r="B408" s="261" t="s">
        <v>4856</v>
      </c>
      <c r="C408" s="261" t="s">
        <v>3240</v>
      </c>
      <c r="D408" s="265" t="s">
        <v>9852</v>
      </c>
      <c r="E408" s="262" t="s">
        <v>207</v>
      </c>
    </row>
    <row r="409" spans="1:5" ht="15">
      <c r="A409" s="261">
        <v>39207</v>
      </c>
      <c r="B409" s="261" t="s">
        <v>4857</v>
      </c>
      <c r="C409" s="261" t="s">
        <v>3240</v>
      </c>
      <c r="D409" s="265" t="s">
        <v>18937</v>
      </c>
      <c r="E409" s="262" t="s">
        <v>207</v>
      </c>
    </row>
    <row r="410" spans="1:5" ht="15">
      <c r="A410" s="261">
        <v>39215</v>
      </c>
      <c r="B410" s="261" t="s">
        <v>4858</v>
      </c>
      <c r="C410" s="261" t="s">
        <v>3240</v>
      </c>
      <c r="D410" s="265" t="s">
        <v>10898</v>
      </c>
      <c r="E410" s="262" t="s">
        <v>207</v>
      </c>
    </row>
    <row r="411" spans="1:5" ht="15">
      <c r="A411" s="261">
        <v>39216</v>
      </c>
      <c r="B411" s="261" t="s">
        <v>4859</v>
      </c>
      <c r="C411" s="261" t="s">
        <v>3240</v>
      </c>
      <c r="D411" s="265" t="s">
        <v>18938</v>
      </c>
      <c r="E411" s="262" t="s">
        <v>207</v>
      </c>
    </row>
    <row r="412" spans="1:5" ht="30">
      <c r="A412" s="261">
        <v>11267</v>
      </c>
      <c r="B412" s="261" t="s">
        <v>11646</v>
      </c>
      <c r="C412" s="261" t="s">
        <v>3240</v>
      </c>
      <c r="D412" s="265" t="s">
        <v>11094</v>
      </c>
      <c r="E412" s="262" t="s">
        <v>207</v>
      </c>
    </row>
    <row r="413" spans="1:5" ht="30">
      <c r="A413" s="261">
        <v>379</v>
      </c>
      <c r="B413" s="261" t="s">
        <v>4860</v>
      </c>
      <c r="C413" s="261" t="s">
        <v>3240</v>
      </c>
      <c r="D413" s="265" t="s">
        <v>11094</v>
      </c>
      <c r="E413" s="262" t="s">
        <v>207</v>
      </c>
    </row>
    <row r="414" spans="1:5" ht="30">
      <c r="A414" s="261">
        <v>510</v>
      </c>
      <c r="B414" s="261" t="s">
        <v>4861</v>
      </c>
      <c r="C414" s="261" t="s">
        <v>3244</v>
      </c>
      <c r="D414" s="265" t="s">
        <v>12449</v>
      </c>
      <c r="E414" s="262" t="s">
        <v>207</v>
      </c>
    </row>
    <row r="415" spans="1:5" ht="30">
      <c r="A415" s="261">
        <v>516</v>
      </c>
      <c r="B415" s="261" t="s">
        <v>4862</v>
      </c>
      <c r="C415" s="261" t="s">
        <v>3244</v>
      </c>
      <c r="D415" s="265" t="s">
        <v>10330</v>
      </c>
      <c r="E415" s="262" t="s">
        <v>207</v>
      </c>
    </row>
    <row r="416" spans="1:5" ht="30">
      <c r="A416" s="261">
        <v>509</v>
      </c>
      <c r="B416" s="261" t="s">
        <v>4863</v>
      </c>
      <c r="C416" s="261" t="s">
        <v>3244</v>
      </c>
      <c r="D416" s="265" t="s">
        <v>12272</v>
      </c>
      <c r="E416" s="262" t="s">
        <v>207</v>
      </c>
    </row>
    <row r="417" spans="1:5" ht="15">
      <c r="A417" s="261">
        <v>40331</v>
      </c>
      <c r="B417" s="261" t="s">
        <v>4864</v>
      </c>
      <c r="C417" s="261" t="s">
        <v>3239</v>
      </c>
      <c r="D417" s="265" t="s">
        <v>11243</v>
      </c>
      <c r="E417" s="262" t="s">
        <v>9714</v>
      </c>
    </row>
    <row r="418" spans="1:5" ht="15">
      <c r="A418" s="261">
        <v>40930</v>
      </c>
      <c r="B418" s="261" t="s">
        <v>4865</v>
      </c>
      <c r="C418" s="261" t="s">
        <v>3246</v>
      </c>
      <c r="D418" s="265" t="s">
        <v>18939</v>
      </c>
      <c r="E418" s="262" t="s">
        <v>9714</v>
      </c>
    </row>
    <row r="419" spans="1:5" ht="15">
      <c r="A419" s="261">
        <v>11761</v>
      </c>
      <c r="B419" s="261" t="s">
        <v>4866</v>
      </c>
      <c r="C419" s="261" t="s">
        <v>3240</v>
      </c>
      <c r="D419" s="265" t="s">
        <v>18940</v>
      </c>
      <c r="E419" s="262" t="s">
        <v>207</v>
      </c>
    </row>
    <row r="420" spans="1:5" ht="15">
      <c r="A420" s="261">
        <v>377</v>
      </c>
      <c r="B420" s="261" t="s">
        <v>4867</v>
      </c>
      <c r="C420" s="261" t="s">
        <v>3240</v>
      </c>
      <c r="D420" s="265" t="s">
        <v>12168</v>
      </c>
      <c r="E420" s="262" t="s">
        <v>207</v>
      </c>
    </row>
    <row r="421" spans="1:5" ht="15">
      <c r="A421" s="261">
        <v>7588</v>
      </c>
      <c r="B421" s="261" t="s">
        <v>4868</v>
      </c>
      <c r="C421" s="261" t="s">
        <v>3240</v>
      </c>
      <c r="D421" s="265" t="s">
        <v>18941</v>
      </c>
      <c r="E421" s="262" t="s">
        <v>207</v>
      </c>
    </row>
    <row r="422" spans="1:5" ht="15">
      <c r="A422" s="261">
        <v>34392</v>
      </c>
      <c r="B422" s="261" t="s">
        <v>4869</v>
      </c>
      <c r="C422" s="261" t="s">
        <v>3239</v>
      </c>
      <c r="D422" s="265" t="s">
        <v>10458</v>
      </c>
      <c r="E422" s="262" t="s">
        <v>9714</v>
      </c>
    </row>
    <row r="423" spans="1:5" ht="15">
      <c r="A423" s="261">
        <v>40908</v>
      </c>
      <c r="B423" s="261" t="s">
        <v>4870</v>
      </c>
      <c r="C423" s="261" t="s">
        <v>3246</v>
      </c>
      <c r="D423" s="265" t="s">
        <v>12170</v>
      </c>
      <c r="E423" s="262" t="s">
        <v>9714</v>
      </c>
    </row>
    <row r="424" spans="1:5" ht="15">
      <c r="A424" s="261">
        <v>34551</v>
      </c>
      <c r="B424" s="261" t="s">
        <v>4871</v>
      </c>
      <c r="C424" s="261" t="s">
        <v>3239</v>
      </c>
      <c r="D424" s="265" t="s">
        <v>10314</v>
      </c>
      <c r="E424" s="262" t="s">
        <v>9714</v>
      </c>
    </row>
    <row r="425" spans="1:5" ht="15">
      <c r="A425" s="261">
        <v>41078</v>
      </c>
      <c r="B425" s="261" t="s">
        <v>4872</v>
      </c>
      <c r="C425" s="261" t="s">
        <v>3246</v>
      </c>
      <c r="D425" s="265" t="s">
        <v>18942</v>
      </c>
      <c r="E425" s="262" t="s">
        <v>9714</v>
      </c>
    </row>
    <row r="426" spans="1:5" ht="15">
      <c r="A426" s="261">
        <v>246</v>
      </c>
      <c r="B426" s="261" t="s">
        <v>4873</v>
      </c>
      <c r="C426" s="261" t="s">
        <v>3239</v>
      </c>
      <c r="D426" s="265" t="s">
        <v>10265</v>
      </c>
      <c r="E426" s="262" t="s">
        <v>9714</v>
      </c>
    </row>
    <row r="427" spans="1:5" ht="15">
      <c r="A427" s="261">
        <v>40927</v>
      </c>
      <c r="B427" s="261" t="s">
        <v>4874</v>
      </c>
      <c r="C427" s="261" t="s">
        <v>3246</v>
      </c>
      <c r="D427" s="265" t="s">
        <v>18943</v>
      </c>
      <c r="E427" s="262" t="s">
        <v>9714</v>
      </c>
    </row>
    <row r="428" spans="1:5" ht="15">
      <c r="A428" s="261">
        <v>2350</v>
      </c>
      <c r="B428" s="261" t="s">
        <v>4875</v>
      </c>
      <c r="C428" s="261" t="s">
        <v>3239</v>
      </c>
      <c r="D428" s="265" t="s">
        <v>11183</v>
      </c>
      <c r="E428" s="262" t="s">
        <v>9714</v>
      </c>
    </row>
    <row r="429" spans="1:5" ht="15">
      <c r="A429" s="261">
        <v>40812</v>
      </c>
      <c r="B429" s="261" t="s">
        <v>4876</v>
      </c>
      <c r="C429" s="261" t="s">
        <v>3246</v>
      </c>
      <c r="D429" s="265" t="s">
        <v>12171</v>
      </c>
      <c r="E429" s="262" t="s">
        <v>9714</v>
      </c>
    </row>
    <row r="430" spans="1:5" ht="15">
      <c r="A430" s="261">
        <v>245</v>
      </c>
      <c r="B430" s="261" t="s">
        <v>11210</v>
      </c>
      <c r="C430" s="261" t="s">
        <v>3239</v>
      </c>
      <c r="D430" s="265" t="s">
        <v>10363</v>
      </c>
      <c r="E430" s="262" t="s">
        <v>9714</v>
      </c>
    </row>
    <row r="431" spans="1:5" ht="15">
      <c r="A431" s="261">
        <v>41090</v>
      </c>
      <c r="B431" s="261" t="s">
        <v>4877</v>
      </c>
      <c r="C431" s="261" t="s">
        <v>3246</v>
      </c>
      <c r="D431" s="265" t="s">
        <v>12172</v>
      </c>
      <c r="E431" s="262" t="s">
        <v>9714</v>
      </c>
    </row>
    <row r="432" spans="1:5" ht="15">
      <c r="A432" s="261">
        <v>251</v>
      </c>
      <c r="B432" s="261" t="s">
        <v>4878</v>
      </c>
      <c r="C432" s="261" t="s">
        <v>3239</v>
      </c>
      <c r="D432" s="266" t="s">
        <v>11431</v>
      </c>
      <c r="E432" s="262" t="s">
        <v>9714</v>
      </c>
    </row>
    <row r="433" spans="1:5" ht="15">
      <c r="A433" s="261">
        <v>40975</v>
      </c>
      <c r="B433" s="261" t="s">
        <v>4879</v>
      </c>
      <c r="C433" s="261" t="s">
        <v>3246</v>
      </c>
      <c r="D433" s="265" t="s">
        <v>18944</v>
      </c>
      <c r="E433" s="262" t="s">
        <v>9714</v>
      </c>
    </row>
    <row r="434" spans="1:5" ht="15">
      <c r="A434" s="261">
        <v>6127</v>
      </c>
      <c r="B434" s="261" t="s">
        <v>4880</v>
      </c>
      <c r="C434" s="261" t="s">
        <v>3239</v>
      </c>
      <c r="D434" s="265" t="s">
        <v>10318</v>
      </c>
      <c r="E434" s="262" t="s">
        <v>9714</v>
      </c>
    </row>
    <row r="435" spans="1:5" ht="15">
      <c r="A435" s="261">
        <v>41072</v>
      </c>
      <c r="B435" s="261" t="s">
        <v>4881</v>
      </c>
      <c r="C435" s="261" t="s">
        <v>3246</v>
      </c>
      <c r="D435" s="265" t="s">
        <v>18945</v>
      </c>
      <c r="E435" s="262" t="s">
        <v>9714</v>
      </c>
    </row>
    <row r="436" spans="1:5" ht="15">
      <c r="A436" s="261">
        <v>6121</v>
      </c>
      <c r="B436" s="261" t="s">
        <v>4882</v>
      </c>
      <c r="C436" s="261" t="s">
        <v>3239</v>
      </c>
      <c r="D436" s="265" t="s">
        <v>10224</v>
      </c>
      <c r="E436" s="262" t="s">
        <v>9714</v>
      </c>
    </row>
    <row r="437" spans="1:5" ht="15">
      <c r="A437" s="261">
        <v>41071</v>
      </c>
      <c r="B437" s="261" t="s">
        <v>4883</v>
      </c>
      <c r="C437" s="261" t="s">
        <v>3246</v>
      </c>
      <c r="D437" s="265" t="s">
        <v>18946</v>
      </c>
      <c r="E437" s="262" t="s">
        <v>9714</v>
      </c>
    </row>
    <row r="438" spans="1:5" ht="15">
      <c r="A438" s="261">
        <v>244</v>
      </c>
      <c r="B438" s="261" t="s">
        <v>4884</v>
      </c>
      <c r="C438" s="261" t="s">
        <v>3239</v>
      </c>
      <c r="D438" s="265" t="s">
        <v>18947</v>
      </c>
      <c r="E438" s="264" t="s">
        <v>9714</v>
      </c>
    </row>
    <row r="439" spans="1:5" ht="15">
      <c r="A439" s="261">
        <v>41093</v>
      </c>
      <c r="B439" s="261" t="s">
        <v>4885</v>
      </c>
      <c r="C439" s="261" t="s">
        <v>3246</v>
      </c>
      <c r="D439" s="265" t="s">
        <v>18948</v>
      </c>
      <c r="E439" s="264" t="s">
        <v>9714</v>
      </c>
    </row>
    <row r="440" spans="1:5" ht="15">
      <c r="A440" s="261">
        <v>532</v>
      </c>
      <c r="B440" s="261" t="s">
        <v>4886</v>
      </c>
      <c r="C440" s="261" t="s">
        <v>3239</v>
      </c>
      <c r="D440" s="266" t="s">
        <v>12134</v>
      </c>
      <c r="E440" s="262" t="s">
        <v>9714</v>
      </c>
    </row>
    <row r="441" spans="1:5" ht="15">
      <c r="A441" s="261">
        <v>40931</v>
      </c>
      <c r="B441" s="261" t="s">
        <v>4887</v>
      </c>
      <c r="C441" s="261" t="s">
        <v>3246</v>
      </c>
      <c r="D441" s="266" t="s">
        <v>12173</v>
      </c>
      <c r="E441" s="262" t="s">
        <v>9714</v>
      </c>
    </row>
    <row r="442" spans="1:5" ht="15">
      <c r="A442" s="261">
        <v>36150</v>
      </c>
      <c r="B442" s="261" t="s">
        <v>4888</v>
      </c>
      <c r="C442" s="261" t="s">
        <v>3240</v>
      </c>
      <c r="D442" s="266" t="s">
        <v>18949</v>
      </c>
      <c r="E442" s="262" t="s">
        <v>207</v>
      </c>
    </row>
    <row r="443" spans="1:5" ht="15">
      <c r="A443" s="261">
        <v>4760</v>
      </c>
      <c r="B443" s="261" t="s">
        <v>11212</v>
      </c>
      <c r="C443" s="261" t="s">
        <v>3239</v>
      </c>
      <c r="D443" s="266" t="s">
        <v>11524</v>
      </c>
      <c r="E443" s="262" t="s">
        <v>9714</v>
      </c>
    </row>
    <row r="444" spans="1:5" ht="15">
      <c r="A444" s="261">
        <v>41069</v>
      </c>
      <c r="B444" s="261" t="s">
        <v>4889</v>
      </c>
      <c r="C444" s="261" t="s">
        <v>3246</v>
      </c>
      <c r="D444" s="266" t="s">
        <v>18936</v>
      </c>
      <c r="E444" s="262" t="s">
        <v>9714</v>
      </c>
    </row>
    <row r="445" spans="1:5" ht="15">
      <c r="A445" s="261">
        <v>10422</v>
      </c>
      <c r="B445" s="261" t="s">
        <v>4890</v>
      </c>
      <c r="C445" s="261" t="s">
        <v>3240</v>
      </c>
      <c r="D445" s="266" t="s">
        <v>18950</v>
      </c>
      <c r="E445" s="262" t="s">
        <v>207</v>
      </c>
    </row>
    <row r="446" spans="1:5" ht="15">
      <c r="A446" s="261">
        <v>10420</v>
      </c>
      <c r="B446" s="261" t="s">
        <v>4891</v>
      </c>
      <c r="C446" s="261" t="s">
        <v>3240</v>
      </c>
      <c r="D446" s="266" t="s">
        <v>18951</v>
      </c>
      <c r="E446" s="262" t="s">
        <v>207</v>
      </c>
    </row>
    <row r="447" spans="1:5" ht="15">
      <c r="A447" s="261">
        <v>10421</v>
      </c>
      <c r="B447" s="261" t="s">
        <v>4892</v>
      </c>
      <c r="C447" s="261" t="s">
        <v>3240</v>
      </c>
      <c r="D447" s="265" t="s">
        <v>12297</v>
      </c>
      <c r="E447" s="262" t="s">
        <v>207</v>
      </c>
    </row>
    <row r="448" spans="1:5" ht="30">
      <c r="A448" s="261">
        <v>36520</v>
      </c>
      <c r="B448" s="261" t="s">
        <v>4893</v>
      </c>
      <c r="C448" s="261" t="s">
        <v>3240</v>
      </c>
      <c r="D448" s="265" t="s">
        <v>18952</v>
      </c>
      <c r="E448" s="262" t="s">
        <v>207</v>
      </c>
    </row>
    <row r="449" spans="1:5" ht="15">
      <c r="A449" s="261">
        <v>10</v>
      </c>
      <c r="B449" s="261" t="s">
        <v>4894</v>
      </c>
      <c r="C449" s="261" t="s">
        <v>3240</v>
      </c>
      <c r="D449" s="265" t="s">
        <v>18953</v>
      </c>
      <c r="E449" s="262" t="s">
        <v>207</v>
      </c>
    </row>
    <row r="450" spans="1:5" ht="15">
      <c r="A450" s="261">
        <v>4815</v>
      </c>
      <c r="B450" s="261" t="s">
        <v>4895</v>
      </c>
      <c r="C450" s="261" t="s">
        <v>3240</v>
      </c>
      <c r="D450" s="265" t="s">
        <v>9748</v>
      </c>
      <c r="E450" s="262" t="s">
        <v>207</v>
      </c>
    </row>
    <row r="451" spans="1:5" ht="15">
      <c r="A451" s="261">
        <v>541</v>
      </c>
      <c r="B451" s="261" t="s">
        <v>4896</v>
      </c>
      <c r="C451" s="261" t="s">
        <v>3240</v>
      </c>
      <c r="D451" s="265" t="s">
        <v>11230</v>
      </c>
      <c r="E451" s="264" t="s">
        <v>207</v>
      </c>
    </row>
    <row r="452" spans="1:5" ht="15">
      <c r="A452" s="261">
        <v>542</v>
      </c>
      <c r="B452" s="261" t="s">
        <v>4897</v>
      </c>
      <c r="C452" s="261" t="s">
        <v>3240</v>
      </c>
      <c r="D452" s="265" t="s">
        <v>18954</v>
      </c>
      <c r="E452" s="264" t="s">
        <v>207</v>
      </c>
    </row>
    <row r="453" spans="1:5" ht="15">
      <c r="A453" s="261">
        <v>540</v>
      </c>
      <c r="B453" s="261" t="s">
        <v>4898</v>
      </c>
      <c r="C453" s="261" t="s">
        <v>3240</v>
      </c>
      <c r="D453" s="265" t="s">
        <v>18955</v>
      </c>
      <c r="E453" s="264" t="s">
        <v>207</v>
      </c>
    </row>
    <row r="454" spans="1:5" ht="45">
      <c r="A454" s="261">
        <v>38364</v>
      </c>
      <c r="B454" s="261" t="s">
        <v>4899</v>
      </c>
      <c r="C454" s="261" t="s">
        <v>3240</v>
      </c>
      <c r="D454" s="265" t="s">
        <v>18956</v>
      </c>
      <c r="E454" s="262" t="s">
        <v>207</v>
      </c>
    </row>
    <row r="455" spans="1:5" ht="15">
      <c r="A455" s="261">
        <v>11692</v>
      </c>
      <c r="B455" s="261" t="s">
        <v>4900</v>
      </c>
      <c r="C455" s="261" t="s">
        <v>3242</v>
      </c>
      <c r="D455" s="265" t="s">
        <v>18957</v>
      </c>
      <c r="E455" s="262" t="s">
        <v>207</v>
      </c>
    </row>
    <row r="456" spans="1:5" ht="30">
      <c r="A456" s="261">
        <v>1746</v>
      </c>
      <c r="B456" s="261" t="s">
        <v>4901</v>
      </c>
      <c r="C456" s="261" t="s">
        <v>3240</v>
      </c>
      <c r="D456" s="265" t="s">
        <v>18958</v>
      </c>
      <c r="E456" s="262" t="s">
        <v>207</v>
      </c>
    </row>
    <row r="457" spans="1:5" ht="30">
      <c r="A457" s="261">
        <v>1748</v>
      </c>
      <c r="B457" s="261" t="s">
        <v>4902</v>
      </c>
      <c r="C457" s="261" t="s">
        <v>3240</v>
      </c>
      <c r="D457" s="265" t="s">
        <v>18959</v>
      </c>
      <c r="E457" s="262" t="s">
        <v>207</v>
      </c>
    </row>
    <row r="458" spans="1:5" ht="30">
      <c r="A458" s="261">
        <v>1749</v>
      </c>
      <c r="B458" s="261" t="s">
        <v>4903</v>
      </c>
      <c r="C458" s="261" t="s">
        <v>3240</v>
      </c>
      <c r="D458" s="265" t="s">
        <v>18960</v>
      </c>
      <c r="E458" s="262" t="s">
        <v>207</v>
      </c>
    </row>
    <row r="459" spans="1:5" ht="30">
      <c r="A459" s="261">
        <v>37412</v>
      </c>
      <c r="B459" s="261" t="s">
        <v>4904</v>
      </c>
      <c r="C459" s="261" t="s">
        <v>3240</v>
      </c>
      <c r="D459" s="265" t="s">
        <v>18961</v>
      </c>
      <c r="E459" s="262" t="s">
        <v>207</v>
      </c>
    </row>
    <row r="460" spans="1:5" ht="30">
      <c r="A460" s="261">
        <v>1745</v>
      </c>
      <c r="B460" s="261" t="s">
        <v>4905</v>
      </c>
      <c r="C460" s="261" t="s">
        <v>3240</v>
      </c>
      <c r="D460" s="265" t="s">
        <v>18962</v>
      </c>
      <c r="E460" s="262" t="s">
        <v>207</v>
      </c>
    </row>
    <row r="461" spans="1:5" ht="30">
      <c r="A461" s="261">
        <v>1750</v>
      </c>
      <c r="B461" s="261" t="s">
        <v>4906</v>
      </c>
      <c r="C461" s="261" t="s">
        <v>3240</v>
      </c>
      <c r="D461" s="265" t="s">
        <v>18963</v>
      </c>
      <c r="E461" s="262" t="s">
        <v>207</v>
      </c>
    </row>
    <row r="462" spans="1:5" ht="30">
      <c r="A462" s="261">
        <v>11687</v>
      </c>
      <c r="B462" s="261" t="s">
        <v>4907</v>
      </c>
      <c r="C462" s="261" t="s">
        <v>3243</v>
      </c>
      <c r="D462" s="265" t="s">
        <v>18964</v>
      </c>
      <c r="E462" s="262" t="s">
        <v>207</v>
      </c>
    </row>
    <row r="463" spans="1:5" ht="30">
      <c r="A463" s="261">
        <v>11689</v>
      </c>
      <c r="B463" s="261" t="s">
        <v>4908</v>
      </c>
      <c r="C463" s="261" t="s">
        <v>3243</v>
      </c>
      <c r="D463" s="265" t="s">
        <v>18965</v>
      </c>
      <c r="E463" s="262" t="s">
        <v>207</v>
      </c>
    </row>
    <row r="464" spans="1:5" ht="15">
      <c r="A464" s="261">
        <v>11693</v>
      </c>
      <c r="B464" s="261" t="s">
        <v>4909</v>
      </c>
      <c r="C464" s="261" t="s">
        <v>3242</v>
      </c>
      <c r="D464" s="265" t="s">
        <v>18966</v>
      </c>
      <c r="E464" s="262" t="s">
        <v>207</v>
      </c>
    </row>
    <row r="465" spans="1:5" ht="15">
      <c r="A465" s="261">
        <v>36215</v>
      </c>
      <c r="B465" s="261" t="s">
        <v>4910</v>
      </c>
      <c r="C465" s="261" t="s">
        <v>3240</v>
      </c>
      <c r="D465" s="265" t="s">
        <v>18967</v>
      </c>
      <c r="E465" s="262" t="s">
        <v>207</v>
      </c>
    </row>
    <row r="466" spans="1:5" ht="45">
      <c r="A466" s="261">
        <v>42439</v>
      </c>
      <c r="B466" s="261" t="s">
        <v>4911</v>
      </c>
      <c r="C466" s="261" t="s">
        <v>3240</v>
      </c>
      <c r="D466" s="265" t="s">
        <v>18968</v>
      </c>
      <c r="E466" s="262" t="s">
        <v>207</v>
      </c>
    </row>
    <row r="467" spans="1:5" ht="15">
      <c r="A467" s="261">
        <v>38381</v>
      </c>
      <c r="B467" s="261" t="s">
        <v>4912</v>
      </c>
      <c r="C467" s="261" t="s">
        <v>3240</v>
      </c>
      <c r="D467" s="265" t="s">
        <v>18969</v>
      </c>
      <c r="E467" s="262" t="s">
        <v>207</v>
      </c>
    </row>
    <row r="468" spans="1:5" ht="15">
      <c r="A468" s="261">
        <v>39621</v>
      </c>
      <c r="B468" s="261" t="s">
        <v>11647</v>
      </c>
      <c r="C468" s="261" t="s">
        <v>3247</v>
      </c>
      <c r="D468" s="265" t="s">
        <v>18970</v>
      </c>
      <c r="E468" s="262" t="s">
        <v>207</v>
      </c>
    </row>
    <row r="469" spans="1:5" ht="15">
      <c r="A469" s="261">
        <v>39624</v>
      </c>
      <c r="B469" s="261" t="s">
        <v>4913</v>
      </c>
      <c r="C469" s="261" t="s">
        <v>3247</v>
      </c>
      <c r="D469" s="265" t="s">
        <v>18971</v>
      </c>
      <c r="E469" s="262" t="s">
        <v>207</v>
      </c>
    </row>
    <row r="470" spans="1:5" ht="15">
      <c r="A470" s="261">
        <v>39615</v>
      </c>
      <c r="B470" s="261" t="s">
        <v>11648</v>
      </c>
      <c r="C470" s="261" t="s">
        <v>3240</v>
      </c>
      <c r="D470" s="265" t="s">
        <v>18972</v>
      </c>
      <c r="E470" s="262" t="s">
        <v>207</v>
      </c>
    </row>
    <row r="471" spans="1:5" ht="15">
      <c r="A471" s="261">
        <v>39620</v>
      </c>
      <c r="B471" s="261" t="s">
        <v>4914</v>
      </c>
      <c r="C471" s="261" t="s">
        <v>3240</v>
      </c>
      <c r="D471" s="265" t="s">
        <v>18973</v>
      </c>
      <c r="E471" s="262" t="s">
        <v>207</v>
      </c>
    </row>
    <row r="472" spans="1:5" ht="15">
      <c r="A472" s="261">
        <v>39623</v>
      </c>
      <c r="B472" s="261" t="s">
        <v>4915</v>
      </c>
      <c r="C472" s="261" t="s">
        <v>3240</v>
      </c>
      <c r="D472" s="265" t="s">
        <v>18974</v>
      </c>
      <c r="E472" s="262" t="s">
        <v>207</v>
      </c>
    </row>
    <row r="473" spans="1:5" ht="15">
      <c r="A473" s="261">
        <v>36207</v>
      </c>
      <c r="B473" s="261" t="s">
        <v>4916</v>
      </c>
      <c r="C473" s="261" t="s">
        <v>3240</v>
      </c>
      <c r="D473" s="265" t="s">
        <v>18975</v>
      </c>
      <c r="E473" s="262" t="s">
        <v>207</v>
      </c>
    </row>
    <row r="474" spans="1:5" ht="15">
      <c r="A474" s="261">
        <v>36209</v>
      </c>
      <c r="B474" s="261" t="s">
        <v>4917</v>
      </c>
      <c r="C474" s="261" t="s">
        <v>3240</v>
      </c>
      <c r="D474" s="265" t="s">
        <v>18976</v>
      </c>
      <c r="E474" s="264" t="s">
        <v>207</v>
      </c>
    </row>
    <row r="475" spans="1:5" ht="30">
      <c r="A475" s="261">
        <v>36210</v>
      </c>
      <c r="B475" s="261" t="s">
        <v>4918</v>
      </c>
      <c r="C475" s="261" t="s">
        <v>3240</v>
      </c>
      <c r="D475" s="265" t="s">
        <v>18977</v>
      </c>
      <c r="E475" s="262" t="s">
        <v>207</v>
      </c>
    </row>
    <row r="476" spans="1:5" ht="30">
      <c r="A476" s="261">
        <v>36204</v>
      </c>
      <c r="B476" s="261" t="s">
        <v>4919</v>
      </c>
      <c r="C476" s="261" t="s">
        <v>3240</v>
      </c>
      <c r="D476" s="265" t="s">
        <v>18978</v>
      </c>
      <c r="E476" s="262" t="s">
        <v>207</v>
      </c>
    </row>
    <row r="477" spans="1:5" ht="30">
      <c r="A477" s="261">
        <v>36205</v>
      </c>
      <c r="B477" s="261" t="s">
        <v>4920</v>
      </c>
      <c r="C477" s="261" t="s">
        <v>3240</v>
      </c>
      <c r="D477" s="265" t="s">
        <v>18979</v>
      </c>
      <c r="E477" s="262" t="s">
        <v>207</v>
      </c>
    </row>
    <row r="478" spans="1:5" ht="30">
      <c r="A478" s="261">
        <v>36081</v>
      </c>
      <c r="B478" s="261" t="s">
        <v>4921</v>
      </c>
      <c r="C478" s="261" t="s">
        <v>3240</v>
      </c>
      <c r="D478" s="265" t="s">
        <v>18980</v>
      </c>
      <c r="E478" s="262" t="s">
        <v>207</v>
      </c>
    </row>
    <row r="479" spans="1:5" ht="30">
      <c r="A479" s="261">
        <v>36206</v>
      </c>
      <c r="B479" s="261" t="s">
        <v>4922</v>
      </c>
      <c r="C479" s="261" t="s">
        <v>3240</v>
      </c>
      <c r="D479" s="265" t="s">
        <v>18981</v>
      </c>
      <c r="E479" s="262" t="s">
        <v>207</v>
      </c>
    </row>
    <row r="480" spans="1:5" ht="30">
      <c r="A480" s="261">
        <v>36218</v>
      </c>
      <c r="B480" s="261" t="s">
        <v>4923</v>
      </c>
      <c r="C480" s="261" t="s">
        <v>3240</v>
      </c>
      <c r="D480" s="265" t="s">
        <v>18982</v>
      </c>
      <c r="E480" s="262" t="s">
        <v>207</v>
      </c>
    </row>
    <row r="481" spans="1:15" ht="30">
      <c r="A481" s="261">
        <v>36220</v>
      </c>
      <c r="B481" s="261" t="s">
        <v>4924</v>
      </c>
      <c r="C481" s="261" t="s">
        <v>3240</v>
      </c>
      <c r="D481" s="265" t="s">
        <v>18983</v>
      </c>
      <c r="E481" s="262" t="s">
        <v>207</v>
      </c>
    </row>
    <row r="482" spans="1:15" ht="30">
      <c r="A482" s="261">
        <v>36080</v>
      </c>
      <c r="B482" s="261" t="s">
        <v>4925</v>
      </c>
      <c r="C482" s="261" t="s">
        <v>3240</v>
      </c>
      <c r="D482" s="265" t="s">
        <v>16442</v>
      </c>
      <c r="E482" s="262" t="s">
        <v>207</v>
      </c>
      <c r="O482" s="192"/>
    </row>
    <row r="483" spans="1:15" ht="30">
      <c r="A483" s="261">
        <v>36223</v>
      </c>
      <c r="B483" s="261" t="s">
        <v>4926</v>
      </c>
      <c r="C483" s="261" t="s">
        <v>3240</v>
      </c>
      <c r="D483" s="265" t="s">
        <v>18984</v>
      </c>
      <c r="E483" s="262" t="s">
        <v>207</v>
      </c>
    </row>
    <row r="484" spans="1:15" ht="15">
      <c r="A484" s="261">
        <v>546</v>
      </c>
      <c r="B484" s="261" t="s">
        <v>11649</v>
      </c>
      <c r="C484" s="261" t="s">
        <v>3244</v>
      </c>
      <c r="D484" s="265" t="s">
        <v>11056</v>
      </c>
      <c r="E484" s="262" t="s">
        <v>207</v>
      </c>
    </row>
    <row r="485" spans="1:15" ht="15">
      <c r="A485" s="261">
        <v>566</v>
      </c>
      <c r="B485" s="261" t="s">
        <v>11650</v>
      </c>
      <c r="C485" s="261" t="s">
        <v>3243</v>
      </c>
      <c r="D485" s="265" t="s">
        <v>9729</v>
      </c>
      <c r="E485" s="262" t="s">
        <v>207</v>
      </c>
    </row>
    <row r="486" spans="1:15" ht="15">
      <c r="A486" s="261">
        <v>565</v>
      </c>
      <c r="B486" s="261" t="s">
        <v>11651</v>
      </c>
      <c r="C486" s="261" t="s">
        <v>3243</v>
      </c>
      <c r="D486" s="265" t="s">
        <v>11046</v>
      </c>
      <c r="E486" s="262" t="s">
        <v>207</v>
      </c>
    </row>
    <row r="487" spans="1:15" ht="15">
      <c r="A487" s="261">
        <v>555</v>
      </c>
      <c r="B487" s="261" t="s">
        <v>11652</v>
      </c>
      <c r="C487" s="261" t="s">
        <v>3243</v>
      </c>
      <c r="D487" s="265" t="s">
        <v>18985</v>
      </c>
      <c r="E487" s="262" t="s">
        <v>207</v>
      </c>
    </row>
    <row r="488" spans="1:15" ht="15">
      <c r="A488" s="261">
        <v>557</v>
      </c>
      <c r="B488" s="261" t="s">
        <v>11653</v>
      </c>
      <c r="C488" s="261" t="s">
        <v>3243</v>
      </c>
      <c r="D488" s="265" t="s">
        <v>16404</v>
      </c>
      <c r="E488" s="262" t="s">
        <v>207</v>
      </c>
    </row>
    <row r="489" spans="1:15" ht="15">
      <c r="A489" s="261">
        <v>552</v>
      </c>
      <c r="B489" s="261" t="s">
        <v>11654</v>
      </c>
      <c r="C489" s="261" t="s">
        <v>3243</v>
      </c>
      <c r="D489" s="265" t="s">
        <v>18986</v>
      </c>
      <c r="E489" s="262" t="s">
        <v>207</v>
      </c>
    </row>
    <row r="490" spans="1:15" ht="15">
      <c r="A490" s="261">
        <v>563</v>
      </c>
      <c r="B490" s="261" t="s">
        <v>11655</v>
      </c>
      <c r="C490" s="261" t="s">
        <v>3243</v>
      </c>
      <c r="D490" s="265" t="s">
        <v>18987</v>
      </c>
      <c r="E490" s="262" t="s">
        <v>207</v>
      </c>
    </row>
    <row r="491" spans="1:15" ht="15">
      <c r="A491" s="261">
        <v>549</v>
      </c>
      <c r="B491" s="261" t="s">
        <v>11656</v>
      </c>
      <c r="C491" s="261" t="s">
        <v>3243</v>
      </c>
      <c r="D491" s="265" t="s">
        <v>18988</v>
      </c>
      <c r="E491" s="262" t="s">
        <v>207</v>
      </c>
    </row>
    <row r="492" spans="1:15" ht="15">
      <c r="A492" s="261">
        <v>551</v>
      </c>
      <c r="B492" s="261" t="s">
        <v>11657</v>
      </c>
      <c r="C492" s="261" t="s">
        <v>3243</v>
      </c>
      <c r="D492" s="265" t="s">
        <v>18989</v>
      </c>
      <c r="E492" s="262" t="s">
        <v>207</v>
      </c>
    </row>
    <row r="493" spans="1:15" ht="15">
      <c r="A493" s="261">
        <v>559</v>
      </c>
      <c r="B493" s="261" t="s">
        <v>11658</v>
      </c>
      <c r="C493" s="261" t="s">
        <v>3243</v>
      </c>
      <c r="D493" s="265" t="s">
        <v>16348</v>
      </c>
      <c r="E493" s="262" t="s">
        <v>207</v>
      </c>
    </row>
    <row r="494" spans="1:15" ht="15">
      <c r="A494" s="261">
        <v>560</v>
      </c>
      <c r="B494" s="261" t="s">
        <v>11659</v>
      </c>
      <c r="C494" s="261" t="s">
        <v>3243</v>
      </c>
      <c r="D494" s="265" t="s">
        <v>14251</v>
      </c>
      <c r="E494" s="262" t="s">
        <v>207</v>
      </c>
    </row>
    <row r="495" spans="1:15" ht="15">
      <c r="A495" s="261">
        <v>547</v>
      </c>
      <c r="B495" s="261" t="s">
        <v>11660</v>
      </c>
      <c r="C495" s="261" t="s">
        <v>3243</v>
      </c>
      <c r="D495" s="265" t="s">
        <v>11464</v>
      </c>
      <c r="E495" s="262" t="s">
        <v>207</v>
      </c>
    </row>
    <row r="496" spans="1:15" ht="15">
      <c r="A496" s="261">
        <v>38127</v>
      </c>
      <c r="B496" s="261" t="s">
        <v>4927</v>
      </c>
      <c r="C496" s="261" t="s">
        <v>3240</v>
      </c>
      <c r="D496" s="265" t="s">
        <v>18990</v>
      </c>
      <c r="E496" s="262" t="s">
        <v>207</v>
      </c>
    </row>
    <row r="497" spans="1:5" ht="15">
      <c r="A497" s="261">
        <v>38060</v>
      </c>
      <c r="B497" s="261" t="s">
        <v>4928</v>
      </c>
      <c r="C497" s="261" t="s">
        <v>3240</v>
      </c>
      <c r="D497" s="265" t="s">
        <v>18991</v>
      </c>
      <c r="E497" s="262" t="s">
        <v>207</v>
      </c>
    </row>
    <row r="498" spans="1:5" ht="15">
      <c r="A498" s="261">
        <v>10956</v>
      </c>
      <c r="B498" s="261" t="s">
        <v>4929</v>
      </c>
      <c r="C498" s="261" t="s">
        <v>3240</v>
      </c>
      <c r="D498" s="265" t="s">
        <v>18992</v>
      </c>
      <c r="E498" s="262" t="s">
        <v>207</v>
      </c>
    </row>
    <row r="499" spans="1:5" ht="15">
      <c r="A499" s="261">
        <v>39380</v>
      </c>
      <c r="B499" s="261" t="s">
        <v>4930</v>
      </c>
      <c r="C499" s="261" t="s">
        <v>3240</v>
      </c>
      <c r="D499" s="265" t="s">
        <v>15964</v>
      </c>
      <c r="E499" s="262" t="s">
        <v>207</v>
      </c>
    </row>
    <row r="500" spans="1:5" ht="15">
      <c r="A500" s="261">
        <v>13374</v>
      </c>
      <c r="B500" s="261" t="s">
        <v>4931</v>
      </c>
      <c r="C500" s="261" t="s">
        <v>3240</v>
      </c>
      <c r="D500" s="265" t="s">
        <v>18993</v>
      </c>
      <c r="E500" s="262" t="s">
        <v>207</v>
      </c>
    </row>
    <row r="501" spans="1:5" ht="30">
      <c r="A501" s="261">
        <v>37597</v>
      </c>
      <c r="B501" s="261" t="s">
        <v>4932</v>
      </c>
      <c r="C501" s="261" t="s">
        <v>3240</v>
      </c>
      <c r="D501" s="265" t="s">
        <v>18994</v>
      </c>
      <c r="E501" s="262" t="s">
        <v>207</v>
      </c>
    </row>
    <row r="502" spans="1:5" ht="45">
      <c r="A502" s="261">
        <v>183</v>
      </c>
      <c r="B502" s="261" t="s">
        <v>4933</v>
      </c>
      <c r="C502" s="261" t="s">
        <v>3249</v>
      </c>
      <c r="D502" s="265" t="s">
        <v>18995</v>
      </c>
      <c r="E502" s="262" t="s">
        <v>207</v>
      </c>
    </row>
    <row r="503" spans="1:5" ht="45">
      <c r="A503" s="261">
        <v>184</v>
      </c>
      <c r="B503" s="261" t="s">
        <v>4934</v>
      </c>
      <c r="C503" s="261" t="s">
        <v>3249</v>
      </c>
      <c r="D503" s="265" t="s">
        <v>18996</v>
      </c>
      <c r="E503" s="262" t="s">
        <v>207</v>
      </c>
    </row>
    <row r="504" spans="1:5" ht="45">
      <c r="A504" s="261">
        <v>195</v>
      </c>
      <c r="B504" s="261" t="s">
        <v>4935</v>
      </c>
      <c r="C504" s="261" t="s">
        <v>3249</v>
      </c>
      <c r="D504" s="265" t="s">
        <v>18997</v>
      </c>
      <c r="E504" s="262" t="s">
        <v>207</v>
      </c>
    </row>
    <row r="505" spans="1:5" ht="30">
      <c r="A505" s="261">
        <v>20001</v>
      </c>
      <c r="B505" s="261" t="s">
        <v>4936</v>
      </c>
      <c r="C505" s="261" t="s">
        <v>3249</v>
      </c>
      <c r="D505" s="265" t="s">
        <v>18998</v>
      </c>
      <c r="E505" s="262" t="s">
        <v>207</v>
      </c>
    </row>
    <row r="506" spans="1:5" ht="45">
      <c r="A506" s="261">
        <v>181</v>
      </c>
      <c r="B506" s="261" t="s">
        <v>4937</v>
      </c>
      <c r="C506" s="261" t="s">
        <v>3249</v>
      </c>
      <c r="D506" s="265" t="s">
        <v>18999</v>
      </c>
      <c r="E506" s="262" t="s">
        <v>207</v>
      </c>
    </row>
    <row r="507" spans="1:5" ht="45">
      <c r="A507" s="261">
        <v>39837</v>
      </c>
      <c r="B507" s="261" t="s">
        <v>4938</v>
      </c>
      <c r="C507" s="261" t="s">
        <v>3249</v>
      </c>
      <c r="D507" s="265" t="s">
        <v>10958</v>
      </c>
      <c r="E507" s="262" t="s">
        <v>207</v>
      </c>
    </row>
    <row r="508" spans="1:5" ht="30">
      <c r="A508" s="261">
        <v>10535</v>
      </c>
      <c r="B508" s="261" t="s">
        <v>4939</v>
      </c>
      <c r="C508" s="261" t="s">
        <v>3240</v>
      </c>
      <c r="D508" s="265" t="s">
        <v>19000</v>
      </c>
      <c r="E508" s="262" t="s">
        <v>207</v>
      </c>
    </row>
    <row r="509" spans="1:5" ht="30">
      <c r="A509" s="261">
        <v>10537</v>
      </c>
      <c r="B509" s="261" t="s">
        <v>4940</v>
      </c>
      <c r="C509" s="261" t="s">
        <v>3240</v>
      </c>
      <c r="D509" s="265" t="s">
        <v>19001</v>
      </c>
      <c r="E509" s="262" t="s">
        <v>207</v>
      </c>
    </row>
    <row r="510" spans="1:5" ht="30">
      <c r="A510" s="261">
        <v>13891</v>
      </c>
      <c r="B510" s="261" t="s">
        <v>4941</v>
      </c>
      <c r="C510" s="261" t="s">
        <v>3240</v>
      </c>
      <c r="D510" s="265" t="s">
        <v>19002</v>
      </c>
      <c r="E510" s="262" t="s">
        <v>207</v>
      </c>
    </row>
    <row r="511" spans="1:5" ht="30">
      <c r="A511" s="261">
        <v>25975</v>
      </c>
      <c r="B511" s="261" t="s">
        <v>4942</v>
      </c>
      <c r="C511" s="261" t="s">
        <v>3240</v>
      </c>
      <c r="D511" s="265" t="s">
        <v>19003</v>
      </c>
      <c r="E511" s="262" t="s">
        <v>207</v>
      </c>
    </row>
    <row r="512" spans="1:5" ht="30">
      <c r="A512" s="261">
        <v>36396</v>
      </c>
      <c r="B512" s="261" t="s">
        <v>4943</v>
      </c>
      <c r="C512" s="261" t="s">
        <v>3240</v>
      </c>
      <c r="D512" s="265" t="s">
        <v>19004</v>
      </c>
      <c r="E512" s="262" t="s">
        <v>207</v>
      </c>
    </row>
    <row r="513" spans="1:5" ht="30">
      <c r="A513" s="261">
        <v>36397</v>
      </c>
      <c r="B513" s="261" t="s">
        <v>4944</v>
      </c>
      <c r="C513" s="261" t="s">
        <v>3240</v>
      </c>
      <c r="D513" s="265" t="s">
        <v>19005</v>
      </c>
      <c r="E513" s="262" t="s">
        <v>207</v>
      </c>
    </row>
    <row r="514" spans="1:5" ht="30">
      <c r="A514" s="261">
        <v>36398</v>
      </c>
      <c r="B514" s="261" t="s">
        <v>4945</v>
      </c>
      <c r="C514" s="261" t="s">
        <v>3240</v>
      </c>
      <c r="D514" s="265" t="s">
        <v>19006</v>
      </c>
      <c r="E514" s="262" t="s">
        <v>207</v>
      </c>
    </row>
    <row r="515" spans="1:5" ht="15">
      <c r="A515" s="261">
        <v>647</v>
      </c>
      <c r="B515" s="261" t="s">
        <v>4946</v>
      </c>
      <c r="C515" s="261" t="s">
        <v>3239</v>
      </c>
      <c r="D515" s="265" t="s">
        <v>11085</v>
      </c>
      <c r="E515" s="262" t="s">
        <v>9714</v>
      </c>
    </row>
    <row r="516" spans="1:5" ht="15">
      <c r="A516" s="261">
        <v>40920</v>
      </c>
      <c r="B516" s="261" t="s">
        <v>4947</v>
      </c>
      <c r="C516" s="261" t="s">
        <v>3246</v>
      </c>
      <c r="D516" s="265" t="s">
        <v>19007</v>
      </c>
      <c r="E516" s="262" t="s">
        <v>9714</v>
      </c>
    </row>
    <row r="517" spans="1:5" ht="30">
      <c r="A517" s="261">
        <v>38783</v>
      </c>
      <c r="B517" s="261" t="s">
        <v>4948</v>
      </c>
      <c r="C517" s="261" t="s">
        <v>3240</v>
      </c>
      <c r="D517" s="265" t="s">
        <v>11364</v>
      </c>
      <c r="E517" s="262" t="s">
        <v>207</v>
      </c>
    </row>
    <row r="518" spans="1:5" ht="30">
      <c r="A518" s="261">
        <v>37593</v>
      </c>
      <c r="B518" s="261" t="s">
        <v>4949</v>
      </c>
      <c r="C518" s="261" t="s">
        <v>3240</v>
      </c>
      <c r="D518" s="265" t="s">
        <v>9951</v>
      </c>
      <c r="E518" s="262" t="s">
        <v>207</v>
      </c>
    </row>
    <row r="519" spans="1:5" ht="30">
      <c r="A519" s="261">
        <v>37594</v>
      </c>
      <c r="B519" s="261" t="s">
        <v>4950</v>
      </c>
      <c r="C519" s="261" t="s">
        <v>3240</v>
      </c>
      <c r="D519" s="265" t="s">
        <v>19008</v>
      </c>
      <c r="E519" s="262" t="s">
        <v>207</v>
      </c>
    </row>
    <row r="520" spans="1:5" ht="30">
      <c r="A520" s="261">
        <v>37592</v>
      </c>
      <c r="B520" s="261" t="s">
        <v>4951</v>
      </c>
      <c r="C520" s="261" t="s">
        <v>3240</v>
      </c>
      <c r="D520" s="265" t="s">
        <v>10911</v>
      </c>
      <c r="E520" s="262" t="s">
        <v>207</v>
      </c>
    </row>
    <row r="521" spans="1:5" ht="30">
      <c r="A521" s="261">
        <v>7266</v>
      </c>
      <c r="B521" s="261" t="s">
        <v>11661</v>
      </c>
      <c r="C521" s="261" t="s">
        <v>3250</v>
      </c>
      <c r="D521" s="265" t="s">
        <v>19009</v>
      </c>
      <c r="E521" s="262" t="s">
        <v>207</v>
      </c>
    </row>
    <row r="522" spans="1:5" ht="30">
      <c r="A522" s="261">
        <v>7270</v>
      </c>
      <c r="B522" s="261" t="s">
        <v>11662</v>
      </c>
      <c r="C522" s="261" t="s">
        <v>3240</v>
      </c>
      <c r="D522" s="265" t="s">
        <v>9960</v>
      </c>
      <c r="E522" s="262" t="s">
        <v>207</v>
      </c>
    </row>
    <row r="523" spans="1:5" ht="30">
      <c r="A523" s="261">
        <v>7267</v>
      </c>
      <c r="B523" s="261" t="s">
        <v>11663</v>
      </c>
      <c r="C523" s="261" t="s">
        <v>3240</v>
      </c>
      <c r="D523" s="265" t="s">
        <v>10005</v>
      </c>
      <c r="E523" s="262" t="s">
        <v>207</v>
      </c>
    </row>
    <row r="524" spans="1:5" ht="30">
      <c r="A524" s="261">
        <v>7269</v>
      </c>
      <c r="B524" s="261" t="s">
        <v>11664</v>
      </c>
      <c r="C524" s="261" t="s">
        <v>3240</v>
      </c>
      <c r="D524" s="265" t="s">
        <v>9862</v>
      </c>
      <c r="E524" s="262" t="s">
        <v>207</v>
      </c>
    </row>
    <row r="525" spans="1:5" ht="30">
      <c r="A525" s="261">
        <v>7271</v>
      </c>
      <c r="B525" s="261" t="s">
        <v>11665</v>
      </c>
      <c r="C525" s="261" t="s">
        <v>3240</v>
      </c>
      <c r="D525" s="265" t="s">
        <v>9864</v>
      </c>
      <c r="E525" s="262" t="s">
        <v>207</v>
      </c>
    </row>
    <row r="526" spans="1:5" ht="30">
      <c r="A526" s="261">
        <v>7268</v>
      </c>
      <c r="B526" s="261" t="s">
        <v>11666</v>
      </c>
      <c r="C526" s="261" t="s">
        <v>3240</v>
      </c>
      <c r="D526" s="265" t="s">
        <v>11202</v>
      </c>
      <c r="E526" s="262" t="s">
        <v>207</v>
      </c>
    </row>
    <row r="527" spans="1:5" ht="15">
      <c r="A527" s="261">
        <v>34556</v>
      </c>
      <c r="B527" s="261" t="s">
        <v>11667</v>
      </c>
      <c r="C527" s="261" t="s">
        <v>3240</v>
      </c>
      <c r="D527" s="266" t="s">
        <v>9859</v>
      </c>
      <c r="E527" s="262" t="s">
        <v>207</v>
      </c>
    </row>
    <row r="528" spans="1:5" ht="15">
      <c r="A528" s="261">
        <v>37873</v>
      </c>
      <c r="B528" s="261" t="s">
        <v>11668</v>
      </c>
      <c r="C528" s="261" t="s">
        <v>3240</v>
      </c>
      <c r="D528" s="266" t="s">
        <v>11375</v>
      </c>
      <c r="E528" s="262" t="s">
        <v>207</v>
      </c>
    </row>
    <row r="529" spans="1:5" ht="15">
      <c r="A529" s="261">
        <v>34564</v>
      </c>
      <c r="B529" s="261" t="s">
        <v>11669</v>
      </c>
      <c r="C529" s="261" t="s">
        <v>3240</v>
      </c>
      <c r="D529" s="265" t="s">
        <v>10073</v>
      </c>
      <c r="E529" s="262" t="s">
        <v>207</v>
      </c>
    </row>
    <row r="530" spans="1:5" ht="15">
      <c r="A530" s="261">
        <v>34565</v>
      </c>
      <c r="B530" s="261" t="s">
        <v>11670</v>
      </c>
      <c r="C530" s="261" t="s">
        <v>3240</v>
      </c>
      <c r="D530" s="266" t="s">
        <v>10656</v>
      </c>
      <c r="E530" s="262" t="s">
        <v>207</v>
      </c>
    </row>
    <row r="531" spans="1:5" ht="15">
      <c r="A531" s="261">
        <v>38590</v>
      </c>
      <c r="B531" s="261" t="s">
        <v>11671</v>
      </c>
      <c r="C531" s="261" t="s">
        <v>3240</v>
      </c>
      <c r="D531" s="265" t="s">
        <v>9742</v>
      </c>
      <c r="E531" s="262" t="s">
        <v>207</v>
      </c>
    </row>
    <row r="532" spans="1:5" ht="15">
      <c r="A532" s="261">
        <v>34566</v>
      </c>
      <c r="B532" s="261" t="s">
        <v>11672</v>
      </c>
      <c r="C532" s="261" t="s">
        <v>3240</v>
      </c>
      <c r="D532" s="265" t="s">
        <v>16398</v>
      </c>
      <c r="E532" s="262" t="s">
        <v>207</v>
      </c>
    </row>
    <row r="533" spans="1:5" ht="15">
      <c r="A533" s="261">
        <v>34567</v>
      </c>
      <c r="B533" s="261" t="s">
        <v>11673</v>
      </c>
      <c r="C533" s="261" t="s">
        <v>3240</v>
      </c>
      <c r="D533" s="265" t="s">
        <v>10425</v>
      </c>
      <c r="E533" s="262" t="s">
        <v>207</v>
      </c>
    </row>
    <row r="534" spans="1:5" ht="15">
      <c r="A534" s="261">
        <v>38591</v>
      </c>
      <c r="B534" s="261" t="s">
        <v>11674</v>
      </c>
      <c r="C534" s="261" t="s">
        <v>3240</v>
      </c>
      <c r="D534" s="265" t="s">
        <v>10018</v>
      </c>
      <c r="E534" s="262" t="s">
        <v>207</v>
      </c>
    </row>
    <row r="535" spans="1:5" ht="15">
      <c r="A535" s="261">
        <v>34568</v>
      </c>
      <c r="B535" s="261" t="s">
        <v>11675</v>
      </c>
      <c r="C535" s="261" t="s">
        <v>3240</v>
      </c>
      <c r="D535" s="266" t="s">
        <v>18772</v>
      </c>
      <c r="E535" s="262" t="s">
        <v>207</v>
      </c>
    </row>
    <row r="536" spans="1:5" ht="15">
      <c r="A536" s="261">
        <v>34569</v>
      </c>
      <c r="B536" s="261" t="s">
        <v>11676</v>
      </c>
      <c r="C536" s="261" t="s">
        <v>3240</v>
      </c>
      <c r="D536" s="266" t="s">
        <v>10656</v>
      </c>
      <c r="E536" s="262" t="s">
        <v>207</v>
      </c>
    </row>
    <row r="537" spans="1:5" ht="15">
      <c r="A537" s="261">
        <v>34570</v>
      </c>
      <c r="B537" s="261" t="s">
        <v>11677</v>
      </c>
      <c r="C537" s="261" t="s">
        <v>3240</v>
      </c>
      <c r="D537" s="266" t="s">
        <v>10497</v>
      </c>
      <c r="E537" s="262" t="s">
        <v>207</v>
      </c>
    </row>
    <row r="538" spans="1:5" ht="15">
      <c r="A538" s="261">
        <v>25070</v>
      </c>
      <c r="B538" s="261" t="s">
        <v>11678</v>
      </c>
      <c r="C538" s="261" t="s">
        <v>3240</v>
      </c>
      <c r="D538" s="265" t="s">
        <v>19008</v>
      </c>
      <c r="E538" s="262" t="s">
        <v>207</v>
      </c>
    </row>
    <row r="539" spans="1:5" ht="15">
      <c r="A539" s="261">
        <v>34571</v>
      </c>
      <c r="B539" s="261" t="s">
        <v>11679</v>
      </c>
      <c r="C539" s="261" t="s">
        <v>3240</v>
      </c>
      <c r="D539" s="266" t="s">
        <v>11178</v>
      </c>
      <c r="E539" s="262" t="s">
        <v>207</v>
      </c>
    </row>
    <row r="540" spans="1:5" ht="15">
      <c r="A540" s="261">
        <v>34573</v>
      </c>
      <c r="B540" s="261" t="s">
        <v>11680</v>
      </c>
      <c r="C540" s="261" t="s">
        <v>3240</v>
      </c>
      <c r="D540" s="266" t="s">
        <v>9989</v>
      </c>
      <c r="E540" s="262" t="s">
        <v>207</v>
      </c>
    </row>
    <row r="541" spans="1:5" ht="15">
      <c r="A541" s="261">
        <v>37107</v>
      </c>
      <c r="B541" s="261" t="s">
        <v>11681</v>
      </c>
      <c r="C541" s="261" t="s">
        <v>3240</v>
      </c>
      <c r="D541" s="266" t="s">
        <v>11345</v>
      </c>
      <c r="E541" s="262" t="s">
        <v>207</v>
      </c>
    </row>
    <row r="542" spans="1:5" ht="15">
      <c r="A542" s="261">
        <v>34576</v>
      </c>
      <c r="B542" s="261" t="s">
        <v>11682</v>
      </c>
      <c r="C542" s="261" t="s">
        <v>3240</v>
      </c>
      <c r="D542" s="266" t="s">
        <v>19010</v>
      </c>
      <c r="E542" s="262" t="s">
        <v>207</v>
      </c>
    </row>
    <row r="543" spans="1:5" ht="15">
      <c r="A543" s="261">
        <v>34577</v>
      </c>
      <c r="B543" s="261" t="s">
        <v>11683</v>
      </c>
      <c r="C543" s="261" t="s">
        <v>3240</v>
      </c>
      <c r="D543" s="266" t="s">
        <v>11188</v>
      </c>
      <c r="E543" s="262" t="s">
        <v>207</v>
      </c>
    </row>
    <row r="544" spans="1:5" ht="15">
      <c r="A544" s="261">
        <v>34578</v>
      </c>
      <c r="B544" s="261" t="s">
        <v>11684</v>
      </c>
      <c r="C544" s="261" t="s">
        <v>3240</v>
      </c>
      <c r="D544" s="266" t="s">
        <v>10627</v>
      </c>
      <c r="E544" s="262" t="s">
        <v>207</v>
      </c>
    </row>
    <row r="545" spans="1:5" ht="15">
      <c r="A545" s="261">
        <v>34579</v>
      </c>
      <c r="B545" s="261" t="s">
        <v>11685</v>
      </c>
      <c r="C545" s="261" t="s">
        <v>3240</v>
      </c>
      <c r="D545" s="266" t="s">
        <v>10107</v>
      </c>
      <c r="E545" s="262" t="s">
        <v>207</v>
      </c>
    </row>
    <row r="546" spans="1:5" ht="15">
      <c r="A546" s="261">
        <v>25067</v>
      </c>
      <c r="B546" s="261" t="s">
        <v>11686</v>
      </c>
      <c r="C546" s="261" t="s">
        <v>3240</v>
      </c>
      <c r="D546" s="266" t="s">
        <v>10496</v>
      </c>
      <c r="E546" s="262" t="s">
        <v>207</v>
      </c>
    </row>
    <row r="547" spans="1:5" ht="15">
      <c r="A547" s="261">
        <v>34580</v>
      </c>
      <c r="B547" s="261" t="s">
        <v>11687</v>
      </c>
      <c r="C547" s="261" t="s">
        <v>3240</v>
      </c>
      <c r="D547" s="266" t="s">
        <v>9863</v>
      </c>
      <c r="E547" s="262" t="s">
        <v>207</v>
      </c>
    </row>
    <row r="548" spans="1:5" ht="15">
      <c r="A548" s="261">
        <v>25071</v>
      </c>
      <c r="B548" s="261" t="s">
        <v>11688</v>
      </c>
      <c r="C548" s="261" t="s">
        <v>3240</v>
      </c>
      <c r="D548" s="266" t="s">
        <v>11416</v>
      </c>
      <c r="E548" s="262" t="s">
        <v>207</v>
      </c>
    </row>
    <row r="549" spans="1:5" ht="15">
      <c r="A549" s="261">
        <v>38395</v>
      </c>
      <c r="B549" s="261" t="s">
        <v>4952</v>
      </c>
      <c r="C549" s="261" t="s">
        <v>3240</v>
      </c>
      <c r="D549" s="266" t="s">
        <v>10304</v>
      </c>
      <c r="E549" s="262" t="s">
        <v>207</v>
      </c>
    </row>
    <row r="550" spans="1:5" ht="30">
      <c r="A550" s="261">
        <v>34583</v>
      </c>
      <c r="B550" s="261" t="s">
        <v>11689</v>
      </c>
      <c r="C550" s="261" t="s">
        <v>3242</v>
      </c>
      <c r="D550" s="266" t="s">
        <v>19011</v>
      </c>
      <c r="E550" s="262" t="s">
        <v>207</v>
      </c>
    </row>
    <row r="551" spans="1:5" ht="15">
      <c r="A551" s="261">
        <v>34584</v>
      </c>
      <c r="B551" s="261" t="s">
        <v>11690</v>
      </c>
      <c r="C551" s="261" t="s">
        <v>3242</v>
      </c>
      <c r="D551" s="266" t="s">
        <v>19012</v>
      </c>
      <c r="E551" s="262" t="s">
        <v>207</v>
      </c>
    </row>
    <row r="552" spans="1:5" ht="30">
      <c r="A552" s="261">
        <v>709</v>
      </c>
      <c r="B552" s="261" t="s">
        <v>4953</v>
      </c>
      <c r="C552" s="261" t="s">
        <v>3242</v>
      </c>
      <c r="D552" s="266" t="s">
        <v>19013</v>
      </c>
      <c r="E552" s="262" t="s">
        <v>207</v>
      </c>
    </row>
    <row r="553" spans="1:5" ht="15">
      <c r="A553" s="261">
        <v>34599</v>
      </c>
      <c r="B553" s="261" t="s">
        <v>11691</v>
      </c>
      <c r="C553" s="261" t="s">
        <v>3240</v>
      </c>
      <c r="D553" s="266" t="s">
        <v>9994</v>
      </c>
      <c r="E553" s="262" t="s">
        <v>207</v>
      </c>
    </row>
    <row r="554" spans="1:5" ht="15">
      <c r="A554" s="261">
        <v>34592</v>
      </c>
      <c r="B554" s="261" t="s">
        <v>11692</v>
      </c>
      <c r="C554" s="261" t="s">
        <v>3240</v>
      </c>
      <c r="D554" s="266" t="s">
        <v>11069</v>
      </c>
      <c r="E554" s="262" t="s">
        <v>207</v>
      </c>
    </row>
    <row r="555" spans="1:5" ht="15">
      <c r="A555" s="261">
        <v>37103</v>
      </c>
      <c r="B555" s="261" t="s">
        <v>11693</v>
      </c>
      <c r="C555" s="261" t="s">
        <v>3240</v>
      </c>
      <c r="D555" s="266" t="s">
        <v>10583</v>
      </c>
      <c r="E555" s="262" t="s">
        <v>207</v>
      </c>
    </row>
    <row r="556" spans="1:5" ht="15">
      <c r="A556" s="261">
        <v>34555</v>
      </c>
      <c r="B556" s="261" t="s">
        <v>11694</v>
      </c>
      <c r="C556" s="261" t="s">
        <v>3240</v>
      </c>
      <c r="D556" s="266" t="s">
        <v>9990</v>
      </c>
      <c r="E556" s="262" t="s">
        <v>207</v>
      </c>
    </row>
    <row r="557" spans="1:5" ht="30">
      <c r="A557" s="261">
        <v>674</v>
      </c>
      <c r="B557" s="261" t="s">
        <v>11695</v>
      </c>
      <c r="C557" s="261" t="s">
        <v>3242</v>
      </c>
      <c r="D557" s="265" t="s">
        <v>19014</v>
      </c>
      <c r="E557" s="262" t="s">
        <v>207</v>
      </c>
    </row>
    <row r="558" spans="1:5" ht="30">
      <c r="A558" s="261">
        <v>34600</v>
      </c>
      <c r="B558" s="261" t="s">
        <v>11696</v>
      </c>
      <c r="C558" s="261" t="s">
        <v>3242</v>
      </c>
      <c r="D558" s="265" t="s">
        <v>19015</v>
      </c>
      <c r="E558" s="262" t="s">
        <v>207</v>
      </c>
    </row>
    <row r="559" spans="1:5" ht="30">
      <c r="A559" s="261">
        <v>652</v>
      </c>
      <c r="B559" s="261" t="s">
        <v>11697</v>
      </c>
      <c r="C559" s="261" t="s">
        <v>3242</v>
      </c>
      <c r="D559" s="265" t="s">
        <v>19016</v>
      </c>
      <c r="E559" s="262" t="s">
        <v>207</v>
      </c>
    </row>
    <row r="560" spans="1:5" ht="15">
      <c r="A560" s="261">
        <v>651</v>
      </c>
      <c r="B560" s="261" t="s">
        <v>11698</v>
      </c>
      <c r="C560" s="261" t="s">
        <v>3240</v>
      </c>
      <c r="D560" s="265" t="s">
        <v>9805</v>
      </c>
      <c r="E560" s="262" t="s">
        <v>207</v>
      </c>
    </row>
    <row r="561" spans="1:5" ht="15">
      <c r="A561" s="261">
        <v>654</v>
      </c>
      <c r="B561" s="261" t="s">
        <v>11699</v>
      </c>
      <c r="C561" s="261" t="s">
        <v>3240</v>
      </c>
      <c r="D561" s="265" t="s">
        <v>9859</v>
      </c>
      <c r="E561" s="262" t="s">
        <v>207</v>
      </c>
    </row>
    <row r="562" spans="1:5" ht="15">
      <c r="A562" s="261">
        <v>650</v>
      </c>
      <c r="B562" s="261" t="s">
        <v>11700</v>
      </c>
      <c r="C562" s="261" t="s">
        <v>3240</v>
      </c>
      <c r="D562" s="265" t="s">
        <v>9825</v>
      </c>
      <c r="E562" s="262" t="s">
        <v>207</v>
      </c>
    </row>
    <row r="563" spans="1:5" ht="15">
      <c r="A563" s="261">
        <v>716</v>
      </c>
      <c r="B563" s="261" t="s">
        <v>4954</v>
      </c>
      <c r="C563" s="261" t="s">
        <v>3240</v>
      </c>
      <c r="D563" s="265" t="s">
        <v>19017</v>
      </c>
      <c r="E563" s="262" t="s">
        <v>207</v>
      </c>
    </row>
    <row r="564" spans="1:5" ht="15">
      <c r="A564" s="261">
        <v>715</v>
      </c>
      <c r="B564" s="261" t="s">
        <v>4955</v>
      </c>
      <c r="C564" s="261" t="s">
        <v>3240</v>
      </c>
      <c r="D564" s="265" t="s">
        <v>14225</v>
      </c>
      <c r="E564" s="262" t="s">
        <v>207</v>
      </c>
    </row>
    <row r="565" spans="1:5" ht="15">
      <c r="A565" s="261">
        <v>718</v>
      </c>
      <c r="B565" s="261" t="s">
        <v>4956</v>
      </c>
      <c r="C565" s="261" t="s">
        <v>3240</v>
      </c>
      <c r="D565" s="265" t="s">
        <v>16052</v>
      </c>
      <c r="E565" s="262" t="s">
        <v>207</v>
      </c>
    </row>
    <row r="566" spans="1:5" ht="15">
      <c r="A566" s="261">
        <v>11981</v>
      </c>
      <c r="B566" s="261" t="s">
        <v>4957</v>
      </c>
      <c r="C566" s="261" t="s">
        <v>3240</v>
      </c>
      <c r="D566" s="265" t="s">
        <v>19018</v>
      </c>
      <c r="E566" s="262" t="s">
        <v>207</v>
      </c>
    </row>
    <row r="567" spans="1:5" ht="15">
      <c r="A567" s="261">
        <v>34586</v>
      </c>
      <c r="B567" s="261" t="s">
        <v>4958</v>
      </c>
      <c r="C567" s="261" t="s">
        <v>3240</v>
      </c>
      <c r="D567" s="265" t="s">
        <v>11162</v>
      </c>
      <c r="E567" s="262" t="s">
        <v>207</v>
      </c>
    </row>
    <row r="568" spans="1:5" ht="15">
      <c r="A568" s="261">
        <v>38603</v>
      </c>
      <c r="B568" s="261" t="s">
        <v>4959</v>
      </c>
      <c r="C568" s="261" t="s">
        <v>3240</v>
      </c>
      <c r="D568" s="265" t="s">
        <v>9776</v>
      </c>
      <c r="E568" s="262" t="s">
        <v>207</v>
      </c>
    </row>
    <row r="569" spans="1:5" ht="15">
      <c r="A569" s="261">
        <v>34588</v>
      </c>
      <c r="B569" s="261" t="s">
        <v>4960</v>
      </c>
      <c r="C569" s="261" t="s">
        <v>3240</v>
      </c>
      <c r="D569" s="265" t="s">
        <v>10034</v>
      </c>
      <c r="E569" s="262" t="s">
        <v>207</v>
      </c>
    </row>
    <row r="570" spans="1:5" ht="15">
      <c r="A570" s="261">
        <v>34590</v>
      </c>
      <c r="B570" s="261" t="s">
        <v>4961</v>
      </c>
      <c r="C570" s="261" t="s">
        <v>3240</v>
      </c>
      <c r="D570" s="265" t="s">
        <v>11242</v>
      </c>
      <c r="E570" s="262" t="s">
        <v>207</v>
      </c>
    </row>
    <row r="571" spans="1:5" ht="15">
      <c r="A571" s="261">
        <v>34591</v>
      </c>
      <c r="B571" s="261" t="s">
        <v>4962</v>
      </c>
      <c r="C571" s="261" t="s">
        <v>3240</v>
      </c>
      <c r="D571" s="265" t="s">
        <v>9797</v>
      </c>
      <c r="E571" s="262" t="s">
        <v>207</v>
      </c>
    </row>
    <row r="572" spans="1:5" ht="15">
      <c r="A572" s="261">
        <v>41372</v>
      </c>
      <c r="B572" s="261" t="s">
        <v>11701</v>
      </c>
      <c r="C572" s="261" t="s">
        <v>3242</v>
      </c>
      <c r="D572" s="265" t="s">
        <v>19019</v>
      </c>
      <c r="E572" s="262" t="s">
        <v>207</v>
      </c>
    </row>
    <row r="573" spans="1:5" ht="15">
      <c r="A573" s="261">
        <v>41371</v>
      </c>
      <c r="B573" s="261" t="s">
        <v>11702</v>
      </c>
      <c r="C573" s="261" t="s">
        <v>3242</v>
      </c>
      <c r="D573" s="265" t="s">
        <v>19020</v>
      </c>
      <c r="E573" s="262" t="s">
        <v>207</v>
      </c>
    </row>
    <row r="574" spans="1:5" ht="45">
      <c r="A574" s="261">
        <v>40517</v>
      </c>
      <c r="B574" s="261" t="s">
        <v>11222</v>
      </c>
      <c r="C574" s="261" t="s">
        <v>3242</v>
      </c>
      <c r="D574" s="265" t="s">
        <v>16676</v>
      </c>
      <c r="E574" s="262" t="s">
        <v>207</v>
      </c>
    </row>
    <row r="575" spans="1:5" ht="45">
      <c r="A575" s="261">
        <v>40515</v>
      </c>
      <c r="B575" s="261" t="s">
        <v>11223</v>
      </c>
      <c r="C575" s="261" t="s">
        <v>3242</v>
      </c>
      <c r="D575" s="265" t="s">
        <v>19021</v>
      </c>
      <c r="E575" s="262" t="s">
        <v>207</v>
      </c>
    </row>
    <row r="576" spans="1:5" ht="45">
      <c r="A576" s="261">
        <v>40529</v>
      </c>
      <c r="B576" s="261" t="s">
        <v>4963</v>
      </c>
      <c r="C576" s="261" t="s">
        <v>3242</v>
      </c>
      <c r="D576" s="265" t="s">
        <v>19022</v>
      </c>
      <c r="E576" s="262" t="s">
        <v>207</v>
      </c>
    </row>
    <row r="577" spans="1:5" ht="45">
      <c r="A577" s="261">
        <v>36170</v>
      </c>
      <c r="B577" s="261" t="s">
        <v>4964</v>
      </c>
      <c r="C577" s="261" t="s">
        <v>3242</v>
      </c>
      <c r="D577" s="265" t="s">
        <v>19023</v>
      </c>
      <c r="E577" s="262" t="s">
        <v>207</v>
      </c>
    </row>
    <row r="578" spans="1:5" ht="45">
      <c r="A578" s="261">
        <v>40524</v>
      </c>
      <c r="B578" s="261" t="s">
        <v>4965</v>
      </c>
      <c r="C578" s="261" t="s">
        <v>3242</v>
      </c>
      <c r="D578" s="265" t="s">
        <v>15874</v>
      </c>
      <c r="E578" s="262" t="s">
        <v>207</v>
      </c>
    </row>
    <row r="579" spans="1:5" ht="45">
      <c r="A579" s="261">
        <v>36156</v>
      </c>
      <c r="B579" s="261" t="s">
        <v>4966</v>
      </c>
      <c r="C579" s="261" t="s">
        <v>3242</v>
      </c>
      <c r="D579" s="265" t="s">
        <v>19024</v>
      </c>
      <c r="E579" s="262" t="s">
        <v>207</v>
      </c>
    </row>
    <row r="580" spans="1:5" ht="45">
      <c r="A580" s="261">
        <v>36155</v>
      </c>
      <c r="B580" s="261" t="s">
        <v>4967</v>
      </c>
      <c r="C580" s="261" t="s">
        <v>3242</v>
      </c>
      <c r="D580" s="265" t="s">
        <v>19025</v>
      </c>
      <c r="E580" s="262" t="s">
        <v>207</v>
      </c>
    </row>
    <row r="581" spans="1:5" ht="45">
      <c r="A581" s="261">
        <v>36154</v>
      </c>
      <c r="B581" s="261" t="s">
        <v>4968</v>
      </c>
      <c r="C581" s="261" t="s">
        <v>3242</v>
      </c>
      <c r="D581" s="265" t="s">
        <v>16001</v>
      </c>
      <c r="E581" s="262" t="s">
        <v>207</v>
      </c>
    </row>
    <row r="582" spans="1:5" ht="30">
      <c r="A582" s="261">
        <v>695</v>
      </c>
      <c r="B582" s="261" t="s">
        <v>4969</v>
      </c>
      <c r="C582" s="261" t="s">
        <v>3242</v>
      </c>
      <c r="D582" s="265" t="s">
        <v>10463</v>
      </c>
      <c r="E582" s="262" t="s">
        <v>207</v>
      </c>
    </row>
    <row r="583" spans="1:5" ht="45">
      <c r="A583" s="261">
        <v>679</v>
      </c>
      <c r="B583" s="261" t="s">
        <v>11226</v>
      </c>
      <c r="C583" s="261" t="s">
        <v>3242</v>
      </c>
      <c r="D583" s="265" t="s">
        <v>19022</v>
      </c>
      <c r="E583" s="262" t="s">
        <v>207</v>
      </c>
    </row>
    <row r="584" spans="1:5" ht="45">
      <c r="A584" s="261">
        <v>711</v>
      </c>
      <c r="B584" s="261" t="s">
        <v>11227</v>
      </c>
      <c r="C584" s="261" t="s">
        <v>3242</v>
      </c>
      <c r="D584" s="265" t="s">
        <v>19026</v>
      </c>
      <c r="E584" s="262" t="s">
        <v>207</v>
      </c>
    </row>
    <row r="585" spans="1:5" ht="45">
      <c r="A585" s="261">
        <v>712</v>
      </c>
      <c r="B585" s="261" t="s">
        <v>11228</v>
      </c>
      <c r="C585" s="261" t="s">
        <v>3242</v>
      </c>
      <c r="D585" s="265" t="s">
        <v>19027</v>
      </c>
      <c r="E585" s="262" t="s">
        <v>207</v>
      </c>
    </row>
    <row r="586" spans="1:5" ht="30">
      <c r="A586" s="261">
        <v>12614</v>
      </c>
      <c r="B586" s="261" t="s">
        <v>4970</v>
      </c>
      <c r="C586" s="261" t="s">
        <v>3240</v>
      </c>
      <c r="D586" s="265" t="s">
        <v>14227</v>
      </c>
      <c r="E586" s="262" t="s">
        <v>207</v>
      </c>
    </row>
    <row r="587" spans="1:5" ht="15">
      <c r="A587" s="261">
        <v>6140</v>
      </c>
      <c r="B587" s="261" t="s">
        <v>4971</v>
      </c>
      <c r="C587" s="261" t="s">
        <v>3240</v>
      </c>
      <c r="D587" s="265" t="s">
        <v>18765</v>
      </c>
      <c r="E587" s="262" t="s">
        <v>207</v>
      </c>
    </row>
    <row r="588" spans="1:5" ht="15">
      <c r="A588" s="261">
        <v>38399</v>
      </c>
      <c r="B588" s="261" t="s">
        <v>4972</v>
      </c>
      <c r="C588" s="261" t="s">
        <v>3240</v>
      </c>
      <c r="D588" s="265" t="s">
        <v>19028</v>
      </c>
      <c r="E588" s="262" t="s">
        <v>207</v>
      </c>
    </row>
    <row r="589" spans="1:5" ht="45">
      <c r="A589" s="261">
        <v>735</v>
      </c>
      <c r="B589" s="261" t="s">
        <v>4973</v>
      </c>
      <c r="C589" s="261" t="s">
        <v>3240</v>
      </c>
      <c r="D589" s="265" t="s">
        <v>19029</v>
      </c>
      <c r="E589" s="262" t="s">
        <v>207</v>
      </c>
    </row>
    <row r="590" spans="1:5" ht="45">
      <c r="A590" s="261">
        <v>736</v>
      </c>
      <c r="B590" s="261" t="s">
        <v>4974</v>
      </c>
      <c r="C590" s="261" t="s">
        <v>3240</v>
      </c>
      <c r="D590" s="265" t="s">
        <v>19030</v>
      </c>
      <c r="E590" s="262" t="s">
        <v>207</v>
      </c>
    </row>
    <row r="591" spans="1:5" ht="45">
      <c r="A591" s="261">
        <v>729</v>
      </c>
      <c r="B591" s="261" t="s">
        <v>4975</v>
      </c>
      <c r="C591" s="261" t="s">
        <v>3240</v>
      </c>
      <c r="D591" s="265" t="s">
        <v>19031</v>
      </c>
      <c r="E591" s="262" t="s">
        <v>207</v>
      </c>
    </row>
    <row r="592" spans="1:5" ht="45">
      <c r="A592" s="261">
        <v>39925</v>
      </c>
      <c r="B592" s="261" t="s">
        <v>4976</v>
      </c>
      <c r="C592" s="261" t="s">
        <v>3240</v>
      </c>
      <c r="D592" s="265" t="s">
        <v>19032</v>
      </c>
      <c r="E592" s="262" t="s">
        <v>207</v>
      </c>
    </row>
    <row r="593" spans="1:5" ht="30">
      <c r="A593" s="261">
        <v>731</v>
      </c>
      <c r="B593" s="261" t="s">
        <v>4977</v>
      </c>
      <c r="C593" s="261" t="s">
        <v>3240</v>
      </c>
      <c r="D593" s="265" t="s">
        <v>19033</v>
      </c>
      <c r="E593" s="262" t="s">
        <v>207</v>
      </c>
    </row>
    <row r="594" spans="1:5" ht="45">
      <c r="A594" s="261">
        <v>10575</v>
      </c>
      <c r="B594" s="261" t="s">
        <v>4978</v>
      </c>
      <c r="C594" s="261" t="s">
        <v>3240</v>
      </c>
      <c r="D594" s="265" t="s">
        <v>19034</v>
      </c>
      <c r="E594" s="262" t="s">
        <v>207</v>
      </c>
    </row>
    <row r="595" spans="1:5" ht="45">
      <c r="A595" s="261">
        <v>733</v>
      </c>
      <c r="B595" s="261" t="s">
        <v>4979</v>
      </c>
      <c r="C595" s="261" t="s">
        <v>3240</v>
      </c>
      <c r="D595" s="265" t="s">
        <v>19035</v>
      </c>
      <c r="E595" s="262" t="s">
        <v>207</v>
      </c>
    </row>
    <row r="596" spans="1:5" ht="45">
      <c r="A596" s="261">
        <v>732</v>
      </c>
      <c r="B596" s="261" t="s">
        <v>4980</v>
      </c>
      <c r="C596" s="261" t="s">
        <v>3240</v>
      </c>
      <c r="D596" s="265" t="s">
        <v>19036</v>
      </c>
      <c r="E596" s="262" t="s">
        <v>207</v>
      </c>
    </row>
    <row r="597" spans="1:5" ht="45">
      <c r="A597" s="261">
        <v>737</v>
      </c>
      <c r="B597" s="261" t="s">
        <v>4981</v>
      </c>
      <c r="C597" s="261" t="s">
        <v>3240</v>
      </c>
      <c r="D597" s="265" t="s">
        <v>19037</v>
      </c>
      <c r="E597" s="262" t="s">
        <v>207</v>
      </c>
    </row>
    <row r="598" spans="1:5" ht="45">
      <c r="A598" s="261">
        <v>738</v>
      </c>
      <c r="B598" s="261" t="s">
        <v>4982</v>
      </c>
      <c r="C598" s="261" t="s">
        <v>3240</v>
      </c>
      <c r="D598" s="265" t="s">
        <v>19038</v>
      </c>
      <c r="E598" s="262" t="s">
        <v>207</v>
      </c>
    </row>
    <row r="599" spans="1:5" ht="45">
      <c r="A599" s="261">
        <v>740</v>
      </c>
      <c r="B599" s="261" t="s">
        <v>4983</v>
      </c>
      <c r="C599" s="261" t="s">
        <v>3240</v>
      </c>
      <c r="D599" s="265" t="s">
        <v>19039</v>
      </c>
      <c r="E599" s="262" t="s">
        <v>207</v>
      </c>
    </row>
    <row r="600" spans="1:5" ht="45">
      <c r="A600" s="261">
        <v>734</v>
      </c>
      <c r="B600" s="261" t="s">
        <v>4984</v>
      </c>
      <c r="C600" s="261" t="s">
        <v>3240</v>
      </c>
      <c r="D600" s="265" t="s">
        <v>19040</v>
      </c>
      <c r="E600" s="262" t="s">
        <v>207</v>
      </c>
    </row>
    <row r="601" spans="1:5" ht="15">
      <c r="A601" s="261">
        <v>39008</v>
      </c>
      <c r="B601" s="261" t="s">
        <v>4985</v>
      </c>
      <c r="C601" s="261" t="s">
        <v>3240</v>
      </c>
      <c r="D601" s="265" t="s">
        <v>19041</v>
      </c>
      <c r="E601" s="262" t="s">
        <v>8987</v>
      </c>
    </row>
    <row r="602" spans="1:5" ht="15">
      <c r="A602" s="261">
        <v>39009</v>
      </c>
      <c r="B602" s="261" t="s">
        <v>4986</v>
      </c>
      <c r="C602" s="261" t="s">
        <v>3240</v>
      </c>
      <c r="D602" s="265" t="s">
        <v>19042</v>
      </c>
      <c r="E602" s="262" t="s">
        <v>8987</v>
      </c>
    </row>
    <row r="603" spans="1:5" ht="60">
      <c r="A603" s="261">
        <v>10587</v>
      </c>
      <c r="B603" s="261" t="s">
        <v>4987</v>
      </c>
      <c r="C603" s="261" t="s">
        <v>3240</v>
      </c>
      <c r="D603" s="265" t="s">
        <v>19043</v>
      </c>
      <c r="E603" s="262" t="s">
        <v>207</v>
      </c>
    </row>
    <row r="604" spans="1:5" ht="60">
      <c r="A604" s="261">
        <v>759</v>
      </c>
      <c r="B604" s="261" t="s">
        <v>4988</v>
      </c>
      <c r="C604" s="261" t="s">
        <v>3240</v>
      </c>
      <c r="D604" s="265" t="s">
        <v>19044</v>
      </c>
      <c r="E604" s="262" t="s">
        <v>207</v>
      </c>
    </row>
    <row r="605" spans="1:5" ht="60">
      <c r="A605" s="261">
        <v>761</v>
      </c>
      <c r="B605" s="261" t="s">
        <v>4989</v>
      </c>
      <c r="C605" s="261" t="s">
        <v>3240</v>
      </c>
      <c r="D605" s="265" t="s">
        <v>19045</v>
      </c>
      <c r="E605" s="262" t="s">
        <v>207</v>
      </c>
    </row>
    <row r="606" spans="1:5" ht="45">
      <c r="A606" s="261">
        <v>750</v>
      </c>
      <c r="B606" s="261" t="s">
        <v>4990</v>
      </c>
      <c r="C606" s="261" t="s">
        <v>3240</v>
      </c>
      <c r="D606" s="265" t="s">
        <v>19046</v>
      </c>
      <c r="E606" s="262" t="s">
        <v>207</v>
      </c>
    </row>
    <row r="607" spans="1:5" ht="60">
      <c r="A607" s="261">
        <v>755</v>
      </c>
      <c r="B607" s="261" t="s">
        <v>4991</v>
      </c>
      <c r="C607" s="261" t="s">
        <v>3240</v>
      </c>
      <c r="D607" s="265" t="s">
        <v>19047</v>
      </c>
      <c r="E607" s="262" t="s">
        <v>207</v>
      </c>
    </row>
    <row r="608" spans="1:5" ht="60">
      <c r="A608" s="261">
        <v>749</v>
      </c>
      <c r="B608" s="261" t="s">
        <v>4992</v>
      </c>
      <c r="C608" s="261" t="s">
        <v>3240</v>
      </c>
      <c r="D608" s="265" t="s">
        <v>19048</v>
      </c>
      <c r="E608" s="262" t="s">
        <v>207</v>
      </c>
    </row>
    <row r="609" spans="1:5" ht="60">
      <c r="A609" s="261">
        <v>756</v>
      </c>
      <c r="B609" s="261" t="s">
        <v>4993</v>
      </c>
      <c r="C609" s="261" t="s">
        <v>3240</v>
      </c>
      <c r="D609" s="265" t="s">
        <v>19049</v>
      </c>
      <c r="E609" s="262" t="s">
        <v>207</v>
      </c>
    </row>
    <row r="610" spans="1:5" ht="45">
      <c r="A610" s="261">
        <v>757</v>
      </c>
      <c r="B610" s="261" t="s">
        <v>4994</v>
      </c>
      <c r="C610" s="261" t="s">
        <v>3240</v>
      </c>
      <c r="D610" s="265" t="s">
        <v>19050</v>
      </c>
      <c r="E610" s="262" t="s">
        <v>207</v>
      </c>
    </row>
    <row r="611" spans="1:5" ht="45">
      <c r="A611" s="261">
        <v>10588</v>
      </c>
      <c r="B611" s="261" t="s">
        <v>4995</v>
      </c>
      <c r="C611" s="261" t="s">
        <v>3240</v>
      </c>
      <c r="D611" s="265" t="s">
        <v>19051</v>
      </c>
      <c r="E611" s="262" t="s">
        <v>207</v>
      </c>
    </row>
    <row r="612" spans="1:5" ht="45">
      <c r="A612" s="261">
        <v>10592</v>
      </c>
      <c r="B612" s="261" t="s">
        <v>4996</v>
      </c>
      <c r="C612" s="261" t="s">
        <v>3240</v>
      </c>
      <c r="D612" s="265" t="s">
        <v>19052</v>
      </c>
      <c r="E612" s="262" t="s">
        <v>207</v>
      </c>
    </row>
    <row r="613" spans="1:5" ht="45">
      <c r="A613" s="261">
        <v>10589</v>
      </c>
      <c r="B613" s="261" t="s">
        <v>4997</v>
      </c>
      <c r="C613" s="261" t="s">
        <v>3240</v>
      </c>
      <c r="D613" s="265" t="s">
        <v>19053</v>
      </c>
      <c r="E613" s="262" t="s">
        <v>207</v>
      </c>
    </row>
    <row r="614" spans="1:5" ht="45">
      <c r="A614" s="261">
        <v>760</v>
      </c>
      <c r="B614" s="261" t="s">
        <v>4998</v>
      </c>
      <c r="C614" s="261" t="s">
        <v>3240</v>
      </c>
      <c r="D614" s="265" t="s">
        <v>19054</v>
      </c>
      <c r="E614" s="262" t="s">
        <v>207</v>
      </c>
    </row>
    <row r="615" spans="1:5" ht="45">
      <c r="A615" s="261">
        <v>751</v>
      </c>
      <c r="B615" s="261" t="s">
        <v>4999</v>
      </c>
      <c r="C615" s="261" t="s">
        <v>3240</v>
      </c>
      <c r="D615" s="265" t="s">
        <v>19055</v>
      </c>
      <c r="E615" s="262" t="s">
        <v>207</v>
      </c>
    </row>
    <row r="616" spans="1:5" ht="45">
      <c r="A616" s="261">
        <v>754</v>
      </c>
      <c r="B616" s="261" t="s">
        <v>5000</v>
      </c>
      <c r="C616" s="261" t="s">
        <v>3240</v>
      </c>
      <c r="D616" s="265" t="s">
        <v>19056</v>
      </c>
      <c r="E616" s="262" t="s">
        <v>207</v>
      </c>
    </row>
    <row r="617" spans="1:5" ht="15">
      <c r="A617" s="261">
        <v>14013</v>
      </c>
      <c r="B617" s="261" t="s">
        <v>5001</v>
      </c>
      <c r="C617" s="261" t="s">
        <v>3240</v>
      </c>
      <c r="D617" s="265" t="s">
        <v>19057</v>
      </c>
      <c r="E617" s="262" t="s">
        <v>8987</v>
      </c>
    </row>
    <row r="618" spans="1:5" ht="30">
      <c r="A618" s="261">
        <v>39917</v>
      </c>
      <c r="B618" s="261" t="s">
        <v>5002</v>
      </c>
      <c r="C618" s="261" t="s">
        <v>3240</v>
      </c>
      <c r="D618" s="265" t="s">
        <v>19058</v>
      </c>
      <c r="E618" s="262" t="s">
        <v>8987</v>
      </c>
    </row>
    <row r="619" spans="1:5" ht="15">
      <c r="A619" s="261">
        <v>38167</v>
      </c>
      <c r="B619" s="261" t="s">
        <v>11703</v>
      </c>
      <c r="C619" s="261" t="s">
        <v>3247</v>
      </c>
      <c r="D619" s="265" t="s">
        <v>14213</v>
      </c>
      <c r="E619" s="262" t="s">
        <v>207</v>
      </c>
    </row>
    <row r="620" spans="1:5" ht="15">
      <c r="A620" s="261">
        <v>36145</v>
      </c>
      <c r="B620" s="261" t="s">
        <v>5003</v>
      </c>
      <c r="C620" s="261" t="s">
        <v>3247</v>
      </c>
      <c r="D620" s="265" t="s">
        <v>19059</v>
      </c>
      <c r="E620" s="262" t="s">
        <v>207</v>
      </c>
    </row>
    <row r="621" spans="1:5" ht="15">
      <c r="A621" s="261">
        <v>12893</v>
      </c>
      <c r="B621" s="261" t="s">
        <v>5004</v>
      </c>
      <c r="C621" s="261" t="s">
        <v>3247</v>
      </c>
      <c r="D621" s="265" t="s">
        <v>19060</v>
      </c>
      <c r="E621" s="262" t="s">
        <v>207</v>
      </c>
    </row>
    <row r="622" spans="1:5" ht="15">
      <c r="A622" s="261">
        <v>11685</v>
      </c>
      <c r="B622" s="261" t="s">
        <v>5005</v>
      </c>
      <c r="C622" s="261" t="s">
        <v>3240</v>
      </c>
      <c r="D622" s="265" t="s">
        <v>11126</v>
      </c>
      <c r="E622" s="262" t="s">
        <v>207</v>
      </c>
    </row>
    <row r="623" spans="1:5" ht="15">
      <c r="A623" s="261">
        <v>11679</v>
      </c>
      <c r="B623" s="261" t="s">
        <v>5006</v>
      </c>
      <c r="C623" s="261" t="s">
        <v>3240</v>
      </c>
      <c r="D623" s="265" t="s">
        <v>10578</v>
      </c>
      <c r="E623" s="262" t="s">
        <v>207</v>
      </c>
    </row>
    <row r="624" spans="1:5" ht="15">
      <c r="A624" s="261">
        <v>11680</v>
      </c>
      <c r="B624" s="261" t="s">
        <v>5007</v>
      </c>
      <c r="C624" s="261" t="s">
        <v>3240</v>
      </c>
      <c r="D624" s="265" t="s">
        <v>10080</v>
      </c>
      <c r="E624" s="262" t="s">
        <v>207</v>
      </c>
    </row>
    <row r="625" spans="1:5" ht="15">
      <c r="A625" s="261">
        <v>2512</v>
      </c>
      <c r="B625" s="261" t="s">
        <v>5008</v>
      </c>
      <c r="C625" s="261" t="s">
        <v>3240</v>
      </c>
      <c r="D625" s="265" t="s">
        <v>16058</v>
      </c>
      <c r="E625" s="262" t="s">
        <v>207</v>
      </c>
    </row>
    <row r="626" spans="1:5" ht="15">
      <c r="A626" s="261">
        <v>4374</v>
      </c>
      <c r="B626" s="261" t="s">
        <v>5009</v>
      </c>
      <c r="C626" s="261" t="s">
        <v>3240</v>
      </c>
      <c r="D626" s="265" t="s">
        <v>10028</v>
      </c>
      <c r="E626" s="262" t="s">
        <v>207</v>
      </c>
    </row>
    <row r="627" spans="1:5" ht="30">
      <c r="A627" s="261">
        <v>7568</v>
      </c>
      <c r="B627" s="261" t="s">
        <v>5010</v>
      </c>
      <c r="C627" s="261" t="s">
        <v>3240</v>
      </c>
      <c r="D627" s="265" t="s">
        <v>9960</v>
      </c>
      <c r="E627" s="262" t="s">
        <v>207</v>
      </c>
    </row>
    <row r="628" spans="1:5" ht="30">
      <c r="A628" s="261">
        <v>7584</v>
      </c>
      <c r="B628" s="261" t="s">
        <v>5011</v>
      </c>
      <c r="C628" s="261" t="s">
        <v>3240</v>
      </c>
      <c r="D628" s="265" t="s">
        <v>19061</v>
      </c>
      <c r="E628" s="262" t="s">
        <v>207</v>
      </c>
    </row>
    <row r="629" spans="1:5" ht="15">
      <c r="A629" s="261">
        <v>11945</v>
      </c>
      <c r="B629" s="261" t="s">
        <v>5012</v>
      </c>
      <c r="C629" s="261" t="s">
        <v>3240</v>
      </c>
      <c r="D629" s="265" t="s">
        <v>9925</v>
      </c>
      <c r="E629" s="262" t="s">
        <v>207</v>
      </c>
    </row>
    <row r="630" spans="1:5" ht="15">
      <c r="A630" s="261">
        <v>11946</v>
      </c>
      <c r="B630" s="261" t="s">
        <v>5013</v>
      </c>
      <c r="C630" s="261" t="s">
        <v>3240</v>
      </c>
      <c r="D630" s="265" t="s">
        <v>10029</v>
      </c>
      <c r="E630" s="262" t="s">
        <v>207</v>
      </c>
    </row>
    <row r="631" spans="1:5" ht="15">
      <c r="A631" s="261">
        <v>4375</v>
      </c>
      <c r="B631" s="261" t="s">
        <v>5014</v>
      </c>
      <c r="C631" s="261" t="s">
        <v>3240</v>
      </c>
      <c r="D631" s="265" t="s">
        <v>9832</v>
      </c>
      <c r="E631" s="262" t="s">
        <v>207</v>
      </c>
    </row>
    <row r="632" spans="1:5" ht="30">
      <c r="A632" s="261">
        <v>11950</v>
      </c>
      <c r="B632" s="261" t="s">
        <v>5015</v>
      </c>
      <c r="C632" s="261" t="s">
        <v>3240</v>
      </c>
      <c r="D632" s="265" t="s">
        <v>9918</v>
      </c>
      <c r="E632" s="262" t="s">
        <v>207</v>
      </c>
    </row>
    <row r="633" spans="1:5" ht="15">
      <c r="A633" s="261">
        <v>4376</v>
      </c>
      <c r="B633" s="261" t="s">
        <v>5016</v>
      </c>
      <c r="C633" s="261" t="s">
        <v>3240</v>
      </c>
      <c r="D633" s="265" t="s">
        <v>9890</v>
      </c>
      <c r="E633" s="262" t="s">
        <v>207</v>
      </c>
    </row>
    <row r="634" spans="1:5" ht="30">
      <c r="A634" s="261">
        <v>7583</v>
      </c>
      <c r="B634" s="261" t="s">
        <v>5017</v>
      </c>
      <c r="C634" s="261" t="s">
        <v>3240</v>
      </c>
      <c r="D634" s="265" t="s">
        <v>9934</v>
      </c>
      <c r="E634" s="262" t="s">
        <v>207</v>
      </c>
    </row>
    <row r="635" spans="1:5" ht="30">
      <c r="A635" s="261">
        <v>4350</v>
      </c>
      <c r="B635" s="261" t="s">
        <v>5018</v>
      </c>
      <c r="C635" s="261" t="s">
        <v>3240</v>
      </c>
      <c r="D635" s="265" t="s">
        <v>9984</v>
      </c>
      <c r="E635" s="262" t="s">
        <v>207</v>
      </c>
    </row>
    <row r="636" spans="1:5" ht="30">
      <c r="A636" s="261">
        <v>39886</v>
      </c>
      <c r="B636" s="261" t="s">
        <v>5019</v>
      </c>
      <c r="C636" s="261" t="s">
        <v>3240</v>
      </c>
      <c r="D636" s="265" t="s">
        <v>19062</v>
      </c>
      <c r="E636" s="262" t="s">
        <v>207</v>
      </c>
    </row>
    <row r="637" spans="1:5" ht="30">
      <c r="A637" s="261">
        <v>39887</v>
      </c>
      <c r="B637" s="261" t="s">
        <v>5020</v>
      </c>
      <c r="C637" s="261" t="s">
        <v>3240</v>
      </c>
      <c r="D637" s="265" t="s">
        <v>11190</v>
      </c>
      <c r="E637" s="262" t="s">
        <v>207</v>
      </c>
    </row>
    <row r="638" spans="1:5" ht="30">
      <c r="A638" s="261">
        <v>39888</v>
      </c>
      <c r="B638" s="261" t="s">
        <v>5021</v>
      </c>
      <c r="C638" s="261" t="s">
        <v>3240</v>
      </c>
      <c r="D638" s="265" t="s">
        <v>9827</v>
      </c>
      <c r="E638" s="262" t="s">
        <v>207</v>
      </c>
    </row>
    <row r="639" spans="1:5" ht="30">
      <c r="A639" s="261">
        <v>39890</v>
      </c>
      <c r="B639" s="261" t="s">
        <v>5022</v>
      </c>
      <c r="C639" s="261" t="s">
        <v>3240</v>
      </c>
      <c r="D639" s="265" t="s">
        <v>12408</v>
      </c>
      <c r="E639" s="262" t="s">
        <v>207</v>
      </c>
    </row>
    <row r="640" spans="1:5" ht="30">
      <c r="A640" s="261">
        <v>39891</v>
      </c>
      <c r="B640" s="261" t="s">
        <v>5023</v>
      </c>
      <c r="C640" s="261" t="s">
        <v>3240</v>
      </c>
      <c r="D640" s="265" t="s">
        <v>19063</v>
      </c>
      <c r="E640" s="262" t="s">
        <v>207</v>
      </c>
    </row>
    <row r="641" spans="1:5" ht="30">
      <c r="A641" s="261">
        <v>39892</v>
      </c>
      <c r="B641" s="261" t="s">
        <v>5024</v>
      </c>
      <c r="C641" s="261" t="s">
        <v>3240</v>
      </c>
      <c r="D641" s="265" t="s">
        <v>19064</v>
      </c>
      <c r="E641" s="262" t="s">
        <v>207</v>
      </c>
    </row>
    <row r="642" spans="1:5" ht="15">
      <c r="A642" s="261">
        <v>790</v>
      </c>
      <c r="B642" s="261" t="s">
        <v>5025</v>
      </c>
      <c r="C642" s="261" t="s">
        <v>3240</v>
      </c>
      <c r="D642" s="265" t="s">
        <v>10641</v>
      </c>
      <c r="E642" s="262" t="s">
        <v>207</v>
      </c>
    </row>
    <row r="643" spans="1:5" ht="15">
      <c r="A643" s="261">
        <v>766</v>
      </c>
      <c r="B643" s="261" t="s">
        <v>5026</v>
      </c>
      <c r="C643" s="261" t="s">
        <v>3240</v>
      </c>
      <c r="D643" s="265" t="s">
        <v>10641</v>
      </c>
      <c r="E643" s="262" t="s">
        <v>207</v>
      </c>
    </row>
    <row r="644" spans="1:5" ht="15">
      <c r="A644" s="261">
        <v>791</v>
      </c>
      <c r="B644" s="261" t="s">
        <v>5027</v>
      </c>
      <c r="C644" s="261" t="s">
        <v>3240</v>
      </c>
      <c r="D644" s="265" t="s">
        <v>10641</v>
      </c>
      <c r="E644" s="262" t="s">
        <v>207</v>
      </c>
    </row>
    <row r="645" spans="1:5" ht="15">
      <c r="A645" s="261">
        <v>767</v>
      </c>
      <c r="B645" s="261" t="s">
        <v>5028</v>
      </c>
      <c r="C645" s="261" t="s">
        <v>3240</v>
      </c>
      <c r="D645" s="265" t="s">
        <v>10641</v>
      </c>
      <c r="E645" s="262" t="s">
        <v>207</v>
      </c>
    </row>
    <row r="646" spans="1:5" ht="15">
      <c r="A646" s="261">
        <v>768</v>
      </c>
      <c r="B646" s="261" t="s">
        <v>5029</v>
      </c>
      <c r="C646" s="261" t="s">
        <v>3240</v>
      </c>
      <c r="D646" s="265" t="s">
        <v>9912</v>
      </c>
      <c r="E646" s="262" t="s">
        <v>207</v>
      </c>
    </row>
    <row r="647" spans="1:5" ht="15">
      <c r="A647" s="261">
        <v>789</v>
      </c>
      <c r="B647" s="261" t="s">
        <v>5030</v>
      </c>
      <c r="C647" s="261" t="s">
        <v>3240</v>
      </c>
      <c r="D647" s="265" t="s">
        <v>14078</v>
      </c>
      <c r="E647" s="262" t="s">
        <v>207</v>
      </c>
    </row>
    <row r="648" spans="1:5" ht="15">
      <c r="A648" s="261">
        <v>769</v>
      </c>
      <c r="B648" s="261" t="s">
        <v>5031</v>
      </c>
      <c r="C648" s="261" t="s">
        <v>3240</v>
      </c>
      <c r="D648" s="265" t="s">
        <v>9912</v>
      </c>
      <c r="E648" s="262" t="s">
        <v>207</v>
      </c>
    </row>
    <row r="649" spans="1:5" ht="15">
      <c r="A649" s="261">
        <v>770</v>
      </c>
      <c r="B649" s="261" t="s">
        <v>5032</v>
      </c>
      <c r="C649" s="261" t="s">
        <v>3240</v>
      </c>
      <c r="D649" s="265" t="s">
        <v>9986</v>
      </c>
      <c r="E649" s="262" t="s">
        <v>207</v>
      </c>
    </row>
    <row r="650" spans="1:5" ht="15">
      <c r="A650" s="261">
        <v>12394</v>
      </c>
      <c r="B650" s="261" t="s">
        <v>5033</v>
      </c>
      <c r="C650" s="261" t="s">
        <v>3240</v>
      </c>
      <c r="D650" s="265" t="s">
        <v>9986</v>
      </c>
      <c r="E650" s="262" t="s">
        <v>207</v>
      </c>
    </row>
    <row r="651" spans="1:5" ht="15">
      <c r="A651" s="261">
        <v>764</v>
      </c>
      <c r="B651" s="261" t="s">
        <v>5034</v>
      </c>
      <c r="C651" s="261" t="s">
        <v>3240</v>
      </c>
      <c r="D651" s="265" t="s">
        <v>10499</v>
      </c>
      <c r="E651" s="262" t="s">
        <v>207</v>
      </c>
    </row>
    <row r="652" spans="1:5" ht="15">
      <c r="A652" s="261">
        <v>765</v>
      </c>
      <c r="B652" s="261" t="s">
        <v>5035</v>
      </c>
      <c r="C652" s="261" t="s">
        <v>3240</v>
      </c>
      <c r="D652" s="265" t="s">
        <v>10499</v>
      </c>
      <c r="E652" s="262" t="s">
        <v>207</v>
      </c>
    </row>
    <row r="653" spans="1:5" ht="15">
      <c r="A653" s="261">
        <v>787</v>
      </c>
      <c r="B653" s="261" t="s">
        <v>5036</v>
      </c>
      <c r="C653" s="261" t="s">
        <v>3240</v>
      </c>
      <c r="D653" s="265" t="s">
        <v>16573</v>
      </c>
      <c r="E653" s="262" t="s">
        <v>207</v>
      </c>
    </row>
    <row r="654" spans="1:5" ht="15">
      <c r="A654" s="261">
        <v>774</v>
      </c>
      <c r="B654" s="261" t="s">
        <v>5037</v>
      </c>
      <c r="C654" s="261" t="s">
        <v>3240</v>
      </c>
      <c r="D654" s="265" t="s">
        <v>16573</v>
      </c>
      <c r="E654" s="262" t="s">
        <v>207</v>
      </c>
    </row>
    <row r="655" spans="1:5" ht="15">
      <c r="A655" s="261">
        <v>773</v>
      </c>
      <c r="B655" s="261" t="s">
        <v>5038</v>
      </c>
      <c r="C655" s="261" t="s">
        <v>3240</v>
      </c>
      <c r="D655" s="265" t="s">
        <v>16573</v>
      </c>
      <c r="E655" s="262" t="s">
        <v>207</v>
      </c>
    </row>
    <row r="656" spans="1:5" ht="15">
      <c r="A656" s="261">
        <v>775</v>
      </c>
      <c r="B656" s="261" t="s">
        <v>5039</v>
      </c>
      <c r="C656" s="261" t="s">
        <v>3240</v>
      </c>
      <c r="D656" s="265" t="s">
        <v>16573</v>
      </c>
      <c r="E656" s="262" t="s">
        <v>207</v>
      </c>
    </row>
    <row r="657" spans="1:5" ht="15">
      <c r="A657" s="261">
        <v>788</v>
      </c>
      <c r="B657" s="261" t="s">
        <v>5040</v>
      </c>
      <c r="C657" s="261" t="s">
        <v>3240</v>
      </c>
      <c r="D657" s="265" t="s">
        <v>10623</v>
      </c>
      <c r="E657" s="262" t="s">
        <v>207</v>
      </c>
    </row>
    <row r="658" spans="1:5" ht="15">
      <c r="A658" s="261">
        <v>772</v>
      </c>
      <c r="B658" s="261" t="s">
        <v>5041</v>
      </c>
      <c r="C658" s="261" t="s">
        <v>3240</v>
      </c>
      <c r="D658" s="265" t="s">
        <v>10623</v>
      </c>
      <c r="E658" s="262" t="s">
        <v>207</v>
      </c>
    </row>
    <row r="659" spans="1:5" ht="15">
      <c r="A659" s="261">
        <v>771</v>
      </c>
      <c r="B659" s="261" t="s">
        <v>5042</v>
      </c>
      <c r="C659" s="261" t="s">
        <v>3240</v>
      </c>
      <c r="D659" s="265" t="s">
        <v>10623</v>
      </c>
      <c r="E659" s="262" t="s">
        <v>207</v>
      </c>
    </row>
    <row r="660" spans="1:5" ht="15">
      <c r="A660" s="261">
        <v>779</v>
      </c>
      <c r="B660" s="261" t="s">
        <v>5043</v>
      </c>
      <c r="C660" s="261" t="s">
        <v>3240</v>
      </c>
      <c r="D660" s="265" t="s">
        <v>10482</v>
      </c>
      <c r="E660" s="262" t="s">
        <v>207</v>
      </c>
    </row>
    <row r="661" spans="1:5" ht="15">
      <c r="A661" s="261">
        <v>776</v>
      </c>
      <c r="B661" s="261" t="s">
        <v>5044</v>
      </c>
      <c r="C661" s="261" t="s">
        <v>3240</v>
      </c>
      <c r="D661" s="265" t="s">
        <v>11503</v>
      </c>
      <c r="E661" s="262" t="s">
        <v>207</v>
      </c>
    </row>
    <row r="662" spans="1:5" ht="15">
      <c r="A662" s="261">
        <v>777</v>
      </c>
      <c r="B662" s="261" t="s">
        <v>5045</v>
      </c>
      <c r="C662" s="261" t="s">
        <v>3240</v>
      </c>
      <c r="D662" s="265" t="s">
        <v>10129</v>
      </c>
      <c r="E662" s="262" t="s">
        <v>207</v>
      </c>
    </row>
    <row r="663" spans="1:5" ht="15">
      <c r="A663" s="261">
        <v>780</v>
      </c>
      <c r="B663" s="261" t="s">
        <v>5046</v>
      </c>
      <c r="C663" s="261" t="s">
        <v>3240</v>
      </c>
      <c r="D663" s="265" t="s">
        <v>16166</v>
      </c>
      <c r="E663" s="262" t="s">
        <v>207</v>
      </c>
    </row>
    <row r="664" spans="1:5" ht="15">
      <c r="A664" s="261">
        <v>778</v>
      </c>
      <c r="B664" s="261" t="s">
        <v>5047</v>
      </c>
      <c r="C664" s="261" t="s">
        <v>3240</v>
      </c>
      <c r="D664" s="265" t="s">
        <v>11503</v>
      </c>
      <c r="E664" s="262" t="s">
        <v>207</v>
      </c>
    </row>
    <row r="665" spans="1:5" ht="15">
      <c r="A665" s="261">
        <v>781</v>
      </c>
      <c r="B665" s="261" t="s">
        <v>5048</v>
      </c>
      <c r="C665" s="261" t="s">
        <v>3240</v>
      </c>
      <c r="D665" s="265" t="s">
        <v>19065</v>
      </c>
      <c r="E665" s="262" t="s">
        <v>207</v>
      </c>
    </row>
    <row r="666" spans="1:5" ht="15">
      <c r="A666" s="261">
        <v>786</v>
      </c>
      <c r="B666" s="261" t="s">
        <v>5049</v>
      </c>
      <c r="C666" s="261" t="s">
        <v>3240</v>
      </c>
      <c r="D666" s="265" t="s">
        <v>19065</v>
      </c>
      <c r="E666" s="262" t="s">
        <v>207</v>
      </c>
    </row>
    <row r="667" spans="1:5" ht="15">
      <c r="A667" s="261">
        <v>782</v>
      </c>
      <c r="B667" s="261" t="s">
        <v>5050</v>
      </c>
      <c r="C667" s="261" t="s">
        <v>3240</v>
      </c>
      <c r="D667" s="265" t="s">
        <v>19065</v>
      </c>
      <c r="E667" s="262" t="s">
        <v>207</v>
      </c>
    </row>
    <row r="668" spans="1:5" ht="15">
      <c r="A668" s="261">
        <v>783</v>
      </c>
      <c r="B668" s="261" t="s">
        <v>5051</v>
      </c>
      <c r="C668" s="261" t="s">
        <v>3240</v>
      </c>
      <c r="D668" s="265" t="s">
        <v>19066</v>
      </c>
      <c r="E668" s="262" t="s">
        <v>207</v>
      </c>
    </row>
    <row r="669" spans="1:5" ht="15">
      <c r="A669" s="261">
        <v>785</v>
      </c>
      <c r="B669" s="261" t="s">
        <v>5052</v>
      </c>
      <c r="C669" s="261" t="s">
        <v>3240</v>
      </c>
      <c r="D669" s="265" t="s">
        <v>19067</v>
      </c>
      <c r="E669" s="262" t="s">
        <v>207</v>
      </c>
    </row>
    <row r="670" spans="1:5" ht="15">
      <c r="A670" s="261">
        <v>784</v>
      </c>
      <c r="B670" s="261" t="s">
        <v>5053</v>
      </c>
      <c r="C670" s="261" t="s">
        <v>3240</v>
      </c>
      <c r="D670" s="265" t="s">
        <v>19068</v>
      </c>
      <c r="E670" s="262" t="s">
        <v>207</v>
      </c>
    </row>
    <row r="671" spans="1:5" ht="30">
      <c r="A671" s="261">
        <v>831</v>
      </c>
      <c r="B671" s="261" t="s">
        <v>5054</v>
      </c>
      <c r="C671" s="261" t="s">
        <v>3240</v>
      </c>
      <c r="D671" s="265" t="s">
        <v>19069</v>
      </c>
      <c r="E671" s="262" t="s">
        <v>207</v>
      </c>
    </row>
    <row r="672" spans="1:5" ht="30">
      <c r="A672" s="261">
        <v>828</v>
      </c>
      <c r="B672" s="261" t="s">
        <v>5055</v>
      </c>
      <c r="C672" s="261" t="s">
        <v>3240</v>
      </c>
      <c r="D672" s="265" t="s">
        <v>9931</v>
      </c>
      <c r="E672" s="262" t="s">
        <v>207</v>
      </c>
    </row>
    <row r="673" spans="1:5" ht="30">
      <c r="A673" s="261">
        <v>829</v>
      </c>
      <c r="B673" s="261" t="s">
        <v>5056</v>
      </c>
      <c r="C673" s="261" t="s">
        <v>3240</v>
      </c>
      <c r="D673" s="265" t="s">
        <v>9958</v>
      </c>
      <c r="E673" s="262" t="s">
        <v>207</v>
      </c>
    </row>
    <row r="674" spans="1:5" ht="30">
      <c r="A674" s="261">
        <v>812</v>
      </c>
      <c r="B674" s="261" t="s">
        <v>5057</v>
      </c>
      <c r="C674" s="261" t="s">
        <v>3240</v>
      </c>
      <c r="D674" s="265" t="s">
        <v>10333</v>
      </c>
      <c r="E674" s="262" t="s">
        <v>207</v>
      </c>
    </row>
    <row r="675" spans="1:5" ht="30">
      <c r="A675" s="261">
        <v>819</v>
      </c>
      <c r="B675" s="261" t="s">
        <v>5058</v>
      </c>
      <c r="C675" s="261" t="s">
        <v>3240</v>
      </c>
      <c r="D675" s="265" t="s">
        <v>9809</v>
      </c>
      <c r="E675" s="262" t="s">
        <v>207</v>
      </c>
    </row>
    <row r="676" spans="1:5" ht="30">
      <c r="A676" s="261">
        <v>818</v>
      </c>
      <c r="B676" s="261" t="s">
        <v>5059</v>
      </c>
      <c r="C676" s="261" t="s">
        <v>3240</v>
      </c>
      <c r="D676" s="265" t="s">
        <v>9780</v>
      </c>
      <c r="E676" s="262" t="s">
        <v>207</v>
      </c>
    </row>
    <row r="677" spans="1:5" ht="30">
      <c r="A677" s="261">
        <v>823</v>
      </c>
      <c r="B677" s="261" t="s">
        <v>5060</v>
      </c>
      <c r="C677" s="261" t="s">
        <v>3240</v>
      </c>
      <c r="D677" s="265" t="s">
        <v>11042</v>
      </c>
      <c r="E677" s="262" t="s">
        <v>207</v>
      </c>
    </row>
    <row r="678" spans="1:5" ht="30">
      <c r="A678" s="261">
        <v>830</v>
      </c>
      <c r="B678" s="261" t="s">
        <v>5061</v>
      </c>
      <c r="C678" s="261" t="s">
        <v>3240</v>
      </c>
      <c r="D678" s="265" t="s">
        <v>19070</v>
      </c>
      <c r="E678" s="262" t="s">
        <v>207</v>
      </c>
    </row>
    <row r="679" spans="1:5" ht="30">
      <c r="A679" s="261">
        <v>826</v>
      </c>
      <c r="B679" s="261" t="s">
        <v>5062</v>
      </c>
      <c r="C679" s="261" t="s">
        <v>3240</v>
      </c>
      <c r="D679" s="265" t="s">
        <v>19071</v>
      </c>
      <c r="E679" s="262" t="s">
        <v>207</v>
      </c>
    </row>
    <row r="680" spans="1:5" ht="30">
      <c r="A680" s="261">
        <v>827</v>
      </c>
      <c r="B680" s="261" t="s">
        <v>5063</v>
      </c>
      <c r="C680" s="261" t="s">
        <v>3240</v>
      </c>
      <c r="D680" s="265" t="s">
        <v>12399</v>
      </c>
      <c r="E680" s="262" t="s">
        <v>207</v>
      </c>
    </row>
    <row r="681" spans="1:5" ht="30">
      <c r="A681" s="261">
        <v>832</v>
      </c>
      <c r="B681" s="261" t="s">
        <v>5064</v>
      </c>
      <c r="C681" s="261" t="s">
        <v>3240</v>
      </c>
      <c r="D681" s="265" t="s">
        <v>12177</v>
      </c>
      <c r="E681" s="262" t="s">
        <v>207</v>
      </c>
    </row>
    <row r="682" spans="1:5" ht="30">
      <c r="A682" s="261">
        <v>833</v>
      </c>
      <c r="B682" s="261" t="s">
        <v>5065</v>
      </c>
      <c r="C682" s="261" t="s">
        <v>3240</v>
      </c>
      <c r="D682" s="265" t="s">
        <v>10073</v>
      </c>
      <c r="E682" s="262" t="s">
        <v>207</v>
      </c>
    </row>
    <row r="683" spans="1:5" ht="30">
      <c r="A683" s="261">
        <v>834</v>
      </c>
      <c r="B683" s="261" t="s">
        <v>5066</v>
      </c>
      <c r="C683" s="261" t="s">
        <v>3240</v>
      </c>
      <c r="D683" s="265" t="s">
        <v>16275</v>
      </c>
      <c r="E683" s="262" t="s">
        <v>207</v>
      </c>
    </row>
    <row r="684" spans="1:5" ht="30">
      <c r="A684" s="261">
        <v>825</v>
      </c>
      <c r="B684" s="261" t="s">
        <v>5067</v>
      </c>
      <c r="C684" s="261" t="s">
        <v>3240</v>
      </c>
      <c r="D684" s="265" t="s">
        <v>9998</v>
      </c>
      <c r="E684" s="262" t="s">
        <v>207</v>
      </c>
    </row>
    <row r="685" spans="1:5" ht="30">
      <c r="A685" s="261">
        <v>813</v>
      </c>
      <c r="B685" s="261" t="s">
        <v>5068</v>
      </c>
      <c r="C685" s="261" t="s">
        <v>3240</v>
      </c>
      <c r="D685" s="265" t="s">
        <v>9746</v>
      </c>
      <c r="E685" s="262" t="s">
        <v>207</v>
      </c>
    </row>
    <row r="686" spans="1:5" ht="30">
      <c r="A686" s="261">
        <v>820</v>
      </c>
      <c r="B686" s="261" t="s">
        <v>5069</v>
      </c>
      <c r="C686" s="261" t="s">
        <v>3240</v>
      </c>
      <c r="D686" s="265" t="s">
        <v>19062</v>
      </c>
      <c r="E686" s="262" t="s">
        <v>207</v>
      </c>
    </row>
    <row r="687" spans="1:5" ht="30">
      <c r="A687" s="261">
        <v>816</v>
      </c>
      <c r="B687" s="261" t="s">
        <v>5070</v>
      </c>
      <c r="C687" s="261" t="s">
        <v>3240</v>
      </c>
      <c r="D687" s="265" t="s">
        <v>11216</v>
      </c>
      <c r="E687" s="262" t="s">
        <v>207</v>
      </c>
    </row>
    <row r="688" spans="1:5" ht="30">
      <c r="A688" s="261">
        <v>814</v>
      </c>
      <c r="B688" s="261" t="s">
        <v>5071</v>
      </c>
      <c r="C688" s="261" t="s">
        <v>3240</v>
      </c>
      <c r="D688" s="265" t="s">
        <v>12433</v>
      </c>
      <c r="E688" s="262" t="s">
        <v>207</v>
      </c>
    </row>
    <row r="689" spans="1:5" ht="30">
      <c r="A689" s="261">
        <v>815</v>
      </c>
      <c r="B689" s="261" t="s">
        <v>5072</v>
      </c>
      <c r="C689" s="261" t="s">
        <v>3240</v>
      </c>
      <c r="D689" s="265" t="s">
        <v>10236</v>
      </c>
      <c r="E689" s="262" t="s">
        <v>207</v>
      </c>
    </row>
    <row r="690" spans="1:5" ht="30">
      <c r="A690" s="261">
        <v>822</v>
      </c>
      <c r="B690" s="261" t="s">
        <v>5073</v>
      </c>
      <c r="C690" s="261" t="s">
        <v>3240</v>
      </c>
      <c r="D690" s="265" t="s">
        <v>11552</v>
      </c>
      <c r="E690" s="262" t="s">
        <v>207</v>
      </c>
    </row>
    <row r="691" spans="1:5" ht="30">
      <c r="A691" s="261">
        <v>821</v>
      </c>
      <c r="B691" s="261" t="s">
        <v>5074</v>
      </c>
      <c r="C691" s="261" t="s">
        <v>3240</v>
      </c>
      <c r="D691" s="265" t="s">
        <v>10119</v>
      </c>
      <c r="E691" s="262" t="s">
        <v>207</v>
      </c>
    </row>
    <row r="692" spans="1:5" ht="30">
      <c r="A692" s="261">
        <v>817</v>
      </c>
      <c r="B692" s="261" t="s">
        <v>5075</v>
      </c>
      <c r="C692" s="261" t="s">
        <v>3240</v>
      </c>
      <c r="D692" s="265" t="s">
        <v>19072</v>
      </c>
      <c r="E692" s="262" t="s">
        <v>207</v>
      </c>
    </row>
    <row r="693" spans="1:5" ht="15">
      <c r="A693" s="261">
        <v>20086</v>
      </c>
      <c r="B693" s="261" t="s">
        <v>5076</v>
      </c>
      <c r="C693" s="261" t="s">
        <v>3240</v>
      </c>
      <c r="D693" s="265" t="s">
        <v>9833</v>
      </c>
      <c r="E693" s="262" t="s">
        <v>207</v>
      </c>
    </row>
    <row r="694" spans="1:5" ht="30">
      <c r="A694" s="261">
        <v>39191</v>
      </c>
      <c r="B694" s="261" t="s">
        <v>5077</v>
      </c>
      <c r="C694" s="261" t="s">
        <v>3240</v>
      </c>
      <c r="D694" s="265" t="s">
        <v>11214</v>
      </c>
      <c r="E694" s="262" t="s">
        <v>207</v>
      </c>
    </row>
    <row r="695" spans="1:5" ht="15">
      <c r="A695" s="261">
        <v>39190</v>
      </c>
      <c r="B695" s="261" t="s">
        <v>5078</v>
      </c>
      <c r="C695" s="261" t="s">
        <v>3240</v>
      </c>
      <c r="D695" s="265" t="s">
        <v>19073</v>
      </c>
      <c r="E695" s="262" t="s">
        <v>207</v>
      </c>
    </row>
    <row r="696" spans="1:5" ht="15">
      <c r="A696" s="261">
        <v>39189</v>
      </c>
      <c r="B696" s="261" t="s">
        <v>5079</v>
      </c>
      <c r="C696" s="261" t="s">
        <v>3240</v>
      </c>
      <c r="D696" s="265" t="s">
        <v>19074</v>
      </c>
      <c r="E696" s="262" t="s">
        <v>207</v>
      </c>
    </row>
    <row r="697" spans="1:5" ht="15">
      <c r="A697" s="261">
        <v>39186</v>
      </c>
      <c r="B697" s="261" t="s">
        <v>5080</v>
      </c>
      <c r="C697" s="261" t="s">
        <v>3240</v>
      </c>
      <c r="D697" s="265" t="s">
        <v>10281</v>
      </c>
      <c r="E697" s="262" t="s">
        <v>207</v>
      </c>
    </row>
    <row r="698" spans="1:5" ht="15">
      <c r="A698" s="261">
        <v>39188</v>
      </c>
      <c r="B698" s="261" t="s">
        <v>5081</v>
      </c>
      <c r="C698" s="261" t="s">
        <v>3240</v>
      </c>
      <c r="D698" s="265" t="s">
        <v>11306</v>
      </c>
      <c r="E698" s="262" t="s">
        <v>207</v>
      </c>
    </row>
    <row r="699" spans="1:5" ht="15">
      <c r="A699" s="261">
        <v>39187</v>
      </c>
      <c r="B699" s="261" t="s">
        <v>5082</v>
      </c>
      <c r="C699" s="261" t="s">
        <v>3240</v>
      </c>
      <c r="D699" s="265" t="s">
        <v>19075</v>
      </c>
      <c r="E699" s="262" t="s">
        <v>207</v>
      </c>
    </row>
    <row r="700" spans="1:5" ht="15">
      <c r="A700" s="261">
        <v>39184</v>
      </c>
      <c r="B700" s="261" t="s">
        <v>5083</v>
      </c>
      <c r="C700" s="261" t="s">
        <v>3240</v>
      </c>
      <c r="D700" s="265" t="s">
        <v>10898</v>
      </c>
      <c r="E700" s="262" t="s">
        <v>207</v>
      </c>
    </row>
    <row r="701" spans="1:5" ht="15">
      <c r="A701" s="261">
        <v>39185</v>
      </c>
      <c r="B701" s="261" t="s">
        <v>5084</v>
      </c>
      <c r="C701" s="261" t="s">
        <v>3240</v>
      </c>
      <c r="D701" s="265" t="s">
        <v>9938</v>
      </c>
      <c r="E701" s="262" t="s">
        <v>207</v>
      </c>
    </row>
    <row r="702" spans="1:5" ht="30">
      <c r="A702" s="261">
        <v>39198</v>
      </c>
      <c r="B702" s="261" t="s">
        <v>5085</v>
      </c>
      <c r="C702" s="261" t="s">
        <v>3240</v>
      </c>
      <c r="D702" s="265" t="s">
        <v>19076</v>
      </c>
      <c r="E702" s="262" t="s">
        <v>207</v>
      </c>
    </row>
    <row r="703" spans="1:5" ht="30">
      <c r="A703" s="261">
        <v>39197</v>
      </c>
      <c r="B703" s="261" t="s">
        <v>5086</v>
      </c>
      <c r="C703" s="261" t="s">
        <v>3240</v>
      </c>
      <c r="D703" s="265" t="s">
        <v>19077</v>
      </c>
      <c r="E703" s="262" t="s">
        <v>207</v>
      </c>
    </row>
    <row r="704" spans="1:5" ht="15">
      <c r="A704" s="261">
        <v>39196</v>
      </c>
      <c r="B704" s="261" t="s">
        <v>5087</v>
      </c>
      <c r="C704" s="261" t="s">
        <v>3240</v>
      </c>
      <c r="D704" s="265" t="s">
        <v>19078</v>
      </c>
      <c r="E704" s="262" t="s">
        <v>207</v>
      </c>
    </row>
    <row r="705" spans="1:5" ht="15">
      <c r="A705" s="261">
        <v>39199</v>
      </c>
      <c r="B705" s="261" t="s">
        <v>5088</v>
      </c>
      <c r="C705" s="261" t="s">
        <v>3240</v>
      </c>
      <c r="D705" s="265" t="s">
        <v>9734</v>
      </c>
      <c r="E705" s="262" t="s">
        <v>207</v>
      </c>
    </row>
    <row r="706" spans="1:5" ht="15">
      <c r="A706" s="261">
        <v>39195</v>
      </c>
      <c r="B706" s="261" t="s">
        <v>5089</v>
      </c>
      <c r="C706" s="261" t="s">
        <v>3240</v>
      </c>
      <c r="D706" s="265" t="s">
        <v>16148</v>
      </c>
      <c r="E706" s="262" t="s">
        <v>207</v>
      </c>
    </row>
    <row r="707" spans="1:5" ht="15">
      <c r="A707" s="261">
        <v>39194</v>
      </c>
      <c r="B707" s="261" t="s">
        <v>5090</v>
      </c>
      <c r="C707" s="261" t="s">
        <v>3240</v>
      </c>
      <c r="D707" s="265" t="s">
        <v>16310</v>
      </c>
      <c r="E707" s="262" t="s">
        <v>207</v>
      </c>
    </row>
    <row r="708" spans="1:5" ht="15">
      <c r="A708" s="261">
        <v>39193</v>
      </c>
      <c r="B708" s="261" t="s">
        <v>5091</v>
      </c>
      <c r="C708" s="261" t="s">
        <v>3240</v>
      </c>
      <c r="D708" s="265" t="s">
        <v>14281</v>
      </c>
      <c r="E708" s="262" t="s">
        <v>207</v>
      </c>
    </row>
    <row r="709" spans="1:5" ht="15">
      <c r="A709" s="261">
        <v>39192</v>
      </c>
      <c r="B709" s="261" t="s">
        <v>5092</v>
      </c>
      <c r="C709" s="261" t="s">
        <v>3240</v>
      </c>
      <c r="D709" s="265" t="s">
        <v>16490</v>
      </c>
      <c r="E709" s="262" t="s">
        <v>207</v>
      </c>
    </row>
    <row r="710" spans="1:5" ht="15">
      <c r="A710" s="261">
        <v>39920</v>
      </c>
      <c r="B710" s="261" t="s">
        <v>5093</v>
      </c>
      <c r="C710" s="261" t="s">
        <v>3240</v>
      </c>
      <c r="D710" s="265" t="s">
        <v>11291</v>
      </c>
      <c r="E710" s="262" t="s">
        <v>207</v>
      </c>
    </row>
    <row r="711" spans="1:5" ht="15">
      <c r="A711" s="261">
        <v>39201</v>
      </c>
      <c r="B711" s="261" t="s">
        <v>5094</v>
      </c>
      <c r="C711" s="261" t="s">
        <v>3240</v>
      </c>
      <c r="D711" s="265" t="s">
        <v>19079</v>
      </c>
      <c r="E711" s="262" t="s">
        <v>207</v>
      </c>
    </row>
    <row r="712" spans="1:5" ht="15">
      <c r="A712" s="261">
        <v>39200</v>
      </c>
      <c r="B712" s="261" t="s">
        <v>5095</v>
      </c>
      <c r="C712" s="261" t="s">
        <v>3240</v>
      </c>
      <c r="D712" s="265" t="s">
        <v>19080</v>
      </c>
      <c r="E712" s="262" t="s">
        <v>207</v>
      </c>
    </row>
    <row r="713" spans="1:5" ht="15">
      <c r="A713" s="261">
        <v>39203</v>
      </c>
      <c r="B713" s="261" t="s">
        <v>5096</v>
      </c>
      <c r="C713" s="261" t="s">
        <v>3240</v>
      </c>
      <c r="D713" s="265" t="s">
        <v>19081</v>
      </c>
      <c r="E713" s="262" t="s">
        <v>207</v>
      </c>
    </row>
    <row r="714" spans="1:5" ht="15">
      <c r="A714" s="261">
        <v>39202</v>
      </c>
      <c r="B714" s="261" t="s">
        <v>5097</v>
      </c>
      <c r="C714" s="261" t="s">
        <v>3240</v>
      </c>
      <c r="D714" s="265" t="s">
        <v>15969</v>
      </c>
      <c r="E714" s="262" t="s">
        <v>207</v>
      </c>
    </row>
    <row r="715" spans="1:5" ht="15">
      <c r="A715" s="261">
        <v>39205</v>
      </c>
      <c r="B715" s="261" t="s">
        <v>5098</v>
      </c>
      <c r="C715" s="261" t="s">
        <v>3240</v>
      </c>
      <c r="D715" s="265" t="s">
        <v>19082</v>
      </c>
      <c r="E715" s="262" t="s">
        <v>207</v>
      </c>
    </row>
    <row r="716" spans="1:5" ht="15">
      <c r="A716" s="261">
        <v>39204</v>
      </c>
      <c r="B716" s="261" t="s">
        <v>5099</v>
      </c>
      <c r="C716" s="261" t="s">
        <v>3240</v>
      </c>
      <c r="D716" s="265" t="s">
        <v>19083</v>
      </c>
      <c r="E716" s="262" t="s">
        <v>207</v>
      </c>
    </row>
    <row r="717" spans="1:5" ht="15">
      <c r="A717" s="261">
        <v>39206</v>
      </c>
      <c r="B717" s="261" t="s">
        <v>5100</v>
      </c>
      <c r="C717" s="261" t="s">
        <v>3240</v>
      </c>
      <c r="D717" s="265" t="s">
        <v>19084</v>
      </c>
      <c r="E717" s="262" t="s">
        <v>207</v>
      </c>
    </row>
    <row r="718" spans="1:5" ht="15">
      <c r="A718" s="261">
        <v>797</v>
      </c>
      <c r="B718" s="261" t="s">
        <v>5101</v>
      </c>
      <c r="C718" s="261" t="s">
        <v>3240</v>
      </c>
      <c r="D718" s="265" t="s">
        <v>10492</v>
      </c>
      <c r="E718" s="262" t="s">
        <v>207</v>
      </c>
    </row>
    <row r="719" spans="1:5" ht="15">
      <c r="A719" s="261">
        <v>798</v>
      </c>
      <c r="B719" s="261" t="s">
        <v>5102</v>
      </c>
      <c r="C719" s="261" t="s">
        <v>3240</v>
      </c>
      <c r="D719" s="265" t="s">
        <v>11167</v>
      </c>
      <c r="E719" s="262" t="s">
        <v>207</v>
      </c>
    </row>
    <row r="720" spans="1:5" ht="15">
      <c r="A720" s="261">
        <v>796</v>
      </c>
      <c r="B720" s="261" t="s">
        <v>5103</v>
      </c>
      <c r="C720" s="261" t="s">
        <v>3240</v>
      </c>
      <c r="D720" s="265" t="s">
        <v>14077</v>
      </c>
      <c r="E720" s="262" t="s">
        <v>207</v>
      </c>
    </row>
    <row r="721" spans="1:5" ht="15">
      <c r="A721" s="261">
        <v>799</v>
      </c>
      <c r="B721" s="261" t="s">
        <v>5104</v>
      </c>
      <c r="C721" s="261" t="s">
        <v>3240</v>
      </c>
      <c r="D721" s="265" t="s">
        <v>10506</v>
      </c>
      <c r="E721" s="262" t="s">
        <v>207</v>
      </c>
    </row>
    <row r="722" spans="1:5" ht="15">
      <c r="A722" s="261">
        <v>792</v>
      </c>
      <c r="B722" s="261" t="s">
        <v>5105</v>
      </c>
      <c r="C722" s="261" t="s">
        <v>3240</v>
      </c>
      <c r="D722" s="265" t="s">
        <v>18772</v>
      </c>
      <c r="E722" s="262" t="s">
        <v>207</v>
      </c>
    </row>
    <row r="723" spans="1:5" ht="15">
      <c r="A723" s="261">
        <v>804</v>
      </c>
      <c r="B723" s="261" t="s">
        <v>5106</v>
      </c>
      <c r="C723" s="261" t="s">
        <v>3240</v>
      </c>
      <c r="D723" s="265" t="s">
        <v>11495</v>
      </c>
      <c r="E723" s="262" t="s">
        <v>207</v>
      </c>
    </row>
    <row r="724" spans="1:5" ht="15">
      <c r="A724" s="261">
        <v>793</v>
      </c>
      <c r="B724" s="261" t="s">
        <v>5107</v>
      </c>
      <c r="C724" s="261" t="s">
        <v>3240</v>
      </c>
      <c r="D724" s="265" t="s">
        <v>10503</v>
      </c>
      <c r="E724" s="262" t="s">
        <v>207</v>
      </c>
    </row>
    <row r="725" spans="1:5" ht="15">
      <c r="A725" s="261">
        <v>801</v>
      </c>
      <c r="B725" s="261" t="s">
        <v>5108</v>
      </c>
      <c r="C725" s="261" t="s">
        <v>3240</v>
      </c>
      <c r="D725" s="265" t="s">
        <v>9780</v>
      </c>
      <c r="E725" s="262" t="s">
        <v>207</v>
      </c>
    </row>
    <row r="726" spans="1:5" ht="15">
      <c r="A726" s="261">
        <v>794</v>
      </c>
      <c r="B726" s="261" t="s">
        <v>5109</v>
      </c>
      <c r="C726" s="261" t="s">
        <v>3240</v>
      </c>
      <c r="D726" s="265" t="s">
        <v>10107</v>
      </c>
      <c r="E726" s="262" t="s">
        <v>207</v>
      </c>
    </row>
    <row r="727" spans="1:5" ht="15">
      <c r="A727" s="261">
        <v>802</v>
      </c>
      <c r="B727" s="261" t="s">
        <v>5110</v>
      </c>
      <c r="C727" s="261" t="s">
        <v>3240</v>
      </c>
      <c r="D727" s="265" t="s">
        <v>19085</v>
      </c>
      <c r="E727" s="262" t="s">
        <v>207</v>
      </c>
    </row>
    <row r="728" spans="1:5" ht="15">
      <c r="A728" s="261">
        <v>803</v>
      </c>
      <c r="B728" s="261" t="s">
        <v>5111</v>
      </c>
      <c r="C728" s="261" t="s">
        <v>3240</v>
      </c>
      <c r="D728" s="265" t="s">
        <v>15939</v>
      </c>
      <c r="E728" s="262" t="s">
        <v>207</v>
      </c>
    </row>
    <row r="729" spans="1:5" ht="15">
      <c r="A729" s="261">
        <v>38001</v>
      </c>
      <c r="B729" s="261" t="s">
        <v>5112</v>
      </c>
      <c r="C729" s="261" t="s">
        <v>3240</v>
      </c>
      <c r="D729" s="265" t="s">
        <v>9904</v>
      </c>
      <c r="E729" s="262" t="s">
        <v>207</v>
      </c>
    </row>
    <row r="730" spans="1:5" ht="15">
      <c r="A730" s="261">
        <v>38002</v>
      </c>
      <c r="B730" s="261" t="s">
        <v>5113</v>
      </c>
      <c r="C730" s="261" t="s">
        <v>3240</v>
      </c>
      <c r="D730" s="265" t="s">
        <v>19086</v>
      </c>
      <c r="E730" s="262" t="s">
        <v>207</v>
      </c>
    </row>
    <row r="731" spans="1:5" ht="15">
      <c r="A731" s="261">
        <v>38003</v>
      </c>
      <c r="B731" s="261" t="s">
        <v>5114</v>
      </c>
      <c r="C731" s="261" t="s">
        <v>3240</v>
      </c>
      <c r="D731" s="265" t="s">
        <v>10072</v>
      </c>
      <c r="E731" s="262" t="s">
        <v>207</v>
      </c>
    </row>
    <row r="732" spans="1:5" ht="15">
      <c r="A732" s="261">
        <v>38004</v>
      </c>
      <c r="B732" s="261" t="s">
        <v>5115</v>
      </c>
      <c r="C732" s="261" t="s">
        <v>3240</v>
      </c>
      <c r="D732" s="265" t="s">
        <v>19087</v>
      </c>
      <c r="E732" s="262" t="s">
        <v>207</v>
      </c>
    </row>
    <row r="733" spans="1:5" ht="15">
      <c r="A733" s="261">
        <v>36327</v>
      </c>
      <c r="B733" s="261" t="s">
        <v>5116</v>
      </c>
      <c r="C733" s="261" t="s">
        <v>3240</v>
      </c>
      <c r="D733" s="265" t="s">
        <v>11292</v>
      </c>
      <c r="E733" s="262" t="s">
        <v>207</v>
      </c>
    </row>
    <row r="734" spans="1:5" ht="15">
      <c r="A734" s="261">
        <v>38992</v>
      </c>
      <c r="B734" s="261" t="s">
        <v>5117</v>
      </c>
      <c r="C734" s="261" t="s">
        <v>3240</v>
      </c>
      <c r="D734" s="265" t="s">
        <v>10967</v>
      </c>
      <c r="E734" s="262" t="s">
        <v>207</v>
      </c>
    </row>
    <row r="735" spans="1:5" ht="15">
      <c r="A735" s="261">
        <v>38993</v>
      </c>
      <c r="B735" s="261" t="s">
        <v>5118</v>
      </c>
      <c r="C735" s="261" t="s">
        <v>3240</v>
      </c>
      <c r="D735" s="265" t="s">
        <v>19088</v>
      </c>
      <c r="E735" s="262" t="s">
        <v>207</v>
      </c>
    </row>
    <row r="736" spans="1:5" ht="30">
      <c r="A736" s="261">
        <v>38418</v>
      </c>
      <c r="B736" s="261" t="s">
        <v>11704</v>
      </c>
      <c r="C736" s="261" t="s">
        <v>3240</v>
      </c>
      <c r="D736" s="265" t="s">
        <v>10219</v>
      </c>
      <c r="E736" s="262" t="s">
        <v>207</v>
      </c>
    </row>
    <row r="737" spans="1:5" ht="15">
      <c r="A737" s="261">
        <v>39178</v>
      </c>
      <c r="B737" s="261" t="s">
        <v>5119</v>
      </c>
      <c r="C737" s="261" t="s">
        <v>3240</v>
      </c>
      <c r="D737" s="265" t="s">
        <v>11168</v>
      </c>
      <c r="E737" s="262" t="s">
        <v>207</v>
      </c>
    </row>
    <row r="738" spans="1:5" ht="15">
      <c r="A738" s="261">
        <v>39177</v>
      </c>
      <c r="B738" s="261" t="s">
        <v>5120</v>
      </c>
      <c r="C738" s="261" t="s">
        <v>3240</v>
      </c>
      <c r="D738" s="265" t="s">
        <v>10916</v>
      </c>
      <c r="E738" s="262" t="s">
        <v>207</v>
      </c>
    </row>
    <row r="739" spans="1:5" ht="15">
      <c r="A739" s="261">
        <v>39174</v>
      </c>
      <c r="B739" s="261" t="s">
        <v>5121</v>
      </c>
      <c r="C739" s="261" t="s">
        <v>3240</v>
      </c>
      <c r="D739" s="265" t="s">
        <v>9997</v>
      </c>
      <c r="E739" s="262" t="s">
        <v>207</v>
      </c>
    </row>
    <row r="740" spans="1:5" ht="15">
      <c r="A740" s="261">
        <v>39176</v>
      </c>
      <c r="B740" s="261" t="s">
        <v>5122</v>
      </c>
      <c r="C740" s="261" t="s">
        <v>3240</v>
      </c>
      <c r="D740" s="265" t="s">
        <v>9777</v>
      </c>
      <c r="E740" s="262" t="s">
        <v>207</v>
      </c>
    </row>
    <row r="741" spans="1:5" ht="15">
      <c r="A741" s="261">
        <v>39180</v>
      </c>
      <c r="B741" s="261" t="s">
        <v>5123</v>
      </c>
      <c r="C741" s="261" t="s">
        <v>3240</v>
      </c>
      <c r="D741" s="265" t="s">
        <v>10035</v>
      </c>
      <c r="E741" s="262" t="s">
        <v>207</v>
      </c>
    </row>
    <row r="742" spans="1:5" ht="15">
      <c r="A742" s="261">
        <v>39179</v>
      </c>
      <c r="B742" s="261" t="s">
        <v>5124</v>
      </c>
      <c r="C742" s="261" t="s">
        <v>3240</v>
      </c>
      <c r="D742" s="265" t="s">
        <v>11079</v>
      </c>
      <c r="E742" s="262" t="s">
        <v>207</v>
      </c>
    </row>
    <row r="743" spans="1:5" ht="15">
      <c r="A743" s="261">
        <v>39175</v>
      </c>
      <c r="B743" s="261" t="s">
        <v>5125</v>
      </c>
      <c r="C743" s="261" t="s">
        <v>3240</v>
      </c>
      <c r="D743" s="265" t="s">
        <v>9934</v>
      </c>
      <c r="E743" s="262" t="s">
        <v>207</v>
      </c>
    </row>
    <row r="744" spans="1:5" ht="15">
      <c r="A744" s="261">
        <v>39217</v>
      </c>
      <c r="B744" s="261" t="s">
        <v>5126</v>
      </c>
      <c r="C744" s="261" t="s">
        <v>3240</v>
      </c>
      <c r="D744" s="265" t="s">
        <v>10031</v>
      </c>
      <c r="E744" s="262" t="s">
        <v>207</v>
      </c>
    </row>
    <row r="745" spans="1:5" ht="15">
      <c r="A745" s="261">
        <v>39181</v>
      </c>
      <c r="B745" s="261" t="s">
        <v>5127</v>
      </c>
      <c r="C745" s="261" t="s">
        <v>3240</v>
      </c>
      <c r="D745" s="265" t="s">
        <v>11324</v>
      </c>
      <c r="E745" s="262" t="s">
        <v>207</v>
      </c>
    </row>
    <row r="746" spans="1:5" ht="15">
      <c r="A746" s="261">
        <v>39182</v>
      </c>
      <c r="B746" s="261" t="s">
        <v>5128</v>
      </c>
      <c r="C746" s="261" t="s">
        <v>3240</v>
      </c>
      <c r="D746" s="265" t="s">
        <v>11351</v>
      </c>
      <c r="E746" s="262" t="s">
        <v>207</v>
      </c>
    </row>
    <row r="747" spans="1:5" ht="30">
      <c r="A747" s="261">
        <v>12616</v>
      </c>
      <c r="B747" s="261" t="s">
        <v>5129</v>
      </c>
      <c r="C747" s="261" t="s">
        <v>3240</v>
      </c>
      <c r="D747" s="265" t="s">
        <v>11307</v>
      </c>
      <c r="E747" s="262" t="s">
        <v>207</v>
      </c>
    </row>
    <row r="748" spans="1:5" ht="45">
      <c r="A748" s="261">
        <v>1049</v>
      </c>
      <c r="B748" s="261" t="s">
        <v>5130</v>
      </c>
      <c r="C748" s="261" t="s">
        <v>3240</v>
      </c>
      <c r="D748" s="265" t="s">
        <v>12167</v>
      </c>
      <c r="E748" s="262" t="s">
        <v>207</v>
      </c>
    </row>
    <row r="749" spans="1:5" ht="45">
      <c r="A749" s="261">
        <v>1099</v>
      </c>
      <c r="B749" s="261" t="s">
        <v>5131</v>
      </c>
      <c r="C749" s="261" t="s">
        <v>3240</v>
      </c>
      <c r="D749" s="265" t="s">
        <v>12271</v>
      </c>
      <c r="E749" s="262" t="s">
        <v>207</v>
      </c>
    </row>
    <row r="750" spans="1:5" ht="45">
      <c r="A750" s="261">
        <v>39678</v>
      </c>
      <c r="B750" s="261" t="s">
        <v>5132</v>
      </c>
      <c r="C750" s="261" t="s">
        <v>3240</v>
      </c>
      <c r="D750" s="265" t="s">
        <v>9770</v>
      </c>
      <c r="E750" s="262" t="s">
        <v>207</v>
      </c>
    </row>
    <row r="751" spans="1:5" ht="45">
      <c r="A751" s="261">
        <v>1050</v>
      </c>
      <c r="B751" s="261" t="s">
        <v>5133</v>
      </c>
      <c r="C751" s="261" t="s">
        <v>3240</v>
      </c>
      <c r="D751" s="265" t="s">
        <v>15835</v>
      </c>
      <c r="E751" s="262" t="s">
        <v>207</v>
      </c>
    </row>
    <row r="752" spans="1:5" ht="45">
      <c r="A752" s="261">
        <v>1101</v>
      </c>
      <c r="B752" s="261" t="s">
        <v>5134</v>
      </c>
      <c r="C752" s="261" t="s">
        <v>3240</v>
      </c>
      <c r="D752" s="265" t="s">
        <v>12439</v>
      </c>
      <c r="E752" s="262" t="s">
        <v>207</v>
      </c>
    </row>
    <row r="753" spans="1:5" ht="45">
      <c r="A753" s="261">
        <v>1100</v>
      </c>
      <c r="B753" s="261" t="s">
        <v>5135</v>
      </c>
      <c r="C753" s="261" t="s">
        <v>3240</v>
      </c>
      <c r="D753" s="265" t="s">
        <v>10910</v>
      </c>
      <c r="E753" s="262" t="s">
        <v>207</v>
      </c>
    </row>
    <row r="754" spans="1:5" ht="45">
      <c r="A754" s="261">
        <v>39679</v>
      </c>
      <c r="B754" s="261" t="s">
        <v>5136</v>
      </c>
      <c r="C754" s="261" t="s">
        <v>3240</v>
      </c>
      <c r="D754" s="265" t="s">
        <v>19089</v>
      </c>
      <c r="E754" s="262" t="s">
        <v>207</v>
      </c>
    </row>
    <row r="755" spans="1:5" ht="45">
      <c r="A755" s="261">
        <v>1098</v>
      </c>
      <c r="B755" s="261" t="s">
        <v>5137</v>
      </c>
      <c r="C755" s="261" t="s">
        <v>3240</v>
      </c>
      <c r="D755" s="265" t="s">
        <v>11220</v>
      </c>
      <c r="E755" s="262" t="s">
        <v>207</v>
      </c>
    </row>
    <row r="756" spans="1:5" ht="45">
      <c r="A756" s="261">
        <v>1102</v>
      </c>
      <c r="B756" s="261" t="s">
        <v>5138</v>
      </c>
      <c r="C756" s="261" t="s">
        <v>3240</v>
      </c>
      <c r="D756" s="265" t="s">
        <v>11209</v>
      </c>
      <c r="E756" s="262" t="s">
        <v>207</v>
      </c>
    </row>
    <row r="757" spans="1:5" ht="45">
      <c r="A757" s="261">
        <v>1051</v>
      </c>
      <c r="B757" s="261" t="s">
        <v>5139</v>
      </c>
      <c r="C757" s="261" t="s">
        <v>3240</v>
      </c>
      <c r="D757" s="265" t="s">
        <v>19090</v>
      </c>
      <c r="E757" s="262" t="s">
        <v>207</v>
      </c>
    </row>
    <row r="758" spans="1:5" ht="15">
      <c r="A758" s="261">
        <v>37399</v>
      </c>
      <c r="B758" s="261" t="s">
        <v>5140</v>
      </c>
      <c r="C758" s="261" t="s">
        <v>3240</v>
      </c>
      <c r="D758" s="265" t="s">
        <v>11554</v>
      </c>
      <c r="E758" s="262" t="s">
        <v>207</v>
      </c>
    </row>
    <row r="759" spans="1:5" ht="30">
      <c r="A759" s="261">
        <v>41955</v>
      </c>
      <c r="B759" s="261" t="s">
        <v>9490</v>
      </c>
      <c r="C759" s="261" t="s">
        <v>3244</v>
      </c>
      <c r="D759" s="265" t="s">
        <v>19091</v>
      </c>
      <c r="E759" s="262" t="s">
        <v>207</v>
      </c>
    </row>
    <row r="760" spans="1:5" ht="30">
      <c r="A760" s="261">
        <v>41953</v>
      </c>
      <c r="B760" s="261" t="s">
        <v>9491</v>
      </c>
      <c r="C760" s="261" t="s">
        <v>3244</v>
      </c>
      <c r="D760" s="265" t="s">
        <v>19092</v>
      </c>
      <c r="E760" s="262" t="s">
        <v>207</v>
      </c>
    </row>
    <row r="761" spans="1:5" ht="30">
      <c r="A761" s="261">
        <v>41954</v>
      </c>
      <c r="B761" s="261" t="s">
        <v>9492</v>
      </c>
      <c r="C761" s="261" t="s">
        <v>3244</v>
      </c>
      <c r="D761" s="265" t="s">
        <v>19093</v>
      </c>
      <c r="E761" s="262" t="s">
        <v>207</v>
      </c>
    </row>
    <row r="762" spans="1:5" ht="15">
      <c r="A762" s="261">
        <v>25004</v>
      </c>
      <c r="B762" s="261" t="s">
        <v>5141</v>
      </c>
      <c r="C762" s="261" t="s">
        <v>3244</v>
      </c>
      <c r="D762" s="265" t="s">
        <v>11125</v>
      </c>
      <c r="E762" s="262" t="s">
        <v>207</v>
      </c>
    </row>
    <row r="763" spans="1:5" ht="15">
      <c r="A763" s="261">
        <v>25002</v>
      </c>
      <c r="B763" s="261" t="s">
        <v>5142</v>
      </c>
      <c r="C763" s="261" t="s">
        <v>3244</v>
      </c>
      <c r="D763" s="265" t="s">
        <v>12240</v>
      </c>
      <c r="E763" s="262" t="s">
        <v>207</v>
      </c>
    </row>
    <row r="764" spans="1:5" ht="15">
      <c r="A764" s="261">
        <v>37409</v>
      </c>
      <c r="B764" s="261" t="s">
        <v>5143</v>
      </c>
      <c r="C764" s="261" t="s">
        <v>3244</v>
      </c>
      <c r="D764" s="265" t="s">
        <v>16148</v>
      </c>
      <c r="E764" s="262" t="s">
        <v>207</v>
      </c>
    </row>
    <row r="765" spans="1:5" ht="15">
      <c r="A765" s="261">
        <v>841</v>
      </c>
      <c r="B765" s="261" t="s">
        <v>5144</v>
      </c>
      <c r="C765" s="261" t="s">
        <v>3244</v>
      </c>
      <c r="D765" s="265" t="s">
        <v>9827</v>
      </c>
      <c r="E765" s="262" t="s">
        <v>207</v>
      </c>
    </row>
    <row r="766" spans="1:5" ht="15">
      <c r="A766" s="261">
        <v>25005</v>
      </c>
      <c r="B766" s="261" t="s">
        <v>5145</v>
      </c>
      <c r="C766" s="261" t="s">
        <v>3244</v>
      </c>
      <c r="D766" s="265" t="s">
        <v>19072</v>
      </c>
      <c r="E766" s="262" t="s">
        <v>207</v>
      </c>
    </row>
    <row r="767" spans="1:5" ht="15">
      <c r="A767" s="261">
        <v>25003</v>
      </c>
      <c r="B767" s="261" t="s">
        <v>5146</v>
      </c>
      <c r="C767" s="261" t="s">
        <v>3244</v>
      </c>
      <c r="D767" s="265" t="s">
        <v>14144</v>
      </c>
      <c r="E767" s="262" t="s">
        <v>207</v>
      </c>
    </row>
    <row r="768" spans="1:5" ht="15">
      <c r="A768" s="261">
        <v>37410</v>
      </c>
      <c r="B768" s="261" t="s">
        <v>5147</v>
      </c>
      <c r="C768" s="261" t="s">
        <v>3244</v>
      </c>
      <c r="D768" s="265" t="s">
        <v>19072</v>
      </c>
      <c r="E768" s="262" t="s">
        <v>207</v>
      </c>
    </row>
    <row r="769" spans="1:5" ht="15">
      <c r="A769" s="261">
        <v>842</v>
      </c>
      <c r="B769" s="261" t="s">
        <v>5148</v>
      </c>
      <c r="C769" s="261" t="s">
        <v>3244</v>
      </c>
      <c r="D769" s="265" t="s">
        <v>19094</v>
      </c>
      <c r="E769" s="262" t="s">
        <v>207</v>
      </c>
    </row>
    <row r="770" spans="1:5" ht="15">
      <c r="A770" s="261">
        <v>862</v>
      </c>
      <c r="B770" s="261" t="s">
        <v>5149</v>
      </c>
      <c r="C770" s="261" t="s">
        <v>3243</v>
      </c>
      <c r="D770" s="265" t="s">
        <v>10481</v>
      </c>
      <c r="E770" s="262" t="s">
        <v>207</v>
      </c>
    </row>
    <row r="771" spans="1:5" ht="15">
      <c r="A771" s="261">
        <v>866</v>
      </c>
      <c r="B771" s="261" t="s">
        <v>5150</v>
      </c>
      <c r="C771" s="261" t="s">
        <v>3243</v>
      </c>
      <c r="D771" s="265" t="s">
        <v>19095</v>
      </c>
      <c r="E771" s="262" t="s">
        <v>207</v>
      </c>
    </row>
    <row r="772" spans="1:5" ht="15">
      <c r="A772" s="261">
        <v>892</v>
      </c>
      <c r="B772" s="261" t="s">
        <v>5151</v>
      </c>
      <c r="C772" s="261" t="s">
        <v>3243</v>
      </c>
      <c r="D772" s="265" t="s">
        <v>19096</v>
      </c>
      <c r="E772" s="262" t="s">
        <v>207</v>
      </c>
    </row>
    <row r="773" spans="1:5" ht="15">
      <c r="A773" s="261">
        <v>857</v>
      </c>
      <c r="B773" s="261" t="s">
        <v>5152</v>
      </c>
      <c r="C773" s="261" t="s">
        <v>3243</v>
      </c>
      <c r="D773" s="265" t="s">
        <v>11239</v>
      </c>
      <c r="E773" s="262" t="s">
        <v>207</v>
      </c>
    </row>
    <row r="774" spans="1:5" ht="15">
      <c r="A774" s="261">
        <v>37404</v>
      </c>
      <c r="B774" s="261" t="s">
        <v>5153</v>
      </c>
      <c r="C774" s="261" t="s">
        <v>3243</v>
      </c>
      <c r="D774" s="265" t="s">
        <v>19097</v>
      </c>
      <c r="E774" s="262" t="s">
        <v>207</v>
      </c>
    </row>
    <row r="775" spans="1:5" ht="15">
      <c r="A775" s="261">
        <v>868</v>
      </c>
      <c r="B775" s="261" t="s">
        <v>5154</v>
      </c>
      <c r="C775" s="261" t="s">
        <v>3243</v>
      </c>
      <c r="D775" s="265" t="s">
        <v>14195</v>
      </c>
      <c r="E775" s="262" t="s">
        <v>207</v>
      </c>
    </row>
    <row r="776" spans="1:5" ht="15">
      <c r="A776" s="261">
        <v>870</v>
      </c>
      <c r="B776" s="261" t="s">
        <v>5155</v>
      </c>
      <c r="C776" s="261" t="s">
        <v>3243</v>
      </c>
      <c r="D776" s="265" t="s">
        <v>19098</v>
      </c>
      <c r="E776" s="262" t="s">
        <v>207</v>
      </c>
    </row>
    <row r="777" spans="1:5" ht="15">
      <c r="A777" s="261">
        <v>863</v>
      </c>
      <c r="B777" s="261" t="s">
        <v>5156</v>
      </c>
      <c r="C777" s="261" t="s">
        <v>3243</v>
      </c>
      <c r="D777" s="265" t="s">
        <v>16328</v>
      </c>
      <c r="E777" s="262" t="s">
        <v>207</v>
      </c>
    </row>
    <row r="778" spans="1:5" ht="15">
      <c r="A778" s="261">
        <v>867</v>
      </c>
      <c r="B778" s="261" t="s">
        <v>5157</v>
      </c>
      <c r="C778" s="261" t="s">
        <v>3243</v>
      </c>
      <c r="D778" s="265" t="s">
        <v>19099</v>
      </c>
      <c r="E778" s="262" t="s">
        <v>207</v>
      </c>
    </row>
    <row r="779" spans="1:5" ht="15">
      <c r="A779" s="261">
        <v>891</v>
      </c>
      <c r="B779" s="261" t="s">
        <v>5158</v>
      </c>
      <c r="C779" s="261" t="s">
        <v>3243</v>
      </c>
      <c r="D779" s="265" t="s">
        <v>19100</v>
      </c>
      <c r="E779" s="262" t="s">
        <v>207</v>
      </c>
    </row>
    <row r="780" spans="1:5" ht="15">
      <c r="A780" s="261">
        <v>864</v>
      </c>
      <c r="B780" s="261" t="s">
        <v>5159</v>
      </c>
      <c r="C780" s="261" t="s">
        <v>3243</v>
      </c>
      <c r="D780" s="265" t="s">
        <v>19101</v>
      </c>
      <c r="E780" s="262" t="s">
        <v>207</v>
      </c>
    </row>
    <row r="781" spans="1:5" ht="15">
      <c r="A781" s="261">
        <v>865</v>
      </c>
      <c r="B781" s="261" t="s">
        <v>5160</v>
      </c>
      <c r="C781" s="261" t="s">
        <v>3243</v>
      </c>
      <c r="D781" s="265" t="s">
        <v>19102</v>
      </c>
      <c r="E781" s="262" t="s">
        <v>207</v>
      </c>
    </row>
    <row r="782" spans="1:5" ht="30">
      <c r="A782" s="261">
        <v>1006</v>
      </c>
      <c r="B782" s="261" t="s">
        <v>5161</v>
      </c>
      <c r="C782" s="261" t="s">
        <v>3243</v>
      </c>
      <c r="D782" s="265" t="s">
        <v>15930</v>
      </c>
      <c r="E782" s="262" t="s">
        <v>207</v>
      </c>
    </row>
    <row r="783" spans="1:5" ht="30">
      <c r="A783" s="261">
        <v>948</v>
      </c>
      <c r="B783" s="261" t="s">
        <v>5162</v>
      </c>
      <c r="C783" s="261" t="s">
        <v>3243</v>
      </c>
      <c r="D783" s="265" t="s">
        <v>15877</v>
      </c>
      <c r="E783" s="262" t="s">
        <v>207</v>
      </c>
    </row>
    <row r="784" spans="1:5" ht="30">
      <c r="A784" s="261">
        <v>947</v>
      </c>
      <c r="B784" s="261" t="s">
        <v>5163</v>
      </c>
      <c r="C784" s="261" t="s">
        <v>3243</v>
      </c>
      <c r="D784" s="265" t="s">
        <v>19103</v>
      </c>
      <c r="E784" s="262" t="s">
        <v>207</v>
      </c>
    </row>
    <row r="785" spans="1:5" ht="30">
      <c r="A785" s="261">
        <v>911</v>
      </c>
      <c r="B785" s="261" t="s">
        <v>5164</v>
      </c>
      <c r="C785" s="261" t="s">
        <v>3243</v>
      </c>
      <c r="D785" s="265" t="s">
        <v>15807</v>
      </c>
      <c r="E785" s="262" t="s">
        <v>207</v>
      </c>
    </row>
    <row r="786" spans="1:5" ht="30">
      <c r="A786" s="261">
        <v>925</v>
      </c>
      <c r="B786" s="261" t="s">
        <v>5165</v>
      </c>
      <c r="C786" s="261" t="s">
        <v>3243</v>
      </c>
      <c r="D786" s="265" t="s">
        <v>16634</v>
      </c>
      <c r="E786" s="262" t="s">
        <v>207</v>
      </c>
    </row>
    <row r="787" spans="1:5" ht="30">
      <c r="A787" s="261">
        <v>954</v>
      </c>
      <c r="B787" s="261" t="s">
        <v>5166</v>
      </c>
      <c r="C787" s="261" t="s">
        <v>3243</v>
      </c>
      <c r="D787" s="265" t="s">
        <v>19104</v>
      </c>
      <c r="E787" s="262" t="s">
        <v>207</v>
      </c>
    </row>
    <row r="788" spans="1:5" ht="30">
      <c r="A788" s="261">
        <v>901</v>
      </c>
      <c r="B788" s="261" t="s">
        <v>5167</v>
      </c>
      <c r="C788" s="261" t="s">
        <v>3243</v>
      </c>
      <c r="D788" s="265" t="s">
        <v>19105</v>
      </c>
      <c r="E788" s="262" t="s">
        <v>207</v>
      </c>
    </row>
    <row r="789" spans="1:5" ht="30">
      <c r="A789" s="261">
        <v>926</v>
      </c>
      <c r="B789" s="261" t="s">
        <v>5168</v>
      </c>
      <c r="C789" s="261" t="s">
        <v>3243</v>
      </c>
      <c r="D789" s="265" t="s">
        <v>19106</v>
      </c>
      <c r="E789" s="262" t="s">
        <v>207</v>
      </c>
    </row>
    <row r="790" spans="1:5" ht="30">
      <c r="A790" s="261">
        <v>912</v>
      </c>
      <c r="B790" s="261" t="s">
        <v>5169</v>
      </c>
      <c r="C790" s="261" t="s">
        <v>3243</v>
      </c>
      <c r="D790" s="265" t="s">
        <v>19107</v>
      </c>
      <c r="E790" s="262" t="s">
        <v>207</v>
      </c>
    </row>
    <row r="791" spans="1:5" ht="30">
      <c r="A791" s="261">
        <v>955</v>
      </c>
      <c r="B791" s="261" t="s">
        <v>5170</v>
      </c>
      <c r="C791" s="261" t="s">
        <v>3243</v>
      </c>
      <c r="D791" s="265" t="s">
        <v>19108</v>
      </c>
      <c r="E791" s="262" t="s">
        <v>207</v>
      </c>
    </row>
    <row r="792" spans="1:5" ht="30">
      <c r="A792" s="261">
        <v>946</v>
      </c>
      <c r="B792" s="261" t="s">
        <v>5171</v>
      </c>
      <c r="C792" s="261" t="s">
        <v>3243</v>
      </c>
      <c r="D792" s="265" t="s">
        <v>19109</v>
      </c>
      <c r="E792" s="262" t="s">
        <v>207</v>
      </c>
    </row>
    <row r="793" spans="1:5" ht="30">
      <c r="A793" s="261">
        <v>953</v>
      </c>
      <c r="B793" s="261" t="s">
        <v>5172</v>
      </c>
      <c r="C793" s="261" t="s">
        <v>3243</v>
      </c>
      <c r="D793" s="265" t="s">
        <v>19110</v>
      </c>
      <c r="E793" s="262" t="s">
        <v>207</v>
      </c>
    </row>
    <row r="794" spans="1:5" ht="30">
      <c r="A794" s="261">
        <v>902</v>
      </c>
      <c r="B794" s="261" t="s">
        <v>5173</v>
      </c>
      <c r="C794" s="261" t="s">
        <v>3243</v>
      </c>
      <c r="D794" s="265" t="s">
        <v>19111</v>
      </c>
      <c r="E794" s="262" t="s">
        <v>207</v>
      </c>
    </row>
    <row r="795" spans="1:5" ht="30">
      <c r="A795" s="261">
        <v>927</v>
      </c>
      <c r="B795" s="261" t="s">
        <v>5174</v>
      </c>
      <c r="C795" s="261" t="s">
        <v>3243</v>
      </c>
      <c r="D795" s="265" t="s">
        <v>19112</v>
      </c>
      <c r="E795" s="262" t="s">
        <v>207</v>
      </c>
    </row>
    <row r="796" spans="1:5" ht="30">
      <c r="A796" s="261">
        <v>913</v>
      </c>
      <c r="B796" s="261" t="s">
        <v>5175</v>
      </c>
      <c r="C796" s="261" t="s">
        <v>3243</v>
      </c>
      <c r="D796" s="265" t="s">
        <v>19113</v>
      </c>
      <c r="E796" s="262" t="s">
        <v>207</v>
      </c>
    </row>
    <row r="797" spans="1:5" ht="30">
      <c r="A797" s="261">
        <v>903</v>
      </c>
      <c r="B797" s="261" t="s">
        <v>5176</v>
      </c>
      <c r="C797" s="261" t="s">
        <v>3243</v>
      </c>
      <c r="D797" s="265" t="s">
        <v>19114</v>
      </c>
      <c r="E797" s="262" t="s">
        <v>207</v>
      </c>
    </row>
    <row r="798" spans="1:5" ht="30">
      <c r="A798" s="261">
        <v>945</v>
      </c>
      <c r="B798" s="261" t="s">
        <v>5177</v>
      </c>
      <c r="C798" s="261" t="s">
        <v>3243</v>
      </c>
      <c r="D798" s="265" t="s">
        <v>19115</v>
      </c>
      <c r="E798" s="262" t="s">
        <v>207</v>
      </c>
    </row>
    <row r="799" spans="1:5" ht="30">
      <c r="A799" s="261">
        <v>914</v>
      </c>
      <c r="B799" s="261" t="s">
        <v>5178</v>
      </c>
      <c r="C799" s="261" t="s">
        <v>3243</v>
      </c>
      <c r="D799" s="265" t="s">
        <v>19116</v>
      </c>
      <c r="E799" s="262" t="s">
        <v>207</v>
      </c>
    </row>
    <row r="800" spans="1:5" ht="45">
      <c r="A800" s="261">
        <v>993</v>
      </c>
      <c r="B800" s="261" t="s">
        <v>5179</v>
      </c>
      <c r="C800" s="261" t="s">
        <v>3243</v>
      </c>
      <c r="D800" s="265" t="s">
        <v>10424</v>
      </c>
      <c r="E800" s="262" t="s">
        <v>207</v>
      </c>
    </row>
    <row r="801" spans="1:5" ht="45">
      <c r="A801" s="261">
        <v>1020</v>
      </c>
      <c r="B801" s="261" t="s">
        <v>5180</v>
      </c>
      <c r="C801" s="261" t="s">
        <v>3243</v>
      </c>
      <c r="D801" s="265" t="s">
        <v>16073</v>
      </c>
      <c r="E801" s="262" t="s">
        <v>207</v>
      </c>
    </row>
    <row r="802" spans="1:5" ht="45">
      <c r="A802" s="261">
        <v>1017</v>
      </c>
      <c r="B802" s="261" t="s">
        <v>5181</v>
      </c>
      <c r="C802" s="261" t="s">
        <v>3243</v>
      </c>
      <c r="D802" s="265" t="s">
        <v>16308</v>
      </c>
      <c r="E802" s="262" t="s">
        <v>207</v>
      </c>
    </row>
    <row r="803" spans="1:5" ht="45">
      <c r="A803" s="261">
        <v>999</v>
      </c>
      <c r="B803" s="261" t="s">
        <v>5182</v>
      </c>
      <c r="C803" s="261" t="s">
        <v>3243</v>
      </c>
      <c r="D803" s="265" t="s">
        <v>19117</v>
      </c>
      <c r="E803" s="262" t="s">
        <v>207</v>
      </c>
    </row>
    <row r="804" spans="1:5" ht="45">
      <c r="A804" s="261">
        <v>995</v>
      </c>
      <c r="B804" s="261" t="s">
        <v>5183</v>
      </c>
      <c r="C804" s="261" t="s">
        <v>3243</v>
      </c>
      <c r="D804" s="265" t="s">
        <v>10187</v>
      </c>
      <c r="E804" s="262" t="s">
        <v>207</v>
      </c>
    </row>
    <row r="805" spans="1:5" ht="45">
      <c r="A805" s="261">
        <v>1000</v>
      </c>
      <c r="B805" s="261" t="s">
        <v>5184</v>
      </c>
      <c r="C805" s="261" t="s">
        <v>3243</v>
      </c>
      <c r="D805" s="265" t="s">
        <v>19118</v>
      </c>
      <c r="E805" s="262" t="s">
        <v>207</v>
      </c>
    </row>
    <row r="806" spans="1:5" ht="45">
      <c r="A806" s="261">
        <v>1022</v>
      </c>
      <c r="B806" s="261" t="s">
        <v>5185</v>
      </c>
      <c r="C806" s="261" t="s">
        <v>3243</v>
      </c>
      <c r="D806" s="265" t="s">
        <v>9978</v>
      </c>
      <c r="E806" s="262" t="s">
        <v>207</v>
      </c>
    </row>
    <row r="807" spans="1:5" ht="45">
      <c r="A807" s="261">
        <v>1015</v>
      </c>
      <c r="B807" s="261" t="s">
        <v>5186</v>
      </c>
      <c r="C807" s="261" t="s">
        <v>3243</v>
      </c>
      <c r="D807" s="265" t="s">
        <v>19119</v>
      </c>
      <c r="E807" s="262" t="s">
        <v>207</v>
      </c>
    </row>
    <row r="808" spans="1:5" ht="45">
      <c r="A808" s="261">
        <v>996</v>
      </c>
      <c r="B808" s="261" t="s">
        <v>5187</v>
      </c>
      <c r="C808" s="261" t="s">
        <v>3243</v>
      </c>
      <c r="D808" s="265" t="s">
        <v>10091</v>
      </c>
      <c r="E808" s="262" t="s">
        <v>207</v>
      </c>
    </row>
    <row r="809" spans="1:5" ht="45">
      <c r="A809" s="261">
        <v>1001</v>
      </c>
      <c r="B809" s="261" t="s">
        <v>5188</v>
      </c>
      <c r="C809" s="261" t="s">
        <v>3243</v>
      </c>
      <c r="D809" s="265" t="s">
        <v>19120</v>
      </c>
      <c r="E809" s="262" t="s">
        <v>207</v>
      </c>
    </row>
    <row r="810" spans="1:5" ht="45">
      <c r="A810" s="261">
        <v>1019</v>
      </c>
      <c r="B810" s="261" t="s">
        <v>5189</v>
      </c>
      <c r="C810" s="261" t="s">
        <v>3243</v>
      </c>
      <c r="D810" s="265" t="s">
        <v>19121</v>
      </c>
      <c r="E810" s="262" t="s">
        <v>207</v>
      </c>
    </row>
    <row r="811" spans="1:5" ht="45">
      <c r="A811" s="261">
        <v>1021</v>
      </c>
      <c r="B811" s="261" t="s">
        <v>5190</v>
      </c>
      <c r="C811" s="261" t="s">
        <v>3243</v>
      </c>
      <c r="D811" s="265" t="s">
        <v>10626</v>
      </c>
      <c r="E811" s="262" t="s">
        <v>207</v>
      </c>
    </row>
    <row r="812" spans="1:5" ht="45">
      <c r="A812" s="261">
        <v>39249</v>
      </c>
      <c r="B812" s="261" t="s">
        <v>5191</v>
      </c>
      <c r="C812" s="261" t="s">
        <v>3243</v>
      </c>
      <c r="D812" s="265" t="s">
        <v>19122</v>
      </c>
      <c r="E812" s="262" t="s">
        <v>207</v>
      </c>
    </row>
    <row r="813" spans="1:5" ht="45">
      <c r="A813" s="261">
        <v>1018</v>
      </c>
      <c r="B813" s="261" t="s">
        <v>5192</v>
      </c>
      <c r="C813" s="261" t="s">
        <v>3243</v>
      </c>
      <c r="D813" s="265" t="s">
        <v>15863</v>
      </c>
      <c r="E813" s="262" t="s">
        <v>207</v>
      </c>
    </row>
    <row r="814" spans="1:5" ht="45">
      <c r="A814" s="261">
        <v>39250</v>
      </c>
      <c r="B814" s="261" t="s">
        <v>5193</v>
      </c>
      <c r="C814" s="261" t="s">
        <v>3243</v>
      </c>
      <c r="D814" s="265" t="s">
        <v>19123</v>
      </c>
      <c r="E814" s="262" t="s">
        <v>207</v>
      </c>
    </row>
    <row r="815" spans="1:5" ht="45">
      <c r="A815" s="261">
        <v>994</v>
      </c>
      <c r="B815" s="261" t="s">
        <v>5194</v>
      </c>
      <c r="C815" s="261" t="s">
        <v>3243</v>
      </c>
      <c r="D815" s="265" t="s">
        <v>15827</v>
      </c>
      <c r="E815" s="262" t="s">
        <v>207</v>
      </c>
    </row>
    <row r="816" spans="1:5" ht="45">
      <c r="A816" s="261">
        <v>977</v>
      </c>
      <c r="B816" s="261" t="s">
        <v>5195</v>
      </c>
      <c r="C816" s="261" t="s">
        <v>3243</v>
      </c>
      <c r="D816" s="265" t="s">
        <v>19124</v>
      </c>
      <c r="E816" s="262" t="s">
        <v>207</v>
      </c>
    </row>
    <row r="817" spans="1:5" ht="45">
      <c r="A817" s="261">
        <v>998</v>
      </c>
      <c r="B817" s="261" t="s">
        <v>5196</v>
      </c>
      <c r="C817" s="261" t="s">
        <v>3243</v>
      </c>
      <c r="D817" s="265" t="s">
        <v>19125</v>
      </c>
      <c r="E817" s="262" t="s">
        <v>207</v>
      </c>
    </row>
    <row r="818" spans="1:5" ht="30">
      <c r="A818" s="261">
        <v>39251</v>
      </c>
      <c r="B818" s="261" t="s">
        <v>5197</v>
      </c>
      <c r="C818" s="261" t="s">
        <v>3243</v>
      </c>
      <c r="D818" s="265" t="s">
        <v>10040</v>
      </c>
      <c r="E818" s="262" t="s">
        <v>207</v>
      </c>
    </row>
    <row r="819" spans="1:5" ht="30">
      <c r="A819" s="261">
        <v>1011</v>
      </c>
      <c r="B819" s="261" t="s">
        <v>5198</v>
      </c>
      <c r="C819" s="261" t="s">
        <v>3243</v>
      </c>
      <c r="D819" s="265" t="s">
        <v>9960</v>
      </c>
      <c r="E819" s="262" t="s">
        <v>207</v>
      </c>
    </row>
    <row r="820" spans="1:5" ht="30">
      <c r="A820" s="261">
        <v>39252</v>
      </c>
      <c r="B820" s="261" t="s">
        <v>5199</v>
      </c>
      <c r="C820" s="261" t="s">
        <v>3243</v>
      </c>
      <c r="D820" s="265" t="s">
        <v>9995</v>
      </c>
      <c r="E820" s="262" t="s">
        <v>207</v>
      </c>
    </row>
    <row r="821" spans="1:5" ht="30">
      <c r="A821" s="261">
        <v>1013</v>
      </c>
      <c r="B821" s="261" t="s">
        <v>5200</v>
      </c>
      <c r="C821" s="261" t="s">
        <v>3243</v>
      </c>
      <c r="D821" s="265" t="s">
        <v>9976</v>
      </c>
      <c r="E821" s="262" t="s">
        <v>207</v>
      </c>
    </row>
    <row r="822" spans="1:5" ht="30">
      <c r="A822" s="261">
        <v>980</v>
      </c>
      <c r="B822" s="261" t="s">
        <v>5201</v>
      </c>
      <c r="C822" s="261" t="s">
        <v>3243</v>
      </c>
      <c r="D822" s="265" t="s">
        <v>16149</v>
      </c>
      <c r="E822" s="262" t="s">
        <v>207</v>
      </c>
    </row>
    <row r="823" spans="1:5" ht="30">
      <c r="A823" s="261">
        <v>39237</v>
      </c>
      <c r="B823" s="261" t="s">
        <v>5202</v>
      </c>
      <c r="C823" s="261" t="s">
        <v>3243</v>
      </c>
      <c r="D823" s="265" t="s">
        <v>19126</v>
      </c>
      <c r="E823" s="262" t="s">
        <v>207</v>
      </c>
    </row>
    <row r="824" spans="1:5" ht="30">
      <c r="A824" s="261">
        <v>39238</v>
      </c>
      <c r="B824" s="261" t="s">
        <v>5203</v>
      </c>
      <c r="C824" s="261" t="s">
        <v>3243</v>
      </c>
      <c r="D824" s="265" t="s">
        <v>19127</v>
      </c>
      <c r="E824" s="262" t="s">
        <v>207</v>
      </c>
    </row>
    <row r="825" spans="1:5" ht="30">
      <c r="A825" s="261">
        <v>979</v>
      </c>
      <c r="B825" s="261" t="s">
        <v>5204</v>
      </c>
      <c r="C825" s="261" t="s">
        <v>3243</v>
      </c>
      <c r="D825" s="265" t="s">
        <v>16074</v>
      </c>
      <c r="E825" s="262" t="s">
        <v>207</v>
      </c>
    </row>
    <row r="826" spans="1:5" ht="30">
      <c r="A826" s="261">
        <v>39239</v>
      </c>
      <c r="B826" s="261" t="s">
        <v>5205</v>
      </c>
      <c r="C826" s="261" t="s">
        <v>3243</v>
      </c>
      <c r="D826" s="265" t="s">
        <v>19128</v>
      </c>
      <c r="E826" s="262" t="s">
        <v>207</v>
      </c>
    </row>
    <row r="827" spans="1:5" ht="30">
      <c r="A827" s="261">
        <v>1014</v>
      </c>
      <c r="B827" s="261" t="s">
        <v>5206</v>
      </c>
      <c r="C827" s="261" t="s">
        <v>3243</v>
      </c>
      <c r="D827" s="265" t="s">
        <v>11165</v>
      </c>
      <c r="E827" s="262" t="s">
        <v>207</v>
      </c>
    </row>
    <row r="828" spans="1:5" ht="30">
      <c r="A828" s="261">
        <v>39240</v>
      </c>
      <c r="B828" s="261" t="s">
        <v>5207</v>
      </c>
      <c r="C828" s="261" t="s">
        <v>3243</v>
      </c>
      <c r="D828" s="265" t="s">
        <v>19129</v>
      </c>
      <c r="E828" s="262" t="s">
        <v>207</v>
      </c>
    </row>
    <row r="829" spans="1:5" ht="30">
      <c r="A829" s="261">
        <v>39232</v>
      </c>
      <c r="B829" s="261" t="s">
        <v>5208</v>
      </c>
      <c r="C829" s="261" t="s">
        <v>3243</v>
      </c>
      <c r="D829" s="265" t="s">
        <v>19130</v>
      </c>
      <c r="E829" s="262" t="s">
        <v>207</v>
      </c>
    </row>
    <row r="830" spans="1:5" ht="30">
      <c r="A830" s="261">
        <v>39233</v>
      </c>
      <c r="B830" s="261" t="s">
        <v>5209</v>
      </c>
      <c r="C830" s="261" t="s">
        <v>3243</v>
      </c>
      <c r="D830" s="265" t="s">
        <v>19131</v>
      </c>
      <c r="E830" s="262" t="s">
        <v>207</v>
      </c>
    </row>
    <row r="831" spans="1:5" ht="30">
      <c r="A831" s="261">
        <v>981</v>
      </c>
      <c r="B831" s="261" t="s">
        <v>5210</v>
      </c>
      <c r="C831" s="261" t="s">
        <v>3243</v>
      </c>
      <c r="D831" s="265" t="s">
        <v>16275</v>
      </c>
      <c r="E831" s="262" t="s">
        <v>207</v>
      </c>
    </row>
    <row r="832" spans="1:5" ht="30">
      <c r="A832" s="261">
        <v>39234</v>
      </c>
      <c r="B832" s="261" t="s">
        <v>5211</v>
      </c>
      <c r="C832" s="261" t="s">
        <v>3243</v>
      </c>
      <c r="D832" s="265" t="s">
        <v>19132</v>
      </c>
      <c r="E832" s="262" t="s">
        <v>207</v>
      </c>
    </row>
    <row r="833" spans="1:5" ht="30">
      <c r="A833" s="261">
        <v>982</v>
      </c>
      <c r="B833" s="261" t="s">
        <v>5212</v>
      </c>
      <c r="C833" s="261" t="s">
        <v>3243</v>
      </c>
      <c r="D833" s="265" t="s">
        <v>9983</v>
      </c>
      <c r="E833" s="262" t="s">
        <v>207</v>
      </c>
    </row>
    <row r="834" spans="1:5" ht="30">
      <c r="A834" s="261">
        <v>39235</v>
      </c>
      <c r="B834" s="261" t="s">
        <v>5213</v>
      </c>
      <c r="C834" s="261" t="s">
        <v>3243</v>
      </c>
      <c r="D834" s="265" t="s">
        <v>19133</v>
      </c>
      <c r="E834" s="262" t="s">
        <v>207</v>
      </c>
    </row>
    <row r="835" spans="1:5" ht="30">
      <c r="A835" s="261">
        <v>39236</v>
      </c>
      <c r="B835" s="261" t="s">
        <v>5214</v>
      </c>
      <c r="C835" s="261" t="s">
        <v>3243</v>
      </c>
      <c r="D835" s="265" t="s">
        <v>19134</v>
      </c>
      <c r="E835" s="262" t="s">
        <v>207</v>
      </c>
    </row>
    <row r="836" spans="1:5" ht="45">
      <c r="A836" s="261">
        <v>876</v>
      </c>
      <c r="B836" s="261" t="s">
        <v>5215</v>
      </c>
      <c r="C836" s="261" t="s">
        <v>3243</v>
      </c>
      <c r="D836" s="265" t="s">
        <v>19135</v>
      </c>
      <c r="E836" s="262" t="s">
        <v>207</v>
      </c>
    </row>
    <row r="837" spans="1:5" ht="45">
      <c r="A837" s="261">
        <v>877</v>
      </c>
      <c r="B837" s="261" t="s">
        <v>5216</v>
      </c>
      <c r="C837" s="261" t="s">
        <v>3243</v>
      </c>
      <c r="D837" s="265" t="s">
        <v>19136</v>
      </c>
      <c r="E837" s="262" t="s">
        <v>207</v>
      </c>
    </row>
    <row r="838" spans="1:5" ht="45">
      <c r="A838" s="261">
        <v>882</v>
      </c>
      <c r="B838" s="261" t="s">
        <v>5217</v>
      </c>
      <c r="C838" s="261" t="s">
        <v>3243</v>
      </c>
      <c r="D838" s="265" t="s">
        <v>19137</v>
      </c>
      <c r="E838" s="262" t="s">
        <v>207</v>
      </c>
    </row>
    <row r="839" spans="1:5" ht="45">
      <c r="A839" s="261">
        <v>878</v>
      </c>
      <c r="B839" s="261" t="s">
        <v>5218</v>
      </c>
      <c r="C839" s="261" t="s">
        <v>3243</v>
      </c>
      <c r="D839" s="265" t="s">
        <v>14270</v>
      </c>
      <c r="E839" s="262" t="s">
        <v>207</v>
      </c>
    </row>
    <row r="840" spans="1:5" ht="45">
      <c r="A840" s="261">
        <v>879</v>
      </c>
      <c r="B840" s="261" t="s">
        <v>5219</v>
      </c>
      <c r="C840" s="261" t="s">
        <v>3243</v>
      </c>
      <c r="D840" s="265" t="s">
        <v>19138</v>
      </c>
      <c r="E840" s="262" t="s">
        <v>207</v>
      </c>
    </row>
    <row r="841" spans="1:5" ht="45">
      <c r="A841" s="261">
        <v>880</v>
      </c>
      <c r="B841" s="261" t="s">
        <v>5220</v>
      </c>
      <c r="C841" s="261" t="s">
        <v>3243</v>
      </c>
      <c r="D841" s="265" t="s">
        <v>19139</v>
      </c>
      <c r="E841" s="262" t="s">
        <v>207</v>
      </c>
    </row>
    <row r="842" spans="1:5" ht="45">
      <c r="A842" s="261">
        <v>873</v>
      </c>
      <c r="B842" s="261" t="s">
        <v>5221</v>
      </c>
      <c r="C842" s="261" t="s">
        <v>3243</v>
      </c>
      <c r="D842" s="265" t="s">
        <v>19140</v>
      </c>
      <c r="E842" s="262" t="s">
        <v>207</v>
      </c>
    </row>
    <row r="843" spans="1:5" ht="45">
      <c r="A843" s="261">
        <v>881</v>
      </c>
      <c r="B843" s="261" t="s">
        <v>5222</v>
      </c>
      <c r="C843" s="261" t="s">
        <v>3243</v>
      </c>
      <c r="D843" s="265" t="s">
        <v>19141</v>
      </c>
      <c r="E843" s="262" t="s">
        <v>207</v>
      </c>
    </row>
    <row r="844" spans="1:5" ht="45">
      <c r="A844" s="261">
        <v>874</v>
      </c>
      <c r="B844" s="261" t="s">
        <v>5223</v>
      </c>
      <c r="C844" s="261" t="s">
        <v>3243</v>
      </c>
      <c r="D844" s="266" t="s">
        <v>19142</v>
      </c>
      <c r="E844" s="262" t="s">
        <v>207</v>
      </c>
    </row>
    <row r="845" spans="1:5" ht="45">
      <c r="A845" s="261">
        <v>875</v>
      </c>
      <c r="B845" s="261" t="s">
        <v>5224</v>
      </c>
      <c r="C845" s="261" t="s">
        <v>3243</v>
      </c>
      <c r="D845" s="266" t="s">
        <v>19143</v>
      </c>
      <c r="E845" s="262" t="s">
        <v>207</v>
      </c>
    </row>
    <row r="846" spans="1:5" ht="30">
      <c r="A846" s="261">
        <v>983</v>
      </c>
      <c r="B846" s="261" t="s">
        <v>5225</v>
      </c>
      <c r="C846" s="261" t="s">
        <v>3243</v>
      </c>
      <c r="D846" s="266" t="s">
        <v>19061</v>
      </c>
      <c r="E846" s="262" t="s">
        <v>207</v>
      </c>
    </row>
    <row r="847" spans="1:5" ht="30">
      <c r="A847" s="261">
        <v>985</v>
      </c>
      <c r="B847" s="261" t="s">
        <v>5226</v>
      </c>
      <c r="C847" s="261" t="s">
        <v>3243</v>
      </c>
      <c r="D847" s="266" t="s">
        <v>11214</v>
      </c>
      <c r="E847" s="262" t="s">
        <v>207</v>
      </c>
    </row>
    <row r="848" spans="1:5" ht="30">
      <c r="A848" s="261">
        <v>990</v>
      </c>
      <c r="B848" s="261" t="s">
        <v>5227</v>
      </c>
      <c r="C848" s="261" t="s">
        <v>3243</v>
      </c>
      <c r="D848" s="265" t="s">
        <v>19144</v>
      </c>
      <c r="E848" s="262" t="s">
        <v>207</v>
      </c>
    </row>
    <row r="849" spans="1:5" ht="30">
      <c r="A849" s="261">
        <v>39241</v>
      </c>
      <c r="B849" s="261" t="s">
        <v>5228</v>
      </c>
      <c r="C849" s="261" t="s">
        <v>3243</v>
      </c>
      <c r="D849" s="265" t="s">
        <v>9910</v>
      </c>
      <c r="E849" s="262" t="s">
        <v>207</v>
      </c>
    </row>
    <row r="850" spans="1:5" ht="30">
      <c r="A850" s="261">
        <v>1005</v>
      </c>
      <c r="B850" s="261" t="s">
        <v>5229</v>
      </c>
      <c r="C850" s="261" t="s">
        <v>3243</v>
      </c>
      <c r="D850" s="265" t="s">
        <v>19145</v>
      </c>
      <c r="E850" s="262" t="s">
        <v>207</v>
      </c>
    </row>
    <row r="851" spans="1:5" ht="30">
      <c r="A851" s="261">
        <v>984</v>
      </c>
      <c r="B851" s="261" t="s">
        <v>5230</v>
      </c>
      <c r="C851" s="261" t="s">
        <v>3243</v>
      </c>
      <c r="D851" s="265" t="s">
        <v>11359</v>
      </c>
      <c r="E851" s="262" t="s">
        <v>207</v>
      </c>
    </row>
    <row r="852" spans="1:5" ht="30">
      <c r="A852" s="261">
        <v>991</v>
      </c>
      <c r="B852" s="261" t="s">
        <v>5231</v>
      </c>
      <c r="C852" s="261" t="s">
        <v>3243</v>
      </c>
      <c r="D852" s="265" t="s">
        <v>19146</v>
      </c>
      <c r="E852" s="262" t="s">
        <v>207</v>
      </c>
    </row>
    <row r="853" spans="1:5" ht="30">
      <c r="A853" s="261">
        <v>986</v>
      </c>
      <c r="B853" s="261" t="s">
        <v>5232</v>
      </c>
      <c r="C853" s="261" t="s">
        <v>3243</v>
      </c>
      <c r="D853" s="265" t="s">
        <v>19147</v>
      </c>
      <c r="E853" s="262" t="s">
        <v>207</v>
      </c>
    </row>
    <row r="854" spans="1:5" ht="30">
      <c r="A854" s="261">
        <v>1024</v>
      </c>
      <c r="B854" s="261" t="s">
        <v>5233</v>
      </c>
      <c r="C854" s="261" t="s">
        <v>3243</v>
      </c>
      <c r="D854" s="265" t="s">
        <v>19148</v>
      </c>
      <c r="E854" s="262" t="s">
        <v>207</v>
      </c>
    </row>
    <row r="855" spans="1:5" ht="30">
      <c r="A855" s="261">
        <v>987</v>
      </c>
      <c r="B855" s="261" t="s">
        <v>5234</v>
      </c>
      <c r="C855" s="261" t="s">
        <v>3243</v>
      </c>
      <c r="D855" s="265" t="s">
        <v>19149</v>
      </c>
      <c r="E855" s="262" t="s">
        <v>207</v>
      </c>
    </row>
    <row r="856" spans="1:5" ht="30">
      <c r="A856" s="261">
        <v>1003</v>
      </c>
      <c r="B856" s="261" t="s">
        <v>5235</v>
      </c>
      <c r="C856" s="261" t="s">
        <v>3243</v>
      </c>
      <c r="D856" s="265" t="s">
        <v>11059</v>
      </c>
      <c r="E856" s="262" t="s">
        <v>207</v>
      </c>
    </row>
    <row r="857" spans="1:5" ht="30">
      <c r="A857" s="261">
        <v>992</v>
      </c>
      <c r="B857" s="261" t="s">
        <v>5236</v>
      </c>
      <c r="C857" s="261" t="s">
        <v>3243</v>
      </c>
      <c r="D857" s="265" t="s">
        <v>19150</v>
      </c>
      <c r="E857" s="262" t="s">
        <v>207</v>
      </c>
    </row>
    <row r="858" spans="1:5" ht="30">
      <c r="A858" s="261">
        <v>1007</v>
      </c>
      <c r="B858" s="261" t="s">
        <v>5237</v>
      </c>
      <c r="C858" s="261" t="s">
        <v>3243</v>
      </c>
      <c r="D858" s="265" t="s">
        <v>14147</v>
      </c>
      <c r="E858" s="262" t="s">
        <v>207</v>
      </c>
    </row>
    <row r="859" spans="1:5" ht="30">
      <c r="A859" s="261">
        <v>39242</v>
      </c>
      <c r="B859" s="261" t="s">
        <v>5238</v>
      </c>
      <c r="C859" s="261" t="s">
        <v>3243</v>
      </c>
      <c r="D859" s="265" t="s">
        <v>19151</v>
      </c>
      <c r="E859" s="262" t="s">
        <v>207</v>
      </c>
    </row>
    <row r="860" spans="1:5" ht="30">
      <c r="A860" s="261">
        <v>1008</v>
      </c>
      <c r="B860" s="261" t="s">
        <v>5239</v>
      </c>
      <c r="C860" s="261" t="s">
        <v>3243</v>
      </c>
      <c r="D860" s="265" t="s">
        <v>9892</v>
      </c>
      <c r="E860" s="262" t="s">
        <v>207</v>
      </c>
    </row>
    <row r="861" spans="1:5" ht="30">
      <c r="A861" s="261">
        <v>988</v>
      </c>
      <c r="B861" s="261" t="s">
        <v>5240</v>
      </c>
      <c r="C861" s="261" t="s">
        <v>3243</v>
      </c>
      <c r="D861" s="265" t="s">
        <v>19152</v>
      </c>
      <c r="E861" s="262" t="s">
        <v>207</v>
      </c>
    </row>
    <row r="862" spans="1:5" ht="30">
      <c r="A862" s="261">
        <v>989</v>
      </c>
      <c r="B862" s="261" t="s">
        <v>5241</v>
      </c>
      <c r="C862" s="261" t="s">
        <v>3243</v>
      </c>
      <c r="D862" s="265" t="s">
        <v>19153</v>
      </c>
      <c r="E862" s="262" t="s">
        <v>207</v>
      </c>
    </row>
    <row r="863" spans="1:5" ht="15">
      <c r="A863" s="261">
        <v>39598</v>
      </c>
      <c r="B863" s="261" t="s">
        <v>5242</v>
      </c>
      <c r="C863" s="261" t="s">
        <v>3243</v>
      </c>
      <c r="D863" s="266" t="s">
        <v>10027</v>
      </c>
      <c r="E863" s="262" t="s">
        <v>207</v>
      </c>
    </row>
    <row r="864" spans="1:5" ht="15">
      <c r="A864" s="261">
        <v>39599</v>
      </c>
      <c r="B864" s="261" t="s">
        <v>5243</v>
      </c>
      <c r="C864" s="261" t="s">
        <v>3243</v>
      </c>
      <c r="D864" s="265" t="s">
        <v>10908</v>
      </c>
      <c r="E864" s="262" t="s">
        <v>207</v>
      </c>
    </row>
    <row r="865" spans="1:5" ht="15">
      <c r="A865" s="261">
        <v>34602</v>
      </c>
      <c r="B865" s="261" t="s">
        <v>5244</v>
      </c>
      <c r="C865" s="261" t="s">
        <v>3243</v>
      </c>
      <c r="D865" s="265" t="s">
        <v>10194</v>
      </c>
      <c r="E865" s="262" t="s">
        <v>207</v>
      </c>
    </row>
    <row r="866" spans="1:5" ht="15">
      <c r="A866" s="261">
        <v>34603</v>
      </c>
      <c r="B866" s="261" t="s">
        <v>5245</v>
      </c>
      <c r="C866" s="261" t="s">
        <v>3243</v>
      </c>
      <c r="D866" s="266" t="s">
        <v>19154</v>
      </c>
      <c r="E866" s="262" t="s">
        <v>207</v>
      </c>
    </row>
    <row r="867" spans="1:5" ht="15">
      <c r="A867" s="261">
        <v>34607</v>
      </c>
      <c r="B867" s="261" t="s">
        <v>5246</v>
      </c>
      <c r="C867" s="261" t="s">
        <v>3243</v>
      </c>
      <c r="D867" s="265" t="s">
        <v>11320</v>
      </c>
      <c r="E867" s="262" t="s">
        <v>207</v>
      </c>
    </row>
    <row r="868" spans="1:5" ht="15">
      <c r="A868" s="261">
        <v>34609</v>
      </c>
      <c r="B868" s="261" t="s">
        <v>5247</v>
      </c>
      <c r="C868" s="261" t="s">
        <v>3243</v>
      </c>
      <c r="D868" s="265" t="s">
        <v>19155</v>
      </c>
      <c r="E868" s="262" t="s">
        <v>207</v>
      </c>
    </row>
    <row r="869" spans="1:5" ht="15">
      <c r="A869" s="261">
        <v>34618</v>
      </c>
      <c r="B869" s="261" t="s">
        <v>5248</v>
      </c>
      <c r="C869" s="261" t="s">
        <v>3243</v>
      </c>
      <c r="D869" s="265" t="s">
        <v>10156</v>
      </c>
      <c r="E869" s="262" t="s">
        <v>207</v>
      </c>
    </row>
    <row r="870" spans="1:5" ht="15">
      <c r="A870" s="261">
        <v>34620</v>
      </c>
      <c r="B870" s="261" t="s">
        <v>5249</v>
      </c>
      <c r="C870" s="261" t="s">
        <v>3243</v>
      </c>
      <c r="D870" s="265" t="s">
        <v>16391</v>
      </c>
      <c r="E870" s="262" t="s">
        <v>207</v>
      </c>
    </row>
    <row r="871" spans="1:5" ht="15">
      <c r="A871" s="261">
        <v>34621</v>
      </c>
      <c r="B871" s="261" t="s">
        <v>5250</v>
      </c>
      <c r="C871" s="261" t="s">
        <v>3243</v>
      </c>
      <c r="D871" s="265" t="s">
        <v>16332</v>
      </c>
      <c r="E871" s="262" t="s">
        <v>207</v>
      </c>
    </row>
    <row r="872" spans="1:5" ht="15">
      <c r="A872" s="261">
        <v>34622</v>
      </c>
      <c r="B872" s="261" t="s">
        <v>5251</v>
      </c>
      <c r="C872" s="261" t="s">
        <v>3243</v>
      </c>
      <c r="D872" s="265" t="s">
        <v>11241</v>
      </c>
      <c r="E872" s="262" t="s">
        <v>207</v>
      </c>
    </row>
    <row r="873" spans="1:5" ht="15">
      <c r="A873" s="261">
        <v>34624</v>
      </c>
      <c r="B873" s="261" t="s">
        <v>5252</v>
      </c>
      <c r="C873" s="261" t="s">
        <v>3243</v>
      </c>
      <c r="D873" s="265" t="s">
        <v>14137</v>
      </c>
      <c r="E873" s="262" t="s">
        <v>207</v>
      </c>
    </row>
    <row r="874" spans="1:5" ht="15">
      <c r="A874" s="261">
        <v>34626</v>
      </c>
      <c r="B874" s="261" t="s">
        <v>5253</v>
      </c>
      <c r="C874" s="261" t="s">
        <v>3243</v>
      </c>
      <c r="D874" s="265" t="s">
        <v>19156</v>
      </c>
      <c r="E874" s="262" t="s">
        <v>207</v>
      </c>
    </row>
    <row r="875" spans="1:5" ht="15">
      <c r="A875" s="261">
        <v>34627</v>
      </c>
      <c r="B875" s="261" t="s">
        <v>5254</v>
      </c>
      <c r="C875" s="261" t="s">
        <v>3243</v>
      </c>
      <c r="D875" s="265" t="s">
        <v>16146</v>
      </c>
      <c r="E875" s="262" t="s">
        <v>207</v>
      </c>
    </row>
    <row r="876" spans="1:5" ht="15">
      <c r="A876" s="261">
        <v>34629</v>
      </c>
      <c r="B876" s="261" t="s">
        <v>5255</v>
      </c>
      <c r="C876" s="261" t="s">
        <v>3243</v>
      </c>
      <c r="D876" s="265" t="s">
        <v>14230</v>
      </c>
      <c r="E876" s="262" t="s">
        <v>207</v>
      </c>
    </row>
    <row r="877" spans="1:5" ht="30">
      <c r="A877" s="261">
        <v>39257</v>
      </c>
      <c r="B877" s="261" t="s">
        <v>5256</v>
      </c>
      <c r="C877" s="261" t="s">
        <v>3243</v>
      </c>
      <c r="D877" s="265" t="s">
        <v>19157</v>
      </c>
      <c r="E877" s="262" t="s">
        <v>207</v>
      </c>
    </row>
    <row r="878" spans="1:5" ht="30">
      <c r="A878" s="261">
        <v>39261</v>
      </c>
      <c r="B878" s="261" t="s">
        <v>5257</v>
      </c>
      <c r="C878" s="261" t="s">
        <v>3243</v>
      </c>
      <c r="D878" s="265" t="s">
        <v>10115</v>
      </c>
      <c r="E878" s="262" t="s">
        <v>207</v>
      </c>
    </row>
    <row r="879" spans="1:5" ht="30">
      <c r="A879" s="261">
        <v>39268</v>
      </c>
      <c r="B879" s="261" t="s">
        <v>5258</v>
      </c>
      <c r="C879" s="261" t="s">
        <v>3243</v>
      </c>
      <c r="D879" s="265" t="s">
        <v>19158</v>
      </c>
      <c r="E879" s="262" t="s">
        <v>207</v>
      </c>
    </row>
    <row r="880" spans="1:5" ht="30">
      <c r="A880" s="261">
        <v>39262</v>
      </c>
      <c r="B880" s="261" t="s">
        <v>5259</v>
      </c>
      <c r="C880" s="261" t="s">
        <v>3243</v>
      </c>
      <c r="D880" s="265" t="s">
        <v>14266</v>
      </c>
      <c r="E880" s="262" t="s">
        <v>207</v>
      </c>
    </row>
    <row r="881" spans="1:5" ht="30">
      <c r="A881" s="261">
        <v>39258</v>
      </c>
      <c r="B881" s="261" t="s">
        <v>5260</v>
      </c>
      <c r="C881" s="261" t="s">
        <v>3243</v>
      </c>
      <c r="D881" s="265" t="s">
        <v>10590</v>
      </c>
      <c r="E881" s="262" t="s">
        <v>207</v>
      </c>
    </row>
    <row r="882" spans="1:5" ht="30">
      <c r="A882" s="261">
        <v>39263</v>
      </c>
      <c r="B882" s="261" t="s">
        <v>5261</v>
      </c>
      <c r="C882" s="261" t="s">
        <v>3243</v>
      </c>
      <c r="D882" s="265" t="s">
        <v>19159</v>
      </c>
      <c r="E882" s="262" t="s">
        <v>207</v>
      </c>
    </row>
    <row r="883" spans="1:5" ht="30">
      <c r="A883" s="261">
        <v>39264</v>
      </c>
      <c r="B883" s="261" t="s">
        <v>5262</v>
      </c>
      <c r="C883" s="261" t="s">
        <v>3243</v>
      </c>
      <c r="D883" s="265" t="s">
        <v>16293</v>
      </c>
      <c r="E883" s="262" t="s">
        <v>207</v>
      </c>
    </row>
    <row r="884" spans="1:5" ht="30">
      <c r="A884" s="261">
        <v>39259</v>
      </c>
      <c r="B884" s="261" t="s">
        <v>5263</v>
      </c>
      <c r="C884" s="261" t="s">
        <v>3243</v>
      </c>
      <c r="D884" s="265" t="s">
        <v>19160</v>
      </c>
      <c r="E884" s="262" t="s">
        <v>207</v>
      </c>
    </row>
    <row r="885" spans="1:5" ht="30">
      <c r="A885" s="261">
        <v>39265</v>
      </c>
      <c r="B885" s="261" t="s">
        <v>5264</v>
      </c>
      <c r="C885" s="261" t="s">
        <v>3243</v>
      </c>
      <c r="D885" s="265" t="s">
        <v>19161</v>
      </c>
      <c r="E885" s="262" t="s">
        <v>207</v>
      </c>
    </row>
    <row r="886" spans="1:5" ht="30">
      <c r="A886" s="261">
        <v>39260</v>
      </c>
      <c r="B886" s="261" t="s">
        <v>5265</v>
      </c>
      <c r="C886" s="261" t="s">
        <v>3243</v>
      </c>
      <c r="D886" s="265" t="s">
        <v>19162</v>
      </c>
      <c r="E886" s="262" t="s">
        <v>207</v>
      </c>
    </row>
    <row r="887" spans="1:5" ht="30">
      <c r="A887" s="261">
        <v>39266</v>
      </c>
      <c r="B887" s="261" t="s">
        <v>5266</v>
      </c>
      <c r="C887" s="261" t="s">
        <v>3243</v>
      </c>
      <c r="D887" s="265" t="s">
        <v>19163</v>
      </c>
      <c r="E887" s="262" t="s">
        <v>207</v>
      </c>
    </row>
    <row r="888" spans="1:5" ht="30">
      <c r="A888" s="261">
        <v>39267</v>
      </c>
      <c r="B888" s="261" t="s">
        <v>5267</v>
      </c>
      <c r="C888" s="261" t="s">
        <v>3243</v>
      </c>
      <c r="D888" s="265" t="s">
        <v>19164</v>
      </c>
      <c r="E888" s="262" t="s">
        <v>207</v>
      </c>
    </row>
    <row r="889" spans="1:5" ht="15">
      <c r="A889" s="261">
        <v>11901</v>
      </c>
      <c r="B889" s="261" t="s">
        <v>5268</v>
      </c>
      <c r="C889" s="261" t="s">
        <v>3243</v>
      </c>
      <c r="D889" s="265" t="s">
        <v>9968</v>
      </c>
      <c r="E889" s="262" t="s">
        <v>207</v>
      </c>
    </row>
    <row r="890" spans="1:5" ht="15">
      <c r="A890" s="261">
        <v>11902</v>
      </c>
      <c r="B890" s="261" t="s">
        <v>5269</v>
      </c>
      <c r="C890" s="261" t="s">
        <v>3243</v>
      </c>
      <c r="D890" s="265" t="s">
        <v>11168</v>
      </c>
      <c r="E890" s="262" t="s">
        <v>207</v>
      </c>
    </row>
    <row r="891" spans="1:5" ht="15">
      <c r="A891" s="261">
        <v>11903</v>
      </c>
      <c r="B891" s="261" t="s">
        <v>5270</v>
      </c>
      <c r="C891" s="261" t="s">
        <v>3243</v>
      </c>
      <c r="D891" s="265" t="s">
        <v>11259</v>
      </c>
      <c r="E891" s="262" t="s">
        <v>207</v>
      </c>
    </row>
    <row r="892" spans="1:5" ht="15">
      <c r="A892" s="261">
        <v>11904</v>
      </c>
      <c r="B892" s="261" t="s">
        <v>5271</v>
      </c>
      <c r="C892" s="261" t="s">
        <v>3243</v>
      </c>
      <c r="D892" s="265" t="s">
        <v>11502</v>
      </c>
      <c r="E892" s="262" t="s">
        <v>207</v>
      </c>
    </row>
    <row r="893" spans="1:5" ht="15">
      <c r="A893" s="261">
        <v>11905</v>
      </c>
      <c r="B893" s="261" t="s">
        <v>5272</v>
      </c>
      <c r="C893" s="261" t="s">
        <v>3243</v>
      </c>
      <c r="D893" s="265" t="s">
        <v>10041</v>
      </c>
      <c r="E893" s="262" t="s">
        <v>207</v>
      </c>
    </row>
    <row r="894" spans="1:5" ht="15">
      <c r="A894" s="261">
        <v>11906</v>
      </c>
      <c r="B894" s="261" t="s">
        <v>5273</v>
      </c>
      <c r="C894" s="261" t="s">
        <v>3243</v>
      </c>
      <c r="D894" s="265" t="s">
        <v>9978</v>
      </c>
      <c r="E894" s="262" t="s">
        <v>207</v>
      </c>
    </row>
    <row r="895" spans="1:5" ht="15">
      <c r="A895" s="261">
        <v>11919</v>
      </c>
      <c r="B895" s="261" t="s">
        <v>5274</v>
      </c>
      <c r="C895" s="261" t="s">
        <v>3243</v>
      </c>
      <c r="D895" s="265" t="s">
        <v>10243</v>
      </c>
      <c r="E895" s="262" t="s">
        <v>207</v>
      </c>
    </row>
    <row r="896" spans="1:5" ht="15">
      <c r="A896" s="261">
        <v>11920</v>
      </c>
      <c r="B896" s="261" t="s">
        <v>5275</v>
      </c>
      <c r="C896" s="261" t="s">
        <v>3243</v>
      </c>
      <c r="D896" s="265" t="s">
        <v>16204</v>
      </c>
      <c r="E896" s="262" t="s">
        <v>207</v>
      </c>
    </row>
    <row r="897" spans="1:5" ht="15">
      <c r="A897" s="261">
        <v>11924</v>
      </c>
      <c r="B897" s="261" t="s">
        <v>5276</v>
      </c>
      <c r="C897" s="261" t="s">
        <v>3243</v>
      </c>
      <c r="D897" s="265" t="s">
        <v>16448</v>
      </c>
      <c r="E897" s="262" t="s">
        <v>207</v>
      </c>
    </row>
    <row r="898" spans="1:5" ht="15">
      <c r="A898" s="261">
        <v>11921</v>
      </c>
      <c r="B898" s="261" t="s">
        <v>5277</v>
      </c>
      <c r="C898" s="261" t="s">
        <v>3243</v>
      </c>
      <c r="D898" s="265" t="s">
        <v>11350</v>
      </c>
      <c r="E898" s="262" t="s">
        <v>207</v>
      </c>
    </row>
    <row r="899" spans="1:5" ht="15">
      <c r="A899" s="261">
        <v>11922</v>
      </c>
      <c r="B899" s="261" t="s">
        <v>5278</v>
      </c>
      <c r="C899" s="261" t="s">
        <v>3243</v>
      </c>
      <c r="D899" s="265" t="s">
        <v>12437</v>
      </c>
      <c r="E899" s="262" t="s">
        <v>207</v>
      </c>
    </row>
    <row r="900" spans="1:5" ht="15">
      <c r="A900" s="261">
        <v>11923</v>
      </c>
      <c r="B900" s="261" t="s">
        <v>5279</v>
      </c>
      <c r="C900" s="261" t="s">
        <v>3243</v>
      </c>
      <c r="D900" s="265" t="s">
        <v>10182</v>
      </c>
      <c r="E900" s="262" t="s">
        <v>207</v>
      </c>
    </row>
    <row r="901" spans="1:5" ht="15">
      <c r="A901" s="261">
        <v>11916</v>
      </c>
      <c r="B901" s="261" t="s">
        <v>5280</v>
      </c>
      <c r="C901" s="261" t="s">
        <v>3243</v>
      </c>
      <c r="D901" s="266" t="s">
        <v>10190</v>
      </c>
      <c r="E901" s="262" t="s">
        <v>207</v>
      </c>
    </row>
    <row r="902" spans="1:5" ht="15">
      <c r="A902" s="261">
        <v>11914</v>
      </c>
      <c r="B902" s="261" t="s">
        <v>5281</v>
      </c>
      <c r="C902" s="261" t="s">
        <v>3243</v>
      </c>
      <c r="D902" s="266" t="s">
        <v>16000</v>
      </c>
      <c r="E902" s="262" t="s">
        <v>207</v>
      </c>
    </row>
    <row r="903" spans="1:5" ht="15">
      <c r="A903" s="261">
        <v>11917</v>
      </c>
      <c r="B903" s="261" t="s">
        <v>5282</v>
      </c>
      <c r="C903" s="261" t="s">
        <v>3243</v>
      </c>
      <c r="D903" s="266" t="s">
        <v>16074</v>
      </c>
      <c r="E903" s="262" t="s">
        <v>207</v>
      </c>
    </row>
    <row r="904" spans="1:5" ht="15">
      <c r="A904" s="261">
        <v>11918</v>
      </c>
      <c r="B904" s="261" t="s">
        <v>5283</v>
      </c>
      <c r="C904" s="261" t="s">
        <v>3243</v>
      </c>
      <c r="D904" s="266" t="s">
        <v>12223</v>
      </c>
      <c r="E904" s="262" t="s">
        <v>207</v>
      </c>
    </row>
    <row r="905" spans="1:5" ht="30">
      <c r="A905" s="261">
        <v>37734</v>
      </c>
      <c r="B905" s="261" t="s">
        <v>5284</v>
      </c>
      <c r="C905" s="261" t="s">
        <v>3240</v>
      </c>
      <c r="D905" s="265" t="s">
        <v>19165</v>
      </c>
      <c r="E905" s="262" t="s">
        <v>8987</v>
      </c>
    </row>
    <row r="906" spans="1:5" ht="30">
      <c r="A906" s="261">
        <v>42251</v>
      </c>
      <c r="B906" s="261" t="s">
        <v>5285</v>
      </c>
      <c r="C906" s="261" t="s">
        <v>3240</v>
      </c>
      <c r="D906" s="265" t="s">
        <v>19166</v>
      </c>
      <c r="E906" s="262" t="s">
        <v>8987</v>
      </c>
    </row>
    <row r="907" spans="1:5" ht="30">
      <c r="A907" s="261">
        <v>37733</v>
      </c>
      <c r="B907" s="261" t="s">
        <v>5286</v>
      </c>
      <c r="C907" s="261" t="s">
        <v>3240</v>
      </c>
      <c r="D907" s="265" t="s">
        <v>19167</v>
      </c>
      <c r="E907" s="262" t="s">
        <v>8987</v>
      </c>
    </row>
    <row r="908" spans="1:5" ht="30">
      <c r="A908" s="261">
        <v>37735</v>
      </c>
      <c r="B908" s="261" t="s">
        <v>5287</v>
      </c>
      <c r="C908" s="261" t="s">
        <v>3240</v>
      </c>
      <c r="D908" s="266" t="s">
        <v>19168</v>
      </c>
      <c r="E908" s="262" t="s">
        <v>8987</v>
      </c>
    </row>
    <row r="909" spans="1:5" ht="45">
      <c r="A909" s="261">
        <v>5090</v>
      </c>
      <c r="B909" s="261" t="s">
        <v>11705</v>
      </c>
      <c r="C909" s="261" t="s">
        <v>3240</v>
      </c>
      <c r="D909" s="265" t="s">
        <v>19169</v>
      </c>
      <c r="E909" s="262" t="s">
        <v>207</v>
      </c>
    </row>
    <row r="910" spans="1:5" ht="45">
      <c r="A910" s="261">
        <v>5085</v>
      </c>
      <c r="B910" s="261" t="s">
        <v>11706</v>
      </c>
      <c r="C910" s="261" t="s">
        <v>3240</v>
      </c>
      <c r="D910" s="265" t="s">
        <v>14209</v>
      </c>
      <c r="E910" s="262" t="s">
        <v>207</v>
      </c>
    </row>
    <row r="911" spans="1:5" ht="45">
      <c r="A911" s="261">
        <v>43603</v>
      </c>
      <c r="B911" s="261" t="s">
        <v>11707</v>
      </c>
      <c r="C911" s="261" t="s">
        <v>3240</v>
      </c>
      <c r="D911" s="265" t="s">
        <v>19170</v>
      </c>
      <c r="E911" s="262" t="s">
        <v>207</v>
      </c>
    </row>
    <row r="912" spans="1:5" ht="15">
      <c r="A912" s="261">
        <v>38374</v>
      </c>
      <c r="B912" s="261" t="s">
        <v>5288</v>
      </c>
      <c r="C912" s="261" t="s">
        <v>3240</v>
      </c>
      <c r="D912" s="265" t="s">
        <v>19171</v>
      </c>
      <c r="E912" s="262" t="s">
        <v>207</v>
      </c>
    </row>
    <row r="913" spans="1:5" ht="30">
      <c r="A913" s="261">
        <v>20209</v>
      </c>
      <c r="B913" s="261" t="s">
        <v>11708</v>
      </c>
      <c r="C913" s="261" t="s">
        <v>3243</v>
      </c>
      <c r="D913" s="265" t="s">
        <v>12412</v>
      </c>
      <c r="E913" s="262" t="s">
        <v>207</v>
      </c>
    </row>
    <row r="914" spans="1:5" ht="30">
      <c r="A914" s="261">
        <v>20212</v>
      </c>
      <c r="B914" s="261" t="s">
        <v>11709</v>
      </c>
      <c r="C914" s="261" t="s">
        <v>3243</v>
      </c>
      <c r="D914" s="265" t="s">
        <v>10364</v>
      </c>
      <c r="E914" s="262" t="s">
        <v>207</v>
      </c>
    </row>
    <row r="915" spans="1:5" ht="30">
      <c r="A915" s="261">
        <v>4433</v>
      </c>
      <c r="B915" s="261" t="s">
        <v>11710</v>
      </c>
      <c r="C915" s="261" t="s">
        <v>3243</v>
      </c>
      <c r="D915" s="265" t="s">
        <v>19172</v>
      </c>
      <c r="E915" s="262" t="s">
        <v>207</v>
      </c>
    </row>
    <row r="916" spans="1:5" ht="30">
      <c r="A916" s="261">
        <v>4430</v>
      </c>
      <c r="B916" s="261" t="s">
        <v>11711</v>
      </c>
      <c r="C916" s="261" t="s">
        <v>3243</v>
      </c>
      <c r="D916" s="265" t="s">
        <v>10568</v>
      </c>
      <c r="E916" s="262" t="s">
        <v>207</v>
      </c>
    </row>
    <row r="917" spans="1:5" ht="30">
      <c r="A917" s="261">
        <v>4400</v>
      </c>
      <c r="B917" s="261" t="s">
        <v>11712</v>
      </c>
      <c r="C917" s="261" t="s">
        <v>3243</v>
      </c>
      <c r="D917" s="265" t="s">
        <v>10586</v>
      </c>
      <c r="E917" s="262" t="s">
        <v>207</v>
      </c>
    </row>
    <row r="918" spans="1:5" ht="30">
      <c r="A918" s="261">
        <v>2729</v>
      </c>
      <c r="B918" s="261" t="s">
        <v>11713</v>
      </c>
      <c r="C918" s="261" t="s">
        <v>3240</v>
      </c>
      <c r="D918" s="265" t="s">
        <v>12206</v>
      </c>
      <c r="E918" s="262" t="s">
        <v>207</v>
      </c>
    </row>
    <row r="919" spans="1:5" ht="15">
      <c r="A919" s="261">
        <v>4513</v>
      </c>
      <c r="B919" s="261" t="s">
        <v>11714</v>
      </c>
      <c r="C919" s="261" t="s">
        <v>3243</v>
      </c>
      <c r="D919" s="265" t="s">
        <v>10793</v>
      </c>
      <c r="E919" s="262" t="s">
        <v>207</v>
      </c>
    </row>
    <row r="920" spans="1:5" ht="15">
      <c r="A920" s="261">
        <v>11871</v>
      </c>
      <c r="B920" s="261" t="s">
        <v>5289</v>
      </c>
      <c r="C920" s="261" t="s">
        <v>3240</v>
      </c>
      <c r="D920" s="265" t="s">
        <v>19173</v>
      </c>
      <c r="E920" s="262" t="s">
        <v>207</v>
      </c>
    </row>
    <row r="921" spans="1:5" ht="15">
      <c r="A921" s="261">
        <v>34636</v>
      </c>
      <c r="B921" s="261" t="s">
        <v>5290</v>
      </c>
      <c r="C921" s="261" t="s">
        <v>3240</v>
      </c>
      <c r="D921" s="265" t="s">
        <v>19174</v>
      </c>
      <c r="E921" s="262" t="s">
        <v>207</v>
      </c>
    </row>
    <row r="922" spans="1:5" ht="15">
      <c r="A922" s="261">
        <v>34639</v>
      </c>
      <c r="B922" s="261" t="s">
        <v>5291</v>
      </c>
      <c r="C922" s="261" t="s">
        <v>3240</v>
      </c>
      <c r="D922" s="265" t="s">
        <v>19175</v>
      </c>
      <c r="E922" s="262" t="s">
        <v>207</v>
      </c>
    </row>
    <row r="923" spans="1:5" ht="15">
      <c r="A923" s="261">
        <v>34640</v>
      </c>
      <c r="B923" s="261" t="s">
        <v>5292</v>
      </c>
      <c r="C923" s="261" t="s">
        <v>3240</v>
      </c>
      <c r="D923" s="265" t="s">
        <v>19176</v>
      </c>
      <c r="E923" s="262" t="s">
        <v>207</v>
      </c>
    </row>
    <row r="924" spans="1:5" ht="15">
      <c r="A924" s="261">
        <v>34637</v>
      </c>
      <c r="B924" s="261" t="s">
        <v>5293</v>
      </c>
      <c r="C924" s="261" t="s">
        <v>3240</v>
      </c>
      <c r="D924" s="265" t="s">
        <v>19177</v>
      </c>
      <c r="E924" s="262" t="s">
        <v>207</v>
      </c>
    </row>
    <row r="925" spans="1:5" ht="15">
      <c r="A925" s="261">
        <v>34638</v>
      </c>
      <c r="B925" s="261" t="s">
        <v>5294</v>
      </c>
      <c r="C925" s="261" t="s">
        <v>3240</v>
      </c>
      <c r="D925" s="265" t="s">
        <v>19178</v>
      </c>
      <c r="E925" s="262" t="s">
        <v>207</v>
      </c>
    </row>
    <row r="926" spans="1:5" ht="15">
      <c r="A926" s="261">
        <v>11868</v>
      </c>
      <c r="B926" s="261" t="s">
        <v>5295</v>
      </c>
      <c r="C926" s="261" t="s">
        <v>3240</v>
      </c>
      <c r="D926" s="265" t="s">
        <v>19179</v>
      </c>
      <c r="E926" s="262" t="s">
        <v>207</v>
      </c>
    </row>
    <row r="927" spans="1:5" ht="15">
      <c r="A927" s="261">
        <v>37106</v>
      </c>
      <c r="B927" s="261" t="s">
        <v>5296</v>
      </c>
      <c r="C927" s="261" t="s">
        <v>3240</v>
      </c>
      <c r="D927" s="266" t="s">
        <v>19180</v>
      </c>
      <c r="E927" s="262" t="s">
        <v>207</v>
      </c>
    </row>
    <row r="928" spans="1:5" ht="15">
      <c r="A928" s="261">
        <v>11869</v>
      </c>
      <c r="B928" s="261" t="s">
        <v>5297</v>
      </c>
      <c r="C928" s="261" t="s">
        <v>3240</v>
      </c>
      <c r="D928" s="265" t="s">
        <v>19181</v>
      </c>
      <c r="E928" s="262" t="s">
        <v>207</v>
      </c>
    </row>
    <row r="929" spans="1:5" ht="15">
      <c r="A929" s="261">
        <v>37104</v>
      </c>
      <c r="B929" s="261" t="s">
        <v>5298</v>
      </c>
      <c r="C929" s="261" t="s">
        <v>3240</v>
      </c>
      <c r="D929" s="266" t="s">
        <v>19182</v>
      </c>
      <c r="E929" s="262" t="s">
        <v>207</v>
      </c>
    </row>
    <row r="930" spans="1:5" ht="15">
      <c r="A930" s="261">
        <v>37105</v>
      </c>
      <c r="B930" s="261" t="s">
        <v>5299</v>
      </c>
      <c r="C930" s="261" t="s">
        <v>3240</v>
      </c>
      <c r="D930" s="266" t="s">
        <v>19183</v>
      </c>
      <c r="E930" s="262" t="s">
        <v>207</v>
      </c>
    </row>
    <row r="931" spans="1:5" ht="30">
      <c r="A931" s="261">
        <v>34641</v>
      </c>
      <c r="B931" s="261" t="s">
        <v>11715</v>
      </c>
      <c r="C931" s="261" t="s">
        <v>3240</v>
      </c>
      <c r="D931" s="266" t="s">
        <v>19184</v>
      </c>
      <c r="E931" s="262" t="s">
        <v>207</v>
      </c>
    </row>
    <row r="932" spans="1:5" ht="30">
      <c r="A932" s="261">
        <v>43434</v>
      </c>
      <c r="B932" s="261" t="s">
        <v>11716</v>
      </c>
      <c r="C932" s="261" t="s">
        <v>3240</v>
      </c>
      <c r="D932" s="265" t="s">
        <v>19185</v>
      </c>
      <c r="E932" s="262" t="s">
        <v>207</v>
      </c>
    </row>
    <row r="933" spans="1:5" ht="30">
      <c r="A933" s="261">
        <v>43435</v>
      </c>
      <c r="B933" s="261" t="s">
        <v>11717</v>
      </c>
      <c r="C933" s="261" t="s">
        <v>3240</v>
      </c>
      <c r="D933" s="265" t="s">
        <v>19186</v>
      </c>
      <c r="E933" s="262" t="s">
        <v>207</v>
      </c>
    </row>
    <row r="934" spans="1:5" ht="30">
      <c r="A934" s="261">
        <v>43436</v>
      </c>
      <c r="B934" s="261" t="s">
        <v>11718</v>
      </c>
      <c r="C934" s="261" t="s">
        <v>3240</v>
      </c>
      <c r="D934" s="265" t="s">
        <v>19187</v>
      </c>
      <c r="E934" s="262" t="s">
        <v>207</v>
      </c>
    </row>
    <row r="935" spans="1:5" ht="30">
      <c r="A935" s="261">
        <v>43437</v>
      </c>
      <c r="B935" s="261" t="s">
        <v>11719</v>
      </c>
      <c r="C935" s="261" t="s">
        <v>3240</v>
      </c>
      <c r="D935" s="265" t="s">
        <v>19188</v>
      </c>
      <c r="E935" s="262" t="s">
        <v>207</v>
      </c>
    </row>
    <row r="936" spans="1:5" ht="30">
      <c r="A936" s="261">
        <v>43438</v>
      </c>
      <c r="B936" s="261" t="s">
        <v>11720</v>
      </c>
      <c r="C936" s="261" t="s">
        <v>3240</v>
      </c>
      <c r="D936" s="265" t="s">
        <v>19189</v>
      </c>
      <c r="E936" s="262" t="s">
        <v>207</v>
      </c>
    </row>
    <row r="937" spans="1:5" ht="30">
      <c r="A937" s="261">
        <v>41627</v>
      </c>
      <c r="B937" s="261" t="s">
        <v>11721</v>
      </c>
      <c r="C937" s="261" t="s">
        <v>3240</v>
      </c>
      <c r="D937" s="265" t="s">
        <v>19190</v>
      </c>
      <c r="E937" s="262" t="s">
        <v>207</v>
      </c>
    </row>
    <row r="938" spans="1:5" ht="30">
      <c r="A938" s="261">
        <v>41628</v>
      </c>
      <c r="B938" s="261" t="s">
        <v>11722</v>
      </c>
      <c r="C938" s="261" t="s">
        <v>3240</v>
      </c>
      <c r="D938" s="265" t="s">
        <v>19191</v>
      </c>
      <c r="E938" s="262" t="s">
        <v>207</v>
      </c>
    </row>
    <row r="939" spans="1:5" ht="30">
      <c r="A939" s="261">
        <v>41629</v>
      </c>
      <c r="B939" s="261" t="s">
        <v>11723</v>
      </c>
      <c r="C939" s="261" t="s">
        <v>3240</v>
      </c>
      <c r="D939" s="265" t="s">
        <v>19192</v>
      </c>
      <c r="E939" s="262" t="s">
        <v>207</v>
      </c>
    </row>
    <row r="940" spans="1:5" ht="30">
      <c r="A940" s="261">
        <v>43429</v>
      </c>
      <c r="B940" s="261" t="s">
        <v>11724</v>
      </c>
      <c r="C940" s="261" t="s">
        <v>3240</v>
      </c>
      <c r="D940" s="265" t="s">
        <v>19193</v>
      </c>
      <c r="E940" s="262" t="s">
        <v>207</v>
      </c>
    </row>
    <row r="941" spans="1:5" ht="30">
      <c r="A941" s="261">
        <v>43430</v>
      </c>
      <c r="B941" s="261" t="s">
        <v>11725</v>
      </c>
      <c r="C941" s="261" t="s">
        <v>3240</v>
      </c>
      <c r="D941" s="265" t="s">
        <v>16101</v>
      </c>
      <c r="E941" s="262" t="s">
        <v>207</v>
      </c>
    </row>
    <row r="942" spans="1:5" ht="30">
      <c r="A942" s="261">
        <v>43431</v>
      </c>
      <c r="B942" s="261" t="s">
        <v>11726</v>
      </c>
      <c r="C942" s="261" t="s">
        <v>3240</v>
      </c>
      <c r="D942" s="265" t="s">
        <v>19194</v>
      </c>
      <c r="E942" s="262" t="s">
        <v>207</v>
      </c>
    </row>
    <row r="943" spans="1:5" ht="30">
      <c r="A943" s="261">
        <v>43432</v>
      </c>
      <c r="B943" s="261" t="s">
        <v>11727</v>
      </c>
      <c r="C943" s="261" t="s">
        <v>3240</v>
      </c>
      <c r="D943" s="265" t="s">
        <v>19195</v>
      </c>
      <c r="E943" s="262" t="s">
        <v>207</v>
      </c>
    </row>
    <row r="944" spans="1:5" ht="30">
      <c r="A944" s="261">
        <v>43433</v>
      </c>
      <c r="B944" s="261" t="s">
        <v>11728</v>
      </c>
      <c r="C944" s="261" t="s">
        <v>3240</v>
      </c>
      <c r="D944" s="265" t="s">
        <v>19196</v>
      </c>
      <c r="E944" s="262" t="s">
        <v>207</v>
      </c>
    </row>
    <row r="945" spans="1:5" ht="45">
      <c r="A945" s="261">
        <v>43094</v>
      </c>
      <c r="B945" s="261" t="s">
        <v>9493</v>
      </c>
      <c r="C945" s="261" t="s">
        <v>3240</v>
      </c>
      <c r="D945" s="265" t="s">
        <v>19197</v>
      </c>
      <c r="E945" s="262" t="s">
        <v>207</v>
      </c>
    </row>
    <row r="946" spans="1:5" ht="45">
      <c r="A946" s="261">
        <v>43093</v>
      </c>
      <c r="B946" s="261" t="s">
        <v>9494</v>
      </c>
      <c r="C946" s="261" t="s">
        <v>3240</v>
      </c>
      <c r="D946" s="265" t="s">
        <v>19198</v>
      </c>
      <c r="E946" s="262" t="s">
        <v>207</v>
      </c>
    </row>
    <row r="947" spans="1:5" ht="30">
      <c r="A947" s="261">
        <v>1030</v>
      </c>
      <c r="B947" s="261" t="s">
        <v>5300</v>
      </c>
      <c r="C947" s="261" t="s">
        <v>3240</v>
      </c>
      <c r="D947" s="265" t="s">
        <v>19199</v>
      </c>
      <c r="E947" s="262" t="s">
        <v>207</v>
      </c>
    </row>
    <row r="948" spans="1:5" ht="30">
      <c r="A948" s="261">
        <v>11694</v>
      </c>
      <c r="B948" s="261" t="s">
        <v>5301</v>
      </c>
      <c r="C948" s="261" t="s">
        <v>3240</v>
      </c>
      <c r="D948" s="265" t="s">
        <v>19200</v>
      </c>
      <c r="E948" s="262" t="s">
        <v>207</v>
      </c>
    </row>
    <row r="949" spans="1:5" ht="30">
      <c r="A949" s="261">
        <v>11881</v>
      </c>
      <c r="B949" s="261" t="s">
        <v>11729</v>
      </c>
      <c r="C949" s="261" t="s">
        <v>3240</v>
      </c>
      <c r="D949" s="265" t="s">
        <v>18869</v>
      </c>
      <c r="E949" s="262" t="s">
        <v>207</v>
      </c>
    </row>
    <row r="950" spans="1:5" ht="30">
      <c r="A950" s="261">
        <v>35277</v>
      </c>
      <c r="B950" s="261" t="s">
        <v>5302</v>
      </c>
      <c r="C950" s="261" t="s">
        <v>3240</v>
      </c>
      <c r="D950" s="265" t="s">
        <v>19201</v>
      </c>
      <c r="E950" s="262" t="s">
        <v>207</v>
      </c>
    </row>
    <row r="951" spans="1:5" ht="60">
      <c r="A951" s="261">
        <v>10521</v>
      </c>
      <c r="B951" s="261" t="s">
        <v>5303</v>
      </c>
      <c r="C951" s="261" t="s">
        <v>3240</v>
      </c>
      <c r="D951" s="265" t="s">
        <v>19202</v>
      </c>
      <c r="E951" s="262" t="s">
        <v>207</v>
      </c>
    </row>
    <row r="952" spans="1:5" ht="60">
      <c r="A952" s="261">
        <v>10885</v>
      </c>
      <c r="B952" s="261" t="s">
        <v>5304</v>
      </c>
      <c r="C952" s="261" t="s">
        <v>3240</v>
      </c>
      <c r="D952" s="265" t="s">
        <v>19203</v>
      </c>
      <c r="E952" s="262" t="s">
        <v>207</v>
      </c>
    </row>
    <row r="953" spans="1:5" ht="60">
      <c r="A953" s="261">
        <v>20962</v>
      </c>
      <c r="B953" s="261" t="s">
        <v>5305</v>
      </c>
      <c r="C953" s="261" t="s">
        <v>3240</v>
      </c>
      <c r="D953" s="265" t="s">
        <v>19204</v>
      </c>
      <c r="E953" s="262" t="s">
        <v>207</v>
      </c>
    </row>
    <row r="954" spans="1:5" ht="60">
      <c r="A954" s="261">
        <v>20963</v>
      </c>
      <c r="B954" s="261" t="s">
        <v>5306</v>
      </c>
      <c r="C954" s="261" t="s">
        <v>3240</v>
      </c>
      <c r="D954" s="265" t="s">
        <v>19205</v>
      </c>
      <c r="E954" s="262" t="s">
        <v>207</v>
      </c>
    </row>
    <row r="955" spans="1:5" ht="15">
      <c r="A955" s="261">
        <v>2555</v>
      </c>
      <c r="B955" s="261" t="s">
        <v>5307</v>
      </c>
      <c r="C955" s="261" t="s">
        <v>3240</v>
      </c>
      <c r="D955" s="265" t="s">
        <v>11171</v>
      </c>
      <c r="E955" s="262" t="s">
        <v>207</v>
      </c>
    </row>
    <row r="956" spans="1:5" ht="15">
      <c r="A956" s="261">
        <v>2556</v>
      </c>
      <c r="B956" s="261" t="s">
        <v>5308</v>
      </c>
      <c r="C956" s="261" t="s">
        <v>3240</v>
      </c>
      <c r="D956" s="265" t="s">
        <v>11192</v>
      </c>
      <c r="E956" s="262" t="s">
        <v>207</v>
      </c>
    </row>
    <row r="957" spans="1:5" ht="15">
      <c r="A957" s="261">
        <v>2557</v>
      </c>
      <c r="B957" s="261" t="s">
        <v>5309</v>
      </c>
      <c r="C957" s="261" t="s">
        <v>3240</v>
      </c>
      <c r="D957" s="265" t="s">
        <v>11321</v>
      </c>
      <c r="E957" s="262" t="s">
        <v>207</v>
      </c>
    </row>
    <row r="958" spans="1:5" ht="30">
      <c r="A958" s="261">
        <v>10569</v>
      </c>
      <c r="B958" s="261" t="s">
        <v>9495</v>
      </c>
      <c r="C958" s="261" t="s">
        <v>3240</v>
      </c>
      <c r="D958" s="265" t="s">
        <v>11321</v>
      </c>
      <c r="E958" s="262" t="s">
        <v>207</v>
      </c>
    </row>
    <row r="959" spans="1:5" ht="30">
      <c r="A959" s="261">
        <v>39810</v>
      </c>
      <c r="B959" s="261" t="s">
        <v>9496</v>
      </c>
      <c r="C959" s="261" t="s">
        <v>3240</v>
      </c>
      <c r="D959" s="265" t="s">
        <v>10126</v>
      </c>
      <c r="E959" s="262" t="s">
        <v>207</v>
      </c>
    </row>
    <row r="960" spans="1:5" ht="30">
      <c r="A960" s="261">
        <v>39811</v>
      </c>
      <c r="B960" s="261" t="s">
        <v>9497</v>
      </c>
      <c r="C960" s="261" t="s">
        <v>3240</v>
      </c>
      <c r="D960" s="265" t="s">
        <v>16031</v>
      </c>
      <c r="E960" s="262" t="s">
        <v>207</v>
      </c>
    </row>
    <row r="961" spans="1:5" ht="30">
      <c r="A961" s="261">
        <v>39812</v>
      </c>
      <c r="B961" s="261" t="s">
        <v>9498</v>
      </c>
      <c r="C961" s="261" t="s">
        <v>3240</v>
      </c>
      <c r="D961" s="265" t="s">
        <v>19206</v>
      </c>
      <c r="E961" s="262" t="s">
        <v>207</v>
      </c>
    </row>
    <row r="962" spans="1:5" ht="30">
      <c r="A962" s="261">
        <v>43096</v>
      </c>
      <c r="B962" s="261" t="s">
        <v>9499</v>
      </c>
      <c r="C962" s="261" t="s">
        <v>3240</v>
      </c>
      <c r="D962" s="265" t="s">
        <v>19207</v>
      </c>
      <c r="E962" s="262" t="s">
        <v>207</v>
      </c>
    </row>
    <row r="963" spans="1:5" ht="30">
      <c r="A963" s="261">
        <v>43102</v>
      </c>
      <c r="B963" s="261" t="s">
        <v>9500</v>
      </c>
      <c r="C963" s="261" t="s">
        <v>3240</v>
      </c>
      <c r="D963" s="266" t="s">
        <v>19208</v>
      </c>
      <c r="E963" s="262" t="s">
        <v>207</v>
      </c>
    </row>
    <row r="964" spans="1:5" ht="30">
      <c r="A964" s="261">
        <v>43103</v>
      </c>
      <c r="B964" s="261" t="s">
        <v>9501</v>
      </c>
      <c r="C964" s="261" t="s">
        <v>3240</v>
      </c>
      <c r="D964" s="266" t="s">
        <v>15935</v>
      </c>
      <c r="E964" s="262" t="s">
        <v>207</v>
      </c>
    </row>
    <row r="965" spans="1:5" ht="30">
      <c r="A965" s="261">
        <v>43098</v>
      </c>
      <c r="B965" s="261" t="s">
        <v>9502</v>
      </c>
      <c r="C965" s="261" t="s">
        <v>3240</v>
      </c>
      <c r="D965" s="266" t="s">
        <v>14224</v>
      </c>
      <c r="E965" s="262" t="s">
        <v>207</v>
      </c>
    </row>
    <row r="966" spans="1:5" ht="30">
      <c r="A966" s="261">
        <v>43097</v>
      </c>
      <c r="B966" s="261" t="s">
        <v>9503</v>
      </c>
      <c r="C966" s="261" t="s">
        <v>3240</v>
      </c>
      <c r="D966" s="266" t="s">
        <v>16709</v>
      </c>
      <c r="E966" s="262" t="s">
        <v>207</v>
      </c>
    </row>
    <row r="967" spans="1:5" ht="15">
      <c r="A967" s="261">
        <v>43104</v>
      </c>
      <c r="B967" s="261" t="s">
        <v>9504</v>
      </c>
      <c r="C967" s="261" t="s">
        <v>3240</v>
      </c>
      <c r="D967" s="266" t="s">
        <v>19209</v>
      </c>
      <c r="E967" s="262" t="s">
        <v>207</v>
      </c>
    </row>
    <row r="968" spans="1:5" ht="30">
      <c r="A968" s="261">
        <v>39771</v>
      </c>
      <c r="B968" s="261" t="s">
        <v>5310</v>
      </c>
      <c r="C968" s="261" t="s">
        <v>3240</v>
      </c>
      <c r="D968" s="266" t="s">
        <v>18782</v>
      </c>
      <c r="E968" s="262" t="s">
        <v>207</v>
      </c>
    </row>
    <row r="969" spans="1:5" ht="30">
      <c r="A969" s="261">
        <v>39772</v>
      </c>
      <c r="B969" s="261" t="s">
        <v>5311</v>
      </c>
      <c r="C969" s="261" t="s">
        <v>3240</v>
      </c>
      <c r="D969" s="266" t="s">
        <v>15984</v>
      </c>
      <c r="E969" s="262" t="s">
        <v>207</v>
      </c>
    </row>
    <row r="970" spans="1:5" ht="30">
      <c r="A970" s="261">
        <v>39773</v>
      </c>
      <c r="B970" s="261" t="s">
        <v>5312</v>
      </c>
      <c r="C970" s="261" t="s">
        <v>3240</v>
      </c>
      <c r="D970" s="266" t="s">
        <v>19210</v>
      </c>
      <c r="E970" s="262" t="s">
        <v>207</v>
      </c>
    </row>
    <row r="971" spans="1:5" ht="30">
      <c r="A971" s="261">
        <v>39774</v>
      </c>
      <c r="B971" s="261" t="s">
        <v>5313</v>
      </c>
      <c r="C971" s="261" t="s">
        <v>3240</v>
      </c>
      <c r="D971" s="266" t="s">
        <v>19211</v>
      </c>
      <c r="E971" s="262" t="s">
        <v>207</v>
      </c>
    </row>
    <row r="972" spans="1:5" ht="30">
      <c r="A972" s="261">
        <v>39775</v>
      </c>
      <c r="B972" s="261" t="s">
        <v>5314</v>
      </c>
      <c r="C972" s="261" t="s">
        <v>3240</v>
      </c>
      <c r="D972" s="266" t="s">
        <v>19212</v>
      </c>
      <c r="E972" s="262" t="s">
        <v>207</v>
      </c>
    </row>
    <row r="973" spans="1:5" ht="30">
      <c r="A973" s="261">
        <v>39776</v>
      </c>
      <c r="B973" s="261" t="s">
        <v>5315</v>
      </c>
      <c r="C973" s="261" t="s">
        <v>3240</v>
      </c>
      <c r="D973" s="266" t="s">
        <v>19213</v>
      </c>
      <c r="E973" s="262" t="s">
        <v>207</v>
      </c>
    </row>
    <row r="974" spans="1:5" ht="30">
      <c r="A974" s="261">
        <v>39777</v>
      </c>
      <c r="B974" s="261" t="s">
        <v>5316</v>
      </c>
      <c r="C974" s="261" t="s">
        <v>3240</v>
      </c>
      <c r="D974" s="266" t="s">
        <v>19214</v>
      </c>
      <c r="E974" s="262" t="s">
        <v>207</v>
      </c>
    </row>
    <row r="975" spans="1:5" ht="30">
      <c r="A975" s="261">
        <v>20254</v>
      </c>
      <c r="B975" s="261" t="s">
        <v>9505</v>
      </c>
      <c r="C975" s="261" t="s">
        <v>3240</v>
      </c>
      <c r="D975" s="266" t="s">
        <v>19215</v>
      </c>
      <c r="E975" s="262" t="s">
        <v>207</v>
      </c>
    </row>
    <row r="976" spans="1:5" ht="30">
      <c r="A976" s="261">
        <v>20253</v>
      </c>
      <c r="B976" s="261" t="s">
        <v>9506</v>
      </c>
      <c r="C976" s="261" t="s">
        <v>3240</v>
      </c>
      <c r="D976" s="266" t="s">
        <v>19216</v>
      </c>
      <c r="E976" s="262" t="s">
        <v>207</v>
      </c>
    </row>
    <row r="977" spans="1:5" ht="30">
      <c r="A977" s="261">
        <v>11247</v>
      </c>
      <c r="B977" s="261" t="s">
        <v>9507</v>
      </c>
      <c r="C977" s="261" t="s">
        <v>3240</v>
      </c>
      <c r="D977" s="266" t="s">
        <v>19217</v>
      </c>
      <c r="E977" s="262" t="s">
        <v>207</v>
      </c>
    </row>
    <row r="978" spans="1:5" ht="30">
      <c r="A978" s="261">
        <v>11250</v>
      </c>
      <c r="B978" s="261" t="s">
        <v>9508</v>
      </c>
      <c r="C978" s="261" t="s">
        <v>3240</v>
      </c>
      <c r="D978" s="266" t="s">
        <v>19218</v>
      </c>
      <c r="E978" s="262" t="s">
        <v>207</v>
      </c>
    </row>
    <row r="979" spans="1:5" ht="30">
      <c r="A979" s="261">
        <v>11249</v>
      </c>
      <c r="B979" s="261" t="s">
        <v>9509</v>
      </c>
      <c r="C979" s="261" t="s">
        <v>3240</v>
      </c>
      <c r="D979" s="266" t="s">
        <v>19219</v>
      </c>
      <c r="E979" s="262" t="s">
        <v>207</v>
      </c>
    </row>
    <row r="980" spans="1:5" ht="30">
      <c r="A980" s="261">
        <v>11251</v>
      </c>
      <c r="B980" s="261" t="s">
        <v>9510</v>
      </c>
      <c r="C980" s="261" t="s">
        <v>3240</v>
      </c>
      <c r="D980" s="266" t="s">
        <v>19220</v>
      </c>
      <c r="E980" s="262" t="s">
        <v>207</v>
      </c>
    </row>
    <row r="981" spans="1:5" ht="30">
      <c r="A981" s="261">
        <v>11253</v>
      </c>
      <c r="B981" s="261" t="s">
        <v>9511</v>
      </c>
      <c r="C981" s="261" t="s">
        <v>3240</v>
      </c>
      <c r="D981" s="266" t="s">
        <v>19221</v>
      </c>
      <c r="E981" s="262" t="s">
        <v>207</v>
      </c>
    </row>
    <row r="982" spans="1:5" ht="30">
      <c r="A982" s="261">
        <v>11255</v>
      </c>
      <c r="B982" s="261" t="s">
        <v>9512</v>
      </c>
      <c r="C982" s="261" t="s">
        <v>3240</v>
      </c>
      <c r="D982" s="266" t="s">
        <v>19222</v>
      </c>
      <c r="E982" s="262" t="s">
        <v>207</v>
      </c>
    </row>
    <row r="983" spans="1:5" ht="30">
      <c r="A983" s="261">
        <v>14055</v>
      </c>
      <c r="B983" s="261" t="s">
        <v>9513</v>
      </c>
      <c r="C983" s="261" t="s">
        <v>3240</v>
      </c>
      <c r="D983" s="266" t="s">
        <v>19223</v>
      </c>
      <c r="E983" s="262" t="s">
        <v>207</v>
      </c>
    </row>
    <row r="984" spans="1:5" ht="30">
      <c r="A984" s="261">
        <v>11256</v>
      </c>
      <c r="B984" s="261" t="s">
        <v>9514</v>
      </c>
      <c r="C984" s="261" t="s">
        <v>3240</v>
      </c>
      <c r="D984" s="266" t="s">
        <v>19224</v>
      </c>
      <c r="E984" s="262" t="s">
        <v>207</v>
      </c>
    </row>
    <row r="985" spans="1:5" ht="15">
      <c r="A985" s="261">
        <v>1872</v>
      </c>
      <c r="B985" s="261" t="s">
        <v>5317</v>
      </c>
      <c r="C985" s="261" t="s">
        <v>3240</v>
      </c>
      <c r="D985" s="265" t="s">
        <v>16690</v>
      </c>
      <c r="E985" s="262" t="s">
        <v>207</v>
      </c>
    </row>
    <row r="986" spans="1:5" ht="15">
      <c r="A986" s="261">
        <v>1873</v>
      </c>
      <c r="B986" s="261" t="s">
        <v>5318</v>
      </c>
      <c r="C986" s="261" t="s">
        <v>3240</v>
      </c>
      <c r="D986" s="265" t="s">
        <v>19225</v>
      </c>
      <c r="E986" s="262" t="s">
        <v>207</v>
      </c>
    </row>
    <row r="987" spans="1:5" ht="30">
      <c r="A987" s="261">
        <v>39693</v>
      </c>
      <c r="B987" s="261" t="s">
        <v>5319</v>
      </c>
      <c r="C987" s="261" t="s">
        <v>3240</v>
      </c>
      <c r="D987" s="265" t="s">
        <v>19226</v>
      </c>
      <c r="E987" s="262" t="s">
        <v>207</v>
      </c>
    </row>
    <row r="988" spans="1:5" ht="30">
      <c r="A988" s="261">
        <v>39692</v>
      </c>
      <c r="B988" s="261" t="s">
        <v>5320</v>
      </c>
      <c r="C988" s="261" t="s">
        <v>3240</v>
      </c>
      <c r="D988" s="265" t="s">
        <v>19227</v>
      </c>
      <c r="E988" s="262" t="s">
        <v>207</v>
      </c>
    </row>
    <row r="989" spans="1:5" ht="30">
      <c r="A989" s="261">
        <v>34643</v>
      </c>
      <c r="B989" s="261" t="s">
        <v>5321</v>
      </c>
      <c r="C989" s="261" t="s">
        <v>3240</v>
      </c>
      <c r="D989" s="265" t="s">
        <v>16552</v>
      </c>
      <c r="E989" s="262" t="s">
        <v>207</v>
      </c>
    </row>
    <row r="990" spans="1:5" ht="30">
      <c r="A990" s="261">
        <v>1062</v>
      </c>
      <c r="B990" s="261" t="s">
        <v>9515</v>
      </c>
      <c r="C990" s="261" t="s">
        <v>3240</v>
      </c>
      <c r="D990" s="265" t="s">
        <v>19228</v>
      </c>
      <c r="E990" s="262" t="s">
        <v>207</v>
      </c>
    </row>
    <row r="991" spans="1:5" ht="30">
      <c r="A991" s="261">
        <v>39686</v>
      </c>
      <c r="B991" s="261" t="s">
        <v>9516</v>
      </c>
      <c r="C991" s="261" t="s">
        <v>3240</v>
      </c>
      <c r="D991" s="265" t="s">
        <v>19229</v>
      </c>
      <c r="E991" s="262" t="s">
        <v>207</v>
      </c>
    </row>
    <row r="992" spans="1:5" ht="45">
      <c r="A992" s="261">
        <v>43095</v>
      </c>
      <c r="B992" s="261" t="s">
        <v>9517</v>
      </c>
      <c r="C992" s="261" t="s">
        <v>3240</v>
      </c>
      <c r="D992" s="265" t="s">
        <v>19230</v>
      </c>
      <c r="E992" s="262" t="s">
        <v>207</v>
      </c>
    </row>
    <row r="993" spans="1:5" ht="30">
      <c r="A993" s="261">
        <v>1871</v>
      </c>
      <c r="B993" s="261" t="s">
        <v>5322</v>
      </c>
      <c r="C993" s="261" t="s">
        <v>3240</v>
      </c>
      <c r="D993" s="265" t="s">
        <v>9840</v>
      </c>
      <c r="E993" s="262" t="s">
        <v>207</v>
      </c>
    </row>
    <row r="994" spans="1:5" ht="30">
      <c r="A994" s="261">
        <v>12001</v>
      </c>
      <c r="B994" s="261" t="s">
        <v>5323</v>
      </c>
      <c r="C994" s="261" t="s">
        <v>3240</v>
      </c>
      <c r="D994" s="265" t="s">
        <v>10211</v>
      </c>
      <c r="E994" s="262" t="s">
        <v>207</v>
      </c>
    </row>
    <row r="995" spans="1:5" ht="30">
      <c r="A995" s="261">
        <v>11882</v>
      </c>
      <c r="B995" s="261" t="s">
        <v>11730</v>
      </c>
      <c r="C995" s="261" t="s">
        <v>3240</v>
      </c>
      <c r="D995" s="265" t="s">
        <v>19231</v>
      </c>
      <c r="E995" s="262" t="s">
        <v>207</v>
      </c>
    </row>
    <row r="996" spans="1:5" ht="30">
      <c r="A996" s="261">
        <v>1068</v>
      </c>
      <c r="B996" s="261" t="s">
        <v>9518</v>
      </c>
      <c r="C996" s="261" t="s">
        <v>3240</v>
      </c>
      <c r="D996" s="265" t="s">
        <v>19232</v>
      </c>
      <c r="E996" s="262" t="s">
        <v>207</v>
      </c>
    </row>
    <row r="997" spans="1:5" ht="30">
      <c r="A997" s="261">
        <v>39690</v>
      </c>
      <c r="B997" s="261" t="s">
        <v>9519</v>
      </c>
      <c r="C997" s="261" t="s">
        <v>3240</v>
      </c>
      <c r="D997" s="265" t="s">
        <v>19233</v>
      </c>
      <c r="E997" s="262" t="s">
        <v>207</v>
      </c>
    </row>
    <row r="998" spans="1:5" ht="30">
      <c r="A998" s="261">
        <v>39691</v>
      </c>
      <c r="B998" s="261" t="s">
        <v>9520</v>
      </c>
      <c r="C998" s="261" t="s">
        <v>3240</v>
      </c>
      <c r="D998" s="265" t="s">
        <v>19234</v>
      </c>
      <c r="E998" s="262" t="s">
        <v>207</v>
      </c>
    </row>
    <row r="999" spans="1:5" ht="30">
      <c r="A999" s="261">
        <v>39808</v>
      </c>
      <c r="B999" s="261" t="s">
        <v>11731</v>
      </c>
      <c r="C999" s="261" t="s">
        <v>3240</v>
      </c>
      <c r="D999" s="265" t="s">
        <v>19235</v>
      </c>
      <c r="E999" s="262" t="s">
        <v>207</v>
      </c>
    </row>
    <row r="1000" spans="1:5" ht="30">
      <c r="A1000" s="261">
        <v>39809</v>
      </c>
      <c r="B1000" s="261" t="s">
        <v>11732</v>
      </c>
      <c r="C1000" s="261" t="s">
        <v>3240</v>
      </c>
      <c r="D1000" s="265" t="s">
        <v>19236</v>
      </c>
      <c r="E1000" s="262" t="s">
        <v>207</v>
      </c>
    </row>
    <row r="1001" spans="1:5" ht="30">
      <c r="A1001" s="261">
        <v>43439</v>
      </c>
      <c r="B1001" s="261" t="s">
        <v>11733</v>
      </c>
      <c r="C1001" s="261" t="s">
        <v>3240</v>
      </c>
      <c r="D1001" s="265" t="s">
        <v>19237</v>
      </c>
      <c r="E1001" s="262" t="s">
        <v>207</v>
      </c>
    </row>
    <row r="1002" spans="1:5" ht="15">
      <c r="A1002" s="261">
        <v>5103</v>
      </c>
      <c r="B1002" s="261" t="s">
        <v>5324</v>
      </c>
      <c r="C1002" s="261" t="s">
        <v>3240</v>
      </c>
      <c r="D1002" s="265" t="s">
        <v>19238</v>
      </c>
      <c r="E1002" s="262" t="s">
        <v>207</v>
      </c>
    </row>
    <row r="1003" spans="1:5" ht="30">
      <c r="A1003" s="261">
        <v>11712</v>
      </c>
      <c r="B1003" s="261" t="s">
        <v>5325</v>
      </c>
      <c r="C1003" s="261" t="s">
        <v>3240</v>
      </c>
      <c r="D1003" s="265" t="s">
        <v>19239</v>
      </c>
      <c r="E1003" s="262" t="s">
        <v>207</v>
      </c>
    </row>
    <row r="1004" spans="1:5" ht="15">
      <c r="A1004" s="261">
        <v>11717</v>
      </c>
      <c r="B1004" s="261" t="s">
        <v>5326</v>
      </c>
      <c r="C1004" s="261" t="s">
        <v>3240</v>
      </c>
      <c r="D1004" s="265" t="s">
        <v>19240</v>
      </c>
      <c r="E1004" s="262" t="s">
        <v>207</v>
      </c>
    </row>
    <row r="1005" spans="1:5" ht="15">
      <c r="A1005" s="261">
        <v>11714</v>
      </c>
      <c r="B1005" s="261" t="s">
        <v>5327</v>
      </c>
      <c r="C1005" s="261" t="s">
        <v>3240</v>
      </c>
      <c r="D1005" s="265" t="s">
        <v>19241</v>
      </c>
      <c r="E1005" s="262" t="s">
        <v>207</v>
      </c>
    </row>
    <row r="1006" spans="1:5" ht="30">
      <c r="A1006" s="261">
        <v>11880</v>
      </c>
      <c r="B1006" s="261" t="s">
        <v>5328</v>
      </c>
      <c r="C1006" s="261" t="s">
        <v>3240</v>
      </c>
      <c r="D1006" s="265" t="s">
        <v>19242</v>
      </c>
      <c r="E1006" s="262" t="s">
        <v>207</v>
      </c>
    </row>
    <row r="1007" spans="1:5" ht="15">
      <c r="A1007" s="261">
        <v>1106</v>
      </c>
      <c r="B1007" s="261" t="s">
        <v>5329</v>
      </c>
      <c r="C1007" s="261" t="s">
        <v>3244</v>
      </c>
      <c r="D1007" s="265" t="s">
        <v>9926</v>
      </c>
      <c r="E1007" s="262" t="s">
        <v>207</v>
      </c>
    </row>
    <row r="1008" spans="1:5" ht="15">
      <c r="A1008" s="261">
        <v>11161</v>
      </c>
      <c r="B1008" s="261" t="s">
        <v>5330</v>
      </c>
      <c r="C1008" s="261" t="s">
        <v>3244</v>
      </c>
      <c r="D1008" s="265" t="s">
        <v>11246</v>
      </c>
      <c r="E1008" s="262" t="s">
        <v>207</v>
      </c>
    </row>
    <row r="1009" spans="1:5" ht="15">
      <c r="A1009" s="261">
        <v>1107</v>
      </c>
      <c r="B1009" s="261" t="s">
        <v>5331</v>
      </c>
      <c r="C1009" s="261" t="s">
        <v>3244</v>
      </c>
      <c r="D1009" s="265" t="s">
        <v>10002</v>
      </c>
      <c r="E1009" s="262" t="s">
        <v>207</v>
      </c>
    </row>
    <row r="1010" spans="1:5" ht="15">
      <c r="A1010" s="261">
        <v>25963</v>
      </c>
      <c r="B1010" s="261" t="s">
        <v>5332</v>
      </c>
      <c r="C1010" s="261" t="s">
        <v>3244</v>
      </c>
      <c r="D1010" s="265" t="s">
        <v>9841</v>
      </c>
      <c r="E1010" s="262" t="s">
        <v>207</v>
      </c>
    </row>
    <row r="1011" spans="1:5" ht="15">
      <c r="A1011" s="261">
        <v>4759</v>
      </c>
      <c r="B1011" s="261" t="s">
        <v>5333</v>
      </c>
      <c r="C1011" s="261" t="s">
        <v>3239</v>
      </c>
      <c r="D1011" s="265" t="s">
        <v>19243</v>
      </c>
      <c r="E1011" s="262" t="s">
        <v>9714</v>
      </c>
    </row>
    <row r="1012" spans="1:5" ht="15">
      <c r="A1012" s="261">
        <v>41068</v>
      </c>
      <c r="B1012" s="261" t="s">
        <v>5334</v>
      </c>
      <c r="C1012" s="261" t="s">
        <v>3246</v>
      </c>
      <c r="D1012" s="265" t="s">
        <v>19244</v>
      </c>
      <c r="E1012" s="262" t="s">
        <v>9714</v>
      </c>
    </row>
    <row r="1013" spans="1:5" ht="30">
      <c r="A1013" s="261">
        <v>1108</v>
      </c>
      <c r="B1013" s="261" t="s">
        <v>5335</v>
      </c>
      <c r="C1013" s="261" t="s">
        <v>3243</v>
      </c>
      <c r="D1013" s="265" t="s">
        <v>14130</v>
      </c>
      <c r="E1013" s="262" t="s">
        <v>207</v>
      </c>
    </row>
    <row r="1014" spans="1:5" ht="15">
      <c r="A1014" s="261">
        <v>1117</v>
      </c>
      <c r="B1014" s="261" t="s">
        <v>5336</v>
      </c>
      <c r="C1014" s="261" t="s">
        <v>3243</v>
      </c>
      <c r="D1014" s="265" t="s">
        <v>19245</v>
      </c>
      <c r="E1014" s="262" t="s">
        <v>207</v>
      </c>
    </row>
    <row r="1015" spans="1:5" ht="15">
      <c r="A1015" s="261">
        <v>1118</v>
      </c>
      <c r="B1015" s="261" t="s">
        <v>5337</v>
      </c>
      <c r="C1015" s="261" t="s">
        <v>3243</v>
      </c>
      <c r="D1015" s="265" t="s">
        <v>16581</v>
      </c>
      <c r="E1015" s="262" t="s">
        <v>207</v>
      </c>
    </row>
    <row r="1016" spans="1:5" ht="15">
      <c r="A1016" s="261">
        <v>1110</v>
      </c>
      <c r="B1016" s="261" t="s">
        <v>5338</v>
      </c>
      <c r="C1016" s="261" t="s">
        <v>3243</v>
      </c>
      <c r="D1016" s="265" t="s">
        <v>16581</v>
      </c>
      <c r="E1016" s="262" t="s">
        <v>207</v>
      </c>
    </row>
    <row r="1017" spans="1:5" ht="30">
      <c r="A1017" s="261">
        <v>12618</v>
      </c>
      <c r="B1017" s="261" t="s">
        <v>5339</v>
      </c>
      <c r="C1017" s="261" t="s">
        <v>3240</v>
      </c>
      <c r="D1017" s="265" t="s">
        <v>10530</v>
      </c>
      <c r="E1017" s="262" t="s">
        <v>207</v>
      </c>
    </row>
    <row r="1018" spans="1:5" ht="15">
      <c r="A1018" s="261">
        <v>40784</v>
      </c>
      <c r="B1018" s="261" t="s">
        <v>9521</v>
      </c>
      <c r="C1018" s="261" t="s">
        <v>3243</v>
      </c>
      <c r="D1018" s="265" t="s">
        <v>19246</v>
      </c>
      <c r="E1018" s="262" t="s">
        <v>207</v>
      </c>
    </row>
    <row r="1019" spans="1:5" ht="15">
      <c r="A1019" s="261">
        <v>40782</v>
      </c>
      <c r="B1019" s="261" t="s">
        <v>9522</v>
      </c>
      <c r="C1019" s="261" t="s">
        <v>3243</v>
      </c>
      <c r="D1019" s="265" t="s">
        <v>19247</v>
      </c>
      <c r="E1019" s="262" t="s">
        <v>207</v>
      </c>
    </row>
    <row r="1020" spans="1:5" ht="15">
      <c r="A1020" s="261">
        <v>40783</v>
      </c>
      <c r="B1020" s="261" t="s">
        <v>9523</v>
      </c>
      <c r="C1020" s="261" t="s">
        <v>3243</v>
      </c>
      <c r="D1020" s="265" t="s">
        <v>19248</v>
      </c>
      <c r="E1020" s="262" t="s">
        <v>207</v>
      </c>
    </row>
    <row r="1021" spans="1:5" ht="15">
      <c r="A1021" s="261">
        <v>1109</v>
      </c>
      <c r="B1021" s="261" t="s">
        <v>5340</v>
      </c>
      <c r="C1021" s="261" t="s">
        <v>3243</v>
      </c>
      <c r="D1021" s="265" t="s">
        <v>14130</v>
      </c>
      <c r="E1021" s="262" t="s">
        <v>207</v>
      </c>
    </row>
    <row r="1022" spans="1:5" ht="15">
      <c r="A1022" s="261">
        <v>1119</v>
      </c>
      <c r="B1022" s="261" t="s">
        <v>5341</v>
      </c>
      <c r="C1022" s="261" t="s">
        <v>3243</v>
      </c>
      <c r="D1022" s="265" t="s">
        <v>14281</v>
      </c>
      <c r="E1022" s="262" t="s">
        <v>207</v>
      </c>
    </row>
    <row r="1023" spans="1:5" ht="30">
      <c r="A1023" s="261">
        <v>13115</v>
      </c>
      <c r="B1023" s="261" t="s">
        <v>11734</v>
      </c>
      <c r="C1023" s="261" t="s">
        <v>3243</v>
      </c>
      <c r="D1023" s="265" t="s">
        <v>19243</v>
      </c>
      <c r="E1023" s="262" t="s">
        <v>207</v>
      </c>
    </row>
    <row r="1024" spans="1:5" ht="30">
      <c r="A1024" s="261">
        <v>10541</v>
      </c>
      <c r="B1024" s="261" t="s">
        <v>11735</v>
      </c>
      <c r="C1024" s="261" t="s">
        <v>3243</v>
      </c>
      <c r="D1024" s="265" t="s">
        <v>19249</v>
      </c>
      <c r="E1024" s="264" t="s">
        <v>207</v>
      </c>
    </row>
    <row r="1025" spans="1:5" ht="30">
      <c r="A1025" s="261">
        <v>10542</v>
      </c>
      <c r="B1025" s="261" t="s">
        <v>11736</v>
      </c>
      <c r="C1025" s="261" t="s">
        <v>3243</v>
      </c>
      <c r="D1025" s="265" t="s">
        <v>11266</v>
      </c>
      <c r="E1025" s="264" t="s">
        <v>207</v>
      </c>
    </row>
    <row r="1026" spans="1:5" ht="30">
      <c r="A1026" s="261">
        <v>10543</v>
      </c>
      <c r="B1026" s="261" t="s">
        <v>11737</v>
      </c>
      <c r="C1026" s="261" t="s">
        <v>3243</v>
      </c>
      <c r="D1026" s="265" t="s">
        <v>12431</v>
      </c>
      <c r="E1026" s="262" t="s">
        <v>207</v>
      </c>
    </row>
    <row r="1027" spans="1:5" ht="30">
      <c r="A1027" s="261">
        <v>10544</v>
      </c>
      <c r="B1027" s="261" t="s">
        <v>11738</v>
      </c>
      <c r="C1027" s="261" t="s">
        <v>3243</v>
      </c>
      <c r="D1027" s="265" t="s">
        <v>19250</v>
      </c>
      <c r="E1027" s="264" t="s">
        <v>207</v>
      </c>
    </row>
    <row r="1028" spans="1:5" ht="30">
      <c r="A1028" s="261">
        <v>10545</v>
      </c>
      <c r="B1028" s="261" t="s">
        <v>11739</v>
      </c>
      <c r="C1028" s="261" t="s">
        <v>3243</v>
      </c>
      <c r="D1028" s="265" t="s">
        <v>19251</v>
      </c>
      <c r="E1028" s="264" t="s">
        <v>207</v>
      </c>
    </row>
    <row r="1029" spans="1:5" ht="15">
      <c r="A1029" s="261">
        <v>38365</v>
      </c>
      <c r="B1029" s="261" t="s">
        <v>5342</v>
      </c>
      <c r="C1029" s="261" t="s">
        <v>3242</v>
      </c>
      <c r="D1029" s="265" t="s">
        <v>10933</v>
      </c>
      <c r="E1029" s="262" t="s">
        <v>207</v>
      </c>
    </row>
    <row r="1030" spans="1:5" ht="45">
      <c r="A1030" s="261">
        <v>37745</v>
      </c>
      <c r="B1030" s="261" t="s">
        <v>5343</v>
      </c>
      <c r="C1030" s="261" t="s">
        <v>3240</v>
      </c>
      <c r="D1030" s="265" t="s">
        <v>19252</v>
      </c>
      <c r="E1030" s="262" t="s">
        <v>8987</v>
      </c>
    </row>
    <row r="1031" spans="1:5" ht="45">
      <c r="A1031" s="261">
        <v>37754</v>
      </c>
      <c r="B1031" s="261" t="s">
        <v>5344</v>
      </c>
      <c r="C1031" s="261" t="s">
        <v>3240</v>
      </c>
      <c r="D1031" s="265" t="s">
        <v>19253</v>
      </c>
      <c r="E1031" s="262" t="s">
        <v>8987</v>
      </c>
    </row>
    <row r="1032" spans="1:5" ht="45">
      <c r="A1032" s="261">
        <v>37748</v>
      </c>
      <c r="B1032" s="261" t="s">
        <v>5345</v>
      </c>
      <c r="C1032" s="261" t="s">
        <v>3240</v>
      </c>
      <c r="D1032" s="265" t="s">
        <v>19254</v>
      </c>
      <c r="E1032" s="262" t="s">
        <v>8987</v>
      </c>
    </row>
    <row r="1033" spans="1:5" ht="45">
      <c r="A1033" s="261">
        <v>37761</v>
      </c>
      <c r="B1033" s="261" t="s">
        <v>5346</v>
      </c>
      <c r="C1033" s="261" t="s">
        <v>3240</v>
      </c>
      <c r="D1033" s="265" t="s">
        <v>19255</v>
      </c>
      <c r="E1033" s="262" t="s">
        <v>8987</v>
      </c>
    </row>
    <row r="1034" spans="1:5" ht="45">
      <c r="A1034" s="261">
        <v>37757</v>
      </c>
      <c r="B1034" s="261" t="s">
        <v>5347</v>
      </c>
      <c r="C1034" s="261" t="s">
        <v>3240</v>
      </c>
      <c r="D1034" s="265" t="s">
        <v>19256</v>
      </c>
      <c r="E1034" s="262" t="s">
        <v>8987</v>
      </c>
    </row>
    <row r="1035" spans="1:5" ht="45">
      <c r="A1035" s="261">
        <v>37759</v>
      </c>
      <c r="B1035" s="261" t="s">
        <v>5348</v>
      </c>
      <c r="C1035" s="261" t="s">
        <v>3240</v>
      </c>
      <c r="D1035" s="265" t="s">
        <v>19257</v>
      </c>
      <c r="E1035" s="262" t="s">
        <v>8987</v>
      </c>
    </row>
    <row r="1036" spans="1:5" ht="45">
      <c r="A1036" s="261">
        <v>37766</v>
      </c>
      <c r="B1036" s="261" t="s">
        <v>5349</v>
      </c>
      <c r="C1036" s="261" t="s">
        <v>3240</v>
      </c>
      <c r="D1036" s="265" t="s">
        <v>19258</v>
      </c>
      <c r="E1036" s="262" t="s">
        <v>8987</v>
      </c>
    </row>
    <row r="1037" spans="1:5" ht="45">
      <c r="A1037" s="261">
        <v>37752</v>
      </c>
      <c r="B1037" s="261" t="s">
        <v>5350</v>
      </c>
      <c r="C1037" s="261" t="s">
        <v>3240</v>
      </c>
      <c r="D1037" s="265" t="s">
        <v>19259</v>
      </c>
      <c r="E1037" s="262" t="s">
        <v>8987</v>
      </c>
    </row>
    <row r="1038" spans="1:5" ht="45">
      <c r="A1038" s="261">
        <v>37760</v>
      </c>
      <c r="B1038" s="261" t="s">
        <v>5351</v>
      </c>
      <c r="C1038" s="261" t="s">
        <v>3240</v>
      </c>
      <c r="D1038" s="265" t="s">
        <v>19260</v>
      </c>
      <c r="E1038" s="262" t="s">
        <v>8987</v>
      </c>
    </row>
    <row r="1039" spans="1:5" ht="45">
      <c r="A1039" s="261">
        <v>37765</v>
      </c>
      <c r="B1039" s="261" t="s">
        <v>5352</v>
      </c>
      <c r="C1039" s="261" t="s">
        <v>3240</v>
      </c>
      <c r="D1039" s="265" t="s">
        <v>19261</v>
      </c>
      <c r="E1039" s="262" t="s">
        <v>8987</v>
      </c>
    </row>
    <row r="1040" spans="1:5" ht="45">
      <c r="A1040" s="261">
        <v>37746</v>
      </c>
      <c r="B1040" s="261" t="s">
        <v>5353</v>
      </c>
      <c r="C1040" s="261" t="s">
        <v>3240</v>
      </c>
      <c r="D1040" s="265" t="s">
        <v>19262</v>
      </c>
      <c r="E1040" s="262" t="s">
        <v>8987</v>
      </c>
    </row>
    <row r="1041" spans="1:5" ht="45">
      <c r="A1041" s="261">
        <v>37750</v>
      </c>
      <c r="B1041" s="261" t="s">
        <v>5354</v>
      </c>
      <c r="C1041" s="261" t="s">
        <v>3240</v>
      </c>
      <c r="D1041" s="265" t="s">
        <v>19263</v>
      </c>
      <c r="E1041" s="262" t="s">
        <v>8987</v>
      </c>
    </row>
    <row r="1042" spans="1:5" ht="45">
      <c r="A1042" s="261">
        <v>37753</v>
      </c>
      <c r="B1042" s="261" t="s">
        <v>5355</v>
      </c>
      <c r="C1042" s="261" t="s">
        <v>3240</v>
      </c>
      <c r="D1042" s="265" t="s">
        <v>19264</v>
      </c>
      <c r="E1042" s="262" t="s">
        <v>8987</v>
      </c>
    </row>
    <row r="1043" spans="1:5" ht="45">
      <c r="A1043" s="261">
        <v>37756</v>
      </c>
      <c r="B1043" s="261" t="s">
        <v>5356</v>
      </c>
      <c r="C1043" s="261" t="s">
        <v>3240</v>
      </c>
      <c r="D1043" s="265" t="s">
        <v>19255</v>
      </c>
      <c r="E1043" s="262" t="s">
        <v>8987</v>
      </c>
    </row>
    <row r="1044" spans="1:5" ht="45">
      <c r="A1044" s="261">
        <v>37755</v>
      </c>
      <c r="B1044" s="261" t="s">
        <v>5357</v>
      </c>
      <c r="C1044" s="261" t="s">
        <v>3240</v>
      </c>
      <c r="D1044" s="265" t="s">
        <v>19265</v>
      </c>
      <c r="E1044" s="262" t="s">
        <v>8987</v>
      </c>
    </row>
    <row r="1045" spans="1:5" ht="45">
      <c r="A1045" s="261">
        <v>37758</v>
      </c>
      <c r="B1045" s="261" t="s">
        <v>5358</v>
      </c>
      <c r="C1045" s="261" t="s">
        <v>3240</v>
      </c>
      <c r="D1045" s="265" t="s">
        <v>19266</v>
      </c>
      <c r="E1045" s="262" t="s">
        <v>8987</v>
      </c>
    </row>
    <row r="1046" spans="1:5" ht="45">
      <c r="A1046" s="261">
        <v>37747</v>
      </c>
      <c r="B1046" s="261" t="s">
        <v>5359</v>
      </c>
      <c r="C1046" s="261" t="s">
        <v>3240</v>
      </c>
      <c r="D1046" s="265" t="s">
        <v>19267</v>
      </c>
      <c r="E1046" s="262" t="s">
        <v>8987</v>
      </c>
    </row>
    <row r="1047" spans="1:5" ht="45">
      <c r="A1047" s="261">
        <v>37767</v>
      </c>
      <c r="B1047" s="261" t="s">
        <v>5360</v>
      </c>
      <c r="C1047" s="261" t="s">
        <v>3240</v>
      </c>
      <c r="D1047" s="265" t="s">
        <v>19268</v>
      </c>
      <c r="E1047" s="262" t="s">
        <v>8987</v>
      </c>
    </row>
    <row r="1048" spans="1:5" ht="45">
      <c r="A1048" s="261">
        <v>37751</v>
      </c>
      <c r="B1048" s="261" t="s">
        <v>5361</v>
      </c>
      <c r="C1048" s="261" t="s">
        <v>3240</v>
      </c>
      <c r="D1048" s="265" t="s">
        <v>19268</v>
      </c>
      <c r="E1048" s="262" t="s">
        <v>8987</v>
      </c>
    </row>
    <row r="1049" spans="1:5" ht="45">
      <c r="A1049" s="261">
        <v>37749</v>
      </c>
      <c r="B1049" s="261" t="s">
        <v>5362</v>
      </c>
      <c r="C1049" s="261" t="s">
        <v>3240</v>
      </c>
      <c r="D1049" s="265" t="s">
        <v>19269</v>
      </c>
      <c r="E1049" s="262" t="s">
        <v>8987</v>
      </c>
    </row>
    <row r="1050" spans="1:5" ht="15">
      <c r="A1050" s="261">
        <v>1159</v>
      </c>
      <c r="B1050" s="261" t="s">
        <v>5363</v>
      </c>
      <c r="C1050" s="261" t="s">
        <v>3240</v>
      </c>
      <c r="D1050" s="265" t="s">
        <v>19270</v>
      </c>
      <c r="E1050" s="262" t="s">
        <v>8987</v>
      </c>
    </row>
    <row r="1051" spans="1:5" ht="15">
      <c r="A1051" s="261">
        <v>12114</v>
      </c>
      <c r="B1051" s="261" t="s">
        <v>5364</v>
      </c>
      <c r="C1051" s="261" t="s">
        <v>3240</v>
      </c>
      <c r="D1051" s="265" t="s">
        <v>19271</v>
      </c>
      <c r="E1051" s="262" t="s">
        <v>207</v>
      </c>
    </row>
    <row r="1052" spans="1:5" ht="15">
      <c r="A1052" s="261">
        <v>38106</v>
      </c>
      <c r="B1052" s="261" t="s">
        <v>5365</v>
      </c>
      <c r="C1052" s="261" t="s">
        <v>3240</v>
      </c>
      <c r="D1052" s="265" t="s">
        <v>12439</v>
      </c>
      <c r="E1052" s="262" t="s">
        <v>207</v>
      </c>
    </row>
    <row r="1053" spans="1:5" ht="30">
      <c r="A1053" s="261">
        <v>38085</v>
      </c>
      <c r="B1053" s="261" t="s">
        <v>5366</v>
      </c>
      <c r="C1053" s="261" t="s">
        <v>3240</v>
      </c>
      <c r="D1053" s="265" t="s">
        <v>12472</v>
      </c>
      <c r="E1053" s="262" t="s">
        <v>207</v>
      </c>
    </row>
    <row r="1054" spans="1:5" ht="15">
      <c r="A1054" s="261">
        <v>38599</v>
      </c>
      <c r="B1054" s="261" t="s">
        <v>11740</v>
      </c>
      <c r="C1054" s="261" t="s">
        <v>3240</v>
      </c>
      <c r="D1054" s="265" t="s">
        <v>12253</v>
      </c>
      <c r="E1054" s="262" t="s">
        <v>207</v>
      </c>
    </row>
    <row r="1055" spans="1:5" ht="15">
      <c r="A1055" s="261">
        <v>38596</v>
      </c>
      <c r="B1055" s="261" t="s">
        <v>11741</v>
      </c>
      <c r="C1055" s="261" t="s">
        <v>3240</v>
      </c>
      <c r="D1055" s="265" t="s">
        <v>9752</v>
      </c>
      <c r="E1055" s="262" t="s">
        <v>207</v>
      </c>
    </row>
    <row r="1056" spans="1:5" ht="15">
      <c r="A1056" s="261">
        <v>38600</v>
      </c>
      <c r="B1056" s="261" t="s">
        <v>11742</v>
      </c>
      <c r="C1056" s="261" t="s">
        <v>3240</v>
      </c>
      <c r="D1056" s="265" t="s">
        <v>19272</v>
      </c>
      <c r="E1056" s="262" t="s">
        <v>207</v>
      </c>
    </row>
    <row r="1057" spans="1:5" ht="15">
      <c r="A1057" s="261">
        <v>38597</v>
      </c>
      <c r="B1057" s="261" t="s">
        <v>11743</v>
      </c>
      <c r="C1057" s="261" t="s">
        <v>3240</v>
      </c>
      <c r="D1057" s="265" t="s">
        <v>10019</v>
      </c>
      <c r="E1057" s="262" t="s">
        <v>207</v>
      </c>
    </row>
    <row r="1058" spans="1:5" ht="15">
      <c r="A1058" s="261">
        <v>659</v>
      </c>
      <c r="B1058" s="261" t="s">
        <v>11744</v>
      </c>
      <c r="C1058" s="261" t="s">
        <v>3240</v>
      </c>
      <c r="D1058" s="265" t="s">
        <v>10007</v>
      </c>
      <c r="E1058" s="262" t="s">
        <v>207</v>
      </c>
    </row>
    <row r="1059" spans="1:5" ht="15">
      <c r="A1059" s="261">
        <v>660</v>
      </c>
      <c r="B1059" s="261" t="s">
        <v>11745</v>
      </c>
      <c r="C1059" s="261" t="s">
        <v>3240</v>
      </c>
      <c r="D1059" s="265" t="s">
        <v>12474</v>
      </c>
      <c r="E1059" s="262" t="s">
        <v>207</v>
      </c>
    </row>
    <row r="1060" spans="1:5" ht="15">
      <c r="A1060" s="261">
        <v>658</v>
      </c>
      <c r="B1060" s="261" t="s">
        <v>11746</v>
      </c>
      <c r="C1060" s="261" t="s">
        <v>3240</v>
      </c>
      <c r="D1060" s="265" t="s">
        <v>12375</v>
      </c>
      <c r="E1060" s="262" t="s">
        <v>207</v>
      </c>
    </row>
    <row r="1061" spans="1:5" ht="15">
      <c r="A1061" s="261">
        <v>38548</v>
      </c>
      <c r="B1061" s="261" t="s">
        <v>5367</v>
      </c>
      <c r="C1061" s="261" t="s">
        <v>3240</v>
      </c>
      <c r="D1061" s="265" t="s">
        <v>11063</v>
      </c>
      <c r="E1061" s="262" t="s">
        <v>207</v>
      </c>
    </row>
    <row r="1062" spans="1:5" ht="15">
      <c r="A1062" s="261">
        <v>34649</v>
      </c>
      <c r="B1062" s="261" t="s">
        <v>5368</v>
      </c>
      <c r="C1062" s="261" t="s">
        <v>3240</v>
      </c>
      <c r="D1062" s="265" t="s">
        <v>19273</v>
      </c>
      <c r="E1062" s="262" t="s">
        <v>207</v>
      </c>
    </row>
    <row r="1063" spans="1:5" ht="15">
      <c r="A1063" s="261">
        <v>34655</v>
      </c>
      <c r="B1063" s="261" t="s">
        <v>5369</v>
      </c>
      <c r="C1063" s="261" t="s">
        <v>3240</v>
      </c>
      <c r="D1063" s="265" t="s">
        <v>11398</v>
      </c>
      <c r="E1063" s="262" t="s">
        <v>207</v>
      </c>
    </row>
    <row r="1064" spans="1:5" ht="30">
      <c r="A1064" s="261">
        <v>40607</v>
      </c>
      <c r="B1064" s="261" t="s">
        <v>5370</v>
      </c>
      <c r="C1064" s="261" t="s">
        <v>3240</v>
      </c>
      <c r="D1064" s="265" t="s">
        <v>9863</v>
      </c>
      <c r="E1064" s="262" t="s">
        <v>207</v>
      </c>
    </row>
    <row r="1065" spans="1:5" ht="30">
      <c r="A1065" s="261">
        <v>569</v>
      </c>
      <c r="B1065" s="261" t="s">
        <v>11747</v>
      </c>
      <c r="C1065" s="261" t="s">
        <v>3244</v>
      </c>
      <c r="D1065" s="265" t="s">
        <v>12449</v>
      </c>
      <c r="E1065" s="262" t="s">
        <v>207</v>
      </c>
    </row>
    <row r="1066" spans="1:5" ht="30">
      <c r="A1066" s="261">
        <v>567</v>
      </c>
      <c r="B1066" s="261" t="s">
        <v>11748</v>
      </c>
      <c r="C1066" s="261" t="s">
        <v>3243</v>
      </c>
      <c r="D1066" s="265" t="s">
        <v>19274</v>
      </c>
      <c r="E1066" s="262" t="s">
        <v>207</v>
      </c>
    </row>
    <row r="1067" spans="1:5" ht="30">
      <c r="A1067" s="261">
        <v>574</v>
      </c>
      <c r="B1067" s="261" t="s">
        <v>11749</v>
      </c>
      <c r="C1067" s="261" t="s">
        <v>3243</v>
      </c>
      <c r="D1067" s="265" t="s">
        <v>19275</v>
      </c>
      <c r="E1067" s="262" t="s">
        <v>207</v>
      </c>
    </row>
    <row r="1068" spans="1:5" ht="30">
      <c r="A1068" s="261">
        <v>568</v>
      </c>
      <c r="B1068" s="261" t="s">
        <v>11750</v>
      </c>
      <c r="C1068" s="261" t="s">
        <v>3243</v>
      </c>
      <c r="D1068" s="265" t="s">
        <v>19276</v>
      </c>
      <c r="E1068" s="262" t="s">
        <v>207</v>
      </c>
    </row>
    <row r="1069" spans="1:5" ht="15">
      <c r="A1069" s="261">
        <v>585</v>
      </c>
      <c r="B1069" s="261" t="s">
        <v>5371</v>
      </c>
      <c r="C1069" s="261" t="s">
        <v>3244</v>
      </c>
      <c r="D1069" s="265" t="s">
        <v>19277</v>
      </c>
      <c r="E1069" s="262" t="s">
        <v>207</v>
      </c>
    </row>
    <row r="1070" spans="1:5" ht="15">
      <c r="A1070" s="261">
        <v>4777</v>
      </c>
      <c r="B1070" s="261" t="s">
        <v>5372</v>
      </c>
      <c r="C1070" s="261" t="s">
        <v>3244</v>
      </c>
      <c r="D1070" s="266" t="s">
        <v>10513</v>
      </c>
      <c r="E1070" s="262" t="s">
        <v>207</v>
      </c>
    </row>
    <row r="1071" spans="1:5" ht="15">
      <c r="A1071" s="261">
        <v>587</v>
      </c>
      <c r="B1071" s="261" t="s">
        <v>5373</v>
      </c>
      <c r="C1071" s="261" t="s">
        <v>3244</v>
      </c>
      <c r="D1071" s="265" t="s">
        <v>12429</v>
      </c>
      <c r="E1071" s="262" t="s">
        <v>207</v>
      </c>
    </row>
    <row r="1072" spans="1:5" ht="15">
      <c r="A1072" s="261">
        <v>590</v>
      </c>
      <c r="B1072" s="261" t="s">
        <v>5374</v>
      </c>
      <c r="C1072" s="261" t="s">
        <v>3244</v>
      </c>
      <c r="D1072" s="266" t="s">
        <v>10672</v>
      </c>
      <c r="E1072" s="262" t="s">
        <v>207</v>
      </c>
    </row>
    <row r="1073" spans="1:5" ht="15">
      <c r="A1073" s="261">
        <v>592</v>
      </c>
      <c r="B1073" s="261" t="s">
        <v>5375</v>
      </c>
      <c r="C1073" s="261" t="s">
        <v>3244</v>
      </c>
      <c r="D1073" s="266" t="s">
        <v>12429</v>
      </c>
      <c r="E1073" s="262" t="s">
        <v>207</v>
      </c>
    </row>
    <row r="1074" spans="1:5" ht="15">
      <c r="A1074" s="261">
        <v>586</v>
      </c>
      <c r="B1074" s="261" t="s">
        <v>5376</v>
      </c>
      <c r="C1074" s="261" t="s">
        <v>3243</v>
      </c>
      <c r="D1074" s="266" t="s">
        <v>19278</v>
      </c>
      <c r="E1074" s="262" t="s">
        <v>207</v>
      </c>
    </row>
    <row r="1075" spans="1:5" ht="15">
      <c r="A1075" s="261">
        <v>591</v>
      </c>
      <c r="B1075" s="261" t="s">
        <v>5377</v>
      </c>
      <c r="C1075" s="261" t="s">
        <v>3244</v>
      </c>
      <c r="D1075" s="266" t="s">
        <v>19277</v>
      </c>
      <c r="E1075" s="262" t="s">
        <v>207</v>
      </c>
    </row>
    <row r="1076" spans="1:5" ht="15">
      <c r="A1076" s="261">
        <v>588</v>
      </c>
      <c r="B1076" s="261" t="s">
        <v>5378</v>
      </c>
      <c r="C1076" s="261" t="s">
        <v>3243</v>
      </c>
      <c r="D1076" s="266" t="s">
        <v>15791</v>
      </c>
      <c r="E1076" s="262" t="s">
        <v>207</v>
      </c>
    </row>
    <row r="1077" spans="1:5" ht="15">
      <c r="A1077" s="261">
        <v>589</v>
      </c>
      <c r="B1077" s="261" t="s">
        <v>5379</v>
      </c>
      <c r="C1077" s="261" t="s">
        <v>3243</v>
      </c>
      <c r="D1077" s="266" t="s">
        <v>19279</v>
      </c>
      <c r="E1077" s="262" t="s">
        <v>207</v>
      </c>
    </row>
    <row r="1078" spans="1:5" ht="15">
      <c r="A1078" s="261">
        <v>584</v>
      </c>
      <c r="B1078" s="261" t="s">
        <v>5380</v>
      </c>
      <c r="C1078" s="261" t="s">
        <v>3243</v>
      </c>
      <c r="D1078" s="266" t="s">
        <v>15968</v>
      </c>
      <c r="E1078" s="262" t="s">
        <v>207</v>
      </c>
    </row>
    <row r="1079" spans="1:5" ht="15">
      <c r="A1079" s="261">
        <v>1165</v>
      </c>
      <c r="B1079" s="261" t="s">
        <v>5381</v>
      </c>
      <c r="C1079" s="261" t="s">
        <v>3240</v>
      </c>
      <c r="D1079" s="265" t="s">
        <v>10314</v>
      </c>
      <c r="E1079" s="262" t="s">
        <v>207</v>
      </c>
    </row>
    <row r="1080" spans="1:5" ht="15">
      <c r="A1080" s="261">
        <v>1164</v>
      </c>
      <c r="B1080" s="261" t="s">
        <v>5382</v>
      </c>
      <c r="C1080" s="261" t="s">
        <v>3240</v>
      </c>
      <c r="D1080" s="265" t="s">
        <v>10411</v>
      </c>
      <c r="E1080" s="262" t="s">
        <v>207</v>
      </c>
    </row>
    <row r="1081" spans="1:5" ht="15">
      <c r="A1081" s="261">
        <v>1162</v>
      </c>
      <c r="B1081" s="261" t="s">
        <v>5383</v>
      </c>
      <c r="C1081" s="261" t="s">
        <v>3240</v>
      </c>
      <c r="D1081" s="265" t="s">
        <v>9945</v>
      </c>
      <c r="E1081" s="262" t="s">
        <v>207</v>
      </c>
    </row>
    <row r="1082" spans="1:5" ht="15">
      <c r="A1082" s="261">
        <v>12395</v>
      </c>
      <c r="B1082" s="261" t="s">
        <v>5384</v>
      </c>
      <c r="C1082" s="261" t="s">
        <v>3240</v>
      </c>
      <c r="D1082" s="265" t="s">
        <v>10653</v>
      </c>
      <c r="E1082" s="262" t="s">
        <v>207</v>
      </c>
    </row>
    <row r="1083" spans="1:5" ht="15">
      <c r="A1083" s="261">
        <v>1170</v>
      </c>
      <c r="B1083" s="261" t="s">
        <v>5385</v>
      </c>
      <c r="C1083" s="261" t="s">
        <v>3240</v>
      </c>
      <c r="D1083" s="266" t="s">
        <v>19280</v>
      </c>
      <c r="E1083" s="262" t="s">
        <v>207</v>
      </c>
    </row>
    <row r="1084" spans="1:5" ht="15">
      <c r="A1084" s="261">
        <v>1169</v>
      </c>
      <c r="B1084" s="261" t="s">
        <v>5386</v>
      </c>
      <c r="C1084" s="261" t="s">
        <v>3240</v>
      </c>
      <c r="D1084" s="266" t="s">
        <v>9734</v>
      </c>
      <c r="E1084" s="262" t="s">
        <v>207</v>
      </c>
    </row>
    <row r="1085" spans="1:5" ht="15">
      <c r="A1085" s="261">
        <v>1166</v>
      </c>
      <c r="B1085" s="261" t="s">
        <v>5387</v>
      </c>
      <c r="C1085" s="261" t="s">
        <v>3240</v>
      </c>
      <c r="D1085" s="266" t="s">
        <v>11041</v>
      </c>
      <c r="E1085" s="262" t="s">
        <v>207</v>
      </c>
    </row>
    <row r="1086" spans="1:5" ht="15">
      <c r="A1086" s="261">
        <v>1163</v>
      </c>
      <c r="B1086" s="261" t="s">
        <v>5388</v>
      </c>
      <c r="C1086" s="261" t="s">
        <v>3240</v>
      </c>
      <c r="D1086" s="266" t="s">
        <v>11166</v>
      </c>
      <c r="E1086" s="262" t="s">
        <v>207</v>
      </c>
    </row>
    <row r="1087" spans="1:5" ht="15">
      <c r="A1087" s="261">
        <v>12396</v>
      </c>
      <c r="B1087" s="261" t="s">
        <v>5389</v>
      </c>
      <c r="C1087" s="261" t="s">
        <v>3240</v>
      </c>
      <c r="D1087" s="266" t="s">
        <v>10653</v>
      </c>
      <c r="E1087" s="262" t="s">
        <v>207</v>
      </c>
    </row>
    <row r="1088" spans="1:5" ht="15">
      <c r="A1088" s="261">
        <v>1168</v>
      </c>
      <c r="B1088" s="261" t="s">
        <v>5390</v>
      </c>
      <c r="C1088" s="261" t="s">
        <v>3240</v>
      </c>
      <c r="D1088" s="266" t="s">
        <v>19281</v>
      </c>
      <c r="E1088" s="262" t="s">
        <v>207</v>
      </c>
    </row>
    <row r="1089" spans="1:5" ht="15">
      <c r="A1089" s="261">
        <v>1167</v>
      </c>
      <c r="B1089" s="261" t="s">
        <v>5391</v>
      </c>
      <c r="C1089" s="261" t="s">
        <v>3240</v>
      </c>
      <c r="D1089" s="265" t="s">
        <v>19282</v>
      </c>
      <c r="E1089" s="262" t="s">
        <v>207</v>
      </c>
    </row>
    <row r="1090" spans="1:5" ht="15">
      <c r="A1090" s="261">
        <v>36331</v>
      </c>
      <c r="B1090" s="261" t="s">
        <v>5392</v>
      </c>
      <c r="C1090" s="261" t="s">
        <v>3240</v>
      </c>
      <c r="D1090" s="265" t="s">
        <v>11237</v>
      </c>
      <c r="E1090" s="262" t="s">
        <v>207</v>
      </c>
    </row>
    <row r="1091" spans="1:5" ht="15">
      <c r="A1091" s="261">
        <v>36346</v>
      </c>
      <c r="B1091" s="261" t="s">
        <v>5393</v>
      </c>
      <c r="C1091" s="261" t="s">
        <v>3240</v>
      </c>
      <c r="D1091" s="265" t="s">
        <v>11275</v>
      </c>
      <c r="E1091" s="262" t="s">
        <v>207</v>
      </c>
    </row>
    <row r="1092" spans="1:5" ht="15">
      <c r="A1092" s="261">
        <v>1210</v>
      </c>
      <c r="B1092" s="261" t="s">
        <v>5394</v>
      </c>
      <c r="C1092" s="261" t="s">
        <v>3240</v>
      </c>
      <c r="D1092" s="265" t="s">
        <v>19283</v>
      </c>
      <c r="E1092" s="262" t="s">
        <v>207</v>
      </c>
    </row>
    <row r="1093" spans="1:5" ht="15">
      <c r="A1093" s="261">
        <v>1203</v>
      </c>
      <c r="B1093" s="261" t="s">
        <v>5395</v>
      </c>
      <c r="C1093" s="261" t="s">
        <v>3240</v>
      </c>
      <c r="D1093" s="265" t="s">
        <v>10650</v>
      </c>
      <c r="E1093" s="262" t="s">
        <v>207</v>
      </c>
    </row>
    <row r="1094" spans="1:5" ht="15">
      <c r="A1094" s="261">
        <v>1197</v>
      </c>
      <c r="B1094" s="261" t="s">
        <v>5396</v>
      </c>
      <c r="C1094" s="261" t="s">
        <v>3240</v>
      </c>
      <c r="D1094" s="265" t="s">
        <v>10022</v>
      </c>
      <c r="E1094" s="262" t="s">
        <v>207</v>
      </c>
    </row>
    <row r="1095" spans="1:5" ht="15">
      <c r="A1095" s="261">
        <v>1202</v>
      </c>
      <c r="B1095" s="261" t="s">
        <v>5397</v>
      </c>
      <c r="C1095" s="261" t="s">
        <v>3240</v>
      </c>
      <c r="D1095" s="265" t="s">
        <v>9972</v>
      </c>
      <c r="E1095" s="262" t="s">
        <v>207</v>
      </c>
    </row>
    <row r="1096" spans="1:5" ht="15">
      <c r="A1096" s="261">
        <v>1188</v>
      </c>
      <c r="B1096" s="261" t="s">
        <v>5398</v>
      </c>
      <c r="C1096" s="261" t="s">
        <v>3240</v>
      </c>
      <c r="D1096" s="265" t="s">
        <v>12416</v>
      </c>
      <c r="E1096" s="262" t="s">
        <v>207</v>
      </c>
    </row>
    <row r="1097" spans="1:5" ht="15">
      <c r="A1097" s="261">
        <v>1211</v>
      </c>
      <c r="B1097" s="261" t="s">
        <v>5399</v>
      </c>
      <c r="C1097" s="261" t="s">
        <v>3240</v>
      </c>
      <c r="D1097" s="265" t="s">
        <v>18812</v>
      </c>
      <c r="E1097" s="262" t="s">
        <v>207</v>
      </c>
    </row>
    <row r="1098" spans="1:5" ht="15">
      <c r="A1098" s="261">
        <v>1198</v>
      </c>
      <c r="B1098" s="261" t="s">
        <v>5400</v>
      </c>
      <c r="C1098" s="261" t="s">
        <v>3240</v>
      </c>
      <c r="D1098" s="265" t="s">
        <v>11229</v>
      </c>
      <c r="E1098" s="262" t="s">
        <v>207</v>
      </c>
    </row>
    <row r="1099" spans="1:5" ht="15">
      <c r="A1099" s="261">
        <v>1199</v>
      </c>
      <c r="B1099" s="261" t="s">
        <v>5401</v>
      </c>
      <c r="C1099" s="261" t="s">
        <v>3240</v>
      </c>
      <c r="D1099" s="265" t="s">
        <v>19284</v>
      </c>
      <c r="E1099" s="262" t="s">
        <v>207</v>
      </c>
    </row>
    <row r="1100" spans="1:5" ht="15">
      <c r="A1100" s="261">
        <v>20088</v>
      </c>
      <c r="B1100" s="261" t="s">
        <v>11751</v>
      </c>
      <c r="C1100" s="261" t="s">
        <v>3240</v>
      </c>
      <c r="D1100" s="265" t="s">
        <v>16074</v>
      </c>
      <c r="E1100" s="262" t="s">
        <v>207</v>
      </c>
    </row>
    <row r="1101" spans="1:5" ht="15">
      <c r="A1101" s="261">
        <v>20089</v>
      </c>
      <c r="B1101" s="261" t="s">
        <v>11752</v>
      </c>
      <c r="C1101" s="261" t="s">
        <v>3240</v>
      </c>
      <c r="D1101" s="265" t="s">
        <v>16488</v>
      </c>
      <c r="E1101" s="262" t="s">
        <v>207</v>
      </c>
    </row>
    <row r="1102" spans="1:5" ht="15">
      <c r="A1102" s="261">
        <v>20087</v>
      </c>
      <c r="B1102" s="261" t="s">
        <v>11753</v>
      </c>
      <c r="C1102" s="261" t="s">
        <v>3240</v>
      </c>
      <c r="D1102" s="265" t="s">
        <v>11432</v>
      </c>
      <c r="E1102" s="262" t="s">
        <v>207</v>
      </c>
    </row>
    <row r="1103" spans="1:5" ht="15">
      <c r="A1103" s="261">
        <v>1200</v>
      </c>
      <c r="B1103" s="261" t="s">
        <v>5402</v>
      </c>
      <c r="C1103" s="261" t="s">
        <v>3240</v>
      </c>
      <c r="D1103" s="265" t="s">
        <v>19285</v>
      </c>
      <c r="E1103" s="262" t="s">
        <v>207</v>
      </c>
    </row>
    <row r="1104" spans="1:5" ht="15">
      <c r="A1104" s="261">
        <v>12909</v>
      </c>
      <c r="B1104" s="261" t="s">
        <v>5403</v>
      </c>
      <c r="C1104" s="261" t="s">
        <v>3240</v>
      </c>
      <c r="D1104" s="265" t="s">
        <v>9954</v>
      </c>
      <c r="E1104" s="262" t="s">
        <v>207</v>
      </c>
    </row>
    <row r="1105" spans="1:5" ht="15">
      <c r="A1105" s="261">
        <v>12910</v>
      </c>
      <c r="B1105" s="261" t="s">
        <v>5404</v>
      </c>
      <c r="C1105" s="261" t="s">
        <v>3240</v>
      </c>
      <c r="D1105" s="265" t="s">
        <v>10243</v>
      </c>
      <c r="E1105" s="262" t="s">
        <v>207</v>
      </c>
    </row>
    <row r="1106" spans="1:5" ht="15">
      <c r="A1106" s="261">
        <v>1184</v>
      </c>
      <c r="B1106" s="261" t="s">
        <v>5405</v>
      </c>
      <c r="C1106" s="261" t="s">
        <v>3240</v>
      </c>
      <c r="D1106" s="265" t="s">
        <v>19286</v>
      </c>
      <c r="E1106" s="262" t="s">
        <v>207</v>
      </c>
    </row>
    <row r="1107" spans="1:5" ht="15">
      <c r="A1107" s="261">
        <v>1191</v>
      </c>
      <c r="B1107" s="261" t="s">
        <v>5406</v>
      </c>
      <c r="C1107" s="261" t="s">
        <v>3240</v>
      </c>
      <c r="D1107" s="265" t="s">
        <v>9765</v>
      </c>
      <c r="E1107" s="262" t="s">
        <v>207</v>
      </c>
    </row>
    <row r="1108" spans="1:5" ht="15">
      <c r="A1108" s="261">
        <v>1185</v>
      </c>
      <c r="B1108" s="261" t="s">
        <v>5407</v>
      </c>
      <c r="C1108" s="261" t="s">
        <v>3240</v>
      </c>
      <c r="D1108" s="265" t="s">
        <v>10914</v>
      </c>
      <c r="E1108" s="262" t="s">
        <v>207</v>
      </c>
    </row>
    <row r="1109" spans="1:5" ht="15">
      <c r="A1109" s="261">
        <v>1189</v>
      </c>
      <c r="B1109" s="261" t="s">
        <v>5408</v>
      </c>
      <c r="C1109" s="261" t="s">
        <v>3240</v>
      </c>
      <c r="D1109" s="265" t="s">
        <v>10033</v>
      </c>
      <c r="E1109" s="262" t="s">
        <v>207</v>
      </c>
    </row>
    <row r="1110" spans="1:5" ht="15">
      <c r="A1110" s="261">
        <v>1193</v>
      </c>
      <c r="B1110" s="261" t="s">
        <v>5409</v>
      </c>
      <c r="C1110" s="261" t="s">
        <v>3240</v>
      </c>
      <c r="D1110" s="265" t="s">
        <v>10324</v>
      </c>
      <c r="E1110" s="262" t="s">
        <v>207</v>
      </c>
    </row>
    <row r="1111" spans="1:5" ht="15">
      <c r="A1111" s="261">
        <v>1194</v>
      </c>
      <c r="B1111" s="261" t="s">
        <v>5410</v>
      </c>
      <c r="C1111" s="261" t="s">
        <v>3240</v>
      </c>
      <c r="D1111" s="266" t="s">
        <v>10223</v>
      </c>
      <c r="E1111" s="262" t="s">
        <v>207</v>
      </c>
    </row>
    <row r="1112" spans="1:5" ht="15">
      <c r="A1112" s="261">
        <v>1195</v>
      </c>
      <c r="B1112" s="261" t="s">
        <v>5411</v>
      </c>
      <c r="C1112" s="261" t="s">
        <v>3240</v>
      </c>
      <c r="D1112" s="265" t="s">
        <v>10236</v>
      </c>
      <c r="E1112" s="262" t="s">
        <v>207</v>
      </c>
    </row>
    <row r="1113" spans="1:5" ht="15">
      <c r="A1113" s="261">
        <v>1204</v>
      </c>
      <c r="B1113" s="261" t="s">
        <v>5412</v>
      </c>
      <c r="C1113" s="261" t="s">
        <v>3240</v>
      </c>
      <c r="D1113" s="265" t="s">
        <v>16089</v>
      </c>
      <c r="E1113" s="262" t="s">
        <v>207</v>
      </c>
    </row>
    <row r="1114" spans="1:5" ht="15">
      <c r="A1114" s="261">
        <v>1205</v>
      </c>
      <c r="B1114" s="261" t="s">
        <v>5413</v>
      </c>
      <c r="C1114" s="261" t="s">
        <v>3240</v>
      </c>
      <c r="D1114" s="265" t="s">
        <v>19287</v>
      </c>
      <c r="E1114" s="262" t="s">
        <v>207</v>
      </c>
    </row>
    <row r="1115" spans="1:5" ht="15">
      <c r="A1115" s="261">
        <v>1207</v>
      </c>
      <c r="B1115" s="261" t="s">
        <v>5414</v>
      </c>
      <c r="C1115" s="261" t="s">
        <v>3240</v>
      </c>
      <c r="D1115" s="265" t="s">
        <v>19288</v>
      </c>
      <c r="E1115" s="262" t="s">
        <v>207</v>
      </c>
    </row>
    <row r="1116" spans="1:5" ht="15">
      <c r="A1116" s="261">
        <v>1206</v>
      </c>
      <c r="B1116" s="261" t="s">
        <v>5415</v>
      </c>
      <c r="C1116" s="261" t="s">
        <v>3240</v>
      </c>
      <c r="D1116" s="265" t="s">
        <v>10309</v>
      </c>
      <c r="E1116" s="262" t="s">
        <v>207</v>
      </c>
    </row>
    <row r="1117" spans="1:5" ht="15">
      <c r="A1117" s="261">
        <v>1183</v>
      </c>
      <c r="B1117" s="261" t="s">
        <v>5416</v>
      </c>
      <c r="C1117" s="261" t="s">
        <v>3240</v>
      </c>
      <c r="D1117" s="265" t="s">
        <v>11486</v>
      </c>
      <c r="E1117" s="262" t="s">
        <v>207</v>
      </c>
    </row>
    <row r="1118" spans="1:5" ht="15">
      <c r="A1118" s="261">
        <v>42685</v>
      </c>
      <c r="B1118" s="261" t="s">
        <v>5417</v>
      </c>
      <c r="C1118" s="261" t="s">
        <v>3240</v>
      </c>
      <c r="D1118" s="265" t="s">
        <v>19289</v>
      </c>
      <c r="E1118" s="262" t="s">
        <v>207</v>
      </c>
    </row>
    <row r="1119" spans="1:5" ht="15">
      <c r="A1119" s="261">
        <v>42686</v>
      </c>
      <c r="B1119" s="261" t="s">
        <v>5418</v>
      </c>
      <c r="C1119" s="261" t="s">
        <v>3240</v>
      </c>
      <c r="D1119" s="265" t="s">
        <v>19290</v>
      </c>
      <c r="E1119" s="262" t="s">
        <v>207</v>
      </c>
    </row>
    <row r="1120" spans="1:5" ht="30">
      <c r="A1120" s="261">
        <v>12894</v>
      </c>
      <c r="B1120" s="261" t="s">
        <v>5419</v>
      </c>
      <c r="C1120" s="261" t="s">
        <v>3240</v>
      </c>
      <c r="D1120" s="265" t="s">
        <v>14236</v>
      </c>
      <c r="E1120" s="262" t="s">
        <v>207</v>
      </c>
    </row>
    <row r="1121" spans="1:5" ht="30">
      <c r="A1121" s="261">
        <v>12895</v>
      </c>
      <c r="B1121" s="261" t="s">
        <v>5420</v>
      </c>
      <c r="C1121" s="261" t="s">
        <v>3240</v>
      </c>
      <c r="D1121" s="265" t="s">
        <v>16150</v>
      </c>
      <c r="E1121" s="262" t="s">
        <v>207</v>
      </c>
    </row>
    <row r="1122" spans="1:5" ht="30">
      <c r="A1122" s="261">
        <v>1631</v>
      </c>
      <c r="B1122" s="261" t="s">
        <v>5421</v>
      </c>
      <c r="C1122" s="261" t="s">
        <v>3240</v>
      </c>
      <c r="D1122" s="265" t="s">
        <v>19291</v>
      </c>
      <c r="E1122" s="262" t="s">
        <v>207</v>
      </c>
    </row>
    <row r="1123" spans="1:5" ht="30">
      <c r="A1123" s="261">
        <v>1633</v>
      </c>
      <c r="B1123" s="261" t="s">
        <v>5422</v>
      </c>
      <c r="C1123" s="261" t="s">
        <v>3240</v>
      </c>
      <c r="D1123" s="265" t="s">
        <v>19292</v>
      </c>
      <c r="E1123" s="262" t="s">
        <v>207</v>
      </c>
    </row>
    <row r="1124" spans="1:5" ht="15">
      <c r="A1124" s="261">
        <v>10818</v>
      </c>
      <c r="B1124" s="261" t="s">
        <v>5423</v>
      </c>
      <c r="C1124" s="261" t="s">
        <v>3244</v>
      </c>
      <c r="D1124" s="265" t="s">
        <v>19293</v>
      </c>
      <c r="E1124" s="262" t="s">
        <v>207</v>
      </c>
    </row>
    <row r="1125" spans="1:5" ht="60">
      <c r="A1125" s="261">
        <v>39359</v>
      </c>
      <c r="B1125" s="261" t="s">
        <v>5424</v>
      </c>
      <c r="C1125" s="261" t="s">
        <v>3240</v>
      </c>
      <c r="D1125" s="265" t="s">
        <v>11373</v>
      </c>
      <c r="E1125" s="262" t="s">
        <v>207</v>
      </c>
    </row>
    <row r="1126" spans="1:5" ht="45">
      <c r="A1126" s="261">
        <v>39360</v>
      </c>
      <c r="B1126" s="261" t="s">
        <v>5425</v>
      </c>
      <c r="C1126" s="261" t="s">
        <v>3240</v>
      </c>
      <c r="D1126" s="265" t="s">
        <v>19294</v>
      </c>
      <c r="E1126" s="262" t="s">
        <v>207</v>
      </c>
    </row>
    <row r="1127" spans="1:5" ht="30">
      <c r="A1127" s="261">
        <v>10710</v>
      </c>
      <c r="B1127" s="261" t="s">
        <v>5426</v>
      </c>
      <c r="C1127" s="261" t="s">
        <v>3242</v>
      </c>
      <c r="D1127" s="265" t="s">
        <v>19295</v>
      </c>
      <c r="E1127" s="262" t="s">
        <v>207</v>
      </c>
    </row>
    <row r="1128" spans="1:5" ht="30">
      <c r="A1128" s="261">
        <v>10709</v>
      </c>
      <c r="B1128" s="261" t="s">
        <v>5427</v>
      </c>
      <c r="C1128" s="261" t="s">
        <v>3242</v>
      </c>
      <c r="D1128" s="265" t="s">
        <v>19296</v>
      </c>
      <c r="E1128" s="262" t="s">
        <v>207</v>
      </c>
    </row>
    <row r="1129" spans="1:5" ht="30">
      <c r="A1129" s="261">
        <v>39636</v>
      </c>
      <c r="B1129" s="261" t="s">
        <v>5428</v>
      </c>
      <c r="C1129" s="261" t="s">
        <v>3242</v>
      </c>
      <c r="D1129" s="265" t="s">
        <v>12456</v>
      </c>
      <c r="E1129" s="262" t="s">
        <v>207</v>
      </c>
    </row>
    <row r="1130" spans="1:5" ht="30">
      <c r="A1130" s="261">
        <v>10708</v>
      </c>
      <c r="B1130" s="261" t="s">
        <v>5429</v>
      </c>
      <c r="C1130" s="261" t="s">
        <v>3242</v>
      </c>
      <c r="D1130" s="265" t="s">
        <v>19297</v>
      </c>
      <c r="E1130" s="262" t="s">
        <v>207</v>
      </c>
    </row>
    <row r="1131" spans="1:5" ht="30">
      <c r="A1131" s="261">
        <v>39635</v>
      </c>
      <c r="B1131" s="261" t="s">
        <v>5430</v>
      </c>
      <c r="C1131" s="261" t="s">
        <v>3242</v>
      </c>
      <c r="D1131" s="265" t="s">
        <v>16662</v>
      </c>
      <c r="E1131" s="262" t="s">
        <v>207</v>
      </c>
    </row>
    <row r="1132" spans="1:5" ht="15">
      <c r="A1132" s="261">
        <v>6117</v>
      </c>
      <c r="B1132" s="261" t="s">
        <v>5431</v>
      </c>
      <c r="C1132" s="261" t="s">
        <v>3239</v>
      </c>
      <c r="D1132" s="265" t="s">
        <v>19298</v>
      </c>
      <c r="E1132" s="262" t="s">
        <v>9714</v>
      </c>
    </row>
    <row r="1133" spans="1:5" ht="15">
      <c r="A1133" s="261">
        <v>40913</v>
      </c>
      <c r="B1133" s="261" t="s">
        <v>5432</v>
      </c>
      <c r="C1133" s="261" t="s">
        <v>3246</v>
      </c>
      <c r="D1133" s="265" t="s">
        <v>19299</v>
      </c>
      <c r="E1133" s="262" t="s">
        <v>9714</v>
      </c>
    </row>
    <row r="1134" spans="1:5" ht="15">
      <c r="A1134" s="261">
        <v>1214</v>
      </c>
      <c r="B1134" s="261" t="s">
        <v>5433</v>
      </c>
      <c r="C1134" s="261" t="s">
        <v>3239</v>
      </c>
      <c r="D1134" s="265" t="s">
        <v>11524</v>
      </c>
      <c r="E1134" s="262" t="s">
        <v>9714</v>
      </c>
    </row>
    <row r="1135" spans="1:5" ht="15">
      <c r="A1135" s="261">
        <v>40915</v>
      </c>
      <c r="B1135" s="261" t="s">
        <v>5434</v>
      </c>
      <c r="C1135" s="261" t="s">
        <v>3246</v>
      </c>
      <c r="D1135" s="265" t="s">
        <v>18936</v>
      </c>
      <c r="E1135" s="262" t="s">
        <v>9714</v>
      </c>
    </row>
    <row r="1136" spans="1:5" ht="15">
      <c r="A1136" s="261">
        <v>1213</v>
      </c>
      <c r="B1136" s="261" t="s">
        <v>5435</v>
      </c>
      <c r="C1136" s="261" t="s">
        <v>3239</v>
      </c>
      <c r="D1136" s="265" t="s">
        <v>11524</v>
      </c>
      <c r="E1136" s="262" t="s">
        <v>9714</v>
      </c>
    </row>
    <row r="1137" spans="1:5" ht="15">
      <c r="A1137" s="261">
        <v>40914</v>
      </c>
      <c r="B1137" s="261" t="s">
        <v>5436</v>
      </c>
      <c r="C1137" s="261" t="s">
        <v>3246</v>
      </c>
      <c r="D1137" s="265" t="s">
        <v>18936</v>
      </c>
      <c r="E1137" s="262" t="s">
        <v>9714</v>
      </c>
    </row>
    <row r="1138" spans="1:5" ht="30">
      <c r="A1138" s="261">
        <v>5091</v>
      </c>
      <c r="B1138" s="261" t="s">
        <v>5437</v>
      </c>
      <c r="C1138" s="261" t="s">
        <v>3240</v>
      </c>
      <c r="D1138" s="265" t="s">
        <v>16332</v>
      </c>
      <c r="E1138" s="262" t="s">
        <v>207</v>
      </c>
    </row>
    <row r="1139" spans="1:5" ht="30">
      <c r="A1139" s="261">
        <v>14615</v>
      </c>
      <c r="B1139" s="261" t="s">
        <v>5438</v>
      </c>
      <c r="C1139" s="261" t="s">
        <v>3240</v>
      </c>
      <c r="D1139" s="265" t="s">
        <v>16460</v>
      </c>
      <c r="E1139" s="262" t="s">
        <v>207</v>
      </c>
    </row>
    <row r="1140" spans="1:5" ht="15">
      <c r="A1140" s="261">
        <v>2711</v>
      </c>
      <c r="B1140" s="261" t="s">
        <v>5439</v>
      </c>
      <c r="C1140" s="261" t="s">
        <v>3240</v>
      </c>
      <c r="D1140" s="265" t="s">
        <v>19300</v>
      </c>
      <c r="E1140" s="262" t="s">
        <v>207</v>
      </c>
    </row>
    <row r="1141" spans="1:5" ht="45">
      <c r="A1141" s="261">
        <v>37727</v>
      </c>
      <c r="B1141" s="261" t="s">
        <v>5440</v>
      </c>
      <c r="C1141" s="261" t="s">
        <v>3240</v>
      </c>
      <c r="D1141" s="265" t="s">
        <v>19301</v>
      </c>
      <c r="E1141" s="262" t="s">
        <v>8987</v>
      </c>
    </row>
    <row r="1142" spans="1:5" ht="45">
      <c r="A1142" s="261">
        <v>37728</v>
      </c>
      <c r="B1142" s="261" t="s">
        <v>5441</v>
      </c>
      <c r="C1142" s="261" t="s">
        <v>3240</v>
      </c>
      <c r="D1142" s="265" t="s">
        <v>19302</v>
      </c>
      <c r="E1142" s="262" t="s">
        <v>8987</v>
      </c>
    </row>
    <row r="1143" spans="1:5" ht="45">
      <c r="A1143" s="261">
        <v>37729</v>
      </c>
      <c r="B1143" s="261" t="s">
        <v>5442</v>
      </c>
      <c r="C1143" s="261" t="s">
        <v>3240</v>
      </c>
      <c r="D1143" s="265" t="s">
        <v>19303</v>
      </c>
      <c r="E1143" s="262" t="s">
        <v>8987</v>
      </c>
    </row>
    <row r="1144" spans="1:5" ht="45">
      <c r="A1144" s="261">
        <v>37730</v>
      </c>
      <c r="B1144" s="261" t="s">
        <v>5443</v>
      </c>
      <c r="C1144" s="261" t="s">
        <v>3240</v>
      </c>
      <c r="D1144" s="265" t="s">
        <v>19304</v>
      </c>
      <c r="E1144" s="262" t="s">
        <v>8987</v>
      </c>
    </row>
    <row r="1145" spans="1:5" ht="45">
      <c r="A1145" s="261">
        <v>37731</v>
      </c>
      <c r="B1145" s="261" t="s">
        <v>5444</v>
      </c>
      <c r="C1145" s="261" t="s">
        <v>3240</v>
      </c>
      <c r="D1145" s="265" t="s">
        <v>19305</v>
      </c>
      <c r="E1145" s="262" t="s">
        <v>8987</v>
      </c>
    </row>
    <row r="1146" spans="1:5" ht="45">
      <c r="A1146" s="261">
        <v>37732</v>
      </c>
      <c r="B1146" s="261" t="s">
        <v>5445</v>
      </c>
      <c r="C1146" s="261" t="s">
        <v>3240</v>
      </c>
      <c r="D1146" s="265" t="s">
        <v>19306</v>
      </c>
      <c r="E1146" s="262" t="s">
        <v>8987</v>
      </c>
    </row>
    <row r="1147" spans="1:5" ht="30">
      <c r="A1147" s="261">
        <v>42250</v>
      </c>
      <c r="B1147" s="261" t="s">
        <v>5446</v>
      </c>
      <c r="C1147" s="261" t="s">
        <v>3251</v>
      </c>
      <c r="D1147" s="265" t="s">
        <v>16461</v>
      </c>
      <c r="E1147" s="262" t="s">
        <v>207</v>
      </c>
    </row>
    <row r="1148" spans="1:5" ht="30">
      <c r="A1148" s="261">
        <v>42256</v>
      </c>
      <c r="B1148" s="261" t="s">
        <v>5447</v>
      </c>
      <c r="C1148" s="261" t="s">
        <v>3244</v>
      </c>
      <c r="D1148" s="265" t="s">
        <v>10611</v>
      </c>
      <c r="E1148" s="262" t="s">
        <v>207</v>
      </c>
    </row>
    <row r="1149" spans="1:5" ht="15">
      <c r="A1149" s="261">
        <v>4743</v>
      </c>
      <c r="B1149" s="261" t="s">
        <v>5448</v>
      </c>
      <c r="C1149" s="261" t="s">
        <v>3241</v>
      </c>
      <c r="D1149" s="265" t="s">
        <v>16462</v>
      </c>
      <c r="E1149" s="262" t="s">
        <v>207</v>
      </c>
    </row>
    <row r="1150" spans="1:5" ht="15">
      <c r="A1150" s="261">
        <v>4744</v>
      </c>
      <c r="B1150" s="261" t="s">
        <v>5449</v>
      </c>
      <c r="C1150" s="261" t="s">
        <v>3241</v>
      </c>
      <c r="D1150" s="265" t="s">
        <v>16463</v>
      </c>
      <c r="E1150" s="264" t="s">
        <v>207</v>
      </c>
    </row>
    <row r="1151" spans="1:5" ht="15">
      <c r="A1151" s="261">
        <v>4745</v>
      </c>
      <c r="B1151" s="261" t="s">
        <v>5450</v>
      </c>
      <c r="C1151" s="261" t="s">
        <v>3241</v>
      </c>
      <c r="D1151" s="265" t="s">
        <v>16464</v>
      </c>
      <c r="E1151" s="264" t="s">
        <v>207</v>
      </c>
    </row>
    <row r="1152" spans="1:5" ht="60">
      <c r="A1152" s="261">
        <v>36496</v>
      </c>
      <c r="B1152" s="261" t="s">
        <v>5451</v>
      </c>
      <c r="C1152" s="261" t="s">
        <v>3240</v>
      </c>
      <c r="D1152" s="265" t="s">
        <v>16465</v>
      </c>
      <c r="E1152" s="264" t="s">
        <v>8987</v>
      </c>
    </row>
    <row r="1153" spans="1:5" ht="45">
      <c r="A1153" s="261">
        <v>10630</v>
      </c>
      <c r="B1153" s="261" t="s">
        <v>5452</v>
      </c>
      <c r="C1153" s="261" t="s">
        <v>3240</v>
      </c>
      <c r="D1153" s="265" t="s">
        <v>19307</v>
      </c>
      <c r="E1153" s="264" t="s">
        <v>8987</v>
      </c>
    </row>
    <row r="1154" spans="1:5" ht="45">
      <c r="A1154" s="261">
        <v>37762</v>
      </c>
      <c r="B1154" s="261" t="s">
        <v>5453</v>
      </c>
      <c r="C1154" s="261" t="s">
        <v>3240</v>
      </c>
      <c r="D1154" s="265" t="s">
        <v>19308</v>
      </c>
      <c r="E1154" s="264" t="s">
        <v>8987</v>
      </c>
    </row>
    <row r="1155" spans="1:5" ht="45">
      <c r="A1155" s="261">
        <v>37763</v>
      </c>
      <c r="B1155" s="261" t="s">
        <v>5454</v>
      </c>
      <c r="C1155" s="261" t="s">
        <v>3240</v>
      </c>
      <c r="D1155" s="265" t="s">
        <v>19309</v>
      </c>
      <c r="E1155" s="264" t="s">
        <v>8987</v>
      </c>
    </row>
    <row r="1156" spans="1:5" ht="45">
      <c r="A1156" s="261">
        <v>41992</v>
      </c>
      <c r="B1156" s="261" t="s">
        <v>5455</v>
      </c>
      <c r="C1156" s="261" t="s">
        <v>3240</v>
      </c>
      <c r="D1156" s="265" t="s">
        <v>19310</v>
      </c>
      <c r="E1156" s="262" t="s">
        <v>8987</v>
      </c>
    </row>
    <row r="1157" spans="1:5" ht="45">
      <c r="A1157" s="261">
        <v>13215</v>
      </c>
      <c r="B1157" s="261" t="s">
        <v>5456</v>
      </c>
      <c r="C1157" s="261" t="s">
        <v>3240</v>
      </c>
      <c r="D1157" s="265" t="s">
        <v>19311</v>
      </c>
      <c r="E1157" s="262" t="s">
        <v>8987</v>
      </c>
    </row>
    <row r="1158" spans="1:5" ht="15">
      <c r="A1158" s="261">
        <v>4235</v>
      </c>
      <c r="B1158" s="261" t="s">
        <v>5457</v>
      </c>
      <c r="C1158" s="261" t="s">
        <v>3239</v>
      </c>
      <c r="D1158" s="265" t="s">
        <v>19312</v>
      </c>
      <c r="E1158" s="262" t="s">
        <v>9714</v>
      </c>
    </row>
    <row r="1159" spans="1:5" ht="15">
      <c r="A1159" s="261">
        <v>40976</v>
      </c>
      <c r="B1159" s="261" t="s">
        <v>5458</v>
      </c>
      <c r="C1159" s="261" t="s">
        <v>3246</v>
      </c>
      <c r="D1159" s="265" t="s">
        <v>19313</v>
      </c>
      <c r="E1159" s="262" t="s">
        <v>9714</v>
      </c>
    </row>
    <row r="1160" spans="1:5" ht="30">
      <c r="A1160" s="261">
        <v>39013</v>
      </c>
      <c r="B1160" s="261" t="s">
        <v>5459</v>
      </c>
      <c r="C1160" s="261" t="s">
        <v>3240</v>
      </c>
      <c r="D1160" s="265" t="s">
        <v>11377</v>
      </c>
      <c r="E1160" s="262" t="s">
        <v>207</v>
      </c>
    </row>
    <row r="1161" spans="1:5" ht="45">
      <c r="A1161" s="261">
        <v>43091</v>
      </c>
      <c r="B1161" s="261" t="s">
        <v>9524</v>
      </c>
      <c r="C1161" s="261" t="s">
        <v>3240</v>
      </c>
      <c r="D1161" s="265" t="s">
        <v>19314</v>
      </c>
      <c r="E1161" s="262" t="s">
        <v>207</v>
      </c>
    </row>
    <row r="1162" spans="1:5" ht="45">
      <c r="A1162" s="261">
        <v>43092</v>
      </c>
      <c r="B1162" s="261" t="s">
        <v>9525</v>
      </c>
      <c r="C1162" s="261" t="s">
        <v>3240</v>
      </c>
      <c r="D1162" s="265" t="s">
        <v>19315</v>
      </c>
      <c r="E1162" s="262" t="s">
        <v>207</v>
      </c>
    </row>
    <row r="1163" spans="1:5" ht="45">
      <c r="A1163" s="261">
        <v>43089</v>
      </c>
      <c r="B1163" s="261" t="s">
        <v>9526</v>
      </c>
      <c r="C1163" s="261" t="s">
        <v>3240</v>
      </c>
      <c r="D1163" s="265" t="s">
        <v>19316</v>
      </c>
      <c r="E1163" s="262" t="s">
        <v>207</v>
      </c>
    </row>
    <row r="1164" spans="1:5" ht="45">
      <c r="A1164" s="261">
        <v>43090</v>
      </c>
      <c r="B1164" s="261" t="s">
        <v>9527</v>
      </c>
      <c r="C1164" s="261" t="s">
        <v>3240</v>
      </c>
      <c r="D1164" s="265" t="s">
        <v>19317</v>
      </c>
      <c r="E1164" s="262" t="s">
        <v>207</v>
      </c>
    </row>
    <row r="1165" spans="1:5" ht="15">
      <c r="A1165" s="261">
        <v>41967</v>
      </c>
      <c r="B1165" s="261" t="s">
        <v>5460</v>
      </c>
      <c r="C1165" s="261" t="s">
        <v>3245</v>
      </c>
      <c r="D1165" s="265" t="s">
        <v>16208</v>
      </c>
      <c r="E1165" s="262" t="s">
        <v>207</v>
      </c>
    </row>
    <row r="1166" spans="1:5" ht="30">
      <c r="A1166" s="261">
        <v>12760</v>
      </c>
      <c r="B1166" s="261" t="s">
        <v>5461</v>
      </c>
      <c r="C1166" s="261" t="s">
        <v>3242</v>
      </c>
      <c r="D1166" s="265" t="s">
        <v>19318</v>
      </c>
      <c r="E1166" s="262" t="s">
        <v>207</v>
      </c>
    </row>
    <row r="1167" spans="1:5" ht="30">
      <c r="A1167" s="261">
        <v>12759</v>
      </c>
      <c r="B1167" s="261" t="s">
        <v>5462</v>
      </c>
      <c r="C1167" s="261" t="s">
        <v>3242</v>
      </c>
      <c r="D1167" s="265" t="s">
        <v>19319</v>
      </c>
      <c r="E1167" s="262" t="s">
        <v>207</v>
      </c>
    </row>
    <row r="1168" spans="1:5" ht="30">
      <c r="A1168" s="261">
        <v>43105</v>
      </c>
      <c r="B1168" s="261" t="s">
        <v>9528</v>
      </c>
      <c r="C1168" s="261" t="s">
        <v>3244</v>
      </c>
      <c r="D1168" s="265" t="s">
        <v>19320</v>
      </c>
      <c r="E1168" s="262" t="s">
        <v>207</v>
      </c>
    </row>
    <row r="1169" spans="1:11" ht="30">
      <c r="A1169" s="261">
        <v>40424</v>
      </c>
      <c r="B1169" s="261" t="s">
        <v>5463</v>
      </c>
      <c r="C1169" s="261" t="s">
        <v>3244</v>
      </c>
      <c r="D1169" s="265" t="s">
        <v>10997</v>
      </c>
      <c r="E1169" s="262" t="s">
        <v>207</v>
      </c>
    </row>
    <row r="1170" spans="1:11" ht="15">
      <c r="A1170" s="261">
        <v>1325</v>
      </c>
      <c r="B1170" s="261" t="s">
        <v>5464</v>
      </c>
      <c r="C1170" s="261" t="s">
        <v>3244</v>
      </c>
      <c r="D1170" s="265" t="s">
        <v>12139</v>
      </c>
      <c r="E1170" s="262" t="s">
        <v>207</v>
      </c>
    </row>
    <row r="1171" spans="1:11" ht="15">
      <c r="A1171" s="261">
        <v>1327</v>
      </c>
      <c r="B1171" s="261" t="s">
        <v>5465</v>
      </c>
      <c r="C1171" s="261" t="s">
        <v>3244</v>
      </c>
      <c r="D1171" s="265" t="s">
        <v>19321</v>
      </c>
      <c r="E1171" s="262" t="s">
        <v>207</v>
      </c>
    </row>
    <row r="1172" spans="1:11" ht="15">
      <c r="A1172" s="261">
        <v>1328</v>
      </c>
      <c r="B1172" s="261" t="s">
        <v>5466</v>
      </c>
      <c r="C1172" s="261" t="s">
        <v>3244</v>
      </c>
      <c r="D1172" s="265" t="s">
        <v>12303</v>
      </c>
      <c r="E1172" s="262" t="s">
        <v>207</v>
      </c>
    </row>
    <row r="1173" spans="1:11" ht="15">
      <c r="A1173" s="261">
        <v>1321</v>
      </c>
      <c r="B1173" s="261" t="s">
        <v>5467</v>
      </c>
      <c r="C1173" s="261" t="s">
        <v>3244</v>
      </c>
      <c r="D1173" s="265" t="s">
        <v>10448</v>
      </c>
      <c r="E1173" s="262" t="s">
        <v>207</v>
      </c>
    </row>
    <row r="1174" spans="1:11" ht="15">
      <c r="A1174" s="261">
        <v>1318</v>
      </c>
      <c r="B1174" s="261" t="s">
        <v>5468</v>
      </c>
      <c r="C1174" s="261" t="s">
        <v>3244</v>
      </c>
      <c r="D1174" s="265" t="s">
        <v>11328</v>
      </c>
      <c r="E1174" s="262" t="s">
        <v>207</v>
      </c>
    </row>
    <row r="1175" spans="1:11" ht="15">
      <c r="A1175" s="261">
        <v>1322</v>
      </c>
      <c r="B1175" s="261" t="s">
        <v>5469</v>
      </c>
      <c r="C1175" s="261" t="s">
        <v>3244</v>
      </c>
      <c r="D1175" s="265" t="s">
        <v>16201</v>
      </c>
      <c r="E1175" s="262" t="s">
        <v>207</v>
      </c>
    </row>
    <row r="1176" spans="1:11" ht="15">
      <c r="A1176" s="261">
        <v>1323</v>
      </c>
      <c r="B1176" s="261" t="s">
        <v>5470</v>
      </c>
      <c r="C1176" s="261" t="s">
        <v>3244</v>
      </c>
      <c r="D1176" s="265" t="s">
        <v>16201</v>
      </c>
      <c r="E1176" s="262" t="s">
        <v>207</v>
      </c>
    </row>
    <row r="1177" spans="1:11" ht="15">
      <c r="A1177" s="261">
        <v>1319</v>
      </c>
      <c r="B1177" s="261" t="s">
        <v>5471</v>
      </c>
      <c r="C1177" s="261" t="s">
        <v>3244</v>
      </c>
      <c r="D1177" s="265" t="s">
        <v>10600</v>
      </c>
      <c r="E1177" s="264" t="s">
        <v>207</v>
      </c>
    </row>
    <row r="1178" spans="1:11" ht="15">
      <c r="A1178" s="261">
        <v>11026</v>
      </c>
      <c r="B1178" s="261" t="s">
        <v>5472</v>
      </c>
      <c r="C1178" s="261" t="s">
        <v>3244</v>
      </c>
      <c r="D1178" s="265" t="s">
        <v>14091</v>
      </c>
      <c r="E1178" s="262" t="s">
        <v>207</v>
      </c>
    </row>
    <row r="1179" spans="1:11" ht="15">
      <c r="A1179" s="261">
        <v>11027</v>
      </c>
      <c r="B1179" s="261" t="s">
        <v>5473</v>
      </c>
      <c r="C1179" s="261" t="s">
        <v>3244</v>
      </c>
      <c r="D1179" s="265" t="s">
        <v>11341</v>
      </c>
      <c r="E1179" s="262" t="s">
        <v>207</v>
      </c>
    </row>
    <row r="1180" spans="1:11" ht="15">
      <c r="A1180" s="261">
        <v>11046</v>
      </c>
      <c r="B1180" s="261" t="s">
        <v>5474</v>
      </c>
      <c r="C1180" s="261" t="s">
        <v>3244</v>
      </c>
      <c r="D1180" s="265" t="s">
        <v>19322</v>
      </c>
      <c r="E1180" s="262" t="s">
        <v>207</v>
      </c>
      <c r="K1180" s="192"/>
    </row>
    <row r="1181" spans="1:11" ht="15">
      <c r="A1181" s="261">
        <v>11047</v>
      </c>
      <c r="B1181" s="261" t="s">
        <v>5475</v>
      </c>
      <c r="C1181" s="261" t="s">
        <v>3244</v>
      </c>
      <c r="D1181" s="265" t="s">
        <v>10455</v>
      </c>
      <c r="E1181" s="262" t="s">
        <v>207</v>
      </c>
    </row>
    <row r="1182" spans="1:11" ht="15">
      <c r="A1182" s="261">
        <v>43668</v>
      </c>
      <c r="B1182" s="261" t="s">
        <v>5476</v>
      </c>
      <c r="C1182" s="261" t="s">
        <v>3244</v>
      </c>
      <c r="D1182" s="265" t="s">
        <v>19323</v>
      </c>
      <c r="E1182" s="262" t="s">
        <v>207</v>
      </c>
    </row>
    <row r="1183" spans="1:11" ht="15">
      <c r="A1183" s="261">
        <v>11049</v>
      </c>
      <c r="B1183" s="261" t="s">
        <v>5477</v>
      </c>
      <c r="C1183" s="261" t="s">
        <v>3244</v>
      </c>
      <c r="D1183" s="265" t="s">
        <v>11562</v>
      </c>
      <c r="E1183" s="262" t="s">
        <v>207</v>
      </c>
    </row>
    <row r="1184" spans="1:11" ht="15">
      <c r="A1184" s="261">
        <v>43106</v>
      </c>
      <c r="B1184" s="261" t="s">
        <v>9529</v>
      </c>
      <c r="C1184" s="261" t="s">
        <v>3244</v>
      </c>
      <c r="D1184" s="265" t="s">
        <v>19324</v>
      </c>
      <c r="E1184" s="262" t="s">
        <v>207</v>
      </c>
    </row>
    <row r="1185" spans="1:14" ht="15">
      <c r="A1185" s="261">
        <v>11051</v>
      </c>
      <c r="B1185" s="261" t="s">
        <v>5478</v>
      </c>
      <c r="C1185" s="261" t="s">
        <v>3244</v>
      </c>
      <c r="D1185" s="265" t="s">
        <v>12394</v>
      </c>
      <c r="E1185" s="262" t="s">
        <v>207</v>
      </c>
    </row>
    <row r="1186" spans="1:14" ht="15">
      <c r="A1186" s="261">
        <v>11061</v>
      </c>
      <c r="B1186" s="261" t="s">
        <v>5479</v>
      </c>
      <c r="C1186" s="261" t="s">
        <v>3244</v>
      </c>
      <c r="D1186" s="265" t="s">
        <v>9877</v>
      </c>
      <c r="E1186" s="262" t="s">
        <v>207</v>
      </c>
    </row>
    <row r="1187" spans="1:14" ht="15">
      <c r="A1187" s="261">
        <v>43667</v>
      </c>
      <c r="B1187" s="261" t="s">
        <v>5480</v>
      </c>
      <c r="C1187" s="261" t="s">
        <v>3244</v>
      </c>
      <c r="D1187" s="265" t="s">
        <v>9817</v>
      </c>
      <c r="E1187" s="262" t="s">
        <v>207</v>
      </c>
    </row>
    <row r="1188" spans="1:14" ht="15">
      <c r="A1188" s="261">
        <v>1333</v>
      </c>
      <c r="B1188" s="261" t="s">
        <v>5481</v>
      </c>
      <c r="C1188" s="261" t="s">
        <v>3244</v>
      </c>
      <c r="D1188" s="265" t="s">
        <v>11186</v>
      </c>
      <c r="E1188" s="262" t="s">
        <v>207</v>
      </c>
    </row>
    <row r="1189" spans="1:14" ht="15">
      <c r="A1189" s="261">
        <v>1330</v>
      </c>
      <c r="B1189" s="261" t="s">
        <v>5482</v>
      </c>
      <c r="C1189" s="261" t="s">
        <v>3244</v>
      </c>
      <c r="D1189" s="265" t="s">
        <v>10322</v>
      </c>
      <c r="E1189" s="262" t="s">
        <v>207</v>
      </c>
    </row>
    <row r="1190" spans="1:14" ht="15">
      <c r="A1190" s="261">
        <v>10957</v>
      </c>
      <c r="B1190" s="261" t="s">
        <v>5483</v>
      </c>
      <c r="C1190" s="261" t="s">
        <v>3244</v>
      </c>
      <c r="D1190" s="265" t="s">
        <v>16150</v>
      </c>
      <c r="E1190" s="262" t="s">
        <v>207</v>
      </c>
    </row>
    <row r="1191" spans="1:14" ht="15">
      <c r="A1191" s="261">
        <v>1332</v>
      </c>
      <c r="B1191" s="261" t="s">
        <v>5484</v>
      </c>
      <c r="C1191" s="261" t="s">
        <v>3244</v>
      </c>
      <c r="D1191" s="265" t="s">
        <v>14121</v>
      </c>
      <c r="E1191" s="262" t="s">
        <v>207</v>
      </c>
    </row>
    <row r="1192" spans="1:14" ht="15">
      <c r="A1192" s="261">
        <v>1334</v>
      </c>
      <c r="B1192" s="261" t="s">
        <v>5485</v>
      </c>
      <c r="C1192" s="261" t="s">
        <v>3244</v>
      </c>
      <c r="D1192" s="265" t="s">
        <v>12256</v>
      </c>
      <c r="E1192" s="262" t="s">
        <v>207</v>
      </c>
    </row>
    <row r="1193" spans="1:14" ht="15">
      <c r="A1193" s="261">
        <v>1335</v>
      </c>
      <c r="B1193" s="261" t="s">
        <v>5486</v>
      </c>
      <c r="C1193" s="261" t="s">
        <v>3244</v>
      </c>
      <c r="D1193" s="265" t="s">
        <v>11268</v>
      </c>
      <c r="E1193" s="262" t="s">
        <v>207</v>
      </c>
    </row>
    <row r="1194" spans="1:14" ht="15">
      <c r="A1194" s="261">
        <v>40425</v>
      </c>
      <c r="B1194" s="261" t="s">
        <v>5487</v>
      </c>
      <c r="C1194" s="261" t="s">
        <v>3244</v>
      </c>
      <c r="D1194" s="265" t="s">
        <v>10578</v>
      </c>
      <c r="E1194" s="262" t="s">
        <v>207</v>
      </c>
    </row>
    <row r="1195" spans="1:14" ht="15">
      <c r="A1195" s="261">
        <v>1337</v>
      </c>
      <c r="B1195" s="261" t="s">
        <v>5488</v>
      </c>
      <c r="C1195" s="261" t="s">
        <v>3244</v>
      </c>
      <c r="D1195" s="265" t="s">
        <v>16150</v>
      </c>
      <c r="E1195" s="262" t="s">
        <v>207</v>
      </c>
    </row>
    <row r="1196" spans="1:14" ht="15">
      <c r="A1196" s="261">
        <v>1338</v>
      </c>
      <c r="B1196" s="261" t="s">
        <v>5489</v>
      </c>
      <c r="C1196" s="261" t="s">
        <v>3242</v>
      </c>
      <c r="D1196" s="265" t="s">
        <v>14167</v>
      </c>
      <c r="E1196" s="262" t="s">
        <v>207</v>
      </c>
    </row>
    <row r="1197" spans="1:14" ht="15">
      <c r="A1197" s="261">
        <v>1340</v>
      </c>
      <c r="B1197" s="261" t="s">
        <v>5490</v>
      </c>
      <c r="C1197" s="261" t="s">
        <v>3242</v>
      </c>
      <c r="D1197" s="265" t="s">
        <v>19080</v>
      </c>
      <c r="E1197" s="262" t="s">
        <v>207</v>
      </c>
      <c r="N1197" s="192"/>
    </row>
    <row r="1198" spans="1:14" ht="15">
      <c r="A1198" s="261">
        <v>1341</v>
      </c>
      <c r="B1198" s="261" t="s">
        <v>5491</v>
      </c>
      <c r="C1198" s="261" t="s">
        <v>3242</v>
      </c>
      <c r="D1198" s="265" t="s">
        <v>19325</v>
      </c>
      <c r="E1198" s="262" t="s">
        <v>207</v>
      </c>
    </row>
    <row r="1199" spans="1:14" ht="30">
      <c r="A1199" s="261">
        <v>11134</v>
      </c>
      <c r="B1199" s="261" t="s">
        <v>5492</v>
      </c>
      <c r="C1199" s="261" t="s">
        <v>3242</v>
      </c>
      <c r="D1199" s="265" t="s">
        <v>19326</v>
      </c>
      <c r="E1199" s="262" t="s">
        <v>207</v>
      </c>
    </row>
    <row r="1200" spans="1:14" ht="30">
      <c r="A1200" s="261">
        <v>11135</v>
      </c>
      <c r="B1200" s="261" t="s">
        <v>5493</v>
      </c>
      <c r="C1200" s="261" t="s">
        <v>3242</v>
      </c>
      <c r="D1200" s="265" t="s">
        <v>19327</v>
      </c>
      <c r="E1200" s="262" t="s">
        <v>207</v>
      </c>
    </row>
    <row r="1201" spans="1:5" ht="30">
      <c r="A1201" s="261">
        <v>11136</v>
      </c>
      <c r="B1201" s="261" t="s">
        <v>5494</v>
      </c>
      <c r="C1201" s="261" t="s">
        <v>3242</v>
      </c>
      <c r="D1201" s="265" t="s">
        <v>19328</v>
      </c>
      <c r="E1201" s="262" t="s">
        <v>207</v>
      </c>
    </row>
    <row r="1202" spans="1:5" ht="30">
      <c r="A1202" s="261">
        <v>34743</v>
      </c>
      <c r="B1202" s="261" t="s">
        <v>5495</v>
      </c>
      <c r="C1202" s="261" t="s">
        <v>3242</v>
      </c>
      <c r="D1202" s="265" t="s">
        <v>19329</v>
      </c>
      <c r="E1202" s="262" t="s">
        <v>207</v>
      </c>
    </row>
    <row r="1203" spans="1:5" ht="30">
      <c r="A1203" s="261">
        <v>11137</v>
      </c>
      <c r="B1203" s="261" t="s">
        <v>5496</v>
      </c>
      <c r="C1203" s="261" t="s">
        <v>3242</v>
      </c>
      <c r="D1203" s="266" t="s">
        <v>19330</v>
      </c>
      <c r="E1203" s="262" t="s">
        <v>207</v>
      </c>
    </row>
    <row r="1204" spans="1:5" ht="30">
      <c r="A1204" s="261">
        <v>34745</v>
      </c>
      <c r="B1204" s="261" t="s">
        <v>5497</v>
      </c>
      <c r="C1204" s="261" t="s">
        <v>3242</v>
      </c>
      <c r="D1204" s="265" t="s">
        <v>19331</v>
      </c>
      <c r="E1204" s="262" t="s">
        <v>207</v>
      </c>
    </row>
    <row r="1205" spans="1:5" ht="30">
      <c r="A1205" s="261">
        <v>34746</v>
      </c>
      <c r="B1205" s="261" t="s">
        <v>5498</v>
      </c>
      <c r="C1205" s="261" t="s">
        <v>3242</v>
      </c>
      <c r="D1205" s="265" t="s">
        <v>11191</v>
      </c>
      <c r="E1205" s="262" t="s">
        <v>207</v>
      </c>
    </row>
    <row r="1206" spans="1:5" ht="30">
      <c r="A1206" s="261">
        <v>1360</v>
      </c>
      <c r="B1206" s="261" t="s">
        <v>5499</v>
      </c>
      <c r="C1206" s="261" t="s">
        <v>3242</v>
      </c>
      <c r="D1206" s="265" t="s">
        <v>9839</v>
      </c>
      <c r="E1206" s="262" t="s">
        <v>207</v>
      </c>
    </row>
    <row r="1207" spans="1:5" ht="30">
      <c r="A1207" s="261">
        <v>1346</v>
      </c>
      <c r="B1207" s="261" t="s">
        <v>5500</v>
      </c>
      <c r="C1207" s="261" t="s">
        <v>3242</v>
      </c>
      <c r="D1207" s="265" t="s">
        <v>16082</v>
      </c>
      <c r="E1207" s="262" t="s">
        <v>207</v>
      </c>
    </row>
    <row r="1208" spans="1:5" ht="30">
      <c r="A1208" s="261">
        <v>1345</v>
      </c>
      <c r="B1208" s="261" t="s">
        <v>5501</v>
      </c>
      <c r="C1208" s="261" t="s">
        <v>3242</v>
      </c>
      <c r="D1208" s="265" t="s">
        <v>19332</v>
      </c>
      <c r="E1208" s="262" t="s">
        <v>207</v>
      </c>
    </row>
    <row r="1209" spans="1:5" ht="30">
      <c r="A1209" s="261">
        <v>1347</v>
      </c>
      <c r="B1209" s="261" t="s">
        <v>5502</v>
      </c>
      <c r="C1209" s="261" t="s">
        <v>3242</v>
      </c>
      <c r="D1209" s="265" t="s">
        <v>19333</v>
      </c>
      <c r="E1209" s="262" t="s">
        <v>207</v>
      </c>
    </row>
    <row r="1210" spans="1:5" ht="30">
      <c r="A1210" s="261">
        <v>1355</v>
      </c>
      <c r="B1210" s="261" t="s">
        <v>5503</v>
      </c>
      <c r="C1210" s="261" t="s">
        <v>3242</v>
      </c>
      <c r="D1210" s="265" t="s">
        <v>9739</v>
      </c>
      <c r="E1210" s="262" t="s">
        <v>207</v>
      </c>
    </row>
    <row r="1211" spans="1:5" ht="30">
      <c r="A1211" s="261">
        <v>1358</v>
      </c>
      <c r="B1211" s="261" t="s">
        <v>5504</v>
      </c>
      <c r="C1211" s="261" t="s">
        <v>3242</v>
      </c>
      <c r="D1211" s="265" t="s">
        <v>19334</v>
      </c>
      <c r="E1211" s="262" t="s">
        <v>207</v>
      </c>
    </row>
    <row r="1212" spans="1:5" ht="15">
      <c r="A1212" s="261">
        <v>34659</v>
      </c>
      <c r="B1212" s="261" t="s">
        <v>5505</v>
      </c>
      <c r="C1212" s="261" t="s">
        <v>3242</v>
      </c>
      <c r="D1212" s="265" t="s">
        <v>10150</v>
      </c>
      <c r="E1212" s="262" t="s">
        <v>207</v>
      </c>
    </row>
    <row r="1213" spans="1:5" ht="15">
      <c r="A1213" s="261">
        <v>34514</v>
      </c>
      <c r="B1213" s="261" t="s">
        <v>5506</v>
      </c>
      <c r="C1213" s="261" t="s">
        <v>3242</v>
      </c>
      <c r="D1213" s="265" t="s">
        <v>19335</v>
      </c>
      <c r="E1213" s="262" t="s">
        <v>207</v>
      </c>
    </row>
    <row r="1214" spans="1:5" ht="15">
      <c r="A1214" s="261">
        <v>34660</v>
      </c>
      <c r="B1214" s="261" t="s">
        <v>5507</v>
      </c>
      <c r="C1214" s="261" t="s">
        <v>3242</v>
      </c>
      <c r="D1214" s="265" t="s">
        <v>19336</v>
      </c>
      <c r="E1214" s="262" t="s">
        <v>207</v>
      </c>
    </row>
    <row r="1215" spans="1:5" ht="15">
      <c r="A1215" s="261">
        <v>34661</v>
      </c>
      <c r="B1215" s="261" t="s">
        <v>5508</v>
      </c>
      <c r="C1215" s="261" t="s">
        <v>3242</v>
      </c>
      <c r="D1215" s="265" t="s">
        <v>19337</v>
      </c>
      <c r="E1215" s="262" t="s">
        <v>207</v>
      </c>
    </row>
    <row r="1216" spans="1:5" ht="15">
      <c r="A1216" s="261">
        <v>34667</v>
      </c>
      <c r="B1216" s="261" t="s">
        <v>5509</v>
      </c>
      <c r="C1216" s="261" t="s">
        <v>3242</v>
      </c>
      <c r="D1216" s="265" t="s">
        <v>19338</v>
      </c>
      <c r="E1216" s="262" t="s">
        <v>207</v>
      </c>
    </row>
    <row r="1217" spans="1:5" ht="15">
      <c r="A1217" s="261">
        <v>34668</v>
      </c>
      <c r="B1217" s="261" t="s">
        <v>5510</v>
      </c>
      <c r="C1217" s="261" t="s">
        <v>3242</v>
      </c>
      <c r="D1217" s="265" t="s">
        <v>19339</v>
      </c>
      <c r="E1217" s="262" t="s">
        <v>207</v>
      </c>
    </row>
    <row r="1218" spans="1:5" ht="15">
      <c r="A1218" s="261">
        <v>34741</v>
      </c>
      <c r="B1218" s="261" t="s">
        <v>5511</v>
      </c>
      <c r="C1218" s="261" t="s">
        <v>3242</v>
      </c>
      <c r="D1218" s="265" t="s">
        <v>16429</v>
      </c>
      <c r="E1218" s="262" t="s">
        <v>207</v>
      </c>
    </row>
    <row r="1219" spans="1:5" ht="15">
      <c r="A1219" s="261">
        <v>34664</v>
      </c>
      <c r="B1219" s="261" t="s">
        <v>5512</v>
      </c>
      <c r="C1219" s="261" t="s">
        <v>3242</v>
      </c>
      <c r="D1219" s="265" t="s">
        <v>16327</v>
      </c>
      <c r="E1219" s="262" t="s">
        <v>207</v>
      </c>
    </row>
    <row r="1220" spans="1:5" ht="15">
      <c r="A1220" s="261">
        <v>34665</v>
      </c>
      <c r="B1220" s="261" t="s">
        <v>5513</v>
      </c>
      <c r="C1220" s="261" t="s">
        <v>3242</v>
      </c>
      <c r="D1220" s="265" t="s">
        <v>19340</v>
      </c>
      <c r="E1220" s="262" t="s">
        <v>207</v>
      </c>
    </row>
    <row r="1221" spans="1:5" ht="15">
      <c r="A1221" s="261">
        <v>34666</v>
      </c>
      <c r="B1221" s="261" t="s">
        <v>5514</v>
      </c>
      <c r="C1221" s="261" t="s">
        <v>3242</v>
      </c>
      <c r="D1221" s="265" t="s">
        <v>16611</v>
      </c>
      <c r="E1221" s="262" t="s">
        <v>207</v>
      </c>
    </row>
    <row r="1222" spans="1:5" ht="15">
      <c r="A1222" s="261">
        <v>34669</v>
      </c>
      <c r="B1222" s="261" t="s">
        <v>5515</v>
      </c>
      <c r="C1222" s="261" t="s">
        <v>3242</v>
      </c>
      <c r="D1222" s="265" t="s">
        <v>16596</v>
      </c>
      <c r="E1222" s="262" t="s">
        <v>207</v>
      </c>
    </row>
    <row r="1223" spans="1:5" ht="15">
      <c r="A1223" s="261">
        <v>34670</v>
      </c>
      <c r="B1223" s="261" t="s">
        <v>5516</v>
      </c>
      <c r="C1223" s="261" t="s">
        <v>3242</v>
      </c>
      <c r="D1223" s="265" t="s">
        <v>19341</v>
      </c>
      <c r="E1223" s="262" t="s">
        <v>207</v>
      </c>
    </row>
    <row r="1224" spans="1:5" ht="15">
      <c r="A1224" s="261">
        <v>34671</v>
      </c>
      <c r="B1224" s="261" t="s">
        <v>5517</v>
      </c>
      <c r="C1224" s="261" t="s">
        <v>3242</v>
      </c>
      <c r="D1224" s="265" t="s">
        <v>19342</v>
      </c>
      <c r="E1224" s="262" t="s">
        <v>207</v>
      </c>
    </row>
    <row r="1225" spans="1:5" ht="15">
      <c r="A1225" s="261">
        <v>34672</v>
      </c>
      <c r="B1225" s="261" t="s">
        <v>5518</v>
      </c>
      <c r="C1225" s="261" t="s">
        <v>3242</v>
      </c>
      <c r="D1225" s="265" t="s">
        <v>15794</v>
      </c>
      <c r="E1225" s="262" t="s">
        <v>207</v>
      </c>
    </row>
    <row r="1226" spans="1:5" ht="15">
      <c r="A1226" s="261">
        <v>34673</v>
      </c>
      <c r="B1226" s="261" t="s">
        <v>5519</v>
      </c>
      <c r="C1226" s="261" t="s">
        <v>3242</v>
      </c>
      <c r="D1226" s="265" t="s">
        <v>19343</v>
      </c>
      <c r="E1226" s="262" t="s">
        <v>207</v>
      </c>
    </row>
    <row r="1227" spans="1:5" ht="15">
      <c r="A1227" s="261">
        <v>34674</v>
      </c>
      <c r="B1227" s="261" t="s">
        <v>5520</v>
      </c>
      <c r="C1227" s="261" t="s">
        <v>3242</v>
      </c>
      <c r="D1227" s="265" t="s">
        <v>19344</v>
      </c>
      <c r="E1227" s="262" t="s">
        <v>207</v>
      </c>
    </row>
    <row r="1228" spans="1:5" ht="15">
      <c r="A1228" s="261">
        <v>34675</v>
      </c>
      <c r="B1228" s="261" t="s">
        <v>5521</v>
      </c>
      <c r="C1228" s="261" t="s">
        <v>3242</v>
      </c>
      <c r="D1228" s="265" t="s">
        <v>16301</v>
      </c>
      <c r="E1228" s="262" t="s">
        <v>207</v>
      </c>
    </row>
    <row r="1229" spans="1:5" ht="15">
      <c r="A1229" s="261">
        <v>34676</v>
      </c>
      <c r="B1229" s="261" t="s">
        <v>5522</v>
      </c>
      <c r="C1229" s="261" t="s">
        <v>3242</v>
      </c>
      <c r="D1229" s="265" t="s">
        <v>11199</v>
      </c>
      <c r="E1229" s="262" t="s">
        <v>207</v>
      </c>
    </row>
    <row r="1230" spans="1:5" ht="15">
      <c r="A1230" s="261">
        <v>34677</v>
      </c>
      <c r="B1230" s="261" t="s">
        <v>5523</v>
      </c>
      <c r="C1230" s="261" t="s">
        <v>3242</v>
      </c>
      <c r="D1230" s="265" t="s">
        <v>10120</v>
      </c>
      <c r="E1230" s="262" t="s">
        <v>207</v>
      </c>
    </row>
    <row r="1231" spans="1:5" ht="30">
      <c r="A1231" s="261">
        <v>43126</v>
      </c>
      <c r="B1231" s="261" t="s">
        <v>9530</v>
      </c>
      <c r="C1231" s="261" t="s">
        <v>3242</v>
      </c>
      <c r="D1231" s="266" t="s">
        <v>19345</v>
      </c>
      <c r="E1231" s="262" t="s">
        <v>207</v>
      </c>
    </row>
    <row r="1232" spans="1:5" ht="30">
      <c r="A1232" s="261">
        <v>43124</v>
      </c>
      <c r="B1232" s="261" t="s">
        <v>9531</v>
      </c>
      <c r="C1232" s="261" t="s">
        <v>3242</v>
      </c>
      <c r="D1232" s="266" t="s">
        <v>19346</v>
      </c>
      <c r="E1232" s="262" t="s">
        <v>207</v>
      </c>
    </row>
    <row r="1233" spans="1:5" ht="30">
      <c r="A1233" s="261">
        <v>43125</v>
      </c>
      <c r="B1233" s="261" t="s">
        <v>9532</v>
      </c>
      <c r="C1233" s="261" t="s">
        <v>3242</v>
      </c>
      <c r="D1233" s="266" t="s">
        <v>19347</v>
      </c>
      <c r="E1233" s="262" t="s">
        <v>207</v>
      </c>
    </row>
    <row r="1234" spans="1:5" ht="30">
      <c r="A1234" s="261">
        <v>40623</v>
      </c>
      <c r="B1234" s="261" t="s">
        <v>5524</v>
      </c>
      <c r="C1234" s="261" t="s">
        <v>3247</v>
      </c>
      <c r="D1234" s="266" t="s">
        <v>19348</v>
      </c>
      <c r="E1234" s="262" t="s">
        <v>207</v>
      </c>
    </row>
    <row r="1235" spans="1:5" ht="30">
      <c r="A1235" s="261">
        <v>43701</v>
      </c>
      <c r="B1235" s="261" t="s">
        <v>11290</v>
      </c>
      <c r="C1235" s="261" t="s">
        <v>3244</v>
      </c>
      <c r="D1235" s="266" t="s">
        <v>16162</v>
      </c>
      <c r="E1235" s="262" t="s">
        <v>207</v>
      </c>
    </row>
    <row r="1236" spans="1:5" ht="30">
      <c r="A1236" s="261">
        <v>12083</v>
      </c>
      <c r="B1236" s="261" t="s">
        <v>5525</v>
      </c>
      <c r="C1236" s="261" t="s">
        <v>3240</v>
      </c>
      <c r="D1236" s="266" t="s">
        <v>19349</v>
      </c>
      <c r="E1236" s="262" t="s">
        <v>207</v>
      </c>
    </row>
    <row r="1237" spans="1:5" ht="30">
      <c r="A1237" s="261">
        <v>12081</v>
      </c>
      <c r="B1237" s="261" t="s">
        <v>5526</v>
      </c>
      <c r="C1237" s="261" t="s">
        <v>3240</v>
      </c>
      <c r="D1237" s="266" t="s">
        <v>19350</v>
      </c>
      <c r="E1237" s="262" t="s">
        <v>207</v>
      </c>
    </row>
    <row r="1238" spans="1:5" ht="30">
      <c r="A1238" s="261">
        <v>12082</v>
      </c>
      <c r="B1238" s="261" t="s">
        <v>5527</v>
      </c>
      <c r="C1238" s="261" t="s">
        <v>3240</v>
      </c>
      <c r="D1238" s="266" t="s">
        <v>19351</v>
      </c>
      <c r="E1238" s="262" t="s">
        <v>207</v>
      </c>
    </row>
    <row r="1239" spans="1:5" ht="30">
      <c r="A1239" s="261">
        <v>13354</v>
      </c>
      <c r="B1239" s="261" t="s">
        <v>5528</v>
      </c>
      <c r="C1239" s="261" t="s">
        <v>3240</v>
      </c>
      <c r="D1239" s="266" t="s">
        <v>19352</v>
      </c>
      <c r="E1239" s="262" t="s">
        <v>207</v>
      </c>
    </row>
    <row r="1240" spans="1:5" ht="30">
      <c r="A1240" s="261">
        <v>14057</v>
      </c>
      <c r="B1240" s="261" t="s">
        <v>5529</v>
      </c>
      <c r="C1240" s="261" t="s">
        <v>3240</v>
      </c>
      <c r="D1240" s="266" t="s">
        <v>19353</v>
      </c>
      <c r="E1240" s="262" t="s">
        <v>207</v>
      </c>
    </row>
    <row r="1241" spans="1:5" ht="30">
      <c r="A1241" s="261">
        <v>14058</v>
      </c>
      <c r="B1241" s="261" t="s">
        <v>5530</v>
      </c>
      <c r="C1241" s="261" t="s">
        <v>3240</v>
      </c>
      <c r="D1241" s="266" t="s">
        <v>19354</v>
      </c>
      <c r="E1241" s="262" t="s">
        <v>207</v>
      </c>
    </row>
    <row r="1242" spans="1:5" ht="30">
      <c r="A1242" s="261">
        <v>20971</v>
      </c>
      <c r="B1242" s="261" t="s">
        <v>5531</v>
      </c>
      <c r="C1242" s="261" t="s">
        <v>3240</v>
      </c>
      <c r="D1242" s="266" t="s">
        <v>10061</v>
      </c>
      <c r="E1242" s="262" t="s">
        <v>207</v>
      </c>
    </row>
    <row r="1243" spans="1:5" ht="45">
      <c r="A1243" s="261">
        <v>5047</v>
      </c>
      <c r="B1243" s="261" t="s">
        <v>5532</v>
      </c>
      <c r="C1243" s="261" t="s">
        <v>3240</v>
      </c>
      <c r="D1243" s="266" t="s">
        <v>19355</v>
      </c>
      <c r="E1243" s="262" t="s">
        <v>207</v>
      </c>
    </row>
    <row r="1244" spans="1:5" ht="30">
      <c r="A1244" s="261">
        <v>13369</v>
      </c>
      <c r="B1244" s="261" t="s">
        <v>5533</v>
      </c>
      <c r="C1244" s="261" t="s">
        <v>3240</v>
      </c>
      <c r="D1244" s="266" t="s">
        <v>19356</v>
      </c>
      <c r="E1244" s="262" t="s">
        <v>207</v>
      </c>
    </row>
    <row r="1245" spans="1:5" ht="30">
      <c r="A1245" s="261">
        <v>13370</v>
      </c>
      <c r="B1245" s="261" t="s">
        <v>5534</v>
      </c>
      <c r="C1245" s="261" t="s">
        <v>3240</v>
      </c>
      <c r="D1245" s="266" t="s">
        <v>19357</v>
      </c>
      <c r="E1245" s="262" t="s">
        <v>207</v>
      </c>
    </row>
    <row r="1246" spans="1:5" ht="15">
      <c r="A1246" s="261">
        <v>13279</v>
      </c>
      <c r="B1246" s="261" t="s">
        <v>5535</v>
      </c>
      <c r="C1246" s="261" t="s">
        <v>3244</v>
      </c>
      <c r="D1246" s="266" t="s">
        <v>12229</v>
      </c>
      <c r="E1246" s="262" t="s">
        <v>207</v>
      </c>
    </row>
    <row r="1247" spans="1:5" ht="15">
      <c r="A1247" s="261">
        <v>11977</v>
      </c>
      <c r="B1247" s="261" t="s">
        <v>5536</v>
      </c>
      <c r="C1247" s="261" t="s">
        <v>3240</v>
      </c>
      <c r="D1247" s="265" t="s">
        <v>9757</v>
      </c>
      <c r="E1247" s="262" t="s">
        <v>207</v>
      </c>
    </row>
    <row r="1248" spans="1:5" ht="15">
      <c r="A1248" s="261">
        <v>11975</v>
      </c>
      <c r="B1248" s="261" t="s">
        <v>5537</v>
      </c>
      <c r="C1248" s="261" t="s">
        <v>3240</v>
      </c>
      <c r="D1248" s="265" t="s">
        <v>11012</v>
      </c>
      <c r="E1248" s="262" t="s">
        <v>207</v>
      </c>
    </row>
    <row r="1249" spans="1:5" ht="30">
      <c r="A1249" s="261">
        <v>39746</v>
      </c>
      <c r="B1249" s="261" t="s">
        <v>5538</v>
      </c>
      <c r="C1249" s="261" t="s">
        <v>3240</v>
      </c>
      <c r="D1249" s="265" t="s">
        <v>19358</v>
      </c>
      <c r="E1249" s="262" t="s">
        <v>207</v>
      </c>
    </row>
    <row r="1250" spans="1:5" ht="15">
      <c r="A1250" s="261">
        <v>11976</v>
      </c>
      <c r="B1250" s="261" t="s">
        <v>5539</v>
      </c>
      <c r="C1250" s="261" t="s">
        <v>3240</v>
      </c>
      <c r="D1250" s="265" t="s">
        <v>10040</v>
      </c>
      <c r="E1250" s="262" t="s">
        <v>207</v>
      </c>
    </row>
    <row r="1251" spans="1:5" ht="30">
      <c r="A1251" s="261">
        <v>1368</v>
      </c>
      <c r="B1251" s="261" t="s">
        <v>5540</v>
      </c>
      <c r="C1251" s="261" t="s">
        <v>3240</v>
      </c>
      <c r="D1251" s="265" t="s">
        <v>15909</v>
      </c>
      <c r="E1251" s="262" t="s">
        <v>207</v>
      </c>
    </row>
    <row r="1252" spans="1:5" ht="30">
      <c r="A1252" s="261">
        <v>1367</v>
      </c>
      <c r="B1252" s="261" t="s">
        <v>5541</v>
      </c>
      <c r="C1252" s="261" t="s">
        <v>3240</v>
      </c>
      <c r="D1252" s="265" t="s">
        <v>19359</v>
      </c>
      <c r="E1252" s="262" t="s">
        <v>207</v>
      </c>
    </row>
    <row r="1253" spans="1:5" ht="15">
      <c r="A1253" s="261">
        <v>7608</v>
      </c>
      <c r="B1253" s="261" t="s">
        <v>5542</v>
      </c>
      <c r="C1253" s="261" t="s">
        <v>3240</v>
      </c>
      <c r="D1253" s="265" t="s">
        <v>16401</v>
      </c>
      <c r="E1253" s="262" t="s">
        <v>207</v>
      </c>
    </row>
    <row r="1254" spans="1:5" ht="30">
      <c r="A1254" s="261">
        <v>41899</v>
      </c>
      <c r="B1254" s="261" t="s">
        <v>5543</v>
      </c>
      <c r="C1254" s="261" t="s">
        <v>3251</v>
      </c>
      <c r="D1254" s="265" t="s">
        <v>19360</v>
      </c>
      <c r="E1254" s="262" t="s">
        <v>207</v>
      </c>
    </row>
    <row r="1255" spans="1:5" ht="15">
      <c r="A1255" s="261">
        <v>1380</v>
      </c>
      <c r="B1255" s="261" t="s">
        <v>5544</v>
      </c>
      <c r="C1255" s="261" t="s">
        <v>3244</v>
      </c>
      <c r="D1255" s="265" t="s">
        <v>12214</v>
      </c>
      <c r="E1255" s="262" t="s">
        <v>207</v>
      </c>
    </row>
    <row r="1256" spans="1:5" ht="15">
      <c r="A1256" s="261">
        <v>1375</v>
      </c>
      <c r="B1256" s="261" t="s">
        <v>5545</v>
      </c>
      <c r="C1256" s="261" t="s">
        <v>3244</v>
      </c>
      <c r="D1256" s="265" t="s">
        <v>10292</v>
      </c>
      <c r="E1256" s="262" t="s">
        <v>207</v>
      </c>
    </row>
    <row r="1257" spans="1:5" ht="15">
      <c r="A1257" s="261">
        <v>1379</v>
      </c>
      <c r="B1257" s="261" t="s">
        <v>5546</v>
      </c>
      <c r="C1257" s="261" t="s">
        <v>3244</v>
      </c>
      <c r="D1257" s="265" t="s">
        <v>18937</v>
      </c>
      <c r="E1257" s="262" t="s">
        <v>207</v>
      </c>
    </row>
    <row r="1258" spans="1:5" ht="15">
      <c r="A1258" s="261">
        <v>13284</v>
      </c>
      <c r="B1258" s="261" t="s">
        <v>19361</v>
      </c>
      <c r="C1258" s="261" t="s">
        <v>3244</v>
      </c>
      <c r="D1258" s="265" t="s">
        <v>18937</v>
      </c>
      <c r="E1258" s="262" t="s">
        <v>207</v>
      </c>
    </row>
    <row r="1259" spans="1:5" ht="15">
      <c r="A1259" s="261">
        <v>25974</v>
      </c>
      <c r="B1259" s="261" t="s">
        <v>5547</v>
      </c>
      <c r="C1259" s="261" t="s">
        <v>3244</v>
      </c>
      <c r="D1259" s="265" t="s">
        <v>16397</v>
      </c>
      <c r="E1259" s="262" t="s">
        <v>207</v>
      </c>
    </row>
    <row r="1260" spans="1:5" ht="15">
      <c r="A1260" s="261">
        <v>34753</v>
      </c>
      <c r="B1260" s="261" t="s">
        <v>5548</v>
      </c>
      <c r="C1260" s="261" t="s">
        <v>3244</v>
      </c>
      <c r="D1260" s="265" t="s">
        <v>10028</v>
      </c>
      <c r="E1260" s="262" t="s">
        <v>207</v>
      </c>
    </row>
    <row r="1261" spans="1:5" ht="30">
      <c r="A1261" s="261">
        <v>420</v>
      </c>
      <c r="B1261" s="261" t="s">
        <v>5549</v>
      </c>
      <c r="C1261" s="261" t="s">
        <v>3240</v>
      </c>
      <c r="D1261" s="265" t="s">
        <v>19362</v>
      </c>
      <c r="E1261" s="262" t="s">
        <v>207</v>
      </c>
    </row>
    <row r="1262" spans="1:5" ht="30">
      <c r="A1262" s="261">
        <v>12327</v>
      </c>
      <c r="B1262" s="261" t="s">
        <v>5550</v>
      </c>
      <c r="C1262" s="261" t="s">
        <v>3240</v>
      </c>
      <c r="D1262" s="265" t="s">
        <v>16467</v>
      </c>
      <c r="E1262" s="262" t="s">
        <v>207</v>
      </c>
    </row>
    <row r="1263" spans="1:5" ht="30">
      <c r="A1263" s="261">
        <v>36148</v>
      </c>
      <c r="B1263" s="261" t="s">
        <v>5551</v>
      </c>
      <c r="C1263" s="261" t="s">
        <v>3240</v>
      </c>
      <c r="D1263" s="265" t="s">
        <v>19060</v>
      </c>
      <c r="E1263" s="262" t="s">
        <v>207</v>
      </c>
    </row>
    <row r="1264" spans="1:5" ht="15">
      <c r="A1264" s="261">
        <v>12329</v>
      </c>
      <c r="B1264" s="261" t="s">
        <v>5552</v>
      </c>
      <c r="C1264" s="261" t="s">
        <v>3244</v>
      </c>
      <c r="D1264" s="265" t="s">
        <v>19363</v>
      </c>
      <c r="E1264" s="262" t="s">
        <v>207</v>
      </c>
    </row>
    <row r="1265" spans="1:5" ht="15">
      <c r="A1265" s="261">
        <v>1339</v>
      </c>
      <c r="B1265" s="261" t="s">
        <v>5553</v>
      </c>
      <c r="C1265" s="261" t="s">
        <v>3244</v>
      </c>
      <c r="D1265" s="265" t="s">
        <v>10598</v>
      </c>
      <c r="E1265" s="262" t="s">
        <v>207</v>
      </c>
    </row>
    <row r="1266" spans="1:5" ht="15">
      <c r="A1266" s="261">
        <v>11849</v>
      </c>
      <c r="B1266" s="261" t="s">
        <v>5554</v>
      </c>
      <c r="C1266" s="261" t="s">
        <v>3245</v>
      </c>
      <c r="D1266" s="265" t="s">
        <v>11041</v>
      </c>
      <c r="E1266" s="262" t="s">
        <v>207</v>
      </c>
    </row>
    <row r="1267" spans="1:5" ht="30">
      <c r="A1267" s="261">
        <v>37418</v>
      </c>
      <c r="B1267" s="261" t="s">
        <v>5555</v>
      </c>
      <c r="C1267" s="261" t="s">
        <v>3240</v>
      </c>
      <c r="D1267" s="265" t="s">
        <v>19364</v>
      </c>
      <c r="E1267" s="262" t="s">
        <v>207</v>
      </c>
    </row>
    <row r="1268" spans="1:5" ht="30">
      <c r="A1268" s="261">
        <v>37419</v>
      </c>
      <c r="B1268" s="261" t="s">
        <v>5556</v>
      </c>
      <c r="C1268" s="261" t="s">
        <v>3240</v>
      </c>
      <c r="D1268" s="265" t="s">
        <v>12153</v>
      </c>
      <c r="E1268" s="262" t="s">
        <v>207</v>
      </c>
    </row>
    <row r="1269" spans="1:5" ht="30">
      <c r="A1269" s="261">
        <v>1427</v>
      </c>
      <c r="B1269" s="261" t="s">
        <v>5557</v>
      </c>
      <c r="C1269" s="261" t="s">
        <v>3240</v>
      </c>
      <c r="D1269" s="265" t="s">
        <v>10574</v>
      </c>
      <c r="E1269" s="262" t="s">
        <v>207</v>
      </c>
    </row>
    <row r="1270" spans="1:5" ht="30">
      <c r="A1270" s="261">
        <v>1402</v>
      </c>
      <c r="B1270" s="261" t="s">
        <v>5558</v>
      </c>
      <c r="C1270" s="261" t="s">
        <v>3240</v>
      </c>
      <c r="D1270" s="265" t="s">
        <v>11299</v>
      </c>
      <c r="E1270" s="262" t="s">
        <v>207</v>
      </c>
    </row>
    <row r="1271" spans="1:5" ht="30">
      <c r="A1271" s="261">
        <v>1420</v>
      </c>
      <c r="B1271" s="261" t="s">
        <v>5559</v>
      </c>
      <c r="C1271" s="261" t="s">
        <v>3240</v>
      </c>
      <c r="D1271" s="265" t="s">
        <v>10486</v>
      </c>
      <c r="E1271" s="262" t="s">
        <v>207</v>
      </c>
    </row>
    <row r="1272" spans="1:5" ht="30">
      <c r="A1272" s="261">
        <v>1419</v>
      </c>
      <c r="B1272" s="261" t="s">
        <v>5560</v>
      </c>
      <c r="C1272" s="261" t="s">
        <v>3240</v>
      </c>
      <c r="D1272" s="265" t="s">
        <v>15948</v>
      </c>
      <c r="E1272" s="262" t="s">
        <v>207</v>
      </c>
    </row>
    <row r="1273" spans="1:5" ht="30">
      <c r="A1273" s="261">
        <v>1414</v>
      </c>
      <c r="B1273" s="261" t="s">
        <v>5561</v>
      </c>
      <c r="C1273" s="261" t="s">
        <v>3240</v>
      </c>
      <c r="D1273" s="265" t="s">
        <v>19074</v>
      </c>
      <c r="E1273" s="262" t="s">
        <v>207</v>
      </c>
    </row>
    <row r="1274" spans="1:5" ht="30">
      <c r="A1274" s="261">
        <v>1413</v>
      </c>
      <c r="B1274" s="261" t="s">
        <v>5562</v>
      </c>
      <c r="C1274" s="261" t="s">
        <v>3240</v>
      </c>
      <c r="D1274" s="265" t="s">
        <v>19365</v>
      </c>
      <c r="E1274" s="262" t="s">
        <v>207</v>
      </c>
    </row>
    <row r="1275" spans="1:5" ht="30">
      <c r="A1275" s="261">
        <v>1412</v>
      </c>
      <c r="B1275" s="261" t="s">
        <v>5563</v>
      </c>
      <c r="C1275" s="261" t="s">
        <v>3240</v>
      </c>
      <c r="D1275" s="265" t="s">
        <v>9941</v>
      </c>
      <c r="E1275" s="262" t="s">
        <v>207</v>
      </c>
    </row>
    <row r="1276" spans="1:5" ht="30">
      <c r="A1276" s="261">
        <v>1411</v>
      </c>
      <c r="B1276" s="261" t="s">
        <v>5564</v>
      </c>
      <c r="C1276" s="261" t="s">
        <v>3240</v>
      </c>
      <c r="D1276" s="265" t="s">
        <v>10114</v>
      </c>
      <c r="E1276" s="262" t="s">
        <v>207</v>
      </c>
    </row>
    <row r="1277" spans="1:5" ht="30">
      <c r="A1277" s="261">
        <v>1406</v>
      </c>
      <c r="B1277" s="261" t="s">
        <v>5565</v>
      </c>
      <c r="C1277" s="261" t="s">
        <v>3240</v>
      </c>
      <c r="D1277" s="265" t="s">
        <v>11123</v>
      </c>
      <c r="E1277" s="262" t="s">
        <v>207</v>
      </c>
    </row>
    <row r="1278" spans="1:5" ht="30">
      <c r="A1278" s="261">
        <v>1407</v>
      </c>
      <c r="B1278" s="261" t="s">
        <v>5566</v>
      </c>
      <c r="C1278" s="261" t="s">
        <v>3240</v>
      </c>
      <c r="D1278" s="265" t="s">
        <v>10423</v>
      </c>
      <c r="E1278" s="262" t="s">
        <v>207</v>
      </c>
    </row>
    <row r="1279" spans="1:5" ht="30">
      <c r="A1279" s="261">
        <v>1404</v>
      </c>
      <c r="B1279" s="261" t="s">
        <v>5567</v>
      </c>
      <c r="C1279" s="261" t="s">
        <v>3240</v>
      </c>
      <c r="D1279" s="265" t="s">
        <v>12434</v>
      </c>
      <c r="E1279" s="262" t="s">
        <v>207</v>
      </c>
    </row>
    <row r="1280" spans="1:5" ht="60">
      <c r="A1280" s="261">
        <v>11281</v>
      </c>
      <c r="B1280" s="261" t="s">
        <v>5568</v>
      </c>
      <c r="C1280" s="261" t="s">
        <v>3240</v>
      </c>
      <c r="D1280" s="265" t="s">
        <v>19366</v>
      </c>
      <c r="E1280" s="262" t="s">
        <v>8987</v>
      </c>
    </row>
    <row r="1281" spans="1:5" ht="60">
      <c r="A1281" s="261">
        <v>1442</v>
      </c>
      <c r="B1281" s="261" t="s">
        <v>5569</v>
      </c>
      <c r="C1281" s="261" t="s">
        <v>3240</v>
      </c>
      <c r="D1281" s="265" t="s">
        <v>19367</v>
      </c>
      <c r="E1281" s="262" t="s">
        <v>8987</v>
      </c>
    </row>
    <row r="1282" spans="1:5" ht="60">
      <c r="A1282" s="261">
        <v>13457</v>
      </c>
      <c r="B1282" s="261" t="s">
        <v>5570</v>
      </c>
      <c r="C1282" s="261" t="s">
        <v>3240</v>
      </c>
      <c r="D1282" s="265" t="s">
        <v>19368</v>
      </c>
      <c r="E1282" s="262" t="s">
        <v>8987</v>
      </c>
    </row>
    <row r="1283" spans="1:5" ht="75">
      <c r="A1283" s="261">
        <v>40699</v>
      </c>
      <c r="B1283" s="261" t="s">
        <v>5571</v>
      </c>
      <c r="C1283" s="261" t="s">
        <v>3240</v>
      </c>
      <c r="D1283" s="265" t="s">
        <v>19369</v>
      </c>
      <c r="E1283" s="262" t="s">
        <v>8987</v>
      </c>
    </row>
    <row r="1284" spans="1:5" ht="75">
      <c r="A1284" s="261">
        <v>40701</v>
      </c>
      <c r="B1284" s="261" t="s">
        <v>5572</v>
      </c>
      <c r="C1284" s="261" t="s">
        <v>3240</v>
      </c>
      <c r="D1284" s="265" t="s">
        <v>19370</v>
      </c>
      <c r="E1284" s="262" t="s">
        <v>8987</v>
      </c>
    </row>
    <row r="1285" spans="1:5" ht="75">
      <c r="A1285" s="261">
        <v>40700</v>
      </c>
      <c r="B1285" s="261" t="s">
        <v>5573</v>
      </c>
      <c r="C1285" s="261" t="s">
        <v>3240</v>
      </c>
      <c r="D1285" s="265" t="s">
        <v>19371</v>
      </c>
      <c r="E1285" s="262" t="s">
        <v>8987</v>
      </c>
    </row>
    <row r="1286" spans="1:5" ht="30">
      <c r="A1286" s="261">
        <v>13458</v>
      </c>
      <c r="B1286" s="261" t="s">
        <v>5574</v>
      </c>
      <c r="C1286" s="261" t="s">
        <v>3240</v>
      </c>
      <c r="D1286" s="265" t="s">
        <v>19372</v>
      </c>
      <c r="E1286" s="262" t="s">
        <v>8987</v>
      </c>
    </row>
    <row r="1287" spans="1:5" ht="30">
      <c r="A1287" s="261">
        <v>36524</v>
      </c>
      <c r="B1287" s="261" t="s">
        <v>5575</v>
      </c>
      <c r="C1287" s="261" t="s">
        <v>3240</v>
      </c>
      <c r="D1287" s="265" t="s">
        <v>19373</v>
      </c>
      <c r="E1287" s="262" t="s">
        <v>8987</v>
      </c>
    </row>
    <row r="1288" spans="1:5" ht="30">
      <c r="A1288" s="261">
        <v>36526</v>
      </c>
      <c r="B1288" s="261" t="s">
        <v>5576</v>
      </c>
      <c r="C1288" s="261" t="s">
        <v>3240</v>
      </c>
      <c r="D1288" s="265" t="s">
        <v>19374</v>
      </c>
      <c r="E1288" s="262" t="s">
        <v>8987</v>
      </c>
    </row>
    <row r="1289" spans="1:5" ht="30">
      <c r="A1289" s="261">
        <v>36523</v>
      </c>
      <c r="B1289" s="261" t="s">
        <v>5577</v>
      </c>
      <c r="C1289" s="261" t="s">
        <v>3240</v>
      </c>
      <c r="D1289" s="265" t="s">
        <v>19375</v>
      </c>
      <c r="E1289" s="262" t="s">
        <v>8987</v>
      </c>
    </row>
    <row r="1290" spans="1:5" ht="30">
      <c r="A1290" s="261">
        <v>36527</v>
      </c>
      <c r="B1290" s="261" t="s">
        <v>5578</v>
      </c>
      <c r="C1290" s="261" t="s">
        <v>3240</v>
      </c>
      <c r="D1290" s="265" t="s">
        <v>19376</v>
      </c>
      <c r="E1290" s="262" t="s">
        <v>8987</v>
      </c>
    </row>
    <row r="1291" spans="1:5" ht="30">
      <c r="A1291" s="261">
        <v>13803</v>
      </c>
      <c r="B1291" s="261" t="s">
        <v>5579</v>
      </c>
      <c r="C1291" s="261" t="s">
        <v>3240</v>
      </c>
      <c r="D1291" s="265" t="s">
        <v>19377</v>
      </c>
      <c r="E1291" s="262" t="s">
        <v>8987</v>
      </c>
    </row>
    <row r="1292" spans="1:5" ht="30">
      <c r="A1292" s="261">
        <v>38642</v>
      </c>
      <c r="B1292" s="261" t="s">
        <v>5580</v>
      </c>
      <c r="C1292" s="261" t="s">
        <v>3240</v>
      </c>
      <c r="D1292" s="265" t="s">
        <v>19378</v>
      </c>
      <c r="E1292" s="262" t="s">
        <v>8987</v>
      </c>
    </row>
    <row r="1293" spans="1:5" ht="30">
      <c r="A1293" s="261">
        <v>36522</v>
      </c>
      <c r="B1293" s="261" t="s">
        <v>5581</v>
      </c>
      <c r="C1293" s="261" t="s">
        <v>3240</v>
      </c>
      <c r="D1293" s="265" t="s">
        <v>19379</v>
      </c>
      <c r="E1293" s="262" t="s">
        <v>8987</v>
      </c>
    </row>
    <row r="1294" spans="1:5" ht="30">
      <c r="A1294" s="261">
        <v>36525</v>
      </c>
      <c r="B1294" s="261" t="s">
        <v>5582</v>
      </c>
      <c r="C1294" s="261" t="s">
        <v>3240</v>
      </c>
      <c r="D1294" s="265" t="s">
        <v>19380</v>
      </c>
      <c r="E1294" s="262" t="s">
        <v>8987</v>
      </c>
    </row>
    <row r="1295" spans="1:5" ht="30">
      <c r="A1295" s="261">
        <v>34348</v>
      </c>
      <c r="B1295" s="261" t="s">
        <v>5583</v>
      </c>
      <c r="C1295" s="261" t="s">
        <v>3243</v>
      </c>
      <c r="D1295" s="265" t="s">
        <v>12460</v>
      </c>
      <c r="E1295" s="262" t="s">
        <v>207</v>
      </c>
    </row>
    <row r="1296" spans="1:5" ht="30">
      <c r="A1296" s="261">
        <v>34347</v>
      </c>
      <c r="B1296" s="261" t="s">
        <v>5584</v>
      </c>
      <c r="C1296" s="261" t="s">
        <v>3243</v>
      </c>
      <c r="D1296" s="265" t="s">
        <v>16531</v>
      </c>
      <c r="E1296" s="262" t="s">
        <v>207</v>
      </c>
    </row>
    <row r="1297" spans="1:5" ht="30">
      <c r="A1297" s="261">
        <v>11146</v>
      </c>
      <c r="B1297" s="261" t="s">
        <v>5585</v>
      </c>
      <c r="C1297" s="261" t="s">
        <v>3241</v>
      </c>
      <c r="D1297" s="265" t="s">
        <v>19381</v>
      </c>
      <c r="E1297" s="262" t="s">
        <v>207</v>
      </c>
    </row>
    <row r="1298" spans="1:5" ht="30">
      <c r="A1298" s="261">
        <v>11147</v>
      </c>
      <c r="B1298" s="261" t="s">
        <v>5586</v>
      </c>
      <c r="C1298" s="261" t="s">
        <v>3241</v>
      </c>
      <c r="D1298" s="265" t="s">
        <v>19382</v>
      </c>
      <c r="E1298" s="262" t="s">
        <v>207</v>
      </c>
    </row>
    <row r="1299" spans="1:5" ht="30">
      <c r="A1299" s="261">
        <v>34872</v>
      </c>
      <c r="B1299" s="261" t="s">
        <v>5587</v>
      </c>
      <c r="C1299" s="261" t="s">
        <v>3241</v>
      </c>
      <c r="D1299" s="265" t="s">
        <v>19383</v>
      </c>
      <c r="E1299" s="262" t="s">
        <v>207</v>
      </c>
    </row>
    <row r="1300" spans="1:5" ht="30">
      <c r="A1300" s="261">
        <v>34491</v>
      </c>
      <c r="B1300" s="261" t="s">
        <v>5588</v>
      </c>
      <c r="C1300" s="261" t="s">
        <v>3241</v>
      </c>
      <c r="D1300" s="265" t="s">
        <v>19384</v>
      </c>
      <c r="E1300" s="262" t="s">
        <v>207</v>
      </c>
    </row>
    <row r="1301" spans="1:5" ht="30">
      <c r="A1301" s="261">
        <v>34770</v>
      </c>
      <c r="B1301" s="261" t="s">
        <v>5589</v>
      </c>
      <c r="C1301" s="261" t="s">
        <v>3251</v>
      </c>
      <c r="D1301" s="265" t="s">
        <v>19385</v>
      </c>
      <c r="E1301" s="262" t="s">
        <v>207</v>
      </c>
    </row>
    <row r="1302" spans="1:5" ht="30">
      <c r="A1302" s="261">
        <v>1518</v>
      </c>
      <c r="B1302" s="261" t="s">
        <v>5590</v>
      </c>
      <c r="C1302" s="261" t="s">
        <v>3251</v>
      </c>
      <c r="D1302" s="265" t="s">
        <v>19386</v>
      </c>
      <c r="E1302" s="262" t="s">
        <v>207</v>
      </c>
    </row>
    <row r="1303" spans="1:5" ht="30">
      <c r="A1303" s="261">
        <v>41965</v>
      </c>
      <c r="B1303" s="261" t="s">
        <v>5591</v>
      </c>
      <c r="C1303" s="261" t="s">
        <v>3251</v>
      </c>
      <c r="D1303" s="265" t="s">
        <v>19387</v>
      </c>
      <c r="E1303" s="262" t="s">
        <v>207</v>
      </c>
    </row>
    <row r="1304" spans="1:5" ht="30">
      <c r="A1304" s="261">
        <v>34492</v>
      </c>
      <c r="B1304" s="261" t="s">
        <v>5592</v>
      </c>
      <c r="C1304" s="261" t="s">
        <v>3241</v>
      </c>
      <c r="D1304" s="265" t="s">
        <v>19388</v>
      </c>
      <c r="E1304" s="262" t="s">
        <v>207</v>
      </c>
    </row>
    <row r="1305" spans="1:5" ht="30">
      <c r="A1305" s="261">
        <v>1524</v>
      </c>
      <c r="B1305" s="261" t="s">
        <v>5593</v>
      </c>
      <c r="C1305" s="261" t="s">
        <v>3241</v>
      </c>
      <c r="D1305" s="265" t="s">
        <v>19389</v>
      </c>
      <c r="E1305" s="262" t="s">
        <v>207</v>
      </c>
    </row>
    <row r="1306" spans="1:5" ht="30">
      <c r="A1306" s="261">
        <v>38404</v>
      </c>
      <c r="B1306" s="261" t="s">
        <v>5594</v>
      </c>
      <c r="C1306" s="261" t="s">
        <v>3241</v>
      </c>
      <c r="D1306" s="265" t="s">
        <v>19390</v>
      </c>
      <c r="E1306" s="262" t="s">
        <v>207</v>
      </c>
    </row>
    <row r="1307" spans="1:5" ht="30">
      <c r="A1307" s="261">
        <v>39849</v>
      </c>
      <c r="B1307" s="261" t="s">
        <v>5595</v>
      </c>
      <c r="C1307" s="261" t="s">
        <v>3241</v>
      </c>
      <c r="D1307" s="265" t="s">
        <v>19391</v>
      </c>
      <c r="E1307" s="262" t="s">
        <v>207</v>
      </c>
    </row>
    <row r="1308" spans="1:5" ht="30">
      <c r="A1308" s="261">
        <v>38464</v>
      </c>
      <c r="B1308" s="261" t="s">
        <v>5596</v>
      </c>
      <c r="C1308" s="261" t="s">
        <v>3241</v>
      </c>
      <c r="D1308" s="265" t="s">
        <v>19392</v>
      </c>
      <c r="E1308" s="262" t="s">
        <v>207</v>
      </c>
    </row>
    <row r="1309" spans="1:5" ht="30">
      <c r="A1309" s="261">
        <v>34493</v>
      </c>
      <c r="B1309" s="261" t="s">
        <v>5597</v>
      </c>
      <c r="C1309" s="261" t="s">
        <v>3241</v>
      </c>
      <c r="D1309" s="265" t="s">
        <v>19393</v>
      </c>
      <c r="E1309" s="262" t="s">
        <v>207</v>
      </c>
    </row>
    <row r="1310" spans="1:5" ht="30">
      <c r="A1310" s="261">
        <v>1527</v>
      </c>
      <c r="B1310" s="261" t="s">
        <v>5598</v>
      </c>
      <c r="C1310" s="261" t="s">
        <v>3241</v>
      </c>
      <c r="D1310" s="265" t="s">
        <v>19394</v>
      </c>
      <c r="E1310" s="262" t="s">
        <v>207</v>
      </c>
    </row>
    <row r="1311" spans="1:5" ht="30">
      <c r="A1311" s="261">
        <v>38405</v>
      </c>
      <c r="B1311" s="261" t="s">
        <v>5599</v>
      </c>
      <c r="C1311" s="261" t="s">
        <v>3241</v>
      </c>
      <c r="D1311" s="265" t="s">
        <v>19395</v>
      </c>
      <c r="E1311" s="262" t="s">
        <v>207</v>
      </c>
    </row>
    <row r="1312" spans="1:5" ht="30">
      <c r="A1312" s="261">
        <v>38408</v>
      </c>
      <c r="B1312" s="261" t="s">
        <v>5600</v>
      </c>
      <c r="C1312" s="261" t="s">
        <v>3241</v>
      </c>
      <c r="D1312" s="265" t="s">
        <v>19396</v>
      </c>
      <c r="E1312" s="262" t="s">
        <v>207</v>
      </c>
    </row>
    <row r="1313" spans="1:5" ht="30">
      <c r="A1313" s="261">
        <v>34494</v>
      </c>
      <c r="B1313" s="261" t="s">
        <v>5601</v>
      </c>
      <c r="C1313" s="261" t="s">
        <v>3241</v>
      </c>
      <c r="D1313" s="265" t="s">
        <v>19397</v>
      </c>
      <c r="E1313" s="262" t="s">
        <v>207</v>
      </c>
    </row>
    <row r="1314" spans="1:5" ht="30">
      <c r="A1314" s="261">
        <v>1525</v>
      </c>
      <c r="B1314" s="261" t="s">
        <v>5602</v>
      </c>
      <c r="C1314" s="261" t="s">
        <v>3241</v>
      </c>
      <c r="D1314" s="265" t="s">
        <v>19398</v>
      </c>
      <c r="E1314" s="262" t="s">
        <v>207</v>
      </c>
    </row>
    <row r="1315" spans="1:5" ht="30">
      <c r="A1315" s="261">
        <v>38406</v>
      </c>
      <c r="B1315" s="261" t="s">
        <v>5603</v>
      </c>
      <c r="C1315" s="261" t="s">
        <v>3241</v>
      </c>
      <c r="D1315" s="265" t="s">
        <v>19399</v>
      </c>
      <c r="E1315" s="262" t="s">
        <v>207</v>
      </c>
    </row>
    <row r="1316" spans="1:5" ht="30">
      <c r="A1316" s="261">
        <v>38409</v>
      </c>
      <c r="B1316" s="261" t="s">
        <v>5604</v>
      </c>
      <c r="C1316" s="261" t="s">
        <v>3241</v>
      </c>
      <c r="D1316" s="265" t="s">
        <v>19400</v>
      </c>
      <c r="E1316" s="262" t="s">
        <v>207</v>
      </c>
    </row>
    <row r="1317" spans="1:5" ht="30">
      <c r="A1317" s="261">
        <v>43360</v>
      </c>
      <c r="B1317" s="261" t="s">
        <v>11754</v>
      </c>
      <c r="C1317" s="261" t="s">
        <v>3241</v>
      </c>
      <c r="D1317" s="265" t="s">
        <v>19401</v>
      </c>
      <c r="E1317" s="262" t="s">
        <v>207</v>
      </c>
    </row>
    <row r="1318" spans="1:5" ht="30">
      <c r="A1318" s="261">
        <v>34495</v>
      </c>
      <c r="B1318" s="261" t="s">
        <v>5605</v>
      </c>
      <c r="C1318" s="261" t="s">
        <v>3241</v>
      </c>
      <c r="D1318" s="265" t="s">
        <v>19402</v>
      </c>
      <c r="E1318" s="262" t="s">
        <v>207</v>
      </c>
    </row>
    <row r="1319" spans="1:5" ht="30">
      <c r="A1319" s="261">
        <v>11145</v>
      </c>
      <c r="B1319" s="261" t="s">
        <v>5606</v>
      </c>
      <c r="C1319" s="261" t="s">
        <v>3241</v>
      </c>
      <c r="D1319" s="265" t="s">
        <v>19383</v>
      </c>
      <c r="E1319" s="262" t="s">
        <v>207</v>
      </c>
    </row>
    <row r="1320" spans="1:5" ht="30">
      <c r="A1320" s="261">
        <v>34496</v>
      </c>
      <c r="B1320" s="261" t="s">
        <v>5607</v>
      </c>
      <c r="C1320" s="261" t="s">
        <v>3241</v>
      </c>
      <c r="D1320" s="265" t="s">
        <v>19403</v>
      </c>
      <c r="E1320" s="262" t="s">
        <v>207</v>
      </c>
    </row>
    <row r="1321" spans="1:5" ht="30">
      <c r="A1321" s="261">
        <v>34479</v>
      </c>
      <c r="B1321" s="261" t="s">
        <v>5608</v>
      </c>
      <c r="C1321" s="261" t="s">
        <v>3241</v>
      </c>
      <c r="D1321" s="265" t="s">
        <v>19384</v>
      </c>
      <c r="E1321" s="262" t="s">
        <v>207</v>
      </c>
    </row>
    <row r="1322" spans="1:5" ht="30">
      <c r="A1322" s="261">
        <v>34481</v>
      </c>
      <c r="B1322" s="261" t="s">
        <v>5609</v>
      </c>
      <c r="C1322" s="261" t="s">
        <v>3241</v>
      </c>
      <c r="D1322" s="265" t="s">
        <v>19404</v>
      </c>
      <c r="E1322" s="262" t="s">
        <v>207</v>
      </c>
    </row>
    <row r="1323" spans="1:5" ht="30">
      <c r="A1323" s="261">
        <v>34483</v>
      </c>
      <c r="B1323" s="261" t="s">
        <v>5610</v>
      </c>
      <c r="C1323" s="261" t="s">
        <v>3241</v>
      </c>
      <c r="D1323" s="265" t="s">
        <v>19405</v>
      </c>
      <c r="E1323" s="262" t="s">
        <v>207</v>
      </c>
    </row>
    <row r="1324" spans="1:5" ht="30">
      <c r="A1324" s="261">
        <v>34485</v>
      </c>
      <c r="B1324" s="261" t="s">
        <v>5611</v>
      </c>
      <c r="C1324" s="261" t="s">
        <v>3241</v>
      </c>
      <c r="D1324" s="265" t="s">
        <v>19406</v>
      </c>
      <c r="E1324" s="262" t="s">
        <v>207</v>
      </c>
    </row>
    <row r="1325" spans="1:5" ht="30">
      <c r="A1325" s="261">
        <v>14041</v>
      </c>
      <c r="B1325" s="261" t="s">
        <v>5612</v>
      </c>
      <c r="C1325" s="261" t="s">
        <v>3241</v>
      </c>
      <c r="D1325" s="265" t="s">
        <v>19407</v>
      </c>
      <c r="E1325" s="262" t="s">
        <v>207</v>
      </c>
    </row>
    <row r="1326" spans="1:5" ht="30">
      <c r="A1326" s="261">
        <v>1523</v>
      </c>
      <c r="B1326" s="261" t="s">
        <v>5613</v>
      </c>
      <c r="C1326" s="261" t="s">
        <v>3241</v>
      </c>
      <c r="D1326" s="265" t="s">
        <v>19408</v>
      </c>
      <c r="E1326" s="262" t="s">
        <v>207</v>
      </c>
    </row>
    <row r="1327" spans="1:5" ht="30">
      <c r="A1327" s="261">
        <v>14052</v>
      </c>
      <c r="B1327" s="261" t="s">
        <v>5614</v>
      </c>
      <c r="C1327" s="261" t="s">
        <v>3240</v>
      </c>
      <c r="D1327" s="265" t="s">
        <v>10197</v>
      </c>
      <c r="E1327" s="262" t="s">
        <v>207</v>
      </c>
    </row>
    <row r="1328" spans="1:5" ht="30">
      <c r="A1328" s="261">
        <v>14054</v>
      </c>
      <c r="B1328" s="261" t="s">
        <v>5615</v>
      </c>
      <c r="C1328" s="261" t="s">
        <v>3240</v>
      </c>
      <c r="D1328" s="265" t="s">
        <v>19409</v>
      </c>
      <c r="E1328" s="262" t="s">
        <v>207</v>
      </c>
    </row>
    <row r="1329" spans="1:5" ht="30">
      <c r="A1329" s="261">
        <v>14053</v>
      </c>
      <c r="B1329" s="261" t="s">
        <v>5616</v>
      </c>
      <c r="C1329" s="261" t="s">
        <v>3240</v>
      </c>
      <c r="D1329" s="265" t="s">
        <v>16402</v>
      </c>
      <c r="E1329" s="262" t="s">
        <v>207</v>
      </c>
    </row>
    <row r="1330" spans="1:5" ht="30">
      <c r="A1330" s="261">
        <v>2558</v>
      </c>
      <c r="B1330" s="261" t="s">
        <v>5617</v>
      </c>
      <c r="C1330" s="261" t="s">
        <v>3240</v>
      </c>
      <c r="D1330" s="265" t="s">
        <v>16037</v>
      </c>
      <c r="E1330" s="262" t="s">
        <v>207</v>
      </c>
    </row>
    <row r="1331" spans="1:5" ht="30">
      <c r="A1331" s="261">
        <v>2560</v>
      </c>
      <c r="B1331" s="261" t="s">
        <v>5618</v>
      </c>
      <c r="C1331" s="261" t="s">
        <v>3240</v>
      </c>
      <c r="D1331" s="265" t="s">
        <v>19410</v>
      </c>
      <c r="E1331" s="262" t="s">
        <v>207</v>
      </c>
    </row>
    <row r="1332" spans="1:5" ht="30">
      <c r="A1332" s="261">
        <v>2559</v>
      </c>
      <c r="B1332" s="261" t="s">
        <v>5619</v>
      </c>
      <c r="C1332" s="261" t="s">
        <v>3240</v>
      </c>
      <c r="D1332" s="265" t="s">
        <v>11040</v>
      </c>
      <c r="E1332" s="262" t="s">
        <v>207</v>
      </c>
    </row>
    <row r="1333" spans="1:5" ht="30">
      <c r="A1333" s="261">
        <v>2592</v>
      </c>
      <c r="B1333" s="261" t="s">
        <v>5620</v>
      </c>
      <c r="C1333" s="261" t="s">
        <v>3240</v>
      </c>
      <c r="D1333" s="265" t="s">
        <v>19411</v>
      </c>
      <c r="E1333" s="262" t="s">
        <v>207</v>
      </c>
    </row>
    <row r="1334" spans="1:5" ht="30">
      <c r="A1334" s="261">
        <v>2566</v>
      </c>
      <c r="B1334" s="261" t="s">
        <v>5621</v>
      </c>
      <c r="C1334" s="261" t="s">
        <v>3240</v>
      </c>
      <c r="D1334" s="265" t="s">
        <v>10077</v>
      </c>
      <c r="E1334" s="262" t="s">
        <v>207</v>
      </c>
    </row>
    <row r="1335" spans="1:5" ht="30">
      <c r="A1335" s="261">
        <v>2589</v>
      </c>
      <c r="B1335" s="261" t="s">
        <v>5622</v>
      </c>
      <c r="C1335" s="261" t="s">
        <v>3240</v>
      </c>
      <c r="D1335" s="265" t="s">
        <v>11277</v>
      </c>
      <c r="E1335" s="262" t="s">
        <v>207</v>
      </c>
    </row>
    <row r="1336" spans="1:5" ht="30">
      <c r="A1336" s="261">
        <v>2591</v>
      </c>
      <c r="B1336" s="261" t="s">
        <v>5623</v>
      </c>
      <c r="C1336" s="261" t="s">
        <v>3240</v>
      </c>
      <c r="D1336" s="265" t="s">
        <v>18795</v>
      </c>
      <c r="E1336" s="262" t="s">
        <v>207</v>
      </c>
    </row>
    <row r="1337" spans="1:5" ht="30">
      <c r="A1337" s="261">
        <v>2590</v>
      </c>
      <c r="B1337" s="261" t="s">
        <v>5624</v>
      </c>
      <c r="C1337" s="261" t="s">
        <v>3240</v>
      </c>
      <c r="D1337" s="265" t="s">
        <v>10505</v>
      </c>
      <c r="E1337" s="262" t="s">
        <v>207</v>
      </c>
    </row>
    <row r="1338" spans="1:5" ht="30">
      <c r="A1338" s="261">
        <v>2567</v>
      </c>
      <c r="B1338" s="261" t="s">
        <v>5625</v>
      </c>
      <c r="C1338" s="261" t="s">
        <v>3240</v>
      </c>
      <c r="D1338" s="265" t="s">
        <v>16286</v>
      </c>
      <c r="E1338" s="262" t="s">
        <v>207</v>
      </c>
    </row>
    <row r="1339" spans="1:5" ht="30">
      <c r="A1339" s="261">
        <v>2565</v>
      </c>
      <c r="B1339" s="261" t="s">
        <v>5626</v>
      </c>
      <c r="C1339" s="261" t="s">
        <v>3240</v>
      </c>
      <c r="D1339" s="265" t="s">
        <v>19412</v>
      </c>
      <c r="E1339" s="262" t="s">
        <v>207</v>
      </c>
    </row>
    <row r="1340" spans="1:5" ht="30">
      <c r="A1340" s="261">
        <v>2568</v>
      </c>
      <c r="B1340" s="261" t="s">
        <v>5627</v>
      </c>
      <c r="C1340" s="261" t="s">
        <v>3240</v>
      </c>
      <c r="D1340" s="265" t="s">
        <v>19413</v>
      </c>
      <c r="E1340" s="262" t="s">
        <v>207</v>
      </c>
    </row>
    <row r="1341" spans="1:5" ht="30">
      <c r="A1341" s="261">
        <v>2594</v>
      </c>
      <c r="B1341" s="261" t="s">
        <v>5628</v>
      </c>
      <c r="C1341" s="261" t="s">
        <v>3240</v>
      </c>
      <c r="D1341" s="265" t="s">
        <v>19414</v>
      </c>
      <c r="E1341" s="262" t="s">
        <v>207</v>
      </c>
    </row>
    <row r="1342" spans="1:5" ht="30">
      <c r="A1342" s="261">
        <v>2587</v>
      </c>
      <c r="B1342" s="261" t="s">
        <v>5629</v>
      </c>
      <c r="C1342" s="261" t="s">
        <v>3240</v>
      </c>
      <c r="D1342" s="265" t="s">
        <v>10184</v>
      </c>
      <c r="E1342" s="262" t="s">
        <v>207</v>
      </c>
    </row>
    <row r="1343" spans="1:5" ht="30">
      <c r="A1343" s="261">
        <v>2588</v>
      </c>
      <c r="B1343" s="261" t="s">
        <v>5630</v>
      </c>
      <c r="C1343" s="261" t="s">
        <v>3240</v>
      </c>
      <c r="D1343" s="265" t="s">
        <v>19415</v>
      </c>
      <c r="E1343" s="262" t="s">
        <v>207</v>
      </c>
    </row>
    <row r="1344" spans="1:5" ht="30">
      <c r="A1344" s="261">
        <v>2569</v>
      </c>
      <c r="B1344" s="261" t="s">
        <v>5631</v>
      </c>
      <c r="C1344" s="261" t="s">
        <v>3240</v>
      </c>
      <c r="D1344" s="265" t="s">
        <v>11038</v>
      </c>
      <c r="E1344" s="262" t="s">
        <v>207</v>
      </c>
    </row>
    <row r="1345" spans="1:5" ht="30">
      <c r="A1345" s="261">
        <v>2570</v>
      </c>
      <c r="B1345" s="261" t="s">
        <v>5632</v>
      </c>
      <c r="C1345" s="261" t="s">
        <v>3240</v>
      </c>
      <c r="D1345" s="265" t="s">
        <v>9745</v>
      </c>
      <c r="E1345" s="262" t="s">
        <v>207</v>
      </c>
    </row>
    <row r="1346" spans="1:5" ht="30">
      <c r="A1346" s="261">
        <v>2571</v>
      </c>
      <c r="B1346" s="261" t="s">
        <v>5633</v>
      </c>
      <c r="C1346" s="261" t="s">
        <v>3240</v>
      </c>
      <c r="D1346" s="265" t="s">
        <v>19416</v>
      </c>
      <c r="E1346" s="262" t="s">
        <v>207</v>
      </c>
    </row>
    <row r="1347" spans="1:5" ht="30">
      <c r="A1347" s="261">
        <v>2593</v>
      </c>
      <c r="B1347" s="261" t="s">
        <v>5634</v>
      </c>
      <c r="C1347" s="261" t="s">
        <v>3240</v>
      </c>
      <c r="D1347" s="265" t="s">
        <v>12197</v>
      </c>
      <c r="E1347" s="262" t="s">
        <v>207</v>
      </c>
    </row>
    <row r="1348" spans="1:5" ht="30">
      <c r="A1348" s="261">
        <v>2572</v>
      </c>
      <c r="B1348" s="261" t="s">
        <v>5635</v>
      </c>
      <c r="C1348" s="261" t="s">
        <v>3240</v>
      </c>
      <c r="D1348" s="265" t="s">
        <v>19417</v>
      </c>
      <c r="E1348" s="262" t="s">
        <v>207</v>
      </c>
    </row>
    <row r="1349" spans="1:5" ht="30">
      <c r="A1349" s="261">
        <v>2595</v>
      </c>
      <c r="B1349" s="261" t="s">
        <v>5636</v>
      </c>
      <c r="C1349" s="261" t="s">
        <v>3240</v>
      </c>
      <c r="D1349" s="265" t="s">
        <v>19418</v>
      </c>
      <c r="E1349" s="262" t="s">
        <v>207</v>
      </c>
    </row>
    <row r="1350" spans="1:5" ht="30">
      <c r="A1350" s="261">
        <v>2576</v>
      </c>
      <c r="B1350" s="261" t="s">
        <v>5637</v>
      </c>
      <c r="C1350" s="261" t="s">
        <v>3240</v>
      </c>
      <c r="D1350" s="265" t="s">
        <v>19419</v>
      </c>
      <c r="E1350" s="262" t="s">
        <v>207</v>
      </c>
    </row>
    <row r="1351" spans="1:5" ht="30">
      <c r="A1351" s="261">
        <v>2575</v>
      </c>
      <c r="B1351" s="261" t="s">
        <v>5638</v>
      </c>
      <c r="C1351" s="261" t="s">
        <v>3240</v>
      </c>
      <c r="D1351" s="265" t="s">
        <v>19420</v>
      </c>
      <c r="E1351" s="262" t="s">
        <v>207</v>
      </c>
    </row>
    <row r="1352" spans="1:5" ht="30">
      <c r="A1352" s="261">
        <v>2573</v>
      </c>
      <c r="B1352" s="261" t="s">
        <v>5639</v>
      </c>
      <c r="C1352" s="261" t="s">
        <v>3240</v>
      </c>
      <c r="D1352" s="265" t="s">
        <v>19421</v>
      </c>
      <c r="E1352" s="262" t="s">
        <v>207</v>
      </c>
    </row>
    <row r="1353" spans="1:5" ht="30">
      <c r="A1353" s="261">
        <v>2586</v>
      </c>
      <c r="B1353" s="261" t="s">
        <v>5640</v>
      </c>
      <c r="C1353" s="261" t="s">
        <v>3240</v>
      </c>
      <c r="D1353" s="265" t="s">
        <v>10322</v>
      </c>
      <c r="E1353" s="262" t="s">
        <v>207</v>
      </c>
    </row>
    <row r="1354" spans="1:5" ht="30">
      <c r="A1354" s="261">
        <v>2577</v>
      </c>
      <c r="B1354" s="261" t="s">
        <v>5641</v>
      </c>
      <c r="C1354" s="261" t="s">
        <v>3240</v>
      </c>
      <c r="D1354" s="265" t="s">
        <v>11282</v>
      </c>
      <c r="E1354" s="262" t="s">
        <v>207</v>
      </c>
    </row>
    <row r="1355" spans="1:5" ht="30">
      <c r="A1355" s="261">
        <v>2574</v>
      </c>
      <c r="B1355" s="261" t="s">
        <v>5642</v>
      </c>
      <c r="C1355" s="261" t="s">
        <v>3240</v>
      </c>
      <c r="D1355" s="265" t="s">
        <v>10789</v>
      </c>
      <c r="E1355" s="262" t="s">
        <v>207</v>
      </c>
    </row>
    <row r="1356" spans="1:5" ht="30">
      <c r="A1356" s="261">
        <v>2578</v>
      </c>
      <c r="B1356" s="261" t="s">
        <v>5643</v>
      </c>
      <c r="C1356" s="261" t="s">
        <v>3240</v>
      </c>
      <c r="D1356" s="265" t="s">
        <v>19422</v>
      </c>
      <c r="E1356" s="262" t="s">
        <v>207</v>
      </c>
    </row>
    <row r="1357" spans="1:5" ht="30">
      <c r="A1357" s="261">
        <v>2585</v>
      </c>
      <c r="B1357" s="261" t="s">
        <v>5644</v>
      </c>
      <c r="C1357" s="261" t="s">
        <v>3240</v>
      </c>
      <c r="D1357" s="265" t="s">
        <v>19423</v>
      </c>
      <c r="E1357" s="262" t="s">
        <v>207</v>
      </c>
    </row>
    <row r="1358" spans="1:5" ht="30">
      <c r="A1358" s="261">
        <v>12008</v>
      </c>
      <c r="B1358" s="261" t="s">
        <v>5645</v>
      </c>
      <c r="C1358" s="261" t="s">
        <v>3240</v>
      </c>
      <c r="D1358" s="265" t="s">
        <v>19424</v>
      </c>
      <c r="E1358" s="262" t="s">
        <v>207</v>
      </c>
    </row>
    <row r="1359" spans="1:5" ht="30">
      <c r="A1359" s="261">
        <v>2582</v>
      </c>
      <c r="B1359" s="261" t="s">
        <v>5646</v>
      </c>
      <c r="C1359" s="261" t="s">
        <v>3240</v>
      </c>
      <c r="D1359" s="265" t="s">
        <v>19425</v>
      </c>
      <c r="E1359" s="262" t="s">
        <v>207</v>
      </c>
    </row>
    <row r="1360" spans="1:5" ht="30">
      <c r="A1360" s="261">
        <v>2597</v>
      </c>
      <c r="B1360" s="261" t="s">
        <v>5647</v>
      </c>
      <c r="C1360" s="261" t="s">
        <v>3240</v>
      </c>
      <c r="D1360" s="265" t="s">
        <v>10186</v>
      </c>
      <c r="E1360" s="262" t="s">
        <v>207</v>
      </c>
    </row>
    <row r="1361" spans="1:5" ht="30">
      <c r="A1361" s="261">
        <v>2579</v>
      </c>
      <c r="B1361" s="261" t="s">
        <v>5648</v>
      </c>
      <c r="C1361" s="261" t="s">
        <v>3240</v>
      </c>
      <c r="D1361" s="265" t="s">
        <v>10509</v>
      </c>
      <c r="E1361" s="262" t="s">
        <v>207</v>
      </c>
    </row>
    <row r="1362" spans="1:5" ht="30">
      <c r="A1362" s="261">
        <v>2581</v>
      </c>
      <c r="B1362" s="261" t="s">
        <v>5649</v>
      </c>
      <c r="C1362" s="261" t="s">
        <v>3240</v>
      </c>
      <c r="D1362" s="265" t="s">
        <v>10288</v>
      </c>
      <c r="E1362" s="262" t="s">
        <v>207</v>
      </c>
    </row>
    <row r="1363" spans="1:5" ht="30">
      <c r="A1363" s="261">
        <v>2596</v>
      </c>
      <c r="B1363" s="261" t="s">
        <v>5650</v>
      </c>
      <c r="C1363" s="261" t="s">
        <v>3240</v>
      </c>
      <c r="D1363" s="265" t="s">
        <v>12411</v>
      </c>
      <c r="E1363" s="262" t="s">
        <v>207</v>
      </c>
    </row>
    <row r="1364" spans="1:5" ht="30">
      <c r="A1364" s="261">
        <v>2580</v>
      </c>
      <c r="B1364" s="261" t="s">
        <v>5651</v>
      </c>
      <c r="C1364" s="261" t="s">
        <v>3240</v>
      </c>
      <c r="D1364" s="265" t="s">
        <v>16691</v>
      </c>
      <c r="E1364" s="262" t="s">
        <v>207</v>
      </c>
    </row>
    <row r="1365" spans="1:5" ht="30">
      <c r="A1365" s="261">
        <v>2583</v>
      </c>
      <c r="B1365" s="261" t="s">
        <v>5652</v>
      </c>
      <c r="C1365" s="261" t="s">
        <v>3240</v>
      </c>
      <c r="D1365" s="265" t="s">
        <v>16417</v>
      </c>
      <c r="E1365" s="262" t="s">
        <v>207</v>
      </c>
    </row>
    <row r="1366" spans="1:5" ht="30">
      <c r="A1366" s="261">
        <v>2584</v>
      </c>
      <c r="B1366" s="261" t="s">
        <v>5653</v>
      </c>
      <c r="C1366" s="261" t="s">
        <v>3240</v>
      </c>
      <c r="D1366" s="265" t="s">
        <v>19426</v>
      </c>
      <c r="E1366" s="262" t="s">
        <v>207</v>
      </c>
    </row>
    <row r="1367" spans="1:5" ht="15">
      <c r="A1367" s="261">
        <v>12010</v>
      </c>
      <c r="B1367" s="261" t="s">
        <v>5654</v>
      </c>
      <c r="C1367" s="261" t="s">
        <v>3240</v>
      </c>
      <c r="D1367" s="265" t="s">
        <v>19427</v>
      </c>
      <c r="E1367" s="262" t="s">
        <v>207</v>
      </c>
    </row>
    <row r="1368" spans="1:5" ht="15">
      <c r="A1368" s="261">
        <v>39329</v>
      </c>
      <c r="B1368" s="261" t="s">
        <v>5655</v>
      </c>
      <c r="C1368" s="261" t="s">
        <v>3240</v>
      </c>
      <c r="D1368" s="265" t="s">
        <v>19428</v>
      </c>
      <c r="E1368" s="262" t="s">
        <v>207</v>
      </c>
    </row>
    <row r="1369" spans="1:5" ht="15">
      <c r="A1369" s="261">
        <v>39330</v>
      </c>
      <c r="B1369" s="261" t="s">
        <v>5656</v>
      </c>
      <c r="C1369" s="261" t="s">
        <v>3240</v>
      </c>
      <c r="D1369" s="265" t="s">
        <v>9963</v>
      </c>
      <c r="E1369" s="262" t="s">
        <v>207</v>
      </c>
    </row>
    <row r="1370" spans="1:5" ht="15">
      <c r="A1370" s="261">
        <v>39332</v>
      </c>
      <c r="B1370" s="261" t="s">
        <v>5657</v>
      </c>
      <c r="C1370" s="261" t="s">
        <v>3240</v>
      </c>
      <c r="D1370" s="265" t="s">
        <v>10504</v>
      </c>
      <c r="E1370" s="262" t="s">
        <v>207</v>
      </c>
    </row>
    <row r="1371" spans="1:5" ht="15">
      <c r="A1371" s="261">
        <v>39331</v>
      </c>
      <c r="B1371" s="261" t="s">
        <v>5658</v>
      </c>
      <c r="C1371" s="261" t="s">
        <v>3240</v>
      </c>
      <c r="D1371" s="265" t="s">
        <v>10514</v>
      </c>
      <c r="E1371" s="262" t="s">
        <v>207</v>
      </c>
    </row>
    <row r="1372" spans="1:5" ht="15">
      <c r="A1372" s="261">
        <v>39333</v>
      </c>
      <c r="B1372" s="261" t="s">
        <v>5659</v>
      </c>
      <c r="C1372" s="261" t="s">
        <v>3240</v>
      </c>
      <c r="D1372" s="265" t="s">
        <v>11317</v>
      </c>
      <c r="E1372" s="262" t="s">
        <v>207</v>
      </c>
    </row>
    <row r="1373" spans="1:5" ht="15">
      <c r="A1373" s="261">
        <v>39335</v>
      </c>
      <c r="B1373" s="261" t="s">
        <v>5660</v>
      </c>
      <c r="C1373" s="261" t="s">
        <v>3240</v>
      </c>
      <c r="D1373" s="265" t="s">
        <v>10332</v>
      </c>
      <c r="E1373" s="262" t="s">
        <v>207</v>
      </c>
    </row>
    <row r="1374" spans="1:5" ht="15">
      <c r="A1374" s="261">
        <v>39334</v>
      </c>
      <c r="B1374" s="261" t="s">
        <v>5661</v>
      </c>
      <c r="C1374" s="261" t="s">
        <v>3240</v>
      </c>
      <c r="D1374" s="265" t="s">
        <v>16657</v>
      </c>
      <c r="E1374" s="262" t="s">
        <v>207</v>
      </c>
    </row>
    <row r="1375" spans="1:5" ht="15">
      <c r="A1375" s="261">
        <v>12016</v>
      </c>
      <c r="B1375" s="261" t="s">
        <v>5662</v>
      </c>
      <c r="C1375" s="261" t="s">
        <v>3240</v>
      </c>
      <c r="D1375" s="265" t="s">
        <v>19429</v>
      </c>
      <c r="E1375" s="262" t="s">
        <v>207</v>
      </c>
    </row>
    <row r="1376" spans="1:5" ht="15">
      <c r="A1376" s="261">
        <v>12015</v>
      </c>
      <c r="B1376" s="261" t="s">
        <v>5663</v>
      </c>
      <c r="C1376" s="261" t="s">
        <v>3240</v>
      </c>
      <c r="D1376" s="265" t="s">
        <v>10457</v>
      </c>
      <c r="E1376" s="262" t="s">
        <v>207</v>
      </c>
    </row>
    <row r="1377" spans="1:5" ht="15">
      <c r="A1377" s="261">
        <v>12020</v>
      </c>
      <c r="B1377" s="261" t="s">
        <v>5664</v>
      </c>
      <c r="C1377" s="261" t="s">
        <v>3240</v>
      </c>
      <c r="D1377" s="265" t="s">
        <v>19429</v>
      </c>
      <c r="E1377" s="262" t="s">
        <v>207</v>
      </c>
    </row>
    <row r="1378" spans="1:5" ht="15">
      <c r="A1378" s="261">
        <v>12019</v>
      </c>
      <c r="B1378" s="261" t="s">
        <v>5665</v>
      </c>
      <c r="C1378" s="261" t="s">
        <v>3240</v>
      </c>
      <c r="D1378" s="265" t="s">
        <v>10457</v>
      </c>
      <c r="E1378" s="262" t="s">
        <v>207</v>
      </c>
    </row>
    <row r="1379" spans="1:5" ht="15">
      <c r="A1379" s="261">
        <v>39336</v>
      </c>
      <c r="B1379" s="261" t="s">
        <v>5666</v>
      </c>
      <c r="C1379" s="261" t="s">
        <v>3240</v>
      </c>
      <c r="D1379" s="265" t="s">
        <v>9963</v>
      </c>
      <c r="E1379" s="262" t="s">
        <v>207</v>
      </c>
    </row>
    <row r="1380" spans="1:5" ht="15">
      <c r="A1380" s="261">
        <v>39338</v>
      </c>
      <c r="B1380" s="261" t="s">
        <v>5667</v>
      </c>
      <c r="C1380" s="261" t="s">
        <v>3240</v>
      </c>
      <c r="D1380" s="265" t="s">
        <v>10504</v>
      </c>
      <c r="E1380" s="262" t="s">
        <v>207</v>
      </c>
    </row>
    <row r="1381" spans="1:5" ht="15">
      <c r="A1381" s="261">
        <v>39337</v>
      </c>
      <c r="B1381" s="261" t="s">
        <v>5668</v>
      </c>
      <c r="C1381" s="261" t="s">
        <v>3240</v>
      </c>
      <c r="D1381" s="265" t="s">
        <v>10514</v>
      </c>
      <c r="E1381" s="262" t="s">
        <v>207</v>
      </c>
    </row>
    <row r="1382" spans="1:5" ht="15">
      <c r="A1382" s="261">
        <v>39341</v>
      </c>
      <c r="B1382" s="261" t="s">
        <v>5669</v>
      </c>
      <c r="C1382" s="261" t="s">
        <v>3240</v>
      </c>
      <c r="D1382" s="265" t="s">
        <v>12320</v>
      </c>
      <c r="E1382" s="262" t="s">
        <v>207</v>
      </c>
    </row>
    <row r="1383" spans="1:5" ht="15">
      <c r="A1383" s="261">
        <v>39340</v>
      </c>
      <c r="B1383" s="261" t="s">
        <v>5670</v>
      </c>
      <c r="C1383" s="261" t="s">
        <v>3240</v>
      </c>
      <c r="D1383" s="265" t="s">
        <v>12235</v>
      </c>
      <c r="E1383" s="262" t="s">
        <v>207</v>
      </c>
    </row>
    <row r="1384" spans="1:5" ht="15">
      <c r="A1384" s="261">
        <v>12025</v>
      </c>
      <c r="B1384" s="261" t="s">
        <v>5671</v>
      </c>
      <c r="C1384" s="261" t="s">
        <v>3240</v>
      </c>
      <c r="D1384" s="265" t="s">
        <v>9782</v>
      </c>
      <c r="E1384" s="262" t="s">
        <v>207</v>
      </c>
    </row>
    <row r="1385" spans="1:5" ht="15">
      <c r="A1385" s="261">
        <v>39342</v>
      </c>
      <c r="B1385" s="261" t="s">
        <v>5672</v>
      </c>
      <c r="C1385" s="261" t="s">
        <v>3240</v>
      </c>
      <c r="D1385" s="265" t="s">
        <v>12320</v>
      </c>
      <c r="E1385" s="262" t="s">
        <v>207</v>
      </c>
    </row>
    <row r="1386" spans="1:5" ht="15">
      <c r="A1386" s="261">
        <v>39343</v>
      </c>
      <c r="B1386" s="261" t="s">
        <v>5673</v>
      </c>
      <c r="C1386" s="261" t="s">
        <v>3240</v>
      </c>
      <c r="D1386" s="265" t="s">
        <v>10576</v>
      </c>
      <c r="E1386" s="262" t="s">
        <v>207</v>
      </c>
    </row>
    <row r="1387" spans="1:5" ht="15">
      <c r="A1387" s="261">
        <v>39345</v>
      </c>
      <c r="B1387" s="261" t="s">
        <v>5674</v>
      </c>
      <c r="C1387" s="261" t="s">
        <v>3240</v>
      </c>
      <c r="D1387" s="265" t="s">
        <v>11152</v>
      </c>
      <c r="E1387" s="262" t="s">
        <v>207</v>
      </c>
    </row>
    <row r="1388" spans="1:5" ht="15">
      <c r="A1388" s="261">
        <v>39344</v>
      </c>
      <c r="B1388" s="261" t="s">
        <v>5675</v>
      </c>
      <c r="C1388" s="261" t="s">
        <v>3240</v>
      </c>
      <c r="D1388" s="265" t="s">
        <v>10553</v>
      </c>
      <c r="E1388" s="262" t="s">
        <v>207</v>
      </c>
    </row>
    <row r="1389" spans="1:5" ht="30">
      <c r="A1389" s="261">
        <v>12623</v>
      </c>
      <c r="B1389" s="261" t="s">
        <v>5676</v>
      </c>
      <c r="C1389" s="261" t="s">
        <v>3243</v>
      </c>
      <c r="D1389" s="265" t="s">
        <v>19430</v>
      </c>
      <c r="E1389" s="262" t="s">
        <v>207</v>
      </c>
    </row>
    <row r="1390" spans="1:5" ht="15">
      <c r="A1390" s="261">
        <v>34498</v>
      </c>
      <c r="B1390" s="261" t="s">
        <v>5677</v>
      </c>
      <c r="C1390" s="261" t="s">
        <v>3240</v>
      </c>
      <c r="D1390" s="265" t="s">
        <v>19431</v>
      </c>
      <c r="E1390" s="262" t="s">
        <v>207</v>
      </c>
    </row>
    <row r="1391" spans="1:5" ht="15">
      <c r="A1391" s="261">
        <v>13244</v>
      </c>
      <c r="B1391" s="261" t="s">
        <v>5678</v>
      </c>
      <c r="C1391" s="261" t="s">
        <v>3240</v>
      </c>
      <c r="D1391" s="265" t="s">
        <v>19432</v>
      </c>
      <c r="E1391" s="262" t="s">
        <v>207</v>
      </c>
    </row>
    <row r="1392" spans="1:5" ht="30">
      <c r="A1392" s="261">
        <v>38998</v>
      </c>
      <c r="B1392" s="261" t="s">
        <v>5679</v>
      </c>
      <c r="C1392" s="261" t="s">
        <v>3240</v>
      </c>
      <c r="D1392" s="265" t="s">
        <v>10663</v>
      </c>
      <c r="E1392" s="262" t="s">
        <v>207</v>
      </c>
    </row>
    <row r="1393" spans="1:5" ht="30">
      <c r="A1393" s="261">
        <v>38999</v>
      </c>
      <c r="B1393" s="261" t="s">
        <v>5680</v>
      </c>
      <c r="C1393" s="261" t="s">
        <v>3240</v>
      </c>
      <c r="D1393" s="265" t="s">
        <v>19433</v>
      </c>
      <c r="E1393" s="262" t="s">
        <v>207</v>
      </c>
    </row>
    <row r="1394" spans="1:5" ht="30">
      <c r="A1394" s="261">
        <v>38996</v>
      </c>
      <c r="B1394" s="261" t="s">
        <v>5681</v>
      </c>
      <c r="C1394" s="261" t="s">
        <v>3240</v>
      </c>
      <c r="D1394" s="265" t="s">
        <v>12459</v>
      </c>
      <c r="E1394" s="262" t="s">
        <v>207</v>
      </c>
    </row>
    <row r="1395" spans="1:5" ht="30">
      <c r="A1395" s="261">
        <v>38997</v>
      </c>
      <c r="B1395" s="261" t="s">
        <v>5682</v>
      </c>
      <c r="C1395" s="261" t="s">
        <v>3240</v>
      </c>
      <c r="D1395" s="265" t="s">
        <v>19434</v>
      </c>
      <c r="E1395" s="262" t="s">
        <v>207</v>
      </c>
    </row>
    <row r="1396" spans="1:5" ht="30">
      <c r="A1396" s="261">
        <v>39862</v>
      </c>
      <c r="B1396" s="261" t="s">
        <v>5683</v>
      </c>
      <c r="C1396" s="261" t="s">
        <v>3240</v>
      </c>
      <c r="D1396" s="265" t="s">
        <v>9731</v>
      </c>
      <c r="E1396" s="262" t="s">
        <v>207</v>
      </c>
    </row>
    <row r="1397" spans="1:5" ht="30">
      <c r="A1397" s="261">
        <v>39863</v>
      </c>
      <c r="B1397" s="261" t="s">
        <v>5684</v>
      </c>
      <c r="C1397" s="261" t="s">
        <v>3240</v>
      </c>
      <c r="D1397" s="265" t="s">
        <v>16331</v>
      </c>
      <c r="E1397" s="262" t="s">
        <v>207</v>
      </c>
    </row>
    <row r="1398" spans="1:5" ht="30">
      <c r="A1398" s="261">
        <v>39864</v>
      </c>
      <c r="B1398" s="261" t="s">
        <v>5685</v>
      </c>
      <c r="C1398" s="261" t="s">
        <v>3240</v>
      </c>
      <c r="D1398" s="265" t="s">
        <v>15949</v>
      </c>
      <c r="E1398" s="262" t="s">
        <v>207</v>
      </c>
    </row>
    <row r="1399" spans="1:5" ht="30">
      <c r="A1399" s="261">
        <v>39865</v>
      </c>
      <c r="B1399" s="261" t="s">
        <v>5686</v>
      </c>
      <c r="C1399" s="261" t="s">
        <v>3240</v>
      </c>
      <c r="D1399" s="265" t="s">
        <v>19435</v>
      </c>
      <c r="E1399" s="262" t="s">
        <v>207</v>
      </c>
    </row>
    <row r="1400" spans="1:5" ht="30">
      <c r="A1400" s="261">
        <v>2517</v>
      </c>
      <c r="B1400" s="261" t="s">
        <v>5687</v>
      </c>
      <c r="C1400" s="261" t="s">
        <v>3240</v>
      </c>
      <c r="D1400" s="265" t="s">
        <v>19436</v>
      </c>
      <c r="E1400" s="262" t="s">
        <v>207</v>
      </c>
    </row>
    <row r="1401" spans="1:5" ht="30">
      <c r="A1401" s="261">
        <v>2522</v>
      </c>
      <c r="B1401" s="261" t="s">
        <v>5688</v>
      </c>
      <c r="C1401" s="261" t="s">
        <v>3240</v>
      </c>
      <c r="D1401" s="265" t="s">
        <v>12216</v>
      </c>
      <c r="E1401" s="262" t="s">
        <v>207</v>
      </c>
    </row>
    <row r="1402" spans="1:5" ht="30">
      <c r="A1402" s="261">
        <v>2548</v>
      </c>
      <c r="B1402" s="261" t="s">
        <v>5689</v>
      </c>
      <c r="C1402" s="261" t="s">
        <v>3240</v>
      </c>
      <c r="D1402" s="265" t="s">
        <v>10809</v>
      </c>
      <c r="E1402" s="262" t="s">
        <v>207</v>
      </c>
    </row>
    <row r="1403" spans="1:5" ht="30">
      <c r="A1403" s="261">
        <v>2516</v>
      </c>
      <c r="B1403" s="261" t="s">
        <v>5690</v>
      </c>
      <c r="C1403" s="261" t="s">
        <v>3240</v>
      </c>
      <c r="D1403" s="265" t="s">
        <v>12345</v>
      </c>
      <c r="E1403" s="262" t="s">
        <v>207</v>
      </c>
    </row>
    <row r="1404" spans="1:5" ht="30">
      <c r="A1404" s="261">
        <v>2518</v>
      </c>
      <c r="B1404" s="261" t="s">
        <v>5691</v>
      </c>
      <c r="C1404" s="261" t="s">
        <v>3240</v>
      </c>
      <c r="D1404" s="265" t="s">
        <v>16408</v>
      </c>
      <c r="E1404" s="262" t="s">
        <v>207</v>
      </c>
    </row>
    <row r="1405" spans="1:5" ht="30">
      <c r="A1405" s="261">
        <v>2521</v>
      </c>
      <c r="B1405" s="261" t="s">
        <v>5692</v>
      </c>
      <c r="C1405" s="261" t="s">
        <v>3240</v>
      </c>
      <c r="D1405" s="265" t="s">
        <v>19437</v>
      </c>
      <c r="E1405" s="262" t="s">
        <v>207</v>
      </c>
    </row>
    <row r="1406" spans="1:5" ht="30">
      <c r="A1406" s="261">
        <v>2515</v>
      </c>
      <c r="B1406" s="261" t="s">
        <v>5693</v>
      </c>
      <c r="C1406" s="261" t="s">
        <v>3240</v>
      </c>
      <c r="D1406" s="265" t="s">
        <v>10088</v>
      </c>
      <c r="E1406" s="262" t="s">
        <v>207</v>
      </c>
    </row>
    <row r="1407" spans="1:5" ht="30">
      <c r="A1407" s="261">
        <v>2519</v>
      </c>
      <c r="B1407" s="261" t="s">
        <v>5694</v>
      </c>
      <c r="C1407" s="261" t="s">
        <v>3240</v>
      </c>
      <c r="D1407" s="265" t="s">
        <v>16036</v>
      </c>
      <c r="E1407" s="262" t="s">
        <v>207</v>
      </c>
    </row>
    <row r="1408" spans="1:5" ht="30">
      <c r="A1408" s="261">
        <v>2520</v>
      </c>
      <c r="B1408" s="261" t="s">
        <v>5695</v>
      </c>
      <c r="C1408" s="261" t="s">
        <v>3240</v>
      </c>
      <c r="D1408" s="265" t="s">
        <v>16425</v>
      </c>
      <c r="E1408" s="262" t="s">
        <v>207</v>
      </c>
    </row>
    <row r="1409" spans="1:5" ht="30">
      <c r="A1409" s="261">
        <v>1602</v>
      </c>
      <c r="B1409" s="261" t="s">
        <v>5696</v>
      </c>
      <c r="C1409" s="261" t="s">
        <v>3240</v>
      </c>
      <c r="D1409" s="265" t="s">
        <v>19438</v>
      </c>
      <c r="E1409" s="262" t="s">
        <v>207</v>
      </c>
    </row>
    <row r="1410" spans="1:5" ht="30">
      <c r="A1410" s="261">
        <v>1601</v>
      </c>
      <c r="B1410" s="261" t="s">
        <v>5697</v>
      </c>
      <c r="C1410" s="261" t="s">
        <v>3240</v>
      </c>
      <c r="D1410" s="265" t="s">
        <v>11434</v>
      </c>
      <c r="E1410" s="262" t="s">
        <v>207</v>
      </c>
    </row>
    <row r="1411" spans="1:5" ht="30">
      <c r="A1411" s="261">
        <v>1598</v>
      </c>
      <c r="B1411" s="261" t="s">
        <v>5698</v>
      </c>
      <c r="C1411" s="261" t="s">
        <v>3240</v>
      </c>
      <c r="D1411" s="265" t="s">
        <v>14120</v>
      </c>
      <c r="E1411" s="262" t="s">
        <v>207</v>
      </c>
    </row>
    <row r="1412" spans="1:5" ht="30">
      <c r="A1412" s="261">
        <v>1600</v>
      </c>
      <c r="B1412" s="261" t="s">
        <v>5699</v>
      </c>
      <c r="C1412" s="261" t="s">
        <v>3240</v>
      </c>
      <c r="D1412" s="265" t="s">
        <v>14117</v>
      </c>
      <c r="E1412" s="262" t="s">
        <v>207</v>
      </c>
    </row>
    <row r="1413" spans="1:5" ht="30">
      <c r="A1413" s="261">
        <v>1603</v>
      </c>
      <c r="B1413" s="261" t="s">
        <v>5700</v>
      </c>
      <c r="C1413" s="261" t="s">
        <v>3240</v>
      </c>
      <c r="D1413" s="265" t="s">
        <v>19439</v>
      </c>
      <c r="E1413" s="262" t="s">
        <v>207</v>
      </c>
    </row>
    <row r="1414" spans="1:5" ht="30">
      <c r="A1414" s="261">
        <v>1599</v>
      </c>
      <c r="B1414" s="261" t="s">
        <v>5701</v>
      </c>
      <c r="C1414" s="261" t="s">
        <v>3240</v>
      </c>
      <c r="D1414" s="265" t="s">
        <v>11033</v>
      </c>
      <c r="E1414" s="262" t="s">
        <v>207</v>
      </c>
    </row>
    <row r="1415" spans="1:5" ht="30">
      <c r="A1415" s="261">
        <v>1597</v>
      </c>
      <c r="B1415" s="261" t="s">
        <v>5702</v>
      </c>
      <c r="C1415" s="261" t="s">
        <v>3240</v>
      </c>
      <c r="D1415" s="265" t="s">
        <v>19440</v>
      </c>
      <c r="E1415" s="262" t="s">
        <v>207</v>
      </c>
    </row>
    <row r="1416" spans="1:5" ht="15">
      <c r="A1416" s="261">
        <v>39600</v>
      </c>
      <c r="B1416" s="261" t="s">
        <v>5703</v>
      </c>
      <c r="C1416" s="261" t="s">
        <v>3240</v>
      </c>
      <c r="D1416" s="265" t="s">
        <v>12466</v>
      </c>
      <c r="E1416" s="262" t="s">
        <v>207</v>
      </c>
    </row>
    <row r="1417" spans="1:5" ht="15">
      <c r="A1417" s="261">
        <v>39601</v>
      </c>
      <c r="B1417" s="261" t="s">
        <v>5704</v>
      </c>
      <c r="C1417" s="261" t="s">
        <v>3240</v>
      </c>
      <c r="D1417" s="265" t="s">
        <v>11542</v>
      </c>
      <c r="E1417" s="262" t="s">
        <v>207</v>
      </c>
    </row>
    <row r="1418" spans="1:5" ht="15">
      <c r="A1418" s="261">
        <v>39602</v>
      </c>
      <c r="B1418" s="261" t="s">
        <v>5705</v>
      </c>
      <c r="C1418" s="261" t="s">
        <v>3240</v>
      </c>
      <c r="D1418" s="265" t="s">
        <v>11193</v>
      </c>
      <c r="E1418" s="262" t="s">
        <v>207</v>
      </c>
    </row>
    <row r="1419" spans="1:5" ht="15">
      <c r="A1419" s="261">
        <v>39603</v>
      </c>
      <c r="B1419" s="261" t="s">
        <v>5706</v>
      </c>
      <c r="C1419" s="261" t="s">
        <v>3240</v>
      </c>
      <c r="D1419" s="265" t="s">
        <v>10084</v>
      </c>
      <c r="E1419" s="262" t="s">
        <v>207</v>
      </c>
    </row>
    <row r="1420" spans="1:5" ht="30">
      <c r="A1420" s="261">
        <v>11821</v>
      </c>
      <c r="B1420" s="261" t="s">
        <v>5707</v>
      </c>
      <c r="C1420" s="261" t="s">
        <v>3240</v>
      </c>
      <c r="D1420" s="265" t="s">
        <v>10192</v>
      </c>
      <c r="E1420" s="262" t="s">
        <v>207</v>
      </c>
    </row>
    <row r="1421" spans="1:5" ht="30">
      <c r="A1421" s="261">
        <v>1562</v>
      </c>
      <c r="B1421" s="261" t="s">
        <v>5708</v>
      </c>
      <c r="C1421" s="261" t="s">
        <v>3240</v>
      </c>
      <c r="D1421" s="265" t="s">
        <v>10559</v>
      </c>
      <c r="E1421" s="262" t="s">
        <v>207</v>
      </c>
    </row>
    <row r="1422" spans="1:5" ht="30">
      <c r="A1422" s="261">
        <v>1563</v>
      </c>
      <c r="B1422" s="261" t="s">
        <v>5709</v>
      </c>
      <c r="C1422" s="261" t="s">
        <v>3240</v>
      </c>
      <c r="D1422" s="265" t="s">
        <v>16040</v>
      </c>
      <c r="E1422" s="262" t="s">
        <v>207</v>
      </c>
    </row>
    <row r="1423" spans="1:5" ht="30">
      <c r="A1423" s="261">
        <v>11856</v>
      </c>
      <c r="B1423" s="261" t="s">
        <v>5710</v>
      </c>
      <c r="C1423" s="261" t="s">
        <v>3240</v>
      </c>
      <c r="D1423" s="265" t="s">
        <v>19441</v>
      </c>
      <c r="E1423" s="262" t="s">
        <v>207</v>
      </c>
    </row>
    <row r="1424" spans="1:5" ht="30">
      <c r="A1424" s="261">
        <v>11857</v>
      </c>
      <c r="B1424" s="261" t="s">
        <v>5711</v>
      </c>
      <c r="C1424" s="261" t="s">
        <v>3240</v>
      </c>
      <c r="D1424" s="265" t="s">
        <v>10118</v>
      </c>
      <c r="E1424" s="262" t="s">
        <v>207</v>
      </c>
    </row>
    <row r="1425" spans="1:5" ht="30">
      <c r="A1425" s="261">
        <v>11858</v>
      </c>
      <c r="B1425" s="261" t="s">
        <v>5712</v>
      </c>
      <c r="C1425" s="261" t="s">
        <v>3240</v>
      </c>
      <c r="D1425" s="265" t="s">
        <v>10116</v>
      </c>
      <c r="E1425" s="262" t="s">
        <v>207</v>
      </c>
    </row>
    <row r="1426" spans="1:5" ht="30">
      <c r="A1426" s="261">
        <v>1539</v>
      </c>
      <c r="B1426" s="261" t="s">
        <v>5713</v>
      </c>
      <c r="C1426" s="261" t="s">
        <v>3240</v>
      </c>
      <c r="D1426" s="265" t="s">
        <v>10903</v>
      </c>
      <c r="E1426" s="262" t="s">
        <v>207</v>
      </c>
    </row>
    <row r="1427" spans="1:5" ht="30">
      <c r="A1427" s="261">
        <v>11859</v>
      </c>
      <c r="B1427" s="261" t="s">
        <v>5714</v>
      </c>
      <c r="C1427" s="261" t="s">
        <v>3240</v>
      </c>
      <c r="D1427" s="265" t="s">
        <v>19442</v>
      </c>
      <c r="E1427" s="262" t="s">
        <v>207</v>
      </c>
    </row>
    <row r="1428" spans="1:5" ht="30">
      <c r="A1428" s="261">
        <v>1550</v>
      </c>
      <c r="B1428" s="261" t="s">
        <v>5715</v>
      </c>
      <c r="C1428" s="261" t="s">
        <v>3240</v>
      </c>
      <c r="D1428" s="265" t="s">
        <v>11526</v>
      </c>
      <c r="E1428" s="262" t="s">
        <v>207</v>
      </c>
    </row>
    <row r="1429" spans="1:5" ht="30">
      <c r="A1429" s="261">
        <v>11854</v>
      </c>
      <c r="B1429" s="261" t="s">
        <v>5716</v>
      </c>
      <c r="C1429" s="261" t="s">
        <v>3240</v>
      </c>
      <c r="D1429" s="265" t="s">
        <v>10459</v>
      </c>
      <c r="E1429" s="262" t="s">
        <v>207</v>
      </c>
    </row>
    <row r="1430" spans="1:5" ht="30">
      <c r="A1430" s="261">
        <v>11862</v>
      </c>
      <c r="B1430" s="261" t="s">
        <v>5717</v>
      </c>
      <c r="C1430" s="261" t="s">
        <v>3240</v>
      </c>
      <c r="D1430" s="265" t="s">
        <v>10478</v>
      </c>
      <c r="E1430" s="262" t="s">
        <v>207</v>
      </c>
    </row>
    <row r="1431" spans="1:5" ht="30">
      <c r="A1431" s="261">
        <v>11863</v>
      </c>
      <c r="B1431" s="261" t="s">
        <v>5718</v>
      </c>
      <c r="C1431" s="261" t="s">
        <v>3240</v>
      </c>
      <c r="D1431" s="265" t="s">
        <v>9728</v>
      </c>
      <c r="E1431" s="262" t="s">
        <v>207</v>
      </c>
    </row>
    <row r="1432" spans="1:5" ht="30">
      <c r="A1432" s="261">
        <v>11855</v>
      </c>
      <c r="B1432" s="261" t="s">
        <v>5719</v>
      </c>
      <c r="C1432" s="261" t="s">
        <v>3240</v>
      </c>
      <c r="D1432" s="265" t="s">
        <v>10351</v>
      </c>
      <c r="E1432" s="262" t="s">
        <v>207</v>
      </c>
    </row>
    <row r="1433" spans="1:5" ht="30">
      <c r="A1433" s="261">
        <v>11864</v>
      </c>
      <c r="B1433" s="261" t="s">
        <v>5720</v>
      </c>
      <c r="C1433" s="261" t="s">
        <v>3240</v>
      </c>
      <c r="D1433" s="265" t="s">
        <v>9897</v>
      </c>
      <c r="E1433" s="262" t="s">
        <v>207</v>
      </c>
    </row>
    <row r="1434" spans="1:5" ht="30">
      <c r="A1434" s="261">
        <v>2527</v>
      </c>
      <c r="B1434" s="261" t="s">
        <v>5721</v>
      </c>
      <c r="C1434" s="261" t="s">
        <v>3240</v>
      </c>
      <c r="D1434" s="265" t="s">
        <v>11039</v>
      </c>
      <c r="E1434" s="262" t="s">
        <v>207</v>
      </c>
    </row>
    <row r="1435" spans="1:5" ht="30">
      <c r="A1435" s="261">
        <v>2526</v>
      </c>
      <c r="B1435" s="261" t="s">
        <v>5722</v>
      </c>
      <c r="C1435" s="261" t="s">
        <v>3240</v>
      </c>
      <c r="D1435" s="266" t="s">
        <v>9742</v>
      </c>
      <c r="E1435" s="262" t="s">
        <v>207</v>
      </c>
    </row>
    <row r="1436" spans="1:5" ht="30">
      <c r="A1436" s="261">
        <v>2487</v>
      </c>
      <c r="B1436" s="261" t="s">
        <v>5723</v>
      </c>
      <c r="C1436" s="261" t="s">
        <v>3240</v>
      </c>
      <c r="D1436" s="266" t="s">
        <v>77</v>
      </c>
      <c r="E1436" s="262" t="s">
        <v>207</v>
      </c>
    </row>
    <row r="1437" spans="1:5" ht="30">
      <c r="A1437" s="261">
        <v>2483</v>
      </c>
      <c r="B1437" s="261" t="s">
        <v>5724</v>
      </c>
      <c r="C1437" s="261" t="s">
        <v>3240</v>
      </c>
      <c r="D1437" s="266" t="s">
        <v>16690</v>
      </c>
      <c r="E1437" s="262" t="s">
        <v>207</v>
      </c>
    </row>
    <row r="1438" spans="1:5" ht="30">
      <c r="A1438" s="261">
        <v>2528</v>
      </c>
      <c r="B1438" s="261" t="s">
        <v>5725</v>
      </c>
      <c r="C1438" s="261" t="s">
        <v>3240</v>
      </c>
      <c r="D1438" s="266" t="s">
        <v>16330</v>
      </c>
      <c r="E1438" s="262" t="s">
        <v>207</v>
      </c>
    </row>
    <row r="1439" spans="1:5" ht="30">
      <c r="A1439" s="261">
        <v>2489</v>
      </c>
      <c r="B1439" s="261" t="s">
        <v>5726</v>
      </c>
      <c r="C1439" s="261" t="s">
        <v>3240</v>
      </c>
      <c r="D1439" s="266" t="s">
        <v>10781</v>
      </c>
      <c r="E1439" s="262" t="s">
        <v>207</v>
      </c>
    </row>
    <row r="1440" spans="1:5" ht="30">
      <c r="A1440" s="261">
        <v>2488</v>
      </c>
      <c r="B1440" s="261" t="s">
        <v>5727</v>
      </c>
      <c r="C1440" s="261" t="s">
        <v>3240</v>
      </c>
      <c r="D1440" s="265" t="s">
        <v>9765</v>
      </c>
      <c r="E1440" s="262" t="s">
        <v>207</v>
      </c>
    </row>
    <row r="1441" spans="1:5" ht="30">
      <c r="A1441" s="261">
        <v>2484</v>
      </c>
      <c r="B1441" s="261" t="s">
        <v>5728</v>
      </c>
      <c r="C1441" s="261" t="s">
        <v>3240</v>
      </c>
      <c r="D1441" s="266" t="s">
        <v>15940</v>
      </c>
      <c r="E1441" s="262" t="s">
        <v>207</v>
      </c>
    </row>
    <row r="1442" spans="1:5" ht="30">
      <c r="A1442" s="261">
        <v>2485</v>
      </c>
      <c r="B1442" s="261" t="s">
        <v>5729</v>
      </c>
      <c r="C1442" s="261" t="s">
        <v>3240</v>
      </c>
      <c r="D1442" s="265" t="s">
        <v>12268</v>
      </c>
      <c r="E1442" s="262" t="s">
        <v>207</v>
      </c>
    </row>
    <row r="1443" spans="1:5" ht="15">
      <c r="A1443" s="261">
        <v>38005</v>
      </c>
      <c r="B1443" s="261" t="s">
        <v>5730</v>
      </c>
      <c r="C1443" s="261" t="s">
        <v>3240</v>
      </c>
      <c r="D1443" s="266" t="s">
        <v>19365</v>
      </c>
      <c r="E1443" s="262" t="s">
        <v>207</v>
      </c>
    </row>
    <row r="1444" spans="1:5" ht="15">
      <c r="A1444" s="261">
        <v>38006</v>
      </c>
      <c r="B1444" s="261" t="s">
        <v>5731</v>
      </c>
      <c r="C1444" s="261" t="s">
        <v>3240</v>
      </c>
      <c r="D1444" s="265" t="s">
        <v>19443</v>
      </c>
      <c r="E1444" s="262" t="s">
        <v>207</v>
      </c>
    </row>
    <row r="1445" spans="1:5" ht="15">
      <c r="A1445" s="261">
        <v>38428</v>
      </c>
      <c r="B1445" s="261" t="s">
        <v>5732</v>
      </c>
      <c r="C1445" s="261" t="s">
        <v>3240</v>
      </c>
      <c r="D1445" s="265" t="s">
        <v>10635</v>
      </c>
      <c r="E1445" s="262" t="s">
        <v>207</v>
      </c>
    </row>
    <row r="1446" spans="1:5" ht="15">
      <c r="A1446" s="261">
        <v>38007</v>
      </c>
      <c r="B1446" s="261" t="s">
        <v>5733</v>
      </c>
      <c r="C1446" s="261" t="s">
        <v>3240</v>
      </c>
      <c r="D1446" s="265" t="s">
        <v>16179</v>
      </c>
      <c r="E1446" s="262" t="s">
        <v>207</v>
      </c>
    </row>
    <row r="1447" spans="1:5" ht="15">
      <c r="A1447" s="261">
        <v>38008</v>
      </c>
      <c r="B1447" s="261" t="s">
        <v>5734</v>
      </c>
      <c r="C1447" s="261" t="s">
        <v>3240</v>
      </c>
      <c r="D1447" s="266" t="s">
        <v>19444</v>
      </c>
      <c r="E1447" s="262" t="s">
        <v>207</v>
      </c>
    </row>
    <row r="1448" spans="1:5" ht="15">
      <c r="A1448" s="261">
        <v>38009</v>
      </c>
      <c r="B1448" s="261" t="s">
        <v>5735</v>
      </c>
      <c r="C1448" s="261" t="s">
        <v>3240</v>
      </c>
      <c r="D1448" s="266" t="s">
        <v>19445</v>
      </c>
      <c r="E1448" s="262" t="s">
        <v>207</v>
      </c>
    </row>
    <row r="1449" spans="1:5" ht="30">
      <c r="A1449" s="261">
        <v>39279</v>
      </c>
      <c r="B1449" s="261" t="s">
        <v>5736</v>
      </c>
      <c r="C1449" s="261" t="s">
        <v>3240</v>
      </c>
      <c r="D1449" s="265" t="s">
        <v>19446</v>
      </c>
      <c r="E1449" s="262" t="s">
        <v>207</v>
      </c>
    </row>
    <row r="1450" spans="1:5" ht="30">
      <c r="A1450" s="261">
        <v>38845</v>
      </c>
      <c r="B1450" s="261" t="s">
        <v>5737</v>
      </c>
      <c r="C1450" s="261" t="s">
        <v>3240</v>
      </c>
      <c r="D1450" s="266" t="s">
        <v>12458</v>
      </c>
      <c r="E1450" s="262" t="s">
        <v>207</v>
      </c>
    </row>
    <row r="1451" spans="1:5" ht="30">
      <c r="A1451" s="261">
        <v>39280</v>
      </c>
      <c r="B1451" s="261" t="s">
        <v>5738</v>
      </c>
      <c r="C1451" s="261" t="s">
        <v>3240</v>
      </c>
      <c r="D1451" s="265" t="s">
        <v>19447</v>
      </c>
      <c r="E1451" s="262" t="s">
        <v>207</v>
      </c>
    </row>
    <row r="1452" spans="1:5" ht="30">
      <c r="A1452" s="261">
        <v>39281</v>
      </c>
      <c r="B1452" s="261" t="s">
        <v>5739</v>
      </c>
      <c r="C1452" s="261" t="s">
        <v>3240</v>
      </c>
      <c r="D1452" s="266" t="s">
        <v>14160</v>
      </c>
      <c r="E1452" s="262" t="s">
        <v>207</v>
      </c>
    </row>
    <row r="1453" spans="1:5" ht="30">
      <c r="A1453" s="261">
        <v>38849</v>
      </c>
      <c r="B1453" s="261" t="s">
        <v>5740</v>
      </c>
      <c r="C1453" s="261" t="s">
        <v>3240</v>
      </c>
      <c r="D1453" s="265" t="s">
        <v>16146</v>
      </c>
      <c r="E1453" s="262" t="s">
        <v>207</v>
      </c>
    </row>
    <row r="1454" spans="1:5" ht="30">
      <c r="A1454" s="261">
        <v>39282</v>
      </c>
      <c r="B1454" s="261" t="s">
        <v>5741</v>
      </c>
      <c r="C1454" s="261" t="s">
        <v>3240</v>
      </c>
      <c r="D1454" s="265" t="s">
        <v>10400</v>
      </c>
      <c r="E1454" s="262" t="s">
        <v>207</v>
      </c>
    </row>
    <row r="1455" spans="1:5" ht="30">
      <c r="A1455" s="261">
        <v>38852</v>
      </c>
      <c r="B1455" s="261" t="s">
        <v>5742</v>
      </c>
      <c r="C1455" s="261" t="s">
        <v>3240</v>
      </c>
      <c r="D1455" s="265" t="s">
        <v>16123</v>
      </c>
      <c r="E1455" s="262" t="s">
        <v>207</v>
      </c>
    </row>
    <row r="1456" spans="1:5" ht="30">
      <c r="A1456" s="261">
        <v>38844</v>
      </c>
      <c r="B1456" s="261" t="s">
        <v>5743</v>
      </c>
      <c r="C1456" s="261" t="s">
        <v>3240</v>
      </c>
      <c r="D1456" s="265" t="s">
        <v>10313</v>
      </c>
      <c r="E1456" s="262" t="s">
        <v>207</v>
      </c>
    </row>
    <row r="1457" spans="1:5" ht="30">
      <c r="A1457" s="261">
        <v>38846</v>
      </c>
      <c r="B1457" s="261" t="s">
        <v>5744</v>
      </c>
      <c r="C1457" s="261" t="s">
        <v>3240</v>
      </c>
      <c r="D1457" s="265" t="s">
        <v>11468</v>
      </c>
      <c r="E1457" s="262" t="s">
        <v>207</v>
      </c>
    </row>
    <row r="1458" spans="1:5" ht="30">
      <c r="A1458" s="261">
        <v>38847</v>
      </c>
      <c r="B1458" s="261" t="s">
        <v>5745</v>
      </c>
      <c r="C1458" s="261" t="s">
        <v>3240</v>
      </c>
      <c r="D1458" s="265" t="s">
        <v>10311</v>
      </c>
      <c r="E1458" s="262" t="s">
        <v>207</v>
      </c>
    </row>
    <row r="1459" spans="1:5" ht="30">
      <c r="A1459" s="261">
        <v>38850</v>
      </c>
      <c r="B1459" s="261" t="s">
        <v>5746</v>
      </c>
      <c r="C1459" s="261" t="s">
        <v>3240</v>
      </c>
      <c r="D1459" s="265" t="s">
        <v>14058</v>
      </c>
      <c r="E1459" s="262" t="s">
        <v>207</v>
      </c>
    </row>
    <row r="1460" spans="1:5" ht="30">
      <c r="A1460" s="261">
        <v>38848</v>
      </c>
      <c r="B1460" s="261" t="s">
        <v>5747</v>
      </c>
      <c r="C1460" s="261" t="s">
        <v>3240</v>
      </c>
      <c r="D1460" s="265" t="s">
        <v>10454</v>
      </c>
      <c r="E1460" s="262" t="s">
        <v>207</v>
      </c>
    </row>
    <row r="1461" spans="1:5" ht="30">
      <c r="A1461" s="261">
        <v>38851</v>
      </c>
      <c r="B1461" s="261" t="s">
        <v>5748</v>
      </c>
      <c r="C1461" s="261" t="s">
        <v>3240</v>
      </c>
      <c r="D1461" s="265" t="s">
        <v>16136</v>
      </c>
      <c r="E1461" s="262" t="s">
        <v>207</v>
      </c>
    </row>
    <row r="1462" spans="1:5" ht="15">
      <c r="A1462" s="261">
        <v>38860</v>
      </c>
      <c r="B1462" s="261" t="s">
        <v>5749</v>
      </c>
      <c r="C1462" s="261" t="s">
        <v>3240</v>
      </c>
      <c r="D1462" s="265" t="s">
        <v>10842</v>
      </c>
      <c r="E1462" s="262" t="s">
        <v>207</v>
      </c>
    </row>
    <row r="1463" spans="1:5" ht="15">
      <c r="A1463" s="261">
        <v>38861</v>
      </c>
      <c r="B1463" s="261" t="s">
        <v>5750</v>
      </c>
      <c r="C1463" s="261" t="s">
        <v>3240</v>
      </c>
      <c r="D1463" s="265" t="s">
        <v>15982</v>
      </c>
      <c r="E1463" s="262" t="s">
        <v>207</v>
      </c>
    </row>
    <row r="1464" spans="1:5" ht="15">
      <c r="A1464" s="261">
        <v>38862</v>
      </c>
      <c r="B1464" s="261" t="s">
        <v>5751</v>
      </c>
      <c r="C1464" s="261" t="s">
        <v>3240</v>
      </c>
      <c r="D1464" s="265" t="s">
        <v>10857</v>
      </c>
      <c r="E1464" s="262" t="s">
        <v>207</v>
      </c>
    </row>
    <row r="1465" spans="1:5" ht="15">
      <c r="A1465" s="261">
        <v>38863</v>
      </c>
      <c r="B1465" s="261" t="s">
        <v>5752</v>
      </c>
      <c r="C1465" s="261" t="s">
        <v>3240</v>
      </c>
      <c r="D1465" s="265" t="s">
        <v>11117</v>
      </c>
      <c r="E1465" s="262" t="s">
        <v>207</v>
      </c>
    </row>
    <row r="1466" spans="1:5" ht="15">
      <c r="A1466" s="261">
        <v>38865</v>
      </c>
      <c r="B1466" s="261" t="s">
        <v>5753</v>
      </c>
      <c r="C1466" s="261" t="s">
        <v>3240</v>
      </c>
      <c r="D1466" s="265" t="s">
        <v>10094</v>
      </c>
      <c r="E1466" s="262" t="s">
        <v>207</v>
      </c>
    </row>
    <row r="1467" spans="1:5" ht="15">
      <c r="A1467" s="261">
        <v>38864</v>
      </c>
      <c r="B1467" s="261" t="s">
        <v>5754</v>
      </c>
      <c r="C1467" s="261" t="s">
        <v>3240</v>
      </c>
      <c r="D1467" s="265" t="s">
        <v>15995</v>
      </c>
      <c r="E1467" s="262" t="s">
        <v>207</v>
      </c>
    </row>
    <row r="1468" spans="1:5" ht="15">
      <c r="A1468" s="261">
        <v>38866</v>
      </c>
      <c r="B1468" s="261" t="s">
        <v>5755</v>
      </c>
      <c r="C1468" s="261" t="s">
        <v>3240</v>
      </c>
      <c r="D1468" s="266" t="s">
        <v>12245</v>
      </c>
      <c r="E1468" s="262" t="s">
        <v>207</v>
      </c>
    </row>
    <row r="1469" spans="1:5" ht="15">
      <c r="A1469" s="261">
        <v>38868</v>
      </c>
      <c r="B1469" s="261" t="s">
        <v>5756</v>
      </c>
      <c r="C1469" s="261" t="s">
        <v>3240</v>
      </c>
      <c r="D1469" s="266" t="s">
        <v>19448</v>
      </c>
      <c r="E1469" s="262" t="s">
        <v>207</v>
      </c>
    </row>
    <row r="1470" spans="1:5" ht="30">
      <c r="A1470" s="261">
        <v>38853</v>
      </c>
      <c r="B1470" s="261" t="s">
        <v>5757</v>
      </c>
      <c r="C1470" s="261" t="s">
        <v>3240</v>
      </c>
      <c r="D1470" s="265" t="s">
        <v>10511</v>
      </c>
      <c r="E1470" s="262" t="s">
        <v>207</v>
      </c>
    </row>
    <row r="1471" spans="1:5" ht="30">
      <c r="A1471" s="261">
        <v>38854</v>
      </c>
      <c r="B1471" s="261" t="s">
        <v>5758</v>
      </c>
      <c r="C1471" s="261" t="s">
        <v>3240</v>
      </c>
      <c r="D1471" s="265" t="s">
        <v>19449</v>
      </c>
      <c r="E1471" s="262" t="s">
        <v>207</v>
      </c>
    </row>
    <row r="1472" spans="1:5" ht="30">
      <c r="A1472" s="261">
        <v>38855</v>
      </c>
      <c r="B1472" s="261" t="s">
        <v>5759</v>
      </c>
      <c r="C1472" s="261" t="s">
        <v>3240</v>
      </c>
      <c r="D1472" s="265" t="s">
        <v>10526</v>
      </c>
      <c r="E1472" s="262" t="s">
        <v>207</v>
      </c>
    </row>
    <row r="1473" spans="1:5" ht="30">
      <c r="A1473" s="261">
        <v>38856</v>
      </c>
      <c r="B1473" s="261" t="s">
        <v>5760</v>
      </c>
      <c r="C1473" s="261" t="s">
        <v>3240</v>
      </c>
      <c r="D1473" s="265" t="s">
        <v>19450</v>
      </c>
      <c r="E1473" s="262" t="s">
        <v>207</v>
      </c>
    </row>
    <row r="1474" spans="1:5" ht="30">
      <c r="A1474" s="261">
        <v>38857</v>
      </c>
      <c r="B1474" s="261" t="s">
        <v>5761</v>
      </c>
      <c r="C1474" s="261" t="s">
        <v>3240</v>
      </c>
      <c r="D1474" s="265" t="s">
        <v>10607</v>
      </c>
      <c r="E1474" s="262" t="s">
        <v>207</v>
      </c>
    </row>
    <row r="1475" spans="1:5" ht="30">
      <c r="A1475" s="261">
        <v>38858</v>
      </c>
      <c r="B1475" s="261" t="s">
        <v>5762</v>
      </c>
      <c r="C1475" s="261" t="s">
        <v>3240</v>
      </c>
      <c r="D1475" s="265" t="s">
        <v>10122</v>
      </c>
      <c r="E1475" s="262" t="s">
        <v>207</v>
      </c>
    </row>
    <row r="1476" spans="1:5" ht="30">
      <c r="A1476" s="261">
        <v>38859</v>
      </c>
      <c r="B1476" s="261" t="s">
        <v>5763</v>
      </c>
      <c r="C1476" s="261" t="s">
        <v>3240</v>
      </c>
      <c r="D1476" s="265" t="s">
        <v>19451</v>
      </c>
      <c r="E1476" s="262" t="s">
        <v>207</v>
      </c>
    </row>
    <row r="1477" spans="1:5" ht="60">
      <c r="A1477" s="261">
        <v>3104</v>
      </c>
      <c r="B1477" s="261" t="s">
        <v>11755</v>
      </c>
      <c r="C1477" s="261" t="s">
        <v>3252</v>
      </c>
      <c r="D1477" s="265" t="s">
        <v>19452</v>
      </c>
      <c r="E1477" s="262" t="s">
        <v>207</v>
      </c>
    </row>
    <row r="1478" spans="1:5" ht="30">
      <c r="A1478" s="261">
        <v>1607</v>
      </c>
      <c r="B1478" s="261" t="s">
        <v>5764</v>
      </c>
      <c r="C1478" s="261" t="s">
        <v>3252</v>
      </c>
      <c r="D1478" s="265" t="s">
        <v>9841</v>
      </c>
      <c r="E1478" s="262" t="s">
        <v>207</v>
      </c>
    </row>
    <row r="1479" spans="1:5" ht="30">
      <c r="A1479" s="261">
        <v>38169</v>
      </c>
      <c r="B1479" s="261" t="s">
        <v>5765</v>
      </c>
      <c r="C1479" s="261" t="s">
        <v>3252</v>
      </c>
      <c r="D1479" s="265" t="s">
        <v>19453</v>
      </c>
      <c r="E1479" s="262" t="s">
        <v>207</v>
      </c>
    </row>
    <row r="1480" spans="1:5" ht="30">
      <c r="A1480" s="261">
        <v>6142</v>
      </c>
      <c r="B1480" s="261" t="s">
        <v>5766</v>
      </c>
      <c r="C1480" s="261" t="s">
        <v>3240</v>
      </c>
      <c r="D1480" s="265" t="s">
        <v>9793</v>
      </c>
      <c r="E1480" s="262" t="s">
        <v>207</v>
      </c>
    </row>
    <row r="1481" spans="1:5" ht="30">
      <c r="A1481" s="261">
        <v>11686</v>
      </c>
      <c r="B1481" s="261" t="s">
        <v>5767</v>
      </c>
      <c r="C1481" s="261" t="s">
        <v>3240</v>
      </c>
      <c r="D1481" s="265" t="s">
        <v>10358</v>
      </c>
      <c r="E1481" s="262" t="s">
        <v>207</v>
      </c>
    </row>
    <row r="1482" spans="1:5" ht="30">
      <c r="A1482" s="261">
        <v>37598</v>
      </c>
      <c r="B1482" s="261" t="s">
        <v>5768</v>
      </c>
      <c r="C1482" s="261" t="s">
        <v>3240</v>
      </c>
      <c r="D1482" s="265" t="s">
        <v>16043</v>
      </c>
      <c r="E1482" s="262" t="s">
        <v>207</v>
      </c>
    </row>
    <row r="1483" spans="1:5" ht="45">
      <c r="A1483" s="261">
        <v>25398</v>
      </c>
      <c r="B1483" s="261" t="s">
        <v>5769</v>
      </c>
      <c r="C1483" s="261" t="s">
        <v>3240</v>
      </c>
      <c r="D1483" s="265" t="s">
        <v>19454</v>
      </c>
      <c r="E1483" s="262" t="s">
        <v>207</v>
      </c>
    </row>
    <row r="1484" spans="1:5" ht="45">
      <c r="A1484" s="261">
        <v>25399</v>
      </c>
      <c r="B1484" s="261" t="s">
        <v>5770</v>
      </c>
      <c r="C1484" s="261" t="s">
        <v>3240</v>
      </c>
      <c r="D1484" s="265" t="s">
        <v>19455</v>
      </c>
      <c r="E1484" s="262" t="s">
        <v>207</v>
      </c>
    </row>
    <row r="1485" spans="1:5" ht="30">
      <c r="A1485" s="261">
        <v>43440</v>
      </c>
      <c r="B1485" s="261" t="s">
        <v>11756</v>
      </c>
      <c r="C1485" s="261" t="s">
        <v>3240</v>
      </c>
      <c r="D1485" s="265" t="s">
        <v>19456</v>
      </c>
      <c r="E1485" s="262" t="s">
        <v>207</v>
      </c>
    </row>
    <row r="1486" spans="1:5" ht="45">
      <c r="A1486" s="261">
        <v>10667</v>
      </c>
      <c r="B1486" s="261" t="s">
        <v>5771</v>
      </c>
      <c r="C1486" s="261" t="s">
        <v>3240</v>
      </c>
      <c r="D1486" s="265" t="s">
        <v>19457</v>
      </c>
      <c r="E1486" s="262" t="s">
        <v>207</v>
      </c>
    </row>
    <row r="1487" spans="1:5" ht="30">
      <c r="A1487" s="261">
        <v>1613</v>
      </c>
      <c r="B1487" s="261" t="s">
        <v>5772</v>
      </c>
      <c r="C1487" s="261" t="s">
        <v>3240</v>
      </c>
      <c r="D1487" s="265" t="s">
        <v>19458</v>
      </c>
      <c r="E1487" s="262" t="s">
        <v>207</v>
      </c>
    </row>
    <row r="1488" spans="1:5" ht="30">
      <c r="A1488" s="261">
        <v>1626</v>
      </c>
      <c r="B1488" s="261" t="s">
        <v>5773</v>
      </c>
      <c r="C1488" s="261" t="s">
        <v>3240</v>
      </c>
      <c r="D1488" s="265" t="s">
        <v>19459</v>
      </c>
      <c r="E1488" s="262" t="s">
        <v>207</v>
      </c>
    </row>
    <row r="1489" spans="1:5" ht="30">
      <c r="A1489" s="261">
        <v>1625</v>
      </c>
      <c r="B1489" s="261" t="s">
        <v>5774</v>
      </c>
      <c r="C1489" s="261" t="s">
        <v>3240</v>
      </c>
      <c r="D1489" s="265" t="s">
        <v>19460</v>
      </c>
      <c r="E1489" s="262" t="s">
        <v>207</v>
      </c>
    </row>
    <row r="1490" spans="1:5" ht="30">
      <c r="A1490" s="261">
        <v>1622</v>
      </c>
      <c r="B1490" s="261" t="s">
        <v>5775</v>
      </c>
      <c r="C1490" s="261" t="s">
        <v>3240</v>
      </c>
      <c r="D1490" s="265" t="s">
        <v>19461</v>
      </c>
      <c r="E1490" s="262" t="s">
        <v>207</v>
      </c>
    </row>
    <row r="1491" spans="1:5" ht="30">
      <c r="A1491" s="261">
        <v>1620</v>
      </c>
      <c r="B1491" s="261" t="s">
        <v>5776</v>
      </c>
      <c r="C1491" s="261" t="s">
        <v>3240</v>
      </c>
      <c r="D1491" s="265" t="s">
        <v>19462</v>
      </c>
      <c r="E1491" s="262" t="s">
        <v>207</v>
      </c>
    </row>
    <row r="1492" spans="1:5" ht="30">
      <c r="A1492" s="261">
        <v>1629</v>
      </c>
      <c r="B1492" s="261" t="s">
        <v>5777</v>
      </c>
      <c r="C1492" s="261" t="s">
        <v>3240</v>
      </c>
      <c r="D1492" s="265" t="s">
        <v>19463</v>
      </c>
      <c r="E1492" s="262" t="s">
        <v>207</v>
      </c>
    </row>
    <row r="1493" spans="1:5" ht="30">
      <c r="A1493" s="261">
        <v>1627</v>
      </c>
      <c r="B1493" s="261" t="s">
        <v>5778</v>
      </c>
      <c r="C1493" s="261" t="s">
        <v>3240</v>
      </c>
      <c r="D1493" s="265" t="s">
        <v>19464</v>
      </c>
      <c r="E1493" s="262" t="s">
        <v>207</v>
      </c>
    </row>
    <row r="1494" spans="1:5" ht="30">
      <c r="A1494" s="261">
        <v>1623</v>
      </c>
      <c r="B1494" s="261" t="s">
        <v>5779</v>
      </c>
      <c r="C1494" s="261" t="s">
        <v>3240</v>
      </c>
      <c r="D1494" s="265" t="s">
        <v>19465</v>
      </c>
      <c r="E1494" s="262" t="s">
        <v>207</v>
      </c>
    </row>
    <row r="1495" spans="1:5" ht="30">
      <c r="A1495" s="261">
        <v>1619</v>
      </c>
      <c r="B1495" s="261" t="s">
        <v>5780</v>
      </c>
      <c r="C1495" s="261" t="s">
        <v>3240</v>
      </c>
      <c r="D1495" s="265" t="s">
        <v>19466</v>
      </c>
      <c r="E1495" s="262" t="s">
        <v>207</v>
      </c>
    </row>
    <row r="1496" spans="1:5" ht="30">
      <c r="A1496" s="261">
        <v>1630</v>
      </c>
      <c r="B1496" s="261" t="s">
        <v>5781</v>
      </c>
      <c r="C1496" s="261" t="s">
        <v>3240</v>
      </c>
      <c r="D1496" s="265" t="s">
        <v>19467</v>
      </c>
      <c r="E1496" s="262" t="s">
        <v>207</v>
      </c>
    </row>
    <row r="1497" spans="1:5" ht="30">
      <c r="A1497" s="261">
        <v>1616</v>
      </c>
      <c r="B1497" s="261" t="s">
        <v>5782</v>
      </c>
      <c r="C1497" s="261" t="s">
        <v>3240</v>
      </c>
      <c r="D1497" s="265" t="s">
        <v>19468</v>
      </c>
      <c r="E1497" s="262" t="s">
        <v>207</v>
      </c>
    </row>
    <row r="1498" spans="1:5" ht="30">
      <c r="A1498" s="261">
        <v>1614</v>
      </c>
      <c r="B1498" s="261" t="s">
        <v>5783</v>
      </c>
      <c r="C1498" s="261" t="s">
        <v>3240</v>
      </c>
      <c r="D1498" s="265" t="s">
        <v>19469</v>
      </c>
      <c r="E1498" s="262" t="s">
        <v>207</v>
      </c>
    </row>
    <row r="1499" spans="1:5" ht="30">
      <c r="A1499" s="261">
        <v>1617</v>
      </c>
      <c r="B1499" s="261" t="s">
        <v>5784</v>
      </c>
      <c r="C1499" s="261" t="s">
        <v>3240</v>
      </c>
      <c r="D1499" s="265" t="s">
        <v>19470</v>
      </c>
      <c r="E1499" s="262" t="s">
        <v>207</v>
      </c>
    </row>
    <row r="1500" spans="1:5" ht="30">
      <c r="A1500" s="261">
        <v>1621</v>
      </c>
      <c r="B1500" s="261" t="s">
        <v>5785</v>
      </c>
      <c r="C1500" s="261" t="s">
        <v>3240</v>
      </c>
      <c r="D1500" s="265" t="s">
        <v>19471</v>
      </c>
      <c r="E1500" s="262" t="s">
        <v>207</v>
      </c>
    </row>
    <row r="1501" spans="1:5" ht="30">
      <c r="A1501" s="261">
        <v>1624</v>
      </c>
      <c r="B1501" s="261" t="s">
        <v>5786</v>
      </c>
      <c r="C1501" s="261" t="s">
        <v>3240</v>
      </c>
      <c r="D1501" s="265" t="s">
        <v>19472</v>
      </c>
      <c r="E1501" s="262" t="s">
        <v>207</v>
      </c>
    </row>
    <row r="1502" spans="1:5" ht="30">
      <c r="A1502" s="261">
        <v>1615</v>
      </c>
      <c r="B1502" s="261" t="s">
        <v>5787</v>
      </c>
      <c r="C1502" s="261" t="s">
        <v>3240</v>
      </c>
      <c r="D1502" s="265" t="s">
        <v>19473</v>
      </c>
      <c r="E1502" s="262" t="s">
        <v>207</v>
      </c>
    </row>
    <row r="1503" spans="1:5" ht="30">
      <c r="A1503" s="261">
        <v>1612</v>
      </c>
      <c r="B1503" s="261" t="s">
        <v>5788</v>
      </c>
      <c r="C1503" s="261" t="s">
        <v>3240</v>
      </c>
      <c r="D1503" s="265" t="s">
        <v>19474</v>
      </c>
      <c r="E1503" s="262" t="s">
        <v>207</v>
      </c>
    </row>
    <row r="1504" spans="1:5" ht="30">
      <c r="A1504" s="261">
        <v>1618</v>
      </c>
      <c r="B1504" s="261" t="s">
        <v>5789</v>
      </c>
      <c r="C1504" s="261" t="s">
        <v>3240</v>
      </c>
      <c r="D1504" s="265" t="s">
        <v>19475</v>
      </c>
      <c r="E1504" s="262" t="s">
        <v>207</v>
      </c>
    </row>
    <row r="1505" spans="1:5" ht="15">
      <c r="A1505" s="261">
        <v>14211</v>
      </c>
      <c r="B1505" s="261" t="s">
        <v>5790</v>
      </c>
      <c r="C1505" s="261" t="s">
        <v>3240</v>
      </c>
      <c r="D1505" s="265" t="s">
        <v>19476</v>
      </c>
      <c r="E1505" s="262" t="s">
        <v>207</v>
      </c>
    </row>
    <row r="1506" spans="1:5" ht="15">
      <c r="A1506" s="261">
        <v>34500</v>
      </c>
      <c r="B1506" s="261" t="s">
        <v>5791</v>
      </c>
      <c r="C1506" s="261" t="s">
        <v>3239</v>
      </c>
      <c r="D1506" s="265" t="s">
        <v>12243</v>
      </c>
      <c r="E1506" s="262" t="s">
        <v>9714</v>
      </c>
    </row>
    <row r="1507" spans="1:5" ht="15">
      <c r="A1507" s="261">
        <v>40934</v>
      </c>
      <c r="B1507" s="261" t="s">
        <v>5792</v>
      </c>
      <c r="C1507" s="261" t="s">
        <v>3246</v>
      </c>
      <c r="D1507" s="265" t="s">
        <v>12244</v>
      </c>
      <c r="E1507" s="262" t="s">
        <v>9714</v>
      </c>
    </row>
    <row r="1508" spans="1:5" ht="15">
      <c r="A1508" s="261">
        <v>38200</v>
      </c>
      <c r="B1508" s="261" t="s">
        <v>5793</v>
      </c>
      <c r="C1508" s="261" t="s">
        <v>3253</v>
      </c>
      <c r="D1508" s="265" t="s">
        <v>19477</v>
      </c>
      <c r="E1508" s="262" t="s">
        <v>207</v>
      </c>
    </row>
    <row r="1509" spans="1:5" ht="30">
      <c r="A1509" s="261">
        <v>39269</v>
      </c>
      <c r="B1509" s="261" t="s">
        <v>5794</v>
      </c>
      <c r="C1509" s="261" t="s">
        <v>3243</v>
      </c>
      <c r="D1509" s="265" t="s">
        <v>19061</v>
      </c>
      <c r="E1509" s="262" t="s">
        <v>207</v>
      </c>
    </row>
    <row r="1510" spans="1:5" ht="30">
      <c r="A1510" s="261">
        <v>11889</v>
      </c>
      <c r="B1510" s="261" t="s">
        <v>5795</v>
      </c>
      <c r="C1510" s="261" t="s">
        <v>3243</v>
      </c>
      <c r="D1510" s="265" t="s">
        <v>11063</v>
      </c>
      <c r="E1510" s="262" t="s">
        <v>207</v>
      </c>
    </row>
    <row r="1511" spans="1:5" ht="30">
      <c r="A1511" s="261">
        <v>39270</v>
      </c>
      <c r="B1511" s="261" t="s">
        <v>5796</v>
      </c>
      <c r="C1511" s="261" t="s">
        <v>3243</v>
      </c>
      <c r="D1511" s="265" t="s">
        <v>11165</v>
      </c>
      <c r="E1511" s="262" t="s">
        <v>207</v>
      </c>
    </row>
    <row r="1512" spans="1:5" ht="30">
      <c r="A1512" s="261">
        <v>11890</v>
      </c>
      <c r="B1512" s="261" t="s">
        <v>5797</v>
      </c>
      <c r="C1512" s="261" t="s">
        <v>3243</v>
      </c>
      <c r="D1512" s="265" t="s">
        <v>10520</v>
      </c>
      <c r="E1512" s="262" t="s">
        <v>207</v>
      </c>
    </row>
    <row r="1513" spans="1:5" ht="30">
      <c r="A1513" s="261">
        <v>11891</v>
      </c>
      <c r="B1513" s="261" t="s">
        <v>5798</v>
      </c>
      <c r="C1513" s="261" t="s">
        <v>3243</v>
      </c>
      <c r="D1513" s="265" t="s">
        <v>10639</v>
      </c>
      <c r="E1513" s="262" t="s">
        <v>207</v>
      </c>
    </row>
    <row r="1514" spans="1:5" ht="30">
      <c r="A1514" s="261">
        <v>11892</v>
      </c>
      <c r="B1514" s="261" t="s">
        <v>5799</v>
      </c>
      <c r="C1514" s="261" t="s">
        <v>3243</v>
      </c>
      <c r="D1514" s="265" t="s">
        <v>10244</v>
      </c>
      <c r="E1514" s="262" t="s">
        <v>207</v>
      </c>
    </row>
    <row r="1515" spans="1:5" ht="15">
      <c r="A1515" s="261">
        <v>37601</v>
      </c>
      <c r="B1515" s="261" t="s">
        <v>5800</v>
      </c>
      <c r="C1515" s="261" t="s">
        <v>3243</v>
      </c>
      <c r="D1515" s="265" t="s">
        <v>11059</v>
      </c>
      <c r="E1515" s="262" t="s">
        <v>207</v>
      </c>
    </row>
    <row r="1516" spans="1:5" ht="15">
      <c r="A1516" s="261">
        <v>1634</v>
      </c>
      <c r="B1516" s="261" t="s">
        <v>5801</v>
      </c>
      <c r="C1516" s="261" t="s">
        <v>3243</v>
      </c>
      <c r="D1516" s="265" t="s">
        <v>19478</v>
      </c>
      <c r="E1516" s="262" t="s">
        <v>207</v>
      </c>
    </row>
    <row r="1517" spans="1:5" ht="30">
      <c r="A1517" s="261">
        <v>5086</v>
      </c>
      <c r="B1517" s="261" t="s">
        <v>5802</v>
      </c>
      <c r="C1517" s="261" t="s">
        <v>3244</v>
      </c>
      <c r="D1517" s="265" t="s">
        <v>19479</v>
      </c>
      <c r="E1517" s="262" t="s">
        <v>207</v>
      </c>
    </row>
    <row r="1518" spans="1:5" ht="30">
      <c r="A1518" s="261">
        <v>11280</v>
      </c>
      <c r="B1518" s="261" t="s">
        <v>5803</v>
      </c>
      <c r="C1518" s="261" t="s">
        <v>3240</v>
      </c>
      <c r="D1518" s="265" t="s">
        <v>19480</v>
      </c>
      <c r="E1518" s="262" t="s">
        <v>8987</v>
      </c>
    </row>
    <row r="1519" spans="1:5" ht="30">
      <c r="A1519" s="261">
        <v>40519</v>
      </c>
      <c r="B1519" s="261" t="s">
        <v>5804</v>
      </c>
      <c r="C1519" s="261" t="s">
        <v>3240</v>
      </c>
      <c r="D1519" s="265" t="s">
        <v>19481</v>
      </c>
      <c r="E1519" s="262" t="s">
        <v>8987</v>
      </c>
    </row>
    <row r="1520" spans="1:5" ht="30">
      <c r="A1520" s="261">
        <v>39869</v>
      </c>
      <c r="B1520" s="261" t="s">
        <v>5805</v>
      </c>
      <c r="C1520" s="261" t="s">
        <v>3240</v>
      </c>
      <c r="D1520" s="265" t="s">
        <v>11395</v>
      </c>
      <c r="E1520" s="262" t="s">
        <v>207</v>
      </c>
    </row>
    <row r="1521" spans="1:5" ht="30">
      <c r="A1521" s="261">
        <v>39870</v>
      </c>
      <c r="B1521" s="261" t="s">
        <v>5806</v>
      </c>
      <c r="C1521" s="261" t="s">
        <v>3240</v>
      </c>
      <c r="D1521" s="265" t="s">
        <v>10183</v>
      </c>
      <c r="E1521" s="262" t="s">
        <v>207</v>
      </c>
    </row>
    <row r="1522" spans="1:5" ht="30">
      <c r="A1522" s="261">
        <v>39871</v>
      </c>
      <c r="B1522" s="261" t="s">
        <v>5807</v>
      </c>
      <c r="C1522" s="261" t="s">
        <v>3240</v>
      </c>
      <c r="D1522" s="265" t="s">
        <v>10420</v>
      </c>
      <c r="E1522" s="262" t="s">
        <v>207</v>
      </c>
    </row>
    <row r="1523" spans="1:5" ht="30">
      <c r="A1523" s="261">
        <v>12722</v>
      </c>
      <c r="B1523" s="261" t="s">
        <v>5808</v>
      </c>
      <c r="C1523" s="261" t="s">
        <v>3240</v>
      </c>
      <c r="D1523" s="265" t="s">
        <v>19482</v>
      </c>
      <c r="E1523" s="262" t="s">
        <v>207</v>
      </c>
    </row>
    <row r="1524" spans="1:5" ht="30">
      <c r="A1524" s="261">
        <v>12714</v>
      </c>
      <c r="B1524" s="261" t="s">
        <v>5809</v>
      </c>
      <c r="C1524" s="261" t="s">
        <v>3240</v>
      </c>
      <c r="D1524" s="265" t="s">
        <v>10480</v>
      </c>
      <c r="E1524" s="262" t="s">
        <v>207</v>
      </c>
    </row>
    <row r="1525" spans="1:5" ht="30">
      <c r="A1525" s="261">
        <v>12715</v>
      </c>
      <c r="B1525" s="261" t="s">
        <v>5810</v>
      </c>
      <c r="C1525" s="261" t="s">
        <v>3240</v>
      </c>
      <c r="D1525" s="266" t="s">
        <v>10585</v>
      </c>
      <c r="E1525" s="262" t="s">
        <v>207</v>
      </c>
    </row>
    <row r="1526" spans="1:5" ht="30">
      <c r="A1526" s="261">
        <v>12716</v>
      </c>
      <c r="B1526" s="261" t="s">
        <v>5811</v>
      </c>
      <c r="C1526" s="261" t="s">
        <v>3240</v>
      </c>
      <c r="D1526" s="265" t="s">
        <v>10461</v>
      </c>
      <c r="E1526" s="262" t="s">
        <v>207</v>
      </c>
    </row>
    <row r="1527" spans="1:5" ht="30">
      <c r="A1527" s="261">
        <v>12717</v>
      </c>
      <c r="B1527" s="261" t="s">
        <v>5812</v>
      </c>
      <c r="C1527" s="261" t="s">
        <v>3240</v>
      </c>
      <c r="D1527" s="265" t="s">
        <v>19483</v>
      </c>
      <c r="E1527" s="262" t="s">
        <v>207</v>
      </c>
    </row>
    <row r="1528" spans="1:5" ht="30">
      <c r="A1528" s="261">
        <v>12718</v>
      </c>
      <c r="B1528" s="261" t="s">
        <v>5813</v>
      </c>
      <c r="C1528" s="261" t="s">
        <v>3240</v>
      </c>
      <c r="D1528" s="265" t="s">
        <v>19484</v>
      </c>
      <c r="E1528" s="262" t="s">
        <v>207</v>
      </c>
    </row>
    <row r="1529" spans="1:5" ht="30">
      <c r="A1529" s="261">
        <v>12719</v>
      </c>
      <c r="B1529" s="261" t="s">
        <v>5814</v>
      </c>
      <c r="C1529" s="261" t="s">
        <v>3240</v>
      </c>
      <c r="D1529" s="265" t="s">
        <v>19485</v>
      </c>
      <c r="E1529" s="262" t="s">
        <v>207</v>
      </c>
    </row>
    <row r="1530" spans="1:5" ht="30">
      <c r="A1530" s="261">
        <v>12720</v>
      </c>
      <c r="B1530" s="261" t="s">
        <v>5815</v>
      </c>
      <c r="C1530" s="261" t="s">
        <v>3240</v>
      </c>
      <c r="D1530" s="265" t="s">
        <v>19486</v>
      </c>
      <c r="E1530" s="262" t="s">
        <v>207</v>
      </c>
    </row>
    <row r="1531" spans="1:5" ht="30">
      <c r="A1531" s="261">
        <v>12721</v>
      </c>
      <c r="B1531" s="261" t="s">
        <v>5816</v>
      </c>
      <c r="C1531" s="261" t="s">
        <v>3240</v>
      </c>
      <c r="D1531" s="265" t="s">
        <v>19487</v>
      </c>
      <c r="E1531" s="262" t="s">
        <v>207</v>
      </c>
    </row>
    <row r="1532" spans="1:5" ht="30">
      <c r="A1532" s="261">
        <v>3468</v>
      </c>
      <c r="B1532" s="261" t="s">
        <v>5817</v>
      </c>
      <c r="C1532" s="261" t="s">
        <v>3240</v>
      </c>
      <c r="D1532" s="265" t="s">
        <v>19338</v>
      </c>
      <c r="E1532" s="262" t="s">
        <v>207</v>
      </c>
    </row>
    <row r="1533" spans="1:5" ht="30">
      <c r="A1533" s="261">
        <v>3465</v>
      </c>
      <c r="B1533" s="261" t="s">
        <v>5818</v>
      </c>
      <c r="C1533" s="261" t="s">
        <v>3240</v>
      </c>
      <c r="D1533" s="265" t="s">
        <v>16097</v>
      </c>
      <c r="E1533" s="264" t="s">
        <v>207</v>
      </c>
    </row>
    <row r="1534" spans="1:5" ht="30">
      <c r="A1534" s="261">
        <v>12403</v>
      </c>
      <c r="B1534" s="261" t="s">
        <v>5819</v>
      </c>
      <c r="C1534" s="261" t="s">
        <v>3240</v>
      </c>
      <c r="D1534" s="265" t="s">
        <v>19018</v>
      </c>
      <c r="E1534" s="264" t="s">
        <v>207</v>
      </c>
    </row>
    <row r="1535" spans="1:5" ht="30">
      <c r="A1535" s="261">
        <v>3463</v>
      </c>
      <c r="B1535" s="261" t="s">
        <v>5820</v>
      </c>
      <c r="C1535" s="261" t="s">
        <v>3240</v>
      </c>
      <c r="D1535" s="265" t="s">
        <v>10564</v>
      </c>
      <c r="E1535" s="262" t="s">
        <v>207</v>
      </c>
    </row>
    <row r="1536" spans="1:5" ht="30">
      <c r="A1536" s="261">
        <v>3464</v>
      </c>
      <c r="B1536" s="261" t="s">
        <v>5821</v>
      </c>
      <c r="C1536" s="261" t="s">
        <v>3240</v>
      </c>
      <c r="D1536" s="265" t="s">
        <v>10564</v>
      </c>
      <c r="E1536" s="262" t="s">
        <v>207</v>
      </c>
    </row>
    <row r="1537" spans="1:5" ht="30">
      <c r="A1537" s="261">
        <v>3466</v>
      </c>
      <c r="B1537" s="261" t="s">
        <v>5822</v>
      </c>
      <c r="C1537" s="261" t="s">
        <v>3240</v>
      </c>
      <c r="D1537" s="265" t="s">
        <v>16641</v>
      </c>
      <c r="E1537" s="262" t="s">
        <v>207</v>
      </c>
    </row>
    <row r="1538" spans="1:5" ht="30">
      <c r="A1538" s="261">
        <v>3467</v>
      </c>
      <c r="B1538" s="261" t="s">
        <v>5823</v>
      </c>
      <c r="C1538" s="261" t="s">
        <v>3240</v>
      </c>
      <c r="D1538" s="265" t="s">
        <v>15980</v>
      </c>
      <c r="E1538" s="262" t="s">
        <v>207</v>
      </c>
    </row>
    <row r="1539" spans="1:5" ht="30">
      <c r="A1539" s="261">
        <v>3462</v>
      </c>
      <c r="B1539" s="261" t="s">
        <v>5824</v>
      </c>
      <c r="C1539" s="261" t="s">
        <v>3240</v>
      </c>
      <c r="D1539" s="265" t="s">
        <v>10278</v>
      </c>
      <c r="E1539" s="262" t="s">
        <v>207</v>
      </c>
    </row>
    <row r="1540" spans="1:5" ht="15">
      <c r="A1540" s="261">
        <v>3446</v>
      </c>
      <c r="B1540" s="261" t="s">
        <v>5825</v>
      </c>
      <c r="C1540" s="261" t="s">
        <v>3240</v>
      </c>
      <c r="D1540" s="265" t="s">
        <v>19488</v>
      </c>
      <c r="E1540" s="262" t="s">
        <v>207</v>
      </c>
    </row>
    <row r="1541" spans="1:5" ht="15">
      <c r="A1541" s="261">
        <v>3445</v>
      </c>
      <c r="B1541" s="261" t="s">
        <v>5826</v>
      </c>
      <c r="C1541" s="261" t="s">
        <v>3240</v>
      </c>
      <c r="D1541" s="265" t="s">
        <v>10392</v>
      </c>
      <c r="E1541" s="262" t="s">
        <v>207</v>
      </c>
    </row>
    <row r="1542" spans="1:5" ht="15">
      <c r="A1542" s="261">
        <v>3441</v>
      </c>
      <c r="B1542" s="261" t="s">
        <v>5827</v>
      </c>
      <c r="C1542" s="261" t="s">
        <v>3240</v>
      </c>
      <c r="D1542" s="265" t="s">
        <v>10048</v>
      </c>
      <c r="E1542" s="262" t="s">
        <v>207</v>
      </c>
    </row>
    <row r="1543" spans="1:5" ht="15">
      <c r="A1543" s="261">
        <v>3444</v>
      </c>
      <c r="B1543" s="261" t="s">
        <v>5828</v>
      </c>
      <c r="C1543" s="261" t="s">
        <v>3240</v>
      </c>
      <c r="D1543" s="265" t="s">
        <v>11270</v>
      </c>
      <c r="E1543" s="262" t="s">
        <v>207</v>
      </c>
    </row>
    <row r="1544" spans="1:5" ht="15">
      <c r="A1544" s="261">
        <v>12402</v>
      </c>
      <c r="B1544" s="261" t="s">
        <v>5829</v>
      </c>
      <c r="C1544" s="261" t="s">
        <v>3240</v>
      </c>
      <c r="D1544" s="265" t="s">
        <v>19489</v>
      </c>
      <c r="E1544" s="262" t="s">
        <v>207</v>
      </c>
    </row>
    <row r="1545" spans="1:5" ht="15">
      <c r="A1545" s="261">
        <v>3447</v>
      </c>
      <c r="B1545" s="261" t="s">
        <v>5830</v>
      </c>
      <c r="C1545" s="261" t="s">
        <v>3240</v>
      </c>
      <c r="D1545" s="265" t="s">
        <v>19490</v>
      </c>
      <c r="E1545" s="262" t="s">
        <v>207</v>
      </c>
    </row>
    <row r="1546" spans="1:5" ht="15">
      <c r="A1546" s="261">
        <v>3442</v>
      </c>
      <c r="B1546" s="261" t="s">
        <v>5831</v>
      </c>
      <c r="C1546" s="261" t="s">
        <v>3240</v>
      </c>
      <c r="D1546" s="265" t="s">
        <v>11347</v>
      </c>
      <c r="E1546" s="262" t="s">
        <v>207</v>
      </c>
    </row>
    <row r="1547" spans="1:5" ht="15">
      <c r="A1547" s="261">
        <v>3448</v>
      </c>
      <c r="B1547" s="261" t="s">
        <v>5832</v>
      </c>
      <c r="C1547" s="261" t="s">
        <v>3240</v>
      </c>
      <c r="D1547" s="265" t="s">
        <v>19491</v>
      </c>
      <c r="E1547" s="262" t="s">
        <v>207</v>
      </c>
    </row>
    <row r="1548" spans="1:5" ht="15">
      <c r="A1548" s="261">
        <v>3449</v>
      </c>
      <c r="B1548" s="261" t="s">
        <v>5833</v>
      </c>
      <c r="C1548" s="261" t="s">
        <v>3240</v>
      </c>
      <c r="D1548" s="265" t="s">
        <v>19492</v>
      </c>
      <c r="E1548" s="262" t="s">
        <v>207</v>
      </c>
    </row>
    <row r="1549" spans="1:5" ht="15">
      <c r="A1549" s="261">
        <v>37438</v>
      </c>
      <c r="B1549" s="261" t="s">
        <v>5834</v>
      </c>
      <c r="C1549" s="261" t="s">
        <v>3240</v>
      </c>
      <c r="D1549" s="265" t="s">
        <v>19493</v>
      </c>
      <c r="E1549" s="262" t="s">
        <v>207</v>
      </c>
    </row>
    <row r="1550" spans="1:5" ht="15">
      <c r="A1550" s="261">
        <v>37439</v>
      </c>
      <c r="B1550" s="261" t="s">
        <v>5835</v>
      </c>
      <c r="C1550" s="261" t="s">
        <v>3240</v>
      </c>
      <c r="D1550" s="265" t="s">
        <v>19494</v>
      </c>
      <c r="E1550" s="262" t="s">
        <v>207</v>
      </c>
    </row>
    <row r="1551" spans="1:5" ht="15">
      <c r="A1551" s="261">
        <v>37435</v>
      </c>
      <c r="B1551" s="261" t="s">
        <v>5836</v>
      </c>
      <c r="C1551" s="261" t="s">
        <v>3240</v>
      </c>
      <c r="D1551" s="265" t="s">
        <v>15825</v>
      </c>
      <c r="E1551" s="262" t="s">
        <v>207</v>
      </c>
    </row>
    <row r="1552" spans="1:5" ht="15">
      <c r="A1552" s="261">
        <v>37436</v>
      </c>
      <c r="B1552" s="261" t="s">
        <v>5837</v>
      </c>
      <c r="C1552" s="261" t="s">
        <v>3240</v>
      </c>
      <c r="D1552" s="265" t="s">
        <v>19495</v>
      </c>
      <c r="E1552" s="262" t="s">
        <v>207</v>
      </c>
    </row>
    <row r="1553" spans="1:5" ht="15">
      <c r="A1553" s="261">
        <v>37437</v>
      </c>
      <c r="B1553" s="261" t="s">
        <v>5838</v>
      </c>
      <c r="C1553" s="261" t="s">
        <v>3240</v>
      </c>
      <c r="D1553" s="265" t="s">
        <v>16470</v>
      </c>
      <c r="E1553" s="262" t="s">
        <v>207</v>
      </c>
    </row>
    <row r="1554" spans="1:5" ht="30">
      <c r="A1554" s="261">
        <v>3473</v>
      </c>
      <c r="B1554" s="261" t="s">
        <v>5839</v>
      </c>
      <c r="C1554" s="261" t="s">
        <v>3240</v>
      </c>
      <c r="D1554" s="265" t="s">
        <v>16121</v>
      </c>
      <c r="E1554" s="262" t="s">
        <v>207</v>
      </c>
    </row>
    <row r="1555" spans="1:5" ht="30">
      <c r="A1555" s="261">
        <v>3474</v>
      </c>
      <c r="B1555" s="261" t="s">
        <v>5840</v>
      </c>
      <c r="C1555" s="261" t="s">
        <v>3240</v>
      </c>
      <c r="D1555" s="265" t="s">
        <v>19496</v>
      </c>
      <c r="E1555" s="262" t="s">
        <v>207</v>
      </c>
    </row>
    <row r="1556" spans="1:5" ht="30">
      <c r="A1556" s="261">
        <v>3450</v>
      </c>
      <c r="B1556" s="261" t="s">
        <v>5841</v>
      </c>
      <c r="C1556" s="261" t="s">
        <v>3240</v>
      </c>
      <c r="D1556" s="265" t="s">
        <v>10937</v>
      </c>
      <c r="E1556" s="262" t="s">
        <v>207</v>
      </c>
    </row>
    <row r="1557" spans="1:5" ht="30">
      <c r="A1557" s="261">
        <v>3443</v>
      </c>
      <c r="B1557" s="261" t="s">
        <v>5842</v>
      </c>
      <c r="C1557" s="261" t="s">
        <v>3240</v>
      </c>
      <c r="D1557" s="265" t="s">
        <v>11388</v>
      </c>
      <c r="E1557" s="262" t="s">
        <v>207</v>
      </c>
    </row>
    <row r="1558" spans="1:5" ht="30">
      <c r="A1558" s="261">
        <v>3453</v>
      </c>
      <c r="B1558" s="261" t="s">
        <v>5843</v>
      </c>
      <c r="C1558" s="261" t="s">
        <v>3240</v>
      </c>
      <c r="D1558" s="265" t="s">
        <v>19497</v>
      </c>
      <c r="E1558" s="262" t="s">
        <v>207</v>
      </c>
    </row>
    <row r="1559" spans="1:5" ht="30">
      <c r="A1559" s="261">
        <v>3452</v>
      </c>
      <c r="B1559" s="261" t="s">
        <v>5844</v>
      </c>
      <c r="C1559" s="261" t="s">
        <v>3240</v>
      </c>
      <c r="D1559" s="265" t="s">
        <v>19498</v>
      </c>
      <c r="E1559" s="262" t="s">
        <v>207</v>
      </c>
    </row>
    <row r="1560" spans="1:5" ht="30">
      <c r="A1560" s="261">
        <v>3451</v>
      </c>
      <c r="B1560" s="261" t="s">
        <v>5845</v>
      </c>
      <c r="C1560" s="261" t="s">
        <v>3240</v>
      </c>
      <c r="D1560" s="265" t="s">
        <v>12397</v>
      </c>
      <c r="E1560" s="262" t="s">
        <v>207</v>
      </c>
    </row>
    <row r="1561" spans="1:5" ht="30">
      <c r="A1561" s="261">
        <v>3454</v>
      </c>
      <c r="B1561" s="261" t="s">
        <v>5846</v>
      </c>
      <c r="C1561" s="261" t="s">
        <v>3240</v>
      </c>
      <c r="D1561" s="265" t="s">
        <v>19499</v>
      </c>
      <c r="E1561" s="262" t="s">
        <v>207</v>
      </c>
    </row>
    <row r="1562" spans="1:5" ht="15">
      <c r="A1562" s="261">
        <v>3458</v>
      </c>
      <c r="B1562" s="261" t="s">
        <v>5847</v>
      </c>
      <c r="C1562" s="261" t="s">
        <v>3240</v>
      </c>
      <c r="D1562" s="265" t="s">
        <v>19500</v>
      </c>
      <c r="E1562" s="262" t="s">
        <v>207</v>
      </c>
    </row>
    <row r="1563" spans="1:5" ht="15">
      <c r="A1563" s="261">
        <v>3457</v>
      </c>
      <c r="B1563" s="261" t="s">
        <v>5848</v>
      </c>
      <c r="C1563" s="261" t="s">
        <v>3240</v>
      </c>
      <c r="D1563" s="265" t="s">
        <v>14123</v>
      </c>
      <c r="E1563" s="262" t="s">
        <v>207</v>
      </c>
    </row>
    <row r="1564" spans="1:5" ht="15">
      <c r="A1564" s="261">
        <v>3455</v>
      </c>
      <c r="B1564" s="261" t="s">
        <v>5849</v>
      </c>
      <c r="C1564" s="261" t="s">
        <v>3240</v>
      </c>
      <c r="D1564" s="265" t="s">
        <v>11039</v>
      </c>
      <c r="E1564" s="262" t="s">
        <v>207</v>
      </c>
    </row>
    <row r="1565" spans="1:5" ht="15">
      <c r="A1565" s="261">
        <v>3472</v>
      </c>
      <c r="B1565" s="261" t="s">
        <v>5850</v>
      </c>
      <c r="C1565" s="261" t="s">
        <v>3240</v>
      </c>
      <c r="D1565" s="265" t="s">
        <v>10109</v>
      </c>
      <c r="E1565" s="262" t="s">
        <v>207</v>
      </c>
    </row>
    <row r="1566" spans="1:5" ht="15">
      <c r="A1566" s="261">
        <v>3470</v>
      </c>
      <c r="B1566" s="261" t="s">
        <v>5851</v>
      </c>
      <c r="C1566" s="261" t="s">
        <v>3240</v>
      </c>
      <c r="D1566" s="265" t="s">
        <v>19501</v>
      </c>
      <c r="E1566" s="262" t="s">
        <v>207</v>
      </c>
    </row>
    <row r="1567" spans="1:5" ht="15">
      <c r="A1567" s="261">
        <v>3471</v>
      </c>
      <c r="B1567" s="261" t="s">
        <v>5852</v>
      </c>
      <c r="C1567" s="261" t="s">
        <v>3240</v>
      </c>
      <c r="D1567" s="265" t="s">
        <v>15858</v>
      </c>
      <c r="E1567" s="262" t="s">
        <v>207</v>
      </c>
    </row>
    <row r="1568" spans="1:5" ht="15">
      <c r="A1568" s="261">
        <v>3456</v>
      </c>
      <c r="B1568" s="261" t="s">
        <v>5853</v>
      </c>
      <c r="C1568" s="261" t="s">
        <v>3240</v>
      </c>
      <c r="D1568" s="265" t="s">
        <v>15788</v>
      </c>
      <c r="E1568" s="262" t="s">
        <v>207</v>
      </c>
    </row>
    <row r="1569" spans="1:5" ht="15">
      <c r="A1569" s="261">
        <v>3459</v>
      </c>
      <c r="B1569" s="261" t="s">
        <v>5854</v>
      </c>
      <c r="C1569" s="261" t="s">
        <v>3240</v>
      </c>
      <c r="D1569" s="265" t="s">
        <v>19502</v>
      </c>
      <c r="E1569" s="262" t="s">
        <v>207</v>
      </c>
    </row>
    <row r="1570" spans="1:5" ht="15">
      <c r="A1570" s="261">
        <v>3469</v>
      </c>
      <c r="B1570" s="261" t="s">
        <v>5855</v>
      </c>
      <c r="C1570" s="261" t="s">
        <v>3240</v>
      </c>
      <c r="D1570" s="265" t="s">
        <v>19503</v>
      </c>
      <c r="E1570" s="262" t="s">
        <v>207</v>
      </c>
    </row>
    <row r="1571" spans="1:5" ht="15">
      <c r="A1571" s="261">
        <v>3460</v>
      </c>
      <c r="B1571" s="261" t="s">
        <v>5856</v>
      </c>
      <c r="C1571" s="261" t="s">
        <v>3240</v>
      </c>
      <c r="D1571" s="265" t="s">
        <v>19504</v>
      </c>
      <c r="E1571" s="262" t="s">
        <v>207</v>
      </c>
    </row>
    <row r="1572" spans="1:5" ht="15">
      <c r="A1572" s="261">
        <v>3461</v>
      </c>
      <c r="B1572" s="261" t="s">
        <v>5857</v>
      </c>
      <c r="C1572" s="261" t="s">
        <v>3240</v>
      </c>
      <c r="D1572" s="265" t="s">
        <v>19505</v>
      </c>
      <c r="E1572" s="262" t="s">
        <v>207</v>
      </c>
    </row>
    <row r="1573" spans="1:5" ht="15">
      <c r="A1573" s="261">
        <v>37433</v>
      </c>
      <c r="B1573" s="261" t="s">
        <v>5858</v>
      </c>
      <c r="C1573" s="261" t="s">
        <v>3240</v>
      </c>
      <c r="D1573" s="265" t="s">
        <v>19493</v>
      </c>
      <c r="E1573" s="262" t="s">
        <v>207</v>
      </c>
    </row>
    <row r="1574" spans="1:5" ht="15">
      <c r="A1574" s="261">
        <v>37430</v>
      </c>
      <c r="B1574" s="261" t="s">
        <v>5859</v>
      </c>
      <c r="C1574" s="261" t="s">
        <v>3240</v>
      </c>
      <c r="D1574" s="265" t="s">
        <v>11256</v>
      </c>
      <c r="E1574" s="262" t="s">
        <v>207</v>
      </c>
    </row>
    <row r="1575" spans="1:5" ht="15">
      <c r="A1575" s="261">
        <v>37434</v>
      </c>
      <c r="B1575" s="261" t="s">
        <v>5860</v>
      </c>
      <c r="C1575" s="261" t="s">
        <v>3240</v>
      </c>
      <c r="D1575" s="265" t="s">
        <v>19506</v>
      </c>
      <c r="E1575" s="262" t="s">
        <v>207</v>
      </c>
    </row>
    <row r="1576" spans="1:5" ht="15">
      <c r="A1576" s="261">
        <v>37431</v>
      </c>
      <c r="B1576" s="261" t="s">
        <v>5861</v>
      </c>
      <c r="C1576" s="261" t="s">
        <v>3240</v>
      </c>
      <c r="D1576" s="265" t="s">
        <v>16645</v>
      </c>
      <c r="E1576" s="262" t="s">
        <v>207</v>
      </c>
    </row>
    <row r="1577" spans="1:5" ht="15">
      <c r="A1577" s="261">
        <v>37432</v>
      </c>
      <c r="B1577" s="261" t="s">
        <v>5862</v>
      </c>
      <c r="C1577" s="261" t="s">
        <v>3240</v>
      </c>
      <c r="D1577" s="265" t="s">
        <v>14265</v>
      </c>
      <c r="E1577" s="262" t="s">
        <v>207</v>
      </c>
    </row>
    <row r="1578" spans="1:5" ht="30">
      <c r="A1578" s="261">
        <v>37413</v>
      </c>
      <c r="B1578" s="261" t="s">
        <v>5863</v>
      </c>
      <c r="C1578" s="261" t="s">
        <v>3240</v>
      </c>
      <c r="D1578" s="265" t="s">
        <v>9753</v>
      </c>
      <c r="E1578" s="262" t="s">
        <v>207</v>
      </c>
    </row>
    <row r="1579" spans="1:5" ht="30">
      <c r="A1579" s="261">
        <v>37414</v>
      </c>
      <c r="B1579" s="261" t="s">
        <v>5864</v>
      </c>
      <c r="C1579" s="261" t="s">
        <v>3240</v>
      </c>
      <c r="D1579" s="265" t="s">
        <v>10582</v>
      </c>
      <c r="E1579" s="262" t="s">
        <v>207</v>
      </c>
    </row>
    <row r="1580" spans="1:5" ht="30">
      <c r="A1580" s="261">
        <v>37415</v>
      </c>
      <c r="B1580" s="261" t="s">
        <v>5865</v>
      </c>
      <c r="C1580" s="261" t="s">
        <v>3240</v>
      </c>
      <c r="D1580" s="265" t="s">
        <v>11411</v>
      </c>
      <c r="E1580" s="262" t="s">
        <v>207</v>
      </c>
    </row>
    <row r="1581" spans="1:5" ht="30">
      <c r="A1581" s="261">
        <v>37416</v>
      </c>
      <c r="B1581" s="261" t="s">
        <v>5866</v>
      </c>
      <c r="C1581" s="261" t="s">
        <v>3240</v>
      </c>
      <c r="D1581" s="265" t="s">
        <v>10303</v>
      </c>
      <c r="E1581" s="262" t="s">
        <v>207</v>
      </c>
    </row>
    <row r="1582" spans="1:5" ht="30">
      <c r="A1582" s="261">
        <v>37417</v>
      </c>
      <c r="B1582" s="261" t="s">
        <v>5867</v>
      </c>
      <c r="C1582" s="261" t="s">
        <v>3240</v>
      </c>
      <c r="D1582" s="265" t="s">
        <v>11304</v>
      </c>
      <c r="E1582" s="262" t="s">
        <v>207</v>
      </c>
    </row>
    <row r="1583" spans="1:5" ht="30">
      <c r="A1583" s="261">
        <v>43590</v>
      </c>
      <c r="B1583" s="261" t="s">
        <v>11757</v>
      </c>
      <c r="C1583" s="261" t="s">
        <v>3240</v>
      </c>
      <c r="D1583" s="265" t="s">
        <v>19507</v>
      </c>
      <c r="E1583" s="262" t="s">
        <v>207</v>
      </c>
    </row>
    <row r="1584" spans="1:5" ht="30">
      <c r="A1584" s="261">
        <v>43589</v>
      </c>
      <c r="B1584" s="261" t="s">
        <v>11758</v>
      </c>
      <c r="C1584" s="261" t="s">
        <v>3240</v>
      </c>
      <c r="D1584" s="265" t="s">
        <v>16196</v>
      </c>
      <c r="E1584" s="262" t="s">
        <v>207</v>
      </c>
    </row>
    <row r="1585" spans="1:5" ht="15">
      <c r="A1585" s="261">
        <v>34519</v>
      </c>
      <c r="B1585" s="261" t="s">
        <v>5868</v>
      </c>
      <c r="C1585" s="261" t="s">
        <v>3240</v>
      </c>
      <c r="D1585" s="265" t="s">
        <v>19508</v>
      </c>
      <c r="E1585" s="262" t="s">
        <v>207</v>
      </c>
    </row>
    <row r="1586" spans="1:5" ht="15">
      <c r="A1586" s="261">
        <v>1649</v>
      </c>
      <c r="B1586" s="261" t="s">
        <v>5869</v>
      </c>
      <c r="C1586" s="261" t="s">
        <v>3240</v>
      </c>
      <c r="D1586" s="265" t="s">
        <v>19509</v>
      </c>
      <c r="E1586" s="262" t="s">
        <v>207</v>
      </c>
    </row>
    <row r="1587" spans="1:5" ht="15">
      <c r="A1587" s="261">
        <v>1653</v>
      </c>
      <c r="B1587" s="261" t="s">
        <v>5870</v>
      </c>
      <c r="C1587" s="261" t="s">
        <v>3240</v>
      </c>
      <c r="D1587" s="265" t="s">
        <v>19510</v>
      </c>
      <c r="E1587" s="262" t="s">
        <v>207</v>
      </c>
    </row>
    <row r="1588" spans="1:5" ht="15">
      <c r="A1588" s="261">
        <v>1647</v>
      </c>
      <c r="B1588" s="261" t="s">
        <v>5871</v>
      </c>
      <c r="C1588" s="261" t="s">
        <v>3240</v>
      </c>
      <c r="D1588" s="265" t="s">
        <v>12205</v>
      </c>
      <c r="E1588" s="262" t="s">
        <v>207</v>
      </c>
    </row>
    <row r="1589" spans="1:5" ht="15">
      <c r="A1589" s="261">
        <v>1648</v>
      </c>
      <c r="B1589" s="261" t="s">
        <v>5872</v>
      </c>
      <c r="C1589" s="261" t="s">
        <v>3240</v>
      </c>
      <c r="D1589" s="265" t="s">
        <v>19511</v>
      </c>
      <c r="E1589" s="262" t="s">
        <v>207</v>
      </c>
    </row>
    <row r="1590" spans="1:5" ht="15">
      <c r="A1590" s="261">
        <v>1651</v>
      </c>
      <c r="B1590" s="261" t="s">
        <v>5873</v>
      </c>
      <c r="C1590" s="261" t="s">
        <v>3240</v>
      </c>
      <c r="D1590" s="265" t="s">
        <v>19512</v>
      </c>
      <c r="E1590" s="262" t="s">
        <v>207</v>
      </c>
    </row>
    <row r="1591" spans="1:5" ht="15">
      <c r="A1591" s="261">
        <v>1650</v>
      </c>
      <c r="B1591" s="261" t="s">
        <v>5874</v>
      </c>
      <c r="C1591" s="261" t="s">
        <v>3240</v>
      </c>
      <c r="D1591" s="265" t="s">
        <v>19513</v>
      </c>
      <c r="E1591" s="262" t="s">
        <v>207</v>
      </c>
    </row>
    <row r="1592" spans="1:5" ht="15">
      <c r="A1592" s="261">
        <v>1654</v>
      </c>
      <c r="B1592" s="261" t="s">
        <v>5875</v>
      </c>
      <c r="C1592" s="261" t="s">
        <v>3240</v>
      </c>
      <c r="D1592" s="265" t="s">
        <v>15790</v>
      </c>
      <c r="E1592" s="262" t="s">
        <v>207</v>
      </c>
    </row>
    <row r="1593" spans="1:5" ht="15">
      <c r="A1593" s="261">
        <v>1652</v>
      </c>
      <c r="B1593" s="261" t="s">
        <v>5876</v>
      </c>
      <c r="C1593" s="261" t="s">
        <v>3240</v>
      </c>
      <c r="D1593" s="265" t="s">
        <v>19514</v>
      </c>
      <c r="E1593" s="262" t="s">
        <v>207</v>
      </c>
    </row>
    <row r="1594" spans="1:5" ht="30">
      <c r="A1594" s="261">
        <v>10510</v>
      </c>
      <c r="B1594" s="261" t="s">
        <v>11759</v>
      </c>
      <c r="C1594" s="261" t="s">
        <v>3240</v>
      </c>
      <c r="D1594" s="265" t="s">
        <v>12247</v>
      </c>
      <c r="E1594" s="262" t="s">
        <v>207</v>
      </c>
    </row>
    <row r="1595" spans="1:5" ht="15">
      <c r="A1595" s="261">
        <v>1747</v>
      </c>
      <c r="B1595" s="261" t="s">
        <v>5877</v>
      </c>
      <c r="C1595" s="261" t="s">
        <v>3240</v>
      </c>
      <c r="D1595" s="265" t="s">
        <v>19515</v>
      </c>
      <c r="E1595" s="262" t="s">
        <v>207</v>
      </c>
    </row>
    <row r="1596" spans="1:5" ht="15">
      <c r="A1596" s="261">
        <v>1744</v>
      </c>
      <c r="B1596" s="261" t="s">
        <v>5878</v>
      </c>
      <c r="C1596" s="261" t="s">
        <v>3240</v>
      </c>
      <c r="D1596" s="265" t="s">
        <v>19516</v>
      </c>
      <c r="E1596" s="262" t="s">
        <v>207</v>
      </c>
    </row>
    <row r="1597" spans="1:5" ht="15">
      <c r="A1597" s="261">
        <v>1743</v>
      </c>
      <c r="B1597" s="261" t="s">
        <v>5879</v>
      </c>
      <c r="C1597" s="261" t="s">
        <v>3240</v>
      </c>
      <c r="D1597" s="265" t="s">
        <v>19517</v>
      </c>
      <c r="E1597" s="262" t="s">
        <v>207</v>
      </c>
    </row>
    <row r="1598" spans="1:5" ht="30">
      <c r="A1598" s="261">
        <v>39640</v>
      </c>
      <c r="B1598" s="261" t="s">
        <v>5880</v>
      </c>
      <c r="C1598" s="261" t="s">
        <v>3240</v>
      </c>
      <c r="D1598" s="265" t="s">
        <v>10928</v>
      </c>
      <c r="E1598" s="262" t="s">
        <v>207</v>
      </c>
    </row>
    <row r="1599" spans="1:5" ht="30">
      <c r="A1599" s="261">
        <v>11013</v>
      </c>
      <c r="B1599" s="261" t="s">
        <v>5881</v>
      </c>
      <c r="C1599" s="261" t="s">
        <v>3240</v>
      </c>
      <c r="D1599" s="265" t="s">
        <v>11271</v>
      </c>
      <c r="E1599" s="262" t="s">
        <v>207</v>
      </c>
    </row>
    <row r="1600" spans="1:5" ht="30">
      <c r="A1600" s="261">
        <v>11017</v>
      </c>
      <c r="B1600" s="261" t="s">
        <v>5882</v>
      </c>
      <c r="C1600" s="261" t="s">
        <v>3240</v>
      </c>
      <c r="D1600" s="265" t="s">
        <v>11035</v>
      </c>
      <c r="E1600" s="262" t="s">
        <v>207</v>
      </c>
    </row>
    <row r="1601" spans="1:5" ht="30">
      <c r="A1601" s="261">
        <v>20236</v>
      </c>
      <c r="B1601" s="261" t="s">
        <v>5883</v>
      </c>
      <c r="C1601" s="261" t="s">
        <v>3240</v>
      </c>
      <c r="D1601" s="265" t="s">
        <v>16065</v>
      </c>
      <c r="E1601" s="262" t="s">
        <v>207</v>
      </c>
    </row>
    <row r="1602" spans="1:5" ht="30">
      <c r="A1602" s="261">
        <v>7215</v>
      </c>
      <c r="B1602" s="261" t="s">
        <v>5884</v>
      </c>
      <c r="C1602" s="261" t="s">
        <v>3240</v>
      </c>
      <c r="D1602" s="265" t="s">
        <v>19518</v>
      </c>
      <c r="E1602" s="262" t="s">
        <v>207</v>
      </c>
    </row>
    <row r="1603" spans="1:5" ht="30">
      <c r="A1603" s="261">
        <v>7216</v>
      </c>
      <c r="B1603" s="261" t="s">
        <v>5885</v>
      </c>
      <c r="C1603" s="261" t="s">
        <v>3240</v>
      </c>
      <c r="D1603" s="265" t="s">
        <v>19519</v>
      </c>
      <c r="E1603" s="262" t="s">
        <v>207</v>
      </c>
    </row>
    <row r="1604" spans="1:5" ht="30">
      <c r="A1604" s="261">
        <v>20235</v>
      </c>
      <c r="B1604" s="261" t="s">
        <v>5886</v>
      </c>
      <c r="C1604" s="261" t="s">
        <v>3240</v>
      </c>
      <c r="D1604" s="265" t="s">
        <v>19520</v>
      </c>
      <c r="E1604" s="262" t="s">
        <v>207</v>
      </c>
    </row>
    <row r="1605" spans="1:5" ht="30">
      <c r="A1605" s="261">
        <v>7181</v>
      </c>
      <c r="B1605" s="261" t="s">
        <v>5887</v>
      </c>
      <c r="C1605" s="261" t="s">
        <v>3240</v>
      </c>
      <c r="D1605" s="265" t="s">
        <v>9999</v>
      </c>
      <c r="E1605" s="262" t="s">
        <v>207</v>
      </c>
    </row>
    <row r="1606" spans="1:5" ht="30">
      <c r="A1606" s="261">
        <v>40742</v>
      </c>
      <c r="B1606" s="261" t="s">
        <v>11760</v>
      </c>
      <c r="C1606" s="261" t="s">
        <v>3240</v>
      </c>
      <c r="D1606" s="265" t="s">
        <v>11306</v>
      </c>
      <c r="E1606" s="262" t="s">
        <v>207</v>
      </c>
    </row>
    <row r="1607" spans="1:5" ht="30">
      <c r="A1607" s="261">
        <v>7214</v>
      </c>
      <c r="B1607" s="261" t="s">
        <v>5888</v>
      </c>
      <c r="C1607" s="261" t="s">
        <v>3240</v>
      </c>
      <c r="D1607" s="265" t="s">
        <v>14203</v>
      </c>
      <c r="E1607" s="262" t="s">
        <v>207</v>
      </c>
    </row>
    <row r="1608" spans="1:5" ht="30">
      <c r="A1608" s="261">
        <v>7219</v>
      </c>
      <c r="B1608" s="261" t="s">
        <v>5889</v>
      </c>
      <c r="C1608" s="261" t="s">
        <v>3240</v>
      </c>
      <c r="D1608" s="265" t="s">
        <v>11512</v>
      </c>
      <c r="E1608" s="262" t="s">
        <v>207</v>
      </c>
    </row>
    <row r="1609" spans="1:5" ht="15">
      <c r="A1609" s="261">
        <v>37972</v>
      </c>
      <c r="B1609" s="261" t="s">
        <v>5890</v>
      </c>
      <c r="C1609" s="261" t="s">
        <v>3240</v>
      </c>
      <c r="D1609" s="265" t="s">
        <v>19521</v>
      </c>
      <c r="E1609" s="262" t="s">
        <v>207</v>
      </c>
    </row>
    <row r="1610" spans="1:5" ht="15">
      <c r="A1610" s="261">
        <v>37973</v>
      </c>
      <c r="B1610" s="261" t="s">
        <v>5891</v>
      </c>
      <c r="C1610" s="261" t="s">
        <v>3240</v>
      </c>
      <c r="D1610" s="265" t="s">
        <v>10479</v>
      </c>
      <c r="E1610" s="262" t="s">
        <v>207</v>
      </c>
    </row>
    <row r="1611" spans="1:5" ht="15">
      <c r="A1611" s="261">
        <v>37971</v>
      </c>
      <c r="B1611" s="261" t="s">
        <v>5892</v>
      </c>
      <c r="C1611" s="261" t="s">
        <v>3240</v>
      </c>
      <c r="D1611" s="265" t="s">
        <v>11462</v>
      </c>
      <c r="E1611" s="262" t="s">
        <v>207</v>
      </c>
    </row>
    <row r="1612" spans="1:5" ht="30">
      <c r="A1612" s="261">
        <v>20094</v>
      </c>
      <c r="B1612" s="261" t="s">
        <v>5893</v>
      </c>
      <c r="C1612" s="261" t="s">
        <v>3240</v>
      </c>
      <c r="D1612" s="265" t="s">
        <v>19522</v>
      </c>
      <c r="E1612" s="262" t="s">
        <v>207</v>
      </c>
    </row>
    <row r="1613" spans="1:5" ht="30">
      <c r="A1613" s="261">
        <v>20095</v>
      </c>
      <c r="B1613" s="261" t="s">
        <v>5894</v>
      </c>
      <c r="C1613" s="261" t="s">
        <v>3240</v>
      </c>
      <c r="D1613" s="266" t="s">
        <v>19523</v>
      </c>
      <c r="E1613" s="262" t="s">
        <v>207</v>
      </c>
    </row>
    <row r="1614" spans="1:5" ht="15">
      <c r="A1614" s="261">
        <v>1954</v>
      </c>
      <c r="B1614" s="261" t="s">
        <v>5895</v>
      </c>
      <c r="C1614" s="261" t="s">
        <v>3240</v>
      </c>
      <c r="D1614" s="266" t="s">
        <v>19524</v>
      </c>
      <c r="E1614" s="262" t="s">
        <v>207</v>
      </c>
    </row>
    <row r="1615" spans="1:5" ht="15">
      <c r="A1615" s="261">
        <v>1926</v>
      </c>
      <c r="B1615" s="261" t="s">
        <v>5896</v>
      </c>
      <c r="C1615" s="261" t="s">
        <v>3240</v>
      </c>
      <c r="D1615" s="265" t="s">
        <v>19525</v>
      </c>
      <c r="E1615" s="262" t="s">
        <v>207</v>
      </c>
    </row>
    <row r="1616" spans="1:5" ht="15">
      <c r="A1616" s="261">
        <v>1927</v>
      </c>
      <c r="B1616" s="261" t="s">
        <v>5897</v>
      </c>
      <c r="C1616" s="261" t="s">
        <v>3240</v>
      </c>
      <c r="D1616" s="265" t="s">
        <v>12155</v>
      </c>
      <c r="E1616" s="262" t="s">
        <v>207</v>
      </c>
    </row>
    <row r="1617" spans="1:5" ht="15">
      <c r="A1617" s="261">
        <v>1923</v>
      </c>
      <c r="B1617" s="261" t="s">
        <v>5898</v>
      </c>
      <c r="C1617" s="261" t="s">
        <v>3240</v>
      </c>
      <c r="D1617" s="265" t="s">
        <v>12215</v>
      </c>
      <c r="E1617" s="262" t="s">
        <v>207</v>
      </c>
    </row>
    <row r="1618" spans="1:5" ht="15">
      <c r="A1618" s="261">
        <v>1929</v>
      </c>
      <c r="B1618" s="261" t="s">
        <v>5899</v>
      </c>
      <c r="C1618" s="261" t="s">
        <v>3240</v>
      </c>
      <c r="D1618" s="265" t="s">
        <v>10215</v>
      </c>
      <c r="E1618" s="262" t="s">
        <v>207</v>
      </c>
    </row>
    <row r="1619" spans="1:5" ht="15">
      <c r="A1619" s="261">
        <v>1930</v>
      </c>
      <c r="B1619" s="261" t="s">
        <v>5900</v>
      </c>
      <c r="C1619" s="261" t="s">
        <v>3240</v>
      </c>
      <c r="D1619" s="265" t="s">
        <v>19321</v>
      </c>
      <c r="E1619" s="262" t="s">
        <v>207</v>
      </c>
    </row>
    <row r="1620" spans="1:5" ht="15">
      <c r="A1620" s="261">
        <v>1924</v>
      </c>
      <c r="B1620" s="261" t="s">
        <v>5901</v>
      </c>
      <c r="C1620" s="261" t="s">
        <v>3240</v>
      </c>
      <c r="D1620" s="265" t="s">
        <v>11553</v>
      </c>
      <c r="E1620" s="262" t="s">
        <v>207</v>
      </c>
    </row>
    <row r="1621" spans="1:5" ht="15">
      <c r="A1621" s="261">
        <v>1922</v>
      </c>
      <c r="B1621" s="261" t="s">
        <v>5902</v>
      </c>
      <c r="C1621" s="261" t="s">
        <v>3240</v>
      </c>
      <c r="D1621" s="265" t="s">
        <v>19526</v>
      </c>
      <c r="E1621" s="262" t="s">
        <v>207</v>
      </c>
    </row>
    <row r="1622" spans="1:5" ht="15">
      <c r="A1622" s="261">
        <v>1953</v>
      </c>
      <c r="B1622" s="261" t="s">
        <v>5903</v>
      </c>
      <c r="C1622" s="261" t="s">
        <v>3240</v>
      </c>
      <c r="D1622" s="265" t="s">
        <v>11185</v>
      </c>
      <c r="E1622" s="262" t="s">
        <v>207</v>
      </c>
    </row>
    <row r="1623" spans="1:5" ht="15">
      <c r="A1623" s="261">
        <v>1962</v>
      </c>
      <c r="B1623" s="261" t="s">
        <v>5904</v>
      </c>
      <c r="C1623" s="261" t="s">
        <v>3240</v>
      </c>
      <c r="D1623" s="265" t="s">
        <v>19527</v>
      </c>
      <c r="E1623" s="262" t="s">
        <v>207</v>
      </c>
    </row>
    <row r="1624" spans="1:5" ht="15">
      <c r="A1624" s="261">
        <v>1955</v>
      </c>
      <c r="B1624" s="261" t="s">
        <v>5905</v>
      </c>
      <c r="C1624" s="261" t="s">
        <v>3240</v>
      </c>
      <c r="D1624" s="265" t="s">
        <v>11069</v>
      </c>
      <c r="E1624" s="262" t="s">
        <v>207</v>
      </c>
    </row>
    <row r="1625" spans="1:5" ht="15">
      <c r="A1625" s="261">
        <v>1956</v>
      </c>
      <c r="B1625" s="261" t="s">
        <v>5906</v>
      </c>
      <c r="C1625" s="261" t="s">
        <v>3240</v>
      </c>
      <c r="D1625" s="265" t="s">
        <v>18765</v>
      </c>
      <c r="E1625" s="262" t="s">
        <v>207</v>
      </c>
    </row>
    <row r="1626" spans="1:5" ht="15">
      <c r="A1626" s="261">
        <v>1957</v>
      </c>
      <c r="B1626" s="261" t="s">
        <v>5907</v>
      </c>
      <c r="C1626" s="261" t="s">
        <v>3240</v>
      </c>
      <c r="D1626" s="265" t="s">
        <v>10554</v>
      </c>
      <c r="E1626" s="262" t="s">
        <v>207</v>
      </c>
    </row>
    <row r="1627" spans="1:5" ht="15">
      <c r="A1627" s="261">
        <v>1958</v>
      </c>
      <c r="B1627" s="261" t="s">
        <v>5908</v>
      </c>
      <c r="C1627" s="261" t="s">
        <v>3240</v>
      </c>
      <c r="D1627" s="265" t="s">
        <v>11261</v>
      </c>
      <c r="E1627" s="262" t="s">
        <v>207</v>
      </c>
    </row>
    <row r="1628" spans="1:5" ht="15">
      <c r="A1628" s="261">
        <v>1959</v>
      </c>
      <c r="B1628" s="261" t="s">
        <v>5909</v>
      </c>
      <c r="C1628" s="261" t="s">
        <v>3240</v>
      </c>
      <c r="D1628" s="265" t="s">
        <v>11327</v>
      </c>
      <c r="E1628" s="262" t="s">
        <v>207</v>
      </c>
    </row>
    <row r="1629" spans="1:5" ht="15">
      <c r="A1629" s="261">
        <v>1925</v>
      </c>
      <c r="B1629" s="261" t="s">
        <v>5910</v>
      </c>
      <c r="C1629" s="261" t="s">
        <v>3240</v>
      </c>
      <c r="D1629" s="265" t="s">
        <v>19528</v>
      </c>
      <c r="E1629" s="262" t="s">
        <v>207</v>
      </c>
    </row>
    <row r="1630" spans="1:5" ht="15">
      <c r="A1630" s="261">
        <v>1960</v>
      </c>
      <c r="B1630" s="261" t="s">
        <v>5911</v>
      </c>
      <c r="C1630" s="261" t="s">
        <v>3240</v>
      </c>
      <c r="D1630" s="265" t="s">
        <v>19529</v>
      </c>
      <c r="E1630" s="262" t="s">
        <v>207</v>
      </c>
    </row>
    <row r="1631" spans="1:5" ht="15">
      <c r="A1631" s="261">
        <v>1961</v>
      </c>
      <c r="B1631" s="261" t="s">
        <v>5912</v>
      </c>
      <c r="C1631" s="261" t="s">
        <v>3240</v>
      </c>
      <c r="D1631" s="265" t="s">
        <v>19530</v>
      </c>
      <c r="E1631" s="262" t="s">
        <v>207</v>
      </c>
    </row>
    <row r="1632" spans="1:5" ht="30">
      <c r="A1632" s="261">
        <v>38426</v>
      </c>
      <c r="B1632" s="261" t="s">
        <v>11761</v>
      </c>
      <c r="C1632" s="261" t="s">
        <v>3240</v>
      </c>
      <c r="D1632" s="265" t="s">
        <v>16572</v>
      </c>
      <c r="E1632" s="262" t="s">
        <v>207</v>
      </c>
    </row>
    <row r="1633" spans="1:5" ht="30">
      <c r="A1633" s="261">
        <v>38423</v>
      </c>
      <c r="B1633" s="261" t="s">
        <v>11762</v>
      </c>
      <c r="C1633" s="261" t="s">
        <v>3240</v>
      </c>
      <c r="D1633" s="265" t="s">
        <v>19531</v>
      </c>
      <c r="E1633" s="262" t="s">
        <v>207</v>
      </c>
    </row>
    <row r="1634" spans="1:5" ht="30">
      <c r="A1634" s="261">
        <v>38421</v>
      </c>
      <c r="B1634" s="261" t="s">
        <v>11763</v>
      </c>
      <c r="C1634" s="261" t="s">
        <v>3240</v>
      </c>
      <c r="D1634" s="265" t="s">
        <v>18806</v>
      </c>
      <c r="E1634" s="262" t="s">
        <v>207</v>
      </c>
    </row>
    <row r="1635" spans="1:5" ht="30">
      <c r="A1635" s="261">
        <v>38422</v>
      </c>
      <c r="B1635" s="261" t="s">
        <v>11764</v>
      </c>
      <c r="C1635" s="261" t="s">
        <v>3240</v>
      </c>
      <c r="D1635" s="265" t="s">
        <v>14180</v>
      </c>
      <c r="E1635" s="262" t="s">
        <v>207</v>
      </c>
    </row>
    <row r="1636" spans="1:5" ht="30">
      <c r="A1636" s="261">
        <v>39866</v>
      </c>
      <c r="B1636" s="261" t="s">
        <v>5913</v>
      </c>
      <c r="C1636" s="261" t="s">
        <v>3240</v>
      </c>
      <c r="D1636" s="265" t="s">
        <v>12371</v>
      </c>
      <c r="E1636" s="262" t="s">
        <v>207</v>
      </c>
    </row>
    <row r="1637" spans="1:5" ht="30">
      <c r="A1637" s="261">
        <v>39867</v>
      </c>
      <c r="B1637" s="261" t="s">
        <v>5914</v>
      </c>
      <c r="C1637" s="261" t="s">
        <v>3240</v>
      </c>
      <c r="D1637" s="265" t="s">
        <v>15878</v>
      </c>
      <c r="E1637" s="262" t="s">
        <v>207</v>
      </c>
    </row>
    <row r="1638" spans="1:5" ht="30">
      <c r="A1638" s="261">
        <v>39868</v>
      </c>
      <c r="B1638" s="261" t="s">
        <v>5915</v>
      </c>
      <c r="C1638" s="261" t="s">
        <v>3240</v>
      </c>
      <c r="D1638" s="265" t="s">
        <v>19532</v>
      </c>
      <c r="E1638" s="262" t="s">
        <v>207</v>
      </c>
    </row>
    <row r="1639" spans="1:5" ht="15">
      <c r="A1639" s="261">
        <v>37999</v>
      </c>
      <c r="B1639" s="261" t="s">
        <v>5916</v>
      </c>
      <c r="C1639" s="261" t="s">
        <v>3240</v>
      </c>
      <c r="D1639" s="265" t="s">
        <v>12450</v>
      </c>
      <c r="E1639" s="262" t="s">
        <v>207</v>
      </c>
    </row>
    <row r="1640" spans="1:5" ht="15">
      <c r="A1640" s="261">
        <v>38000</v>
      </c>
      <c r="B1640" s="261" t="s">
        <v>5917</v>
      </c>
      <c r="C1640" s="261" t="s">
        <v>3240</v>
      </c>
      <c r="D1640" s="265" t="s">
        <v>10304</v>
      </c>
      <c r="E1640" s="262" t="s">
        <v>207</v>
      </c>
    </row>
    <row r="1641" spans="1:5" ht="15">
      <c r="A1641" s="261">
        <v>38129</v>
      </c>
      <c r="B1641" s="261" t="s">
        <v>5918</v>
      </c>
      <c r="C1641" s="261" t="s">
        <v>3240</v>
      </c>
      <c r="D1641" s="265" t="s">
        <v>10324</v>
      </c>
      <c r="E1641" s="262" t="s">
        <v>207</v>
      </c>
    </row>
    <row r="1642" spans="1:5" ht="15">
      <c r="A1642" s="261">
        <v>38025</v>
      </c>
      <c r="B1642" s="261" t="s">
        <v>5919</v>
      </c>
      <c r="C1642" s="261" t="s">
        <v>3240</v>
      </c>
      <c r="D1642" s="265" t="s">
        <v>10485</v>
      </c>
      <c r="E1642" s="262" t="s">
        <v>207</v>
      </c>
    </row>
    <row r="1643" spans="1:5" ht="15">
      <c r="A1643" s="261">
        <v>38026</v>
      </c>
      <c r="B1643" s="261" t="s">
        <v>5920</v>
      </c>
      <c r="C1643" s="261" t="s">
        <v>3240</v>
      </c>
      <c r="D1643" s="265" t="s">
        <v>12354</v>
      </c>
      <c r="E1643" s="262" t="s">
        <v>207</v>
      </c>
    </row>
    <row r="1644" spans="1:5" ht="30">
      <c r="A1644" s="261">
        <v>1858</v>
      </c>
      <c r="B1644" s="261" t="s">
        <v>5921</v>
      </c>
      <c r="C1644" s="261" t="s">
        <v>3240</v>
      </c>
      <c r="D1644" s="265" t="s">
        <v>10638</v>
      </c>
      <c r="E1644" s="262" t="s">
        <v>207</v>
      </c>
    </row>
    <row r="1645" spans="1:5" ht="30">
      <c r="A1645" s="261">
        <v>1844</v>
      </c>
      <c r="B1645" s="261" t="s">
        <v>5922</v>
      </c>
      <c r="C1645" s="261" t="s">
        <v>3240</v>
      </c>
      <c r="D1645" s="265" t="s">
        <v>19533</v>
      </c>
      <c r="E1645" s="262" t="s">
        <v>207</v>
      </c>
    </row>
    <row r="1646" spans="1:5" ht="30">
      <c r="A1646" s="261">
        <v>1863</v>
      </c>
      <c r="B1646" s="261" t="s">
        <v>5923</v>
      </c>
      <c r="C1646" s="261" t="s">
        <v>3240</v>
      </c>
      <c r="D1646" s="265" t="s">
        <v>19534</v>
      </c>
      <c r="E1646" s="262" t="s">
        <v>207</v>
      </c>
    </row>
    <row r="1647" spans="1:5" ht="30">
      <c r="A1647" s="261">
        <v>1865</v>
      </c>
      <c r="B1647" s="261" t="s">
        <v>5924</v>
      </c>
      <c r="C1647" s="261" t="s">
        <v>3240</v>
      </c>
      <c r="D1647" s="265" t="s">
        <v>19535</v>
      </c>
      <c r="E1647" s="262" t="s">
        <v>207</v>
      </c>
    </row>
    <row r="1648" spans="1:5" ht="15">
      <c r="A1648" s="261">
        <v>36355</v>
      </c>
      <c r="B1648" s="261" t="s">
        <v>5925</v>
      </c>
      <c r="C1648" s="261" t="s">
        <v>3240</v>
      </c>
      <c r="D1648" s="265" t="s">
        <v>9878</v>
      </c>
      <c r="E1648" s="262" t="s">
        <v>207</v>
      </c>
    </row>
    <row r="1649" spans="1:5" ht="15">
      <c r="A1649" s="261">
        <v>36356</v>
      </c>
      <c r="B1649" s="261" t="s">
        <v>5926</v>
      </c>
      <c r="C1649" s="261" t="s">
        <v>3240</v>
      </c>
      <c r="D1649" s="265" t="s">
        <v>11358</v>
      </c>
      <c r="E1649" s="262" t="s">
        <v>207</v>
      </c>
    </row>
    <row r="1650" spans="1:5" ht="15">
      <c r="A1650" s="261">
        <v>1932</v>
      </c>
      <c r="B1650" s="261" t="s">
        <v>5927</v>
      </c>
      <c r="C1650" s="261" t="s">
        <v>3240</v>
      </c>
      <c r="D1650" s="265" t="s">
        <v>11399</v>
      </c>
      <c r="E1650" s="262" t="s">
        <v>207</v>
      </c>
    </row>
    <row r="1651" spans="1:5" ht="15">
      <c r="A1651" s="261">
        <v>1933</v>
      </c>
      <c r="B1651" s="261" t="s">
        <v>5928</v>
      </c>
      <c r="C1651" s="261" t="s">
        <v>3240</v>
      </c>
      <c r="D1651" s="265" t="s">
        <v>11028</v>
      </c>
      <c r="E1651" s="262" t="s">
        <v>207</v>
      </c>
    </row>
    <row r="1652" spans="1:5" ht="15">
      <c r="A1652" s="261">
        <v>1951</v>
      </c>
      <c r="B1652" s="261" t="s">
        <v>5929</v>
      </c>
      <c r="C1652" s="261" t="s">
        <v>3240</v>
      </c>
      <c r="D1652" s="265" t="s">
        <v>11135</v>
      </c>
      <c r="E1652" s="262" t="s">
        <v>207</v>
      </c>
    </row>
    <row r="1653" spans="1:5" ht="15">
      <c r="A1653" s="261">
        <v>1966</v>
      </c>
      <c r="B1653" s="261" t="s">
        <v>5930</v>
      </c>
      <c r="C1653" s="261" t="s">
        <v>3240</v>
      </c>
      <c r="D1653" s="265" t="s">
        <v>19536</v>
      </c>
      <c r="E1653" s="262" t="s">
        <v>207</v>
      </c>
    </row>
    <row r="1654" spans="1:5" ht="15">
      <c r="A1654" s="261">
        <v>1952</v>
      </c>
      <c r="B1654" s="261" t="s">
        <v>5931</v>
      </c>
      <c r="C1654" s="261" t="s">
        <v>3240</v>
      </c>
      <c r="D1654" s="265" t="s">
        <v>16502</v>
      </c>
      <c r="E1654" s="262" t="s">
        <v>207</v>
      </c>
    </row>
    <row r="1655" spans="1:5" ht="15">
      <c r="A1655" s="261">
        <v>20104</v>
      </c>
      <c r="B1655" s="261" t="s">
        <v>5932</v>
      </c>
      <c r="C1655" s="261" t="s">
        <v>3240</v>
      </c>
      <c r="D1655" s="265" t="s">
        <v>19537</v>
      </c>
      <c r="E1655" s="262" t="s">
        <v>207</v>
      </c>
    </row>
    <row r="1656" spans="1:5" ht="15">
      <c r="A1656" s="261">
        <v>20105</v>
      </c>
      <c r="B1656" s="261" t="s">
        <v>5933</v>
      </c>
      <c r="C1656" s="261" t="s">
        <v>3240</v>
      </c>
      <c r="D1656" s="265" t="s">
        <v>19538</v>
      </c>
      <c r="E1656" s="262" t="s">
        <v>207</v>
      </c>
    </row>
    <row r="1657" spans="1:5" ht="15">
      <c r="A1657" s="261">
        <v>1965</v>
      </c>
      <c r="B1657" s="261" t="s">
        <v>5934</v>
      </c>
      <c r="C1657" s="261" t="s">
        <v>3240</v>
      </c>
      <c r="D1657" s="265" t="s">
        <v>16575</v>
      </c>
      <c r="E1657" s="262" t="s">
        <v>207</v>
      </c>
    </row>
    <row r="1658" spans="1:5" ht="15">
      <c r="A1658" s="261">
        <v>10765</v>
      </c>
      <c r="B1658" s="261" t="s">
        <v>5935</v>
      </c>
      <c r="C1658" s="261" t="s">
        <v>3240</v>
      </c>
      <c r="D1658" s="265" t="s">
        <v>16113</v>
      </c>
      <c r="E1658" s="262" t="s">
        <v>207</v>
      </c>
    </row>
    <row r="1659" spans="1:5" ht="15">
      <c r="A1659" s="261">
        <v>10767</v>
      </c>
      <c r="B1659" s="261" t="s">
        <v>5936</v>
      </c>
      <c r="C1659" s="261" t="s">
        <v>3240</v>
      </c>
      <c r="D1659" s="265" t="s">
        <v>19539</v>
      </c>
      <c r="E1659" s="262" t="s">
        <v>207</v>
      </c>
    </row>
    <row r="1660" spans="1:5" ht="15">
      <c r="A1660" s="261">
        <v>1970</v>
      </c>
      <c r="B1660" s="261" t="s">
        <v>5937</v>
      </c>
      <c r="C1660" s="261" t="s">
        <v>3240</v>
      </c>
      <c r="D1660" s="265" t="s">
        <v>19540</v>
      </c>
      <c r="E1660" s="262" t="s">
        <v>207</v>
      </c>
    </row>
    <row r="1661" spans="1:5" ht="15">
      <c r="A1661" s="261">
        <v>1967</v>
      </c>
      <c r="B1661" s="261" t="s">
        <v>5938</v>
      </c>
      <c r="C1661" s="261" t="s">
        <v>3240</v>
      </c>
      <c r="D1661" s="265" t="s">
        <v>10781</v>
      </c>
      <c r="E1661" s="262" t="s">
        <v>207</v>
      </c>
    </row>
    <row r="1662" spans="1:5" ht="15">
      <c r="A1662" s="261">
        <v>1968</v>
      </c>
      <c r="B1662" s="261" t="s">
        <v>5939</v>
      </c>
      <c r="C1662" s="261" t="s">
        <v>3240</v>
      </c>
      <c r="D1662" s="265" t="s">
        <v>11406</v>
      </c>
      <c r="E1662" s="262" t="s">
        <v>207</v>
      </c>
    </row>
    <row r="1663" spans="1:5" ht="15">
      <c r="A1663" s="261">
        <v>1969</v>
      </c>
      <c r="B1663" s="261" t="s">
        <v>5940</v>
      </c>
      <c r="C1663" s="261" t="s">
        <v>3240</v>
      </c>
      <c r="D1663" s="265" t="s">
        <v>19541</v>
      </c>
      <c r="E1663" s="262" t="s">
        <v>207</v>
      </c>
    </row>
    <row r="1664" spans="1:5" ht="30">
      <c r="A1664" s="261">
        <v>1839</v>
      </c>
      <c r="B1664" s="261" t="s">
        <v>5941</v>
      </c>
      <c r="C1664" s="261" t="s">
        <v>3240</v>
      </c>
      <c r="D1664" s="265" t="s">
        <v>19542</v>
      </c>
      <c r="E1664" s="262" t="s">
        <v>207</v>
      </c>
    </row>
    <row r="1665" spans="1:5" ht="15">
      <c r="A1665" s="261">
        <v>1835</v>
      </c>
      <c r="B1665" s="261" t="s">
        <v>5942</v>
      </c>
      <c r="C1665" s="261" t="s">
        <v>3240</v>
      </c>
      <c r="D1665" s="265" t="s">
        <v>15851</v>
      </c>
      <c r="E1665" s="262" t="s">
        <v>207</v>
      </c>
    </row>
    <row r="1666" spans="1:5" ht="15">
      <c r="A1666" s="261">
        <v>1823</v>
      </c>
      <c r="B1666" s="261" t="s">
        <v>5943</v>
      </c>
      <c r="C1666" s="261" t="s">
        <v>3240</v>
      </c>
      <c r="D1666" s="265" t="s">
        <v>19543</v>
      </c>
      <c r="E1666" s="262" t="s">
        <v>207</v>
      </c>
    </row>
    <row r="1667" spans="1:5" ht="30">
      <c r="A1667" s="261">
        <v>1827</v>
      </c>
      <c r="B1667" s="261" t="s">
        <v>5944</v>
      </c>
      <c r="C1667" s="261" t="s">
        <v>3240</v>
      </c>
      <c r="D1667" s="265" t="s">
        <v>19544</v>
      </c>
      <c r="E1667" s="262" t="s">
        <v>207</v>
      </c>
    </row>
    <row r="1668" spans="1:5" ht="15">
      <c r="A1668" s="261">
        <v>1831</v>
      </c>
      <c r="B1668" s="261" t="s">
        <v>5945</v>
      </c>
      <c r="C1668" s="261" t="s">
        <v>3240</v>
      </c>
      <c r="D1668" s="265" t="s">
        <v>16701</v>
      </c>
      <c r="E1668" s="262" t="s">
        <v>207</v>
      </c>
    </row>
    <row r="1669" spans="1:5" ht="15">
      <c r="A1669" s="261">
        <v>1825</v>
      </c>
      <c r="B1669" s="261" t="s">
        <v>5946</v>
      </c>
      <c r="C1669" s="261" t="s">
        <v>3240</v>
      </c>
      <c r="D1669" s="265" t="s">
        <v>19545</v>
      </c>
      <c r="E1669" s="262" t="s">
        <v>207</v>
      </c>
    </row>
    <row r="1670" spans="1:5" ht="30">
      <c r="A1670" s="261">
        <v>1828</v>
      </c>
      <c r="B1670" s="261" t="s">
        <v>5947</v>
      </c>
      <c r="C1670" s="261" t="s">
        <v>3240</v>
      </c>
      <c r="D1670" s="265" t="s">
        <v>16086</v>
      </c>
      <c r="E1670" s="262" t="s">
        <v>207</v>
      </c>
    </row>
    <row r="1671" spans="1:5" ht="15">
      <c r="A1671" s="261">
        <v>1845</v>
      </c>
      <c r="B1671" s="261" t="s">
        <v>5948</v>
      </c>
      <c r="C1671" s="261" t="s">
        <v>3240</v>
      </c>
      <c r="D1671" s="265" t="s">
        <v>19546</v>
      </c>
      <c r="E1671" s="262" t="s">
        <v>207</v>
      </c>
    </row>
    <row r="1672" spans="1:5" ht="15">
      <c r="A1672" s="261">
        <v>1824</v>
      </c>
      <c r="B1672" s="261" t="s">
        <v>5949</v>
      </c>
      <c r="C1672" s="261" t="s">
        <v>3240</v>
      </c>
      <c r="D1672" s="265" t="s">
        <v>16006</v>
      </c>
      <c r="E1672" s="262" t="s">
        <v>207</v>
      </c>
    </row>
    <row r="1673" spans="1:5" ht="15">
      <c r="A1673" s="261">
        <v>1941</v>
      </c>
      <c r="B1673" s="261" t="s">
        <v>5950</v>
      </c>
      <c r="C1673" s="261" t="s">
        <v>3240</v>
      </c>
      <c r="D1673" s="265" t="s">
        <v>19547</v>
      </c>
      <c r="E1673" s="262" t="s">
        <v>207</v>
      </c>
    </row>
    <row r="1674" spans="1:5" ht="15">
      <c r="A1674" s="261">
        <v>1940</v>
      </c>
      <c r="B1674" s="261" t="s">
        <v>5951</v>
      </c>
      <c r="C1674" s="261" t="s">
        <v>3240</v>
      </c>
      <c r="D1674" s="265" t="s">
        <v>14219</v>
      </c>
      <c r="E1674" s="262" t="s">
        <v>207</v>
      </c>
    </row>
    <row r="1675" spans="1:5" ht="15">
      <c r="A1675" s="261">
        <v>1937</v>
      </c>
      <c r="B1675" s="261" t="s">
        <v>5952</v>
      </c>
      <c r="C1675" s="261" t="s">
        <v>3240</v>
      </c>
      <c r="D1675" s="265" t="s">
        <v>9863</v>
      </c>
      <c r="E1675" s="262" t="s">
        <v>207</v>
      </c>
    </row>
    <row r="1676" spans="1:5" ht="15">
      <c r="A1676" s="261">
        <v>1939</v>
      </c>
      <c r="B1676" s="261" t="s">
        <v>5953</v>
      </c>
      <c r="C1676" s="261" t="s">
        <v>3240</v>
      </c>
      <c r="D1676" s="265" t="s">
        <v>9860</v>
      </c>
      <c r="E1676" s="262" t="s">
        <v>207</v>
      </c>
    </row>
    <row r="1677" spans="1:5" ht="15">
      <c r="A1677" s="261">
        <v>1942</v>
      </c>
      <c r="B1677" s="261" t="s">
        <v>5954</v>
      </c>
      <c r="C1677" s="261" t="s">
        <v>3240</v>
      </c>
      <c r="D1677" s="265" t="s">
        <v>16669</v>
      </c>
      <c r="E1677" s="262" t="s">
        <v>207</v>
      </c>
    </row>
    <row r="1678" spans="1:5" ht="15">
      <c r="A1678" s="261">
        <v>1938</v>
      </c>
      <c r="B1678" s="261" t="s">
        <v>5955</v>
      </c>
      <c r="C1678" s="261" t="s">
        <v>3240</v>
      </c>
      <c r="D1678" s="265" t="s">
        <v>19548</v>
      </c>
      <c r="E1678" s="262" t="s">
        <v>207</v>
      </c>
    </row>
    <row r="1679" spans="1:5" ht="30">
      <c r="A1679" s="261">
        <v>42692</v>
      </c>
      <c r="B1679" s="261" t="s">
        <v>5956</v>
      </c>
      <c r="C1679" s="261" t="s">
        <v>3240</v>
      </c>
      <c r="D1679" s="265" t="s">
        <v>19549</v>
      </c>
      <c r="E1679" s="262" t="s">
        <v>207</v>
      </c>
    </row>
    <row r="1680" spans="1:5" ht="30">
      <c r="A1680" s="261">
        <v>42693</v>
      </c>
      <c r="B1680" s="261" t="s">
        <v>5957</v>
      </c>
      <c r="C1680" s="261" t="s">
        <v>3240</v>
      </c>
      <c r="D1680" s="265" t="s">
        <v>19550</v>
      </c>
      <c r="E1680" s="262" t="s">
        <v>207</v>
      </c>
    </row>
    <row r="1681" spans="1:5" ht="30">
      <c r="A1681" s="261">
        <v>42695</v>
      </c>
      <c r="B1681" s="261" t="s">
        <v>5958</v>
      </c>
      <c r="C1681" s="261" t="s">
        <v>3240</v>
      </c>
      <c r="D1681" s="265" t="s">
        <v>19551</v>
      </c>
      <c r="E1681" s="262" t="s">
        <v>207</v>
      </c>
    </row>
    <row r="1682" spans="1:5" ht="30">
      <c r="A1682" s="261">
        <v>42694</v>
      </c>
      <c r="B1682" s="261" t="s">
        <v>5959</v>
      </c>
      <c r="C1682" s="261" t="s">
        <v>3240</v>
      </c>
      <c r="D1682" s="265" t="s">
        <v>19552</v>
      </c>
      <c r="E1682" s="262" t="s">
        <v>207</v>
      </c>
    </row>
    <row r="1683" spans="1:5" ht="30">
      <c r="A1683" s="261">
        <v>20097</v>
      </c>
      <c r="B1683" s="261" t="s">
        <v>11765</v>
      </c>
      <c r="C1683" s="261" t="s">
        <v>3240</v>
      </c>
      <c r="D1683" s="265" t="s">
        <v>19026</v>
      </c>
      <c r="E1683" s="262" t="s">
        <v>207</v>
      </c>
    </row>
    <row r="1684" spans="1:5" ht="30">
      <c r="A1684" s="261">
        <v>20098</v>
      </c>
      <c r="B1684" s="261" t="s">
        <v>11766</v>
      </c>
      <c r="C1684" s="261" t="s">
        <v>3240</v>
      </c>
      <c r="D1684" s="265" t="s">
        <v>19553</v>
      </c>
      <c r="E1684" s="262" t="s">
        <v>207</v>
      </c>
    </row>
    <row r="1685" spans="1:5" ht="30">
      <c r="A1685" s="261">
        <v>20096</v>
      </c>
      <c r="B1685" s="261" t="s">
        <v>11767</v>
      </c>
      <c r="C1685" s="261" t="s">
        <v>3240</v>
      </c>
      <c r="D1685" s="265" t="s">
        <v>10452</v>
      </c>
      <c r="E1685" s="262" t="s">
        <v>207</v>
      </c>
    </row>
    <row r="1686" spans="1:5" ht="15">
      <c r="A1686" s="261">
        <v>1964</v>
      </c>
      <c r="B1686" s="261" t="s">
        <v>5960</v>
      </c>
      <c r="C1686" s="261" t="s">
        <v>3240</v>
      </c>
      <c r="D1686" s="265" t="s">
        <v>16466</v>
      </c>
      <c r="E1686" s="262" t="s">
        <v>207</v>
      </c>
    </row>
    <row r="1687" spans="1:5" ht="15">
      <c r="A1687" s="261">
        <v>1880</v>
      </c>
      <c r="B1687" s="261" t="s">
        <v>5961</v>
      </c>
      <c r="C1687" s="261" t="s">
        <v>3240</v>
      </c>
      <c r="D1687" s="265" t="s">
        <v>9829</v>
      </c>
      <c r="E1687" s="262" t="s">
        <v>207</v>
      </c>
    </row>
    <row r="1688" spans="1:5" ht="15">
      <c r="A1688" s="261">
        <v>39274</v>
      </c>
      <c r="B1688" s="261" t="s">
        <v>5962</v>
      </c>
      <c r="C1688" s="261" t="s">
        <v>3240</v>
      </c>
      <c r="D1688" s="265" t="s">
        <v>11502</v>
      </c>
      <c r="E1688" s="262" t="s">
        <v>207</v>
      </c>
    </row>
    <row r="1689" spans="1:5" ht="30">
      <c r="A1689" s="261">
        <v>2628</v>
      </c>
      <c r="B1689" s="261" t="s">
        <v>5963</v>
      </c>
      <c r="C1689" s="261" t="s">
        <v>3240</v>
      </c>
      <c r="D1689" s="265" t="s">
        <v>19554</v>
      </c>
      <c r="E1689" s="262" t="s">
        <v>207</v>
      </c>
    </row>
    <row r="1690" spans="1:5" ht="30">
      <c r="A1690" s="261">
        <v>2622</v>
      </c>
      <c r="B1690" s="261" t="s">
        <v>5964</v>
      </c>
      <c r="C1690" s="261" t="s">
        <v>3240</v>
      </c>
      <c r="D1690" s="265" t="s">
        <v>9946</v>
      </c>
      <c r="E1690" s="262" t="s">
        <v>207</v>
      </c>
    </row>
    <row r="1691" spans="1:5" ht="30">
      <c r="A1691" s="261">
        <v>2623</v>
      </c>
      <c r="B1691" s="261" t="s">
        <v>5965</v>
      </c>
      <c r="C1691" s="261" t="s">
        <v>3240</v>
      </c>
      <c r="D1691" s="265" t="s">
        <v>10284</v>
      </c>
      <c r="E1691" s="262" t="s">
        <v>207</v>
      </c>
    </row>
    <row r="1692" spans="1:5" ht="30">
      <c r="A1692" s="261">
        <v>2624</v>
      </c>
      <c r="B1692" s="261" t="s">
        <v>5966</v>
      </c>
      <c r="C1692" s="261" t="s">
        <v>3240</v>
      </c>
      <c r="D1692" s="265" t="s">
        <v>18771</v>
      </c>
      <c r="E1692" s="262" t="s">
        <v>207</v>
      </c>
    </row>
    <row r="1693" spans="1:5" ht="30">
      <c r="A1693" s="261">
        <v>2625</v>
      </c>
      <c r="B1693" s="261" t="s">
        <v>5967</v>
      </c>
      <c r="C1693" s="261" t="s">
        <v>3240</v>
      </c>
      <c r="D1693" s="265" t="s">
        <v>12331</v>
      </c>
      <c r="E1693" s="262" t="s">
        <v>207</v>
      </c>
    </row>
    <row r="1694" spans="1:5" ht="30">
      <c r="A1694" s="261">
        <v>2626</v>
      </c>
      <c r="B1694" s="261" t="s">
        <v>5968</v>
      </c>
      <c r="C1694" s="261" t="s">
        <v>3240</v>
      </c>
      <c r="D1694" s="265" t="s">
        <v>19555</v>
      </c>
      <c r="E1694" s="262" t="s">
        <v>207</v>
      </c>
    </row>
    <row r="1695" spans="1:5" ht="30">
      <c r="A1695" s="261">
        <v>2630</v>
      </c>
      <c r="B1695" s="261" t="s">
        <v>5969</v>
      </c>
      <c r="C1695" s="261" t="s">
        <v>3240</v>
      </c>
      <c r="D1695" s="265" t="s">
        <v>14153</v>
      </c>
      <c r="E1695" s="262" t="s">
        <v>207</v>
      </c>
    </row>
    <row r="1696" spans="1:5" ht="30">
      <c r="A1696" s="261">
        <v>2627</v>
      </c>
      <c r="B1696" s="261" t="s">
        <v>5970</v>
      </c>
      <c r="C1696" s="261" t="s">
        <v>3240</v>
      </c>
      <c r="D1696" s="265" t="s">
        <v>19556</v>
      </c>
      <c r="E1696" s="262" t="s">
        <v>207</v>
      </c>
    </row>
    <row r="1697" spans="1:5" ht="30">
      <c r="A1697" s="261">
        <v>2629</v>
      </c>
      <c r="B1697" s="261" t="s">
        <v>5971</v>
      </c>
      <c r="C1697" s="261" t="s">
        <v>3240</v>
      </c>
      <c r="D1697" s="265" t="s">
        <v>19557</v>
      </c>
      <c r="E1697" s="262" t="s">
        <v>207</v>
      </c>
    </row>
    <row r="1698" spans="1:5" ht="15">
      <c r="A1698" s="261">
        <v>12033</v>
      </c>
      <c r="B1698" s="261" t="s">
        <v>5972</v>
      </c>
      <c r="C1698" s="261" t="s">
        <v>3240</v>
      </c>
      <c r="D1698" s="265" t="s">
        <v>19558</v>
      </c>
      <c r="E1698" s="262" t="s">
        <v>207</v>
      </c>
    </row>
    <row r="1699" spans="1:5" ht="15">
      <c r="A1699" s="261">
        <v>40408</v>
      </c>
      <c r="B1699" s="261" t="s">
        <v>5973</v>
      </c>
      <c r="C1699" s="261" t="s">
        <v>3240</v>
      </c>
      <c r="D1699" s="265" t="s">
        <v>11322</v>
      </c>
      <c r="E1699" s="262" t="s">
        <v>207</v>
      </c>
    </row>
    <row r="1700" spans="1:5" ht="15">
      <c r="A1700" s="261">
        <v>40409</v>
      </c>
      <c r="B1700" s="261" t="s">
        <v>5974</v>
      </c>
      <c r="C1700" s="261" t="s">
        <v>3240</v>
      </c>
      <c r="D1700" s="265" t="s">
        <v>10333</v>
      </c>
      <c r="E1700" s="262" t="s">
        <v>207</v>
      </c>
    </row>
    <row r="1701" spans="1:5" ht="15">
      <c r="A1701" s="261">
        <v>39276</v>
      </c>
      <c r="B1701" s="261" t="s">
        <v>5975</v>
      </c>
      <c r="C1701" s="261" t="s">
        <v>3240</v>
      </c>
      <c r="D1701" s="265" t="s">
        <v>11082</v>
      </c>
      <c r="E1701" s="262" t="s">
        <v>207</v>
      </c>
    </row>
    <row r="1702" spans="1:5" ht="15">
      <c r="A1702" s="261">
        <v>39277</v>
      </c>
      <c r="B1702" s="261" t="s">
        <v>5976</v>
      </c>
      <c r="C1702" s="261" t="s">
        <v>3240</v>
      </c>
      <c r="D1702" s="265" t="s">
        <v>15950</v>
      </c>
      <c r="E1702" s="262" t="s">
        <v>207</v>
      </c>
    </row>
    <row r="1703" spans="1:5" ht="15">
      <c r="A1703" s="261">
        <v>12034</v>
      </c>
      <c r="B1703" s="261" t="s">
        <v>5977</v>
      </c>
      <c r="C1703" s="261" t="s">
        <v>3240</v>
      </c>
      <c r="D1703" s="265" t="s">
        <v>19225</v>
      </c>
      <c r="E1703" s="262" t="s">
        <v>207</v>
      </c>
    </row>
    <row r="1704" spans="1:5" ht="15">
      <c r="A1704" s="261">
        <v>39879</v>
      </c>
      <c r="B1704" s="261" t="s">
        <v>5978</v>
      </c>
      <c r="C1704" s="261" t="s">
        <v>3240</v>
      </c>
      <c r="D1704" s="265" t="s">
        <v>9980</v>
      </c>
      <c r="E1704" s="262" t="s">
        <v>207</v>
      </c>
    </row>
    <row r="1705" spans="1:5" ht="15">
      <c r="A1705" s="261">
        <v>39880</v>
      </c>
      <c r="B1705" s="261" t="s">
        <v>5979</v>
      </c>
      <c r="C1705" s="261" t="s">
        <v>3240</v>
      </c>
      <c r="D1705" s="265" t="s">
        <v>10534</v>
      </c>
      <c r="E1705" s="262" t="s">
        <v>207</v>
      </c>
    </row>
    <row r="1706" spans="1:5" ht="15">
      <c r="A1706" s="261">
        <v>39881</v>
      </c>
      <c r="B1706" s="261" t="s">
        <v>5980</v>
      </c>
      <c r="C1706" s="261" t="s">
        <v>3240</v>
      </c>
      <c r="D1706" s="265" t="s">
        <v>12178</v>
      </c>
      <c r="E1706" s="262" t="s">
        <v>207</v>
      </c>
    </row>
    <row r="1707" spans="1:5" ht="15">
      <c r="A1707" s="261">
        <v>39882</v>
      </c>
      <c r="B1707" s="261" t="s">
        <v>5981</v>
      </c>
      <c r="C1707" s="261" t="s">
        <v>3240</v>
      </c>
      <c r="D1707" s="265" t="s">
        <v>19559</v>
      </c>
      <c r="E1707" s="262" t="s">
        <v>207</v>
      </c>
    </row>
    <row r="1708" spans="1:5" ht="15">
      <c r="A1708" s="261">
        <v>39883</v>
      </c>
      <c r="B1708" s="261" t="s">
        <v>5982</v>
      </c>
      <c r="C1708" s="261" t="s">
        <v>3240</v>
      </c>
      <c r="D1708" s="265" t="s">
        <v>19560</v>
      </c>
      <c r="E1708" s="262" t="s">
        <v>207</v>
      </c>
    </row>
    <row r="1709" spans="1:5" ht="15">
      <c r="A1709" s="261">
        <v>39884</v>
      </c>
      <c r="B1709" s="261" t="s">
        <v>5983</v>
      </c>
      <c r="C1709" s="261" t="s">
        <v>3240</v>
      </c>
      <c r="D1709" s="265" t="s">
        <v>19561</v>
      </c>
      <c r="E1709" s="262" t="s">
        <v>207</v>
      </c>
    </row>
    <row r="1710" spans="1:5" ht="15">
      <c r="A1710" s="261">
        <v>39885</v>
      </c>
      <c r="B1710" s="261" t="s">
        <v>5984</v>
      </c>
      <c r="C1710" s="261" t="s">
        <v>3240</v>
      </c>
      <c r="D1710" s="265" t="s">
        <v>19562</v>
      </c>
      <c r="E1710" s="262" t="s">
        <v>207</v>
      </c>
    </row>
    <row r="1711" spans="1:5" ht="15">
      <c r="A1711" s="261">
        <v>1777</v>
      </c>
      <c r="B1711" s="261" t="s">
        <v>5985</v>
      </c>
      <c r="C1711" s="261" t="s">
        <v>3240</v>
      </c>
      <c r="D1711" s="265" t="s">
        <v>19340</v>
      </c>
      <c r="E1711" s="262" t="s">
        <v>207</v>
      </c>
    </row>
    <row r="1712" spans="1:5" ht="15">
      <c r="A1712" s="261">
        <v>1819</v>
      </c>
      <c r="B1712" s="261" t="s">
        <v>5986</v>
      </c>
      <c r="C1712" s="261" t="s">
        <v>3240</v>
      </c>
      <c r="D1712" s="265" t="s">
        <v>19343</v>
      </c>
      <c r="E1712" s="262" t="s">
        <v>207</v>
      </c>
    </row>
    <row r="1713" spans="1:5" ht="15">
      <c r="A1713" s="261">
        <v>1775</v>
      </c>
      <c r="B1713" s="261" t="s">
        <v>5987</v>
      </c>
      <c r="C1713" s="261" t="s">
        <v>3240</v>
      </c>
      <c r="D1713" s="265" t="s">
        <v>10887</v>
      </c>
      <c r="E1713" s="262" t="s">
        <v>207</v>
      </c>
    </row>
    <row r="1714" spans="1:5" ht="15">
      <c r="A1714" s="261">
        <v>1776</v>
      </c>
      <c r="B1714" s="261" t="s">
        <v>5988</v>
      </c>
      <c r="C1714" s="261" t="s">
        <v>3240</v>
      </c>
      <c r="D1714" s="265" t="s">
        <v>11428</v>
      </c>
      <c r="E1714" s="262" t="s">
        <v>207</v>
      </c>
    </row>
    <row r="1715" spans="1:5" ht="15">
      <c r="A1715" s="261">
        <v>1778</v>
      </c>
      <c r="B1715" s="261" t="s">
        <v>5989</v>
      </c>
      <c r="C1715" s="261" t="s">
        <v>3240</v>
      </c>
      <c r="D1715" s="265" t="s">
        <v>19563</v>
      </c>
      <c r="E1715" s="262" t="s">
        <v>207</v>
      </c>
    </row>
    <row r="1716" spans="1:5" ht="15">
      <c r="A1716" s="261">
        <v>1818</v>
      </c>
      <c r="B1716" s="261" t="s">
        <v>5990</v>
      </c>
      <c r="C1716" s="261" t="s">
        <v>3240</v>
      </c>
      <c r="D1716" s="265" t="s">
        <v>15916</v>
      </c>
      <c r="E1716" s="262" t="s">
        <v>207</v>
      </c>
    </row>
    <row r="1717" spans="1:5" ht="15">
      <c r="A1717" s="261">
        <v>1820</v>
      </c>
      <c r="B1717" s="261" t="s">
        <v>5991</v>
      </c>
      <c r="C1717" s="261" t="s">
        <v>3240</v>
      </c>
      <c r="D1717" s="265" t="s">
        <v>12372</v>
      </c>
      <c r="E1717" s="262" t="s">
        <v>207</v>
      </c>
    </row>
    <row r="1718" spans="1:5" ht="15">
      <c r="A1718" s="261">
        <v>1779</v>
      </c>
      <c r="B1718" s="261" t="s">
        <v>5992</v>
      </c>
      <c r="C1718" s="261" t="s">
        <v>3240</v>
      </c>
      <c r="D1718" s="265" t="s">
        <v>19564</v>
      </c>
      <c r="E1718" s="262" t="s">
        <v>207</v>
      </c>
    </row>
    <row r="1719" spans="1:5" ht="15">
      <c r="A1719" s="261">
        <v>1780</v>
      </c>
      <c r="B1719" s="261" t="s">
        <v>5993</v>
      </c>
      <c r="C1719" s="261" t="s">
        <v>3240</v>
      </c>
      <c r="D1719" s="265" t="s">
        <v>19565</v>
      </c>
      <c r="E1719" s="262" t="s">
        <v>207</v>
      </c>
    </row>
    <row r="1720" spans="1:5" ht="30">
      <c r="A1720" s="261">
        <v>1783</v>
      </c>
      <c r="B1720" s="261" t="s">
        <v>5994</v>
      </c>
      <c r="C1720" s="261" t="s">
        <v>3240</v>
      </c>
      <c r="D1720" s="265" t="s">
        <v>14272</v>
      </c>
      <c r="E1720" s="262" t="s">
        <v>207</v>
      </c>
    </row>
    <row r="1721" spans="1:5" ht="30">
      <c r="A1721" s="261">
        <v>1782</v>
      </c>
      <c r="B1721" s="261" t="s">
        <v>5995</v>
      </c>
      <c r="C1721" s="261" t="s">
        <v>3240</v>
      </c>
      <c r="D1721" s="265" t="s">
        <v>19566</v>
      </c>
      <c r="E1721" s="262" t="s">
        <v>207</v>
      </c>
    </row>
    <row r="1722" spans="1:5" ht="15">
      <c r="A1722" s="261">
        <v>1817</v>
      </c>
      <c r="B1722" s="261" t="s">
        <v>5996</v>
      </c>
      <c r="C1722" s="261" t="s">
        <v>3240</v>
      </c>
      <c r="D1722" s="265" t="s">
        <v>11353</v>
      </c>
      <c r="E1722" s="262" t="s">
        <v>207</v>
      </c>
    </row>
    <row r="1723" spans="1:5" ht="15">
      <c r="A1723" s="261">
        <v>1781</v>
      </c>
      <c r="B1723" s="261" t="s">
        <v>5997</v>
      </c>
      <c r="C1723" s="261" t="s">
        <v>3240</v>
      </c>
      <c r="D1723" s="265" t="s">
        <v>19567</v>
      </c>
      <c r="E1723" s="262" t="s">
        <v>207</v>
      </c>
    </row>
    <row r="1724" spans="1:5" ht="30">
      <c r="A1724" s="261">
        <v>1784</v>
      </c>
      <c r="B1724" s="261" t="s">
        <v>5998</v>
      </c>
      <c r="C1724" s="261" t="s">
        <v>3240</v>
      </c>
      <c r="D1724" s="265" t="s">
        <v>19568</v>
      </c>
      <c r="E1724" s="262" t="s">
        <v>207</v>
      </c>
    </row>
    <row r="1725" spans="1:5" ht="15">
      <c r="A1725" s="261">
        <v>1810</v>
      </c>
      <c r="B1725" s="261" t="s">
        <v>5999</v>
      </c>
      <c r="C1725" s="261" t="s">
        <v>3240</v>
      </c>
      <c r="D1725" s="265" t="s">
        <v>19569</v>
      </c>
      <c r="E1725" s="262" t="s">
        <v>207</v>
      </c>
    </row>
    <row r="1726" spans="1:5" ht="15">
      <c r="A1726" s="261">
        <v>1811</v>
      </c>
      <c r="B1726" s="261" t="s">
        <v>6000</v>
      </c>
      <c r="C1726" s="261" t="s">
        <v>3240</v>
      </c>
      <c r="D1726" s="265" t="s">
        <v>12205</v>
      </c>
      <c r="E1726" s="262" t="s">
        <v>207</v>
      </c>
    </row>
    <row r="1727" spans="1:5" ht="15">
      <c r="A1727" s="261">
        <v>1812</v>
      </c>
      <c r="B1727" s="261" t="s">
        <v>6001</v>
      </c>
      <c r="C1727" s="261" t="s">
        <v>3240</v>
      </c>
      <c r="D1727" s="265" t="s">
        <v>19570</v>
      </c>
      <c r="E1727" s="262" t="s">
        <v>207</v>
      </c>
    </row>
    <row r="1728" spans="1:5" ht="15">
      <c r="A1728" s="261">
        <v>40386</v>
      </c>
      <c r="B1728" s="261" t="s">
        <v>6002</v>
      </c>
      <c r="C1728" s="261" t="s">
        <v>3240</v>
      </c>
      <c r="D1728" s="265" t="s">
        <v>19571</v>
      </c>
      <c r="E1728" s="262" t="s">
        <v>207</v>
      </c>
    </row>
    <row r="1729" spans="1:5" ht="15">
      <c r="A1729" s="261">
        <v>40384</v>
      </c>
      <c r="B1729" s="261" t="s">
        <v>6003</v>
      </c>
      <c r="C1729" s="261" t="s">
        <v>3240</v>
      </c>
      <c r="D1729" s="265" t="s">
        <v>19572</v>
      </c>
      <c r="E1729" s="262" t="s">
        <v>207</v>
      </c>
    </row>
    <row r="1730" spans="1:5" ht="15">
      <c r="A1730" s="261">
        <v>40379</v>
      </c>
      <c r="B1730" s="261" t="s">
        <v>6004</v>
      </c>
      <c r="C1730" s="261" t="s">
        <v>3240</v>
      </c>
      <c r="D1730" s="265" t="s">
        <v>10602</v>
      </c>
      <c r="E1730" s="262" t="s">
        <v>207</v>
      </c>
    </row>
    <row r="1731" spans="1:5" ht="15">
      <c r="A1731" s="261">
        <v>40423</v>
      </c>
      <c r="B1731" s="261" t="s">
        <v>6005</v>
      </c>
      <c r="C1731" s="261" t="s">
        <v>3240</v>
      </c>
      <c r="D1731" s="265" t="s">
        <v>15866</v>
      </c>
      <c r="E1731" s="262" t="s">
        <v>207</v>
      </c>
    </row>
    <row r="1732" spans="1:5" ht="15">
      <c r="A1732" s="261">
        <v>40389</v>
      </c>
      <c r="B1732" s="261" t="s">
        <v>6006</v>
      </c>
      <c r="C1732" s="261" t="s">
        <v>3240</v>
      </c>
      <c r="D1732" s="265" t="s">
        <v>19573</v>
      </c>
      <c r="E1732" s="262" t="s">
        <v>207</v>
      </c>
    </row>
    <row r="1733" spans="1:5" ht="15">
      <c r="A1733" s="261">
        <v>40388</v>
      </c>
      <c r="B1733" s="261" t="s">
        <v>6007</v>
      </c>
      <c r="C1733" s="261" t="s">
        <v>3240</v>
      </c>
      <c r="D1733" s="265" t="s">
        <v>19574</v>
      </c>
      <c r="E1733" s="262" t="s">
        <v>207</v>
      </c>
    </row>
    <row r="1734" spans="1:5" ht="15">
      <c r="A1734" s="261">
        <v>40381</v>
      </c>
      <c r="B1734" s="261" t="s">
        <v>6008</v>
      </c>
      <c r="C1734" s="261" t="s">
        <v>3240</v>
      </c>
      <c r="D1734" s="265" t="s">
        <v>10912</v>
      </c>
      <c r="E1734" s="262" t="s">
        <v>207</v>
      </c>
    </row>
    <row r="1735" spans="1:5" ht="15">
      <c r="A1735" s="261">
        <v>40391</v>
      </c>
      <c r="B1735" s="261" t="s">
        <v>6009</v>
      </c>
      <c r="C1735" s="261" t="s">
        <v>3240</v>
      </c>
      <c r="D1735" s="265" t="s">
        <v>19575</v>
      </c>
      <c r="E1735" s="262" t="s">
        <v>207</v>
      </c>
    </row>
    <row r="1736" spans="1:5" ht="15">
      <c r="A1736" s="261">
        <v>40414</v>
      </c>
      <c r="B1736" s="261" t="s">
        <v>6010</v>
      </c>
      <c r="C1736" s="261" t="s">
        <v>3240</v>
      </c>
      <c r="D1736" s="265" t="s">
        <v>16199</v>
      </c>
      <c r="E1736" s="262" t="s">
        <v>207</v>
      </c>
    </row>
    <row r="1737" spans="1:5" ht="15">
      <c r="A1737" s="261">
        <v>40416</v>
      </c>
      <c r="B1737" s="261" t="s">
        <v>6011</v>
      </c>
      <c r="C1737" s="261" t="s">
        <v>3240</v>
      </c>
      <c r="D1737" s="265" t="s">
        <v>14134</v>
      </c>
      <c r="E1737" s="262" t="s">
        <v>207</v>
      </c>
    </row>
    <row r="1738" spans="1:5" ht="15">
      <c r="A1738" s="261">
        <v>40418</v>
      </c>
      <c r="B1738" s="261" t="s">
        <v>6012</v>
      </c>
      <c r="C1738" s="261" t="s">
        <v>3240</v>
      </c>
      <c r="D1738" s="265" t="s">
        <v>19576</v>
      </c>
      <c r="E1738" s="262" t="s">
        <v>207</v>
      </c>
    </row>
    <row r="1739" spans="1:5" ht="30">
      <c r="A1739" s="261">
        <v>2609</v>
      </c>
      <c r="B1739" s="261" t="s">
        <v>6013</v>
      </c>
      <c r="C1739" s="261" t="s">
        <v>3240</v>
      </c>
      <c r="D1739" s="265" t="s">
        <v>11177</v>
      </c>
      <c r="E1739" s="262" t="s">
        <v>207</v>
      </c>
    </row>
    <row r="1740" spans="1:5" ht="30">
      <c r="A1740" s="261">
        <v>2634</v>
      </c>
      <c r="B1740" s="261" t="s">
        <v>6014</v>
      </c>
      <c r="C1740" s="261" t="s">
        <v>3240</v>
      </c>
      <c r="D1740" s="265" t="s">
        <v>15844</v>
      </c>
      <c r="E1740" s="262" t="s">
        <v>207</v>
      </c>
    </row>
    <row r="1741" spans="1:5" ht="30">
      <c r="A1741" s="261">
        <v>2611</v>
      </c>
      <c r="B1741" s="261" t="s">
        <v>6015</v>
      </c>
      <c r="C1741" s="261" t="s">
        <v>3240</v>
      </c>
      <c r="D1741" s="265" t="s">
        <v>12262</v>
      </c>
      <c r="E1741" s="262" t="s">
        <v>207</v>
      </c>
    </row>
    <row r="1742" spans="1:5" ht="15">
      <c r="A1742" s="261">
        <v>34359</v>
      </c>
      <c r="B1742" s="261" t="s">
        <v>6016</v>
      </c>
      <c r="C1742" s="261" t="s">
        <v>3240</v>
      </c>
      <c r="D1742" s="265" t="s">
        <v>10422</v>
      </c>
      <c r="E1742" s="262" t="s">
        <v>207</v>
      </c>
    </row>
    <row r="1743" spans="1:5" ht="15">
      <c r="A1743" s="261">
        <v>1789</v>
      </c>
      <c r="B1743" s="261" t="s">
        <v>6017</v>
      </c>
      <c r="C1743" s="261" t="s">
        <v>3240</v>
      </c>
      <c r="D1743" s="265" t="s">
        <v>16174</v>
      </c>
      <c r="E1743" s="262" t="s">
        <v>207</v>
      </c>
    </row>
    <row r="1744" spans="1:5" ht="15">
      <c r="A1744" s="261">
        <v>1788</v>
      </c>
      <c r="B1744" s="261" t="s">
        <v>6018</v>
      </c>
      <c r="C1744" s="261" t="s">
        <v>3240</v>
      </c>
      <c r="D1744" s="265" t="s">
        <v>19577</v>
      </c>
      <c r="E1744" s="262" t="s">
        <v>207</v>
      </c>
    </row>
    <row r="1745" spans="1:5" ht="15">
      <c r="A1745" s="261">
        <v>1786</v>
      </c>
      <c r="B1745" s="261" t="s">
        <v>6019</v>
      </c>
      <c r="C1745" s="261" t="s">
        <v>3240</v>
      </c>
      <c r="D1745" s="265" t="s">
        <v>11334</v>
      </c>
      <c r="E1745" s="262" t="s">
        <v>207</v>
      </c>
    </row>
    <row r="1746" spans="1:5" ht="15">
      <c r="A1746" s="261">
        <v>1787</v>
      </c>
      <c r="B1746" s="261" t="s">
        <v>6020</v>
      </c>
      <c r="C1746" s="261" t="s">
        <v>3240</v>
      </c>
      <c r="D1746" s="265" t="s">
        <v>19495</v>
      </c>
      <c r="E1746" s="262" t="s">
        <v>207</v>
      </c>
    </row>
    <row r="1747" spans="1:5" ht="15">
      <c r="A1747" s="261">
        <v>1791</v>
      </c>
      <c r="B1747" s="261" t="s">
        <v>6021</v>
      </c>
      <c r="C1747" s="261" t="s">
        <v>3240</v>
      </c>
      <c r="D1747" s="265" t="s">
        <v>19578</v>
      </c>
      <c r="E1747" s="262" t="s">
        <v>207</v>
      </c>
    </row>
    <row r="1748" spans="1:5" ht="15">
      <c r="A1748" s="261">
        <v>1790</v>
      </c>
      <c r="B1748" s="261" t="s">
        <v>6022</v>
      </c>
      <c r="C1748" s="261" t="s">
        <v>3240</v>
      </c>
      <c r="D1748" s="265" t="s">
        <v>19579</v>
      </c>
      <c r="E1748" s="262" t="s">
        <v>207</v>
      </c>
    </row>
    <row r="1749" spans="1:5" ht="15">
      <c r="A1749" s="261">
        <v>1813</v>
      </c>
      <c r="B1749" s="261" t="s">
        <v>6023</v>
      </c>
      <c r="C1749" s="261" t="s">
        <v>3240</v>
      </c>
      <c r="D1749" s="265" t="s">
        <v>14205</v>
      </c>
      <c r="E1749" s="262" t="s">
        <v>207</v>
      </c>
    </row>
    <row r="1750" spans="1:5" ht="15">
      <c r="A1750" s="261">
        <v>1792</v>
      </c>
      <c r="B1750" s="261" t="s">
        <v>6024</v>
      </c>
      <c r="C1750" s="261" t="s">
        <v>3240</v>
      </c>
      <c r="D1750" s="265" t="s">
        <v>19580</v>
      </c>
      <c r="E1750" s="262" t="s">
        <v>207</v>
      </c>
    </row>
    <row r="1751" spans="1:5" ht="15">
      <c r="A1751" s="261">
        <v>1793</v>
      </c>
      <c r="B1751" s="261" t="s">
        <v>6025</v>
      </c>
      <c r="C1751" s="261" t="s">
        <v>3240</v>
      </c>
      <c r="D1751" s="265" t="s">
        <v>16688</v>
      </c>
      <c r="E1751" s="262" t="s">
        <v>207</v>
      </c>
    </row>
    <row r="1752" spans="1:5" ht="30">
      <c r="A1752" s="261">
        <v>1809</v>
      </c>
      <c r="B1752" s="261" t="s">
        <v>6026</v>
      </c>
      <c r="C1752" s="261" t="s">
        <v>3240</v>
      </c>
      <c r="D1752" s="265" t="s">
        <v>19581</v>
      </c>
      <c r="E1752" s="262" t="s">
        <v>207</v>
      </c>
    </row>
    <row r="1753" spans="1:5" ht="30">
      <c r="A1753" s="261">
        <v>1814</v>
      </c>
      <c r="B1753" s="261" t="s">
        <v>6027</v>
      </c>
      <c r="C1753" s="261" t="s">
        <v>3240</v>
      </c>
      <c r="D1753" s="265" t="s">
        <v>19582</v>
      </c>
      <c r="E1753" s="262" t="s">
        <v>207</v>
      </c>
    </row>
    <row r="1754" spans="1:5" ht="15">
      <c r="A1754" s="261">
        <v>1803</v>
      </c>
      <c r="B1754" s="261" t="s">
        <v>6028</v>
      </c>
      <c r="C1754" s="261" t="s">
        <v>3240</v>
      </c>
      <c r="D1754" s="265" t="s">
        <v>10422</v>
      </c>
      <c r="E1754" s="262" t="s">
        <v>207</v>
      </c>
    </row>
    <row r="1755" spans="1:5" ht="15">
      <c r="A1755" s="261">
        <v>1805</v>
      </c>
      <c r="B1755" s="261" t="s">
        <v>6029</v>
      </c>
      <c r="C1755" s="261" t="s">
        <v>3240</v>
      </c>
      <c r="D1755" s="265" t="s">
        <v>14076</v>
      </c>
      <c r="E1755" s="262" t="s">
        <v>207</v>
      </c>
    </row>
    <row r="1756" spans="1:5" ht="30">
      <c r="A1756" s="261">
        <v>1821</v>
      </c>
      <c r="B1756" s="261" t="s">
        <v>6030</v>
      </c>
      <c r="C1756" s="261" t="s">
        <v>3240</v>
      </c>
      <c r="D1756" s="265" t="s">
        <v>19583</v>
      </c>
      <c r="E1756" s="262" t="s">
        <v>207</v>
      </c>
    </row>
    <row r="1757" spans="1:5" ht="15">
      <c r="A1757" s="261">
        <v>1806</v>
      </c>
      <c r="B1757" s="261" t="s">
        <v>6031</v>
      </c>
      <c r="C1757" s="261" t="s">
        <v>3240</v>
      </c>
      <c r="D1757" s="265" t="s">
        <v>19584</v>
      </c>
      <c r="E1757" s="262" t="s">
        <v>207</v>
      </c>
    </row>
    <row r="1758" spans="1:5" ht="15">
      <c r="A1758" s="261">
        <v>1804</v>
      </c>
      <c r="B1758" s="261" t="s">
        <v>6032</v>
      </c>
      <c r="C1758" s="261" t="s">
        <v>3240</v>
      </c>
      <c r="D1758" s="265" t="s">
        <v>11385</v>
      </c>
      <c r="E1758" s="262" t="s">
        <v>207</v>
      </c>
    </row>
    <row r="1759" spans="1:5" ht="15">
      <c r="A1759" s="261">
        <v>1807</v>
      </c>
      <c r="B1759" s="261" t="s">
        <v>6033</v>
      </c>
      <c r="C1759" s="261" t="s">
        <v>3240</v>
      </c>
      <c r="D1759" s="265" t="s">
        <v>19585</v>
      </c>
      <c r="E1759" s="262" t="s">
        <v>207</v>
      </c>
    </row>
    <row r="1760" spans="1:5" ht="15">
      <c r="A1760" s="261">
        <v>1808</v>
      </c>
      <c r="B1760" s="261" t="s">
        <v>6034</v>
      </c>
      <c r="C1760" s="261" t="s">
        <v>3240</v>
      </c>
      <c r="D1760" s="265" t="s">
        <v>19586</v>
      </c>
      <c r="E1760" s="262" t="s">
        <v>207</v>
      </c>
    </row>
    <row r="1761" spans="1:5" ht="15">
      <c r="A1761" s="261">
        <v>1797</v>
      </c>
      <c r="B1761" s="261" t="s">
        <v>6035</v>
      </c>
      <c r="C1761" s="261" t="s">
        <v>3240</v>
      </c>
      <c r="D1761" s="265" t="s">
        <v>19587</v>
      </c>
      <c r="E1761" s="262" t="s">
        <v>207</v>
      </c>
    </row>
    <row r="1762" spans="1:5" ht="15">
      <c r="A1762" s="261">
        <v>1796</v>
      </c>
      <c r="B1762" s="261" t="s">
        <v>6036</v>
      </c>
      <c r="C1762" s="261" t="s">
        <v>3240</v>
      </c>
      <c r="D1762" s="265" t="s">
        <v>19588</v>
      </c>
      <c r="E1762" s="262" t="s">
        <v>207</v>
      </c>
    </row>
    <row r="1763" spans="1:5" ht="15">
      <c r="A1763" s="261">
        <v>1794</v>
      </c>
      <c r="B1763" s="261" t="s">
        <v>6037</v>
      </c>
      <c r="C1763" s="261" t="s">
        <v>3240</v>
      </c>
      <c r="D1763" s="265" t="s">
        <v>10336</v>
      </c>
      <c r="E1763" s="262" t="s">
        <v>207</v>
      </c>
    </row>
    <row r="1764" spans="1:5" ht="15">
      <c r="A1764" s="261">
        <v>1816</v>
      </c>
      <c r="B1764" s="261" t="s">
        <v>6038</v>
      </c>
      <c r="C1764" s="261" t="s">
        <v>3240</v>
      </c>
      <c r="D1764" s="265" t="s">
        <v>14259</v>
      </c>
      <c r="E1764" s="262" t="s">
        <v>207</v>
      </c>
    </row>
    <row r="1765" spans="1:5" ht="15">
      <c r="A1765" s="261">
        <v>1815</v>
      </c>
      <c r="B1765" s="261" t="s">
        <v>6039</v>
      </c>
      <c r="C1765" s="261" t="s">
        <v>3240</v>
      </c>
      <c r="D1765" s="265" t="s">
        <v>19589</v>
      </c>
      <c r="E1765" s="262" t="s">
        <v>207</v>
      </c>
    </row>
    <row r="1766" spans="1:5" ht="15">
      <c r="A1766" s="261">
        <v>1798</v>
      </c>
      <c r="B1766" s="261" t="s">
        <v>6040</v>
      </c>
      <c r="C1766" s="261" t="s">
        <v>3240</v>
      </c>
      <c r="D1766" s="265" t="s">
        <v>19590</v>
      </c>
      <c r="E1766" s="262" t="s">
        <v>207</v>
      </c>
    </row>
    <row r="1767" spans="1:5" ht="15">
      <c r="A1767" s="261">
        <v>1795</v>
      </c>
      <c r="B1767" s="261" t="s">
        <v>6041</v>
      </c>
      <c r="C1767" s="261" t="s">
        <v>3240</v>
      </c>
      <c r="D1767" s="265" t="s">
        <v>11200</v>
      </c>
      <c r="E1767" s="262" t="s">
        <v>207</v>
      </c>
    </row>
    <row r="1768" spans="1:5" ht="15">
      <c r="A1768" s="261">
        <v>1799</v>
      </c>
      <c r="B1768" s="261" t="s">
        <v>6042</v>
      </c>
      <c r="C1768" s="261" t="s">
        <v>3240</v>
      </c>
      <c r="D1768" s="265" t="s">
        <v>19591</v>
      </c>
      <c r="E1768" s="262" t="s">
        <v>207</v>
      </c>
    </row>
    <row r="1769" spans="1:5" ht="15">
      <c r="A1769" s="261">
        <v>1800</v>
      </c>
      <c r="B1769" s="261" t="s">
        <v>6043</v>
      </c>
      <c r="C1769" s="261" t="s">
        <v>3240</v>
      </c>
      <c r="D1769" s="265" t="s">
        <v>19592</v>
      </c>
      <c r="E1769" s="262" t="s">
        <v>207</v>
      </c>
    </row>
    <row r="1770" spans="1:5" ht="15">
      <c r="A1770" s="261">
        <v>1802</v>
      </c>
      <c r="B1770" s="261" t="s">
        <v>6044</v>
      </c>
      <c r="C1770" s="261" t="s">
        <v>3240</v>
      </c>
      <c r="D1770" s="265" t="s">
        <v>19593</v>
      </c>
      <c r="E1770" s="262" t="s">
        <v>207</v>
      </c>
    </row>
    <row r="1771" spans="1:5" ht="30">
      <c r="A1771" s="261">
        <v>40385</v>
      </c>
      <c r="B1771" s="261" t="s">
        <v>6045</v>
      </c>
      <c r="C1771" s="261" t="s">
        <v>3240</v>
      </c>
      <c r="D1771" s="265" t="s">
        <v>19571</v>
      </c>
      <c r="E1771" s="262" t="s">
        <v>207</v>
      </c>
    </row>
    <row r="1772" spans="1:5" ht="30">
      <c r="A1772" s="261">
        <v>40383</v>
      </c>
      <c r="B1772" s="261" t="s">
        <v>6046</v>
      </c>
      <c r="C1772" s="261" t="s">
        <v>3240</v>
      </c>
      <c r="D1772" s="265" t="s">
        <v>19572</v>
      </c>
      <c r="E1772" s="262" t="s">
        <v>207</v>
      </c>
    </row>
    <row r="1773" spans="1:5" ht="30">
      <c r="A1773" s="261">
        <v>40378</v>
      </c>
      <c r="B1773" s="261" t="s">
        <v>6047</v>
      </c>
      <c r="C1773" s="261" t="s">
        <v>3240</v>
      </c>
      <c r="D1773" s="265" t="s">
        <v>10602</v>
      </c>
      <c r="E1773" s="262" t="s">
        <v>207</v>
      </c>
    </row>
    <row r="1774" spans="1:5" ht="30">
      <c r="A1774" s="261">
        <v>40382</v>
      </c>
      <c r="B1774" s="261" t="s">
        <v>6048</v>
      </c>
      <c r="C1774" s="261" t="s">
        <v>3240</v>
      </c>
      <c r="D1774" s="265" t="s">
        <v>15866</v>
      </c>
      <c r="E1774" s="262" t="s">
        <v>207</v>
      </c>
    </row>
    <row r="1775" spans="1:5" ht="30">
      <c r="A1775" s="261">
        <v>40422</v>
      </c>
      <c r="B1775" s="261" t="s">
        <v>6049</v>
      </c>
      <c r="C1775" s="261" t="s">
        <v>3240</v>
      </c>
      <c r="D1775" s="265" t="s">
        <v>19594</v>
      </c>
      <c r="E1775" s="262" t="s">
        <v>207</v>
      </c>
    </row>
    <row r="1776" spans="1:5" ht="30">
      <c r="A1776" s="261">
        <v>40387</v>
      </c>
      <c r="B1776" s="261" t="s">
        <v>6050</v>
      </c>
      <c r="C1776" s="261" t="s">
        <v>3240</v>
      </c>
      <c r="D1776" s="265" t="s">
        <v>19595</v>
      </c>
      <c r="E1776" s="262" t="s">
        <v>207</v>
      </c>
    </row>
    <row r="1777" spans="1:5" ht="30">
      <c r="A1777" s="261">
        <v>40380</v>
      </c>
      <c r="B1777" s="261" t="s">
        <v>6051</v>
      </c>
      <c r="C1777" s="261" t="s">
        <v>3240</v>
      </c>
      <c r="D1777" s="265" t="s">
        <v>10912</v>
      </c>
      <c r="E1777" s="262" t="s">
        <v>207</v>
      </c>
    </row>
    <row r="1778" spans="1:5" ht="30">
      <c r="A1778" s="261">
        <v>40390</v>
      </c>
      <c r="B1778" s="261" t="s">
        <v>6052</v>
      </c>
      <c r="C1778" s="261" t="s">
        <v>3240</v>
      </c>
      <c r="D1778" s="265" t="s">
        <v>19596</v>
      </c>
      <c r="E1778" s="262" t="s">
        <v>207</v>
      </c>
    </row>
    <row r="1779" spans="1:5" ht="15">
      <c r="A1779" s="261">
        <v>40413</v>
      </c>
      <c r="B1779" s="261" t="s">
        <v>6053</v>
      </c>
      <c r="C1779" s="261" t="s">
        <v>3240</v>
      </c>
      <c r="D1779" s="265" t="s">
        <v>19597</v>
      </c>
      <c r="E1779" s="262" t="s">
        <v>207</v>
      </c>
    </row>
    <row r="1780" spans="1:5" ht="15">
      <c r="A1780" s="261">
        <v>40415</v>
      </c>
      <c r="B1780" s="261" t="s">
        <v>6054</v>
      </c>
      <c r="C1780" s="261" t="s">
        <v>3240</v>
      </c>
      <c r="D1780" s="265" t="s">
        <v>14186</v>
      </c>
      <c r="E1780" s="262" t="s">
        <v>207</v>
      </c>
    </row>
    <row r="1781" spans="1:5" ht="15">
      <c r="A1781" s="261">
        <v>40417</v>
      </c>
      <c r="B1781" s="261" t="s">
        <v>6055</v>
      </c>
      <c r="C1781" s="261" t="s">
        <v>3240</v>
      </c>
      <c r="D1781" s="265" t="s">
        <v>19598</v>
      </c>
      <c r="E1781" s="262" t="s">
        <v>207</v>
      </c>
    </row>
    <row r="1782" spans="1:5" ht="15">
      <c r="A1782" s="261">
        <v>39271</v>
      </c>
      <c r="B1782" s="261" t="s">
        <v>6056</v>
      </c>
      <c r="C1782" s="261" t="s">
        <v>3240</v>
      </c>
      <c r="D1782" s="265" t="s">
        <v>11171</v>
      </c>
      <c r="E1782" s="262" t="s">
        <v>207</v>
      </c>
    </row>
    <row r="1783" spans="1:5" ht="15">
      <c r="A1783" s="261">
        <v>39273</v>
      </c>
      <c r="B1783" s="261" t="s">
        <v>6057</v>
      </c>
      <c r="C1783" s="261" t="s">
        <v>3240</v>
      </c>
      <c r="D1783" s="265" t="s">
        <v>11275</v>
      </c>
      <c r="E1783" s="262" t="s">
        <v>207</v>
      </c>
    </row>
    <row r="1784" spans="1:5" ht="15">
      <c r="A1784" s="261">
        <v>39272</v>
      </c>
      <c r="B1784" s="261" t="s">
        <v>6058</v>
      </c>
      <c r="C1784" s="261" t="s">
        <v>3240</v>
      </c>
      <c r="D1784" s="265" t="s">
        <v>9833</v>
      </c>
      <c r="E1784" s="262" t="s">
        <v>207</v>
      </c>
    </row>
    <row r="1785" spans="1:5" ht="15">
      <c r="A1785" s="261">
        <v>1875</v>
      </c>
      <c r="B1785" s="261" t="s">
        <v>6059</v>
      </c>
      <c r="C1785" s="261" t="s">
        <v>3240</v>
      </c>
      <c r="D1785" s="265" t="s">
        <v>9755</v>
      </c>
      <c r="E1785" s="262" t="s">
        <v>207</v>
      </c>
    </row>
    <row r="1786" spans="1:5" ht="15">
      <c r="A1786" s="261">
        <v>1874</v>
      </c>
      <c r="B1786" s="261" t="s">
        <v>6060</v>
      </c>
      <c r="C1786" s="261" t="s">
        <v>3240</v>
      </c>
      <c r="D1786" s="265" t="s">
        <v>16275</v>
      </c>
      <c r="E1786" s="262" t="s">
        <v>207</v>
      </c>
    </row>
    <row r="1787" spans="1:5" ht="15">
      <c r="A1787" s="261">
        <v>1870</v>
      </c>
      <c r="B1787" s="261" t="s">
        <v>6061</v>
      </c>
      <c r="C1787" s="261" t="s">
        <v>3240</v>
      </c>
      <c r="D1787" s="266" t="s">
        <v>10001</v>
      </c>
      <c r="E1787" s="262" t="s">
        <v>207</v>
      </c>
    </row>
    <row r="1788" spans="1:5" ht="15">
      <c r="A1788" s="261">
        <v>1884</v>
      </c>
      <c r="B1788" s="261" t="s">
        <v>6062</v>
      </c>
      <c r="C1788" s="261" t="s">
        <v>3240</v>
      </c>
      <c r="D1788" s="266" t="s">
        <v>10019</v>
      </c>
      <c r="E1788" s="262" t="s">
        <v>207</v>
      </c>
    </row>
    <row r="1789" spans="1:5" ht="15">
      <c r="A1789" s="261">
        <v>1887</v>
      </c>
      <c r="B1789" s="261" t="s">
        <v>6063</v>
      </c>
      <c r="C1789" s="261" t="s">
        <v>3240</v>
      </c>
      <c r="D1789" s="266" t="s">
        <v>12460</v>
      </c>
      <c r="E1789" s="262" t="s">
        <v>207</v>
      </c>
    </row>
    <row r="1790" spans="1:5" ht="15">
      <c r="A1790" s="261">
        <v>1876</v>
      </c>
      <c r="B1790" s="261" t="s">
        <v>6064</v>
      </c>
      <c r="C1790" s="261" t="s">
        <v>3240</v>
      </c>
      <c r="D1790" s="266" t="s">
        <v>10308</v>
      </c>
      <c r="E1790" s="262" t="s">
        <v>207</v>
      </c>
    </row>
    <row r="1791" spans="1:5" ht="15">
      <c r="A1791" s="261">
        <v>1879</v>
      </c>
      <c r="B1791" s="261" t="s">
        <v>6065</v>
      </c>
      <c r="C1791" s="261" t="s">
        <v>3240</v>
      </c>
      <c r="D1791" s="265" t="s">
        <v>19599</v>
      </c>
      <c r="E1791" s="262" t="s">
        <v>207</v>
      </c>
    </row>
    <row r="1792" spans="1:5" ht="15">
      <c r="A1792" s="261">
        <v>1877</v>
      </c>
      <c r="B1792" s="261" t="s">
        <v>6066</v>
      </c>
      <c r="C1792" s="261" t="s">
        <v>3240</v>
      </c>
      <c r="D1792" s="265" t="s">
        <v>11507</v>
      </c>
      <c r="E1792" s="262" t="s">
        <v>207</v>
      </c>
    </row>
    <row r="1793" spans="1:5" ht="15">
      <c r="A1793" s="261">
        <v>1878</v>
      </c>
      <c r="B1793" s="261" t="s">
        <v>6067</v>
      </c>
      <c r="C1793" s="261" t="s">
        <v>3240</v>
      </c>
      <c r="D1793" s="265" t="s">
        <v>19600</v>
      </c>
      <c r="E1793" s="262" t="s">
        <v>207</v>
      </c>
    </row>
    <row r="1794" spans="1:5" ht="30">
      <c r="A1794" s="261">
        <v>2621</v>
      </c>
      <c r="B1794" s="261" t="s">
        <v>6068</v>
      </c>
      <c r="C1794" s="261" t="s">
        <v>3240</v>
      </c>
      <c r="D1794" s="265" t="s">
        <v>19601</v>
      </c>
      <c r="E1794" s="262" t="s">
        <v>207</v>
      </c>
    </row>
    <row r="1795" spans="1:5" ht="30">
      <c r="A1795" s="261">
        <v>2616</v>
      </c>
      <c r="B1795" s="261" t="s">
        <v>6069</v>
      </c>
      <c r="C1795" s="261" t="s">
        <v>3240</v>
      </c>
      <c r="D1795" s="265" t="s">
        <v>12175</v>
      </c>
      <c r="E1795" s="262" t="s">
        <v>207</v>
      </c>
    </row>
    <row r="1796" spans="1:5" ht="30">
      <c r="A1796" s="261">
        <v>2633</v>
      </c>
      <c r="B1796" s="261" t="s">
        <v>6070</v>
      </c>
      <c r="C1796" s="261" t="s">
        <v>3240</v>
      </c>
      <c r="D1796" s="266" t="s">
        <v>10572</v>
      </c>
      <c r="E1796" s="262" t="s">
        <v>207</v>
      </c>
    </row>
    <row r="1797" spans="1:5" ht="30">
      <c r="A1797" s="261">
        <v>2617</v>
      </c>
      <c r="B1797" s="261" t="s">
        <v>6071</v>
      </c>
      <c r="C1797" s="261" t="s">
        <v>3240</v>
      </c>
      <c r="D1797" s="266" t="s">
        <v>10897</v>
      </c>
      <c r="E1797" s="262" t="s">
        <v>207</v>
      </c>
    </row>
    <row r="1798" spans="1:5" ht="30">
      <c r="A1798" s="261">
        <v>2618</v>
      </c>
      <c r="B1798" s="261" t="s">
        <v>6072</v>
      </c>
      <c r="C1798" s="261" t="s">
        <v>3240</v>
      </c>
      <c r="D1798" s="266" t="s">
        <v>10539</v>
      </c>
      <c r="E1798" s="262" t="s">
        <v>207</v>
      </c>
    </row>
    <row r="1799" spans="1:5" ht="30">
      <c r="A1799" s="261">
        <v>2632</v>
      </c>
      <c r="B1799" s="261" t="s">
        <v>6073</v>
      </c>
      <c r="C1799" s="261" t="s">
        <v>3240</v>
      </c>
      <c r="D1799" s="266" t="s">
        <v>10362</v>
      </c>
      <c r="E1799" s="262" t="s">
        <v>207</v>
      </c>
    </row>
    <row r="1800" spans="1:5" ht="30">
      <c r="A1800" s="261">
        <v>2631</v>
      </c>
      <c r="B1800" s="261" t="s">
        <v>6074</v>
      </c>
      <c r="C1800" s="261" t="s">
        <v>3240</v>
      </c>
      <c r="D1800" s="266" t="s">
        <v>19602</v>
      </c>
      <c r="E1800" s="262" t="s">
        <v>207</v>
      </c>
    </row>
    <row r="1801" spans="1:5" ht="30">
      <c r="A1801" s="261">
        <v>2619</v>
      </c>
      <c r="B1801" s="261" t="s">
        <v>6075</v>
      </c>
      <c r="C1801" s="261" t="s">
        <v>3240</v>
      </c>
      <c r="D1801" s="265" t="s">
        <v>19603</v>
      </c>
      <c r="E1801" s="262" t="s">
        <v>207</v>
      </c>
    </row>
    <row r="1802" spans="1:5" ht="30">
      <c r="A1802" s="261">
        <v>2620</v>
      </c>
      <c r="B1802" s="261" t="s">
        <v>6076</v>
      </c>
      <c r="C1802" s="261" t="s">
        <v>3240</v>
      </c>
      <c r="D1802" s="265" t="s">
        <v>19604</v>
      </c>
      <c r="E1802" s="262" t="s">
        <v>207</v>
      </c>
    </row>
    <row r="1803" spans="1:5" ht="15">
      <c r="A1803" s="261">
        <v>25968</v>
      </c>
      <c r="B1803" s="261" t="s">
        <v>6077</v>
      </c>
      <c r="C1803" s="261" t="s">
        <v>3240</v>
      </c>
      <c r="D1803" s="265" t="s">
        <v>16633</v>
      </c>
      <c r="E1803" s="262" t="s">
        <v>207</v>
      </c>
    </row>
    <row r="1804" spans="1:5" ht="30">
      <c r="A1804" s="261">
        <v>38369</v>
      </c>
      <c r="B1804" s="261" t="s">
        <v>6078</v>
      </c>
      <c r="C1804" s="261" t="s">
        <v>3240</v>
      </c>
      <c r="D1804" s="265" t="s">
        <v>11251</v>
      </c>
      <c r="E1804" s="262" t="s">
        <v>207</v>
      </c>
    </row>
    <row r="1805" spans="1:5" ht="15">
      <c r="A1805" s="261">
        <v>38370</v>
      </c>
      <c r="B1805" s="261" t="s">
        <v>6079</v>
      </c>
      <c r="C1805" s="261" t="s">
        <v>3240</v>
      </c>
      <c r="D1805" s="265" t="s">
        <v>11251</v>
      </c>
      <c r="E1805" s="262" t="s">
        <v>207</v>
      </c>
    </row>
    <row r="1806" spans="1:5" ht="15">
      <c r="A1806" s="261">
        <v>38372</v>
      </c>
      <c r="B1806" s="261" t="s">
        <v>6080</v>
      </c>
      <c r="C1806" s="261" t="s">
        <v>3240</v>
      </c>
      <c r="D1806" s="265" t="s">
        <v>16471</v>
      </c>
      <c r="E1806" s="262" t="s">
        <v>207</v>
      </c>
    </row>
    <row r="1807" spans="1:5" ht="15">
      <c r="A1807" s="261">
        <v>2357</v>
      </c>
      <c r="B1807" s="261" t="s">
        <v>6081</v>
      </c>
      <c r="C1807" s="261" t="s">
        <v>3239</v>
      </c>
      <c r="D1807" s="265" t="s">
        <v>11012</v>
      </c>
      <c r="E1807" s="262" t="s">
        <v>9714</v>
      </c>
    </row>
    <row r="1808" spans="1:5" ht="15">
      <c r="A1808" s="261">
        <v>40806</v>
      </c>
      <c r="B1808" s="261" t="s">
        <v>6082</v>
      </c>
      <c r="C1808" s="261" t="s">
        <v>3246</v>
      </c>
      <c r="D1808" s="265" t="s">
        <v>19605</v>
      </c>
      <c r="E1808" s="262" t="s">
        <v>9714</v>
      </c>
    </row>
    <row r="1809" spans="1:5" ht="15">
      <c r="A1809" s="261">
        <v>2355</v>
      </c>
      <c r="B1809" s="261" t="s">
        <v>6083</v>
      </c>
      <c r="C1809" s="261" t="s">
        <v>3239</v>
      </c>
      <c r="D1809" s="265" t="s">
        <v>19606</v>
      </c>
      <c r="E1809" s="262" t="s">
        <v>9714</v>
      </c>
    </row>
    <row r="1810" spans="1:5" ht="15">
      <c r="A1810" s="261">
        <v>40805</v>
      </c>
      <c r="B1810" s="261" t="s">
        <v>6084</v>
      </c>
      <c r="C1810" s="261" t="s">
        <v>3246</v>
      </c>
      <c r="D1810" s="265" t="s">
        <v>19607</v>
      </c>
      <c r="E1810" s="262" t="s">
        <v>9714</v>
      </c>
    </row>
    <row r="1811" spans="1:5" ht="15">
      <c r="A1811" s="261">
        <v>2358</v>
      </c>
      <c r="B1811" s="261" t="s">
        <v>6085</v>
      </c>
      <c r="C1811" s="261" t="s">
        <v>3239</v>
      </c>
      <c r="D1811" s="265" t="s">
        <v>11287</v>
      </c>
      <c r="E1811" s="262" t="s">
        <v>9714</v>
      </c>
    </row>
    <row r="1812" spans="1:5" ht="15">
      <c r="A1812" s="261">
        <v>40807</v>
      </c>
      <c r="B1812" s="261" t="s">
        <v>6086</v>
      </c>
      <c r="C1812" s="261" t="s">
        <v>3246</v>
      </c>
      <c r="D1812" s="265" t="s">
        <v>19608</v>
      </c>
      <c r="E1812" s="262" t="s">
        <v>9714</v>
      </c>
    </row>
    <row r="1813" spans="1:5" ht="15">
      <c r="A1813" s="261">
        <v>2359</v>
      </c>
      <c r="B1813" s="261" t="s">
        <v>6087</v>
      </c>
      <c r="C1813" s="261" t="s">
        <v>3239</v>
      </c>
      <c r="D1813" s="265" t="s">
        <v>15796</v>
      </c>
      <c r="E1813" s="262" t="s">
        <v>9714</v>
      </c>
    </row>
    <row r="1814" spans="1:5" ht="15">
      <c r="A1814" s="261">
        <v>40808</v>
      </c>
      <c r="B1814" s="261" t="s">
        <v>6088</v>
      </c>
      <c r="C1814" s="261" t="s">
        <v>3246</v>
      </c>
      <c r="D1814" s="265" t="s">
        <v>19609</v>
      </c>
      <c r="E1814" s="262" t="s">
        <v>9714</v>
      </c>
    </row>
    <row r="1815" spans="1:5" ht="15">
      <c r="A1815" s="261">
        <v>43144</v>
      </c>
      <c r="B1815" s="261" t="s">
        <v>9533</v>
      </c>
      <c r="C1815" s="261" t="s">
        <v>3244</v>
      </c>
      <c r="D1815" s="265" t="s">
        <v>19566</v>
      </c>
      <c r="E1815" s="262" t="s">
        <v>207</v>
      </c>
    </row>
    <row r="1816" spans="1:5" ht="15">
      <c r="A1816" s="261">
        <v>39397</v>
      </c>
      <c r="B1816" s="261" t="s">
        <v>6089</v>
      </c>
      <c r="C1816" s="261" t="s">
        <v>3245</v>
      </c>
      <c r="D1816" s="265" t="s">
        <v>11200</v>
      </c>
      <c r="E1816" s="262" t="s">
        <v>207</v>
      </c>
    </row>
    <row r="1817" spans="1:5" ht="30">
      <c r="A1817" s="261">
        <v>2692</v>
      </c>
      <c r="B1817" s="261" t="s">
        <v>6090</v>
      </c>
      <c r="C1817" s="261" t="s">
        <v>3245</v>
      </c>
      <c r="D1817" s="265" t="s">
        <v>9800</v>
      </c>
      <c r="E1817" s="262" t="s">
        <v>207</v>
      </c>
    </row>
    <row r="1818" spans="1:5" ht="15">
      <c r="A1818" s="261">
        <v>5330</v>
      </c>
      <c r="B1818" s="261" t="s">
        <v>6091</v>
      </c>
      <c r="C1818" s="261" t="s">
        <v>3245</v>
      </c>
      <c r="D1818" s="265" t="s">
        <v>9768</v>
      </c>
      <c r="E1818" s="262" t="s">
        <v>207</v>
      </c>
    </row>
    <row r="1819" spans="1:5" ht="15">
      <c r="A1819" s="261">
        <v>26017</v>
      </c>
      <c r="B1819" s="261" t="s">
        <v>6092</v>
      </c>
      <c r="C1819" s="261" t="s">
        <v>3240</v>
      </c>
      <c r="D1819" s="265" t="s">
        <v>19610</v>
      </c>
      <c r="E1819" s="262" t="s">
        <v>207</v>
      </c>
    </row>
    <row r="1820" spans="1:5" ht="30">
      <c r="A1820" s="261">
        <v>25931</v>
      </c>
      <c r="B1820" s="261" t="s">
        <v>6093</v>
      </c>
      <c r="C1820" s="261" t="s">
        <v>3240</v>
      </c>
      <c r="D1820" s="265" t="s">
        <v>19611</v>
      </c>
      <c r="E1820" s="262" t="s">
        <v>207</v>
      </c>
    </row>
    <row r="1821" spans="1:5" ht="30">
      <c r="A1821" s="261">
        <v>38140</v>
      </c>
      <c r="B1821" s="261" t="s">
        <v>6094</v>
      </c>
      <c r="C1821" s="261" t="s">
        <v>3240</v>
      </c>
      <c r="D1821" s="265" t="s">
        <v>19612</v>
      </c>
      <c r="E1821" s="262" t="s">
        <v>207</v>
      </c>
    </row>
    <row r="1822" spans="1:5" ht="30">
      <c r="A1822" s="261">
        <v>13887</v>
      </c>
      <c r="B1822" s="261" t="s">
        <v>6095</v>
      </c>
      <c r="C1822" s="261" t="s">
        <v>3240</v>
      </c>
      <c r="D1822" s="265" t="s">
        <v>19613</v>
      </c>
      <c r="E1822" s="262" t="s">
        <v>207</v>
      </c>
    </row>
    <row r="1823" spans="1:5" ht="15">
      <c r="A1823" s="261">
        <v>26018</v>
      </c>
      <c r="B1823" s="261" t="s">
        <v>6096</v>
      </c>
      <c r="C1823" s="261" t="s">
        <v>3240</v>
      </c>
      <c r="D1823" s="265" t="s">
        <v>12275</v>
      </c>
      <c r="E1823" s="262" t="s">
        <v>207</v>
      </c>
    </row>
    <row r="1824" spans="1:5" ht="30">
      <c r="A1824" s="261">
        <v>26019</v>
      </c>
      <c r="B1824" s="261" t="s">
        <v>6097</v>
      </c>
      <c r="C1824" s="261" t="s">
        <v>3240</v>
      </c>
      <c r="D1824" s="265" t="s">
        <v>11182</v>
      </c>
      <c r="E1824" s="262" t="s">
        <v>207</v>
      </c>
    </row>
    <row r="1825" spans="1:5" ht="15">
      <c r="A1825" s="261">
        <v>26020</v>
      </c>
      <c r="B1825" s="261" t="s">
        <v>6098</v>
      </c>
      <c r="C1825" s="261" t="s">
        <v>3240</v>
      </c>
      <c r="D1825" s="265" t="s">
        <v>10789</v>
      </c>
      <c r="E1825" s="262" t="s">
        <v>207</v>
      </c>
    </row>
    <row r="1826" spans="1:5" ht="15">
      <c r="A1826" s="261">
        <v>34544</v>
      </c>
      <c r="B1826" s="261" t="s">
        <v>6099</v>
      </c>
      <c r="C1826" s="261" t="s">
        <v>3240</v>
      </c>
      <c r="D1826" s="265" t="s">
        <v>19614</v>
      </c>
      <c r="E1826" s="262" t="s">
        <v>207</v>
      </c>
    </row>
    <row r="1827" spans="1:5" ht="30">
      <c r="A1827" s="261">
        <v>34729</v>
      </c>
      <c r="B1827" s="261" t="s">
        <v>6100</v>
      </c>
      <c r="C1827" s="261" t="s">
        <v>3240</v>
      </c>
      <c r="D1827" s="265" t="s">
        <v>19615</v>
      </c>
      <c r="E1827" s="262" t="s">
        <v>207</v>
      </c>
    </row>
    <row r="1828" spans="1:5" ht="30">
      <c r="A1828" s="261">
        <v>34734</v>
      </c>
      <c r="B1828" s="261" t="s">
        <v>6101</v>
      </c>
      <c r="C1828" s="261" t="s">
        <v>3240</v>
      </c>
      <c r="D1828" s="265" t="s">
        <v>19616</v>
      </c>
      <c r="E1828" s="262" t="s">
        <v>207</v>
      </c>
    </row>
    <row r="1829" spans="1:5" ht="30">
      <c r="A1829" s="261">
        <v>34738</v>
      </c>
      <c r="B1829" s="261" t="s">
        <v>6102</v>
      </c>
      <c r="C1829" s="261" t="s">
        <v>3240</v>
      </c>
      <c r="D1829" s="265" t="s">
        <v>19617</v>
      </c>
      <c r="E1829" s="262" t="s">
        <v>207</v>
      </c>
    </row>
    <row r="1830" spans="1:5" ht="15">
      <c r="A1830" s="261">
        <v>2391</v>
      </c>
      <c r="B1830" s="261" t="s">
        <v>6103</v>
      </c>
      <c r="C1830" s="261" t="s">
        <v>3240</v>
      </c>
      <c r="D1830" s="265" t="s">
        <v>19618</v>
      </c>
      <c r="E1830" s="262" t="s">
        <v>207</v>
      </c>
    </row>
    <row r="1831" spans="1:5" ht="15">
      <c r="A1831" s="261">
        <v>2374</v>
      </c>
      <c r="B1831" s="261" t="s">
        <v>6104</v>
      </c>
      <c r="C1831" s="261" t="s">
        <v>3240</v>
      </c>
      <c r="D1831" s="265" t="s">
        <v>19619</v>
      </c>
      <c r="E1831" s="262" t="s">
        <v>207</v>
      </c>
    </row>
    <row r="1832" spans="1:5" ht="15">
      <c r="A1832" s="261">
        <v>2377</v>
      </c>
      <c r="B1832" s="261" t="s">
        <v>6105</v>
      </c>
      <c r="C1832" s="261" t="s">
        <v>3240</v>
      </c>
      <c r="D1832" s="265" t="s">
        <v>19620</v>
      </c>
      <c r="E1832" s="262" t="s">
        <v>207</v>
      </c>
    </row>
    <row r="1833" spans="1:5" ht="15">
      <c r="A1833" s="261">
        <v>2393</v>
      </c>
      <c r="B1833" s="261" t="s">
        <v>6106</v>
      </c>
      <c r="C1833" s="261" t="s">
        <v>3240</v>
      </c>
      <c r="D1833" s="265" t="s">
        <v>19621</v>
      </c>
      <c r="E1833" s="264" t="s">
        <v>207</v>
      </c>
    </row>
    <row r="1834" spans="1:5" ht="15">
      <c r="A1834" s="261">
        <v>34705</v>
      </c>
      <c r="B1834" s="261" t="s">
        <v>6107</v>
      </c>
      <c r="C1834" s="261" t="s">
        <v>3240</v>
      </c>
      <c r="D1834" s="265" t="s">
        <v>19622</v>
      </c>
      <c r="E1834" s="264" t="s">
        <v>207</v>
      </c>
    </row>
    <row r="1835" spans="1:5" ht="15">
      <c r="A1835" s="261">
        <v>34707</v>
      </c>
      <c r="B1835" s="261" t="s">
        <v>6108</v>
      </c>
      <c r="C1835" s="261" t="s">
        <v>3240</v>
      </c>
      <c r="D1835" s="265" t="s">
        <v>19623</v>
      </c>
      <c r="E1835" s="264" t="s">
        <v>207</v>
      </c>
    </row>
    <row r="1836" spans="1:5" ht="15">
      <c r="A1836" s="261">
        <v>2378</v>
      </c>
      <c r="B1836" s="261" t="s">
        <v>6109</v>
      </c>
      <c r="C1836" s="261" t="s">
        <v>3240</v>
      </c>
      <c r="D1836" s="265" t="s">
        <v>19624</v>
      </c>
      <c r="E1836" s="264" t="s">
        <v>207</v>
      </c>
    </row>
    <row r="1837" spans="1:5" ht="15">
      <c r="A1837" s="261">
        <v>2379</v>
      </c>
      <c r="B1837" s="261" t="s">
        <v>6110</v>
      </c>
      <c r="C1837" s="261" t="s">
        <v>3240</v>
      </c>
      <c r="D1837" s="265" t="s">
        <v>19624</v>
      </c>
      <c r="E1837" s="264" t="s">
        <v>207</v>
      </c>
    </row>
    <row r="1838" spans="1:5" ht="15">
      <c r="A1838" s="261">
        <v>2376</v>
      </c>
      <c r="B1838" s="261" t="s">
        <v>6111</v>
      </c>
      <c r="C1838" s="261" t="s">
        <v>3240</v>
      </c>
      <c r="D1838" s="265" t="s">
        <v>19625</v>
      </c>
      <c r="E1838" s="264" t="s">
        <v>207</v>
      </c>
    </row>
    <row r="1839" spans="1:5" ht="15">
      <c r="A1839" s="261">
        <v>2394</v>
      </c>
      <c r="B1839" s="261" t="s">
        <v>6112</v>
      </c>
      <c r="C1839" s="261" t="s">
        <v>3240</v>
      </c>
      <c r="D1839" s="265" t="s">
        <v>19626</v>
      </c>
      <c r="E1839" s="264" t="s">
        <v>207</v>
      </c>
    </row>
    <row r="1840" spans="1:5" ht="15">
      <c r="A1840" s="261">
        <v>34686</v>
      </c>
      <c r="B1840" s="261" t="s">
        <v>6113</v>
      </c>
      <c r="C1840" s="261" t="s">
        <v>3240</v>
      </c>
      <c r="D1840" s="265" t="s">
        <v>10559</v>
      </c>
      <c r="E1840" s="264" t="s">
        <v>207</v>
      </c>
    </row>
    <row r="1841" spans="1:5" ht="15">
      <c r="A1841" s="261">
        <v>34616</v>
      </c>
      <c r="B1841" s="261" t="s">
        <v>6114</v>
      </c>
      <c r="C1841" s="261" t="s">
        <v>3240</v>
      </c>
      <c r="D1841" s="265" t="s">
        <v>14155</v>
      </c>
      <c r="E1841" s="262" t="s">
        <v>207</v>
      </c>
    </row>
    <row r="1842" spans="1:5" ht="15">
      <c r="A1842" s="261">
        <v>34623</v>
      </c>
      <c r="B1842" s="261" t="s">
        <v>6115</v>
      </c>
      <c r="C1842" s="261" t="s">
        <v>3240</v>
      </c>
      <c r="D1842" s="265" t="s">
        <v>19627</v>
      </c>
      <c r="E1842" s="262" t="s">
        <v>207</v>
      </c>
    </row>
    <row r="1843" spans="1:5" ht="15">
      <c r="A1843" s="261">
        <v>34628</v>
      </c>
      <c r="B1843" s="261" t="s">
        <v>6116</v>
      </c>
      <c r="C1843" s="261" t="s">
        <v>3240</v>
      </c>
      <c r="D1843" s="265" t="s">
        <v>16295</v>
      </c>
      <c r="E1843" s="262" t="s">
        <v>207</v>
      </c>
    </row>
    <row r="1844" spans="1:5" ht="15">
      <c r="A1844" s="261">
        <v>34653</v>
      </c>
      <c r="B1844" s="261" t="s">
        <v>6117</v>
      </c>
      <c r="C1844" s="261" t="s">
        <v>3240</v>
      </c>
      <c r="D1844" s="265" t="s">
        <v>10654</v>
      </c>
      <c r="E1844" s="262" t="s">
        <v>207</v>
      </c>
    </row>
    <row r="1845" spans="1:5" ht="15">
      <c r="A1845" s="261">
        <v>34688</v>
      </c>
      <c r="B1845" s="261" t="s">
        <v>6118</v>
      </c>
      <c r="C1845" s="261" t="s">
        <v>3240</v>
      </c>
      <c r="D1845" s="265" t="s">
        <v>10294</v>
      </c>
      <c r="E1845" s="262" t="s">
        <v>207</v>
      </c>
    </row>
    <row r="1846" spans="1:5" ht="15">
      <c r="A1846" s="261">
        <v>34709</v>
      </c>
      <c r="B1846" s="261" t="s">
        <v>6119</v>
      </c>
      <c r="C1846" s="261" t="s">
        <v>3240</v>
      </c>
      <c r="D1846" s="265" t="s">
        <v>19628</v>
      </c>
      <c r="E1846" s="262" t="s">
        <v>207</v>
      </c>
    </row>
    <row r="1847" spans="1:5" ht="15">
      <c r="A1847" s="261">
        <v>34714</v>
      </c>
      <c r="B1847" s="261" t="s">
        <v>6120</v>
      </c>
      <c r="C1847" s="261" t="s">
        <v>3240</v>
      </c>
      <c r="D1847" s="265" t="s">
        <v>19282</v>
      </c>
      <c r="E1847" s="262" t="s">
        <v>207</v>
      </c>
    </row>
    <row r="1848" spans="1:5" ht="15">
      <c r="A1848" s="261">
        <v>2388</v>
      </c>
      <c r="B1848" s="261" t="s">
        <v>6121</v>
      </c>
      <c r="C1848" s="261" t="s">
        <v>3240</v>
      </c>
      <c r="D1848" s="265" t="s">
        <v>12403</v>
      </c>
      <c r="E1848" s="262" t="s">
        <v>207</v>
      </c>
    </row>
    <row r="1849" spans="1:5" ht="15">
      <c r="A1849" s="261">
        <v>34606</v>
      </c>
      <c r="B1849" s="261" t="s">
        <v>6122</v>
      </c>
      <c r="C1849" s="261" t="s">
        <v>3240</v>
      </c>
      <c r="D1849" s="265" t="s">
        <v>19629</v>
      </c>
      <c r="E1849" s="262" t="s">
        <v>207</v>
      </c>
    </row>
    <row r="1850" spans="1:5" ht="15">
      <c r="A1850" s="261">
        <v>34689</v>
      </c>
      <c r="B1850" s="261" t="s">
        <v>6123</v>
      </c>
      <c r="C1850" s="261" t="s">
        <v>3240</v>
      </c>
      <c r="D1850" s="265" t="s">
        <v>19630</v>
      </c>
      <c r="E1850" s="262" t="s">
        <v>207</v>
      </c>
    </row>
    <row r="1851" spans="1:5" ht="15">
      <c r="A1851" s="261">
        <v>2370</v>
      </c>
      <c r="B1851" s="261" t="s">
        <v>6124</v>
      </c>
      <c r="C1851" s="261" t="s">
        <v>3240</v>
      </c>
      <c r="D1851" s="266" t="s">
        <v>19631</v>
      </c>
      <c r="E1851" s="262" t="s">
        <v>207</v>
      </c>
    </row>
    <row r="1852" spans="1:5" ht="15">
      <c r="A1852" s="261">
        <v>2386</v>
      </c>
      <c r="B1852" s="261" t="s">
        <v>6125</v>
      </c>
      <c r="C1852" s="261" t="s">
        <v>3240</v>
      </c>
      <c r="D1852" s="266" t="s">
        <v>16481</v>
      </c>
      <c r="E1852" s="262" t="s">
        <v>207</v>
      </c>
    </row>
    <row r="1853" spans="1:5" ht="15">
      <c r="A1853" s="261">
        <v>2392</v>
      </c>
      <c r="B1853" s="261" t="s">
        <v>6126</v>
      </c>
      <c r="C1853" s="261" t="s">
        <v>3240</v>
      </c>
      <c r="D1853" s="265" t="s">
        <v>19632</v>
      </c>
      <c r="E1853" s="262" t="s">
        <v>207</v>
      </c>
    </row>
    <row r="1854" spans="1:5" ht="15">
      <c r="A1854" s="261">
        <v>2373</v>
      </c>
      <c r="B1854" s="261" t="s">
        <v>6127</v>
      </c>
      <c r="C1854" s="261" t="s">
        <v>3240</v>
      </c>
      <c r="D1854" s="265" t="s">
        <v>19633</v>
      </c>
      <c r="E1854" s="262" t="s">
        <v>207</v>
      </c>
    </row>
    <row r="1855" spans="1:5" ht="30">
      <c r="A1855" s="261">
        <v>39465</v>
      </c>
      <c r="B1855" s="261" t="s">
        <v>6128</v>
      </c>
      <c r="C1855" s="261" t="s">
        <v>3240</v>
      </c>
      <c r="D1855" s="265" t="s">
        <v>19634</v>
      </c>
      <c r="E1855" s="262" t="s">
        <v>207</v>
      </c>
    </row>
    <row r="1856" spans="1:5" ht="30">
      <c r="A1856" s="261">
        <v>39466</v>
      </c>
      <c r="B1856" s="261" t="s">
        <v>6129</v>
      </c>
      <c r="C1856" s="261" t="s">
        <v>3240</v>
      </c>
      <c r="D1856" s="265" t="s">
        <v>19635</v>
      </c>
      <c r="E1856" s="262" t="s">
        <v>207</v>
      </c>
    </row>
    <row r="1857" spans="1:5" ht="30">
      <c r="A1857" s="261">
        <v>39467</v>
      </c>
      <c r="B1857" s="261" t="s">
        <v>6130</v>
      </c>
      <c r="C1857" s="261" t="s">
        <v>3240</v>
      </c>
      <c r="D1857" s="265" t="s">
        <v>19636</v>
      </c>
      <c r="E1857" s="262" t="s">
        <v>207</v>
      </c>
    </row>
    <row r="1858" spans="1:5" ht="30">
      <c r="A1858" s="261">
        <v>39468</v>
      </c>
      <c r="B1858" s="261" t="s">
        <v>6131</v>
      </c>
      <c r="C1858" s="261" t="s">
        <v>3240</v>
      </c>
      <c r="D1858" s="265" t="s">
        <v>19637</v>
      </c>
      <c r="E1858" s="262" t="s">
        <v>207</v>
      </c>
    </row>
    <row r="1859" spans="1:5" ht="30">
      <c r="A1859" s="261">
        <v>39469</v>
      </c>
      <c r="B1859" s="261" t="s">
        <v>6132</v>
      </c>
      <c r="C1859" s="261" t="s">
        <v>3240</v>
      </c>
      <c r="D1859" s="265" t="s">
        <v>19638</v>
      </c>
      <c r="E1859" s="262" t="s">
        <v>207</v>
      </c>
    </row>
    <row r="1860" spans="1:5" ht="30">
      <c r="A1860" s="261">
        <v>39470</v>
      </c>
      <c r="B1860" s="261" t="s">
        <v>6133</v>
      </c>
      <c r="C1860" s="261" t="s">
        <v>3240</v>
      </c>
      <c r="D1860" s="265" t="s">
        <v>12413</v>
      </c>
      <c r="E1860" s="262" t="s">
        <v>207</v>
      </c>
    </row>
    <row r="1861" spans="1:5" ht="30">
      <c r="A1861" s="261">
        <v>39471</v>
      </c>
      <c r="B1861" s="261" t="s">
        <v>6134</v>
      </c>
      <c r="C1861" s="261" t="s">
        <v>3240</v>
      </c>
      <c r="D1861" s="265" t="s">
        <v>19639</v>
      </c>
      <c r="E1861" s="262" t="s">
        <v>207</v>
      </c>
    </row>
    <row r="1862" spans="1:5" ht="30">
      <c r="A1862" s="261">
        <v>39472</v>
      </c>
      <c r="B1862" s="261" t="s">
        <v>6135</v>
      </c>
      <c r="C1862" s="261" t="s">
        <v>3240</v>
      </c>
      <c r="D1862" s="265" t="s">
        <v>19640</v>
      </c>
      <c r="E1862" s="262" t="s">
        <v>207</v>
      </c>
    </row>
    <row r="1863" spans="1:5" ht="30">
      <c r="A1863" s="261">
        <v>39473</v>
      </c>
      <c r="B1863" s="261" t="s">
        <v>6136</v>
      </c>
      <c r="C1863" s="261" t="s">
        <v>3240</v>
      </c>
      <c r="D1863" s="265" t="s">
        <v>19641</v>
      </c>
      <c r="E1863" s="262" t="s">
        <v>207</v>
      </c>
    </row>
    <row r="1864" spans="1:5" ht="30">
      <c r="A1864" s="261">
        <v>39474</v>
      </c>
      <c r="B1864" s="261" t="s">
        <v>6137</v>
      </c>
      <c r="C1864" s="261" t="s">
        <v>3240</v>
      </c>
      <c r="D1864" s="265" t="s">
        <v>19642</v>
      </c>
      <c r="E1864" s="262" t="s">
        <v>207</v>
      </c>
    </row>
    <row r="1865" spans="1:5" ht="30">
      <c r="A1865" s="261">
        <v>39475</v>
      </c>
      <c r="B1865" s="261" t="s">
        <v>6138</v>
      </c>
      <c r="C1865" s="261" t="s">
        <v>3240</v>
      </c>
      <c r="D1865" s="265" t="s">
        <v>19643</v>
      </c>
      <c r="E1865" s="262" t="s">
        <v>207</v>
      </c>
    </row>
    <row r="1866" spans="1:5" ht="30">
      <c r="A1866" s="261">
        <v>39476</v>
      </c>
      <c r="B1866" s="261" t="s">
        <v>6139</v>
      </c>
      <c r="C1866" s="261" t="s">
        <v>3240</v>
      </c>
      <c r="D1866" s="265" t="s">
        <v>19644</v>
      </c>
      <c r="E1866" s="262" t="s">
        <v>207</v>
      </c>
    </row>
    <row r="1867" spans="1:5" ht="30">
      <c r="A1867" s="261">
        <v>39477</v>
      </c>
      <c r="B1867" s="261" t="s">
        <v>6140</v>
      </c>
      <c r="C1867" s="261" t="s">
        <v>3240</v>
      </c>
      <c r="D1867" s="265" t="s">
        <v>19645</v>
      </c>
      <c r="E1867" s="262" t="s">
        <v>207</v>
      </c>
    </row>
    <row r="1868" spans="1:5" ht="30">
      <c r="A1868" s="261">
        <v>39478</v>
      </c>
      <c r="B1868" s="261" t="s">
        <v>6141</v>
      </c>
      <c r="C1868" s="261" t="s">
        <v>3240</v>
      </c>
      <c r="D1868" s="265" t="s">
        <v>19646</v>
      </c>
      <c r="E1868" s="262" t="s">
        <v>207</v>
      </c>
    </row>
    <row r="1869" spans="1:5" ht="30">
      <c r="A1869" s="261">
        <v>39479</v>
      </c>
      <c r="B1869" s="261" t="s">
        <v>6142</v>
      </c>
      <c r="C1869" s="261" t="s">
        <v>3240</v>
      </c>
      <c r="D1869" s="265" t="s">
        <v>19647</v>
      </c>
      <c r="E1869" s="262" t="s">
        <v>207</v>
      </c>
    </row>
    <row r="1870" spans="1:5" ht="30">
      <c r="A1870" s="261">
        <v>39480</v>
      </c>
      <c r="B1870" s="261" t="s">
        <v>6143</v>
      </c>
      <c r="C1870" s="261" t="s">
        <v>3240</v>
      </c>
      <c r="D1870" s="265" t="s">
        <v>19648</v>
      </c>
      <c r="E1870" s="262" t="s">
        <v>207</v>
      </c>
    </row>
    <row r="1871" spans="1:5" ht="15">
      <c r="A1871" s="261">
        <v>39459</v>
      </c>
      <c r="B1871" s="261" t="s">
        <v>6144</v>
      </c>
      <c r="C1871" s="261" t="s">
        <v>3240</v>
      </c>
      <c r="D1871" s="265" t="s">
        <v>19649</v>
      </c>
      <c r="E1871" s="262" t="s">
        <v>207</v>
      </c>
    </row>
    <row r="1872" spans="1:5" ht="15">
      <c r="A1872" s="261">
        <v>39445</v>
      </c>
      <c r="B1872" s="261" t="s">
        <v>6145</v>
      </c>
      <c r="C1872" s="261" t="s">
        <v>3240</v>
      </c>
      <c r="D1872" s="265" t="s">
        <v>19650</v>
      </c>
      <c r="E1872" s="262" t="s">
        <v>207</v>
      </c>
    </row>
    <row r="1873" spans="1:5" ht="15">
      <c r="A1873" s="261">
        <v>39446</v>
      </c>
      <c r="B1873" s="261" t="s">
        <v>6146</v>
      </c>
      <c r="C1873" s="261" t="s">
        <v>3240</v>
      </c>
      <c r="D1873" s="265" t="s">
        <v>19651</v>
      </c>
      <c r="E1873" s="262" t="s">
        <v>207</v>
      </c>
    </row>
    <row r="1874" spans="1:5" ht="15">
      <c r="A1874" s="261">
        <v>39447</v>
      </c>
      <c r="B1874" s="261" t="s">
        <v>6147</v>
      </c>
      <c r="C1874" s="261" t="s">
        <v>3240</v>
      </c>
      <c r="D1874" s="265" t="s">
        <v>19652</v>
      </c>
      <c r="E1874" s="262" t="s">
        <v>207</v>
      </c>
    </row>
    <row r="1875" spans="1:5" ht="15">
      <c r="A1875" s="261">
        <v>39448</v>
      </c>
      <c r="B1875" s="261" t="s">
        <v>6148</v>
      </c>
      <c r="C1875" s="261" t="s">
        <v>3240</v>
      </c>
      <c r="D1875" s="265" t="s">
        <v>19653</v>
      </c>
      <c r="E1875" s="262" t="s">
        <v>207</v>
      </c>
    </row>
    <row r="1876" spans="1:5" ht="15">
      <c r="A1876" s="261">
        <v>39450</v>
      </c>
      <c r="B1876" s="261" t="s">
        <v>6149</v>
      </c>
      <c r="C1876" s="261" t="s">
        <v>3240</v>
      </c>
      <c r="D1876" s="265" t="s">
        <v>16419</v>
      </c>
      <c r="E1876" s="262" t="s">
        <v>207</v>
      </c>
    </row>
    <row r="1877" spans="1:5" ht="15">
      <c r="A1877" s="261">
        <v>39451</v>
      </c>
      <c r="B1877" s="261" t="s">
        <v>6150</v>
      </c>
      <c r="C1877" s="261" t="s">
        <v>3240</v>
      </c>
      <c r="D1877" s="265" t="s">
        <v>19654</v>
      </c>
      <c r="E1877" s="262" t="s">
        <v>207</v>
      </c>
    </row>
    <row r="1878" spans="1:5" ht="15">
      <c r="A1878" s="261">
        <v>39452</v>
      </c>
      <c r="B1878" s="261" t="s">
        <v>6151</v>
      </c>
      <c r="C1878" s="261" t="s">
        <v>3240</v>
      </c>
      <c r="D1878" s="265" t="s">
        <v>19655</v>
      </c>
      <c r="E1878" s="262" t="s">
        <v>207</v>
      </c>
    </row>
    <row r="1879" spans="1:5" ht="15">
      <c r="A1879" s="261">
        <v>39523</v>
      </c>
      <c r="B1879" s="261" t="s">
        <v>6152</v>
      </c>
      <c r="C1879" s="261" t="s">
        <v>3240</v>
      </c>
      <c r="D1879" s="265" t="s">
        <v>19656</v>
      </c>
      <c r="E1879" s="262" t="s">
        <v>207</v>
      </c>
    </row>
    <row r="1880" spans="1:5" ht="15">
      <c r="A1880" s="261">
        <v>39449</v>
      </c>
      <c r="B1880" s="261" t="s">
        <v>6153</v>
      </c>
      <c r="C1880" s="261" t="s">
        <v>3240</v>
      </c>
      <c r="D1880" s="265" t="s">
        <v>19657</v>
      </c>
      <c r="E1880" s="262" t="s">
        <v>207</v>
      </c>
    </row>
    <row r="1881" spans="1:5" ht="15">
      <c r="A1881" s="261">
        <v>39455</v>
      </c>
      <c r="B1881" s="261" t="s">
        <v>6154</v>
      </c>
      <c r="C1881" s="261" t="s">
        <v>3240</v>
      </c>
      <c r="D1881" s="265" t="s">
        <v>19658</v>
      </c>
      <c r="E1881" s="262" t="s">
        <v>207</v>
      </c>
    </row>
    <row r="1882" spans="1:5" ht="15">
      <c r="A1882" s="261">
        <v>39456</v>
      </c>
      <c r="B1882" s="261" t="s">
        <v>6155</v>
      </c>
      <c r="C1882" s="261" t="s">
        <v>3240</v>
      </c>
      <c r="D1882" s="265" t="s">
        <v>19659</v>
      </c>
      <c r="E1882" s="262" t="s">
        <v>207</v>
      </c>
    </row>
    <row r="1883" spans="1:5" ht="15">
      <c r="A1883" s="261">
        <v>39457</v>
      </c>
      <c r="B1883" s="261" t="s">
        <v>6156</v>
      </c>
      <c r="C1883" s="261" t="s">
        <v>3240</v>
      </c>
      <c r="D1883" s="266" t="s">
        <v>19637</v>
      </c>
      <c r="E1883" s="262" t="s">
        <v>207</v>
      </c>
    </row>
    <row r="1884" spans="1:5" ht="15">
      <c r="A1884" s="261">
        <v>39458</v>
      </c>
      <c r="B1884" s="261" t="s">
        <v>6157</v>
      </c>
      <c r="C1884" s="261" t="s">
        <v>3240</v>
      </c>
      <c r="D1884" s="265" t="s">
        <v>19660</v>
      </c>
      <c r="E1884" s="262" t="s">
        <v>207</v>
      </c>
    </row>
    <row r="1885" spans="1:5" ht="15">
      <c r="A1885" s="261">
        <v>39464</v>
      </c>
      <c r="B1885" s="261" t="s">
        <v>6158</v>
      </c>
      <c r="C1885" s="261" t="s">
        <v>3240</v>
      </c>
      <c r="D1885" s="265" t="s">
        <v>19661</v>
      </c>
      <c r="E1885" s="262" t="s">
        <v>207</v>
      </c>
    </row>
    <row r="1886" spans="1:5" ht="15">
      <c r="A1886" s="261">
        <v>39460</v>
      </c>
      <c r="B1886" s="261" t="s">
        <v>6159</v>
      </c>
      <c r="C1886" s="261" t="s">
        <v>3240</v>
      </c>
      <c r="D1886" s="265" t="s">
        <v>19662</v>
      </c>
      <c r="E1886" s="262" t="s">
        <v>207</v>
      </c>
    </row>
    <row r="1887" spans="1:5" ht="15">
      <c r="A1887" s="261">
        <v>39461</v>
      </c>
      <c r="B1887" s="261" t="s">
        <v>6160</v>
      </c>
      <c r="C1887" s="261" t="s">
        <v>3240</v>
      </c>
      <c r="D1887" s="265" t="s">
        <v>19663</v>
      </c>
      <c r="E1887" s="262" t="s">
        <v>207</v>
      </c>
    </row>
    <row r="1888" spans="1:5" ht="15">
      <c r="A1888" s="261">
        <v>39462</v>
      </c>
      <c r="B1888" s="261" t="s">
        <v>6161</v>
      </c>
      <c r="C1888" s="261" t="s">
        <v>3240</v>
      </c>
      <c r="D1888" s="265" t="s">
        <v>19664</v>
      </c>
      <c r="E1888" s="262" t="s">
        <v>207</v>
      </c>
    </row>
    <row r="1889" spans="1:5" ht="15">
      <c r="A1889" s="261">
        <v>39463</v>
      </c>
      <c r="B1889" s="261" t="s">
        <v>6162</v>
      </c>
      <c r="C1889" s="261" t="s">
        <v>3240</v>
      </c>
      <c r="D1889" s="265" t="s">
        <v>19665</v>
      </c>
      <c r="E1889" s="262" t="s">
        <v>207</v>
      </c>
    </row>
    <row r="1890" spans="1:5" ht="15">
      <c r="A1890" s="261">
        <v>26039</v>
      </c>
      <c r="B1890" s="261" t="s">
        <v>6163</v>
      </c>
      <c r="C1890" s="261" t="s">
        <v>3240</v>
      </c>
      <c r="D1890" s="265" t="s">
        <v>19666</v>
      </c>
      <c r="E1890" s="262" t="s">
        <v>8987</v>
      </c>
    </row>
    <row r="1891" spans="1:5" ht="30">
      <c r="A1891" s="261">
        <v>2401</v>
      </c>
      <c r="B1891" s="261" t="s">
        <v>6164</v>
      </c>
      <c r="C1891" s="261" t="s">
        <v>3240</v>
      </c>
      <c r="D1891" s="265" t="s">
        <v>19667</v>
      </c>
      <c r="E1891" s="262" t="s">
        <v>8987</v>
      </c>
    </row>
    <row r="1892" spans="1:5" ht="30">
      <c r="A1892" s="261">
        <v>38870</v>
      </c>
      <c r="B1892" s="261" t="s">
        <v>6165</v>
      </c>
      <c r="C1892" s="261" t="s">
        <v>3240</v>
      </c>
      <c r="D1892" s="265" t="s">
        <v>19668</v>
      </c>
      <c r="E1892" s="262" t="s">
        <v>207</v>
      </c>
    </row>
    <row r="1893" spans="1:5" ht="30">
      <c r="A1893" s="261">
        <v>38869</v>
      </c>
      <c r="B1893" s="261" t="s">
        <v>6166</v>
      </c>
      <c r="C1893" s="261" t="s">
        <v>3240</v>
      </c>
      <c r="D1893" s="265" t="s">
        <v>19669</v>
      </c>
      <c r="E1893" s="262" t="s">
        <v>207</v>
      </c>
    </row>
    <row r="1894" spans="1:5" ht="30">
      <c r="A1894" s="261">
        <v>38872</v>
      </c>
      <c r="B1894" s="261" t="s">
        <v>6167</v>
      </c>
      <c r="C1894" s="261" t="s">
        <v>3240</v>
      </c>
      <c r="D1894" s="265" t="s">
        <v>16353</v>
      </c>
      <c r="E1894" s="262" t="s">
        <v>207</v>
      </c>
    </row>
    <row r="1895" spans="1:5" ht="30">
      <c r="A1895" s="261">
        <v>38871</v>
      </c>
      <c r="B1895" s="261" t="s">
        <v>6168</v>
      </c>
      <c r="C1895" s="261" t="s">
        <v>3240</v>
      </c>
      <c r="D1895" s="265" t="s">
        <v>19670</v>
      </c>
      <c r="E1895" s="262" t="s">
        <v>207</v>
      </c>
    </row>
    <row r="1896" spans="1:5" ht="30">
      <c r="A1896" s="261">
        <v>39283</v>
      </c>
      <c r="B1896" s="261" t="s">
        <v>6169</v>
      </c>
      <c r="C1896" s="261" t="s">
        <v>3240</v>
      </c>
      <c r="D1896" s="265" t="s">
        <v>19671</v>
      </c>
      <c r="E1896" s="262" t="s">
        <v>207</v>
      </c>
    </row>
    <row r="1897" spans="1:5" ht="30">
      <c r="A1897" s="261">
        <v>39284</v>
      </c>
      <c r="B1897" s="261" t="s">
        <v>6170</v>
      </c>
      <c r="C1897" s="261" t="s">
        <v>3240</v>
      </c>
      <c r="D1897" s="265" t="s">
        <v>19672</v>
      </c>
      <c r="E1897" s="262" t="s">
        <v>207</v>
      </c>
    </row>
    <row r="1898" spans="1:5" ht="30">
      <c r="A1898" s="261">
        <v>39285</v>
      </c>
      <c r="B1898" s="261" t="s">
        <v>6171</v>
      </c>
      <c r="C1898" s="261" t="s">
        <v>3240</v>
      </c>
      <c r="D1898" s="266" t="s">
        <v>19673</v>
      </c>
      <c r="E1898" s="262" t="s">
        <v>207</v>
      </c>
    </row>
    <row r="1899" spans="1:5" ht="30">
      <c r="A1899" s="261">
        <v>39286</v>
      </c>
      <c r="B1899" s="261" t="s">
        <v>6172</v>
      </c>
      <c r="C1899" s="261" t="s">
        <v>3240</v>
      </c>
      <c r="D1899" s="265" t="s">
        <v>19674</v>
      </c>
      <c r="E1899" s="262" t="s">
        <v>207</v>
      </c>
    </row>
    <row r="1900" spans="1:5" ht="30">
      <c r="A1900" s="261">
        <v>39287</v>
      </c>
      <c r="B1900" s="261" t="s">
        <v>6173</v>
      </c>
      <c r="C1900" s="261" t="s">
        <v>3240</v>
      </c>
      <c r="D1900" s="265" t="s">
        <v>19675</v>
      </c>
      <c r="E1900" s="262" t="s">
        <v>207</v>
      </c>
    </row>
    <row r="1901" spans="1:5" ht="30">
      <c r="A1901" s="261">
        <v>39288</v>
      </c>
      <c r="B1901" s="261" t="s">
        <v>6174</v>
      </c>
      <c r="C1901" s="261" t="s">
        <v>3240</v>
      </c>
      <c r="D1901" s="265" t="s">
        <v>19676</v>
      </c>
      <c r="E1901" s="262" t="s">
        <v>207</v>
      </c>
    </row>
    <row r="1902" spans="1:5" ht="30">
      <c r="A1902" s="261">
        <v>25976</v>
      </c>
      <c r="B1902" s="261" t="s">
        <v>6175</v>
      </c>
      <c r="C1902" s="261" t="s">
        <v>3242</v>
      </c>
      <c r="D1902" s="265" t="s">
        <v>19677</v>
      </c>
      <c r="E1902" s="262" t="s">
        <v>207</v>
      </c>
    </row>
    <row r="1903" spans="1:5" ht="15">
      <c r="A1903" s="261">
        <v>10629</v>
      </c>
      <c r="B1903" s="261" t="s">
        <v>6176</v>
      </c>
      <c r="C1903" s="261" t="s">
        <v>3242</v>
      </c>
      <c r="D1903" s="265" t="s">
        <v>19678</v>
      </c>
      <c r="E1903" s="262" t="s">
        <v>207</v>
      </c>
    </row>
    <row r="1904" spans="1:5" ht="30">
      <c r="A1904" s="261">
        <v>10698</v>
      </c>
      <c r="B1904" s="261" t="s">
        <v>6177</v>
      </c>
      <c r="C1904" s="261" t="s">
        <v>3242</v>
      </c>
      <c r="D1904" s="265" t="s">
        <v>19679</v>
      </c>
      <c r="E1904" s="262" t="s">
        <v>207</v>
      </c>
    </row>
    <row r="1905" spans="1:5" ht="30">
      <c r="A1905" s="261">
        <v>40521</v>
      </c>
      <c r="B1905" s="261" t="s">
        <v>6178</v>
      </c>
      <c r="C1905" s="261" t="s">
        <v>3240</v>
      </c>
      <c r="D1905" s="265" t="s">
        <v>19680</v>
      </c>
      <c r="E1905" s="262" t="s">
        <v>8987</v>
      </c>
    </row>
    <row r="1906" spans="1:5" ht="30">
      <c r="A1906" s="261">
        <v>2432</v>
      </c>
      <c r="B1906" s="261" t="s">
        <v>6179</v>
      </c>
      <c r="C1906" s="261" t="s">
        <v>3240</v>
      </c>
      <c r="D1906" s="265" t="s">
        <v>12205</v>
      </c>
      <c r="E1906" s="262" t="s">
        <v>207</v>
      </c>
    </row>
    <row r="1907" spans="1:5" ht="30">
      <c r="A1907" s="261">
        <v>2433</v>
      </c>
      <c r="B1907" s="261" t="s">
        <v>6180</v>
      </c>
      <c r="C1907" s="261" t="s">
        <v>3240</v>
      </c>
      <c r="D1907" s="265" t="s">
        <v>12373</v>
      </c>
      <c r="E1907" s="262" t="s">
        <v>207</v>
      </c>
    </row>
    <row r="1908" spans="1:5" ht="30">
      <c r="A1908" s="261">
        <v>2420</v>
      </c>
      <c r="B1908" s="261" t="s">
        <v>6181</v>
      </c>
      <c r="C1908" s="261" t="s">
        <v>3240</v>
      </c>
      <c r="D1908" s="265" t="s">
        <v>12216</v>
      </c>
      <c r="E1908" s="262" t="s">
        <v>207</v>
      </c>
    </row>
    <row r="1909" spans="1:5" ht="30">
      <c r="A1909" s="261">
        <v>11447</v>
      </c>
      <c r="B1909" s="261" t="s">
        <v>6182</v>
      </c>
      <c r="C1909" s="261" t="s">
        <v>3240</v>
      </c>
      <c r="D1909" s="265" t="s">
        <v>19681</v>
      </c>
      <c r="E1909" s="262" t="s">
        <v>207</v>
      </c>
    </row>
    <row r="1910" spans="1:5" ht="30">
      <c r="A1910" s="261">
        <v>11451</v>
      </c>
      <c r="B1910" s="261" t="s">
        <v>6183</v>
      </c>
      <c r="C1910" s="261" t="s">
        <v>3240</v>
      </c>
      <c r="D1910" s="265" t="s">
        <v>19297</v>
      </c>
      <c r="E1910" s="262" t="s">
        <v>207</v>
      </c>
    </row>
    <row r="1911" spans="1:5" ht="15">
      <c r="A1911" s="261">
        <v>11116</v>
      </c>
      <c r="B1911" s="261" t="s">
        <v>6184</v>
      </c>
      <c r="C1911" s="261" t="s">
        <v>3240</v>
      </c>
      <c r="D1911" s="265" t="s">
        <v>16515</v>
      </c>
      <c r="E1911" s="262" t="s">
        <v>207</v>
      </c>
    </row>
    <row r="1912" spans="1:5" ht="15">
      <c r="A1912" s="261">
        <v>38411</v>
      </c>
      <c r="B1912" s="261" t="s">
        <v>6185</v>
      </c>
      <c r="C1912" s="261" t="s">
        <v>3240</v>
      </c>
      <c r="D1912" s="265" t="s">
        <v>19682</v>
      </c>
      <c r="E1912" s="262" t="s">
        <v>207</v>
      </c>
    </row>
    <row r="1913" spans="1:5" ht="15">
      <c r="A1913" s="261">
        <v>1370</v>
      </c>
      <c r="B1913" s="261" t="s">
        <v>6186</v>
      </c>
      <c r="C1913" s="261" t="s">
        <v>3240</v>
      </c>
      <c r="D1913" s="265" t="s">
        <v>11469</v>
      </c>
      <c r="E1913" s="262" t="s">
        <v>207</v>
      </c>
    </row>
    <row r="1914" spans="1:5" ht="15">
      <c r="A1914" s="261">
        <v>38189</v>
      </c>
      <c r="B1914" s="261" t="s">
        <v>6187</v>
      </c>
      <c r="C1914" s="261" t="s">
        <v>3240</v>
      </c>
      <c r="D1914" s="265" t="s">
        <v>19683</v>
      </c>
      <c r="E1914" s="262" t="s">
        <v>207</v>
      </c>
    </row>
    <row r="1915" spans="1:5" ht="15">
      <c r="A1915" s="261">
        <v>38190</v>
      </c>
      <c r="B1915" s="261" t="s">
        <v>6188</v>
      </c>
      <c r="C1915" s="261" t="s">
        <v>3240</v>
      </c>
      <c r="D1915" s="265" t="s">
        <v>19684</v>
      </c>
      <c r="E1915" s="262" t="s">
        <v>207</v>
      </c>
    </row>
    <row r="1916" spans="1:5" ht="30">
      <c r="A1916" s="261">
        <v>36516</v>
      </c>
      <c r="B1916" s="261" t="s">
        <v>6189</v>
      </c>
      <c r="C1916" s="261" t="s">
        <v>3240</v>
      </c>
      <c r="D1916" s="265" t="s">
        <v>19685</v>
      </c>
      <c r="E1916" s="262" t="s">
        <v>8987</v>
      </c>
    </row>
    <row r="1917" spans="1:5" ht="30">
      <c r="A1917" s="261">
        <v>34777</v>
      </c>
      <c r="B1917" s="261" t="s">
        <v>11768</v>
      </c>
      <c r="C1917" s="261" t="s">
        <v>3240</v>
      </c>
      <c r="D1917" s="265" t="s">
        <v>10790</v>
      </c>
      <c r="E1917" s="262" t="s">
        <v>207</v>
      </c>
    </row>
    <row r="1918" spans="1:5" ht="30">
      <c r="A1918" s="261">
        <v>7272</v>
      </c>
      <c r="B1918" s="261" t="s">
        <v>11769</v>
      </c>
      <c r="C1918" s="261" t="s">
        <v>3240</v>
      </c>
      <c r="D1918" s="265" t="s">
        <v>9902</v>
      </c>
      <c r="E1918" s="262" t="s">
        <v>207</v>
      </c>
    </row>
    <row r="1919" spans="1:5" ht="15">
      <c r="A1919" s="261">
        <v>10605</v>
      </c>
      <c r="B1919" s="261" t="s">
        <v>6190</v>
      </c>
      <c r="C1919" s="261" t="s">
        <v>3240</v>
      </c>
      <c r="D1919" s="265" t="s">
        <v>11258</v>
      </c>
      <c r="E1919" s="262" t="s">
        <v>207</v>
      </c>
    </row>
    <row r="1920" spans="1:5" ht="15">
      <c r="A1920" s="261">
        <v>10604</v>
      </c>
      <c r="B1920" s="261" t="s">
        <v>6191</v>
      </c>
      <c r="C1920" s="261" t="s">
        <v>3240</v>
      </c>
      <c r="D1920" s="265" t="s">
        <v>10080</v>
      </c>
      <c r="E1920" s="262" t="s">
        <v>207</v>
      </c>
    </row>
    <row r="1921" spans="1:5" ht="15">
      <c r="A1921" s="261">
        <v>672</v>
      </c>
      <c r="B1921" s="261" t="s">
        <v>6192</v>
      </c>
      <c r="C1921" s="261" t="s">
        <v>3240</v>
      </c>
      <c r="D1921" s="265" t="s">
        <v>16026</v>
      </c>
      <c r="E1921" s="262" t="s">
        <v>207</v>
      </c>
    </row>
    <row r="1922" spans="1:5" ht="15">
      <c r="A1922" s="261">
        <v>668</v>
      </c>
      <c r="B1922" s="261" t="s">
        <v>6193</v>
      </c>
      <c r="C1922" s="261" t="s">
        <v>3240</v>
      </c>
      <c r="D1922" s="265" t="s">
        <v>10439</v>
      </c>
      <c r="E1922" s="262" t="s">
        <v>207</v>
      </c>
    </row>
    <row r="1923" spans="1:5" ht="15">
      <c r="A1923" s="261">
        <v>10578</v>
      </c>
      <c r="B1923" s="261" t="s">
        <v>6194</v>
      </c>
      <c r="C1923" s="261" t="s">
        <v>3240</v>
      </c>
      <c r="D1923" s="265" t="s">
        <v>14279</v>
      </c>
      <c r="E1923" s="262" t="s">
        <v>207</v>
      </c>
    </row>
    <row r="1924" spans="1:5" ht="15">
      <c r="A1924" s="261">
        <v>666</v>
      </c>
      <c r="B1924" s="261" t="s">
        <v>6195</v>
      </c>
      <c r="C1924" s="261" t="s">
        <v>3240</v>
      </c>
      <c r="D1924" s="265" t="s">
        <v>16102</v>
      </c>
      <c r="E1924" s="262" t="s">
        <v>207</v>
      </c>
    </row>
    <row r="1925" spans="1:5" ht="15">
      <c r="A1925" s="261">
        <v>665</v>
      </c>
      <c r="B1925" s="261" t="s">
        <v>6196</v>
      </c>
      <c r="C1925" s="261" t="s">
        <v>3240</v>
      </c>
      <c r="D1925" s="265" t="s">
        <v>11182</v>
      </c>
      <c r="E1925" s="262" t="s">
        <v>207</v>
      </c>
    </row>
    <row r="1926" spans="1:5" ht="15">
      <c r="A1926" s="261">
        <v>10577</v>
      </c>
      <c r="B1926" s="261" t="s">
        <v>6197</v>
      </c>
      <c r="C1926" s="261" t="s">
        <v>3240</v>
      </c>
      <c r="D1926" s="265" t="s">
        <v>19686</v>
      </c>
      <c r="E1926" s="262" t="s">
        <v>207</v>
      </c>
    </row>
    <row r="1927" spans="1:5" ht="15">
      <c r="A1927" s="261">
        <v>10583</v>
      </c>
      <c r="B1927" s="261" t="s">
        <v>6198</v>
      </c>
      <c r="C1927" s="261" t="s">
        <v>3240</v>
      </c>
      <c r="D1927" s="265" t="s">
        <v>11358</v>
      </c>
      <c r="E1927" s="262" t="s">
        <v>207</v>
      </c>
    </row>
    <row r="1928" spans="1:5" ht="15">
      <c r="A1928" s="261">
        <v>10579</v>
      </c>
      <c r="B1928" s="261" t="s">
        <v>6199</v>
      </c>
      <c r="C1928" s="261" t="s">
        <v>3240</v>
      </c>
      <c r="D1928" s="265" t="s">
        <v>19687</v>
      </c>
      <c r="E1928" s="262" t="s">
        <v>207</v>
      </c>
    </row>
    <row r="1929" spans="1:5" ht="15">
      <c r="A1929" s="261">
        <v>10582</v>
      </c>
      <c r="B1929" s="261" t="s">
        <v>6200</v>
      </c>
      <c r="C1929" s="261" t="s">
        <v>3240</v>
      </c>
      <c r="D1929" s="265" t="s">
        <v>15962</v>
      </c>
      <c r="E1929" s="262" t="s">
        <v>207</v>
      </c>
    </row>
    <row r="1930" spans="1:5" ht="15">
      <c r="A1930" s="261">
        <v>2436</v>
      </c>
      <c r="B1930" s="261" t="s">
        <v>6201</v>
      </c>
      <c r="C1930" s="261" t="s">
        <v>3239</v>
      </c>
      <c r="D1930" s="265" t="s">
        <v>11524</v>
      </c>
      <c r="E1930" s="262" t="s">
        <v>9714</v>
      </c>
    </row>
    <row r="1931" spans="1:5" ht="15">
      <c r="A1931" s="261">
        <v>40918</v>
      </c>
      <c r="B1931" s="261" t="s">
        <v>6202</v>
      </c>
      <c r="C1931" s="261" t="s">
        <v>3246</v>
      </c>
      <c r="D1931" s="265" t="s">
        <v>18936</v>
      </c>
      <c r="E1931" s="262" t="s">
        <v>9714</v>
      </c>
    </row>
    <row r="1932" spans="1:5" ht="15">
      <c r="A1932" s="261">
        <v>2439</v>
      </c>
      <c r="B1932" s="261" t="s">
        <v>6203</v>
      </c>
      <c r="C1932" s="261" t="s">
        <v>3239</v>
      </c>
      <c r="D1932" s="265" t="s">
        <v>11524</v>
      </c>
      <c r="E1932" s="262" t="s">
        <v>9714</v>
      </c>
    </row>
    <row r="1933" spans="1:5" ht="15">
      <c r="A1933" s="261">
        <v>40923</v>
      </c>
      <c r="B1933" s="261" t="s">
        <v>6204</v>
      </c>
      <c r="C1933" s="261" t="s">
        <v>3246</v>
      </c>
      <c r="D1933" s="265" t="s">
        <v>19688</v>
      </c>
      <c r="E1933" s="262" t="s">
        <v>9714</v>
      </c>
    </row>
    <row r="1934" spans="1:5" ht="15">
      <c r="A1934" s="261">
        <v>10998</v>
      </c>
      <c r="B1934" s="261" t="s">
        <v>6205</v>
      </c>
      <c r="C1934" s="261" t="s">
        <v>3244</v>
      </c>
      <c r="D1934" s="265" t="s">
        <v>19689</v>
      </c>
      <c r="E1934" s="262" t="s">
        <v>207</v>
      </c>
    </row>
    <row r="1935" spans="1:5" ht="15">
      <c r="A1935" s="261">
        <v>11002</v>
      </c>
      <c r="B1935" s="261" t="s">
        <v>6206</v>
      </c>
      <c r="C1935" s="261" t="s">
        <v>3244</v>
      </c>
      <c r="D1935" s="265" t="s">
        <v>19690</v>
      </c>
      <c r="E1935" s="262" t="s">
        <v>207</v>
      </c>
    </row>
    <row r="1936" spans="1:5" ht="15">
      <c r="A1936" s="261">
        <v>10999</v>
      </c>
      <c r="B1936" s="261" t="s">
        <v>6207</v>
      </c>
      <c r="C1936" s="261" t="s">
        <v>3244</v>
      </c>
      <c r="D1936" s="265" t="s">
        <v>12376</v>
      </c>
      <c r="E1936" s="262" t="s">
        <v>207</v>
      </c>
    </row>
    <row r="1937" spans="1:5" ht="15">
      <c r="A1937" s="261">
        <v>10997</v>
      </c>
      <c r="B1937" s="261" t="s">
        <v>6208</v>
      </c>
      <c r="C1937" s="261" t="s">
        <v>3244</v>
      </c>
      <c r="D1937" s="265" t="s">
        <v>14318</v>
      </c>
      <c r="E1937" s="262" t="s">
        <v>207</v>
      </c>
    </row>
    <row r="1938" spans="1:5" ht="15">
      <c r="A1938" s="261">
        <v>2685</v>
      </c>
      <c r="B1938" s="261" t="s">
        <v>6209</v>
      </c>
      <c r="C1938" s="261" t="s">
        <v>3243</v>
      </c>
      <c r="D1938" s="265" t="s">
        <v>10106</v>
      </c>
      <c r="E1938" s="262" t="s">
        <v>207</v>
      </c>
    </row>
    <row r="1939" spans="1:5" ht="15">
      <c r="A1939" s="261">
        <v>2680</v>
      </c>
      <c r="B1939" s="261" t="s">
        <v>6210</v>
      </c>
      <c r="C1939" s="261" t="s">
        <v>3243</v>
      </c>
      <c r="D1939" s="265" t="s">
        <v>10082</v>
      </c>
      <c r="E1939" s="262" t="s">
        <v>207</v>
      </c>
    </row>
    <row r="1940" spans="1:5" ht="15">
      <c r="A1940" s="261">
        <v>2684</v>
      </c>
      <c r="B1940" s="261" t="s">
        <v>6211</v>
      </c>
      <c r="C1940" s="261" t="s">
        <v>3243</v>
      </c>
      <c r="D1940" s="265" t="s">
        <v>10540</v>
      </c>
      <c r="E1940" s="262" t="s">
        <v>207</v>
      </c>
    </row>
    <row r="1941" spans="1:5" ht="15">
      <c r="A1941" s="261">
        <v>2673</v>
      </c>
      <c r="B1941" s="261" t="s">
        <v>6212</v>
      </c>
      <c r="C1941" s="261" t="s">
        <v>3243</v>
      </c>
      <c r="D1941" s="265" t="s">
        <v>16217</v>
      </c>
      <c r="E1941" s="262" t="s">
        <v>207</v>
      </c>
    </row>
    <row r="1942" spans="1:5" ht="15">
      <c r="A1942" s="261">
        <v>2681</v>
      </c>
      <c r="B1942" s="261" t="s">
        <v>6213</v>
      </c>
      <c r="C1942" s="261" t="s">
        <v>3243</v>
      </c>
      <c r="D1942" s="265" t="s">
        <v>19691</v>
      </c>
      <c r="E1942" s="262" t="s">
        <v>207</v>
      </c>
    </row>
    <row r="1943" spans="1:5" ht="15">
      <c r="A1943" s="261">
        <v>2682</v>
      </c>
      <c r="B1943" s="261" t="s">
        <v>6214</v>
      </c>
      <c r="C1943" s="261" t="s">
        <v>3243</v>
      </c>
      <c r="D1943" s="265" t="s">
        <v>19692</v>
      </c>
      <c r="E1943" s="262" t="s">
        <v>207</v>
      </c>
    </row>
    <row r="1944" spans="1:5" ht="15">
      <c r="A1944" s="261">
        <v>2686</v>
      </c>
      <c r="B1944" s="261" t="s">
        <v>6215</v>
      </c>
      <c r="C1944" s="261" t="s">
        <v>3243</v>
      </c>
      <c r="D1944" s="265" t="s">
        <v>19693</v>
      </c>
      <c r="E1944" s="262" t="s">
        <v>207</v>
      </c>
    </row>
    <row r="1945" spans="1:5" ht="15">
      <c r="A1945" s="261">
        <v>2674</v>
      </c>
      <c r="B1945" s="261" t="s">
        <v>6216</v>
      </c>
      <c r="C1945" s="261" t="s">
        <v>3243</v>
      </c>
      <c r="D1945" s="265" t="s">
        <v>10024</v>
      </c>
      <c r="E1945" s="262" t="s">
        <v>207</v>
      </c>
    </row>
    <row r="1946" spans="1:5" ht="15">
      <c r="A1946" s="261">
        <v>2683</v>
      </c>
      <c r="B1946" s="261" t="s">
        <v>6217</v>
      </c>
      <c r="C1946" s="261" t="s">
        <v>3243</v>
      </c>
      <c r="D1946" s="265" t="s">
        <v>12308</v>
      </c>
      <c r="E1946" s="262" t="s">
        <v>207</v>
      </c>
    </row>
    <row r="1947" spans="1:5" ht="15">
      <c r="A1947" s="261">
        <v>2676</v>
      </c>
      <c r="B1947" s="261" t="s">
        <v>6218</v>
      </c>
      <c r="C1947" s="261" t="s">
        <v>3243</v>
      </c>
      <c r="D1947" s="265" t="s">
        <v>10021</v>
      </c>
      <c r="E1947" s="262" t="s">
        <v>207</v>
      </c>
    </row>
    <row r="1948" spans="1:5" ht="15">
      <c r="A1948" s="261">
        <v>2678</v>
      </c>
      <c r="B1948" s="261" t="s">
        <v>6219</v>
      </c>
      <c r="C1948" s="261" t="s">
        <v>3243</v>
      </c>
      <c r="D1948" s="265" t="s">
        <v>11229</v>
      </c>
      <c r="E1948" s="262" t="s">
        <v>207</v>
      </c>
    </row>
    <row r="1949" spans="1:5" ht="15">
      <c r="A1949" s="261">
        <v>2679</v>
      </c>
      <c r="B1949" s="261" t="s">
        <v>6220</v>
      </c>
      <c r="C1949" s="261" t="s">
        <v>3243</v>
      </c>
      <c r="D1949" s="265" t="s">
        <v>12271</v>
      </c>
      <c r="E1949" s="262" t="s">
        <v>207</v>
      </c>
    </row>
    <row r="1950" spans="1:5" ht="15">
      <c r="A1950" s="261">
        <v>12070</v>
      </c>
      <c r="B1950" s="261" t="s">
        <v>6221</v>
      </c>
      <c r="C1950" s="261" t="s">
        <v>3243</v>
      </c>
      <c r="D1950" s="265" t="s">
        <v>10283</v>
      </c>
      <c r="E1950" s="262" t="s">
        <v>207</v>
      </c>
    </row>
    <row r="1951" spans="1:5" ht="15">
      <c r="A1951" s="261">
        <v>2675</v>
      </c>
      <c r="B1951" s="261" t="s">
        <v>6222</v>
      </c>
      <c r="C1951" s="261" t="s">
        <v>3243</v>
      </c>
      <c r="D1951" s="265" t="s">
        <v>10197</v>
      </c>
      <c r="E1951" s="262" t="s">
        <v>207</v>
      </c>
    </row>
    <row r="1952" spans="1:5" ht="15">
      <c r="A1952" s="261">
        <v>12067</v>
      </c>
      <c r="B1952" s="261" t="s">
        <v>6223</v>
      </c>
      <c r="C1952" s="261" t="s">
        <v>3243</v>
      </c>
      <c r="D1952" s="265" t="s">
        <v>16478</v>
      </c>
      <c r="E1952" s="262" t="s">
        <v>207</v>
      </c>
    </row>
    <row r="1953" spans="1:5" ht="15">
      <c r="A1953" s="261">
        <v>40401</v>
      </c>
      <c r="B1953" s="261" t="s">
        <v>6224</v>
      </c>
      <c r="C1953" s="261" t="s">
        <v>3243</v>
      </c>
      <c r="D1953" s="265" t="s">
        <v>12155</v>
      </c>
      <c r="E1953" s="262" t="s">
        <v>207</v>
      </c>
    </row>
    <row r="1954" spans="1:5" ht="15">
      <c r="A1954" s="261">
        <v>40402</v>
      </c>
      <c r="B1954" s="261" t="s">
        <v>6225</v>
      </c>
      <c r="C1954" s="261" t="s">
        <v>3243</v>
      </c>
      <c r="D1954" s="265" t="s">
        <v>16217</v>
      </c>
      <c r="E1954" s="262" t="s">
        <v>207</v>
      </c>
    </row>
    <row r="1955" spans="1:5" ht="15">
      <c r="A1955" s="261">
        <v>40400</v>
      </c>
      <c r="B1955" s="261" t="s">
        <v>6226</v>
      </c>
      <c r="C1955" s="261" t="s">
        <v>3243</v>
      </c>
      <c r="D1955" s="265" t="s">
        <v>11259</v>
      </c>
      <c r="E1955" s="262" t="s">
        <v>207</v>
      </c>
    </row>
    <row r="1956" spans="1:5" ht="30">
      <c r="A1956" s="261">
        <v>2504</v>
      </c>
      <c r="B1956" s="261" t="s">
        <v>6227</v>
      </c>
      <c r="C1956" s="261" t="s">
        <v>3243</v>
      </c>
      <c r="D1956" s="265" t="s">
        <v>10279</v>
      </c>
      <c r="E1956" s="262" t="s">
        <v>207</v>
      </c>
    </row>
    <row r="1957" spans="1:5" ht="30">
      <c r="A1957" s="261">
        <v>2501</v>
      </c>
      <c r="B1957" s="261" t="s">
        <v>6228</v>
      </c>
      <c r="C1957" s="261" t="s">
        <v>3243</v>
      </c>
      <c r="D1957" s="265" t="s">
        <v>19160</v>
      </c>
      <c r="E1957" s="262" t="s">
        <v>207</v>
      </c>
    </row>
    <row r="1958" spans="1:5" ht="30">
      <c r="A1958" s="261">
        <v>2502</v>
      </c>
      <c r="B1958" s="261" t="s">
        <v>6229</v>
      </c>
      <c r="C1958" s="261" t="s">
        <v>3243</v>
      </c>
      <c r="D1958" s="265" t="s">
        <v>19687</v>
      </c>
      <c r="E1958" s="262" t="s">
        <v>207</v>
      </c>
    </row>
    <row r="1959" spans="1:5" ht="30">
      <c r="A1959" s="261">
        <v>2503</v>
      </c>
      <c r="B1959" s="261" t="s">
        <v>6230</v>
      </c>
      <c r="C1959" s="261" t="s">
        <v>3243</v>
      </c>
      <c r="D1959" s="265" t="s">
        <v>14046</v>
      </c>
      <c r="E1959" s="262" t="s">
        <v>207</v>
      </c>
    </row>
    <row r="1960" spans="1:5" ht="30">
      <c r="A1960" s="261">
        <v>2500</v>
      </c>
      <c r="B1960" s="261" t="s">
        <v>6231</v>
      </c>
      <c r="C1960" s="261" t="s">
        <v>3243</v>
      </c>
      <c r="D1960" s="265" t="s">
        <v>19694</v>
      </c>
      <c r="E1960" s="262" t="s">
        <v>207</v>
      </c>
    </row>
    <row r="1961" spans="1:5" ht="30">
      <c r="A1961" s="261">
        <v>2505</v>
      </c>
      <c r="B1961" s="261" t="s">
        <v>6232</v>
      </c>
      <c r="C1961" s="261" t="s">
        <v>3243</v>
      </c>
      <c r="D1961" s="265" t="s">
        <v>16571</v>
      </c>
      <c r="E1961" s="262" t="s">
        <v>207</v>
      </c>
    </row>
    <row r="1962" spans="1:5" ht="15">
      <c r="A1962" s="261">
        <v>12056</v>
      </c>
      <c r="B1962" s="261" t="s">
        <v>6233</v>
      </c>
      <c r="C1962" s="261" t="s">
        <v>3243</v>
      </c>
      <c r="D1962" s="265" t="s">
        <v>19695</v>
      </c>
      <c r="E1962" s="262" t="s">
        <v>207</v>
      </c>
    </row>
    <row r="1963" spans="1:5" ht="15">
      <c r="A1963" s="261">
        <v>12057</v>
      </c>
      <c r="B1963" s="261" t="s">
        <v>6234</v>
      </c>
      <c r="C1963" s="261" t="s">
        <v>3243</v>
      </c>
      <c r="D1963" s="265" t="s">
        <v>16517</v>
      </c>
      <c r="E1963" s="262" t="s">
        <v>207</v>
      </c>
    </row>
    <row r="1964" spans="1:5" ht="15">
      <c r="A1964" s="261">
        <v>12059</v>
      </c>
      <c r="B1964" s="261" t="s">
        <v>6235</v>
      </c>
      <c r="C1964" s="261" t="s">
        <v>3243</v>
      </c>
      <c r="D1964" s="265" t="s">
        <v>11526</v>
      </c>
      <c r="E1964" s="262" t="s">
        <v>207</v>
      </c>
    </row>
    <row r="1965" spans="1:5" ht="15">
      <c r="A1965" s="261">
        <v>12058</v>
      </c>
      <c r="B1965" s="261" t="s">
        <v>6236</v>
      </c>
      <c r="C1965" s="261" t="s">
        <v>3243</v>
      </c>
      <c r="D1965" s="265" t="s">
        <v>10867</v>
      </c>
      <c r="E1965" s="262" t="s">
        <v>207</v>
      </c>
    </row>
    <row r="1966" spans="1:5" ht="15">
      <c r="A1966" s="261">
        <v>12060</v>
      </c>
      <c r="B1966" s="261" t="s">
        <v>6237</v>
      </c>
      <c r="C1966" s="261" t="s">
        <v>3243</v>
      </c>
      <c r="D1966" s="265" t="s">
        <v>19696</v>
      </c>
      <c r="E1966" s="262" t="s">
        <v>207</v>
      </c>
    </row>
    <row r="1967" spans="1:5" ht="15">
      <c r="A1967" s="261">
        <v>12061</v>
      </c>
      <c r="B1967" s="261" t="s">
        <v>6238</v>
      </c>
      <c r="C1967" s="261" t="s">
        <v>3243</v>
      </c>
      <c r="D1967" s="265" t="s">
        <v>19697</v>
      </c>
      <c r="E1967" s="262" t="s">
        <v>207</v>
      </c>
    </row>
    <row r="1968" spans="1:5" ht="15">
      <c r="A1968" s="261">
        <v>12062</v>
      </c>
      <c r="B1968" s="261" t="s">
        <v>6239</v>
      </c>
      <c r="C1968" s="261" t="s">
        <v>3243</v>
      </c>
      <c r="D1968" s="265" t="s">
        <v>16189</v>
      </c>
      <c r="E1968" s="262" t="s">
        <v>207</v>
      </c>
    </row>
    <row r="1969" spans="1:5" ht="30">
      <c r="A1969" s="261">
        <v>21137</v>
      </c>
      <c r="B1969" s="261" t="s">
        <v>6240</v>
      </c>
      <c r="C1969" s="261" t="s">
        <v>3243</v>
      </c>
      <c r="D1969" s="265" t="s">
        <v>10006</v>
      </c>
      <c r="E1969" s="262" t="s">
        <v>207</v>
      </c>
    </row>
    <row r="1970" spans="1:5" ht="15">
      <c r="A1970" s="261">
        <v>2687</v>
      </c>
      <c r="B1970" s="261" t="s">
        <v>6241</v>
      </c>
      <c r="C1970" s="261" t="s">
        <v>3243</v>
      </c>
      <c r="D1970" s="265" t="s">
        <v>9967</v>
      </c>
      <c r="E1970" s="262" t="s">
        <v>207</v>
      </c>
    </row>
    <row r="1971" spans="1:5" ht="15">
      <c r="A1971" s="261">
        <v>2689</v>
      </c>
      <c r="B1971" s="261" t="s">
        <v>6242</v>
      </c>
      <c r="C1971" s="261" t="s">
        <v>3243</v>
      </c>
      <c r="D1971" s="265" t="s">
        <v>10432</v>
      </c>
      <c r="E1971" s="262" t="s">
        <v>207</v>
      </c>
    </row>
    <row r="1972" spans="1:5" ht="15">
      <c r="A1972" s="261">
        <v>2688</v>
      </c>
      <c r="B1972" s="261" t="s">
        <v>6243</v>
      </c>
      <c r="C1972" s="261" t="s">
        <v>3243</v>
      </c>
      <c r="D1972" s="265" t="s">
        <v>11547</v>
      </c>
      <c r="E1972" s="262" t="s">
        <v>207</v>
      </c>
    </row>
    <row r="1973" spans="1:5" ht="15">
      <c r="A1973" s="261">
        <v>2690</v>
      </c>
      <c r="B1973" s="261" t="s">
        <v>6244</v>
      </c>
      <c r="C1973" s="261" t="s">
        <v>3243</v>
      </c>
      <c r="D1973" s="266" t="s">
        <v>11114</v>
      </c>
      <c r="E1973" s="262" t="s">
        <v>207</v>
      </c>
    </row>
    <row r="1974" spans="1:5" ht="30">
      <c r="A1974" s="261">
        <v>39243</v>
      </c>
      <c r="B1974" s="261" t="s">
        <v>6245</v>
      </c>
      <c r="C1974" s="261" t="s">
        <v>3243</v>
      </c>
      <c r="D1974" s="266" t="s">
        <v>15838</v>
      </c>
      <c r="E1974" s="262" t="s">
        <v>207</v>
      </c>
    </row>
    <row r="1975" spans="1:5" ht="30">
      <c r="A1975" s="261">
        <v>39244</v>
      </c>
      <c r="B1975" s="261" t="s">
        <v>6246</v>
      </c>
      <c r="C1975" s="261" t="s">
        <v>3243</v>
      </c>
      <c r="D1975" s="265" t="s">
        <v>9855</v>
      </c>
      <c r="E1975" s="264" t="s">
        <v>207</v>
      </c>
    </row>
    <row r="1976" spans="1:5" ht="30">
      <c r="A1976" s="261">
        <v>39245</v>
      </c>
      <c r="B1976" s="261" t="s">
        <v>6247</v>
      </c>
      <c r="C1976" s="261" t="s">
        <v>3243</v>
      </c>
      <c r="D1976" s="266" t="s">
        <v>9750</v>
      </c>
      <c r="E1976" s="264" t="s">
        <v>207</v>
      </c>
    </row>
    <row r="1977" spans="1:5" ht="30">
      <c r="A1977" s="261">
        <v>39254</v>
      </c>
      <c r="B1977" s="261" t="s">
        <v>6248</v>
      </c>
      <c r="C1977" s="261" t="s">
        <v>3243</v>
      </c>
      <c r="D1977" s="266" t="s">
        <v>19698</v>
      </c>
      <c r="E1977" s="264" t="s">
        <v>207</v>
      </c>
    </row>
    <row r="1978" spans="1:5" ht="30">
      <c r="A1978" s="261">
        <v>39255</v>
      </c>
      <c r="B1978" s="261" t="s">
        <v>6249</v>
      </c>
      <c r="C1978" s="261" t="s">
        <v>3243</v>
      </c>
      <c r="D1978" s="266" t="s">
        <v>19699</v>
      </c>
      <c r="E1978" s="264" t="s">
        <v>207</v>
      </c>
    </row>
    <row r="1979" spans="1:5" ht="30">
      <c r="A1979" s="261">
        <v>39253</v>
      </c>
      <c r="B1979" s="261" t="s">
        <v>6250</v>
      </c>
      <c r="C1979" s="261" t="s">
        <v>3243</v>
      </c>
      <c r="D1979" s="266" t="s">
        <v>10003</v>
      </c>
      <c r="E1979" s="262" t="s">
        <v>207</v>
      </c>
    </row>
    <row r="1980" spans="1:5" ht="30">
      <c r="A1980" s="261">
        <v>2446</v>
      </c>
      <c r="B1980" s="261" t="s">
        <v>6251</v>
      </c>
      <c r="C1980" s="261" t="s">
        <v>3243</v>
      </c>
      <c r="D1980" s="266" t="s">
        <v>10584</v>
      </c>
      <c r="E1980" s="262" t="s">
        <v>207</v>
      </c>
    </row>
    <row r="1981" spans="1:5" ht="30">
      <c r="A1981" s="261">
        <v>2442</v>
      </c>
      <c r="B1981" s="261" t="s">
        <v>6252</v>
      </c>
      <c r="C1981" s="261" t="s">
        <v>3243</v>
      </c>
      <c r="D1981" s="265" t="s">
        <v>9860</v>
      </c>
      <c r="E1981" s="262" t="s">
        <v>207</v>
      </c>
    </row>
    <row r="1982" spans="1:5" ht="30">
      <c r="A1982" s="261">
        <v>39246</v>
      </c>
      <c r="B1982" s="261" t="s">
        <v>6253</v>
      </c>
      <c r="C1982" s="261" t="s">
        <v>3243</v>
      </c>
      <c r="D1982" s="266" t="s">
        <v>16197</v>
      </c>
      <c r="E1982" s="262" t="s">
        <v>207</v>
      </c>
    </row>
    <row r="1983" spans="1:5" ht="30">
      <c r="A1983" s="261">
        <v>39247</v>
      </c>
      <c r="B1983" s="261" t="s">
        <v>6254</v>
      </c>
      <c r="C1983" s="261" t="s">
        <v>3243</v>
      </c>
      <c r="D1983" s="265" t="s">
        <v>9909</v>
      </c>
      <c r="E1983" s="262" t="s">
        <v>207</v>
      </c>
    </row>
    <row r="1984" spans="1:5" ht="30">
      <c r="A1984" s="261">
        <v>39248</v>
      </c>
      <c r="B1984" s="261" t="s">
        <v>6255</v>
      </c>
      <c r="C1984" s="261" t="s">
        <v>3243</v>
      </c>
      <c r="D1984" s="265" t="s">
        <v>16336</v>
      </c>
      <c r="E1984" s="262" t="s">
        <v>207</v>
      </c>
    </row>
    <row r="1985" spans="1:5" ht="15">
      <c r="A1985" s="261">
        <v>2438</v>
      </c>
      <c r="B1985" s="261" t="s">
        <v>6256</v>
      </c>
      <c r="C1985" s="261" t="s">
        <v>3239</v>
      </c>
      <c r="D1985" s="265" t="s">
        <v>11286</v>
      </c>
      <c r="E1985" s="262" t="s">
        <v>9714</v>
      </c>
    </row>
    <row r="1986" spans="1:5" ht="15">
      <c r="A1986" s="261">
        <v>40922</v>
      </c>
      <c r="B1986" s="261" t="s">
        <v>6257</v>
      </c>
      <c r="C1986" s="261" t="s">
        <v>3246</v>
      </c>
      <c r="D1986" s="265" t="s">
        <v>19700</v>
      </c>
      <c r="E1986" s="262" t="s">
        <v>9714</v>
      </c>
    </row>
    <row r="1987" spans="1:5" ht="45">
      <c r="A1987" s="261">
        <v>36486</v>
      </c>
      <c r="B1987" s="261" t="s">
        <v>6258</v>
      </c>
      <c r="C1987" s="261" t="s">
        <v>3240</v>
      </c>
      <c r="D1987" s="265" t="s">
        <v>19701</v>
      </c>
      <c r="E1987" s="262" t="s">
        <v>8987</v>
      </c>
    </row>
    <row r="1988" spans="1:5" ht="45">
      <c r="A1988" s="261">
        <v>37777</v>
      </c>
      <c r="B1988" s="261" t="s">
        <v>6259</v>
      </c>
      <c r="C1988" s="261" t="s">
        <v>3240</v>
      </c>
      <c r="D1988" s="265" t="s">
        <v>19702</v>
      </c>
      <c r="E1988" s="262" t="s">
        <v>8987</v>
      </c>
    </row>
    <row r="1989" spans="1:5" ht="30">
      <c r="A1989" s="261">
        <v>12624</v>
      </c>
      <c r="B1989" s="261" t="s">
        <v>6260</v>
      </c>
      <c r="C1989" s="261" t="s">
        <v>3240</v>
      </c>
      <c r="D1989" s="265" t="s">
        <v>10504</v>
      </c>
      <c r="E1989" s="262" t="s">
        <v>207</v>
      </c>
    </row>
    <row r="1990" spans="1:5" ht="15">
      <c r="A1990" s="261">
        <v>517</v>
      </c>
      <c r="B1990" s="261" t="s">
        <v>6261</v>
      </c>
      <c r="C1990" s="261" t="s">
        <v>3245</v>
      </c>
      <c r="D1990" s="265" t="s">
        <v>19703</v>
      </c>
      <c r="E1990" s="262" t="s">
        <v>207</v>
      </c>
    </row>
    <row r="1991" spans="1:5" ht="30">
      <c r="A1991" s="261">
        <v>41904</v>
      </c>
      <c r="B1991" s="261" t="s">
        <v>6262</v>
      </c>
      <c r="C1991" s="261" t="s">
        <v>3251</v>
      </c>
      <c r="D1991" s="265" t="s">
        <v>19704</v>
      </c>
      <c r="E1991" s="262" t="s">
        <v>207</v>
      </c>
    </row>
    <row r="1992" spans="1:5" ht="30">
      <c r="A1992" s="261">
        <v>41903</v>
      </c>
      <c r="B1992" s="261" t="s">
        <v>6263</v>
      </c>
      <c r="C1992" s="261" t="s">
        <v>3244</v>
      </c>
      <c r="D1992" s="265" t="s">
        <v>10042</v>
      </c>
      <c r="E1992" s="262" t="s">
        <v>207</v>
      </c>
    </row>
    <row r="1993" spans="1:5" ht="30">
      <c r="A1993" s="261">
        <v>37534</v>
      </c>
      <c r="B1993" s="261" t="s">
        <v>6264</v>
      </c>
      <c r="C1993" s="261" t="s">
        <v>3244</v>
      </c>
      <c r="D1993" s="265" t="s">
        <v>12354</v>
      </c>
      <c r="E1993" s="262" t="s">
        <v>207</v>
      </c>
    </row>
    <row r="1994" spans="1:5" ht="30">
      <c r="A1994" s="261">
        <v>37535</v>
      </c>
      <c r="B1994" s="261" t="s">
        <v>6265</v>
      </c>
      <c r="C1994" s="261" t="s">
        <v>3244</v>
      </c>
      <c r="D1994" s="265" t="s">
        <v>12354</v>
      </c>
      <c r="E1994" s="262" t="s">
        <v>207</v>
      </c>
    </row>
    <row r="1995" spans="1:5" ht="30">
      <c r="A1995" s="261">
        <v>37533</v>
      </c>
      <c r="B1995" s="261" t="s">
        <v>6266</v>
      </c>
      <c r="C1995" s="261" t="s">
        <v>3244</v>
      </c>
      <c r="D1995" s="265" t="s">
        <v>12354</v>
      </c>
      <c r="E1995" s="262" t="s">
        <v>207</v>
      </c>
    </row>
    <row r="1996" spans="1:5" ht="30">
      <c r="A1996" s="261">
        <v>37537</v>
      </c>
      <c r="B1996" s="261" t="s">
        <v>6267</v>
      </c>
      <c r="C1996" s="261" t="s">
        <v>3244</v>
      </c>
      <c r="D1996" s="265" t="s">
        <v>19705</v>
      </c>
      <c r="E1996" s="262" t="s">
        <v>207</v>
      </c>
    </row>
    <row r="1997" spans="1:5" ht="30">
      <c r="A1997" s="261">
        <v>37536</v>
      </c>
      <c r="B1997" s="261" t="s">
        <v>6268</v>
      </c>
      <c r="C1997" s="261" t="s">
        <v>3244</v>
      </c>
      <c r="D1997" s="265" t="s">
        <v>19705</v>
      </c>
      <c r="E1997" s="262" t="s">
        <v>207</v>
      </c>
    </row>
    <row r="1998" spans="1:5" ht="30">
      <c r="A1998" s="261">
        <v>37532</v>
      </c>
      <c r="B1998" s="261" t="s">
        <v>6269</v>
      </c>
      <c r="C1998" s="261" t="s">
        <v>3244</v>
      </c>
      <c r="D1998" s="265" t="s">
        <v>19705</v>
      </c>
      <c r="E1998" s="262" t="s">
        <v>207</v>
      </c>
    </row>
    <row r="1999" spans="1:5" ht="15">
      <c r="A1999" s="261">
        <v>2696</v>
      </c>
      <c r="B1999" s="261" t="s">
        <v>6270</v>
      </c>
      <c r="C1999" s="261" t="s">
        <v>3239</v>
      </c>
      <c r="D1999" s="266" t="s">
        <v>11524</v>
      </c>
      <c r="E1999" s="262" t="s">
        <v>9714</v>
      </c>
    </row>
    <row r="2000" spans="1:5" ht="15">
      <c r="A2000" s="261">
        <v>40928</v>
      </c>
      <c r="B2000" s="261" t="s">
        <v>6271</v>
      </c>
      <c r="C2000" s="261" t="s">
        <v>3246</v>
      </c>
      <c r="D2000" s="266" t="s">
        <v>18936</v>
      </c>
      <c r="E2000" s="262" t="s">
        <v>9714</v>
      </c>
    </row>
    <row r="2001" spans="1:5" ht="15">
      <c r="A2001" s="261">
        <v>4083</v>
      </c>
      <c r="B2001" s="261" t="s">
        <v>6272</v>
      </c>
      <c r="C2001" s="261" t="s">
        <v>3239</v>
      </c>
      <c r="D2001" s="266" t="s">
        <v>11524</v>
      </c>
      <c r="E2001" s="262" t="s">
        <v>9714</v>
      </c>
    </row>
    <row r="2002" spans="1:5" ht="15">
      <c r="A2002" s="261">
        <v>40818</v>
      </c>
      <c r="B2002" s="261" t="s">
        <v>6273</v>
      </c>
      <c r="C2002" s="261" t="s">
        <v>3246</v>
      </c>
      <c r="D2002" s="265" t="s">
        <v>18936</v>
      </c>
      <c r="E2002" s="262" t="s">
        <v>9714</v>
      </c>
    </row>
    <row r="2003" spans="1:5" ht="15">
      <c r="A2003" s="261">
        <v>43146</v>
      </c>
      <c r="B2003" s="261" t="s">
        <v>9534</v>
      </c>
      <c r="C2003" s="261" t="s">
        <v>3244</v>
      </c>
      <c r="D2003" s="265" t="s">
        <v>10477</v>
      </c>
      <c r="E2003" s="262" t="s">
        <v>207</v>
      </c>
    </row>
    <row r="2004" spans="1:5" ht="15">
      <c r="A2004" s="261">
        <v>2705</v>
      </c>
      <c r="B2004" s="261" t="s">
        <v>6274</v>
      </c>
      <c r="C2004" s="261" t="s">
        <v>3254</v>
      </c>
      <c r="D2004" s="266" t="s">
        <v>9928</v>
      </c>
      <c r="E2004" s="262" t="s">
        <v>207</v>
      </c>
    </row>
    <row r="2005" spans="1:5" ht="30">
      <c r="A2005" s="261">
        <v>14250</v>
      </c>
      <c r="B2005" s="261" t="s">
        <v>6275</v>
      </c>
      <c r="C2005" s="261" t="s">
        <v>3254</v>
      </c>
      <c r="D2005" s="266" t="s">
        <v>10010</v>
      </c>
      <c r="E2005" s="262" t="s">
        <v>207</v>
      </c>
    </row>
    <row r="2006" spans="1:5" ht="15">
      <c r="A2006" s="261">
        <v>11683</v>
      </c>
      <c r="B2006" s="261" t="s">
        <v>6276</v>
      </c>
      <c r="C2006" s="261" t="s">
        <v>3240</v>
      </c>
      <c r="D2006" s="266" t="s">
        <v>16064</v>
      </c>
      <c r="E2006" s="262" t="s">
        <v>207</v>
      </c>
    </row>
    <row r="2007" spans="1:5" ht="15">
      <c r="A2007" s="261">
        <v>11684</v>
      </c>
      <c r="B2007" s="261" t="s">
        <v>6277</v>
      </c>
      <c r="C2007" s="261" t="s">
        <v>3240</v>
      </c>
      <c r="D2007" s="266" t="s">
        <v>19706</v>
      </c>
      <c r="E2007" s="262" t="s">
        <v>207</v>
      </c>
    </row>
    <row r="2008" spans="1:5" ht="15">
      <c r="A2008" s="261">
        <v>6141</v>
      </c>
      <c r="B2008" s="261" t="s">
        <v>6278</v>
      </c>
      <c r="C2008" s="261" t="s">
        <v>3240</v>
      </c>
      <c r="D2008" s="266" t="s">
        <v>9986</v>
      </c>
      <c r="E2008" s="262" t="s">
        <v>207</v>
      </c>
    </row>
    <row r="2009" spans="1:5" ht="15">
      <c r="A2009" s="261">
        <v>11681</v>
      </c>
      <c r="B2009" s="261" t="s">
        <v>6279</v>
      </c>
      <c r="C2009" s="261" t="s">
        <v>3240</v>
      </c>
      <c r="D2009" s="266" t="s">
        <v>12373</v>
      </c>
      <c r="E2009" s="262" t="s">
        <v>207</v>
      </c>
    </row>
    <row r="2010" spans="1:5" ht="15">
      <c r="A2010" s="261">
        <v>2706</v>
      </c>
      <c r="B2010" s="261" t="s">
        <v>6280</v>
      </c>
      <c r="C2010" s="261" t="s">
        <v>3239</v>
      </c>
      <c r="D2010" s="266" t="s">
        <v>12278</v>
      </c>
      <c r="E2010" s="262" t="s">
        <v>9714</v>
      </c>
    </row>
    <row r="2011" spans="1:5" ht="15">
      <c r="A2011" s="261">
        <v>40811</v>
      </c>
      <c r="B2011" s="261" t="s">
        <v>6281</v>
      </c>
      <c r="C2011" s="261" t="s">
        <v>3246</v>
      </c>
      <c r="D2011" s="266" t="s">
        <v>12279</v>
      </c>
      <c r="E2011" s="262" t="s">
        <v>9714</v>
      </c>
    </row>
    <row r="2012" spans="1:5" ht="15">
      <c r="A2012" s="261">
        <v>2707</v>
      </c>
      <c r="B2012" s="261" t="s">
        <v>6282</v>
      </c>
      <c r="C2012" s="261" t="s">
        <v>3239</v>
      </c>
      <c r="D2012" s="266" t="s">
        <v>11426</v>
      </c>
      <c r="E2012" s="262" t="s">
        <v>9714</v>
      </c>
    </row>
    <row r="2013" spans="1:5" ht="15">
      <c r="A2013" s="261">
        <v>40813</v>
      </c>
      <c r="B2013" s="261" t="s">
        <v>6283</v>
      </c>
      <c r="C2013" s="261" t="s">
        <v>3246</v>
      </c>
      <c r="D2013" s="265" t="s">
        <v>12280</v>
      </c>
      <c r="E2013" s="262" t="s">
        <v>9714</v>
      </c>
    </row>
    <row r="2014" spans="1:5" ht="15">
      <c r="A2014" s="261">
        <v>2708</v>
      </c>
      <c r="B2014" s="261" t="s">
        <v>6284</v>
      </c>
      <c r="C2014" s="261" t="s">
        <v>3239</v>
      </c>
      <c r="D2014" s="265" t="s">
        <v>12281</v>
      </c>
      <c r="E2014" s="262" t="s">
        <v>9714</v>
      </c>
    </row>
    <row r="2015" spans="1:5" ht="15">
      <c r="A2015" s="261">
        <v>40814</v>
      </c>
      <c r="B2015" s="261" t="s">
        <v>6285</v>
      </c>
      <c r="C2015" s="261" t="s">
        <v>3246</v>
      </c>
      <c r="D2015" s="265" t="s">
        <v>12282</v>
      </c>
      <c r="E2015" s="262" t="s">
        <v>9714</v>
      </c>
    </row>
    <row r="2016" spans="1:5" ht="15">
      <c r="A2016" s="261">
        <v>34779</v>
      </c>
      <c r="B2016" s="261" t="s">
        <v>6286</v>
      </c>
      <c r="C2016" s="261" t="s">
        <v>3239</v>
      </c>
      <c r="D2016" s="265" t="s">
        <v>12283</v>
      </c>
      <c r="E2016" s="262" t="s">
        <v>9714</v>
      </c>
    </row>
    <row r="2017" spans="1:5" ht="15">
      <c r="A2017" s="261">
        <v>40936</v>
      </c>
      <c r="B2017" s="261" t="s">
        <v>6287</v>
      </c>
      <c r="C2017" s="261" t="s">
        <v>3246</v>
      </c>
      <c r="D2017" s="265" t="s">
        <v>12284</v>
      </c>
      <c r="E2017" s="262" t="s">
        <v>9714</v>
      </c>
    </row>
    <row r="2018" spans="1:5" ht="15">
      <c r="A2018" s="261">
        <v>34780</v>
      </c>
      <c r="B2018" s="261" t="s">
        <v>6288</v>
      </c>
      <c r="C2018" s="261" t="s">
        <v>3239</v>
      </c>
      <c r="D2018" s="265" t="s">
        <v>12285</v>
      </c>
      <c r="E2018" s="262" t="s">
        <v>9714</v>
      </c>
    </row>
    <row r="2019" spans="1:5" ht="15">
      <c r="A2019" s="261">
        <v>40937</v>
      </c>
      <c r="B2019" s="261" t="s">
        <v>6289</v>
      </c>
      <c r="C2019" s="261" t="s">
        <v>3246</v>
      </c>
      <c r="D2019" s="265" t="s">
        <v>12286</v>
      </c>
      <c r="E2019" s="262" t="s">
        <v>9714</v>
      </c>
    </row>
    <row r="2020" spans="1:5" ht="15">
      <c r="A2020" s="261">
        <v>34782</v>
      </c>
      <c r="B2020" s="261" t="s">
        <v>6290</v>
      </c>
      <c r="C2020" s="261" t="s">
        <v>3239</v>
      </c>
      <c r="D2020" s="265" t="s">
        <v>11018</v>
      </c>
      <c r="E2020" s="262" t="s">
        <v>9714</v>
      </c>
    </row>
    <row r="2021" spans="1:5" ht="15">
      <c r="A2021" s="261">
        <v>40938</v>
      </c>
      <c r="B2021" s="261" t="s">
        <v>6291</v>
      </c>
      <c r="C2021" s="261" t="s">
        <v>3246</v>
      </c>
      <c r="D2021" s="265" t="s">
        <v>12287</v>
      </c>
      <c r="E2021" s="262" t="s">
        <v>9714</v>
      </c>
    </row>
    <row r="2022" spans="1:5" ht="15">
      <c r="A2022" s="261">
        <v>34783</v>
      </c>
      <c r="B2022" s="261" t="s">
        <v>6292</v>
      </c>
      <c r="C2022" s="261" t="s">
        <v>3239</v>
      </c>
      <c r="D2022" s="265" t="s">
        <v>10342</v>
      </c>
      <c r="E2022" s="262" t="s">
        <v>9714</v>
      </c>
    </row>
    <row r="2023" spans="1:5" ht="15">
      <c r="A2023" s="261">
        <v>40939</v>
      </c>
      <c r="B2023" s="261" t="s">
        <v>6293</v>
      </c>
      <c r="C2023" s="261" t="s">
        <v>3246</v>
      </c>
      <c r="D2023" s="265" t="s">
        <v>12288</v>
      </c>
      <c r="E2023" s="262" t="s">
        <v>9714</v>
      </c>
    </row>
    <row r="2024" spans="1:5" ht="15">
      <c r="A2024" s="261">
        <v>34785</v>
      </c>
      <c r="B2024" s="261" t="s">
        <v>6294</v>
      </c>
      <c r="C2024" s="261" t="s">
        <v>3239</v>
      </c>
      <c r="D2024" s="265" t="s">
        <v>10108</v>
      </c>
      <c r="E2024" s="262" t="s">
        <v>9714</v>
      </c>
    </row>
    <row r="2025" spans="1:5" ht="15">
      <c r="A2025" s="261">
        <v>40940</v>
      </c>
      <c r="B2025" s="261" t="s">
        <v>6295</v>
      </c>
      <c r="C2025" s="261" t="s">
        <v>3246</v>
      </c>
      <c r="D2025" s="265" t="s">
        <v>12289</v>
      </c>
      <c r="E2025" s="262" t="s">
        <v>9714</v>
      </c>
    </row>
    <row r="2026" spans="1:5" ht="15">
      <c r="A2026" s="261">
        <v>38403</v>
      </c>
      <c r="B2026" s="261" t="s">
        <v>6296</v>
      </c>
      <c r="C2026" s="261" t="s">
        <v>3240</v>
      </c>
      <c r="D2026" s="265" t="s">
        <v>19707</v>
      </c>
      <c r="E2026" s="262" t="s">
        <v>207</v>
      </c>
    </row>
    <row r="2027" spans="1:5" ht="30">
      <c r="A2027" s="261">
        <v>43482</v>
      </c>
      <c r="B2027" s="261" t="s">
        <v>6297</v>
      </c>
      <c r="C2027" s="261" t="s">
        <v>3239</v>
      </c>
      <c r="D2027" s="265" t="s">
        <v>12166</v>
      </c>
      <c r="E2027" s="262" t="s">
        <v>16520</v>
      </c>
    </row>
    <row r="2028" spans="1:5" ht="30">
      <c r="A2028" s="261">
        <v>43494</v>
      </c>
      <c r="B2028" s="261" t="s">
        <v>9535</v>
      </c>
      <c r="C2028" s="261" t="s">
        <v>3246</v>
      </c>
      <c r="D2028" s="265" t="s">
        <v>11196</v>
      </c>
      <c r="E2028" s="262" t="s">
        <v>16520</v>
      </c>
    </row>
    <row r="2029" spans="1:5" ht="30">
      <c r="A2029" s="261">
        <v>43483</v>
      </c>
      <c r="B2029" s="261" t="s">
        <v>6298</v>
      </c>
      <c r="C2029" s="261" t="s">
        <v>3239</v>
      </c>
      <c r="D2029" s="265" t="s">
        <v>9916</v>
      </c>
      <c r="E2029" s="262" t="s">
        <v>16520</v>
      </c>
    </row>
    <row r="2030" spans="1:5" ht="30">
      <c r="A2030" s="261">
        <v>43495</v>
      </c>
      <c r="B2030" s="261" t="s">
        <v>6299</v>
      </c>
      <c r="C2030" s="261" t="s">
        <v>3246</v>
      </c>
      <c r="D2030" s="265" t="s">
        <v>12290</v>
      </c>
      <c r="E2030" s="264" t="s">
        <v>16520</v>
      </c>
    </row>
    <row r="2031" spans="1:5" ht="30">
      <c r="A2031" s="261">
        <v>43484</v>
      </c>
      <c r="B2031" s="261" t="s">
        <v>6300</v>
      </c>
      <c r="C2031" s="261" t="s">
        <v>3239</v>
      </c>
      <c r="D2031" s="266" t="s">
        <v>11280</v>
      </c>
      <c r="E2031" s="264" t="s">
        <v>16520</v>
      </c>
    </row>
    <row r="2032" spans="1:5" ht="30">
      <c r="A2032" s="261">
        <v>43496</v>
      </c>
      <c r="B2032" s="261" t="s">
        <v>6301</v>
      </c>
      <c r="C2032" s="261" t="s">
        <v>3246</v>
      </c>
      <c r="D2032" s="266" t="s">
        <v>12291</v>
      </c>
      <c r="E2032" s="262" t="s">
        <v>16520</v>
      </c>
    </row>
    <row r="2033" spans="1:5" ht="30">
      <c r="A2033" s="261">
        <v>43485</v>
      </c>
      <c r="B2033" s="261" t="s">
        <v>6302</v>
      </c>
      <c r="C2033" s="261" t="s">
        <v>3239</v>
      </c>
      <c r="D2033" s="265" t="s">
        <v>9922</v>
      </c>
      <c r="E2033" s="262" t="s">
        <v>16520</v>
      </c>
    </row>
    <row r="2034" spans="1:5" ht="30">
      <c r="A2034" s="261">
        <v>43497</v>
      </c>
      <c r="B2034" s="261" t="s">
        <v>6303</v>
      </c>
      <c r="C2034" s="261" t="s">
        <v>3246</v>
      </c>
      <c r="D2034" s="265" t="s">
        <v>12292</v>
      </c>
      <c r="E2034" s="262" t="s">
        <v>16520</v>
      </c>
    </row>
    <row r="2035" spans="1:5" ht="30">
      <c r="A2035" s="261">
        <v>43487</v>
      </c>
      <c r="B2035" s="261" t="s">
        <v>6304</v>
      </c>
      <c r="C2035" s="261" t="s">
        <v>3239</v>
      </c>
      <c r="D2035" s="265" t="s">
        <v>9904</v>
      </c>
      <c r="E2035" s="262" t="s">
        <v>16520</v>
      </c>
    </row>
    <row r="2036" spans="1:5" ht="30">
      <c r="A2036" s="261">
        <v>43499</v>
      </c>
      <c r="B2036" s="261" t="s">
        <v>9536</v>
      </c>
      <c r="C2036" s="261" t="s">
        <v>3246</v>
      </c>
      <c r="D2036" s="265" t="s">
        <v>11195</v>
      </c>
      <c r="E2036" s="262" t="s">
        <v>16520</v>
      </c>
    </row>
    <row r="2037" spans="1:5" ht="30">
      <c r="A2037" s="261">
        <v>43486</v>
      </c>
      <c r="B2037" s="261" t="s">
        <v>6305</v>
      </c>
      <c r="C2037" s="261" t="s">
        <v>3239</v>
      </c>
      <c r="D2037" s="265" t="s">
        <v>10028</v>
      </c>
      <c r="E2037" s="262" t="s">
        <v>16520</v>
      </c>
    </row>
    <row r="2038" spans="1:5" ht="30">
      <c r="A2038" s="261">
        <v>43498</v>
      </c>
      <c r="B2038" s="261" t="s">
        <v>6306</v>
      </c>
      <c r="C2038" s="261" t="s">
        <v>3246</v>
      </c>
      <c r="D2038" s="265" t="s">
        <v>12293</v>
      </c>
      <c r="E2038" s="262" t="s">
        <v>16520</v>
      </c>
    </row>
    <row r="2039" spans="1:5" ht="30">
      <c r="A2039" s="261">
        <v>43488</v>
      </c>
      <c r="B2039" s="261" t="s">
        <v>6307</v>
      </c>
      <c r="C2039" s="261" t="s">
        <v>3239</v>
      </c>
      <c r="D2039" s="265" t="s">
        <v>10915</v>
      </c>
      <c r="E2039" s="262" t="s">
        <v>16520</v>
      </c>
    </row>
    <row r="2040" spans="1:5" ht="30">
      <c r="A2040" s="261">
        <v>43500</v>
      </c>
      <c r="B2040" s="261" t="s">
        <v>6308</v>
      </c>
      <c r="C2040" s="261" t="s">
        <v>3246</v>
      </c>
      <c r="D2040" s="265" t="s">
        <v>12294</v>
      </c>
      <c r="E2040" s="262" t="s">
        <v>16520</v>
      </c>
    </row>
    <row r="2041" spans="1:5" ht="30">
      <c r="A2041" s="261">
        <v>43489</v>
      </c>
      <c r="B2041" s="261" t="s">
        <v>6309</v>
      </c>
      <c r="C2041" s="261" t="s">
        <v>3239</v>
      </c>
      <c r="D2041" s="265" t="s">
        <v>9926</v>
      </c>
      <c r="E2041" s="262" t="s">
        <v>16520</v>
      </c>
    </row>
    <row r="2042" spans="1:5" ht="30">
      <c r="A2042" s="261">
        <v>43501</v>
      </c>
      <c r="B2042" s="261" t="s">
        <v>6310</v>
      </c>
      <c r="C2042" s="261" t="s">
        <v>3246</v>
      </c>
      <c r="D2042" s="265" t="s">
        <v>12295</v>
      </c>
      <c r="E2042" s="262" t="s">
        <v>16520</v>
      </c>
    </row>
    <row r="2043" spans="1:5" ht="15">
      <c r="A2043" s="261">
        <v>43490</v>
      </c>
      <c r="B2043" s="261" t="s">
        <v>6311</v>
      </c>
      <c r="C2043" s="261" t="s">
        <v>3239</v>
      </c>
      <c r="D2043" s="265" t="s">
        <v>11064</v>
      </c>
      <c r="E2043" s="262" t="s">
        <v>16520</v>
      </c>
    </row>
    <row r="2044" spans="1:5" ht="30">
      <c r="A2044" s="261">
        <v>43502</v>
      </c>
      <c r="B2044" s="261" t="s">
        <v>6312</v>
      </c>
      <c r="C2044" s="261" t="s">
        <v>3246</v>
      </c>
      <c r="D2044" s="265" t="s">
        <v>12296</v>
      </c>
      <c r="E2044" s="262" t="s">
        <v>16520</v>
      </c>
    </row>
    <row r="2045" spans="1:5" ht="30">
      <c r="A2045" s="261">
        <v>43491</v>
      </c>
      <c r="B2045" s="261" t="s">
        <v>6313</v>
      </c>
      <c r="C2045" s="261" t="s">
        <v>3239</v>
      </c>
      <c r="D2045" s="265" t="s">
        <v>9830</v>
      </c>
      <c r="E2045" s="262" t="s">
        <v>16520</v>
      </c>
    </row>
    <row r="2046" spans="1:5" ht="30">
      <c r="A2046" s="261">
        <v>43503</v>
      </c>
      <c r="B2046" s="261" t="s">
        <v>6314</v>
      </c>
      <c r="C2046" s="261" t="s">
        <v>3246</v>
      </c>
      <c r="D2046" s="265" t="s">
        <v>12297</v>
      </c>
      <c r="E2046" s="262" t="s">
        <v>16520</v>
      </c>
    </row>
    <row r="2047" spans="1:5" ht="30">
      <c r="A2047" s="261">
        <v>43492</v>
      </c>
      <c r="B2047" s="261" t="s">
        <v>6315</v>
      </c>
      <c r="C2047" s="261" t="s">
        <v>3239</v>
      </c>
      <c r="D2047" s="265" t="s">
        <v>10083</v>
      </c>
      <c r="E2047" s="262" t="s">
        <v>16520</v>
      </c>
    </row>
    <row r="2048" spans="1:5" ht="30">
      <c r="A2048" s="261">
        <v>43504</v>
      </c>
      <c r="B2048" s="261" t="s">
        <v>6316</v>
      </c>
      <c r="C2048" s="261" t="s">
        <v>3246</v>
      </c>
      <c r="D2048" s="265" t="s">
        <v>12298</v>
      </c>
      <c r="E2048" s="262" t="s">
        <v>16520</v>
      </c>
    </row>
    <row r="2049" spans="1:5" ht="30">
      <c r="A2049" s="261">
        <v>43493</v>
      </c>
      <c r="B2049" s="261" t="s">
        <v>6317</v>
      </c>
      <c r="C2049" s="261" t="s">
        <v>3239</v>
      </c>
      <c r="D2049" s="265" t="s">
        <v>10907</v>
      </c>
      <c r="E2049" s="262" t="s">
        <v>16520</v>
      </c>
    </row>
    <row r="2050" spans="1:5" ht="30">
      <c r="A2050" s="261">
        <v>43505</v>
      </c>
      <c r="B2050" s="261" t="s">
        <v>6318</v>
      </c>
      <c r="C2050" s="261" t="s">
        <v>3246</v>
      </c>
      <c r="D2050" s="265" t="s">
        <v>12210</v>
      </c>
      <c r="E2050" s="264" t="s">
        <v>16520</v>
      </c>
    </row>
    <row r="2051" spans="1:5" ht="45">
      <c r="A2051" s="261">
        <v>37774</v>
      </c>
      <c r="B2051" s="261" t="s">
        <v>6319</v>
      </c>
      <c r="C2051" s="261" t="s">
        <v>3240</v>
      </c>
      <c r="D2051" s="265" t="s">
        <v>19708</v>
      </c>
      <c r="E2051" s="264" t="s">
        <v>8987</v>
      </c>
    </row>
    <row r="2052" spans="1:5" ht="45">
      <c r="A2052" s="261">
        <v>38630</v>
      </c>
      <c r="B2052" s="261" t="s">
        <v>6320</v>
      </c>
      <c r="C2052" s="261" t="s">
        <v>3240</v>
      </c>
      <c r="D2052" s="265" t="s">
        <v>19709</v>
      </c>
      <c r="E2052" s="264" t="s">
        <v>8987</v>
      </c>
    </row>
    <row r="2053" spans="1:5" ht="60">
      <c r="A2053" s="261">
        <v>38629</v>
      </c>
      <c r="B2053" s="261" t="s">
        <v>6321</v>
      </c>
      <c r="C2053" s="261" t="s">
        <v>3240</v>
      </c>
      <c r="D2053" s="265" t="s">
        <v>19710</v>
      </c>
      <c r="E2053" s="264" t="s">
        <v>8987</v>
      </c>
    </row>
    <row r="2054" spans="1:5" ht="15">
      <c r="A2054" s="261">
        <v>38476</v>
      </c>
      <c r="B2054" s="261" t="s">
        <v>6322</v>
      </c>
      <c r="C2054" s="261" t="s">
        <v>3240</v>
      </c>
      <c r="D2054" s="265" t="s">
        <v>19711</v>
      </c>
      <c r="E2054" s="262" t="s">
        <v>207</v>
      </c>
    </row>
    <row r="2055" spans="1:5" ht="15">
      <c r="A2055" s="261">
        <v>38477</v>
      </c>
      <c r="B2055" s="261" t="s">
        <v>6323</v>
      </c>
      <c r="C2055" s="261" t="s">
        <v>3240</v>
      </c>
      <c r="D2055" s="265" t="s">
        <v>19712</v>
      </c>
      <c r="E2055" s="262" t="s">
        <v>207</v>
      </c>
    </row>
    <row r="2056" spans="1:5" ht="30">
      <c r="A2056" s="261">
        <v>40635</v>
      </c>
      <c r="B2056" s="261" t="s">
        <v>6324</v>
      </c>
      <c r="C2056" s="261" t="s">
        <v>3240</v>
      </c>
      <c r="D2056" s="265" t="s">
        <v>19713</v>
      </c>
      <c r="E2056" s="262" t="s">
        <v>8987</v>
      </c>
    </row>
    <row r="2057" spans="1:5" ht="30">
      <c r="A2057" s="261">
        <v>36483</v>
      </c>
      <c r="B2057" s="261" t="s">
        <v>6325</v>
      </c>
      <c r="C2057" s="261" t="s">
        <v>3240</v>
      </c>
      <c r="D2057" s="265" t="s">
        <v>19714</v>
      </c>
      <c r="E2057" s="262" t="s">
        <v>8987</v>
      </c>
    </row>
    <row r="2058" spans="1:5" ht="30">
      <c r="A2058" s="261">
        <v>14525</v>
      </c>
      <c r="B2058" s="261" t="s">
        <v>6326</v>
      </c>
      <c r="C2058" s="261" t="s">
        <v>3240</v>
      </c>
      <c r="D2058" s="265" t="s">
        <v>19715</v>
      </c>
      <c r="E2058" s="262" t="s">
        <v>8987</v>
      </c>
    </row>
    <row r="2059" spans="1:5" ht="30">
      <c r="A2059" s="261">
        <v>36482</v>
      </c>
      <c r="B2059" s="261" t="s">
        <v>6327</v>
      </c>
      <c r="C2059" s="261" t="s">
        <v>3240</v>
      </c>
      <c r="D2059" s="265" t="s">
        <v>19716</v>
      </c>
      <c r="E2059" s="262" t="s">
        <v>8987</v>
      </c>
    </row>
    <row r="2060" spans="1:5" ht="30">
      <c r="A2060" s="261">
        <v>36408</v>
      </c>
      <c r="B2060" s="261" t="s">
        <v>6328</v>
      </c>
      <c r="C2060" s="261" t="s">
        <v>3240</v>
      </c>
      <c r="D2060" s="265" t="s">
        <v>19717</v>
      </c>
      <c r="E2060" s="262" t="s">
        <v>8987</v>
      </c>
    </row>
    <row r="2061" spans="1:5" ht="30">
      <c r="A2061" s="261">
        <v>2723</v>
      </c>
      <c r="B2061" s="261" t="s">
        <v>6329</v>
      </c>
      <c r="C2061" s="261" t="s">
        <v>3240</v>
      </c>
      <c r="D2061" s="265" t="s">
        <v>19718</v>
      </c>
      <c r="E2061" s="264" t="s">
        <v>8987</v>
      </c>
    </row>
    <row r="2062" spans="1:5" ht="30">
      <c r="A2062" s="261">
        <v>36481</v>
      </c>
      <c r="B2062" s="261" t="s">
        <v>6330</v>
      </c>
      <c r="C2062" s="261" t="s">
        <v>3240</v>
      </c>
      <c r="D2062" s="265" t="s">
        <v>19719</v>
      </c>
      <c r="E2062" s="264" t="s">
        <v>8987</v>
      </c>
    </row>
    <row r="2063" spans="1:5" ht="30">
      <c r="A2063" s="261">
        <v>10685</v>
      </c>
      <c r="B2063" s="261" t="s">
        <v>6331</v>
      </c>
      <c r="C2063" s="261" t="s">
        <v>3240</v>
      </c>
      <c r="D2063" s="265" t="s">
        <v>19720</v>
      </c>
      <c r="E2063" s="264" t="s">
        <v>8987</v>
      </c>
    </row>
    <row r="2064" spans="1:5" ht="45">
      <c r="A2064" s="261">
        <v>40636</v>
      </c>
      <c r="B2064" s="261" t="s">
        <v>6332</v>
      </c>
      <c r="C2064" s="261" t="s">
        <v>3240</v>
      </c>
      <c r="D2064" s="265" t="s">
        <v>19721</v>
      </c>
      <c r="E2064" s="264" t="s">
        <v>8987</v>
      </c>
    </row>
    <row r="2065" spans="1:5" ht="15">
      <c r="A2065" s="261">
        <v>4111</v>
      </c>
      <c r="B2065" s="261" t="s">
        <v>6333</v>
      </c>
      <c r="C2065" s="261" t="s">
        <v>3240</v>
      </c>
      <c r="D2065" s="265" t="s">
        <v>19722</v>
      </c>
      <c r="E2065" s="264" t="s">
        <v>207</v>
      </c>
    </row>
    <row r="2066" spans="1:5" ht="30">
      <c r="A2066" s="261">
        <v>26021</v>
      </c>
      <c r="B2066" s="261" t="s">
        <v>6334</v>
      </c>
      <c r="C2066" s="261" t="s">
        <v>3240</v>
      </c>
      <c r="D2066" s="265" t="s">
        <v>19723</v>
      </c>
      <c r="E2066" s="262" t="s">
        <v>207</v>
      </c>
    </row>
    <row r="2067" spans="1:5" ht="15">
      <c r="A2067" s="261">
        <v>12</v>
      </c>
      <c r="B2067" s="261" t="s">
        <v>6335</v>
      </c>
      <c r="C2067" s="261" t="s">
        <v>3240</v>
      </c>
      <c r="D2067" s="265" t="s">
        <v>11352</v>
      </c>
      <c r="E2067" s="262" t="s">
        <v>207</v>
      </c>
    </row>
    <row r="2068" spans="1:5" ht="30">
      <c r="A2068" s="261">
        <v>37554</v>
      </c>
      <c r="B2068" s="261" t="s">
        <v>6336</v>
      </c>
      <c r="C2068" s="261" t="s">
        <v>3240</v>
      </c>
      <c r="D2068" s="265" t="s">
        <v>19724</v>
      </c>
      <c r="E2068" s="262" t="s">
        <v>207</v>
      </c>
    </row>
    <row r="2069" spans="1:5" ht="30">
      <c r="A2069" s="261">
        <v>37555</v>
      </c>
      <c r="B2069" s="261" t="s">
        <v>6337</v>
      </c>
      <c r="C2069" s="261" t="s">
        <v>3240</v>
      </c>
      <c r="D2069" s="265" t="s">
        <v>19725</v>
      </c>
      <c r="E2069" s="262" t="s">
        <v>207</v>
      </c>
    </row>
    <row r="2070" spans="1:5" ht="30">
      <c r="A2070" s="261">
        <v>10902</v>
      </c>
      <c r="B2070" s="261" t="s">
        <v>6338</v>
      </c>
      <c r="C2070" s="261" t="s">
        <v>3240</v>
      </c>
      <c r="D2070" s="265" t="s">
        <v>19726</v>
      </c>
      <c r="E2070" s="264" t="s">
        <v>207</v>
      </c>
    </row>
    <row r="2071" spans="1:5" ht="30">
      <c r="A2071" s="261">
        <v>20965</v>
      </c>
      <c r="B2071" s="261" t="s">
        <v>6339</v>
      </c>
      <c r="C2071" s="261" t="s">
        <v>3240</v>
      </c>
      <c r="D2071" s="265" t="s">
        <v>19727</v>
      </c>
      <c r="E2071" s="264" t="s">
        <v>207</v>
      </c>
    </row>
    <row r="2072" spans="1:5" ht="30">
      <c r="A2072" s="261">
        <v>20966</v>
      </c>
      <c r="B2072" s="261" t="s">
        <v>6340</v>
      </c>
      <c r="C2072" s="261" t="s">
        <v>3240</v>
      </c>
      <c r="D2072" s="265" t="s">
        <v>19728</v>
      </c>
      <c r="E2072" s="264" t="s">
        <v>207</v>
      </c>
    </row>
    <row r="2073" spans="1:5" ht="30">
      <c r="A2073" s="261">
        <v>10903</v>
      </c>
      <c r="B2073" s="261" t="s">
        <v>6341</v>
      </c>
      <c r="C2073" s="261" t="s">
        <v>3240</v>
      </c>
      <c r="D2073" s="265" t="s">
        <v>19729</v>
      </c>
      <c r="E2073" s="264" t="s">
        <v>207</v>
      </c>
    </row>
    <row r="2074" spans="1:5" ht="30">
      <c r="A2074" s="261">
        <v>20967</v>
      </c>
      <c r="B2074" s="261" t="s">
        <v>6342</v>
      </c>
      <c r="C2074" s="261" t="s">
        <v>3240</v>
      </c>
      <c r="D2074" s="265" t="s">
        <v>19729</v>
      </c>
      <c r="E2074" s="264" t="s">
        <v>207</v>
      </c>
    </row>
    <row r="2075" spans="1:5" ht="30">
      <c r="A2075" s="261">
        <v>20968</v>
      </c>
      <c r="B2075" s="261" t="s">
        <v>6343</v>
      </c>
      <c r="C2075" s="261" t="s">
        <v>3240</v>
      </c>
      <c r="D2075" s="265" t="s">
        <v>19730</v>
      </c>
      <c r="E2075" s="264" t="s">
        <v>207</v>
      </c>
    </row>
    <row r="2076" spans="1:5" ht="30">
      <c r="A2076" s="261">
        <v>11359</v>
      </c>
      <c r="B2076" s="261" t="s">
        <v>6344</v>
      </c>
      <c r="C2076" s="261" t="s">
        <v>3240</v>
      </c>
      <c r="D2076" s="265" t="s">
        <v>19731</v>
      </c>
      <c r="E2076" s="264" t="s">
        <v>207</v>
      </c>
    </row>
    <row r="2077" spans="1:5" ht="30">
      <c r="A2077" s="261">
        <v>39017</v>
      </c>
      <c r="B2077" s="261" t="s">
        <v>6345</v>
      </c>
      <c r="C2077" s="261" t="s">
        <v>3240</v>
      </c>
      <c r="D2077" s="265" t="s">
        <v>10050</v>
      </c>
      <c r="E2077" s="262" t="s">
        <v>207</v>
      </c>
    </row>
    <row r="2078" spans="1:5" ht="30">
      <c r="A2078" s="261">
        <v>39315</v>
      </c>
      <c r="B2078" s="261" t="s">
        <v>6346</v>
      </c>
      <c r="C2078" s="261" t="s">
        <v>3240</v>
      </c>
      <c r="D2078" s="265" t="s">
        <v>9984</v>
      </c>
      <c r="E2078" s="262" t="s">
        <v>207</v>
      </c>
    </row>
    <row r="2079" spans="1:5" ht="30">
      <c r="A2079" s="261">
        <v>39016</v>
      </c>
      <c r="B2079" s="261" t="s">
        <v>6347</v>
      </c>
      <c r="C2079" s="261" t="s">
        <v>3240</v>
      </c>
      <c r="D2079" s="265" t="s">
        <v>9984</v>
      </c>
      <c r="E2079" s="262" t="s">
        <v>207</v>
      </c>
    </row>
    <row r="2080" spans="1:5" ht="30">
      <c r="A2080" s="261">
        <v>40432</v>
      </c>
      <c r="B2080" s="261" t="s">
        <v>6348</v>
      </c>
      <c r="C2080" s="261" t="s">
        <v>3240</v>
      </c>
      <c r="D2080" s="265" t="s">
        <v>9776</v>
      </c>
      <c r="E2080" s="262" t="s">
        <v>207</v>
      </c>
    </row>
    <row r="2081" spans="1:5" ht="30">
      <c r="A2081" s="261">
        <v>39481</v>
      </c>
      <c r="B2081" s="261" t="s">
        <v>6349</v>
      </c>
      <c r="C2081" s="261" t="s">
        <v>3240</v>
      </c>
      <c r="D2081" s="265" t="s">
        <v>11097</v>
      </c>
      <c r="E2081" s="262" t="s">
        <v>207</v>
      </c>
    </row>
    <row r="2082" spans="1:5" ht="30">
      <c r="A2082" s="261">
        <v>40433</v>
      </c>
      <c r="B2082" s="261" t="s">
        <v>6350</v>
      </c>
      <c r="C2082" s="261" t="s">
        <v>3240</v>
      </c>
      <c r="D2082" s="265" t="s">
        <v>9770</v>
      </c>
      <c r="E2082" s="262" t="s">
        <v>207</v>
      </c>
    </row>
    <row r="2083" spans="1:5" ht="30">
      <c r="A2083" s="261">
        <v>20219</v>
      </c>
      <c r="B2083" s="261" t="s">
        <v>6351</v>
      </c>
      <c r="C2083" s="261" t="s">
        <v>3240</v>
      </c>
      <c r="D2083" s="265" t="s">
        <v>19732</v>
      </c>
      <c r="E2083" s="262" t="s">
        <v>8987</v>
      </c>
    </row>
    <row r="2084" spans="1:5" ht="45">
      <c r="A2084" s="261">
        <v>36484</v>
      </c>
      <c r="B2084" s="261" t="s">
        <v>6352</v>
      </c>
      <c r="C2084" s="261" t="s">
        <v>3240</v>
      </c>
      <c r="D2084" s="265" t="s">
        <v>19733</v>
      </c>
      <c r="E2084" s="262" t="s">
        <v>8987</v>
      </c>
    </row>
    <row r="2085" spans="1:5" ht="15">
      <c r="A2085" s="261">
        <v>38367</v>
      </c>
      <c r="B2085" s="261" t="s">
        <v>6353</v>
      </c>
      <c r="C2085" s="261" t="s">
        <v>3240</v>
      </c>
      <c r="D2085" s="265" t="s">
        <v>19734</v>
      </c>
      <c r="E2085" s="262" t="s">
        <v>207</v>
      </c>
    </row>
    <row r="2086" spans="1:5" ht="15">
      <c r="A2086" s="261">
        <v>38368</v>
      </c>
      <c r="B2086" s="261" t="s">
        <v>6354</v>
      </c>
      <c r="C2086" s="261" t="s">
        <v>3240</v>
      </c>
      <c r="D2086" s="265" t="s">
        <v>10928</v>
      </c>
      <c r="E2086" s="262" t="s">
        <v>207</v>
      </c>
    </row>
    <row r="2087" spans="1:5" ht="15">
      <c r="A2087" s="261">
        <v>38091</v>
      </c>
      <c r="B2087" s="261" t="s">
        <v>6355</v>
      </c>
      <c r="C2087" s="261" t="s">
        <v>3240</v>
      </c>
      <c r="D2087" s="265" t="s">
        <v>11365</v>
      </c>
      <c r="E2087" s="262" t="s">
        <v>207</v>
      </c>
    </row>
    <row r="2088" spans="1:5" ht="15">
      <c r="A2088" s="261">
        <v>38095</v>
      </c>
      <c r="B2088" s="261" t="s">
        <v>6356</v>
      </c>
      <c r="C2088" s="261" t="s">
        <v>3240</v>
      </c>
      <c r="D2088" s="265" t="s">
        <v>10794</v>
      </c>
      <c r="E2088" s="262" t="s">
        <v>207</v>
      </c>
    </row>
    <row r="2089" spans="1:5" ht="30">
      <c r="A2089" s="261">
        <v>38092</v>
      </c>
      <c r="B2089" s="261" t="s">
        <v>6357</v>
      </c>
      <c r="C2089" s="261" t="s">
        <v>3240</v>
      </c>
      <c r="D2089" s="265" t="s">
        <v>9949</v>
      </c>
      <c r="E2089" s="262" t="s">
        <v>207</v>
      </c>
    </row>
    <row r="2090" spans="1:5" ht="30">
      <c r="A2090" s="261">
        <v>38093</v>
      </c>
      <c r="B2090" s="261" t="s">
        <v>6358</v>
      </c>
      <c r="C2090" s="261" t="s">
        <v>3240</v>
      </c>
      <c r="D2090" s="265" t="s">
        <v>10911</v>
      </c>
      <c r="E2090" s="262" t="s">
        <v>207</v>
      </c>
    </row>
    <row r="2091" spans="1:5" ht="30">
      <c r="A2091" s="261">
        <v>38096</v>
      </c>
      <c r="B2091" s="261" t="s">
        <v>6359</v>
      </c>
      <c r="C2091" s="261" t="s">
        <v>3240</v>
      </c>
      <c r="D2091" s="265" t="s">
        <v>11319</v>
      </c>
      <c r="E2091" s="262" t="s">
        <v>207</v>
      </c>
    </row>
    <row r="2092" spans="1:5" ht="30">
      <c r="A2092" s="261">
        <v>38094</v>
      </c>
      <c r="B2092" s="261" t="s">
        <v>6360</v>
      </c>
      <c r="C2092" s="261" t="s">
        <v>3240</v>
      </c>
      <c r="D2092" s="265" t="s">
        <v>9888</v>
      </c>
      <c r="E2092" s="262" t="s">
        <v>207</v>
      </c>
    </row>
    <row r="2093" spans="1:5" ht="30">
      <c r="A2093" s="261">
        <v>38097</v>
      </c>
      <c r="B2093" s="261" t="s">
        <v>6361</v>
      </c>
      <c r="C2093" s="261" t="s">
        <v>3240</v>
      </c>
      <c r="D2093" s="265" t="s">
        <v>11026</v>
      </c>
      <c r="E2093" s="262" t="s">
        <v>207</v>
      </c>
    </row>
    <row r="2094" spans="1:5" ht="30">
      <c r="A2094" s="261">
        <v>38098</v>
      </c>
      <c r="B2094" s="261" t="s">
        <v>6362</v>
      </c>
      <c r="C2094" s="261" t="s">
        <v>3240</v>
      </c>
      <c r="D2094" s="265" t="s">
        <v>11026</v>
      </c>
      <c r="E2094" s="262" t="s">
        <v>207</v>
      </c>
    </row>
    <row r="2095" spans="1:5" ht="15">
      <c r="A2095" s="261">
        <v>11186</v>
      </c>
      <c r="B2095" s="261" t="s">
        <v>6363</v>
      </c>
      <c r="C2095" s="261" t="s">
        <v>3242</v>
      </c>
      <c r="D2095" s="265" t="s">
        <v>19735</v>
      </c>
      <c r="E2095" s="262" t="s">
        <v>207</v>
      </c>
    </row>
    <row r="2096" spans="1:5" ht="30">
      <c r="A2096" s="261">
        <v>11558</v>
      </c>
      <c r="B2096" s="261" t="s">
        <v>6364</v>
      </c>
      <c r="C2096" s="261" t="s">
        <v>3247</v>
      </c>
      <c r="D2096" s="265" t="s">
        <v>19736</v>
      </c>
      <c r="E2096" s="262" t="s">
        <v>207</v>
      </c>
    </row>
    <row r="2097" spans="1:5" ht="30">
      <c r="A2097" s="261">
        <v>11557</v>
      </c>
      <c r="B2097" s="261" t="s">
        <v>6365</v>
      </c>
      <c r="C2097" s="261" t="s">
        <v>3247</v>
      </c>
      <c r="D2097" s="265" t="s">
        <v>19737</v>
      </c>
      <c r="E2097" s="262" t="s">
        <v>207</v>
      </c>
    </row>
    <row r="2098" spans="1:5" ht="15">
      <c r="A2098" s="261">
        <v>2759</v>
      </c>
      <c r="B2098" s="261" t="s">
        <v>6366</v>
      </c>
      <c r="C2098" s="261" t="s">
        <v>3240</v>
      </c>
      <c r="D2098" s="265" t="s">
        <v>11173</v>
      </c>
      <c r="E2098" s="262" t="s">
        <v>207</v>
      </c>
    </row>
    <row r="2099" spans="1:5" ht="15">
      <c r="A2099" s="261">
        <v>38124</v>
      </c>
      <c r="B2099" s="261" t="s">
        <v>6367</v>
      </c>
      <c r="C2099" s="261" t="s">
        <v>3240</v>
      </c>
      <c r="D2099" s="265" t="s">
        <v>12337</v>
      </c>
      <c r="E2099" s="262" t="s">
        <v>207</v>
      </c>
    </row>
    <row r="2100" spans="1:5" ht="15">
      <c r="A2100" s="261">
        <v>38380</v>
      </c>
      <c r="B2100" s="261" t="s">
        <v>6368</v>
      </c>
      <c r="C2100" s="261" t="s">
        <v>3240</v>
      </c>
      <c r="D2100" s="265" t="s">
        <v>19612</v>
      </c>
      <c r="E2100" s="262" t="s">
        <v>207</v>
      </c>
    </row>
    <row r="2101" spans="1:5" ht="30">
      <c r="A2101" s="261">
        <v>20059</v>
      </c>
      <c r="B2101" s="261" t="s">
        <v>6369</v>
      </c>
      <c r="C2101" s="261" t="s">
        <v>3240</v>
      </c>
      <c r="D2101" s="265" t="s">
        <v>12454</v>
      </c>
      <c r="E2101" s="262" t="s">
        <v>207</v>
      </c>
    </row>
    <row r="2102" spans="1:5" ht="45">
      <c r="A2102" s="261">
        <v>42429</v>
      </c>
      <c r="B2102" s="261" t="s">
        <v>6370</v>
      </c>
      <c r="C2102" s="261" t="s">
        <v>3240</v>
      </c>
      <c r="D2102" s="265" t="s">
        <v>19738</v>
      </c>
      <c r="E2102" s="262" t="s">
        <v>207</v>
      </c>
    </row>
    <row r="2103" spans="1:5" ht="15">
      <c r="A2103" s="261">
        <v>39616</v>
      </c>
      <c r="B2103" s="261" t="s">
        <v>11367</v>
      </c>
      <c r="C2103" s="261" t="s">
        <v>3240</v>
      </c>
      <c r="D2103" s="265" t="s">
        <v>19739</v>
      </c>
      <c r="E2103" s="262" t="s">
        <v>207</v>
      </c>
    </row>
    <row r="2104" spans="1:5" ht="15">
      <c r="A2104" s="261">
        <v>39618</v>
      </c>
      <c r="B2104" s="261" t="s">
        <v>11368</v>
      </c>
      <c r="C2104" s="261" t="s">
        <v>3240</v>
      </c>
      <c r="D2104" s="265" t="s">
        <v>19740</v>
      </c>
      <c r="E2104" s="262" t="s">
        <v>207</v>
      </c>
    </row>
    <row r="2105" spans="1:5" ht="15">
      <c r="A2105" s="261">
        <v>39619</v>
      </c>
      <c r="B2105" s="261" t="s">
        <v>11369</v>
      </c>
      <c r="C2105" s="261" t="s">
        <v>3240</v>
      </c>
      <c r="D2105" s="265" t="s">
        <v>19741</v>
      </c>
      <c r="E2105" s="262" t="s">
        <v>207</v>
      </c>
    </row>
    <row r="2106" spans="1:5" ht="15">
      <c r="A2106" s="261">
        <v>39613</v>
      </c>
      <c r="B2106" s="261" t="s">
        <v>11370</v>
      </c>
      <c r="C2106" s="261" t="s">
        <v>3240</v>
      </c>
      <c r="D2106" s="265" t="s">
        <v>19742</v>
      </c>
      <c r="E2106" s="262" t="s">
        <v>207</v>
      </c>
    </row>
    <row r="2107" spans="1:5" ht="15">
      <c r="A2107" s="261">
        <v>39614</v>
      </c>
      <c r="B2107" s="261" t="s">
        <v>11371</v>
      </c>
      <c r="C2107" s="261" t="s">
        <v>3240</v>
      </c>
      <c r="D2107" s="265" t="s">
        <v>16543</v>
      </c>
      <c r="E2107" s="262" t="s">
        <v>207</v>
      </c>
    </row>
    <row r="2108" spans="1:5" ht="45">
      <c r="A2108" s="261">
        <v>38538</v>
      </c>
      <c r="B2108" s="261" t="s">
        <v>6371</v>
      </c>
      <c r="C2108" s="261" t="s">
        <v>3243</v>
      </c>
      <c r="D2108" s="265" t="s">
        <v>19743</v>
      </c>
      <c r="E2108" s="262" t="s">
        <v>207</v>
      </c>
    </row>
    <row r="2109" spans="1:5" ht="45">
      <c r="A2109" s="261">
        <v>38539</v>
      </c>
      <c r="B2109" s="261" t="s">
        <v>6372</v>
      </c>
      <c r="C2109" s="261" t="s">
        <v>3243</v>
      </c>
      <c r="D2109" s="265" t="s">
        <v>19744</v>
      </c>
      <c r="E2109" s="262" t="s">
        <v>207</v>
      </c>
    </row>
    <row r="2110" spans="1:5" ht="45">
      <c r="A2110" s="261">
        <v>38540</v>
      </c>
      <c r="B2110" s="261" t="s">
        <v>6373</v>
      </c>
      <c r="C2110" s="261" t="s">
        <v>3243</v>
      </c>
      <c r="D2110" s="265" t="s">
        <v>19745</v>
      </c>
      <c r="E2110" s="262" t="s">
        <v>207</v>
      </c>
    </row>
    <row r="2111" spans="1:5" ht="15">
      <c r="A2111" s="261">
        <v>38384</v>
      </c>
      <c r="B2111" s="261" t="s">
        <v>6374</v>
      </c>
      <c r="C2111" s="261" t="s">
        <v>3240</v>
      </c>
      <c r="D2111" s="265" t="s">
        <v>19690</v>
      </c>
      <c r="E2111" s="262" t="s">
        <v>207</v>
      </c>
    </row>
    <row r="2112" spans="1:5" ht="15">
      <c r="A2112" s="261">
        <v>13</v>
      </c>
      <c r="B2112" s="261" t="s">
        <v>6375</v>
      </c>
      <c r="C2112" s="261" t="s">
        <v>3244</v>
      </c>
      <c r="D2112" s="265" t="s">
        <v>11316</v>
      </c>
      <c r="E2112" s="262" t="s">
        <v>207</v>
      </c>
    </row>
    <row r="2113" spans="1:5" ht="15">
      <c r="A2113" s="261">
        <v>2762</v>
      </c>
      <c r="B2113" s="261" t="s">
        <v>6376</v>
      </c>
      <c r="C2113" s="261" t="s">
        <v>3243</v>
      </c>
      <c r="D2113" s="265" t="s">
        <v>10154</v>
      </c>
      <c r="E2113" s="262" t="s">
        <v>207</v>
      </c>
    </row>
    <row r="2114" spans="1:5" ht="30">
      <c r="A2114" s="261">
        <v>21142</v>
      </c>
      <c r="B2114" s="261" t="s">
        <v>6377</v>
      </c>
      <c r="C2114" s="261" t="s">
        <v>3240</v>
      </c>
      <c r="D2114" s="265" t="s">
        <v>14076</v>
      </c>
      <c r="E2114" s="262" t="s">
        <v>207</v>
      </c>
    </row>
    <row r="2115" spans="1:5" ht="15">
      <c r="A2115" s="261">
        <v>4223</v>
      </c>
      <c r="B2115" s="261" t="s">
        <v>6378</v>
      </c>
      <c r="C2115" s="261" t="s">
        <v>3245</v>
      </c>
      <c r="D2115" s="265" t="s">
        <v>11273</v>
      </c>
      <c r="E2115" s="262" t="s">
        <v>207</v>
      </c>
    </row>
    <row r="2116" spans="1:5" ht="15">
      <c r="A2116" s="261">
        <v>37372</v>
      </c>
      <c r="B2116" s="261" t="s">
        <v>6379</v>
      </c>
      <c r="C2116" s="261" t="s">
        <v>3239</v>
      </c>
      <c r="D2116" s="265" t="s">
        <v>10028</v>
      </c>
      <c r="E2116" s="262" t="s">
        <v>16524</v>
      </c>
    </row>
    <row r="2117" spans="1:5" ht="15">
      <c r="A2117" s="261">
        <v>40863</v>
      </c>
      <c r="B2117" s="261" t="s">
        <v>6380</v>
      </c>
      <c r="C2117" s="261" t="s">
        <v>3246</v>
      </c>
      <c r="D2117" s="265" t="s">
        <v>12304</v>
      </c>
      <c r="E2117" s="262" t="s">
        <v>16524</v>
      </c>
    </row>
    <row r="2118" spans="1:5" ht="15">
      <c r="A2118" s="261">
        <v>38475</v>
      </c>
      <c r="B2118" s="261" t="s">
        <v>6381</v>
      </c>
      <c r="C2118" s="261" t="s">
        <v>3240</v>
      </c>
      <c r="D2118" s="265" t="s">
        <v>15859</v>
      </c>
      <c r="E2118" s="262" t="s">
        <v>207</v>
      </c>
    </row>
    <row r="2119" spans="1:5" ht="15">
      <c r="A2119" s="261">
        <v>38474</v>
      </c>
      <c r="B2119" s="261" t="s">
        <v>6382</v>
      </c>
      <c r="C2119" s="261" t="s">
        <v>3240</v>
      </c>
      <c r="D2119" s="265" t="s">
        <v>19746</v>
      </c>
      <c r="E2119" s="262" t="s">
        <v>207</v>
      </c>
    </row>
    <row r="2120" spans="1:5" ht="30">
      <c r="A2120" s="261">
        <v>10886</v>
      </c>
      <c r="B2120" s="261" t="s">
        <v>6383</v>
      </c>
      <c r="C2120" s="261" t="s">
        <v>3240</v>
      </c>
      <c r="D2120" s="265" t="s">
        <v>19747</v>
      </c>
      <c r="E2120" s="262" t="s">
        <v>207</v>
      </c>
    </row>
    <row r="2121" spans="1:5" ht="30">
      <c r="A2121" s="261">
        <v>10888</v>
      </c>
      <c r="B2121" s="261" t="s">
        <v>6384</v>
      </c>
      <c r="C2121" s="261" t="s">
        <v>3240</v>
      </c>
      <c r="D2121" s="265" t="s">
        <v>19748</v>
      </c>
      <c r="E2121" s="262" t="s">
        <v>207</v>
      </c>
    </row>
    <row r="2122" spans="1:5" ht="30">
      <c r="A2122" s="261">
        <v>10889</v>
      </c>
      <c r="B2122" s="261" t="s">
        <v>6385</v>
      </c>
      <c r="C2122" s="261" t="s">
        <v>3240</v>
      </c>
      <c r="D2122" s="265" t="s">
        <v>19749</v>
      </c>
      <c r="E2122" s="262" t="s">
        <v>207</v>
      </c>
    </row>
    <row r="2123" spans="1:5" ht="30">
      <c r="A2123" s="261">
        <v>10890</v>
      </c>
      <c r="B2123" s="261" t="s">
        <v>6386</v>
      </c>
      <c r="C2123" s="261" t="s">
        <v>3240</v>
      </c>
      <c r="D2123" s="265" t="s">
        <v>19750</v>
      </c>
      <c r="E2123" s="262" t="s">
        <v>207</v>
      </c>
    </row>
    <row r="2124" spans="1:5" ht="30">
      <c r="A2124" s="261">
        <v>10891</v>
      </c>
      <c r="B2124" s="261" t="s">
        <v>6387</v>
      </c>
      <c r="C2124" s="261" t="s">
        <v>3240</v>
      </c>
      <c r="D2124" s="265" t="s">
        <v>19751</v>
      </c>
      <c r="E2124" s="262" t="s">
        <v>207</v>
      </c>
    </row>
    <row r="2125" spans="1:5" ht="30">
      <c r="A2125" s="261">
        <v>10892</v>
      </c>
      <c r="B2125" s="261" t="s">
        <v>6388</v>
      </c>
      <c r="C2125" s="261" t="s">
        <v>3240</v>
      </c>
      <c r="D2125" s="265" t="s">
        <v>19752</v>
      </c>
      <c r="E2125" s="262" t="s">
        <v>207</v>
      </c>
    </row>
    <row r="2126" spans="1:5" ht="30">
      <c r="A2126" s="261">
        <v>20977</v>
      </c>
      <c r="B2126" s="261" t="s">
        <v>6389</v>
      </c>
      <c r="C2126" s="261" t="s">
        <v>3240</v>
      </c>
      <c r="D2126" s="265" t="s">
        <v>19753</v>
      </c>
      <c r="E2126" s="262" t="s">
        <v>207</v>
      </c>
    </row>
    <row r="2127" spans="1:5" ht="15">
      <c r="A2127" s="261">
        <v>3073</v>
      </c>
      <c r="B2127" s="261" t="s">
        <v>6390</v>
      </c>
      <c r="C2127" s="261" t="s">
        <v>3240</v>
      </c>
      <c r="D2127" s="265" t="s">
        <v>19754</v>
      </c>
      <c r="E2127" s="262" t="s">
        <v>207</v>
      </c>
    </row>
    <row r="2128" spans="1:5" ht="15">
      <c r="A2128" s="261">
        <v>3068</v>
      </c>
      <c r="B2128" s="261" t="s">
        <v>6391</v>
      </c>
      <c r="C2128" s="261" t="s">
        <v>3240</v>
      </c>
      <c r="D2128" s="265" t="s">
        <v>19755</v>
      </c>
      <c r="E2128" s="262" t="s">
        <v>207</v>
      </c>
    </row>
    <row r="2129" spans="1:5" ht="15">
      <c r="A2129" s="261">
        <v>3074</v>
      </c>
      <c r="B2129" s="261" t="s">
        <v>6392</v>
      </c>
      <c r="C2129" s="261" t="s">
        <v>3240</v>
      </c>
      <c r="D2129" s="265" t="s">
        <v>12299</v>
      </c>
      <c r="E2129" s="262" t="s">
        <v>207</v>
      </c>
    </row>
    <row r="2130" spans="1:5" ht="15">
      <c r="A2130" s="261">
        <v>3076</v>
      </c>
      <c r="B2130" s="261" t="s">
        <v>6393</v>
      </c>
      <c r="C2130" s="261" t="s">
        <v>3240</v>
      </c>
      <c r="D2130" s="265" t="s">
        <v>19756</v>
      </c>
      <c r="E2130" s="262" t="s">
        <v>207</v>
      </c>
    </row>
    <row r="2131" spans="1:5" ht="15">
      <c r="A2131" s="261">
        <v>3072</v>
      </c>
      <c r="B2131" s="261" t="s">
        <v>6394</v>
      </c>
      <c r="C2131" s="261" t="s">
        <v>3240</v>
      </c>
      <c r="D2131" s="265" t="s">
        <v>11264</v>
      </c>
      <c r="E2131" s="262" t="s">
        <v>207</v>
      </c>
    </row>
    <row r="2132" spans="1:5" ht="15">
      <c r="A2132" s="261">
        <v>3075</v>
      </c>
      <c r="B2132" s="261" t="s">
        <v>6395</v>
      </c>
      <c r="C2132" s="261" t="s">
        <v>3240</v>
      </c>
      <c r="D2132" s="265" t="s">
        <v>10593</v>
      </c>
      <c r="E2132" s="262" t="s">
        <v>207</v>
      </c>
    </row>
    <row r="2133" spans="1:5" ht="30">
      <c r="A2133" s="261">
        <v>10780</v>
      </c>
      <c r="B2133" s="261" t="s">
        <v>6396</v>
      </c>
      <c r="C2133" s="261" t="s">
        <v>3240</v>
      </c>
      <c r="D2133" s="266" t="s">
        <v>11305</v>
      </c>
      <c r="E2133" s="262" t="s">
        <v>207</v>
      </c>
    </row>
    <row r="2134" spans="1:5" ht="30">
      <c r="A2134" s="261">
        <v>10781</v>
      </c>
      <c r="B2134" s="261" t="s">
        <v>6397</v>
      </c>
      <c r="C2134" s="261" t="s">
        <v>3240</v>
      </c>
      <c r="D2134" s="266" t="s">
        <v>15856</v>
      </c>
      <c r="E2134" s="262" t="s">
        <v>207</v>
      </c>
    </row>
    <row r="2135" spans="1:5" ht="30">
      <c r="A2135" s="261">
        <v>20106</v>
      </c>
      <c r="B2135" s="261" t="s">
        <v>6398</v>
      </c>
      <c r="C2135" s="261" t="s">
        <v>3240</v>
      </c>
      <c r="D2135" s="265" t="s">
        <v>10484</v>
      </c>
      <c r="E2135" s="262" t="s">
        <v>207</v>
      </c>
    </row>
    <row r="2136" spans="1:5" ht="30">
      <c r="A2136" s="261">
        <v>20107</v>
      </c>
      <c r="B2136" s="261" t="s">
        <v>6399</v>
      </c>
      <c r="C2136" s="261" t="s">
        <v>3240</v>
      </c>
      <c r="D2136" s="265" t="s">
        <v>19757</v>
      </c>
      <c r="E2136" s="262" t="s">
        <v>207</v>
      </c>
    </row>
    <row r="2137" spans="1:5" ht="30">
      <c r="A2137" s="261">
        <v>20108</v>
      </c>
      <c r="B2137" s="261" t="s">
        <v>6400</v>
      </c>
      <c r="C2137" s="261" t="s">
        <v>3240</v>
      </c>
      <c r="D2137" s="265" t="s">
        <v>19758</v>
      </c>
      <c r="E2137" s="262" t="s">
        <v>207</v>
      </c>
    </row>
    <row r="2138" spans="1:5" ht="30">
      <c r="A2138" s="261">
        <v>20109</v>
      </c>
      <c r="B2138" s="261" t="s">
        <v>6401</v>
      </c>
      <c r="C2138" s="261" t="s">
        <v>3240</v>
      </c>
      <c r="D2138" s="265" t="s">
        <v>11305</v>
      </c>
      <c r="E2138" s="262" t="s">
        <v>207</v>
      </c>
    </row>
    <row r="2139" spans="1:5" ht="45">
      <c r="A2139" s="261">
        <v>43612</v>
      </c>
      <c r="B2139" s="261" t="s">
        <v>11770</v>
      </c>
      <c r="C2139" s="261" t="s">
        <v>3252</v>
      </c>
      <c r="D2139" s="265" t="s">
        <v>19759</v>
      </c>
      <c r="E2139" s="262" t="s">
        <v>207</v>
      </c>
    </row>
    <row r="2140" spans="1:5" ht="45">
      <c r="A2140" s="261">
        <v>43613</v>
      </c>
      <c r="B2140" s="261" t="s">
        <v>11771</v>
      </c>
      <c r="C2140" s="261" t="s">
        <v>3252</v>
      </c>
      <c r="D2140" s="265" t="s">
        <v>16300</v>
      </c>
      <c r="E2140" s="262" t="s">
        <v>207</v>
      </c>
    </row>
    <row r="2141" spans="1:5" ht="30">
      <c r="A2141" s="261">
        <v>11480</v>
      </c>
      <c r="B2141" s="261" t="s">
        <v>11772</v>
      </c>
      <c r="C2141" s="261" t="s">
        <v>3252</v>
      </c>
      <c r="D2141" s="265" t="s">
        <v>19760</v>
      </c>
      <c r="E2141" s="262" t="s">
        <v>207</v>
      </c>
    </row>
    <row r="2142" spans="1:5" ht="45">
      <c r="A2142" s="261">
        <v>11469</v>
      </c>
      <c r="B2142" s="261" t="s">
        <v>11773</v>
      </c>
      <c r="C2142" s="261" t="s">
        <v>3240</v>
      </c>
      <c r="D2142" s="265" t="s">
        <v>10644</v>
      </c>
      <c r="E2142" s="262" t="s">
        <v>207</v>
      </c>
    </row>
    <row r="2143" spans="1:5" ht="30">
      <c r="A2143" s="261">
        <v>11468</v>
      </c>
      <c r="B2143" s="261" t="s">
        <v>11774</v>
      </c>
      <c r="C2143" s="261" t="s">
        <v>3240</v>
      </c>
      <c r="D2143" s="265" t="s">
        <v>10345</v>
      </c>
      <c r="E2143" s="262" t="s">
        <v>207</v>
      </c>
    </row>
    <row r="2144" spans="1:5" ht="30">
      <c r="A2144" s="261">
        <v>11484</v>
      </c>
      <c r="B2144" s="261" t="s">
        <v>11775</v>
      </c>
      <c r="C2144" s="261" t="s">
        <v>3240</v>
      </c>
      <c r="D2144" s="265" t="s">
        <v>14106</v>
      </c>
      <c r="E2144" s="262" t="s">
        <v>207</v>
      </c>
    </row>
    <row r="2145" spans="1:5" ht="30">
      <c r="A2145" s="261">
        <v>38155</v>
      </c>
      <c r="B2145" s="261" t="s">
        <v>11776</v>
      </c>
      <c r="C2145" s="261" t="s">
        <v>3240</v>
      </c>
      <c r="D2145" s="265" t="s">
        <v>19761</v>
      </c>
      <c r="E2145" s="262" t="s">
        <v>207</v>
      </c>
    </row>
    <row r="2146" spans="1:5" ht="30">
      <c r="A2146" s="261">
        <v>11467</v>
      </c>
      <c r="B2146" s="261" t="s">
        <v>11777</v>
      </c>
      <c r="C2146" s="261" t="s">
        <v>3240</v>
      </c>
      <c r="D2146" s="265" t="s">
        <v>14249</v>
      </c>
      <c r="E2146" s="262" t="s">
        <v>207</v>
      </c>
    </row>
    <row r="2147" spans="1:5" ht="45">
      <c r="A2147" s="261">
        <v>38153</v>
      </c>
      <c r="B2147" s="261" t="s">
        <v>11778</v>
      </c>
      <c r="C2147" s="261" t="s">
        <v>3252</v>
      </c>
      <c r="D2147" s="265" t="s">
        <v>19762</v>
      </c>
      <c r="E2147" s="262" t="s">
        <v>207</v>
      </c>
    </row>
    <row r="2148" spans="1:5" ht="45">
      <c r="A2148" s="261">
        <v>43607</v>
      </c>
      <c r="B2148" s="261" t="s">
        <v>11779</v>
      </c>
      <c r="C2148" s="261" t="s">
        <v>3240</v>
      </c>
      <c r="D2148" s="265" t="s">
        <v>19763</v>
      </c>
      <c r="E2148" s="262" t="s">
        <v>207</v>
      </c>
    </row>
    <row r="2149" spans="1:5" ht="45">
      <c r="A2149" s="261">
        <v>3080</v>
      </c>
      <c r="B2149" s="261" t="s">
        <v>11780</v>
      </c>
      <c r="C2149" s="261" t="s">
        <v>3252</v>
      </c>
      <c r="D2149" s="265" t="s">
        <v>19764</v>
      </c>
      <c r="E2149" s="262" t="s">
        <v>207</v>
      </c>
    </row>
    <row r="2150" spans="1:5" ht="45">
      <c r="A2150" s="261">
        <v>3081</v>
      </c>
      <c r="B2150" s="261" t="s">
        <v>11781</v>
      </c>
      <c r="C2150" s="261" t="s">
        <v>3252</v>
      </c>
      <c r="D2150" s="265" t="s">
        <v>19765</v>
      </c>
      <c r="E2150" s="262" t="s">
        <v>207</v>
      </c>
    </row>
    <row r="2151" spans="1:5" ht="45">
      <c r="A2151" s="261">
        <v>3090</v>
      </c>
      <c r="B2151" s="261" t="s">
        <v>11782</v>
      </c>
      <c r="C2151" s="261" t="s">
        <v>3252</v>
      </c>
      <c r="D2151" s="265" t="s">
        <v>19766</v>
      </c>
      <c r="E2151" s="262" t="s">
        <v>207</v>
      </c>
    </row>
    <row r="2152" spans="1:5" ht="45">
      <c r="A2152" s="261">
        <v>43611</v>
      </c>
      <c r="B2152" s="261" t="s">
        <v>11783</v>
      </c>
      <c r="C2152" s="261" t="s">
        <v>3252</v>
      </c>
      <c r="D2152" s="265" t="s">
        <v>19767</v>
      </c>
      <c r="E2152" s="262" t="s">
        <v>207</v>
      </c>
    </row>
    <row r="2153" spans="1:5" ht="45">
      <c r="A2153" s="261">
        <v>3103</v>
      </c>
      <c r="B2153" s="261" t="s">
        <v>11784</v>
      </c>
      <c r="C2153" s="261" t="s">
        <v>3240</v>
      </c>
      <c r="D2153" s="265" t="s">
        <v>19768</v>
      </c>
      <c r="E2153" s="262" t="s">
        <v>207</v>
      </c>
    </row>
    <row r="2154" spans="1:5" ht="60">
      <c r="A2154" s="261">
        <v>3097</v>
      </c>
      <c r="B2154" s="261" t="s">
        <v>11785</v>
      </c>
      <c r="C2154" s="261" t="s">
        <v>3252</v>
      </c>
      <c r="D2154" s="265" t="s">
        <v>19432</v>
      </c>
      <c r="E2154" s="262" t="s">
        <v>207</v>
      </c>
    </row>
    <row r="2155" spans="1:5" ht="60">
      <c r="A2155" s="261">
        <v>3099</v>
      </c>
      <c r="B2155" s="261" t="s">
        <v>11786</v>
      </c>
      <c r="C2155" s="261" t="s">
        <v>3252</v>
      </c>
      <c r="D2155" s="265" t="s">
        <v>19769</v>
      </c>
      <c r="E2155" s="262" t="s">
        <v>207</v>
      </c>
    </row>
    <row r="2156" spans="1:5" ht="45">
      <c r="A2156" s="261">
        <v>38151</v>
      </c>
      <c r="B2156" s="261" t="s">
        <v>11787</v>
      </c>
      <c r="C2156" s="261" t="s">
        <v>3252</v>
      </c>
      <c r="D2156" s="265" t="s">
        <v>11382</v>
      </c>
      <c r="E2156" s="262" t="s">
        <v>207</v>
      </c>
    </row>
    <row r="2157" spans="1:5" ht="45">
      <c r="A2157" s="261">
        <v>38152</v>
      </c>
      <c r="B2157" s="261" t="s">
        <v>11788</v>
      </c>
      <c r="C2157" s="261" t="s">
        <v>3252</v>
      </c>
      <c r="D2157" s="265" t="s">
        <v>19770</v>
      </c>
      <c r="E2157" s="262" t="s">
        <v>207</v>
      </c>
    </row>
    <row r="2158" spans="1:5" ht="45">
      <c r="A2158" s="261">
        <v>43610</v>
      </c>
      <c r="B2158" s="261" t="s">
        <v>11789</v>
      </c>
      <c r="C2158" s="261" t="s">
        <v>3240</v>
      </c>
      <c r="D2158" s="265" t="s">
        <v>19771</v>
      </c>
      <c r="E2158" s="262" t="s">
        <v>207</v>
      </c>
    </row>
    <row r="2159" spans="1:5" ht="45">
      <c r="A2159" s="261">
        <v>3093</v>
      </c>
      <c r="B2159" s="261" t="s">
        <v>11790</v>
      </c>
      <c r="C2159" s="261" t="s">
        <v>3252</v>
      </c>
      <c r="D2159" s="265" t="s">
        <v>19769</v>
      </c>
      <c r="E2159" s="262" t="s">
        <v>207</v>
      </c>
    </row>
    <row r="2160" spans="1:5" ht="30">
      <c r="A2160" s="261">
        <v>38165</v>
      </c>
      <c r="B2160" s="261" t="s">
        <v>6402</v>
      </c>
      <c r="C2160" s="261" t="s">
        <v>3252</v>
      </c>
      <c r="D2160" s="265" t="s">
        <v>19772</v>
      </c>
      <c r="E2160" s="262" t="s">
        <v>207</v>
      </c>
    </row>
    <row r="2161" spans="1:5" ht="30">
      <c r="A2161" s="261">
        <v>38177</v>
      </c>
      <c r="B2161" s="261" t="s">
        <v>11791</v>
      </c>
      <c r="C2161" s="261" t="s">
        <v>3240</v>
      </c>
      <c r="D2161" s="265" t="s">
        <v>12246</v>
      </c>
      <c r="E2161" s="262" t="s">
        <v>207</v>
      </c>
    </row>
    <row r="2162" spans="1:5" ht="30">
      <c r="A2162" s="261">
        <v>11458</v>
      </c>
      <c r="B2162" s="261" t="s">
        <v>6403</v>
      </c>
      <c r="C2162" s="261" t="s">
        <v>3240</v>
      </c>
      <c r="D2162" s="265" t="s">
        <v>11532</v>
      </c>
      <c r="E2162" s="262" t="s">
        <v>207</v>
      </c>
    </row>
    <row r="2163" spans="1:5" ht="45">
      <c r="A2163" s="261">
        <v>3108</v>
      </c>
      <c r="B2163" s="261" t="s">
        <v>11792</v>
      </c>
      <c r="C2163" s="261" t="s">
        <v>3240</v>
      </c>
      <c r="D2163" s="265" t="s">
        <v>19773</v>
      </c>
      <c r="E2163" s="262" t="s">
        <v>207</v>
      </c>
    </row>
    <row r="2164" spans="1:5" ht="45">
      <c r="A2164" s="261">
        <v>3105</v>
      </c>
      <c r="B2164" s="261" t="s">
        <v>11793</v>
      </c>
      <c r="C2164" s="261" t="s">
        <v>3240</v>
      </c>
      <c r="D2164" s="265" t="s">
        <v>19774</v>
      </c>
      <c r="E2164" s="262" t="s">
        <v>207</v>
      </c>
    </row>
    <row r="2165" spans="1:5" ht="45">
      <c r="A2165" s="261">
        <v>38178</v>
      </c>
      <c r="B2165" s="261" t="s">
        <v>11794</v>
      </c>
      <c r="C2165" s="261" t="s">
        <v>3240</v>
      </c>
      <c r="D2165" s="265" t="s">
        <v>10912</v>
      </c>
      <c r="E2165" s="262" t="s">
        <v>207</v>
      </c>
    </row>
    <row r="2166" spans="1:5" ht="45">
      <c r="A2166" s="261">
        <v>43575</v>
      </c>
      <c r="B2166" s="261" t="s">
        <v>11795</v>
      </c>
      <c r="C2166" s="261" t="s">
        <v>3240</v>
      </c>
      <c r="D2166" s="265" t="s">
        <v>14105</v>
      </c>
      <c r="E2166" s="262" t="s">
        <v>207</v>
      </c>
    </row>
    <row r="2167" spans="1:5" ht="45">
      <c r="A2167" s="261">
        <v>43577</v>
      </c>
      <c r="B2167" s="261" t="s">
        <v>11796</v>
      </c>
      <c r="C2167" s="261" t="s">
        <v>3240</v>
      </c>
      <c r="D2167" s="265" t="s">
        <v>19775</v>
      </c>
      <c r="E2167" s="262" t="s">
        <v>207</v>
      </c>
    </row>
    <row r="2168" spans="1:5" ht="30">
      <c r="A2168" s="261">
        <v>42481</v>
      </c>
      <c r="B2168" s="261" t="s">
        <v>6404</v>
      </c>
      <c r="C2168" s="261" t="s">
        <v>3242</v>
      </c>
      <c r="D2168" s="265" t="s">
        <v>11263</v>
      </c>
      <c r="E2168" s="262" t="s">
        <v>207</v>
      </c>
    </row>
    <row r="2169" spans="1:5" ht="30">
      <c r="A2169" s="261">
        <v>43458</v>
      </c>
      <c r="B2169" s="261" t="s">
        <v>6405</v>
      </c>
      <c r="C2169" s="261" t="s">
        <v>3239</v>
      </c>
      <c r="D2169" s="265" t="s">
        <v>9873</v>
      </c>
      <c r="E2169" s="262" t="s">
        <v>19776</v>
      </c>
    </row>
    <row r="2170" spans="1:5" ht="30">
      <c r="A2170" s="261">
        <v>43470</v>
      </c>
      <c r="B2170" s="261" t="s">
        <v>6406</v>
      </c>
      <c r="C2170" s="261" t="s">
        <v>3246</v>
      </c>
      <c r="D2170" s="265" t="s">
        <v>10481</v>
      </c>
      <c r="E2170" s="262" t="s">
        <v>19776</v>
      </c>
    </row>
    <row r="2171" spans="1:5" ht="30">
      <c r="A2171" s="261">
        <v>43459</v>
      </c>
      <c r="B2171" s="261" t="s">
        <v>6407</v>
      </c>
      <c r="C2171" s="261" t="s">
        <v>3239</v>
      </c>
      <c r="D2171" s="265" t="s">
        <v>10070</v>
      </c>
      <c r="E2171" s="262" t="s">
        <v>19776</v>
      </c>
    </row>
    <row r="2172" spans="1:5" ht="30">
      <c r="A2172" s="261">
        <v>43471</v>
      </c>
      <c r="B2172" s="261" t="s">
        <v>6408</v>
      </c>
      <c r="C2172" s="261" t="s">
        <v>3246</v>
      </c>
      <c r="D2172" s="265" t="s">
        <v>11030</v>
      </c>
      <c r="E2172" s="262" t="s">
        <v>19776</v>
      </c>
    </row>
    <row r="2173" spans="1:5" ht="30">
      <c r="A2173" s="261">
        <v>43460</v>
      </c>
      <c r="B2173" s="261" t="s">
        <v>6409</v>
      </c>
      <c r="C2173" s="261" t="s">
        <v>3239</v>
      </c>
      <c r="D2173" s="265" t="s">
        <v>9934</v>
      </c>
      <c r="E2173" s="262" t="s">
        <v>19776</v>
      </c>
    </row>
    <row r="2174" spans="1:5" ht="30">
      <c r="A2174" s="261">
        <v>43472</v>
      </c>
      <c r="B2174" s="261" t="s">
        <v>6410</v>
      </c>
      <c r="C2174" s="261" t="s">
        <v>3246</v>
      </c>
      <c r="D2174" s="265" t="s">
        <v>12312</v>
      </c>
      <c r="E2174" s="262" t="s">
        <v>19776</v>
      </c>
    </row>
    <row r="2175" spans="1:5" ht="30">
      <c r="A2175" s="261">
        <v>43461</v>
      </c>
      <c r="B2175" s="261" t="s">
        <v>6411</v>
      </c>
      <c r="C2175" s="261" t="s">
        <v>3239</v>
      </c>
      <c r="D2175" s="265" t="s">
        <v>10039</v>
      </c>
      <c r="E2175" s="262" t="s">
        <v>19776</v>
      </c>
    </row>
    <row r="2176" spans="1:5" ht="30">
      <c r="A2176" s="261">
        <v>43473</v>
      </c>
      <c r="B2176" s="261" t="s">
        <v>6412</v>
      </c>
      <c r="C2176" s="261" t="s">
        <v>3246</v>
      </c>
      <c r="D2176" s="265" t="s">
        <v>12313</v>
      </c>
      <c r="E2176" s="262" t="s">
        <v>19776</v>
      </c>
    </row>
    <row r="2177" spans="1:5" ht="30">
      <c r="A2177" s="261">
        <v>43463</v>
      </c>
      <c r="B2177" s="261" t="s">
        <v>6413</v>
      </c>
      <c r="C2177" s="261" t="s">
        <v>3239</v>
      </c>
      <c r="D2177" s="265" t="s">
        <v>9865</v>
      </c>
      <c r="E2177" s="262" t="s">
        <v>19776</v>
      </c>
    </row>
    <row r="2178" spans="1:5" ht="30">
      <c r="A2178" s="261">
        <v>43475</v>
      </c>
      <c r="B2178" s="261" t="s">
        <v>9537</v>
      </c>
      <c r="C2178" s="261" t="s">
        <v>3246</v>
      </c>
      <c r="D2178" s="265" t="s">
        <v>10433</v>
      </c>
      <c r="E2178" s="262" t="s">
        <v>19776</v>
      </c>
    </row>
    <row r="2179" spans="1:5" ht="30">
      <c r="A2179" s="261">
        <v>43462</v>
      </c>
      <c r="B2179" s="261" t="s">
        <v>6414</v>
      </c>
      <c r="C2179" s="261" t="s">
        <v>3239</v>
      </c>
      <c r="D2179" s="265" t="s">
        <v>9943</v>
      </c>
      <c r="E2179" s="262" t="s">
        <v>19776</v>
      </c>
    </row>
    <row r="2180" spans="1:5" ht="30">
      <c r="A2180" s="261">
        <v>43474</v>
      </c>
      <c r="B2180" s="261" t="s">
        <v>6415</v>
      </c>
      <c r="C2180" s="261" t="s">
        <v>3246</v>
      </c>
      <c r="D2180" s="265" t="s">
        <v>11077</v>
      </c>
      <c r="E2180" s="262" t="s">
        <v>19776</v>
      </c>
    </row>
    <row r="2181" spans="1:5" ht="30">
      <c r="A2181" s="261">
        <v>43464</v>
      </c>
      <c r="B2181" s="261" t="s">
        <v>6416</v>
      </c>
      <c r="C2181" s="261" t="s">
        <v>3239</v>
      </c>
      <c r="D2181" s="265" t="s">
        <v>9943</v>
      </c>
      <c r="E2181" s="262" t="s">
        <v>19776</v>
      </c>
    </row>
    <row r="2182" spans="1:5" ht="30">
      <c r="A2182" s="261">
        <v>43476</v>
      </c>
      <c r="B2182" s="261" t="s">
        <v>6417</v>
      </c>
      <c r="C2182" s="261" t="s">
        <v>3246</v>
      </c>
      <c r="D2182" s="265" t="s">
        <v>9943</v>
      </c>
      <c r="E2182" s="262" t="s">
        <v>19776</v>
      </c>
    </row>
    <row r="2183" spans="1:5" ht="30">
      <c r="A2183" s="261">
        <v>43465</v>
      </c>
      <c r="B2183" s="261" t="s">
        <v>6418</v>
      </c>
      <c r="C2183" s="261" t="s">
        <v>3239</v>
      </c>
      <c r="D2183" s="265" t="s">
        <v>12166</v>
      </c>
      <c r="E2183" s="262" t="s">
        <v>19776</v>
      </c>
    </row>
    <row r="2184" spans="1:5" ht="30">
      <c r="A2184" s="261">
        <v>43477</v>
      </c>
      <c r="B2184" s="261" t="s">
        <v>6419</v>
      </c>
      <c r="C2184" s="261" t="s">
        <v>3246</v>
      </c>
      <c r="D2184" s="265" t="s">
        <v>12314</v>
      </c>
      <c r="E2184" s="262" t="s">
        <v>19776</v>
      </c>
    </row>
    <row r="2185" spans="1:5" ht="30">
      <c r="A2185" s="261">
        <v>43466</v>
      </c>
      <c r="B2185" s="261" t="s">
        <v>6420</v>
      </c>
      <c r="C2185" s="261" t="s">
        <v>3239</v>
      </c>
      <c r="D2185" s="265" t="s">
        <v>11071</v>
      </c>
      <c r="E2185" s="262" t="s">
        <v>19776</v>
      </c>
    </row>
    <row r="2186" spans="1:5" ht="30">
      <c r="A2186" s="261">
        <v>43478</v>
      </c>
      <c r="B2186" s="261" t="s">
        <v>6421</v>
      </c>
      <c r="C2186" s="261" t="s">
        <v>3246</v>
      </c>
      <c r="D2186" s="265" t="s">
        <v>12315</v>
      </c>
      <c r="E2186" s="262" t="s">
        <v>19776</v>
      </c>
    </row>
    <row r="2187" spans="1:5" ht="30">
      <c r="A2187" s="261">
        <v>43467</v>
      </c>
      <c r="B2187" s="261" t="s">
        <v>6422</v>
      </c>
      <c r="C2187" s="261" t="s">
        <v>3239</v>
      </c>
      <c r="D2187" s="265" t="s">
        <v>10067</v>
      </c>
      <c r="E2187" s="262" t="s">
        <v>19776</v>
      </c>
    </row>
    <row r="2188" spans="1:5" ht="30">
      <c r="A2188" s="261">
        <v>43479</v>
      </c>
      <c r="B2188" s="261" t="s">
        <v>6423</v>
      </c>
      <c r="C2188" s="261" t="s">
        <v>3246</v>
      </c>
      <c r="D2188" s="265" t="s">
        <v>12316</v>
      </c>
      <c r="E2188" s="262" t="s">
        <v>19776</v>
      </c>
    </row>
    <row r="2189" spans="1:5" ht="30">
      <c r="A2189" s="261">
        <v>43468</v>
      </c>
      <c r="B2189" s="261" t="s">
        <v>6424</v>
      </c>
      <c r="C2189" s="261" t="s">
        <v>3239</v>
      </c>
      <c r="D2189" s="265" t="s">
        <v>10017</v>
      </c>
      <c r="E2189" s="262" t="s">
        <v>19776</v>
      </c>
    </row>
    <row r="2190" spans="1:5" ht="30">
      <c r="A2190" s="261">
        <v>43480</v>
      </c>
      <c r="B2190" s="261" t="s">
        <v>6425</v>
      </c>
      <c r="C2190" s="261" t="s">
        <v>3246</v>
      </c>
      <c r="D2190" s="265" t="s">
        <v>12317</v>
      </c>
      <c r="E2190" s="262" t="s">
        <v>19776</v>
      </c>
    </row>
    <row r="2191" spans="1:5" ht="30">
      <c r="A2191" s="261">
        <v>43469</v>
      </c>
      <c r="B2191" s="261" t="s">
        <v>6426</v>
      </c>
      <c r="C2191" s="261" t="s">
        <v>3239</v>
      </c>
      <c r="D2191" s="265" t="s">
        <v>9824</v>
      </c>
      <c r="E2191" s="262" t="s">
        <v>19776</v>
      </c>
    </row>
    <row r="2192" spans="1:5" ht="30">
      <c r="A2192" s="261">
        <v>43481</v>
      </c>
      <c r="B2192" s="261" t="s">
        <v>6427</v>
      </c>
      <c r="C2192" s="261" t="s">
        <v>3246</v>
      </c>
      <c r="D2192" s="265" t="s">
        <v>10288</v>
      </c>
      <c r="E2192" s="262" t="s">
        <v>19776</v>
      </c>
    </row>
    <row r="2193" spans="1:5" ht="45">
      <c r="A2193" s="261">
        <v>3119</v>
      </c>
      <c r="B2193" s="261" t="s">
        <v>11797</v>
      </c>
      <c r="C2193" s="261" t="s">
        <v>3240</v>
      </c>
      <c r="D2193" s="265" t="s">
        <v>10791</v>
      </c>
      <c r="E2193" s="262" t="s">
        <v>207</v>
      </c>
    </row>
    <row r="2194" spans="1:5" ht="45">
      <c r="A2194" s="261">
        <v>3122</v>
      </c>
      <c r="B2194" s="261" t="s">
        <v>11798</v>
      </c>
      <c r="C2194" s="261" t="s">
        <v>3240</v>
      </c>
      <c r="D2194" s="265" t="s">
        <v>10282</v>
      </c>
      <c r="E2194" s="262" t="s">
        <v>207</v>
      </c>
    </row>
    <row r="2195" spans="1:5" ht="30">
      <c r="A2195" s="261">
        <v>3121</v>
      </c>
      <c r="B2195" s="261" t="s">
        <v>11799</v>
      </c>
      <c r="C2195" s="261" t="s">
        <v>3240</v>
      </c>
      <c r="D2195" s="265" t="s">
        <v>11082</v>
      </c>
      <c r="E2195" s="262" t="s">
        <v>207</v>
      </c>
    </row>
    <row r="2196" spans="1:5" ht="30">
      <c r="A2196" s="261">
        <v>3120</v>
      </c>
      <c r="B2196" s="261" t="s">
        <v>11800</v>
      </c>
      <c r="C2196" s="261" t="s">
        <v>3240</v>
      </c>
      <c r="D2196" s="265" t="s">
        <v>19777</v>
      </c>
      <c r="E2196" s="262" t="s">
        <v>207</v>
      </c>
    </row>
    <row r="2197" spans="1:5" ht="30">
      <c r="A2197" s="261">
        <v>11455</v>
      </c>
      <c r="B2197" s="261" t="s">
        <v>11801</v>
      </c>
      <c r="C2197" s="261" t="s">
        <v>3240</v>
      </c>
      <c r="D2197" s="265" t="s">
        <v>11341</v>
      </c>
      <c r="E2197" s="262" t="s">
        <v>207</v>
      </c>
    </row>
    <row r="2198" spans="1:5" ht="45">
      <c r="A2198" s="261">
        <v>11456</v>
      </c>
      <c r="B2198" s="261" t="s">
        <v>11802</v>
      </c>
      <c r="C2198" s="261" t="s">
        <v>3240</v>
      </c>
      <c r="D2198" s="265" t="s">
        <v>14075</v>
      </c>
      <c r="E2198" s="262" t="s">
        <v>207</v>
      </c>
    </row>
    <row r="2199" spans="1:5" ht="60">
      <c r="A2199" s="261">
        <v>3107</v>
      </c>
      <c r="B2199" s="261" t="s">
        <v>11803</v>
      </c>
      <c r="C2199" s="261" t="s">
        <v>3240</v>
      </c>
      <c r="D2199" s="265" t="s">
        <v>9761</v>
      </c>
      <c r="E2199" s="262" t="s">
        <v>207</v>
      </c>
    </row>
    <row r="2200" spans="1:5" ht="45">
      <c r="A2200" s="261">
        <v>43583</v>
      </c>
      <c r="B2200" s="261" t="s">
        <v>11804</v>
      </c>
      <c r="C2200" s="261" t="s">
        <v>3240</v>
      </c>
      <c r="D2200" s="266" t="s">
        <v>11411</v>
      </c>
      <c r="E2200" s="262" t="s">
        <v>207</v>
      </c>
    </row>
    <row r="2201" spans="1:5" ht="45">
      <c r="A2201" s="261">
        <v>43586</v>
      </c>
      <c r="B2201" s="261" t="s">
        <v>11805</v>
      </c>
      <c r="C2201" s="261" t="s">
        <v>3240</v>
      </c>
      <c r="D2201" s="266" t="s">
        <v>19778</v>
      </c>
      <c r="E2201" s="262" t="s">
        <v>207</v>
      </c>
    </row>
    <row r="2202" spans="1:5" ht="45">
      <c r="A2202" s="261">
        <v>11461</v>
      </c>
      <c r="B2202" s="261" t="s">
        <v>11806</v>
      </c>
      <c r="C2202" s="261" t="s">
        <v>3240</v>
      </c>
      <c r="D2202" s="266" t="s">
        <v>11234</v>
      </c>
      <c r="E2202" s="262" t="s">
        <v>207</v>
      </c>
    </row>
    <row r="2203" spans="1:5" ht="45">
      <c r="A2203" s="261">
        <v>43587</v>
      </c>
      <c r="B2203" s="261" t="s">
        <v>11807</v>
      </c>
      <c r="C2203" s="261" t="s">
        <v>3240</v>
      </c>
      <c r="D2203" s="266" t="s">
        <v>10568</v>
      </c>
      <c r="E2203" s="262" t="s">
        <v>207</v>
      </c>
    </row>
    <row r="2204" spans="1:5" ht="60">
      <c r="A2204" s="261">
        <v>3106</v>
      </c>
      <c r="B2204" s="261" t="s">
        <v>11808</v>
      </c>
      <c r="C2204" s="261" t="s">
        <v>3240</v>
      </c>
      <c r="D2204" s="266" t="s">
        <v>12419</v>
      </c>
      <c r="E2204" s="262" t="s">
        <v>207</v>
      </c>
    </row>
    <row r="2205" spans="1:5" ht="15">
      <c r="A2205" s="261">
        <v>25951</v>
      </c>
      <c r="B2205" s="261" t="s">
        <v>6428</v>
      </c>
      <c r="C2205" s="261" t="s">
        <v>3244</v>
      </c>
      <c r="D2205" s="266" t="s">
        <v>9989</v>
      </c>
      <c r="E2205" s="262" t="s">
        <v>207</v>
      </c>
    </row>
    <row r="2206" spans="1:5" ht="15">
      <c r="A2206" s="261">
        <v>3123</v>
      </c>
      <c r="B2206" s="261" t="s">
        <v>6429</v>
      </c>
      <c r="C2206" s="261" t="s">
        <v>3244</v>
      </c>
      <c r="D2206" s="265" t="s">
        <v>9985</v>
      </c>
      <c r="E2206" s="262" t="s">
        <v>207</v>
      </c>
    </row>
    <row r="2207" spans="1:5" ht="15">
      <c r="A2207" s="261">
        <v>38125</v>
      </c>
      <c r="B2207" s="261" t="s">
        <v>6430</v>
      </c>
      <c r="C2207" s="261" t="s">
        <v>3244</v>
      </c>
      <c r="D2207" s="265" t="s">
        <v>10801</v>
      </c>
      <c r="E2207" s="262" t="s">
        <v>207</v>
      </c>
    </row>
    <row r="2208" spans="1:5" ht="45">
      <c r="A2208" s="261">
        <v>39014</v>
      </c>
      <c r="B2208" s="261" t="s">
        <v>6431</v>
      </c>
      <c r="C2208" s="261" t="s">
        <v>3244</v>
      </c>
      <c r="D2208" s="266" t="s">
        <v>9913</v>
      </c>
      <c r="E2208" s="262" t="s">
        <v>207</v>
      </c>
    </row>
    <row r="2209" spans="1:5" ht="30">
      <c r="A2209" s="261">
        <v>39365</v>
      </c>
      <c r="B2209" s="261" t="s">
        <v>6432</v>
      </c>
      <c r="C2209" s="261" t="s">
        <v>3240</v>
      </c>
      <c r="D2209" s="265" t="s">
        <v>19779</v>
      </c>
      <c r="E2209" s="262" t="s">
        <v>207</v>
      </c>
    </row>
    <row r="2210" spans="1:5" ht="30">
      <c r="A2210" s="261">
        <v>39366</v>
      </c>
      <c r="B2210" s="261" t="s">
        <v>6433</v>
      </c>
      <c r="C2210" s="261" t="s">
        <v>3240</v>
      </c>
      <c r="D2210" s="266" t="s">
        <v>19780</v>
      </c>
      <c r="E2210" s="262" t="s">
        <v>207</v>
      </c>
    </row>
    <row r="2211" spans="1:5" ht="30">
      <c r="A2211" s="261">
        <v>39367</v>
      </c>
      <c r="B2211" s="261" t="s">
        <v>6434</v>
      </c>
      <c r="C2211" s="261" t="s">
        <v>3240</v>
      </c>
      <c r="D2211" s="266" t="s">
        <v>19781</v>
      </c>
      <c r="E2211" s="262" t="s">
        <v>207</v>
      </c>
    </row>
    <row r="2212" spans="1:5" ht="15">
      <c r="A2212" s="261">
        <v>37394</v>
      </c>
      <c r="B2212" s="261" t="s">
        <v>6435</v>
      </c>
      <c r="C2212" s="261" t="s">
        <v>3255</v>
      </c>
      <c r="D2212" s="266" t="s">
        <v>11363</v>
      </c>
      <c r="E2212" s="262" t="s">
        <v>207</v>
      </c>
    </row>
    <row r="2213" spans="1:5" ht="15">
      <c r="A2213" s="261">
        <v>14146</v>
      </c>
      <c r="B2213" s="261" t="s">
        <v>6436</v>
      </c>
      <c r="C2213" s="261" t="s">
        <v>3255</v>
      </c>
      <c r="D2213" s="266" t="s">
        <v>12363</v>
      </c>
      <c r="E2213" s="262" t="s">
        <v>207</v>
      </c>
    </row>
    <row r="2214" spans="1:5" ht="15">
      <c r="A2214" s="261">
        <v>38134</v>
      </c>
      <c r="B2214" s="261" t="s">
        <v>6437</v>
      </c>
      <c r="C2214" s="261" t="s">
        <v>3244</v>
      </c>
      <c r="D2214" s="265" t="s">
        <v>18834</v>
      </c>
      <c r="E2214" s="262" t="s">
        <v>207</v>
      </c>
    </row>
    <row r="2215" spans="1:5" ht="15">
      <c r="A2215" s="261">
        <v>38132</v>
      </c>
      <c r="B2215" s="261" t="s">
        <v>6438</v>
      </c>
      <c r="C2215" s="261" t="s">
        <v>3244</v>
      </c>
      <c r="D2215" s="265" t="s">
        <v>19782</v>
      </c>
      <c r="E2215" s="262" t="s">
        <v>207</v>
      </c>
    </row>
    <row r="2216" spans="1:5" ht="15">
      <c r="A2216" s="261">
        <v>38133</v>
      </c>
      <c r="B2216" s="261" t="s">
        <v>6439</v>
      </c>
      <c r="C2216" s="261" t="s">
        <v>3244</v>
      </c>
      <c r="D2216" s="265" t="s">
        <v>19783</v>
      </c>
      <c r="E2216" s="262" t="s">
        <v>207</v>
      </c>
    </row>
    <row r="2217" spans="1:5" ht="30">
      <c r="A2217" s="261">
        <v>938</v>
      </c>
      <c r="B2217" s="261" t="s">
        <v>6440</v>
      </c>
      <c r="C2217" s="261" t="s">
        <v>3243</v>
      </c>
      <c r="D2217" s="265" t="s">
        <v>11401</v>
      </c>
      <c r="E2217" s="262" t="s">
        <v>207</v>
      </c>
    </row>
    <row r="2218" spans="1:5" ht="30">
      <c r="A2218" s="261">
        <v>937</v>
      </c>
      <c r="B2218" s="261" t="s">
        <v>6441</v>
      </c>
      <c r="C2218" s="261" t="s">
        <v>3243</v>
      </c>
      <c r="D2218" s="265" t="s">
        <v>19428</v>
      </c>
      <c r="E2218" s="262" t="s">
        <v>207</v>
      </c>
    </row>
    <row r="2219" spans="1:5" ht="30">
      <c r="A2219" s="261">
        <v>939</v>
      </c>
      <c r="B2219" s="261" t="s">
        <v>6442</v>
      </c>
      <c r="C2219" s="261" t="s">
        <v>3243</v>
      </c>
      <c r="D2219" s="265" t="s">
        <v>9957</v>
      </c>
      <c r="E2219" s="262" t="s">
        <v>207</v>
      </c>
    </row>
    <row r="2220" spans="1:5" ht="30">
      <c r="A2220" s="261">
        <v>944</v>
      </c>
      <c r="B2220" s="261" t="s">
        <v>6443</v>
      </c>
      <c r="C2220" s="261" t="s">
        <v>3243</v>
      </c>
      <c r="D2220" s="265" t="s">
        <v>10496</v>
      </c>
      <c r="E2220" s="262" t="s">
        <v>207</v>
      </c>
    </row>
    <row r="2221" spans="1:5" ht="30">
      <c r="A2221" s="261">
        <v>940</v>
      </c>
      <c r="B2221" s="261" t="s">
        <v>6444</v>
      </c>
      <c r="C2221" s="261" t="s">
        <v>3243</v>
      </c>
      <c r="D2221" s="265" t="s">
        <v>11479</v>
      </c>
      <c r="E2221" s="262" t="s">
        <v>207</v>
      </c>
    </row>
    <row r="2222" spans="1:5" ht="30">
      <c r="A2222" s="261">
        <v>936</v>
      </c>
      <c r="B2222" s="261" t="s">
        <v>6445</v>
      </c>
      <c r="C2222" s="261" t="s">
        <v>3243</v>
      </c>
      <c r="D2222" s="265" t="s">
        <v>9975</v>
      </c>
      <c r="E2222" s="262" t="s">
        <v>207</v>
      </c>
    </row>
    <row r="2223" spans="1:5" ht="30">
      <c r="A2223" s="261">
        <v>935</v>
      </c>
      <c r="B2223" s="261" t="s">
        <v>6446</v>
      </c>
      <c r="C2223" s="261" t="s">
        <v>3243</v>
      </c>
      <c r="D2223" s="265" t="s">
        <v>10013</v>
      </c>
      <c r="E2223" s="262" t="s">
        <v>207</v>
      </c>
    </row>
    <row r="2224" spans="1:5" ht="15">
      <c r="A2224" s="261">
        <v>406</v>
      </c>
      <c r="B2224" s="261" t="s">
        <v>6447</v>
      </c>
      <c r="C2224" s="261" t="s">
        <v>3240</v>
      </c>
      <c r="D2224" s="265" t="s">
        <v>19784</v>
      </c>
      <c r="E2224" s="262" t="s">
        <v>207</v>
      </c>
    </row>
    <row r="2225" spans="1:5" ht="30">
      <c r="A2225" s="261">
        <v>42529</v>
      </c>
      <c r="B2225" s="261" t="s">
        <v>6448</v>
      </c>
      <c r="C2225" s="261" t="s">
        <v>3243</v>
      </c>
      <c r="D2225" s="265" t="s">
        <v>9958</v>
      </c>
      <c r="E2225" s="262" t="s">
        <v>207</v>
      </c>
    </row>
    <row r="2226" spans="1:5" ht="30">
      <c r="A2226" s="261">
        <v>39634</v>
      </c>
      <c r="B2226" s="261" t="s">
        <v>6449</v>
      </c>
      <c r="C2226" s="261" t="s">
        <v>3243</v>
      </c>
      <c r="D2226" s="265" t="s">
        <v>19785</v>
      </c>
      <c r="E2226" s="262" t="s">
        <v>207</v>
      </c>
    </row>
    <row r="2227" spans="1:5" ht="15">
      <c r="A2227" s="261">
        <v>39701</v>
      </c>
      <c r="B2227" s="261" t="s">
        <v>6450</v>
      </c>
      <c r="C2227" s="261" t="s">
        <v>3240</v>
      </c>
      <c r="D2227" s="265" t="s">
        <v>19786</v>
      </c>
      <c r="E2227" s="262" t="s">
        <v>207</v>
      </c>
    </row>
    <row r="2228" spans="1:5" ht="15">
      <c r="A2228" s="261">
        <v>12815</v>
      </c>
      <c r="B2228" s="261" t="s">
        <v>6451</v>
      </c>
      <c r="C2228" s="261" t="s">
        <v>3240</v>
      </c>
      <c r="D2228" s="266" t="s">
        <v>11317</v>
      </c>
      <c r="E2228" s="262" t="s">
        <v>207</v>
      </c>
    </row>
    <row r="2229" spans="1:5" ht="15">
      <c r="A2229" s="261">
        <v>407</v>
      </c>
      <c r="B2229" s="261" t="s">
        <v>6452</v>
      </c>
      <c r="C2229" s="261" t="s">
        <v>3244</v>
      </c>
      <c r="D2229" s="266" t="s">
        <v>14158</v>
      </c>
      <c r="E2229" s="262" t="s">
        <v>207</v>
      </c>
    </row>
    <row r="2230" spans="1:5" ht="30">
      <c r="A2230" s="261">
        <v>39431</v>
      </c>
      <c r="B2230" s="261" t="s">
        <v>6453</v>
      </c>
      <c r="C2230" s="261" t="s">
        <v>3243</v>
      </c>
      <c r="D2230" s="265" t="s">
        <v>9832</v>
      </c>
      <c r="E2230" s="262" t="s">
        <v>207</v>
      </c>
    </row>
    <row r="2231" spans="1:5" ht="30">
      <c r="A2231" s="261">
        <v>39432</v>
      </c>
      <c r="B2231" s="261" t="s">
        <v>6454</v>
      </c>
      <c r="C2231" s="261" t="s">
        <v>3243</v>
      </c>
      <c r="D2231" s="265" t="s">
        <v>19525</v>
      </c>
      <c r="E2231" s="262" t="s">
        <v>207</v>
      </c>
    </row>
    <row r="2232" spans="1:5" ht="15">
      <c r="A2232" s="261">
        <v>20111</v>
      </c>
      <c r="B2232" s="261" t="s">
        <v>6455</v>
      </c>
      <c r="C2232" s="261" t="s">
        <v>3240</v>
      </c>
      <c r="D2232" s="265" t="s">
        <v>11352</v>
      </c>
      <c r="E2232" s="262" t="s">
        <v>207</v>
      </c>
    </row>
    <row r="2233" spans="1:5" ht="15">
      <c r="A2233" s="261">
        <v>21127</v>
      </c>
      <c r="B2233" s="261" t="s">
        <v>6456</v>
      </c>
      <c r="C2233" s="261" t="s">
        <v>3240</v>
      </c>
      <c r="D2233" s="266" t="s">
        <v>10073</v>
      </c>
      <c r="E2233" s="262" t="s">
        <v>207</v>
      </c>
    </row>
    <row r="2234" spans="1:5" ht="15">
      <c r="A2234" s="261">
        <v>404</v>
      </c>
      <c r="B2234" s="261" t="s">
        <v>6457</v>
      </c>
      <c r="C2234" s="261" t="s">
        <v>3243</v>
      </c>
      <c r="D2234" s="265" t="s">
        <v>9903</v>
      </c>
      <c r="E2234" s="262" t="s">
        <v>207</v>
      </c>
    </row>
    <row r="2235" spans="1:5" ht="30">
      <c r="A2235" s="261">
        <v>14151</v>
      </c>
      <c r="B2235" s="261" t="s">
        <v>6458</v>
      </c>
      <c r="C2235" s="261" t="s">
        <v>3240</v>
      </c>
      <c r="D2235" s="265" t="s">
        <v>14165</v>
      </c>
      <c r="E2235" s="262" t="s">
        <v>207</v>
      </c>
    </row>
    <row r="2236" spans="1:5" ht="30">
      <c r="A2236" s="261">
        <v>14153</v>
      </c>
      <c r="B2236" s="261" t="s">
        <v>6459</v>
      </c>
      <c r="C2236" s="261" t="s">
        <v>3240</v>
      </c>
      <c r="D2236" s="265" t="s">
        <v>16527</v>
      </c>
      <c r="E2236" s="262" t="s">
        <v>207</v>
      </c>
    </row>
    <row r="2237" spans="1:5" ht="30">
      <c r="A2237" s="261">
        <v>14152</v>
      </c>
      <c r="B2237" s="261" t="s">
        <v>6460</v>
      </c>
      <c r="C2237" s="261" t="s">
        <v>3240</v>
      </c>
      <c r="D2237" s="265" t="s">
        <v>16528</v>
      </c>
      <c r="E2237" s="262" t="s">
        <v>207</v>
      </c>
    </row>
    <row r="2238" spans="1:5" ht="30">
      <c r="A2238" s="261">
        <v>14154</v>
      </c>
      <c r="B2238" s="261" t="s">
        <v>6461</v>
      </c>
      <c r="C2238" s="261" t="s">
        <v>3240</v>
      </c>
      <c r="D2238" s="265" t="s">
        <v>16529</v>
      </c>
      <c r="E2238" s="262" t="s">
        <v>207</v>
      </c>
    </row>
    <row r="2239" spans="1:5" ht="30">
      <c r="A2239" s="261">
        <v>42015</v>
      </c>
      <c r="B2239" s="261" t="s">
        <v>6462</v>
      </c>
      <c r="C2239" s="261" t="s">
        <v>3243</v>
      </c>
      <c r="D2239" s="265" t="s">
        <v>11077</v>
      </c>
      <c r="E2239" s="262" t="s">
        <v>207</v>
      </c>
    </row>
    <row r="2240" spans="1:5" ht="15">
      <c r="A2240" s="261">
        <v>3146</v>
      </c>
      <c r="B2240" s="261" t="s">
        <v>6463</v>
      </c>
      <c r="C2240" s="261" t="s">
        <v>3240</v>
      </c>
      <c r="D2240" s="265" t="s">
        <v>11333</v>
      </c>
      <c r="E2240" s="262" t="s">
        <v>207</v>
      </c>
    </row>
    <row r="2241" spans="1:5" ht="15">
      <c r="A2241" s="261">
        <v>3143</v>
      </c>
      <c r="B2241" s="261" t="s">
        <v>6464</v>
      </c>
      <c r="C2241" s="261" t="s">
        <v>3240</v>
      </c>
      <c r="D2241" s="265" t="s">
        <v>19787</v>
      </c>
      <c r="E2241" s="262" t="s">
        <v>207</v>
      </c>
    </row>
    <row r="2242" spans="1:5" ht="15">
      <c r="A2242" s="261">
        <v>3148</v>
      </c>
      <c r="B2242" s="261" t="s">
        <v>6465</v>
      </c>
      <c r="C2242" s="261" t="s">
        <v>3240</v>
      </c>
      <c r="D2242" s="265" t="s">
        <v>10121</v>
      </c>
      <c r="E2242" s="262" t="s">
        <v>207</v>
      </c>
    </row>
    <row r="2243" spans="1:5" ht="30">
      <c r="A2243" s="261">
        <v>4310</v>
      </c>
      <c r="B2243" s="261" t="s">
        <v>6466</v>
      </c>
      <c r="C2243" s="261" t="s">
        <v>3240</v>
      </c>
      <c r="D2243" s="265" t="s">
        <v>11338</v>
      </c>
      <c r="E2243" s="262" t="s">
        <v>207</v>
      </c>
    </row>
    <row r="2244" spans="1:5" ht="30">
      <c r="A2244" s="261">
        <v>4311</v>
      </c>
      <c r="B2244" s="261" t="s">
        <v>6467</v>
      </c>
      <c r="C2244" s="261" t="s">
        <v>3240</v>
      </c>
      <c r="D2244" s="265" t="s">
        <v>11246</v>
      </c>
      <c r="E2244" s="262" t="s">
        <v>207</v>
      </c>
    </row>
    <row r="2245" spans="1:5" ht="30">
      <c r="A2245" s="261">
        <v>4312</v>
      </c>
      <c r="B2245" s="261" t="s">
        <v>6468</v>
      </c>
      <c r="C2245" s="261" t="s">
        <v>3240</v>
      </c>
      <c r="D2245" s="265" t="s">
        <v>11483</v>
      </c>
      <c r="E2245" s="262" t="s">
        <v>207</v>
      </c>
    </row>
    <row r="2246" spans="1:5" ht="15">
      <c r="A2246" s="261">
        <v>13261</v>
      </c>
      <c r="B2246" s="261" t="s">
        <v>6469</v>
      </c>
      <c r="C2246" s="261" t="s">
        <v>3240</v>
      </c>
      <c r="D2246" s="265" t="s">
        <v>10791</v>
      </c>
      <c r="E2246" s="262" t="s">
        <v>207</v>
      </c>
    </row>
    <row r="2247" spans="1:5" ht="15">
      <c r="A2247" s="261">
        <v>3255</v>
      </c>
      <c r="B2247" s="261" t="s">
        <v>6470</v>
      </c>
      <c r="C2247" s="261" t="s">
        <v>3240</v>
      </c>
      <c r="D2247" s="265" t="s">
        <v>10280</v>
      </c>
      <c r="E2247" s="262" t="s">
        <v>207</v>
      </c>
    </row>
    <row r="2248" spans="1:5" ht="15">
      <c r="A2248" s="261">
        <v>3254</v>
      </c>
      <c r="B2248" s="261" t="s">
        <v>6471</v>
      </c>
      <c r="C2248" s="261" t="s">
        <v>3240</v>
      </c>
      <c r="D2248" s="265" t="s">
        <v>19788</v>
      </c>
      <c r="E2248" s="262" t="s">
        <v>207</v>
      </c>
    </row>
    <row r="2249" spans="1:5" ht="15">
      <c r="A2249" s="261">
        <v>3259</v>
      </c>
      <c r="B2249" s="261" t="s">
        <v>6472</v>
      </c>
      <c r="C2249" s="261" t="s">
        <v>3240</v>
      </c>
      <c r="D2249" s="265" t="s">
        <v>10980</v>
      </c>
      <c r="E2249" s="262" t="s">
        <v>207</v>
      </c>
    </row>
    <row r="2250" spans="1:5" ht="15">
      <c r="A2250" s="261">
        <v>3258</v>
      </c>
      <c r="B2250" s="261" t="s">
        <v>6473</v>
      </c>
      <c r="C2250" s="261" t="s">
        <v>3240</v>
      </c>
      <c r="D2250" s="265" t="s">
        <v>15952</v>
      </c>
      <c r="E2250" s="262" t="s">
        <v>207</v>
      </c>
    </row>
    <row r="2251" spans="1:5" ht="15">
      <c r="A2251" s="261">
        <v>3251</v>
      </c>
      <c r="B2251" s="261" t="s">
        <v>6474</v>
      </c>
      <c r="C2251" s="261" t="s">
        <v>3240</v>
      </c>
      <c r="D2251" s="265" t="s">
        <v>9717</v>
      </c>
      <c r="E2251" s="262" t="s">
        <v>207</v>
      </c>
    </row>
    <row r="2252" spans="1:5" ht="15">
      <c r="A2252" s="261">
        <v>3256</v>
      </c>
      <c r="B2252" s="261" t="s">
        <v>6475</v>
      </c>
      <c r="C2252" s="261" t="s">
        <v>3240</v>
      </c>
      <c r="D2252" s="265" t="s">
        <v>14115</v>
      </c>
      <c r="E2252" s="262" t="s">
        <v>207</v>
      </c>
    </row>
    <row r="2253" spans="1:5" ht="15">
      <c r="A2253" s="261">
        <v>3261</v>
      </c>
      <c r="B2253" s="261" t="s">
        <v>6476</v>
      </c>
      <c r="C2253" s="261" t="s">
        <v>3240</v>
      </c>
      <c r="D2253" s="265" t="s">
        <v>19789</v>
      </c>
      <c r="E2253" s="262" t="s">
        <v>207</v>
      </c>
    </row>
    <row r="2254" spans="1:5" ht="15">
      <c r="A2254" s="261">
        <v>3260</v>
      </c>
      <c r="B2254" s="261" t="s">
        <v>6477</v>
      </c>
      <c r="C2254" s="261" t="s">
        <v>3240</v>
      </c>
      <c r="D2254" s="265" t="s">
        <v>12228</v>
      </c>
      <c r="E2254" s="262" t="s">
        <v>207</v>
      </c>
    </row>
    <row r="2255" spans="1:5" ht="15">
      <c r="A2255" s="261">
        <v>3272</v>
      </c>
      <c r="B2255" s="261" t="s">
        <v>6478</v>
      </c>
      <c r="C2255" s="261" t="s">
        <v>3240</v>
      </c>
      <c r="D2255" s="265" t="s">
        <v>19790</v>
      </c>
      <c r="E2255" s="262" t="s">
        <v>207</v>
      </c>
    </row>
    <row r="2256" spans="1:5" ht="15">
      <c r="A2256" s="261">
        <v>3265</v>
      </c>
      <c r="B2256" s="261" t="s">
        <v>6479</v>
      </c>
      <c r="C2256" s="261" t="s">
        <v>3240</v>
      </c>
      <c r="D2256" s="265" t="s">
        <v>19791</v>
      </c>
      <c r="E2256" s="262" t="s">
        <v>207</v>
      </c>
    </row>
    <row r="2257" spans="1:5" ht="15">
      <c r="A2257" s="261">
        <v>3262</v>
      </c>
      <c r="B2257" s="261" t="s">
        <v>6480</v>
      </c>
      <c r="C2257" s="261" t="s">
        <v>3240</v>
      </c>
      <c r="D2257" s="265" t="s">
        <v>10622</v>
      </c>
      <c r="E2257" s="262" t="s">
        <v>207</v>
      </c>
    </row>
    <row r="2258" spans="1:5" ht="15">
      <c r="A2258" s="261">
        <v>3264</v>
      </c>
      <c r="B2258" s="261" t="s">
        <v>6481</v>
      </c>
      <c r="C2258" s="261" t="s">
        <v>3240</v>
      </c>
      <c r="D2258" s="265" t="s">
        <v>10445</v>
      </c>
      <c r="E2258" s="262" t="s">
        <v>207</v>
      </c>
    </row>
    <row r="2259" spans="1:5" ht="15">
      <c r="A2259" s="261">
        <v>3267</v>
      </c>
      <c r="B2259" s="261" t="s">
        <v>6482</v>
      </c>
      <c r="C2259" s="261" t="s">
        <v>3240</v>
      </c>
      <c r="D2259" s="265" t="s">
        <v>19792</v>
      </c>
      <c r="E2259" s="262" t="s">
        <v>207</v>
      </c>
    </row>
    <row r="2260" spans="1:5" ht="15">
      <c r="A2260" s="261">
        <v>3266</v>
      </c>
      <c r="B2260" s="261" t="s">
        <v>6483</v>
      </c>
      <c r="C2260" s="261" t="s">
        <v>3240</v>
      </c>
      <c r="D2260" s="265" t="s">
        <v>19793</v>
      </c>
      <c r="E2260" s="262" t="s">
        <v>207</v>
      </c>
    </row>
    <row r="2261" spans="1:5" ht="15">
      <c r="A2261" s="261">
        <v>3263</v>
      </c>
      <c r="B2261" s="261" t="s">
        <v>6484</v>
      </c>
      <c r="C2261" s="261" t="s">
        <v>3240</v>
      </c>
      <c r="D2261" s="265" t="s">
        <v>10089</v>
      </c>
      <c r="E2261" s="262" t="s">
        <v>207</v>
      </c>
    </row>
    <row r="2262" spans="1:5" ht="15">
      <c r="A2262" s="261">
        <v>3268</v>
      </c>
      <c r="B2262" s="261" t="s">
        <v>6485</v>
      </c>
      <c r="C2262" s="261" t="s">
        <v>3240</v>
      </c>
      <c r="D2262" s="265" t="s">
        <v>19794</v>
      </c>
      <c r="E2262" s="262" t="s">
        <v>207</v>
      </c>
    </row>
    <row r="2263" spans="1:5" ht="15">
      <c r="A2263" s="261">
        <v>3271</v>
      </c>
      <c r="B2263" s="261" t="s">
        <v>6486</v>
      </c>
      <c r="C2263" s="261" t="s">
        <v>3240</v>
      </c>
      <c r="D2263" s="265" t="s">
        <v>14297</v>
      </c>
      <c r="E2263" s="262" t="s">
        <v>207</v>
      </c>
    </row>
    <row r="2264" spans="1:5" ht="15">
      <c r="A2264" s="261">
        <v>3270</v>
      </c>
      <c r="B2264" s="261" t="s">
        <v>6487</v>
      </c>
      <c r="C2264" s="261" t="s">
        <v>3240</v>
      </c>
      <c r="D2264" s="265" t="s">
        <v>19795</v>
      </c>
      <c r="E2264" s="262" t="s">
        <v>207</v>
      </c>
    </row>
    <row r="2265" spans="1:5" ht="30">
      <c r="A2265" s="261">
        <v>3275</v>
      </c>
      <c r="B2265" s="261" t="s">
        <v>6488</v>
      </c>
      <c r="C2265" s="261" t="s">
        <v>3242</v>
      </c>
      <c r="D2265" s="265" t="s">
        <v>19796</v>
      </c>
      <c r="E2265" s="262" t="s">
        <v>207</v>
      </c>
    </row>
    <row r="2266" spans="1:5" ht="45">
      <c r="A2266" s="261">
        <v>39512</v>
      </c>
      <c r="B2266" s="261" t="s">
        <v>6489</v>
      </c>
      <c r="C2266" s="261" t="s">
        <v>3242</v>
      </c>
      <c r="D2266" s="266" t="s">
        <v>12314</v>
      </c>
      <c r="E2266" s="262" t="s">
        <v>207</v>
      </c>
    </row>
    <row r="2267" spans="1:5" ht="45">
      <c r="A2267" s="261">
        <v>39511</v>
      </c>
      <c r="B2267" s="261" t="s">
        <v>6490</v>
      </c>
      <c r="C2267" s="261" t="s">
        <v>3242</v>
      </c>
      <c r="D2267" s="265" t="s">
        <v>19797</v>
      </c>
      <c r="E2267" s="262" t="s">
        <v>207</v>
      </c>
    </row>
    <row r="2268" spans="1:5" ht="45">
      <c r="A2268" s="261">
        <v>39513</v>
      </c>
      <c r="B2268" s="261" t="s">
        <v>6491</v>
      </c>
      <c r="C2268" s="261" t="s">
        <v>3242</v>
      </c>
      <c r="D2268" s="265" t="s">
        <v>19798</v>
      </c>
      <c r="E2268" s="262" t="s">
        <v>207</v>
      </c>
    </row>
    <row r="2269" spans="1:5" ht="30">
      <c r="A2269" s="261">
        <v>3286</v>
      </c>
      <c r="B2269" s="261" t="s">
        <v>6492</v>
      </c>
      <c r="C2269" s="261" t="s">
        <v>3242</v>
      </c>
      <c r="D2269" s="265" t="s">
        <v>12321</v>
      </c>
      <c r="E2269" s="262" t="s">
        <v>207</v>
      </c>
    </row>
    <row r="2270" spans="1:5" ht="30">
      <c r="A2270" s="261">
        <v>3287</v>
      </c>
      <c r="B2270" s="261" t="s">
        <v>6493</v>
      </c>
      <c r="C2270" s="261" t="s">
        <v>3242</v>
      </c>
      <c r="D2270" s="265" t="s">
        <v>12322</v>
      </c>
      <c r="E2270" s="262" t="s">
        <v>207</v>
      </c>
    </row>
    <row r="2271" spans="1:5" ht="30">
      <c r="A2271" s="261">
        <v>3283</v>
      </c>
      <c r="B2271" s="261" t="s">
        <v>6494</v>
      </c>
      <c r="C2271" s="261" t="s">
        <v>3242</v>
      </c>
      <c r="D2271" s="266" t="s">
        <v>12323</v>
      </c>
      <c r="E2271" s="262" t="s">
        <v>207</v>
      </c>
    </row>
    <row r="2272" spans="1:5" ht="30">
      <c r="A2272" s="261">
        <v>11587</v>
      </c>
      <c r="B2272" s="261" t="s">
        <v>6495</v>
      </c>
      <c r="C2272" s="261" t="s">
        <v>3242</v>
      </c>
      <c r="D2272" s="266" t="s">
        <v>19799</v>
      </c>
      <c r="E2272" s="262" t="s">
        <v>207</v>
      </c>
    </row>
    <row r="2273" spans="1:5" ht="30">
      <c r="A2273" s="261">
        <v>36225</v>
      </c>
      <c r="B2273" s="261" t="s">
        <v>6496</v>
      </c>
      <c r="C2273" s="261" t="s">
        <v>3242</v>
      </c>
      <c r="D2273" s="265" t="s">
        <v>19800</v>
      </c>
      <c r="E2273" s="262" t="s">
        <v>207</v>
      </c>
    </row>
    <row r="2274" spans="1:5" ht="30">
      <c r="A2274" s="261">
        <v>36230</v>
      </c>
      <c r="B2274" s="261" t="s">
        <v>6497</v>
      </c>
      <c r="C2274" s="261" t="s">
        <v>3242</v>
      </c>
      <c r="D2274" s="265" t="s">
        <v>19801</v>
      </c>
      <c r="E2274" s="262" t="s">
        <v>207</v>
      </c>
    </row>
    <row r="2275" spans="1:5" ht="30">
      <c r="A2275" s="261">
        <v>36238</v>
      </c>
      <c r="B2275" s="261" t="s">
        <v>6498</v>
      </c>
      <c r="C2275" s="261" t="s">
        <v>3242</v>
      </c>
      <c r="D2275" s="265" t="s">
        <v>19802</v>
      </c>
      <c r="E2275" s="262" t="s">
        <v>207</v>
      </c>
    </row>
    <row r="2276" spans="1:5" ht="45">
      <c r="A2276" s="261">
        <v>39363</v>
      </c>
      <c r="B2276" s="261" t="s">
        <v>6499</v>
      </c>
      <c r="C2276" s="261" t="s">
        <v>3240</v>
      </c>
      <c r="D2276" s="265" t="s">
        <v>19803</v>
      </c>
      <c r="E2276" s="262" t="s">
        <v>207</v>
      </c>
    </row>
    <row r="2277" spans="1:5" ht="45">
      <c r="A2277" s="261">
        <v>39361</v>
      </c>
      <c r="B2277" s="261" t="s">
        <v>6500</v>
      </c>
      <c r="C2277" s="261" t="s">
        <v>3240</v>
      </c>
      <c r="D2277" s="265" t="s">
        <v>19804</v>
      </c>
      <c r="E2277" s="262" t="s">
        <v>207</v>
      </c>
    </row>
    <row r="2278" spans="1:5" ht="45">
      <c r="A2278" s="261">
        <v>39362</v>
      </c>
      <c r="B2278" s="261" t="s">
        <v>6501</v>
      </c>
      <c r="C2278" s="261" t="s">
        <v>3240</v>
      </c>
      <c r="D2278" s="265" t="s">
        <v>19805</v>
      </c>
      <c r="E2278" s="262" t="s">
        <v>207</v>
      </c>
    </row>
    <row r="2279" spans="1:5" ht="45">
      <c r="A2279" s="261">
        <v>39364</v>
      </c>
      <c r="B2279" s="261" t="s">
        <v>6502</v>
      </c>
      <c r="C2279" s="261" t="s">
        <v>3240</v>
      </c>
      <c r="D2279" s="265" t="s">
        <v>19806</v>
      </c>
      <c r="E2279" s="262" t="s">
        <v>207</v>
      </c>
    </row>
    <row r="2280" spans="1:5" ht="30">
      <c r="A2280" s="261">
        <v>14576</v>
      </c>
      <c r="B2280" s="261" t="s">
        <v>6503</v>
      </c>
      <c r="C2280" s="261" t="s">
        <v>3240</v>
      </c>
      <c r="D2280" s="265" t="s">
        <v>19807</v>
      </c>
      <c r="E2280" s="262" t="s">
        <v>8987</v>
      </c>
    </row>
    <row r="2281" spans="1:5" ht="30">
      <c r="A2281" s="261">
        <v>13877</v>
      </c>
      <c r="B2281" s="261" t="s">
        <v>6504</v>
      </c>
      <c r="C2281" s="261" t="s">
        <v>3240</v>
      </c>
      <c r="D2281" s="265" t="s">
        <v>19808</v>
      </c>
      <c r="E2281" s="262" t="s">
        <v>8987</v>
      </c>
    </row>
    <row r="2282" spans="1:5" ht="15">
      <c r="A2282" s="261">
        <v>7307</v>
      </c>
      <c r="B2282" s="261" t="s">
        <v>6505</v>
      </c>
      <c r="C2282" s="261" t="s">
        <v>3245</v>
      </c>
      <c r="D2282" s="265" t="s">
        <v>11120</v>
      </c>
      <c r="E2282" s="262" t="s">
        <v>207</v>
      </c>
    </row>
    <row r="2283" spans="1:5" ht="15">
      <c r="A2283" s="261">
        <v>38122</v>
      </c>
      <c r="B2283" s="261" t="s">
        <v>6506</v>
      </c>
      <c r="C2283" s="261" t="s">
        <v>3245</v>
      </c>
      <c r="D2283" s="265" t="s">
        <v>11343</v>
      </c>
      <c r="E2283" s="262" t="s">
        <v>207</v>
      </c>
    </row>
    <row r="2284" spans="1:5" ht="30">
      <c r="A2284" s="261">
        <v>38633</v>
      </c>
      <c r="B2284" s="261" t="s">
        <v>6507</v>
      </c>
      <c r="C2284" s="261" t="s">
        <v>3240</v>
      </c>
      <c r="D2284" s="265" t="s">
        <v>10569</v>
      </c>
      <c r="E2284" s="262" t="s">
        <v>207</v>
      </c>
    </row>
    <row r="2285" spans="1:5" ht="30">
      <c r="A2285" s="261">
        <v>12344</v>
      </c>
      <c r="B2285" s="261" t="s">
        <v>6508</v>
      </c>
      <c r="C2285" s="261" t="s">
        <v>3240</v>
      </c>
      <c r="D2285" s="265" t="s">
        <v>11061</v>
      </c>
      <c r="E2285" s="262" t="s">
        <v>207</v>
      </c>
    </row>
    <row r="2286" spans="1:5" ht="30">
      <c r="A2286" s="261">
        <v>12343</v>
      </c>
      <c r="B2286" s="261" t="s">
        <v>6509</v>
      </c>
      <c r="C2286" s="261" t="s">
        <v>3240</v>
      </c>
      <c r="D2286" s="265" t="s">
        <v>9744</v>
      </c>
      <c r="E2286" s="262" t="s">
        <v>207</v>
      </c>
    </row>
    <row r="2287" spans="1:5" ht="30">
      <c r="A2287" s="261">
        <v>3295</v>
      </c>
      <c r="B2287" s="261" t="s">
        <v>6510</v>
      </c>
      <c r="C2287" s="261" t="s">
        <v>3240</v>
      </c>
      <c r="D2287" s="265" t="s">
        <v>19809</v>
      </c>
      <c r="E2287" s="262" t="s">
        <v>207</v>
      </c>
    </row>
    <row r="2288" spans="1:5" ht="30">
      <c r="A2288" s="261">
        <v>3302</v>
      </c>
      <c r="B2288" s="261" t="s">
        <v>6511</v>
      </c>
      <c r="C2288" s="261" t="s">
        <v>3240</v>
      </c>
      <c r="D2288" s="265" t="s">
        <v>10494</v>
      </c>
      <c r="E2288" s="262" t="s">
        <v>207</v>
      </c>
    </row>
    <row r="2289" spans="1:5" ht="30">
      <c r="A2289" s="261">
        <v>3297</v>
      </c>
      <c r="B2289" s="261" t="s">
        <v>6512</v>
      </c>
      <c r="C2289" s="261" t="s">
        <v>3240</v>
      </c>
      <c r="D2289" s="265" t="s">
        <v>11137</v>
      </c>
      <c r="E2289" s="262" t="s">
        <v>207</v>
      </c>
    </row>
    <row r="2290" spans="1:5" ht="30">
      <c r="A2290" s="261">
        <v>3294</v>
      </c>
      <c r="B2290" s="261" t="s">
        <v>6513</v>
      </c>
      <c r="C2290" s="261" t="s">
        <v>3240</v>
      </c>
      <c r="D2290" s="265" t="s">
        <v>11466</v>
      </c>
      <c r="E2290" s="262" t="s">
        <v>207</v>
      </c>
    </row>
    <row r="2291" spans="1:5" ht="30">
      <c r="A2291" s="261">
        <v>3292</v>
      </c>
      <c r="B2291" s="261" t="s">
        <v>6514</v>
      </c>
      <c r="C2291" s="261" t="s">
        <v>3240</v>
      </c>
      <c r="D2291" s="265" t="s">
        <v>12145</v>
      </c>
      <c r="E2291" s="262" t="s">
        <v>207</v>
      </c>
    </row>
    <row r="2292" spans="1:5" ht="30">
      <c r="A2292" s="261">
        <v>3298</v>
      </c>
      <c r="B2292" s="261" t="s">
        <v>6515</v>
      </c>
      <c r="C2292" s="261" t="s">
        <v>3240</v>
      </c>
      <c r="D2292" s="265" t="s">
        <v>19810</v>
      </c>
      <c r="E2292" s="262" t="s">
        <v>207</v>
      </c>
    </row>
    <row r="2293" spans="1:5" ht="30">
      <c r="A2293" s="261">
        <v>11596</v>
      </c>
      <c r="B2293" s="261" t="s">
        <v>6516</v>
      </c>
      <c r="C2293" s="261" t="s">
        <v>3240</v>
      </c>
      <c r="D2293" s="265" t="s">
        <v>19811</v>
      </c>
      <c r="E2293" s="262" t="s">
        <v>207</v>
      </c>
    </row>
    <row r="2294" spans="1:5" ht="30">
      <c r="A2294" s="261">
        <v>34802</v>
      </c>
      <c r="B2294" s="261" t="s">
        <v>6517</v>
      </c>
      <c r="C2294" s="261" t="s">
        <v>3240</v>
      </c>
      <c r="D2294" s="265" t="s">
        <v>19812</v>
      </c>
      <c r="E2294" s="262" t="s">
        <v>207</v>
      </c>
    </row>
    <row r="2295" spans="1:5" ht="30">
      <c r="A2295" s="261">
        <v>11588</v>
      </c>
      <c r="B2295" s="261" t="s">
        <v>6518</v>
      </c>
      <c r="C2295" s="261" t="s">
        <v>3240</v>
      </c>
      <c r="D2295" s="265" t="s">
        <v>19813</v>
      </c>
      <c r="E2295" s="262" t="s">
        <v>207</v>
      </c>
    </row>
    <row r="2296" spans="1:5" ht="30">
      <c r="A2296" s="261">
        <v>34383</v>
      </c>
      <c r="B2296" s="261" t="s">
        <v>6519</v>
      </c>
      <c r="C2296" s="261" t="s">
        <v>3240</v>
      </c>
      <c r="D2296" s="265" t="s">
        <v>19814</v>
      </c>
      <c r="E2296" s="262" t="s">
        <v>207</v>
      </c>
    </row>
    <row r="2297" spans="1:5" ht="30">
      <c r="A2297" s="261">
        <v>40451</v>
      </c>
      <c r="B2297" s="261" t="s">
        <v>6520</v>
      </c>
      <c r="C2297" s="261" t="s">
        <v>3242</v>
      </c>
      <c r="D2297" s="265" t="s">
        <v>19815</v>
      </c>
      <c r="E2297" s="262" t="s">
        <v>207</v>
      </c>
    </row>
    <row r="2298" spans="1:5" ht="30">
      <c r="A2298" s="261">
        <v>40453</v>
      </c>
      <c r="B2298" s="261" t="s">
        <v>6521</v>
      </c>
      <c r="C2298" s="261" t="s">
        <v>3242</v>
      </c>
      <c r="D2298" s="265" t="s">
        <v>19816</v>
      </c>
      <c r="E2298" s="262" t="s">
        <v>207</v>
      </c>
    </row>
    <row r="2299" spans="1:5" ht="30">
      <c r="A2299" s="261">
        <v>40452</v>
      </c>
      <c r="B2299" s="261" t="s">
        <v>6522</v>
      </c>
      <c r="C2299" s="261" t="s">
        <v>3242</v>
      </c>
      <c r="D2299" s="265" t="s">
        <v>19817</v>
      </c>
      <c r="E2299" s="262" t="s">
        <v>207</v>
      </c>
    </row>
    <row r="2300" spans="1:5" ht="30">
      <c r="A2300" s="261">
        <v>11594</v>
      </c>
      <c r="B2300" s="261" t="s">
        <v>6523</v>
      </c>
      <c r="C2300" s="261" t="s">
        <v>3240</v>
      </c>
      <c r="D2300" s="265" t="s">
        <v>19818</v>
      </c>
      <c r="E2300" s="262" t="s">
        <v>207</v>
      </c>
    </row>
    <row r="2301" spans="1:5" ht="30">
      <c r="A2301" s="261">
        <v>3311</v>
      </c>
      <c r="B2301" s="261" t="s">
        <v>6524</v>
      </c>
      <c r="C2301" s="261" t="s">
        <v>3241</v>
      </c>
      <c r="D2301" s="265" t="s">
        <v>19818</v>
      </c>
      <c r="E2301" s="262" t="s">
        <v>207</v>
      </c>
    </row>
    <row r="2302" spans="1:5" ht="30">
      <c r="A2302" s="261">
        <v>11599</v>
      </c>
      <c r="B2302" s="261" t="s">
        <v>6525</v>
      </c>
      <c r="C2302" s="261" t="s">
        <v>3240</v>
      </c>
      <c r="D2302" s="265" t="s">
        <v>19819</v>
      </c>
      <c r="E2302" s="262" t="s">
        <v>207</v>
      </c>
    </row>
    <row r="2303" spans="1:5" ht="30">
      <c r="A2303" s="261">
        <v>11593</v>
      </c>
      <c r="B2303" s="261" t="s">
        <v>6526</v>
      </c>
      <c r="C2303" s="261" t="s">
        <v>3240</v>
      </c>
      <c r="D2303" s="265" t="s">
        <v>19820</v>
      </c>
      <c r="E2303" s="262" t="s">
        <v>207</v>
      </c>
    </row>
    <row r="2304" spans="1:5" ht="30">
      <c r="A2304" s="261">
        <v>3314</v>
      </c>
      <c r="B2304" s="261" t="s">
        <v>6527</v>
      </c>
      <c r="C2304" s="261" t="s">
        <v>3241</v>
      </c>
      <c r="D2304" s="265" t="s">
        <v>19821</v>
      </c>
      <c r="E2304" s="262" t="s">
        <v>207</v>
      </c>
    </row>
    <row r="2305" spans="1:5" ht="30">
      <c r="A2305" s="261">
        <v>11597</v>
      </c>
      <c r="B2305" s="261" t="s">
        <v>6528</v>
      </c>
      <c r="C2305" s="261" t="s">
        <v>3240</v>
      </c>
      <c r="D2305" s="266" t="s">
        <v>19822</v>
      </c>
      <c r="E2305" s="262" t="s">
        <v>207</v>
      </c>
    </row>
    <row r="2306" spans="1:5" ht="15">
      <c r="A2306" s="261">
        <v>3309</v>
      </c>
      <c r="B2306" s="261" t="s">
        <v>6529</v>
      </c>
      <c r="C2306" s="261" t="s">
        <v>3241</v>
      </c>
      <c r="D2306" s="266" t="s">
        <v>19811</v>
      </c>
      <c r="E2306" s="262" t="s">
        <v>207</v>
      </c>
    </row>
    <row r="2307" spans="1:5" ht="45">
      <c r="A2307" s="261">
        <v>34612</v>
      </c>
      <c r="B2307" s="261" t="s">
        <v>6530</v>
      </c>
      <c r="C2307" s="261" t="s">
        <v>3240</v>
      </c>
      <c r="D2307" s="266" t="s">
        <v>19823</v>
      </c>
      <c r="E2307" s="262" t="s">
        <v>207</v>
      </c>
    </row>
    <row r="2308" spans="1:5" ht="45">
      <c r="A2308" s="261">
        <v>34635</v>
      </c>
      <c r="B2308" s="261" t="s">
        <v>6531</v>
      </c>
      <c r="C2308" s="261" t="s">
        <v>3240</v>
      </c>
      <c r="D2308" s="266" t="s">
        <v>19824</v>
      </c>
      <c r="E2308" s="262" t="s">
        <v>207</v>
      </c>
    </row>
    <row r="2309" spans="1:5" ht="45">
      <c r="A2309" s="261">
        <v>34633</v>
      </c>
      <c r="B2309" s="261" t="s">
        <v>6532</v>
      </c>
      <c r="C2309" s="261" t="s">
        <v>3240</v>
      </c>
      <c r="D2309" s="266" t="s">
        <v>19825</v>
      </c>
      <c r="E2309" s="262" t="s">
        <v>207</v>
      </c>
    </row>
    <row r="2310" spans="1:5" ht="45">
      <c r="A2310" s="261">
        <v>40440</v>
      </c>
      <c r="B2310" s="261" t="s">
        <v>6533</v>
      </c>
      <c r="C2310" s="261" t="s">
        <v>3241</v>
      </c>
      <c r="D2310" s="266" t="s">
        <v>19826</v>
      </c>
      <c r="E2310" s="262" t="s">
        <v>207</v>
      </c>
    </row>
    <row r="2311" spans="1:5" ht="45">
      <c r="A2311" s="261">
        <v>40441</v>
      </c>
      <c r="B2311" s="261" t="s">
        <v>6534</v>
      </c>
      <c r="C2311" s="261" t="s">
        <v>3241</v>
      </c>
      <c r="D2311" s="266" t="s">
        <v>19827</v>
      </c>
      <c r="E2311" s="262" t="s">
        <v>207</v>
      </c>
    </row>
    <row r="2312" spans="1:5" ht="45">
      <c r="A2312" s="261">
        <v>40449</v>
      </c>
      <c r="B2312" s="261" t="s">
        <v>6535</v>
      </c>
      <c r="C2312" s="261" t="s">
        <v>3241</v>
      </c>
      <c r="D2312" s="266" t="s">
        <v>19828</v>
      </c>
      <c r="E2312" s="262" t="s">
        <v>207</v>
      </c>
    </row>
    <row r="2313" spans="1:5" ht="30">
      <c r="A2313" s="261">
        <v>34800</v>
      </c>
      <c r="B2313" s="261" t="s">
        <v>6536</v>
      </c>
      <c r="C2313" s="261" t="s">
        <v>3241</v>
      </c>
      <c r="D2313" s="266" t="s">
        <v>19829</v>
      </c>
      <c r="E2313" s="262" t="s">
        <v>207</v>
      </c>
    </row>
    <row r="2314" spans="1:5" ht="30">
      <c r="A2314" s="261">
        <v>11592</v>
      </c>
      <c r="B2314" s="261" t="s">
        <v>6537</v>
      </c>
      <c r="C2314" s="261" t="s">
        <v>3240</v>
      </c>
      <c r="D2314" s="266" t="s">
        <v>19821</v>
      </c>
      <c r="E2314" s="262" t="s">
        <v>207</v>
      </c>
    </row>
    <row r="2315" spans="1:5" ht="30">
      <c r="A2315" s="261">
        <v>40438</v>
      </c>
      <c r="B2315" s="261" t="s">
        <v>6538</v>
      </c>
      <c r="C2315" s="261" t="s">
        <v>3241</v>
      </c>
      <c r="D2315" s="266" t="s">
        <v>19830</v>
      </c>
      <c r="E2315" s="262" t="s">
        <v>207</v>
      </c>
    </row>
    <row r="2316" spans="1:5" ht="30">
      <c r="A2316" s="261">
        <v>40436</v>
      </c>
      <c r="B2316" s="261" t="s">
        <v>6539</v>
      </c>
      <c r="C2316" s="261" t="s">
        <v>3241</v>
      </c>
      <c r="D2316" s="266" t="s">
        <v>19831</v>
      </c>
      <c r="E2316" s="262" t="s">
        <v>207</v>
      </c>
    </row>
    <row r="2317" spans="1:5" ht="30">
      <c r="A2317" s="261">
        <v>4315</v>
      </c>
      <c r="B2317" s="261" t="s">
        <v>6540</v>
      </c>
      <c r="C2317" s="261" t="s">
        <v>3240</v>
      </c>
      <c r="D2317" s="266" t="s">
        <v>10022</v>
      </c>
      <c r="E2317" s="262" t="s">
        <v>207</v>
      </c>
    </row>
    <row r="2318" spans="1:5" ht="15">
      <c r="A2318" s="261">
        <v>402</v>
      </c>
      <c r="B2318" s="261" t="s">
        <v>6541</v>
      </c>
      <c r="C2318" s="261" t="s">
        <v>3240</v>
      </c>
      <c r="D2318" s="266" t="s">
        <v>9721</v>
      </c>
      <c r="E2318" s="262" t="s">
        <v>207</v>
      </c>
    </row>
    <row r="2319" spans="1:5" ht="15">
      <c r="A2319" s="261">
        <v>4226</v>
      </c>
      <c r="B2319" s="261" t="s">
        <v>6542</v>
      </c>
      <c r="C2319" s="261" t="s">
        <v>3244</v>
      </c>
      <c r="D2319" s="266" t="s">
        <v>9759</v>
      </c>
      <c r="E2319" s="262" t="s">
        <v>207</v>
      </c>
    </row>
    <row r="2320" spans="1:5" ht="15">
      <c r="A2320" s="261">
        <v>4222</v>
      </c>
      <c r="B2320" s="261" t="s">
        <v>6543</v>
      </c>
      <c r="C2320" s="261" t="s">
        <v>3245</v>
      </c>
      <c r="D2320" s="266" t="s">
        <v>19548</v>
      </c>
      <c r="E2320" s="262" t="s">
        <v>207</v>
      </c>
    </row>
    <row r="2321" spans="1:5" ht="45">
      <c r="A2321" s="261">
        <v>34804</v>
      </c>
      <c r="B2321" s="261" t="s">
        <v>6544</v>
      </c>
      <c r="C2321" s="261" t="s">
        <v>3242</v>
      </c>
      <c r="D2321" s="266" t="s">
        <v>11386</v>
      </c>
      <c r="E2321" s="262" t="s">
        <v>207</v>
      </c>
    </row>
    <row r="2322" spans="1:5" ht="30">
      <c r="A2322" s="261">
        <v>4013</v>
      </c>
      <c r="B2322" s="261" t="s">
        <v>6545</v>
      </c>
      <c r="C2322" s="261" t="s">
        <v>3242</v>
      </c>
      <c r="D2322" s="266" t="s">
        <v>10940</v>
      </c>
      <c r="E2322" s="262" t="s">
        <v>207</v>
      </c>
    </row>
    <row r="2323" spans="1:5" ht="30">
      <c r="A2323" s="261">
        <v>4011</v>
      </c>
      <c r="B2323" s="261" t="s">
        <v>6546</v>
      </c>
      <c r="C2323" s="261" t="s">
        <v>3242</v>
      </c>
      <c r="D2323" s="266" t="s">
        <v>11250</v>
      </c>
      <c r="E2323" s="262" t="s">
        <v>207</v>
      </c>
    </row>
    <row r="2324" spans="1:5" ht="30">
      <c r="A2324" s="261">
        <v>4021</v>
      </c>
      <c r="B2324" s="261" t="s">
        <v>6547</v>
      </c>
      <c r="C2324" s="261" t="s">
        <v>3242</v>
      </c>
      <c r="D2324" s="266" t="s">
        <v>19832</v>
      </c>
      <c r="E2324" s="262" t="s">
        <v>207</v>
      </c>
    </row>
    <row r="2325" spans="1:5" ht="30">
      <c r="A2325" s="261">
        <v>4019</v>
      </c>
      <c r="B2325" s="261" t="s">
        <v>6548</v>
      </c>
      <c r="C2325" s="261" t="s">
        <v>3242</v>
      </c>
      <c r="D2325" s="265" t="s">
        <v>10412</v>
      </c>
      <c r="E2325" s="262" t="s">
        <v>207</v>
      </c>
    </row>
    <row r="2326" spans="1:5" ht="30">
      <c r="A2326" s="261">
        <v>4012</v>
      </c>
      <c r="B2326" s="261" t="s">
        <v>6549</v>
      </c>
      <c r="C2326" s="261" t="s">
        <v>3242</v>
      </c>
      <c r="D2326" s="265" t="s">
        <v>10518</v>
      </c>
      <c r="E2326" s="262" t="s">
        <v>207</v>
      </c>
    </row>
    <row r="2327" spans="1:5" ht="30">
      <c r="A2327" s="261">
        <v>4020</v>
      </c>
      <c r="B2327" s="261" t="s">
        <v>6550</v>
      </c>
      <c r="C2327" s="261" t="s">
        <v>3242</v>
      </c>
      <c r="D2327" s="265" t="s">
        <v>12265</v>
      </c>
      <c r="E2327" s="262" t="s">
        <v>207</v>
      </c>
    </row>
    <row r="2328" spans="1:5" ht="30">
      <c r="A2328" s="261">
        <v>4018</v>
      </c>
      <c r="B2328" s="261" t="s">
        <v>6551</v>
      </c>
      <c r="C2328" s="261" t="s">
        <v>3242</v>
      </c>
      <c r="D2328" s="265" t="s">
        <v>10438</v>
      </c>
      <c r="E2328" s="262" t="s">
        <v>207</v>
      </c>
    </row>
    <row r="2329" spans="1:5" ht="30">
      <c r="A2329" s="261">
        <v>36498</v>
      </c>
      <c r="B2329" s="261" t="s">
        <v>6552</v>
      </c>
      <c r="C2329" s="261" t="s">
        <v>3240</v>
      </c>
      <c r="D2329" s="265" t="s">
        <v>19833</v>
      </c>
      <c r="E2329" s="262" t="s">
        <v>8987</v>
      </c>
    </row>
    <row r="2330" spans="1:5" ht="15">
      <c r="A2330" s="261">
        <v>12872</v>
      </c>
      <c r="B2330" s="261" t="s">
        <v>6553</v>
      </c>
      <c r="C2330" s="261" t="s">
        <v>3239</v>
      </c>
      <c r="D2330" s="265" t="s">
        <v>11524</v>
      </c>
      <c r="E2330" s="262" t="s">
        <v>9714</v>
      </c>
    </row>
    <row r="2331" spans="1:5" ht="15">
      <c r="A2331" s="261">
        <v>41075</v>
      </c>
      <c r="B2331" s="261" t="s">
        <v>6554</v>
      </c>
      <c r="C2331" s="261" t="s">
        <v>3246</v>
      </c>
      <c r="D2331" s="266" t="s">
        <v>18936</v>
      </c>
      <c r="E2331" s="262" t="s">
        <v>9714</v>
      </c>
    </row>
    <row r="2332" spans="1:5" ht="15">
      <c r="A2332" s="261">
        <v>3315</v>
      </c>
      <c r="B2332" s="261" t="s">
        <v>11809</v>
      </c>
      <c r="C2332" s="261" t="s">
        <v>3244</v>
      </c>
      <c r="D2332" s="266" t="s">
        <v>10070</v>
      </c>
      <c r="E2332" s="262" t="s">
        <v>207</v>
      </c>
    </row>
    <row r="2333" spans="1:5" ht="15">
      <c r="A2333" s="261">
        <v>36870</v>
      </c>
      <c r="B2333" s="261" t="s">
        <v>6555</v>
      </c>
      <c r="C2333" s="261" t="s">
        <v>3244</v>
      </c>
      <c r="D2333" s="266" t="s">
        <v>10906</v>
      </c>
      <c r="E2333" s="262" t="s">
        <v>207</v>
      </c>
    </row>
    <row r="2334" spans="1:5" ht="30">
      <c r="A2334" s="261">
        <v>5092</v>
      </c>
      <c r="B2334" s="261" t="s">
        <v>6556</v>
      </c>
      <c r="C2334" s="261" t="s">
        <v>3247</v>
      </c>
      <c r="D2334" s="266" t="s">
        <v>12394</v>
      </c>
      <c r="E2334" s="262" t="s">
        <v>207</v>
      </c>
    </row>
    <row r="2335" spans="1:5" ht="30">
      <c r="A2335" s="261">
        <v>11462</v>
      </c>
      <c r="B2335" s="261" t="s">
        <v>6557</v>
      </c>
      <c r="C2335" s="261" t="s">
        <v>3247</v>
      </c>
      <c r="D2335" s="266" t="s">
        <v>19834</v>
      </c>
      <c r="E2335" s="262" t="s">
        <v>207</v>
      </c>
    </row>
    <row r="2336" spans="1:5" ht="30">
      <c r="A2336" s="261">
        <v>36529</v>
      </c>
      <c r="B2336" s="261" t="s">
        <v>6558</v>
      </c>
      <c r="C2336" s="261" t="s">
        <v>3240</v>
      </c>
      <c r="D2336" s="266" t="s">
        <v>19835</v>
      </c>
      <c r="E2336" s="262" t="s">
        <v>8987</v>
      </c>
    </row>
    <row r="2337" spans="1:5" ht="30">
      <c r="A2337" s="261">
        <v>3318</v>
      </c>
      <c r="B2337" s="261" t="s">
        <v>6559</v>
      </c>
      <c r="C2337" s="261" t="s">
        <v>3240</v>
      </c>
      <c r="D2337" s="266" t="s">
        <v>19836</v>
      </c>
      <c r="E2337" s="262" t="s">
        <v>8987</v>
      </c>
    </row>
    <row r="2338" spans="1:5" ht="15">
      <c r="A2338" s="261">
        <v>3324</v>
      </c>
      <c r="B2338" s="261" t="s">
        <v>6560</v>
      </c>
      <c r="C2338" s="261" t="s">
        <v>3242</v>
      </c>
      <c r="D2338" s="266" t="s">
        <v>19837</v>
      </c>
      <c r="E2338" s="262" t="s">
        <v>207</v>
      </c>
    </row>
    <row r="2339" spans="1:5" ht="15">
      <c r="A2339" s="261">
        <v>3322</v>
      </c>
      <c r="B2339" s="261" t="s">
        <v>6561</v>
      </c>
      <c r="C2339" s="261" t="s">
        <v>3242</v>
      </c>
      <c r="D2339" s="266" t="s">
        <v>9912</v>
      </c>
      <c r="E2339" s="262" t="s">
        <v>207</v>
      </c>
    </row>
    <row r="2340" spans="1:5" ht="15">
      <c r="A2340" s="261">
        <v>5076</v>
      </c>
      <c r="B2340" s="261" t="s">
        <v>6562</v>
      </c>
      <c r="C2340" s="261" t="s">
        <v>3244</v>
      </c>
      <c r="D2340" s="266" t="s">
        <v>14318</v>
      </c>
      <c r="E2340" s="262" t="s">
        <v>207</v>
      </c>
    </row>
    <row r="2341" spans="1:5" ht="15">
      <c r="A2341" s="261">
        <v>5077</v>
      </c>
      <c r="B2341" s="261" t="s">
        <v>6563</v>
      </c>
      <c r="C2341" s="261" t="s">
        <v>3244</v>
      </c>
      <c r="D2341" s="266" t="s">
        <v>14219</v>
      </c>
      <c r="E2341" s="262" t="s">
        <v>207</v>
      </c>
    </row>
    <row r="2342" spans="1:5" ht="30">
      <c r="A2342" s="261">
        <v>11837</v>
      </c>
      <c r="B2342" s="261" t="s">
        <v>6564</v>
      </c>
      <c r="C2342" s="261" t="s">
        <v>3240</v>
      </c>
      <c r="D2342" s="266" t="s">
        <v>19287</v>
      </c>
      <c r="E2342" s="262" t="s">
        <v>207</v>
      </c>
    </row>
    <row r="2343" spans="1:5" ht="30">
      <c r="A2343" s="261">
        <v>38055</v>
      </c>
      <c r="B2343" s="261" t="s">
        <v>6565</v>
      </c>
      <c r="C2343" s="261" t="s">
        <v>3240</v>
      </c>
      <c r="D2343" s="265" t="s">
        <v>10480</v>
      </c>
      <c r="E2343" s="262" t="s">
        <v>207</v>
      </c>
    </row>
    <row r="2344" spans="1:5" ht="30">
      <c r="A2344" s="261">
        <v>415</v>
      </c>
      <c r="B2344" s="261" t="s">
        <v>6566</v>
      </c>
      <c r="C2344" s="261" t="s">
        <v>3240</v>
      </c>
      <c r="D2344" s="265" t="s">
        <v>16472</v>
      </c>
      <c r="E2344" s="262" t="s">
        <v>207</v>
      </c>
    </row>
    <row r="2345" spans="1:5" ht="30">
      <c r="A2345" s="261">
        <v>416</v>
      </c>
      <c r="B2345" s="261" t="s">
        <v>6567</v>
      </c>
      <c r="C2345" s="261" t="s">
        <v>3240</v>
      </c>
      <c r="D2345" s="265" t="s">
        <v>10910</v>
      </c>
      <c r="E2345" s="262" t="s">
        <v>207</v>
      </c>
    </row>
    <row r="2346" spans="1:5" ht="30">
      <c r="A2346" s="261">
        <v>425</v>
      </c>
      <c r="B2346" s="261" t="s">
        <v>6568</v>
      </c>
      <c r="C2346" s="261" t="s">
        <v>3240</v>
      </c>
      <c r="D2346" s="265" t="s">
        <v>16037</v>
      </c>
      <c r="E2346" s="262" t="s">
        <v>207</v>
      </c>
    </row>
    <row r="2347" spans="1:5" ht="30">
      <c r="A2347" s="261">
        <v>426</v>
      </c>
      <c r="B2347" s="261" t="s">
        <v>6569</v>
      </c>
      <c r="C2347" s="261" t="s">
        <v>3240</v>
      </c>
      <c r="D2347" s="265" t="s">
        <v>19838</v>
      </c>
      <c r="E2347" s="262" t="s">
        <v>207</v>
      </c>
    </row>
    <row r="2348" spans="1:5" ht="30">
      <c r="A2348" s="261">
        <v>38056</v>
      </c>
      <c r="B2348" s="261" t="s">
        <v>6570</v>
      </c>
      <c r="C2348" s="261" t="s">
        <v>3240</v>
      </c>
      <c r="D2348" s="265" t="s">
        <v>16399</v>
      </c>
      <c r="E2348" s="262" t="s">
        <v>207</v>
      </c>
    </row>
    <row r="2349" spans="1:5" ht="15">
      <c r="A2349" s="261">
        <v>1564</v>
      </c>
      <c r="B2349" s="261" t="s">
        <v>6571</v>
      </c>
      <c r="C2349" s="261" t="s">
        <v>3240</v>
      </c>
      <c r="D2349" s="265" t="s">
        <v>14078</v>
      </c>
      <c r="E2349" s="262" t="s">
        <v>207</v>
      </c>
    </row>
    <row r="2350" spans="1:5" ht="15">
      <c r="A2350" s="261">
        <v>11032</v>
      </c>
      <c r="B2350" s="261" t="s">
        <v>6572</v>
      </c>
      <c r="C2350" s="261" t="s">
        <v>3240</v>
      </c>
      <c r="D2350" s="265" t="s">
        <v>15944</v>
      </c>
      <c r="E2350" s="262" t="s">
        <v>207</v>
      </c>
    </row>
    <row r="2351" spans="1:5" ht="30">
      <c r="A2351" s="261">
        <v>36786</v>
      </c>
      <c r="B2351" s="261" t="s">
        <v>6573</v>
      </c>
      <c r="C2351" s="261" t="s">
        <v>3257</v>
      </c>
      <c r="D2351" s="265" t="s">
        <v>19839</v>
      </c>
      <c r="E2351" s="262" t="s">
        <v>207</v>
      </c>
    </row>
    <row r="2352" spans="1:5" ht="30">
      <c r="A2352" s="261">
        <v>36785</v>
      </c>
      <c r="B2352" s="261" t="s">
        <v>6574</v>
      </c>
      <c r="C2352" s="261" t="s">
        <v>3257</v>
      </c>
      <c r="D2352" s="265" t="s">
        <v>19840</v>
      </c>
      <c r="E2352" s="262" t="s">
        <v>207</v>
      </c>
    </row>
    <row r="2353" spans="1:5" ht="30">
      <c r="A2353" s="261">
        <v>36782</v>
      </c>
      <c r="B2353" s="261" t="s">
        <v>6575</v>
      </c>
      <c r="C2353" s="261" t="s">
        <v>3257</v>
      </c>
      <c r="D2353" s="265" t="s">
        <v>19841</v>
      </c>
      <c r="E2353" s="262" t="s">
        <v>207</v>
      </c>
    </row>
    <row r="2354" spans="1:5" ht="30">
      <c r="A2354" s="261">
        <v>25930</v>
      </c>
      <c r="B2354" s="261" t="s">
        <v>6576</v>
      </c>
      <c r="C2354" s="261" t="s">
        <v>3257</v>
      </c>
      <c r="D2354" s="265" t="s">
        <v>19842</v>
      </c>
      <c r="E2354" s="262" t="s">
        <v>207</v>
      </c>
    </row>
    <row r="2355" spans="1:5" ht="30">
      <c r="A2355" s="261">
        <v>4824</v>
      </c>
      <c r="B2355" s="261" t="s">
        <v>6577</v>
      </c>
      <c r="C2355" s="261" t="s">
        <v>3244</v>
      </c>
      <c r="D2355" s="265" t="s">
        <v>9843</v>
      </c>
      <c r="E2355" s="262" t="s">
        <v>207</v>
      </c>
    </row>
    <row r="2356" spans="1:5" ht="30">
      <c r="A2356" s="261">
        <v>11795</v>
      </c>
      <c r="B2356" s="261" t="s">
        <v>6578</v>
      </c>
      <c r="C2356" s="261" t="s">
        <v>3242</v>
      </c>
      <c r="D2356" s="265" t="s">
        <v>19843</v>
      </c>
      <c r="E2356" s="262" t="s">
        <v>207</v>
      </c>
    </row>
    <row r="2357" spans="1:5" ht="15">
      <c r="A2357" s="261">
        <v>134</v>
      </c>
      <c r="B2357" s="261" t="s">
        <v>6579</v>
      </c>
      <c r="C2357" s="261" t="s">
        <v>3244</v>
      </c>
      <c r="D2357" s="265" t="s">
        <v>9770</v>
      </c>
      <c r="E2357" s="262" t="s">
        <v>207</v>
      </c>
    </row>
    <row r="2358" spans="1:5" ht="15">
      <c r="A2358" s="261">
        <v>4229</v>
      </c>
      <c r="B2358" s="261" t="s">
        <v>6580</v>
      </c>
      <c r="C2358" s="261" t="s">
        <v>3244</v>
      </c>
      <c r="D2358" s="265" t="s">
        <v>10917</v>
      </c>
      <c r="E2358" s="262" t="s">
        <v>207</v>
      </c>
    </row>
    <row r="2359" spans="1:5" ht="15">
      <c r="A2359" s="261">
        <v>11244</v>
      </c>
      <c r="B2359" s="261" t="s">
        <v>6581</v>
      </c>
      <c r="C2359" s="261" t="s">
        <v>3240</v>
      </c>
      <c r="D2359" s="265" t="s">
        <v>19844</v>
      </c>
      <c r="E2359" s="262" t="s">
        <v>207</v>
      </c>
    </row>
    <row r="2360" spans="1:5" ht="30">
      <c r="A2360" s="261">
        <v>11245</v>
      </c>
      <c r="B2360" s="261" t="s">
        <v>6582</v>
      </c>
      <c r="C2360" s="261" t="s">
        <v>3240</v>
      </c>
      <c r="D2360" s="265" t="s">
        <v>19845</v>
      </c>
      <c r="E2360" s="262" t="s">
        <v>207</v>
      </c>
    </row>
    <row r="2361" spans="1:5" ht="30">
      <c r="A2361" s="261">
        <v>11235</v>
      </c>
      <c r="B2361" s="261" t="s">
        <v>6583</v>
      </c>
      <c r="C2361" s="261" t="s">
        <v>3240</v>
      </c>
      <c r="D2361" s="265" t="s">
        <v>19846</v>
      </c>
      <c r="E2361" s="262" t="s">
        <v>207</v>
      </c>
    </row>
    <row r="2362" spans="1:5" ht="30">
      <c r="A2362" s="261">
        <v>11236</v>
      </c>
      <c r="B2362" s="261" t="s">
        <v>6584</v>
      </c>
      <c r="C2362" s="261" t="s">
        <v>3240</v>
      </c>
      <c r="D2362" s="266" t="s">
        <v>19847</v>
      </c>
      <c r="E2362" s="262" t="s">
        <v>207</v>
      </c>
    </row>
    <row r="2363" spans="1:5" ht="15">
      <c r="A2363" s="261">
        <v>11731</v>
      </c>
      <c r="B2363" s="261" t="s">
        <v>6585</v>
      </c>
      <c r="C2363" s="261" t="s">
        <v>3240</v>
      </c>
      <c r="D2363" s="266" t="s">
        <v>10485</v>
      </c>
      <c r="E2363" s="262" t="s">
        <v>207</v>
      </c>
    </row>
    <row r="2364" spans="1:5" ht="15">
      <c r="A2364" s="261">
        <v>11732</v>
      </c>
      <c r="B2364" s="261" t="s">
        <v>6586</v>
      </c>
      <c r="C2364" s="261" t="s">
        <v>3240</v>
      </c>
      <c r="D2364" s="266" t="s">
        <v>19483</v>
      </c>
      <c r="E2364" s="262" t="s">
        <v>207</v>
      </c>
    </row>
    <row r="2365" spans="1:5" ht="15">
      <c r="A2365" s="261">
        <v>36494</v>
      </c>
      <c r="B2365" s="261" t="s">
        <v>6587</v>
      </c>
      <c r="C2365" s="261" t="s">
        <v>3240</v>
      </c>
      <c r="D2365" s="266" t="s">
        <v>19848</v>
      </c>
      <c r="E2365" s="262" t="s">
        <v>8987</v>
      </c>
    </row>
    <row r="2366" spans="1:5" ht="15">
      <c r="A2366" s="261">
        <v>36493</v>
      </c>
      <c r="B2366" s="261" t="s">
        <v>6588</v>
      </c>
      <c r="C2366" s="261" t="s">
        <v>3240</v>
      </c>
      <c r="D2366" s="266" t="s">
        <v>19849</v>
      </c>
      <c r="E2366" s="262" t="s">
        <v>8987</v>
      </c>
    </row>
    <row r="2367" spans="1:5" ht="30">
      <c r="A2367" s="261">
        <v>36492</v>
      </c>
      <c r="B2367" s="261" t="s">
        <v>6589</v>
      </c>
      <c r="C2367" s="261" t="s">
        <v>3240</v>
      </c>
      <c r="D2367" s="266" t="s">
        <v>19850</v>
      </c>
      <c r="E2367" s="262" t="s">
        <v>8987</v>
      </c>
    </row>
    <row r="2368" spans="1:5" ht="30">
      <c r="A2368" s="261">
        <v>13333</v>
      </c>
      <c r="B2368" s="261" t="s">
        <v>6590</v>
      </c>
      <c r="C2368" s="261" t="s">
        <v>3240</v>
      </c>
      <c r="D2368" s="265" t="s">
        <v>19851</v>
      </c>
      <c r="E2368" s="262" t="s">
        <v>8987</v>
      </c>
    </row>
    <row r="2369" spans="1:5" ht="30">
      <c r="A2369" s="261">
        <v>13533</v>
      </c>
      <c r="B2369" s="261" t="s">
        <v>6591</v>
      </c>
      <c r="C2369" s="261" t="s">
        <v>3240</v>
      </c>
      <c r="D2369" s="265" t="s">
        <v>19852</v>
      </c>
      <c r="E2369" s="262" t="s">
        <v>8987</v>
      </c>
    </row>
    <row r="2370" spans="1:5" ht="30">
      <c r="A2370" s="261">
        <v>36499</v>
      </c>
      <c r="B2370" s="261" t="s">
        <v>6592</v>
      </c>
      <c r="C2370" s="261" t="s">
        <v>3240</v>
      </c>
      <c r="D2370" s="265" t="s">
        <v>19853</v>
      </c>
      <c r="E2370" s="262" t="s">
        <v>8987</v>
      </c>
    </row>
    <row r="2371" spans="1:5" ht="30">
      <c r="A2371" s="261">
        <v>39585</v>
      </c>
      <c r="B2371" s="261" t="s">
        <v>6593</v>
      </c>
      <c r="C2371" s="261" t="s">
        <v>3240</v>
      </c>
      <c r="D2371" s="265" t="s">
        <v>19854</v>
      </c>
      <c r="E2371" s="262" t="s">
        <v>8987</v>
      </c>
    </row>
    <row r="2372" spans="1:5" ht="30">
      <c r="A2372" s="261">
        <v>39586</v>
      </c>
      <c r="B2372" s="261" t="s">
        <v>19855</v>
      </c>
      <c r="C2372" s="261" t="s">
        <v>3240</v>
      </c>
      <c r="D2372" s="265" t="s">
        <v>19856</v>
      </c>
      <c r="E2372" s="262" t="s">
        <v>8987</v>
      </c>
    </row>
    <row r="2373" spans="1:5" ht="30">
      <c r="A2373" s="261">
        <v>39587</v>
      </c>
      <c r="B2373" s="261" t="s">
        <v>19857</v>
      </c>
      <c r="C2373" s="261" t="s">
        <v>3240</v>
      </c>
      <c r="D2373" s="265" t="s">
        <v>19858</v>
      </c>
      <c r="E2373" s="262" t="s">
        <v>8987</v>
      </c>
    </row>
    <row r="2374" spans="1:5" ht="30">
      <c r="A2374" s="261">
        <v>39588</v>
      </c>
      <c r="B2374" s="261" t="s">
        <v>19859</v>
      </c>
      <c r="C2374" s="261" t="s">
        <v>3240</v>
      </c>
      <c r="D2374" s="265" t="s">
        <v>19860</v>
      </c>
      <c r="E2374" s="262" t="s">
        <v>8987</v>
      </c>
    </row>
    <row r="2375" spans="1:5" ht="30">
      <c r="A2375" s="261">
        <v>39584</v>
      </c>
      <c r="B2375" s="261" t="s">
        <v>6594</v>
      </c>
      <c r="C2375" s="261" t="s">
        <v>3240</v>
      </c>
      <c r="D2375" s="266" t="s">
        <v>19861</v>
      </c>
      <c r="E2375" s="262" t="s">
        <v>8987</v>
      </c>
    </row>
    <row r="2376" spans="1:5" ht="30">
      <c r="A2376" s="261">
        <v>39590</v>
      </c>
      <c r="B2376" s="261" t="s">
        <v>6595</v>
      </c>
      <c r="C2376" s="261" t="s">
        <v>3240</v>
      </c>
      <c r="D2376" s="266" t="s">
        <v>19862</v>
      </c>
      <c r="E2376" s="262" t="s">
        <v>8987</v>
      </c>
    </row>
    <row r="2377" spans="1:5" ht="30">
      <c r="A2377" s="261">
        <v>39592</v>
      </c>
      <c r="B2377" s="261" t="s">
        <v>6596</v>
      </c>
      <c r="C2377" s="261" t="s">
        <v>3240</v>
      </c>
      <c r="D2377" s="265" t="s">
        <v>19863</v>
      </c>
      <c r="E2377" s="262" t="s">
        <v>8987</v>
      </c>
    </row>
    <row r="2378" spans="1:5" ht="30">
      <c r="A2378" s="261">
        <v>39593</v>
      </c>
      <c r="B2378" s="261" t="s">
        <v>6597</v>
      </c>
      <c r="C2378" s="261" t="s">
        <v>3240</v>
      </c>
      <c r="D2378" s="265" t="s">
        <v>19858</v>
      </c>
      <c r="E2378" s="262" t="s">
        <v>8987</v>
      </c>
    </row>
    <row r="2379" spans="1:5" ht="30">
      <c r="A2379" s="261">
        <v>14254</v>
      </c>
      <c r="B2379" s="261" t="s">
        <v>6598</v>
      </c>
      <c r="C2379" s="261" t="s">
        <v>3240</v>
      </c>
      <c r="D2379" s="265" t="s">
        <v>19864</v>
      </c>
      <c r="E2379" s="262" t="s">
        <v>8987</v>
      </c>
    </row>
    <row r="2380" spans="1:5" ht="15">
      <c r="A2380" s="261">
        <v>25987</v>
      </c>
      <c r="B2380" s="261" t="s">
        <v>6599</v>
      </c>
      <c r="C2380" s="261" t="s">
        <v>3240</v>
      </c>
      <c r="D2380" s="265" t="s">
        <v>19865</v>
      </c>
      <c r="E2380" s="262" t="s">
        <v>8987</v>
      </c>
    </row>
    <row r="2381" spans="1:5" ht="15">
      <c r="A2381" s="261">
        <v>25019</v>
      </c>
      <c r="B2381" s="261" t="s">
        <v>6600</v>
      </c>
      <c r="C2381" s="261" t="s">
        <v>3240</v>
      </c>
      <c r="D2381" s="265" t="s">
        <v>19866</v>
      </c>
      <c r="E2381" s="262" t="s">
        <v>8987</v>
      </c>
    </row>
    <row r="2382" spans="1:5" ht="15">
      <c r="A2382" s="261">
        <v>36501</v>
      </c>
      <c r="B2382" s="261" t="s">
        <v>6601</v>
      </c>
      <c r="C2382" s="261" t="s">
        <v>3240</v>
      </c>
      <c r="D2382" s="265" t="s">
        <v>19867</v>
      </c>
      <c r="E2382" s="262" t="s">
        <v>8987</v>
      </c>
    </row>
    <row r="2383" spans="1:5" ht="15">
      <c r="A2383" s="261">
        <v>25986</v>
      </c>
      <c r="B2383" s="261" t="s">
        <v>6602</v>
      </c>
      <c r="C2383" s="261" t="s">
        <v>3240</v>
      </c>
      <c r="D2383" s="265" t="s">
        <v>19868</v>
      </c>
      <c r="E2383" s="262" t="s">
        <v>8987</v>
      </c>
    </row>
    <row r="2384" spans="1:5" ht="15">
      <c r="A2384" s="261">
        <v>36500</v>
      </c>
      <c r="B2384" s="261" t="s">
        <v>6603</v>
      </c>
      <c r="C2384" s="261" t="s">
        <v>3240</v>
      </c>
      <c r="D2384" s="265" t="s">
        <v>19869</v>
      </c>
      <c r="E2384" s="262" t="s">
        <v>8987</v>
      </c>
    </row>
    <row r="2385" spans="1:5" ht="45">
      <c r="A2385" s="261">
        <v>20017</v>
      </c>
      <c r="B2385" s="261" t="s">
        <v>6604</v>
      </c>
      <c r="C2385" s="261" t="s">
        <v>3243</v>
      </c>
      <c r="D2385" s="265" t="s">
        <v>10128</v>
      </c>
      <c r="E2385" s="262" t="s">
        <v>207</v>
      </c>
    </row>
    <row r="2386" spans="1:5" ht="30">
      <c r="A2386" s="261">
        <v>20007</v>
      </c>
      <c r="B2386" s="261" t="s">
        <v>6605</v>
      </c>
      <c r="C2386" s="261" t="s">
        <v>3243</v>
      </c>
      <c r="D2386" s="265" t="s">
        <v>11169</v>
      </c>
      <c r="E2386" s="262" t="s">
        <v>207</v>
      </c>
    </row>
    <row r="2387" spans="1:5" ht="30">
      <c r="A2387" s="261">
        <v>39836</v>
      </c>
      <c r="B2387" s="261" t="s">
        <v>6606</v>
      </c>
      <c r="C2387" s="261" t="s">
        <v>3249</v>
      </c>
      <c r="D2387" s="265" t="s">
        <v>19870</v>
      </c>
      <c r="E2387" s="262" t="s">
        <v>207</v>
      </c>
    </row>
    <row r="2388" spans="1:5" ht="15">
      <c r="A2388" s="261">
        <v>39830</v>
      </c>
      <c r="B2388" s="261" t="s">
        <v>6607</v>
      </c>
      <c r="C2388" s="261" t="s">
        <v>3249</v>
      </c>
      <c r="D2388" s="265" t="s">
        <v>19871</v>
      </c>
      <c r="E2388" s="262" t="s">
        <v>207</v>
      </c>
    </row>
    <row r="2389" spans="1:5" ht="15">
      <c r="A2389" s="261">
        <v>39831</v>
      </c>
      <c r="B2389" s="261" t="s">
        <v>6608</v>
      </c>
      <c r="C2389" s="261" t="s">
        <v>3249</v>
      </c>
      <c r="D2389" s="265" t="s">
        <v>16574</v>
      </c>
      <c r="E2389" s="262" t="s">
        <v>207</v>
      </c>
    </row>
    <row r="2390" spans="1:5" ht="30">
      <c r="A2390" s="261">
        <v>36888</v>
      </c>
      <c r="B2390" s="261" t="s">
        <v>6609</v>
      </c>
      <c r="C2390" s="261" t="s">
        <v>3243</v>
      </c>
      <c r="D2390" s="265" t="s">
        <v>19872</v>
      </c>
      <c r="E2390" s="262" t="s">
        <v>207</v>
      </c>
    </row>
    <row r="2391" spans="1:5" ht="30">
      <c r="A2391" s="261">
        <v>40527</v>
      </c>
      <c r="B2391" s="261" t="s">
        <v>6610</v>
      </c>
      <c r="C2391" s="261" t="s">
        <v>3240</v>
      </c>
      <c r="D2391" s="265" t="s">
        <v>16535</v>
      </c>
      <c r="E2391" s="262" t="s">
        <v>8987</v>
      </c>
    </row>
    <row r="2392" spans="1:5" ht="30">
      <c r="A2392" s="261">
        <v>36497</v>
      </c>
      <c r="B2392" s="261" t="s">
        <v>6611</v>
      </c>
      <c r="C2392" s="261" t="s">
        <v>3240</v>
      </c>
      <c r="D2392" s="265" t="s">
        <v>16536</v>
      </c>
      <c r="E2392" s="262" t="s">
        <v>8987</v>
      </c>
    </row>
    <row r="2393" spans="1:5" ht="30">
      <c r="A2393" s="261">
        <v>36487</v>
      </c>
      <c r="B2393" s="261" t="s">
        <v>6612</v>
      </c>
      <c r="C2393" s="261" t="s">
        <v>3240</v>
      </c>
      <c r="D2393" s="265" t="s">
        <v>16537</v>
      </c>
      <c r="E2393" s="262" t="s">
        <v>8987</v>
      </c>
    </row>
    <row r="2394" spans="1:5" ht="30">
      <c r="A2394" s="261">
        <v>25952</v>
      </c>
      <c r="B2394" s="261" t="s">
        <v>6613</v>
      </c>
      <c r="C2394" s="261" t="s">
        <v>3240</v>
      </c>
      <c r="D2394" s="265" t="s">
        <v>19873</v>
      </c>
      <c r="E2394" s="262" t="s">
        <v>8987</v>
      </c>
    </row>
    <row r="2395" spans="1:5" ht="30">
      <c r="A2395" s="261">
        <v>25954</v>
      </c>
      <c r="B2395" s="261" t="s">
        <v>6614</v>
      </c>
      <c r="C2395" s="261" t="s">
        <v>3240</v>
      </c>
      <c r="D2395" s="265" t="s">
        <v>19874</v>
      </c>
      <c r="E2395" s="262" t="s">
        <v>8987</v>
      </c>
    </row>
    <row r="2396" spans="1:5" ht="30">
      <c r="A2396" s="261">
        <v>25953</v>
      </c>
      <c r="B2396" s="261" t="s">
        <v>6615</v>
      </c>
      <c r="C2396" s="261" t="s">
        <v>3240</v>
      </c>
      <c r="D2396" s="265" t="s">
        <v>19875</v>
      </c>
      <c r="E2396" s="262" t="s">
        <v>8987</v>
      </c>
    </row>
    <row r="2397" spans="1:5" ht="60">
      <c r="A2397" s="261">
        <v>37776</v>
      </c>
      <c r="B2397" s="261" t="s">
        <v>6616</v>
      </c>
      <c r="C2397" s="261" t="s">
        <v>3240</v>
      </c>
      <c r="D2397" s="265" t="s">
        <v>19876</v>
      </c>
      <c r="E2397" s="262" t="s">
        <v>8987</v>
      </c>
    </row>
    <row r="2398" spans="1:5" ht="60">
      <c r="A2398" s="261">
        <v>37775</v>
      </c>
      <c r="B2398" s="261" t="s">
        <v>6617</v>
      </c>
      <c r="C2398" s="261" t="s">
        <v>3240</v>
      </c>
      <c r="D2398" s="265" t="s">
        <v>19877</v>
      </c>
      <c r="E2398" s="262" t="s">
        <v>8987</v>
      </c>
    </row>
    <row r="2399" spans="1:5" ht="60">
      <c r="A2399" s="261">
        <v>36491</v>
      </c>
      <c r="B2399" s="261" t="s">
        <v>6618</v>
      </c>
      <c r="C2399" s="261" t="s">
        <v>3240</v>
      </c>
      <c r="D2399" s="265" t="s">
        <v>19878</v>
      </c>
      <c r="E2399" s="262" t="s">
        <v>8987</v>
      </c>
    </row>
    <row r="2400" spans="1:5" ht="60">
      <c r="A2400" s="261">
        <v>10712</v>
      </c>
      <c r="B2400" s="261" t="s">
        <v>6619</v>
      </c>
      <c r="C2400" s="261" t="s">
        <v>3240</v>
      </c>
      <c r="D2400" s="265" t="s">
        <v>19879</v>
      </c>
      <c r="E2400" s="262" t="s">
        <v>8987</v>
      </c>
    </row>
    <row r="2401" spans="1:5" ht="60">
      <c r="A2401" s="261">
        <v>3363</v>
      </c>
      <c r="B2401" s="261" t="s">
        <v>6620</v>
      </c>
      <c r="C2401" s="261" t="s">
        <v>3240</v>
      </c>
      <c r="D2401" s="265" t="s">
        <v>19880</v>
      </c>
      <c r="E2401" s="262" t="s">
        <v>8987</v>
      </c>
    </row>
    <row r="2402" spans="1:5" ht="60">
      <c r="A2402" s="261">
        <v>3365</v>
      </c>
      <c r="B2402" s="261" t="s">
        <v>6621</v>
      </c>
      <c r="C2402" s="261" t="s">
        <v>3240</v>
      </c>
      <c r="D2402" s="265" t="s">
        <v>19881</v>
      </c>
      <c r="E2402" s="262" t="s">
        <v>8987</v>
      </c>
    </row>
    <row r="2403" spans="1:5" ht="15">
      <c r="A2403" s="261">
        <v>7569</v>
      </c>
      <c r="B2403" s="261" t="s">
        <v>6622</v>
      </c>
      <c r="C2403" s="261" t="s">
        <v>3240</v>
      </c>
      <c r="D2403" s="265" t="s">
        <v>14267</v>
      </c>
      <c r="E2403" s="262" t="s">
        <v>207</v>
      </c>
    </row>
    <row r="2404" spans="1:5" ht="15">
      <c r="A2404" s="261">
        <v>34349</v>
      </c>
      <c r="B2404" s="261" t="s">
        <v>6623</v>
      </c>
      <c r="C2404" s="261" t="s">
        <v>3240</v>
      </c>
      <c r="D2404" s="265" t="s">
        <v>19882</v>
      </c>
      <c r="E2404" s="262" t="s">
        <v>207</v>
      </c>
    </row>
    <row r="2405" spans="1:5" ht="30">
      <c r="A2405" s="261">
        <v>11991</v>
      </c>
      <c r="B2405" s="261" t="s">
        <v>6624</v>
      </c>
      <c r="C2405" s="261" t="s">
        <v>3240</v>
      </c>
      <c r="D2405" s="265" t="s">
        <v>16012</v>
      </c>
      <c r="E2405" s="262" t="s">
        <v>207</v>
      </c>
    </row>
    <row r="2406" spans="1:5" ht="15">
      <c r="A2406" s="261">
        <v>20062</v>
      </c>
      <c r="B2406" s="261" t="s">
        <v>6625</v>
      </c>
      <c r="C2406" s="261" t="s">
        <v>3240</v>
      </c>
      <c r="D2406" s="265" t="s">
        <v>10581</v>
      </c>
      <c r="E2406" s="262" t="s">
        <v>207</v>
      </c>
    </row>
    <row r="2407" spans="1:5" ht="30">
      <c r="A2407" s="261">
        <v>11029</v>
      </c>
      <c r="B2407" s="261" t="s">
        <v>6626</v>
      </c>
      <c r="C2407" s="261" t="s">
        <v>3252</v>
      </c>
      <c r="D2407" s="265" t="s">
        <v>19883</v>
      </c>
      <c r="E2407" s="262" t="s">
        <v>207</v>
      </c>
    </row>
    <row r="2408" spans="1:5" ht="30">
      <c r="A2408" s="261">
        <v>4316</v>
      </c>
      <c r="B2408" s="261" t="s">
        <v>6627</v>
      </c>
      <c r="C2408" s="261" t="s">
        <v>3240</v>
      </c>
      <c r="D2408" s="265" t="s">
        <v>9899</v>
      </c>
      <c r="E2408" s="262" t="s">
        <v>207</v>
      </c>
    </row>
    <row r="2409" spans="1:5" ht="30">
      <c r="A2409" s="261">
        <v>4313</v>
      </c>
      <c r="B2409" s="261" t="s">
        <v>6628</v>
      </c>
      <c r="C2409" s="261" t="s">
        <v>3252</v>
      </c>
      <c r="D2409" s="265" t="s">
        <v>9740</v>
      </c>
      <c r="E2409" s="262" t="s">
        <v>207</v>
      </c>
    </row>
    <row r="2410" spans="1:5" ht="30">
      <c r="A2410" s="261">
        <v>4317</v>
      </c>
      <c r="B2410" s="261" t="s">
        <v>6629</v>
      </c>
      <c r="C2410" s="261" t="s">
        <v>3240</v>
      </c>
      <c r="D2410" s="265" t="s">
        <v>9994</v>
      </c>
      <c r="E2410" s="262" t="s">
        <v>207</v>
      </c>
    </row>
    <row r="2411" spans="1:5" ht="30">
      <c r="A2411" s="261">
        <v>4314</v>
      </c>
      <c r="B2411" s="261" t="s">
        <v>6630</v>
      </c>
      <c r="C2411" s="261" t="s">
        <v>3252</v>
      </c>
      <c r="D2411" s="265" t="s">
        <v>11079</v>
      </c>
      <c r="E2411" s="262" t="s">
        <v>207</v>
      </c>
    </row>
    <row r="2412" spans="1:5" ht="45">
      <c r="A2412" s="261">
        <v>10921</v>
      </c>
      <c r="B2412" s="261" t="s">
        <v>6631</v>
      </c>
      <c r="C2412" s="261" t="s">
        <v>3240</v>
      </c>
      <c r="D2412" s="265" t="s">
        <v>19884</v>
      </c>
      <c r="E2412" s="262" t="s">
        <v>207</v>
      </c>
    </row>
    <row r="2413" spans="1:5" ht="45">
      <c r="A2413" s="261">
        <v>10922</v>
      </c>
      <c r="B2413" s="261" t="s">
        <v>6632</v>
      </c>
      <c r="C2413" s="261" t="s">
        <v>3240</v>
      </c>
      <c r="D2413" s="265" t="s">
        <v>19885</v>
      </c>
      <c r="E2413" s="262" t="s">
        <v>207</v>
      </c>
    </row>
    <row r="2414" spans="1:5" ht="30">
      <c r="A2414" s="261">
        <v>10923</v>
      </c>
      <c r="B2414" s="261" t="s">
        <v>6633</v>
      </c>
      <c r="C2414" s="261" t="s">
        <v>3240</v>
      </c>
      <c r="D2414" s="265" t="s">
        <v>19886</v>
      </c>
      <c r="E2414" s="262" t="s">
        <v>207</v>
      </c>
    </row>
    <row r="2415" spans="1:5" ht="30">
      <c r="A2415" s="261">
        <v>10924</v>
      </c>
      <c r="B2415" s="261" t="s">
        <v>6634</v>
      </c>
      <c r="C2415" s="261" t="s">
        <v>3240</v>
      </c>
      <c r="D2415" s="265" t="s">
        <v>19887</v>
      </c>
      <c r="E2415" s="262" t="s">
        <v>207</v>
      </c>
    </row>
    <row r="2416" spans="1:5" ht="45">
      <c r="A2416" s="261">
        <v>37772</v>
      </c>
      <c r="B2416" s="261" t="s">
        <v>6635</v>
      </c>
      <c r="C2416" s="261" t="s">
        <v>3240</v>
      </c>
      <c r="D2416" s="265" t="s">
        <v>19888</v>
      </c>
      <c r="E2416" s="262" t="s">
        <v>8987</v>
      </c>
    </row>
    <row r="2417" spans="1:5" ht="45">
      <c r="A2417" s="261">
        <v>37771</v>
      </c>
      <c r="B2417" s="261" t="s">
        <v>6636</v>
      </c>
      <c r="C2417" s="261" t="s">
        <v>3240</v>
      </c>
      <c r="D2417" s="265" t="s">
        <v>19889</v>
      </c>
      <c r="E2417" s="262" t="s">
        <v>8987</v>
      </c>
    </row>
    <row r="2418" spans="1:5" ht="45">
      <c r="A2418" s="261">
        <v>12772</v>
      </c>
      <c r="B2418" s="261" t="s">
        <v>19890</v>
      </c>
      <c r="C2418" s="261" t="s">
        <v>3240</v>
      </c>
      <c r="D2418" s="265" t="s">
        <v>19891</v>
      </c>
      <c r="E2418" s="262" t="s">
        <v>207</v>
      </c>
    </row>
    <row r="2419" spans="1:5" ht="45">
      <c r="A2419" s="261">
        <v>12770</v>
      </c>
      <c r="B2419" s="261" t="s">
        <v>19892</v>
      </c>
      <c r="C2419" s="261" t="s">
        <v>3240</v>
      </c>
      <c r="D2419" s="265" t="s">
        <v>19893</v>
      </c>
      <c r="E2419" s="262" t="s">
        <v>207</v>
      </c>
    </row>
    <row r="2420" spans="1:5" ht="45">
      <c r="A2420" s="261">
        <v>12775</v>
      </c>
      <c r="B2420" s="261" t="s">
        <v>19894</v>
      </c>
      <c r="C2420" s="261" t="s">
        <v>3240</v>
      </c>
      <c r="D2420" s="265" t="s">
        <v>19895</v>
      </c>
      <c r="E2420" s="262" t="s">
        <v>207</v>
      </c>
    </row>
    <row r="2421" spans="1:5" ht="45">
      <c r="A2421" s="261">
        <v>12768</v>
      </c>
      <c r="B2421" s="261" t="s">
        <v>19896</v>
      </c>
      <c r="C2421" s="261" t="s">
        <v>3240</v>
      </c>
      <c r="D2421" s="265" t="s">
        <v>19897</v>
      </c>
      <c r="E2421" s="262" t="s">
        <v>207</v>
      </c>
    </row>
    <row r="2422" spans="1:5" ht="45">
      <c r="A2422" s="261">
        <v>12769</v>
      </c>
      <c r="B2422" s="261" t="s">
        <v>19898</v>
      </c>
      <c r="C2422" s="261" t="s">
        <v>3240</v>
      </c>
      <c r="D2422" s="265" t="s">
        <v>19899</v>
      </c>
      <c r="E2422" s="262" t="s">
        <v>207</v>
      </c>
    </row>
    <row r="2423" spans="1:5" ht="45">
      <c r="A2423" s="261">
        <v>12773</v>
      </c>
      <c r="B2423" s="261" t="s">
        <v>19900</v>
      </c>
      <c r="C2423" s="261" t="s">
        <v>3240</v>
      </c>
      <c r="D2423" s="265" t="s">
        <v>19901</v>
      </c>
      <c r="E2423" s="262" t="s">
        <v>207</v>
      </c>
    </row>
    <row r="2424" spans="1:5" ht="45">
      <c r="A2424" s="261">
        <v>12774</v>
      </c>
      <c r="B2424" s="261" t="s">
        <v>19902</v>
      </c>
      <c r="C2424" s="261" t="s">
        <v>3240</v>
      </c>
      <c r="D2424" s="265" t="s">
        <v>19903</v>
      </c>
      <c r="E2424" s="262" t="s">
        <v>207</v>
      </c>
    </row>
    <row r="2425" spans="1:5" ht="45">
      <c r="A2425" s="261">
        <v>12776</v>
      </c>
      <c r="B2425" s="261" t="s">
        <v>19904</v>
      </c>
      <c r="C2425" s="261" t="s">
        <v>3240</v>
      </c>
      <c r="D2425" s="265" t="s">
        <v>19905</v>
      </c>
      <c r="E2425" s="262" t="s">
        <v>207</v>
      </c>
    </row>
    <row r="2426" spans="1:5" ht="45">
      <c r="A2426" s="261">
        <v>12777</v>
      </c>
      <c r="B2426" s="261" t="s">
        <v>19906</v>
      </c>
      <c r="C2426" s="261" t="s">
        <v>3240</v>
      </c>
      <c r="D2426" s="265" t="s">
        <v>19907</v>
      </c>
      <c r="E2426" s="262" t="s">
        <v>207</v>
      </c>
    </row>
    <row r="2427" spans="1:5" ht="30">
      <c r="A2427" s="261">
        <v>3391</v>
      </c>
      <c r="B2427" s="261" t="s">
        <v>6637</v>
      </c>
      <c r="C2427" s="261" t="s">
        <v>3240</v>
      </c>
      <c r="D2427" s="266" t="s">
        <v>16095</v>
      </c>
      <c r="E2427" s="262" t="s">
        <v>207</v>
      </c>
    </row>
    <row r="2428" spans="1:5" ht="30">
      <c r="A2428" s="261">
        <v>3389</v>
      </c>
      <c r="B2428" s="261" t="s">
        <v>6638</v>
      </c>
      <c r="C2428" s="261" t="s">
        <v>3240</v>
      </c>
      <c r="D2428" s="265" t="s">
        <v>11085</v>
      </c>
      <c r="E2428" s="262" t="s">
        <v>207</v>
      </c>
    </row>
    <row r="2429" spans="1:5" ht="30">
      <c r="A2429" s="261">
        <v>3390</v>
      </c>
      <c r="B2429" s="261" t="s">
        <v>6639</v>
      </c>
      <c r="C2429" s="261" t="s">
        <v>3240</v>
      </c>
      <c r="D2429" s="266" t="s">
        <v>15941</v>
      </c>
      <c r="E2429" s="262" t="s">
        <v>207</v>
      </c>
    </row>
    <row r="2430" spans="1:5" ht="15">
      <c r="A2430" s="261">
        <v>12873</v>
      </c>
      <c r="B2430" s="261" t="s">
        <v>6640</v>
      </c>
      <c r="C2430" s="261" t="s">
        <v>3239</v>
      </c>
      <c r="D2430" s="266" t="s">
        <v>11524</v>
      </c>
      <c r="E2430" s="262" t="s">
        <v>9714</v>
      </c>
    </row>
    <row r="2431" spans="1:5" ht="15">
      <c r="A2431" s="261">
        <v>41076</v>
      </c>
      <c r="B2431" s="261" t="s">
        <v>6641</v>
      </c>
      <c r="C2431" s="261" t="s">
        <v>3246</v>
      </c>
      <c r="D2431" s="265" t="s">
        <v>18936</v>
      </c>
      <c r="E2431" s="262" t="s">
        <v>9714</v>
      </c>
    </row>
    <row r="2432" spans="1:5" ht="15">
      <c r="A2432" s="261">
        <v>140</v>
      </c>
      <c r="B2432" s="261" t="s">
        <v>6642</v>
      </c>
      <c r="C2432" s="261" t="s">
        <v>3244</v>
      </c>
      <c r="D2432" s="265" t="s">
        <v>10449</v>
      </c>
      <c r="E2432" s="262" t="s">
        <v>207</v>
      </c>
    </row>
    <row r="2433" spans="1:5" ht="30">
      <c r="A2433" s="261">
        <v>151</v>
      </c>
      <c r="B2433" s="261" t="s">
        <v>6643</v>
      </c>
      <c r="C2433" s="261" t="s">
        <v>3245</v>
      </c>
      <c r="D2433" s="265" t="s">
        <v>16437</v>
      </c>
      <c r="E2433" s="262" t="s">
        <v>207</v>
      </c>
    </row>
    <row r="2434" spans="1:5" ht="15">
      <c r="A2434" s="261">
        <v>7340</v>
      </c>
      <c r="B2434" s="261" t="s">
        <v>6644</v>
      </c>
      <c r="C2434" s="261" t="s">
        <v>3245</v>
      </c>
      <c r="D2434" s="265" t="s">
        <v>19908</v>
      </c>
      <c r="E2434" s="262" t="s">
        <v>207</v>
      </c>
    </row>
    <row r="2435" spans="1:5" ht="15">
      <c r="A2435" s="261">
        <v>2701</v>
      </c>
      <c r="B2435" s="261" t="s">
        <v>6645</v>
      </c>
      <c r="C2435" s="261" t="s">
        <v>3239</v>
      </c>
      <c r="D2435" s="265" t="s">
        <v>18770</v>
      </c>
      <c r="E2435" s="262" t="s">
        <v>9714</v>
      </c>
    </row>
    <row r="2436" spans="1:5" ht="15">
      <c r="A2436" s="261">
        <v>40929</v>
      </c>
      <c r="B2436" s="261" t="s">
        <v>6646</v>
      </c>
      <c r="C2436" s="261" t="s">
        <v>3246</v>
      </c>
      <c r="D2436" s="265" t="s">
        <v>19909</v>
      </c>
      <c r="E2436" s="262" t="s">
        <v>9714</v>
      </c>
    </row>
    <row r="2437" spans="1:5" ht="15">
      <c r="A2437" s="261">
        <v>38114</v>
      </c>
      <c r="B2437" s="261" t="s">
        <v>6647</v>
      </c>
      <c r="C2437" s="261" t="s">
        <v>3240</v>
      </c>
      <c r="D2437" s="265" t="s">
        <v>10440</v>
      </c>
      <c r="E2437" s="262" t="s">
        <v>207</v>
      </c>
    </row>
    <row r="2438" spans="1:5" ht="30">
      <c r="A2438" s="261">
        <v>38064</v>
      </c>
      <c r="B2438" s="261" t="s">
        <v>6648</v>
      </c>
      <c r="C2438" s="261" t="s">
        <v>3240</v>
      </c>
      <c r="D2438" s="265" t="s">
        <v>10299</v>
      </c>
      <c r="E2438" s="262" t="s">
        <v>207</v>
      </c>
    </row>
    <row r="2439" spans="1:5" ht="15">
      <c r="A2439" s="261">
        <v>38115</v>
      </c>
      <c r="B2439" s="261" t="s">
        <v>6649</v>
      </c>
      <c r="C2439" s="261" t="s">
        <v>3240</v>
      </c>
      <c r="D2439" s="265" t="s">
        <v>11501</v>
      </c>
      <c r="E2439" s="262" t="s">
        <v>207</v>
      </c>
    </row>
    <row r="2440" spans="1:5" ht="30">
      <c r="A2440" s="261">
        <v>38065</v>
      </c>
      <c r="B2440" s="261" t="s">
        <v>6650</v>
      </c>
      <c r="C2440" s="261" t="s">
        <v>3240</v>
      </c>
      <c r="D2440" s="265" t="s">
        <v>16024</v>
      </c>
      <c r="E2440" s="262" t="s">
        <v>207</v>
      </c>
    </row>
    <row r="2441" spans="1:5" ht="30">
      <c r="A2441" s="261">
        <v>38078</v>
      </c>
      <c r="B2441" s="261" t="s">
        <v>6651</v>
      </c>
      <c r="C2441" s="261" t="s">
        <v>3240</v>
      </c>
      <c r="D2441" s="265" t="s">
        <v>10026</v>
      </c>
      <c r="E2441" s="262" t="s">
        <v>207</v>
      </c>
    </row>
    <row r="2442" spans="1:5" ht="15">
      <c r="A2442" s="261">
        <v>38113</v>
      </c>
      <c r="B2442" s="261" t="s">
        <v>6652</v>
      </c>
      <c r="C2442" s="261" t="s">
        <v>3240</v>
      </c>
      <c r="D2442" s="265" t="s">
        <v>10427</v>
      </c>
      <c r="E2442" s="262" t="s">
        <v>207</v>
      </c>
    </row>
    <row r="2443" spans="1:5" ht="30">
      <c r="A2443" s="261">
        <v>38063</v>
      </c>
      <c r="B2443" s="261" t="s">
        <v>6653</v>
      </c>
      <c r="C2443" s="261" t="s">
        <v>3240</v>
      </c>
      <c r="D2443" s="266" t="s">
        <v>10531</v>
      </c>
      <c r="E2443" s="262" t="s">
        <v>207</v>
      </c>
    </row>
    <row r="2444" spans="1:5" ht="30">
      <c r="A2444" s="261">
        <v>38080</v>
      </c>
      <c r="B2444" s="261" t="s">
        <v>6654</v>
      </c>
      <c r="C2444" s="261" t="s">
        <v>3240</v>
      </c>
      <c r="D2444" s="265" t="s">
        <v>11529</v>
      </c>
      <c r="E2444" s="262" t="s">
        <v>207</v>
      </c>
    </row>
    <row r="2445" spans="1:5" ht="30">
      <c r="A2445" s="261">
        <v>38069</v>
      </c>
      <c r="B2445" s="261" t="s">
        <v>6655</v>
      </c>
      <c r="C2445" s="261" t="s">
        <v>3240</v>
      </c>
      <c r="D2445" s="265" t="s">
        <v>10470</v>
      </c>
      <c r="E2445" s="262" t="s">
        <v>207</v>
      </c>
    </row>
    <row r="2446" spans="1:5" ht="30">
      <c r="A2446" s="261">
        <v>38077</v>
      </c>
      <c r="B2446" s="261" t="s">
        <v>6656</v>
      </c>
      <c r="C2446" s="261" t="s">
        <v>3240</v>
      </c>
      <c r="D2446" s="265" t="s">
        <v>10618</v>
      </c>
      <c r="E2446" s="262" t="s">
        <v>207</v>
      </c>
    </row>
    <row r="2447" spans="1:5" ht="30">
      <c r="A2447" s="261">
        <v>38073</v>
      </c>
      <c r="B2447" s="261" t="s">
        <v>6657</v>
      </c>
      <c r="C2447" s="261" t="s">
        <v>3240</v>
      </c>
      <c r="D2447" s="265" t="s">
        <v>19162</v>
      </c>
      <c r="E2447" s="262" t="s">
        <v>207</v>
      </c>
    </row>
    <row r="2448" spans="1:5" ht="15">
      <c r="A2448" s="261">
        <v>38112</v>
      </c>
      <c r="B2448" s="261" t="s">
        <v>6658</v>
      </c>
      <c r="C2448" s="261" t="s">
        <v>3240</v>
      </c>
      <c r="D2448" s="265" t="s">
        <v>9826</v>
      </c>
      <c r="E2448" s="262" t="s">
        <v>207</v>
      </c>
    </row>
    <row r="2449" spans="1:5" ht="30">
      <c r="A2449" s="261">
        <v>38062</v>
      </c>
      <c r="B2449" s="261" t="s">
        <v>6659</v>
      </c>
      <c r="C2449" s="261" t="s">
        <v>3240</v>
      </c>
      <c r="D2449" s="265" t="s">
        <v>11037</v>
      </c>
      <c r="E2449" s="262" t="s">
        <v>207</v>
      </c>
    </row>
    <row r="2450" spans="1:5" ht="30">
      <c r="A2450" s="261">
        <v>12128</v>
      </c>
      <c r="B2450" s="261" t="s">
        <v>6660</v>
      </c>
      <c r="C2450" s="261" t="s">
        <v>3240</v>
      </c>
      <c r="D2450" s="265" t="s">
        <v>9883</v>
      </c>
      <c r="E2450" s="262" t="s">
        <v>207</v>
      </c>
    </row>
    <row r="2451" spans="1:5" ht="30">
      <c r="A2451" s="261">
        <v>12129</v>
      </c>
      <c r="B2451" s="261" t="s">
        <v>6661</v>
      </c>
      <c r="C2451" s="261" t="s">
        <v>3240</v>
      </c>
      <c r="D2451" s="265" t="s">
        <v>14071</v>
      </c>
      <c r="E2451" s="262" t="s">
        <v>207</v>
      </c>
    </row>
    <row r="2452" spans="1:5" ht="30">
      <c r="A2452" s="261">
        <v>38081</v>
      </c>
      <c r="B2452" s="261" t="s">
        <v>6662</v>
      </c>
      <c r="C2452" s="261" t="s">
        <v>3240</v>
      </c>
      <c r="D2452" s="265" t="s">
        <v>19910</v>
      </c>
      <c r="E2452" s="262" t="s">
        <v>207</v>
      </c>
    </row>
    <row r="2453" spans="1:5" ht="30">
      <c r="A2453" s="261">
        <v>38070</v>
      </c>
      <c r="B2453" s="261" t="s">
        <v>6663</v>
      </c>
      <c r="C2453" s="261" t="s">
        <v>3240</v>
      </c>
      <c r="D2453" s="265" t="s">
        <v>11385</v>
      </c>
      <c r="E2453" s="262" t="s">
        <v>207</v>
      </c>
    </row>
    <row r="2454" spans="1:5" ht="30">
      <c r="A2454" s="261">
        <v>38074</v>
      </c>
      <c r="B2454" s="261" t="s">
        <v>6664</v>
      </c>
      <c r="C2454" s="261" t="s">
        <v>3240</v>
      </c>
      <c r="D2454" s="265" t="s">
        <v>19496</v>
      </c>
      <c r="E2454" s="262" t="s">
        <v>207</v>
      </c>
    </row>
    <row r="2455" spans="1:5" ht="30">
      <c r="A2455" s="261">
        <v>38079</v>
      </c>
      <c r="B2455" s="261" t="s">
        <v>6665</v>
      </c>
      <c r="C2455" s="261" t="s">
        <v>3240</v>
      </c>
      <c r="D2455" s="265" t="s">
        <v>19911</v>
      </c>
      <c r="E2455" s="262" t="s">
        <v>207</v>
      </c>
    </row>
    <row r="2456" spans="1:5" ht="30">
      <c r="A2456" s="261">
        <v>38072</v>
      </c>
      <c r="B2456" s="261" t="s">
        <v>6666</v>
      </c>
      <c r="C2456" s="261" t="s">
        <v>3240</v>
      </c>
      <c r="D2456" s="265" t="s">
        <v>12203</v>
      </c>
      <c r="E2456" s="262" t="s">
        <v>207</v>
      </c>
    </row>
    <row r="2457" spans="1:5" ht="30">
      <c r="A2457" s="261">
        <v>38068</v>
      </c>
      <c r="B2457" s="261" t="s">
        <v>6667</v>
      </c>
      <c r="C2457" s="261" t="s">
        <v>3240</v>
      </c>
      <c r="D2457" s="265" t="s">
        <v>19912</v>
      </c>
      <c r="E2457" s="262" t="s">
        <v>207</v>
      </c>
    </row>
    <row r="2458" spans="1:5" ht="30">
      <c r="A2458" s="261">
        <v>38071</v>
      </c>
      <c r="B2458" s="261" t="s">
        <v>6668</v>
      </c>
      <c r="C2458" s="261" t="s">
        <v>3240</v>
      </c>
      <c r="D2458" s="265" t="s">
        <v>19913</v>
      </c>
      <c r="E2458" s="262" t="s">
        <v>207</v>
      </c>
    </row>
    <row r="2459" spans="1:5" ht="45">
      <c r="A2459" s="261">
        <v>38412</v>
      </c>
      <c r="B2459" s="261" t="s">
        <v>6669</v>
      </c>
      <c r="C2459" s="261" t="s">
        <v>3240</v>
      </c>
      <c r="D2459" s="265" t="s">
        <v>16538</v>
      </c>
      <c r="E2459" s="262" t="s">
        <v>207</v>
      </c>
    </row>
    <row r="2460" spans="1:5" ht="30">
      <c r="A2460" s="261">
        <v>3405</v>
      </c>
      <c r="B2460" s="261" t="s">
        <v>6670</v>
      </c>
      <c r="C2460" s="261" t="s">
        <v>3240</v>
      </c>
      <c r="D2460" s="265" t="s">
        <v>14150</v>
      </c>
      <c r="E2460" s="262" t="s">
        <v>207</v>
      </c>
    </row>
    <row r="2461" spans="1:5" ht="15">
      <c r="A2461" s="261">
        <v>3394</v>
      </c>
      <c r="B2461" s="261" t="s">
        <v>6671</v>
      </c>
      <c r="C2461" s="261" t="s">
        <v>3240</v>
      </c>
      <c r="D2461" s="265" t="s">
        <v>16539</v>
      </c>
      <c r="E2461" s="262" t="s">
        <v>207</v>
      </c>
    </row>
    <row r="2462" spans="1:5" ht="15">
      <c r="A2462" s="261">
        <v>3393</v>
      </c>
      <c r="B2462" s="261" t="s">
        <v>6672</v>
      </c>
      <c r="C2462" s="261" t="s">
        <v>3240</v>
      </c>
      <c r="D2462" s="265" t="s">
        <v>16540</v>
      </c>
      <c r="E2462" s="262" t="s">
        <v>207</v>
      </c>
    </row>
    <row r="2463" spans="1:5" ht="15">
      <c r="A2463" s="261">
        <v>3406</v>
      </c>
      <c r="B2463" s="261" t="s">
        <v>6673</v>
      </c>
      <c r="C2463" s="261" t="s">
        <v>3240</v>
      </c>
      <c r="D2463" s="265" t="s">
        <v>16541</v>
      </c>
      <c r="E2463" s="262" t="s">
        <v>207</v>
      </c>
    </row>
    <row r="2464" spans="1:5" ht="15">
      <c r="A2464" s="261">
        <v>3395</v>
      </c>
      <c r="B2464" s="261" t="s">
        <v>6674</v>
      </c>
      <c r="C2464" s="261" t="s">
        <v>3240</v>
      </c>
      <c r="D2464" s="265" t="s">
        <v>16542</v>
      </c>
      <c r="E2464" s="262" t="s">
        <v>207</v>
      </c>
    </row>
    <row r="2465" spans="1:5" ht="30">
      <c r="A2465" s="261">
        <v>3398</v>
      </c>
      <c r="B2465" s="261" t="s">
        <v>6675</v>
      </c>
      <c r="C2465" s="261" t="s">
        <v>3240</v>
      </c>
      <c r="D2465" s="265" t="s">
        <v>10840</v>
      </c>
      <c r="E2465" s="262" t="s">
        <v>207</v>
      </c>
    </row>
    <row r="2466" spans="1:5" ht="45">
      <c r="A2466" s="261">
        <v>34377</v>
      </c>
      <c r="B2466" s="261" t="s">
        <v>6676</v>
      </c>
      <c r="C2466" s="261" t="s">
        <v>3240</v>
      </c>
      <c r="D2466" s="265" t="s">
        <v>19914</v>
      </c>
      <c r="E2466" s="262" t="s">
        <v>207</v>
      </c>
    </row>
    <row r="2467" spans="1:5" ht="60">
      <c r="A2467" s="261">
        <v>40662</v>
      </c>
      <c r="B2467" s="261" t="s">
        <v>6677</v>
      </c>
      <c r="C2467" s="261" t="s">
        <v>3240</v>
      </c>
      <c r="D2467" s="265" t="s">
        <v>19915</v>
      </c>
      <c r="E2467" s="262" t="s">
        <v>207</v>
      </c>
    </row>
    <row r="2468" spans="1:5" ht="60">
      <c r="A2468" s="261">
        <v>3437</v>
      </c>
      <c r="B2468" s="261" t="s">
        <v>6678</v>
      </c>
      <c r="C2468" s="261" t="s">
        <v>3242</v>
      </c>
      <c r="D2468" s="265" t="s">
        <v>19916</v>
      </c>
      <c r="E2468" s="262" t="s">
        <v>207</v>
      </c>
    </row>
    <row r="2469" spans="1:5" ht="15">
      <c r="A2469" s="261">
        <v>11190</v>
      </c>
      <c r="B2469" s="261" t="s">
        <v>6679</v>
      </c>
      <c r="C2469" s="261" t="s">
        <v>3240</v>
      </c>
      <c r="D2469" s="265" t="s">
        <v>19917</v>
      </c>
      <c r="E2469" s="262" t="s">
        <v>207</v>
      </c>
    </row>
    <row r="2470" spans="1:5" ht="60">
      <c r="A2470" s="261">
        <v>3428</v>
      </c>
      <c r="B2470" s="261" t="s">
        <v>6680</v>
      </c>
      <c r="C2470" s="261" t="s">
        <v>3242</v>
      </c>
      <c r="D2470" s="265" t="s">
        <v>19918</v>
      </c>
      <c r="E2470" s="262" t="s">
        <v>207</v>
      </c>
    </row>
    <row r="2471" spans="1:5" ht="60">
      <c r="A2471" s="261">
        <v>3429</v>
      </c>
      <c r="B2471" s="261" t="s">
        <v>6681</v>
      </c>
      <c r="C2471" s="261" t="s">
        <v>3242</v>
      </c>
      <c r="D2471" s="265" t="s">
        <v>19919</v>
      </c>
      <c r="E2471" s="262" t="s">
        <v>207</v>
      </c>
    </row>
    <row r="2472" spans="1:5" ht="45">
      <c r="A2472" s="261">
        <v>34370</v>
      </c>
      <c r="B2472" s="261" t="s">
        <v>6682</v>
      </c>
      <c r="C2472" s="261" t="s">
        <v>3240</v>
      </c>
      <c r="D2472" s="265" t="s">
        <v>19920</v>
      </c>
      <c r="E2472" s="262" t="s">
        <v>207</v>
      </c>
    </row>
    <row r="2473" spans="1:5" ht="45">
      <c r="A2473" s="261">
        <v>34372</v>
      </c>
      <c r="B2473" s="261" t="s">
        <v>6683</v>
      </c>
      <c r="C2473" s="261" t="s">
        <v>3240</v>
      </c>
      <c r="D2473" s="265" t="s">
        <v>19921</v>
      </c>
      <c r="E2473" s="262" t="s">
        <v>207</v>
      </c>
    </row>
    <row r="2474" spans="1:5" ht="45">
      <c r="A2474" s="261">
        <v>36896</v>
      </c>
      <c r="B2474" s="261" t="s">
        <v>6684</v>
      </c>
      <c r="C2474" s="261" t="s">
        <v>3240</v>
      </c>
      <c r="D2474" s="265" t="s">
        <v>19922</v>
      </c>
      <c r="E2474" s="262" t="s">
        <v>207</v>
      </c>
    </row>
    <row r="2475" spans="1:5" ht="45">
      <c r="A2475" s="261">
        <v>34367</v>
      </c>
      <c r="B2475" s="261" t="s">
        <v>6685</v>
      </c>
      <c r="C2475" s="261" t="s">
        <v>3240</v>
      </c>
      <c r="D2475" s="265" t="s">
        <v>19923</v>
      </c>
      <c r="E2475" s="262" t="s">
        <v>207</v>
      </c>
    </row>
    <row r="2476" spans="1:5" ht="45">
      <c r="A2476" s="261">
        <v>36897</v>
      </c>
      <c r="B2476" s="261" t="s">
        <v>6686</v>
      </c>
      <c r="C2476" s="261" t="s">
        <v>3240</v>
      </c>
      <c r="D2476" s="265" t="s">
        <v>19924</v>
      </c>
      <c r="E2476" s="262" t="s">
        <v>207</v>
      </c>
    </row>
    <row r="2477" spans="1:5" ht="45">
      <c r="A2477" s="261">
        <v>34369</v>
      </c>
      <c r="B2477" s="261" t="s">
        <v>6687</v>
      </c>
      <c r="C2477" s="261" t="s">
        <v>3240</v>
      </c>
      <c r="D2477" s="265" t="s">
        <v>19925</v>
      </c>
      <c r="E2477" s="262" t="s">
        <v>207</v>
      </c>
    </row>
    <row r="2478" spans="1:5" ht="45">
      <c r="A2478" s="261">
        <v>34364</v>
      </c>
      <c r="B2478" s="261" t="s">
        <v>6688</v>
      </c>
      <c r="C2478" s="261" t="s">
        <v>3240</v>
      </c>
      <c r="D2478" s="265" t="s">
        <v>19926</v>
      </c>
      <c r="E2478" s="262" t="s">
        <v>207</v>
      </c>
    </row>
    <row r="2479" spans="1:5" ht="75">
      <c r="A2479" s="261">
        <v>40659</v>
      </c>
      <c r="B2479" s="261" t="s">
        <v>6689</v>
      </c>
      <c r="C2479" s="261" t="s">
        <v>3242</v>
      </c>
      <c r="D2479" s="265" t="s">
        <v>19927</v>
      </c>
      <c r="E2479" s="262" t="s">
        <v>207</v>
      </c>
    </row>
    <row r="2480" spans="1:5" ht="75">
      <c r="A2480" s="261">
        <v>40660</v>
      </c>
      <c r="B2480" s="261" t="s">
        <v>6690</v>
      </c>
      <c r="C2480" s="261" t="s">
        <v>3242</v>
      </c>
      <c r="D2480" s="265" t="s">
        <v>19928</v>
      </c>
      <c r="E2480" s="262" t="s">
        <v>207</v>
      </c>
    </row>
    <row r="2481" spans="1:5" ht="75">
      <c r="A2481" s="261">
        <v>40661</v>
      </c>
      <c r="B2481" s="261" t="s">
        <v>6691</v>
      </c>
      <c r="C2481" s="261" t="s">
        <v>3242</v>
      </c>
      <c r="D2481" s="265" t="s">
        <v>19929</v>
      </c>
      <c r="E2481" s="262" t="s">
        <v>207</v>
      </c>
    </row>
    <row r="2482" spans="1:5" ht="60">
      <c r="A2482" s="261">
        <v>3421</v>
      </c>
      <c r="B2482" s="261" t="s">
        <v>6692</v>
      </c>
      <c r="C2482" s="261" t="s">
        <v>3242</v>
      </c>
      <c r="D2482" s="265" t="s">
        <v>19930</v>
      </c>
      <c r="E2482" s="262" t="s">
        <v>207</v>
      </c>
    </row>
    <row r="2483" spans="1:5" ht="30">
      <c r="A2483" s="261">
        <v>599</v>
      </c>
      <c r="B2483" s="261" t="s">
        <v>6693</v>
      </c>
      <c r="C2483" s="261" t="s">
        <v>3242</v>
      </c>
      <c r="D2483" s="265" t="s">
        <v>19931</v>
      </c>
      <c r="E2483" s="262" t="s">
        <v>207</v>
      </c>
    </row>
    <row r="2484" spans="1:5" ht="30">
      <c r="A2484" s="261">
        <v>34381</v>
      </c>
      <c r="B2484" s="261" t="s">
        <v>6694</v>
      </c>
      <c r="C2484" s="261" t="s">
        <v>3240</v>
      </c>
      <c r="D2484" s="265" t="s">
        <v>19932</v>
      </c>
      <c r="E2484" s="262" t="s">
        <v>207</v>
      </c>
    </row>
    <row r="2485" spans="1:5" ht="60">
      <c r="A2485" s="261">
        <v>3423</v>
      </c>
      <c r="B2485" s="261" t="s">
        <v>6695</v>
      </c>
      <c r="C2485" s="261" t="s">
        <v>3242</v>
      </c>
      <c r="D2485" s="265" t="s">
        <v>19933</v>
      </c>
      <c r="E2485" s="262" t="s">
        <v>207</v>
      </c>
    </row>
    <row r="2486" spans="1:5" ht="30">
      <c r="A2486" s="261">
        <v>34797</v>
      </c>
      <c r="B2486" s="261" t="s">
        <v>6696</v>
      </c>
      <c r="C2486" s="261" t="s">
        <v>3240</v>
      </c>
      <c r="D2486" s="265" t="s">
        <v>19934</v>
      </c>
      <c r="E2486" s="262" t="s">
        <v>207</v>
      </c>
    </row>
    <row r="2487" spans="1:5" ht="15">
      <c r="A2487" s="261">
        <v>25964</v>
      </c>
      <c r="B2487" s="261" t="s">
        <v>6697</v>
      </c>
      <c r="C2487" s="261" t="s">
        <v>3239</v>
      </c>
      <c r="D2487" s="265" t="s">
        <v>12234</v>
      </c>
      <c r="E2487" s="262" t="s">
        <v>9714</v>
      </c>
    </row>
    <row r="2488" spans="1:5" ht="15">
      <c r="A2488" s="261">
        <v>41077</v>
      </c>
      <c r="B2488" s="261" t="s">
        <v>6698</v>
      </c>
      <c r="C2488" s="261" t="s">
        <v>3246</v>
      </c>
      <c r="D2488" s="265" t="s">
        <v>19935</v>
      </c>
      <c r="E2488" s="262" t="s">
        <v>9714</v>
      </c>
    </row>
    <row r="2489" spans="1:5" ht="30">
      <c r="A2489" s="261">
        <v>20159</v>
      </c>
      <c r="B2489" s="261" t="s">
        <v>11810</v>
      </c>
      <c r="C2489" s="261" t="s">
        <v>3240</v>
      </c>
      <c r="D2489" s="265" t="s">
        <v>12469</v>
      </c>
      <c r="E2489" s="262" t="s">
        <v>207</v>
      </c>
    </row>
    <row r="2490" spans="1:5" ht="15">
      <c r="A2490" s="261">
        <v>37963</v>
      </c>
      <c r="B2490" s="261" t="s">
        <v>6699</v>
      </c>
      <c r="C2490" s="261" t="s">
        <v>3240</v>
      </c>
      <c r="D2490" s="265" t="s">
        <v>10898</v>
      </c>
      <c r="E2490" s="262" t="s">
        <v>207</v>
      </c>
    </row>
    <row r="2491" spans="1:5" ht="15">
      <c r="A2491" s="261">
        <v>37964</v>
      </c>
      <c r="B2491" s="261" t="s">
        <v>6700</v>
      </c>
      <c r="C2491" s="261" t="s">
        <v>3240</v>
      </c>
      <c r="D2491" s="265" t="s">
        <v>11176</v>
      </c>
      <c r="E2491" s="262" t="s">
        <v>207</v>
      </c>
    </row>
    <row r="2492" spans="1:5" ht="15">
      <c r="A2492" s="261">
        <v>37965</v>
      </c>
      <c r="B2492" s="261" t="s">
        <v>6701</v>
      </c>
      <c r="C2492" s="261" t="s">
        <v>3240</v>
      </c>
      <c r="D2492" s="265" t="s">
        <v>10286</v>
      </c>
      <c r="E2492" s="262" t="s">
        <v>207</v>
      </c>
    </row>
    <row r="2493" spans="1:5" ht="15">
      <c r="A2493" s="261">
        <v>37966</v>
      </c>
      <c r="B2493" s="261" t="s">
        <v>6702</v>
      </c>
      <c r="C2493" s="261" t="s">
        <v>3240</v>
      </c>
      <c r="D2493" s="265" t="s">
        <v>19936</v>
      </c>
      <c r="E2493" s="262" t="s">
        <v>207</v>
      </c>
    </row>
    <row r="2494" spans="1:5" ht="15">
      <c r="A2494" s="261">
        <v>37967</v>
      </c>
      <c r="B2494" s="261" t="s">
        <v>6703</v>
      </c>
      <c r="C2494" s="261" t="s">
        <v>3240</v>
      </c>
      <c r="D2494" s="265" t="s">
        <v>18773</v>
      </c>
      <c r="E2494" s="262" t="s">
        <v>207</v>
      </c>
    </row>
    <row r="2495" spans="1:5" ht="15">
      <c r="A2495" s="261">
        <v>37968</v>
      </c>
      <c r="B2495" s="261" t="s">
        <v>6704</v>
      </c>
      <c r="C2495" s="261" t="s">
        <v>3240</v>
      </c>
      <c r="D2495" s="265" t="s">
        <v>19937</v>
      </c>
      <c r="E2495" s="262" t="s">
        <v>207</v>
      </c>
    </row>
    <row r="2496" spans="1:5" ht="15">
      <c r="A2496" s="261">
        <v>37969</v>
      </c>
      <c r="B2496" s="261" t="s">
        <v>6705</v>
      </c>
      <c r="C2496" s="261" t="s">
        <v>3240</v>
      </c>
      <c r="D2496" s="265" t="s">
        <v>19938</v>
      </c>
      <c r="E2496" s="262" t="s">
        <v>207</v>
      </c>
    </row>
    <row r="2497" spans="1:5" ht="15">
      <c r="A2497" s="261">
        <v>37970</v>
      </c>
      <c r="B2497" s="261" t="s">
        <v>6706</v>
      </c>
      <c r="C2497" s="261" t="s">
        <v>3240</v>
      </c>
      <c r="D2497" s="265" t="s">
        <v>19939</v>
      </c>
      <c r="E2497" s="262" t="s">
        <v>207</v>
      </c>
    </row>
    <row r="2498" spans="1:5" ht="15">
      <c r="A2498" s="261">
        <v>21118</v>
      </c>
      <c r="B2498" s="261" t="s">
        <v>6707</v>
      </c>
      <c r="C2498" s="261" t="s">
        <v>3240</v>
      </c>
      <c r="D2498" s="265" t="s">
        <v>15835</v>
      </c>
      <c r="E2498" s="262" t="s">
        <v>207</v>
      </c>
    </row>
    <row r="2499" spans="1:5" ht="15">
      <c r="A2499" s="261">
        <v>37956</v>
      </c>
      <c r="B2499" s="261" t="s">
        <v>6708</v>
      </c>
      <c r="C2499" s="261" t="s">
        <v>3240</v>
      </c>
      <c r="D2499" s="265" t="s">
        <v>11321</v>
      </c>
      <c r="E2499" s="262" t="s">
        <v>207</v>
      </c>
    </row>
    <row r="2500" spans="1:5" ht="15">
      <c r="A2500" s="261">
        <v>37957</v>
      </c>
      <c r="B2500" s="261" t="s">
        <v>6709</v>
      </c>
      <c r="C2500" s="261" t="s">
        <v>3240</v>
      </c>
      <c r="D2500" s="265" t="s">
        <v>12233</v>
      </c>
      <c r="E2500" s="262" t="s">
        <v>207</v>
      </c>
    </row>
    <row r="2501" spans="1:5" ht="15">
      <c r="A2501" s="261">
        <v>37958</v>
      </c>
      <c r="B2501" s="261" t="s">
        <v>6710</v>
      </c>
      <c r="C2501" s="261" t="s">
        <v>3240</v>
      </c>
      <c r="D2501" s="265" t="s">
        <v>19936</v>
      </c>
      <c r="E2501" s="262" t="s">
        <v>207</v>
      </c>
    </row>
    <row r="2502" spans="1:5" ht="15">
      <c r="A2502" s="261">
        <v>37959</v>
      </c>
      <c r="B2502" s="261" t="s">
        <v>6711</v>
      </c>
      <c r="C2502" s="261" t="s">
        <v>3240</v>
      </c>
      <c r="D2502" s="265" t="s">
        <v>18773</v>
      </c>
      <c r="E2502" s="262" t="s">
        <v>207</v>
      </c>
    </row>
    <row r="2503" spans="1:5" ht="15">
      <c r="A2503" s="261">
        <v>37960</v>
      </c>
      <c r="B2503" s="261" t="s">
        <v>6712</v>
      </c>
      <c r="C2503" s="261" t="s">
        <v>3240</v>
      </c>
      <c r="D2503" s="265" t="s">
        <v>19940</v>
      </c>
      <c r="E2503" s="262" t="s">
        <v>207</v>
      </c>
    </row>
    <row r="2504" spans="1:5" ht="15">
      <c r="A2504" s="261">
        <v>37961</v>
      </c>
      <c r="B2504" s="261" t="s">
        <v>6713</v>
      </c>
      <c r="C2504" s="261" t="s">
        <v>3240</v>
      </c>
      <c r="D2504" s="265" t="s">
        <v>12476</v>
      </c>
      <c r="E2504" s="262" t="s">
        <v>207</v>
      </c>
    </row>
    <row r="2505" spans="1:5" ht="15">
      <c r="A2505" s="261">
        <v>37962</v>
      </c>
      <c r="B2505" s="261" t="s">
        <v>6714</v>
      </c>
      <c r="C2505" s="261" t="s">
        <v>3240</v>
      </c>
      <c r="D2505" s="265" t="s">
        <v>19941</v>
      </c>
      <c r="E2505" s="262" t="s">
        <v>207</v>
      </c>
    </row>
    <row r="2506" spans="1:5" ht="30">
      <c r="A2506" s="261">
        <v>3533</v>
      </c>
      <c r="B2506" s="261" t="s">
        <v>6715</v>
      </c>
      <c r="C2506" s="261" t="s">
        <v>3240</v>
      </c>
      <c r="D2506" s="265" t="s">
        <v>10424</v>
      </c>
      <c r="E2506" s="262" t="s">
        <v>207</v>
      </c>
    </row>
    <row r="2507" spans="1:5" ht="30">
      <c r="A2507" s="261">
        <v>3538</v>
      </c>
      <c r="B2507" s="261" t="s">
        <v>6716</v>
      </c>
      <c r="C2507" s="261" t="s">
        <v>3240</v>
      </c>
      <c r="D2507" s="265" t="s">
        <v>18767</v>
      </c>
      <c r="E2507" s="262" t="s">
        <v>207</v>
      </c>
    </row>
    <row r="2508" spans="1:5" ht="30">
      <c r="A2508" s="261">
        <v>3497</v>
      </c>
      <c r="B2508" s="261" t="s">
        <v>6717</v>
      </c>
      <c r="C2508" s="261" t="s">
        <v>3240</v>
      </c>
      <c r="D2508" s="265" t="s">
        <v>19834</v>
      </c>
      <c r="E2508" s="262" t="s">
        <v>207</v>
      </c>
    </row>
    <row r="2509" spans="1:5" ht="15">
      <c r="A2509" s="261">
        <v>3498</v>
      </c>
      <c r="B2509" s="261" t="s">
        <v>6718</v>
      </c>
      <c r="C2509" s="261" t="s">
        <v>3240</v>
      </c>
      <c r="D2509" s="265" t="s">
        <v>19942</v>
      </c>
      <c r="E2509" s="262" t="s">
        <v>207</v>
      </c>
    </row>
    <row r="2510" spans="1:5" ht="30">
      <c r="A2510" s="261">
        <v>3496</v>
      </c>
      <c r="B2510" s="261" t="s">
        <v>6719</v>
      </c>
      <c r="C2510" s="261" t="s">
        <v>3240</v>
      </c>
      <c r="D2510" s="265" t="s">
        <v>11440</v>
      </c>
      <c r="E2510" s="262" t="s">
        <v>207</v>
      </c>
    </row>
    <row r="2511" spans="1:5" ht="30">
      <c r="A2511" s="261">
        <v>38429</v>
      </c>
      <c r="B2511" s="261" t="s">
        <v>6720</v>
      </c>
      <c r="C2511" s="261" t="s">
        <v>3240</v>
      </c>
      <c r="D2511" s="265" t="s">
        <v>10226</v>
      </c>
      <c r="E2511" s="262" t="s">
        <v>207</v>
      </c>
    </row>
    <row r="2512" spans="1:5" ht="30">
      <c r="A2512" s="261">
        <v>38431</v>
      </c>
      <c r="B2512" s="261" t="s">
        <v>6721</v>
      </c>
      <c r="C2512" s="261" t="s">
        <v>3240</v>
      </c>
      <c r="D2512" s="265" t="s">
        <v>9751</v>
      </c>
      <c r="E2512" s="262" t="s">
        <v>207</v>
      </c>
    </row>
    <row r="2513" spans="1:5" ht="30">
      <c r="A2513" s="261">
        <v>38430</v>
      </c>
      <c r="B2513" s="261" t="s">
        <v>6722</v>
      </c>
      <c r="C2513" s="261" t="s">
        <v>3240</v>
      </c>
      <c r="D2513" s="265" t="s">
        <v>16332</v>
      </c>
      <c r="E2513" s="262" t="s">
        <v>207</v>
      </c>
    </row>
    <row r="2514" spans="1:5" ht="15">
      <c r="A2514" s="261">
        <v>36348</v>
      </c>
      <c r="B2514" s="261" t="s">
        <v>6723</v>
      </c>
      <c r="C2514" s="261" t="s">
        <v>3240</v>
      </c>
      <c r="D2514" s="265" t="s">
        <v>11259</v>
      </c>
      <c r="E2514" s="262" t="s">
        <v>207</v>
      </c>
    </row>
    <row r="2515" spans="1:5" ht="15">
      <c r="A2515" s="261">
        <v>36349</v>
      </c>
      <c r="B2515" s="261" t="s">
        <v>6724</v>
      </c>
      <c r="C2515" s="261" t="s">
        <v>3240</v>
      </c>
      <c r="D2515" s="265" t="s">
        <v>19273</v>
      </c>
      <c r="E2515" s="262" t="s">
        <v>207</v>
      </c>
    </row>
    <row r="2516" spans="1:5" ht="15">
      <c r="A2516" s="261">
        <v>38433</v>
      </c>
      <c r="B2516" s="261" t="s">
        <v>6725</v>
      </c>
      <c r="C2516" s="261" t="s">
        <v>3240</v>
      </c>
      <c r="D2516" s="265" t="s">
        <v>12352</v>
      </c>
      <c r="E2516" s="262" t="s">
        <v>207</v>
      </c>
    </row>
    <row r="2517" spans="1:5" ht="15">
      <c r="A2517" s="261">
        <v>38440</v>
      </c>
      <c r="B2517" s="261" t="s">
        <v>6726</v>
      </c>
      <c r="C2517" s="261" t="s">
        <v>3240</v>
      </c>
      <c r="D2517" s="265" t="s">
        <v>19943</v>
      </c>
      <c r="E2517" s="262" t="s">
        <v>207</v>
      </c>
    </row>
    <row r="2518" spans="1:5" ht="15">
      <c r="A2518" s="261">
        <v>36359</v>
      </c>
      <c r="B2518" s="261" t="s">
        <v>6727</v>
      </c>
      <c r="C2518" s="261" t="s">
        <v>3240</v>
      </c>
      <c r="D2518" s="265" t="s">
        <v>9819</v>
      </c>
      <c r="E2518" s="262" t="s">
        <v>207</v>
      </c>
    </row>
    <row r="2519" spans="1:5" ht="15">
      <c r="A2519" s="261">
        <v>36360</v>
      </c>
      <c r="B2519" s="261" t="s">
        <v>6728</v>
      </c>
      <c r="C2519" s="261" t="s">
        <v>3240</v>
      </c>
      <c r="D2519" s="265" t="s">
        <v>9881</v>
      </c>
      <c r="E2519" s="262" t="s">
        <v>207</v>
      </c>
    </row>
    <row r="2520" spans="1:5" ht="15">
      <c r="A2520" s="261">
        <v>38434</v>
      </c>
      <c r="B2520" s="261" t="s">
        <v>6729</v>
      </c>
      <c r="C2520" s="261" t="s">
        <v>3240</v>
      </c>
      <c r="D2520" s="265" t="s">
        <v>10626</v>
      </c>
      <c r="E2520" s="262" t="s">
        <v>207</v>
      </c>
    </row>
    <row r="2521" spans="1:5" ht="15">
      <c r="A2521" s="261">
        <v>38435</v>
      </c>
      <c r="B2521" s="261" t="s">
        <v>6730</v>
      </c>
      <c r="C2521" s="261" t="s">
        <v>3240</v>
      </c>
      <c r="D2521" s="265" t="s">
        <v>10590</v>
      </c>
      <c r="E2521" s="262" t="s">
        <v>207</v>
      </c>
    </row>
    <row r="2522" spans="1:5" ht="15">
      <c r="A2522" s="261">
        <v>38436</v>
      </c>
      <c r="B2522" s="261" t="s">
        <v>6731</v>
      </c>
      <c r="C2522" s="261" t="s">
        <v>3240</v>
      </c>
      <c r="D2522" s="265" t="s">
        <v>15861</v>
      </c>
      <c r="E2522" s="262" t="s">
        <v>207</v>
      </c>
    </row>
    <row r="2523" spans="1:5" ht="15">
      <c r="A2523" s="261">
        <v>38437</v>
      </c>
      <c r="B2523" s="261" t="s">
        <v>6732</v>
      </c>
      <c r="C2523" s="261" t="s">
        <v>3240</v>
      </c>
      <c r="D2523" s="265" t="s">
        <v>19944</v>
      </c>
      <c r="E2523" s="262" t="s">
        <v>207</v>
      </c>
    </row>
    <row r="2524" spans="1:5" ht="15">
      <c r="A2524" s="261">
        <v>38438</v>
      </c>
      <c r="B2524" s="261" t="s">
        <v>6733</v>
      </c>
      <c r="C2524" s="261" t="s">
        <v>3240</v>
      </c>
      <c r="D2524" s="265" t="s">
        <v>19945</v>
      </c>
      <c r="E2524" s="262" t="s">
        <v>207</v>
      </c>
    </row>
    <row r="2525" spans="1:5" ht="15">
      <c r="A2525" s="261">
        <v>38439</v>
      </c>
      <c r="B2525" s="261" t="s">
        <v>6734</v>
      </c>
      <c r="C2525" s="261" t="s">
        <v>3240</v>
      </c>
      <c r="D2525" s="265" t="s">
        <v>19946</v>
      </c>
      <c r="E2525" s="262" t="s">
        <v>207</v>
      </c>
    </row>
    <row r="2526" spans="1:5" ht="30">
      <c r="A2526" s="261">
        <v>10836</v>
      </c>
      <c r="B2526" s="261" t="s">
        <v>6735</v>
      </c>
      <c r="C2526" s="261" t="s">
        <v>3240</v>
      </c>
      <c r="D2526" s="265" t="s">
        <v>16471</v>
      </c>
      <c r="E2526" s="262" t="s">
        <v>207</v>
      </c>
    </row>
    <row r="2527" spans="1:5" ht="15">
      <c r="A2527" s="261">
        <v>20128</v>
      </c>
      <c r="B2527" s="261" t="s">
        <v>6736</v>
      </c>
      <c r="C2527" s="261" t="s">
        <v>3240</v>
      </c>
      <c r="D2527" s="265" t="s">
        <v>19947</v>
      </c>
      <c r="E2527" s="262" t="s">
        <v>207</v>
      </c>
    </row>
    <row r="2528" spans="1:5" ht="15">
      <c r="A2528" s="261">
        <v>20131</v>
      </c>
      <c r="B2528" s="261" t="s">
        <v>6737</v>
      </c>
      <c r="C2528" s="261" t="s">
        <v>3240</v>
      </c>
      <c r="D2528" s="265" t="s">
        <v>19948</v>
      </c>
      <c r="E2528" s="262" t="s">
        <v>207</v>
      </c>
    </row>
    <row r="2529" spans="1:5" ht="30">
      <c r="A2529" s="261">
        <v>3521</v>
      </c>
      <c r="B2529" s="261" t="s">
        <v>6738</v>
      </c>
      <c r="C2529" s="261" t="s">
        <v>3240</v>
      </c>
      <c r="D2529" s="265" t="s">
        <v>12254</v>
      </c>
      <c r="E2529" s="262" t="s">
        <v>207</v>
      </c>
    </row>
    <row r="2530" spans="1:5" ht="30">
      <c r="A2530" s="261">
        <v>3531</v>
      </c>
      <c r="B2530" s="261" t="s">
        <v>6739</v>
      </c>
      <c r="C2530" s="261" t="s">
        <v>3240</v>
      </c>
      <c r="D2530" s="265" t="s">
        <v>10802</v>
      </c>
      <c r="E2530" s="262" t="s">
        <v>207</v>
      </c>
    </row>
    <row r="2531" spans="1:5" ht="30">
      <c r="A2531" s="261">
        <v>3522</v>
      </c>
      <c r="B2531" s="261" t="s">
        <v>6740</v>
      </c>
      <c r="C2531" s="261" t="s">
        <v>3240</v>
      </c>
      <c r="D2531" s="265" t="s">
        <v>11359</v>
      </c>
      <c r="E2531" s="262" t="s">
        <v>207</v>
      </c>
    </row>
    <row r="2532" spans="1:5" ht="30">
      <c r="A2532" s="261">
        <v>3527</v>
      </c>
      <c r="B2532" s="261" t="s">
        <v>6741</v>
      </c>
      <c r="C2532" s="261" t="s">
        <v>3240</v>
      </c>
      <c r="D2532" s="265" t="s">
        <v>11056</v>
      </c>
      <c r="E2532" s="262" t="s">
        <v>207</v>
      </c>
    </row>
    <row r="2533" spans="1:5" ht="30">
      <c r="A2533" s="261">
        <v>10835</v>
      </c>
      <c r="B2533" s="261" t="s">
        <v>6742</v>
      </c>
      <c r="C2533" s="261" t="s">
        <v>3240</v>
      </c>
      <c r="D2533" s="265" t="s">
        <v>9930</v>
      </c>
      <c r="E2533" s="262" t="s">
        <v>207</v>
      </c>
    </row>
    <row r="2534" spans="1:5" ht="15">
      <c r="A2534" s="261">
        <v>3475</v>
      </c>
      <c r="B2534" s="261" t="s">
        <v>6743</v>
      </c>
      <c r="C2534" s="261" t="s">
        <v>3240</v>
      </c>
      <c r="D2534" s="265" t="s">
        <v>9857</v>
      </c>
      <c r="E2534" s="262" t="s">
        <v>207</v>
      </c>
    </row>
    <row r="2535" spans="1:5" ht="15">
      <c r="A2535" s="261">
        <v>3485</v>
      </c>
      <c r="B2535" s="261" t="s">
        <v>6744</v>
      </c>
      <c r="C2535" s="261" t="s">
        <v>3240</v>
      </c>
      <c r="D2535" s="265" t="s">
        <v>10547</v>
      </c>
      <c r="E2535" s="262" t="s">
        <v>207</v>
      </c>
    </row>
    <row r="2536" spans="1:5" ht="15">
      <c r="A2536" s="261">
        <v>3534</v>
      </c>
      <c r="B2536" s="261" t="s">
        <v>6745</v>
      </c>
      <c r="C2536" s="261" t="s">
        <v>3240</v>
      </c>
      <c r="D2536" s="265" t="s">
        <v>18766</v>
      </c>
      <c r="E2536" s="262" t="s">
        <v>207</v>
      </c>
    </row>
    <row r="2537" spans="1:5" ht="15">
      <c r="A2537" s="261">
        <v>3543</v>
      </c>
      <c r="B2537" s="261" t="s">
        <v>6746</v>
      </c>
      <c r="C2537" s="261" t="s">
        <v>3240</v>
      </c>
      <c r="D2537" s="265" t="s">
        <v>12177</v>
      </c>
      <c r="E2537" s="262" t="s">
        <v>207</v>
      </c>
    </row>
    <row r="2538" spans="1:5" ht="15">
      <c r="A2538" s="261">
        <v>3482</v>
      </c>
      <c r="B2538" s="261" t="s">
        <v>6747</v>
      </c>
      <c r="C2538" s="261" t="s">
        <v>3240</v>
      </c>
      <c r="D2538" s="265" t="s">
        <v>10197</v>
      </c>
      <c r="E2538" s="262" t="s">
        <v>207</v>
      </c>
    </row>
    <row r="2539" spans="1:5" ht="15">
      <c r="A2539" s="261">
        <v>3505</v>
      </c>
      <c r="B2539" s="261" t="s">
        <v>6748</v>
      </c>
      <c r="C2539" s="261" t="s">
        <v>3240</v>
      </c>
      <c r="D2539" s="265" t="s">
        <v>12130</v>
      </c>
      <c r="E2539" s="262" t="s">
        <v>207</v>
      </c>
    </row>
    <row r="2540" spans="1:5" ht="15">
      <c r="A2540" s="261">
        <v>3516</v>
      </c>
      <c r="B2540" s="261" t="s">
        <v>6749</v>
      </c>
      <c r="C2540" s="261" t="s">
        <v>3240</v>
      </c>
      <c r="D2540" s="265" t="s">
        <v>9953</v>
      </c>
      <c r="E2540" s="262" t="s">
        <v>207</v>
      </c>
    </row>
    <row r="2541" spans="1:5" ht="15">
      <c r="A2541" s="261">
        <v>3517</v>
      </c>
      <c r="B2541" s="261" t="s">
        <v>6750</v>
      </c>
      <c r="C2541" s="261" t="s">
        <v>3240</v>
      </c>
      <c r="D2541" s="265" t="s">
        <v>9797</v>
      </c>
      <c r="E2541" s="262" t="s">
        <v>207</v>
      </c>
    </row>
    <row r="2542" spans="1:5" ht="30">
      <c r="A2542" s="261">
        <v>3515</v>
      </c>
      <c r="B2542" s="261" t="s">
        <v>6751</v>
      </c>
      <c r="C2542" s="261" t="s">
        <v>3240</v>
      </c>
      <c r="D2542" s="265" t="s">
        <v>10421</v>
      </c>
      <c r="E2542" s="262" t="s">
        <v>207</v>
      </c>
    </row>
    <row r="2543" spans="1:5" ht="30">
      <c r="A2543" s="261">
        <v>20147</v>
      </c>
      <c r="B2543" s="261" t="s">
        <v>6752</v>
      </c>
      <c r="C2543" s="261" t="s">
        <v>3240</v>
      </c>
      <c r="D2543" s="265" t="s">
        <v>12345</v>
      </c>
      <c r="E2543" s="262" t="s">
        <v>207</v>
      </c>
    </row>
    <row r="2544" spans="1:5" ht="30">
      <c r="A2544" s="261">
        <v>3524</v>
      </c>
      <c r="B2544" s="261" t="s">
        <v>6753</v>
      </c>
      <c r="C2544" s="261" t="s">
        <v>3240</v>
      </c>
      <c r="D2544" s="265" t="s">
        <v>14056</v>
      </c>
      <c r="E2544" s="262" t="s">
        <v>207</v>
      </c>
    </row>
    <row r="2545" spans="1:5" ht="30">
      <c r="A2545" s="261">
        <v>3532</v>
      </c>
      <c r="B2545" s="261" t="s">
        <v>6754</v>
      </c>
      <c r="C2545" s="261" t="s">
        <v>3240</v>
      </c>
      <c r="D2545" s="265" t="s">
        <v>16028</v>
      </c>
      <c r="E2545" s="262" t="s">
        <v>207</v>
      </c>
    </row>
    <row r="2546" spans="1:5" ht="15">
      <c r="A2546" s="261">
        <v>3528</v>
      </c>
      <c r="B2546" s="261" t="s">
        <v>6755</v>
      </c>
      <c r="C2546" s="261" t="s">
        <v>3240</v>
      </c>
      <c r="D2546" s="265" t="s">
        <v>15816</v>
      </c>
      <c r="E2546" s="262" t="s">
        <v>207</v>
      </c>
    </row>
    <row r="2547" spans="1:5" ht="15">
      <c r="A2547" s="261">
        <v>37952</v>
      </c>
      <c r="B2547" s="261" t="s">
        <v>6756</v>
      </c>
      <c r="C2547" s="261" t="s">
        <v>3240</v>
      </c>
      <c r="D2547" s="265" t="s">
        <v>19949</v>
      </c>
      <c r="E2547" s="262" t="s">
        <v>207</v>
      </c>
    </row>
    <row r="2548" spans="1:5" ht="15">
      <c r="A2548" s="261">
        <v>37951</v>
      </c>
      <c r="B2548" s="261" t="s">
        <v>6757</v>
      </c>
      <c r="C2548" s="261" t="s">
        <v>3240</v>
      </c>
      <c r="D2548" s="265" t="s">
        <v>11365</v>
      </c>
      <c r="E2548" s="262" t="s">
        <v>207</v>
      </c>
    </row>
    <row r="2549" spans="1:5" ht="15">
      <c r="A2549" s="261">
        <v>3518</v>
      </c>
      <c r="B2549" s="261" t="s">
        <v>6758</v>
      </c>
      <c r="C2549" s="261" t="s">
        <v>3240</v>
      </c>
      <c r="D2549" s="265" t="s">
        <v>16398</v>
      </c>
      <c r="E2549" s="262" t="s">
        <v>207</v>
      </c>
    </row>
    <row r="2550" spans="1:5" ht="15">
      <c r="A2550" s="261">
        <v>3519</v>
      </c>
      <c r="B2550" s="261" t="s">
        <v>6759</v>
      </c>
      <c r="C2550" s="261" t="s">
        <v>3240</v>
      </c>
      <c r="D2550" s="265" t="s">
        <v>15852</v>
      </c>
      <c r="E2550" s="262" t="s">
        <v>207</v>
      </c>
    </row>
    <row r="2551" spans="1:5" ht="15">
      <c r="A2551" s="261">
        <v>3520</v>
      </c>
      <c r="B2551" s="261" t="s">
        <v>6760</v>
      </c>
      <c r="C2551" s="261" t="s">
        <v>3240</v>
      </c>
      <c r="D2551" s="265" t="s">
        <v>11347</v>
      </c>
      <c r="E2551" s="262" t="s">
        <v>207</v>
      </c>
    </row>
    <row r="2552" spans="1:5" ht="15">
      <c r="A2552" s="261">
        <v>37950</v>
      </c>
      <c r="B2552" s="261" t="s">
        <v>6761</v>
      </c>
      <c r="C2552" s="261" t="s">
        <v>3240</v>
      </c>
      <c r="D2552" s="265" t="s">
        <v>19948</v>
      </c>
      <c r="E2552" s="262" t="s">
        <v>207</v>
      </c>
    </row>
    <row r="2553" spans="1:5" ht="15">
      <c r="A2553" s="261">
        <v>37949</v>
      </c>
      <c r="B2553" s="261" t="s">
        <v>6762</v>
      </c>
      <c r="C2553" s="261" t="s">
        <v>3240</v>
      </c>
      <c r="D2553" s="265" t="s">
        <v>11171</v>
      </c>
      <c r="E2553" s="262" t="s">
        <v>207</v>
      </c>
    </row>
    <row r="2554" spans="1:5" ht="15">
      <c r="A2554" s="261">
        <v>3526</v>
      </c>
      <c r="B2554" s="261" t="s">
        <v>6763</v>
      </c>
      <c r="C2554" s="261" t="s">
        <v>3240</v>
      </c>
      <c r="D2554" s="265" t="s">
        <v>9741</v>
      </c>
      <c r="E2554" s="262" t="s">
        <v>207</v>
      </c>
    </row>
    <row r="2555" spans="1:5" ht="15">
      <c r="A2555" s="261">
        <v>3509</v>
      </c>
      <c r="B2555" s="261" t="s">
        <v>6764</v>
      </c>
      <c r="C2555" s="261" t="s">
        <v>3240</v>
      </c>
      <c r="D2555" s="265" t="s">
        <v>11035</v>
      </c>
      <c r="E2555" s="262" t="s">
        <v>207</v>
      </c>
    </row>
    <row r="2556" spans="1:5" ht="15">
      <c r="A2556" s="261">
        <v>3530</v>
      </c>
      <c r="B2556" s="261" t="s">
        <v>6765</v>
      </c>
      <c r="C2556" s="261" t="s">
        <v>3240</v>
      </c>
      <c r="D2556" s="265" t="s">
        <v>19950</v>
      </c>
      <c r="E2556" s="262" t="s">
        <v>207</v>
      </c>
    </row>
    <row r="2557" spans="1:5" ht="15">
      <c r="A2557" s="261">
        <v>3542</v>
      </c>
      <c r="B2557" s="261" t="s">
        <v>6766</v>
      </c>
      <c r="C2557" s="261" t="s">
        <v>3240</v>
      </c>
      <c r="D2557" s="265" t="s">
        <v>12166</v>
      </c>
      <c r="E2557" s="264" t="s">
        <v>207</v>
      </c>
    </row>
    <row r="2558" spans="1:5" ht="15">
      <c r="A2558" s="261">
        <v>3529</v>
      </c>
      <c r="B2558" s="261" t="s">
        <v>6767</v>
      </c>
      <c r="C2558" s="261" t="s">
        <v>3240</v>
      </c>
      <c r="D2558" s="265" t="s">
        <v>9922</v>
      </c>
      <c r="E2558" s="264" t="s">
        <v>207</v>
      </c>
    </row>
    <row r="2559" spans="1:5" ht="15">
      <c r="A2559" s="261">
        <v>3536</v>
      </c>
      <c r="B2559" s="261" t="s">
        <v>6768</v>
      </c>
      <c r="C2559" s="261" t="s">
        <v>3240</v>
      </c>
      <c r="D2559" s="265" t="s">
        <v>11074</v>
      </c>
      <c r="E2559" s="262" t="s">
        <v>207</v>
      </c>
    </row>
    <row r="2560" spans="1:5" ht="15">
      <c r="A2560" s="261">
        <v>3535</v>
      </c>
      <c r="B2560" s="261" t="s">
        <v>6769</v>
      </c>
      <c r="C2560" s="261" t="s">
        <v>3240</v>
      </c>
      <c r="D2560" s="265" t="s">
        <v>14193</v>
      </c>
      <c r="E2560" s="262" t="s">
        <v>207</v>
      </c>
    </row>
    <row r="2561" spans="1:5" ht="15">
      <c r="A2561" s="261">
        <v>3540</v>
      </c>
      <c r="B2561" s="261" t="s">
        <v>6770</v>
      </c>
      <c r="C2561" s="261" t="s">
        <v>3240</v>
      </c>
      <c r="D2561" s="265" t="s">
        <v>10059</v>
      </c>
      <c r="E2561" s="262" t="s">
        <v>207</v>
      </c>
    </row>
    <row r="2562" spans="1:5" ht="15">
      <c r="A2562" s="261">
        <v>3539</v>
      </c>
      <c r="B2562" s="261" t="s">
        <v>6771</v>
      </c>
      <c r="C2562" s="261" t="s">
        <v>3240</v>
      </c>
      <c r="D2562" s="265" t="s">
        <v>19951</v>
      </c>
      <c r="E2562" s="262" t="s">
        <v>207</v>
      </c>
    </row>
    <row r="2563" spans="1:5" ht="15">
      <c r="A2563" s="261">
        <v>3513</v>
      </c>
      <c r="B2563" s="261" t="s">
        <v>6772</v>
      </c>
      <c r="C2563" s="261" t="s">
        <v>3240</v>
      </c>
      <c r="D2563" s="265" t="s">
        <v>19952</v>
      </c>
      <c r="E2563" s="262" t="s">
        <v>207</v>
      </c>
    </row>
    <row r="2564" spans="1:5" ht="15">
      <c r="A2564" s="261">
        <v>3492</v>
      </c>
      <c r="B2564" s="261" t="s">
        <v>6773</v>
      </c>
      <c r="C2564" s="261" t="s">
        <v>3240</v>
      </c>
      <c r="D2564" s="265" t="s">
        <v>11256</v>
      </c>
      <c r="E2564" s="262" t="s">
        <v>207</v>
      </c>
    </row>
    <row r="2565" spans="1:5" ht="15">
      <c r="A2565" s="261">
        <v>3491</v>
      </c>
      <c r="B2565" s="261" t="s">
        <v>6774</v>
      </c>
      <c r="C2565" s="261" t="s">
        <v>3240</v>
      </c>
      <c r="D2565" s="265" t="s">
        <v>11523</v>
      </c>
      <c r="E2565" s="262" t="s">
        <v>207</v>
      </c>
    </row>
    <row r="2566" spans="1:5" ht="15">
      <c r="A2566" s="261">
        <v>3493</v>
      </c>
      <c r="B2566" s="261" t="s">
        <v>6775</v>
      </c>
      <c r="C2566" s="261" t="s">
        <v>3240</v>
      </c>
      <c r="D2566" s="265" t="s">
        <v>19342</v>
      </c>
      <c r="E2566" s="262" t="s">
        <v>207</v>
      </c>
    </row>
    <row r="2567" spans="1:5" ht="30">
      <c r="A2567" s="261">
        <v>12628</v>
      </c>
      <c r="B2567" s="261" t="s">
        <v>6776</v>
      </c>
      <c r="C2567" s="261" t="s">
        <v>3240</v>
      </c>
      <c r="D2567" s="265" t="s">
        <v>10216</v>
      </c>
      <c r="E2567" s="262" t="s">
        <v>207</v>
      </c>
    </row>
    <row r="2568" spans="1:5" ht="30">
      <c r="A2568" s="261">
        <v>12629</v>
      </c>
      <c r="B2568" s="261" t="s">
        <v>6777</v>
      </c>
      <c r="C2568" s="261" t="s">
        <v>3240</v>
      </c>
      <c r="D2568" s="265" t="s">
        <v>19953</v>
      </c>
      <c r="E2568" s="262" t="s">
        <v>207</v>
      </c>
    </row>
    <row r="2569" spans="1:5" ht="15">
      <c r="A2569" s="261">
        <v>3481</v>
      </c>
      <c r="B2569" s="261" t="s">
        <v>6778</v>
      </c>
      <c r="C2569" s="261" t="s">
        <v>3240</v>
      </c>
      <c r="D2569" s="265" t="s">
        <v>12444</v>
      </c>
      <c r="E2569" s="262" t="s">
        <v>207</v>
      </c>
    </row>
    <row r="2570" spans="1:5" ht="15">
      <c r="A2570" s="261">
        <v>3510</v>
      </c>
      <c r="B2570" s="261" t="s">
        <v>6779</v>
      </c>
      <c r="C2570" s="261" t="s">
        <v>3240</v>
      </c>
      <c r="D2570" s="265" t="s">
        <v>15950</v>
      </c>
      <c r="E2570" s="262" t="s">
        <v>207</v>
      </c>
    </row>
    <row r="2571" spans="1:5" ht="15">
      <c r="A2571" s="261">
        <v>3508</v>
      </c>
      <c r="B2571" s="261" t="s">
        <v>6780</v>
      </c>
      <c r="C2571" s="261" t="s">
        <v>3240</v>
      </c>
      <c r="D2571" s="265" t="s">
        <v>19954</v>
      </c>
      <c r="E2571" s="262" t="s">
        <v>207</v>
      </c>
    </row>
    <row r="2572" spans="1:5" ht="30">
      <c r="A2572" s="261">
        <v>38939</v>
      </c>
      <c r="B2572" s="261" t="s">
        <v>6781</v>
      </c>
      <c r="C2572" s="261" t="s">
        <v>3240</v>
      </c>
      <c r="D2572" s="265" t="s">
        <v>11041</v>
      </c>
      <c r="E2572" s="262" t="s">
        <v>207</v>
      </c>
    </row>
    <row r="2573" spans="1:5" ht="30">
      <c r="A2573" s="261">
        <v>38940</v>
      </c>
      <c r="B2573" s="261" t="s">
        <v>6782</v>
      </c>
      <c r="C2573" s="261" t="s">
        <v>3240</v>
      </c>
      <c r="D2573" s="265" t="s">
        <v>16099</v>
      </c>
      <c r="E2573" s="262" t="s">
        <v>207</v>
      </c>
    </row>
    <row r="2574" spans="1:5" ht="30">
      <c r="A2574" s="261">
        <v>38941</v>
      </c>
      <c r="B2574" s="261" t="s">
        <v>6783</v>
      </c>
      <c r="C2574" s="261" t="s">
        <v>3240</v>
      </c>
      <c r="D2574" s="265" t="s">
        <v>10599</v>
      </c>
      <c r="E2574" s="262" t="s">
        <v>207</v>
      </c>
    </row>
    <row r="2575" spans="1:5" ht="30">
      <c r="A2575" s="261">
        <v>38942</v>
      </c>
      <c r="B2575" s="261" t="s">
        <v>6784</v>
      </c>
      <c r="C2575" s="261" t="s">
        <v>3240</v>
      </c>
      <c r="D2575" s="265" t="s">
        <v>19341</v>
      </c>
      <c r="E2575" s="262" t="s">
        <v>207</v>
      </c>
    </row>
    <row r="2576" spans="1:5" ht="30">
      <c r="A2576" s="261">
        <v>38987</v>
      </c>
      <c r="B2576" s="261" t="s">
        <v>6785</v>
      </c>
      <c r="C2576" s="261" t="s">
        <v>3240</v>
      </c>
      <c r="D2576" s="265" t="s">
        <v>10521</v>
      </c>
      <c r="E2576" s="262" t="s">
        <v>207</v>
      </c>
    </row>
    <row r="2577" spans="1:5" ht="30">
      <c r="A2577" s="261">
        <v>38988</v>
      </c>
      <c r="B2577" s="261" t="s">
        <v>6786</v>
      </c>
      <c r="C2577" s="261" t="s">
        <v>3240</v>
      </c>
      <c r="D2577" s="265" t="s">
        <v>19955</v>
      </c>
      <c r="E2577" s="262" t="s">
        <v>207</v>
      </c>
    </row>
    <row r="2578" spans="1:5" ht="30">
      <c r="A2578" s="261">
        <v>38989</v>
      </c>
      <c r="B2578" s="261" t="s">
        <v>6787</v>
      </c>
      <c r="C2578" s="261" t="s">
        <v>3240</v>
      </c>
      <c r="D2578" s="265" t="s">
        <v>10597</v>
      </c>
      <c r="E2578" s="262" t="s">
        <v>207</v>
      </c>
    </row>
    <row r="2579" spans="1:5" ht="30">
      <c r="A2579" s="261">
        <v>38990</v>
      </c>
      <c r="B2579" s="261" t="s">
        <v>6788</v>
      </c>
      <c r="C2579" s="261" t="s">
        <v>3240</v>
      </c>
      <c r="D2579" s="265" t="s">
        <v>16353</v>
      </c>
      <c r="E2579" s="262" t="s">
        <v>207</v>
      </c>
    </row>
    <row r="2580" spans="1:5" ht="30">
      <c r="A2580" s="261">
        <v>38991</v>
      </c>
      <c r="B2580" s="261" t="s">
        <v>6789</v>
      </c>
      <c r="C2580" s="261" t="s">
        <v>3240</v>
      </c>
      <c r="D2580" s="265" t="s">
        <v>19956</v>
      </c>
      <c r="E2580" s="262" t="s">
        <v>207</v>
      </c>
    </row>
    <row r="2581" spans="1:5" ht="30">
      <c r="A2581" s="261">
        <v>38913</v>
      </c>
      <c r="B2581" s="261" t="s">
        <v>6790</v>
      </c>
      <c r="C2581" s="261" t="s">
        <v>3240</v>
      </c>
      <c r="D2581" s="265" t="s">
        <v>16433</v>
      </c>
      <c r="E2581" s="262" t="s">
        <v>207</v>
      </c>
    </row>
    <row r="2582" spans="1:5" ht="30">
      <c r="A2582" s="261">
        <v>38914</v>
      </c>
      <c r="B2582" s="261" t="s">
        <v>6791</v>
      </c>
      <c r="C2582" s="261" t="s">
        <v>3240</v>
      </c>
      <c r="D2582" s="265" t="s">
        <v>19957</v>
      </c>
      <c r="E2582" s="262" t="s">
        <v>207</v>
      </c>
    </row>
    <row r="2583" spans="1:5" ht="30">
      <c r="A2583" s="261">
        <v>38915</v>
      </c>
      <c r="B2583" s="261" t="s">
        <v>6792</v>
      </c>
      <c r="C2583" s="261" t="s">
        <v>3240</v>
      </c>
      <c r="D2583" s="265" t="s">
        <v>19958</v>
      </c>
      <c r="E2583" s="262" t="s">
        <v>207</v>
      </c>
    </row>
    <row r="2584" spans="1:5" ht="30">
      <c r="A2584" s="261">
        <v>38916</v>
      </c>
      <c r="B2584" s="261" t="s">
        <v>6793</v>
      </c>
      <c r="C2584" s="261" t="s">
        <v>3240</v>
      </c>
      <c r="D2584" s="265" t="s">
        <v>11386</v>
      </c>
      <c r="E2584" s="262" t="s">
        <v>207</v>
      </c>
    </row>
    <row r="2585" spans="1:5" ht="30">
      <c r="A2585" s="261">
        <v>39300</v>
      </c>
      <c r="B2585" s="261" t="s">
        <v>6794</v>
      </c>
      <c r="C2585" s="261" t="s">
        <v>3240</v>
      </c>
      <c r="D2585" s="265" t="s">
        <v>19691</v>
      </c>
      <c r="E2585" s="262" t="s">
        <v>207</v>
      </c>
    </row>
    <row r="2586" spans="1:5" ht="30">
      <c r="A2586" s="261">
        <v>39301</v>
      </c>
      <c r="B2586" s="261" t="s">
        <v>6795</v>
      </c>
      <c r="C2586" s="261" t="s">
        <v>3240</v>
      </c>
      <c r="D2586" s="265" t="s">
        <v>15977</v>
      </c>
      <c r="E2586" s="262" t="s">
        <v>207</v>
      </c>
    </row>
    <row r="2587" spans="1:5" ht="30">
      <c r="A2587" s="261">
        <v>39302</v>
      </c>
      <c r="B2587" s="261" t="s">
        <v>6796</v>
      </c>
      <c r="C2587" s="261" t="s">
        <v>3240</v>
      </c>
      <c r="D2587" s="265" t="s">
        <v>11032</v>
      </c>
      <c r="E2587" s="262" t="s">
        <v>207</v>
      </c>
    </row>
    <row r="2588" spans="1:5" ht="30">
      <c r="A2588" s="261">
        <v>39303</v>
      </c>
      <c r="B2588" s="261" t="s">
        <v>6797</v>
      </c>
      <c r="C2588" s="261" t="s">
        <v>3240</v>
      </c>
      <c r="D2588" s="265" t="s">
        <v>19959</v>
      </c>
      <c r="E2588" s="262" t="s">
        <v>207</v>
      </c>
    </row>
    <row r="2589" spans="1:5" ht="30">
      <c r="A2589" s="261">
        <v>38923</v>
      </c>
      <c r="B2589" s="261" t="s">
        <v>6798</v>
      </c>
      <c r="C2589" s="261" t="s">
        <v>3240</v>
      </c>
      <c r="D2589" s="265" t="s">
        <v>19809</v>
      </c>
      <c r="E2589" s="262" t="s">
        <v>207</v>
      </c>
    </row>
    <row r="2590" spans="1:5" ht="30">
      <c r="A2590" s="261">
        <v>38925</v>
      </c>
      <c r="B2590" s="261" t="s">
        <v>6799</v>
      </c>
      <c r="C2590" s="261" t="s">
        <v>3240</v>
      </c>
      <c r="D2590" s="265" t="s">
        <v>10685</v>
      </c>
      <c r="E2590" s="262" t="s">
        <v>207</v>
      </c>
    </row>
    <row r="2591" spans="1:5" ht="30">
      <c r="A2591" s="261">
        <v>38926</v>
      </c>
      <c r="B2591" s="261" t="s">
        <v>6800</v>
      </c>
      <c r="C2591" s="261" t="s">
        <v>3240</v>
      </c>
      <c r="D2591" s="265" t="s">
        <v>19960</v>
      </c>
      <c r="E2591" s="262" t="s">
        <v>207</v>
      </c>
    </row>
    <row r="2592" spans="1:5" ht="30">
      <c r="A2592" s="261">
        <v>38927</v>
      </c>
      <c r="B2592" s="261" t="s">
        <v>6801</v>
      </c>
      <c r="C2592" s="261" t="s">
        <v>3240</v>
      </c>
      <c r="D2592" s="265" t="s">
        <v>16594</v>
      </c>
      <c r="E2592" s="262" t="s">
        <v>207</v>
      </c>
    </row>
    <row r="2593" spans="1:5" ht="30">
      <c r="A2593" s="261">
        <v>39304</v>
      </c>
      <c r="B2593" s="261" t="s">
        <v>6802</v>
      </c>
      <c r="C2593" s="261" t="s">
        <v>3240</v>
      </c>
      <c r="D2593" s="265" t="s">
        <v>19911</v>
      </c>
      <c r="E2593" s="262" t="s">
        <v>207</v>
      </c>
    </row>
    <row r="2594" spans="1:5" ht="30">
      <c r="A2594" s="261">
        <v>38924</v>
      </c>
      <c r="B2594" s="261" t="s">
        <v>6803</v>
      </c>
      <c r="C2594" s="261" t="s">
        <v>3240</v>
      </c>
      <c r="D2594" s="265" t="s">
        <v>10429</v>
      </c>
      <c r="E2594" s="262" t="s">
        <v>207</v>
      </c>
    </row>
    <row r="2595" spans="1:5" ht="30">
      <c r="A2595" s="261">
        <v>39305</v>
      </c>
      <c r="B2595" s="261" t="s">
        <v>6804</v>
      </c>
      <c r="C2595" s="261" t="s">
        <v>3240</v>
      </c>
      <c r="D2595" s="265" t="s">
        <v>11539</v>
      </c>
      <c r="E2595" s="262" t="s">
        <v>207</v>
      </c>
    </row>
    <row r="2596" spans="1:5" ht="30">
      <c r="A2596" s="261">
        <v>39306</v>
      </c>
      <c r="B2596" s="261" t="s">
        <v>6805</v>
      </c>
      <c r="C2596" s="261" t="s">
        <v>3240</v>
      </c>
      <c r="D2596" s="265" t="s">
        <v>19961</v>
      </c>
      <c r="E2596" s="262" t="s">
        <v>207</v>
      </c>
    </row>
    <row r="2597" spans="1:5" ht="30">
      <c r="A2597" s="261">
        <v>38928</v>
      </c>
      <c r="B2597" s="261" t="s">
        <v>6806</v>
      </c>
      <c r="C2597" s="261" t="s">
        <v>3240</v>
      </c>
      <c r="D2597" s="265" t="s">
        <v>16007</v>
      </c>
      <c r="E2597" s="262" t="s">
        <v>207</v>
      </c>
    </row>
    <row r="2598" spans="1:5" ht="30">
      <c r="A2598" s="261">
        <v>38929</v>
      </c>
      <c r="B2598" s="261" t="s">
        <v>6807</v>
      </c>
      <c r="C2598" s="261" t="s">
        <v>3240</v>
      </c>
      <c r="D2598" s="265" t="s">
        <v>19962</v>
      </c>
      <c r="E2598" s="262" t="s">
        <v>207</v>
      </c>
    </row>
    <row r="2599" spans="1:5" ht="30">
      <c r="A2599" s="261">
        <v>39307</v>
      </c>
      <c r="B2599" s="261" t="s">
        <v>6808</v>
      </c>
      <c r="C2599" s="261" t="s">
        <v>3240</v>
      </c>
      <c r="D2599" s="265" t="s">
        <v>19963</v>
      </c>
      <c r="E2599" s="262" t="s">
        <v>207</v>
      </c>
    </row>
    <row r="2600" spans="1:5" ht="30">
      <c r="A2600" s="261">
        <v>38930</v>
      </c>
      <c r="B2600" s="261" t="s">
        <v>6809</v>
      </c>
      <c r="C2600" s="261" t="s">
        <v>3240</v>
      </c>
      <c r="D2600" s="265" t="s">
        <v>19964</v>
      </c>
      <c r="E2600" s="262" t="s">
        <v>207</v>
      </c>
    </row>
    <row r="2601" spans="1:5" ht="30">
      <c r="A2601" s="261">
        <v>38931</v>
      </c>
      <c r="B2601" s="261" t="s">
        <v>6810</v>
      </c>
      <c r="C2601" s="261" t="s">
        <v>3240</v>
      </c>
      <c r="D2601" s="265" t="s">
        <v>11316</v>
      </c>
      <c r="E2601" s="262" t="s">
        <v>207</v>
      </c>
    </row>
    <row r="2602" spans="1:5" ht="30">
      <c r="A2602" s="261">
        <v>38932</v>
      </c>
      <c r="B2602" s="261" t="s">
        <v>6811</v>
      </c>
      <c r="C2602" s="261" t="s">
        <v>3240</v>
      </c>
      <c r="D2602" s="265" t="s">
        <v>19965</v>
      </c>
      <c r="E2602" s="262" t="s">
        <v>207</v>
      </c>
    </row>
    <row r="2603" spans="1:5" ht="30">
      <c r="A2603" s="261">
        <v>38934</v>
      </c>
      <c r="B2603" s="261" t="s">
        <v>6812</v>
      </c>
      <c r="C2603" s="261" t="s">
        <v>3240</v>
      </c>
      <c r="D2603" s="265" t="s">
        <v>19966</v>
      </c>
      <c r="E2603" s="262" t="s">
        <v>207</v>
      </c>
    </row>
    <row r="2604" spans="1:5" ht="30">
      <c r="A2604" s="261">
        <v>38935</v>
      </c>
      <c r="B2604" s="261" t="s">
        <v>6813</v>
      </c>
      <c r="C2604" s="261" t="s">
        <v>3240</v>
      </c>
      <c r="D2604" s="265" t="s">
        <v>10098</v>
      </c>
      <c r="E2604" s="262" t="s">
        <v>207</v>
      </c>
    </row>
    <row r="2605" spans="1:5" ht="30">
      <c r="A2605" s="261">
        <v>38936</v>
      </c>
      <c r="B2605" s="261" t="s">
        <v>6814</v>
      </c>
      <c r="C2605" s="261" t="s">
        <v>3240</v>
      </c>
      <c r="D2605" s="265" t="s">
        <v>9788</v>
      </c>
      <c r="E2605" s="262" t="s">
        <v>207</v>
      </c>
    </row>
    <row r="2606" spans="1:5" ht="30">
      <c r="A2606" s="261">
        <v>38937</v>
      </c>
      <c r="B2606" s="261" t="s">
        <v>6815</v>
      </c>
      <c r="C2606" s="261" t="s">
        <v>3240</v>
      </c>
      <c r="D2606" s="265" t="s">
        <v>19967</v>
      </c>
      <c r="E2606" s="262" t="s">
        <v>207</v>
      </c>
    </row>
    <row r="2607" spans="1:5" ht="30">
      <c r="A2607" s="261">
        <v>38938</v>
      </c>
      <c r="B2607" s="261" t="s">
        <v>6816</v>
      </c>
      <c r="C2607" s="261" t="s">
        <v>3240</v>
      </c>
      <c r="D2607" s="265" t="s">
        <v>19968</v>
      </c>
      <c r="E2607" s="262" t="s">
        <v>207</v>
      </c>
    </row>
    <row r="2608" spans="1:5" ht="15">
      <c r="A2608" s="261">
        <v>3489</v>
      </c>
      <c r="B2608" s="261" t="s">
        <v>6817</v>
      </c>
      <c r="C2608" s="261" t="s">
        <v>3240</v>
      </c>
      <c r="D2608" s="265" t="s">
        <v>14168</v>
      </c>
      <c r="E2608" s="262" t="s">
        <v>207</v>
      </c>
    </row>
    <row r="2609" spans="1:5" ht="30">
      <c r="A2609" s="261">
        <v>20151</v>
      </c>
      <c r="B2609" s="261" t="s">
        <v>11811</v>
      </c>
      <c r="C2609" s="261" t="s">
        <v>3240</v>
      </c>
      <c r="D2609" s="265" t="s">
        <v>10673</v>
      </c>
      <c r="E2609" s="262" t="s">
        <v>207</v>
      </c>
    </row>
    <row r="2610" spans="1:5" ht="30">
      <c r="A2610" s="261">
        <v>20152</v>
      </c>
      <c r="B2610" s="261" t="s">
        <v>11812</v>
      </c>
      <c r="C2610" s="261" t="s">
        <v>3240</v>
      </c>
      <c r="D2610" s="265" t="s">
        <v>19969</v>
      </c>
      <c r="E2610" s="262" t="s">
        <v>207</v>
      </c>
    </row>
    <row r="2611" spans="1:5" ht="30">
      <c r="A2611" s="261">
        <v>20148</v>
      </c>
      <c r="B2611" s="261" t="s">
        <v>11813</v>
      </c>
      <c r="C2611" s="261" t="s">
        <v>3240</v>
      </c>
      <c r="D2611" s="265" t="s">
        <v>19970</v>
      </c>
      <c r="E2611" s="262" t="s">
        <v>207</v>
      </c>
    </row>
    <row r="2612" spans="1:5" ht="30">
      <c r="A2612" s="261">
        <v>20149</v>
      </c>
      <c r="B2612" s="261" t="s">
        <v>11814</v>
      </c>
      <c r="C2612" s="261" t="s">
        <v>3240</v>
      </c>
      <c r="D2612" s="265" t="s">
        <v>16208</v>
      </c>
      <c r="E2612" s="262" t="s">
        <v>207</v>
      </c>
    </row>
    <row r="2613" spans="1:5" ht="30">
      <c r="A2613" s="261">
        <v>20150</v>
      </c>
      <c r="B2613" s="261" t="s">
        <v>11815</v>
      </c>
      <c r="C2613" s="261" t="s">
        <v>3240</v>
      </c>
      <c r="D2613" s="265" t="s">
        <v>16141</v>
      </c>
      <c r="E2613" s="262" t="s">
        <v>207</v>
      </c>
    </row>
    <row r="2614" spans="1:5" ht="30">
      <c r="A2614" s="261">
        <v>20157</v>
      </c>
      <c r="B2614" s="261" t="s">
        <v>11816</v>
      </c>
      <c r="C2614" s="261" t="s">
        <v>3240</v>
      </c>
      <c r="D2614" s="265" t="s">
        <v>12393</v>
      </c>
      <c r="E2614" s="262" t="s">
        <v>207</v>
      </c>
    </row>
    <row r="2615" spans="1:5" ht="30">
      <c r="A2615" s="261">
        <v>20158</v>
      </c>
      <c r="B2615" s="261" t="s">
        <v>11817</v>
      </c>
      <c r="C2615" s="261" t="s">
        <v>3240</v>
      </c>
      <c r="D2615" s="265" t="s">
        <v>19971</v>
      </c>
      <c r="E2615" s="262" t="s">
        <v>207</v>
      </c>
    </row>
    <row r="2616" spans="1:5" ht="30">
      <c r="A2616" s="261">
        <v>20154</v>
      </c>
      <c r="B2616" s="261" t="s">
        <v>11818</v>
      </c>
      <c r="C2616" s="261" t="s">
        <v>3240</v>
      </c>
      <c r="D2616" s="265" t="s">
        <v>11235</v>
      </c>
      <c r="E2616" s="262" t="s">
        <v>207</v>
      </c>
    </row>
    <row r="2617" spans="1:5" ht="30">
      <c r="A2617" s="261">
        <v>20155</v>
      </c>
      <c r="B2617" s="261" t="s">
        <v>11819</v>
      </c>
      <c r="C2617" s="261" t="s">
        <v>3240</v>
      </c>
      <c r="D2617" s="265" t="s">
        <v>10521</v>
      </c>
      <c r="E2617" s="262" t="s">
        <v>207</v>
      </c>
    </row>
    <row r="2618" spans="1:5" ht="30">
      <c r="A2618" s="261">
        <v>20156</v>
      </c>
      <c r="B2618" s="261" t="s">
        <v>11820</v>
      </c>
      <c r="C2618" s="261" t="s">
        <v>3240</v>
      </c>
      <c r="D2618" s="265" t="s">
        <v>12370</v>
      </c>
      <c r="E2618" s="262" t="s">
        <v>207</v>
      </c>
    </row>
    <row r="2619" spans="1:5" ht="15">
      <c r="A2619" s="261">
        <v>3512</v>
      </c>
      <c r="B2619" s="261" t="s">
        <v>6818</v>
      </c>
      <c r="C2619" s="261" t="s">
        <v>3240</v>
      </c>
      <c r="D2619" s="265" t="s">
        <v>19972</v>
      </c>
      <c r="E2619" s="262" t="s">
        <v>207</v>
      </c>
    </row>
    <row r="2620" spans="1:5" ht="15">
      <c r="A2620" s="261">
        <v>3499</v>
      </c>
      <c r="B2620" s="261" t="s">
        <v>6819</v>
      </c>
      <c r="C2620" s="261" t="s">
        <v>3240</v>
      </c>
      <c r="D2620" s="265" t="s">
        <v>11093</v>
      </c>
      <c r="E2620" s="262" t="s">
        <v>207</v>
      </c>
    </row>
    <row r="2621" spans="1:5" ht="15">
      <c r="A2621" s="261">
        <v>3500</v>
      </c>
      <c r="B2621" s="261" t="s">
        <v>6820</v>
      </c>
      <c r="C2621" s="261" t="s">
        <v>3240</v>
      </c>
      <c r="D2621" s="265" t="s">
        <v>10022</v>
      </c>
      <c r="E2621" s="262" t="s">
        <v>207</v>
      </c>
    </row>
    <row r="2622" spans="1:5" ht="15">
      <c r="A2622" s="261">
        <v>3501</v>
      </c>
      <c r="B2622" s="261" t="s">
        <v>6821</v>
      </c>
      <c r="C2622" s="261" t="s">
        <v>3240</v>
      </c>
      <c r="D2622" s="265" t="s">
        <v>11034</v>
      </c>
      <c r="E2622" s="262" t="s">
        <v>207</v>
      </c>
    </row>
    <row r="2623" spans="1:5" ht="15">
      <c r="A2623" s="261">
        <v>3502</v>
      </c>
      <c r="B2623" s="261" t="s">
        <v>6822</v>
      </c>
      <c r="C2623" s="261" t="s">
        <v>3240</v>
      </c>
      <c r="D2623" s="265" t="s">
        <v>10222</v>
      </c>
      <c r="E2623" s="262" t="s">
        <v>207</v>
      </c>
    </row>
    <row r="2624" spans="1:5" ht="15">
      <c r="A2624" s="261">
        <v>3503</v>
      </c>
      <c r="B2624" s="261" t="s">
        <v>6823</v>
      </c>
      <c r="C2624" s="261" t="s">
        <v>3240</v>
      </c>
      <c r="D2624" s="265" t="s">
        <v>10263</v>
      </c>
      <c r="E2624" s="262" t="s">
        <v>207</v>
      </c>
    </row>
    <row r="2625" spans="1:5" ht="15">
      <c r="A2625" s="261">
        <v>3477</v>
      </c>
      <c r="B2625" s="261" t="s">
        <v>6824</v>
      </c>
      <c r="C2625" s="261" t="s">
        <v>3240</v>
      </c>
      <c r="D2625" s="265" t="s">
        <v>19973</v>
      </c>
      <c r="E2625" s="262" t="s">
        <v>207</v>
      </c>
    </row>
    <row r="2626" spans="1:5" ht="15">
      <c r="A2626" s="261">
        <v>3478</v>
      </c>
      <c r="B2626" s="261" t="s">
        <v>6825</v>
      </c>
      <c r="C2626" s="261" t="s">
        <v>3240</v>
      </c>
      <c r="D2626" s="265" t="s">
        <v>16641</v>
      </c>
      <c r="E2626" s="262" t="s">
        <v>207</v>
      </c>
    </row>
    <row r="2627" spans="1:5" ht="15">
      <c r="A2627" s="261">
        <v>3525</v>
      </c>
      <c r="B2627" s="261" t="s">
        <v>6826</v>
      </c>
      <c r="C2627" s="261" t="s">
        <v>3240</v>
      </c>
      <c r="D2627" s="265" t="s">
        <v>19974</v>
      </c>
      <c r="E2627" s="262" t="s">
        <v>207</v>
      </c>
    </row>
    <row r="2628" spans="1:5" ht="15">
      <c r="A2628" s="261">
        <v>3511</v>
      </c>
      <c r="B2628" s="261" t="s">
        <v>6827</v>
      </c>
      <c r="C2628" s="261" t="s">
        <v>3240</v>
      </c>
      <c r="D2628" s="265" t="s">
        <v>19975</v>
      </c>
      <c r="E2628" s="262" t="s">
        <v>207</v>
      </c>
    </row>
    <row r="2629" spans="1:5" ht="30">
      <c r="A2629" s="261">
        <v>38917</v>
      </c>
      <c r="B2629" s="261" t="s">
        <v>6828</v>
      </c>
      <c r="C2629" s="261" t="s">
        <v>3240</v>
      </c>
      <c r="D2629" s="265" t="s">
        <v>15857</v>
      </c>
      <c r="E2629" s="262" t="s">
        <v>207</v>
      </c>
    </row>
    <row r="2630" spans="1:5" ht="30">
      <c r="A2630" s="261">
        <v>38919</v>
      </c>
      <c r="B2630" s="261" t="s">
        <v>6829</v>
      </c>
      <c r="C2630" s="261" t="s">
        <v>3240</v>
      </c>
      <c r="D2630" s="265" t="s">
        <v>19976</v>
      </c>
      <c r="E2630" s="262" t="s">
        <v>207</v>
      </c>
    </row>
    <row r="2631" spans="1:5" ht="30">
      <c r="A2631" s="261">
        <v>38922</v>
      </c>
      <c r="B2631" s="261" t="s">
        <v>6830</v>
      </c>
      <c r="C2631" s="261" t="s">
        <v>3240</v>
      </c>
      <c r="D2631" s="265" t="s">
        <v>19977</v>
      </c>
      <c r="E2631" s="262" t="s">
        <v>207</v>
      </c>
    </row>
    <row r="2632" spans="1:5" ht="30">
      <c r="A2632" s="261">
        <v>38921</v>
      </c>
      <c r="B2632" s="261" t="s">
        <v>6831</v>
      </c>
      <c r="C2632" s="261" t="s">
        <v>3240</v>
      </c>
      <c r="D2632" s="265" t="s">
        <v>11490</v>
      </c>
      <c r="E2632" s="262" t="s">
        <v>207</v>
      </c>
    </row>
    <row r="2633" spans="1:5" ht="30">
      <c r="A2633" s="261">
        <v>38918</v>
      </c>
      <c r="B2633" s="261" t="s">
        <v>6832</v>
      </c>
      <c r="C2633" s="261" t="s">
        <v>3240</v>
      </c>
      <c r="D2633" s="265" t="s">
        <v>19978</v>
      </c>
      <c r="E2633" s="262" t="s">
        <v>207</v>
      </c>
    </row>
    <row r="2634" spans="1:5" ht="30">
      <c r="A2634" s="261">
        <v>38920</v>
      </c>
      <c r="B2634" s="261" t="s">
        <v>6833</v>
      </c>
      <c r="C2634" s="261" t="s">
        <v>3240</v>
      </c>
      <c r="D2634" s="265" t="s">
        <v>15875</v>
      </c>
      <c r="E2634" s="262" t="s">
        <v>207</v>
      </c>
    </row>
    <row r="2635" spans="1:5" ht="30">
      <c r="A2635" s="261">
        <v>12032</v>
      </c>
      <c r="B2635" s="261" t="s">
        <v>6834</v>
      </c>
      <c r="C2635" s="261" t="s">
        <v>3249</v>
      </c>
      <c r="D2635" s="265" t="s">
        <v>19979</v>
      </c>
      <c r="E2635" s="262" t="s">
        <v>207</v>
      </c>
    </row>
    <row r="2636" spans="1:5" ht="30">
      <c r="A2636" s="261">
        <v>12030</v>
      </c>
      <c r="B2636" s="261" t="s">
        <v>6835</v>
      </c>
      <c r="C2636" s="261" t="s">
        <v>3249</v>
      </c>
      <c r="D2636" s="265" t="s">
        <v>14188</v>
      </c>
      <c r="E2636" s="262" t="s">
        <v>207</v>
      </c>
    </row>
    <row r="2637" spans="1:5" ht="30">
      <c r="A2637" s="261">
        <v>10908</v>
      </c>
      <c r="B2637" s="261" t="s">
        <v>6836</v>
      </c>
      <c r="C2637" s="261" t="s">
        <v>3240</v>
      </c>
      <c r="D2637" s="265" t="s">
        <v>10516</v>
      </c>
      <c r="E2637" s="262" t="s">
        <v>207</v>
      </c>
    </row>
    <row r="2638" spans="1:5" ht="30">
      <c r="A2638" s="261">
        <v>10909</v>
      </c>
      <c r="B2638" s="261" t="s">
        <v>6837</v>
      </c>
      <c r="C2638" s="261" t="s">
        <v>3240</v>
      </c>
      <c r="D2638" s="265" t="s">
        <v>11500</v>
      </c>
      <c r="E2638" s="262" t="s">
        <v>207</v>
      </c>
    </row>
    <row r="2639" spans="1:5" ht="30">
      <c r="A2639" s="261">
        <v>3669</v>
      </c>
      <c r="B2639" s="261" t="s">
        <v>6838</v>
      </c>
      <c r="C2639" s="261" t="s">
        <v>3240</v>
      </c>
      <c r="D2639" s="265" t="s">
        <v>16337</v>
      </c>
      <c r="E2639" s="262" t="s">
        <v>207</v>
      </c>
    </row>
    <row r="2640" spans="1:5" ht="30">
      <c r="A2640" s="261">
        <v>20138</v>
      </c>
      <c r="B2640" s="261" t="s">
        <v>6839</v>
      </c>
      <c r="C2640" s="261" t="s">
        <v>3240</v>
      </c>
      <c r="D2640" s="265" t="s">
        <v>18864</v>
      </c>
      <c r="E2640" s="262" t="s">
        <v>207</v>
      </c>
    </row>
    <row r="2641" spans="1:5" ht="30">
      <c r="A2641" s="261">
        <v>20139</v>
      </c>
      <c r="B2641" s="261" t="s">
        <v>11821</v>
      </c>
      <c r="C2641" s="261" t="s">
        <v>3240</v>
      </c>
      <c r="D2641" s="265" t="s">
        <v>19980</v>
      </c>
      <c r="E2641" s="262" t="s">
        <v>207</v>
      </c>
    </row>
    <row r="2642" spans="1:5" ht="30">
      <c r="A2642" s="261">
        <v>3668</v>
      </c>
      <c r="B2642" s="261" t="s">
        <v>6840</v>
      </c>
      <c r="C2642" s="261" t="s">
        <v>3240</v>
      </c>
      <c r="D2642" s="265" t="s">
        <v>9773</v>
      </c>
      <c r="E2642" s="262" t="s">
        <v>207</v>
      </c>
    </row>
    <row r="2643" spans="1:5" ht="30">
      <c r="A2643" s="261">
        <v>3656</v>
      </c>
      <c r="B2643" s="261" t="s">
        <v>6841</v>
      </c>
      <c r="C2643" s="261" t="s">
        <v>3240</v>
      </c>
      <c r="D2643" s="265" t="s">
        <v>11248</v>
      </c>
      <c r="E2643" s="262" t="s">
        <v>207</v>
      </c>
    </row>
    <row r="2644" spans="1:5" ht="30">
      <c r="A2644" s="261">
        <v>10911</v>
      </c>
      <c r="B2644" s="261" t="s">
        <v>6842</v>
      </c>
      <c r="C2644" s="261" t="s">
        <v>3240</v>
      </c>
      <c r="D2644" s="265" t="s">
        <v>19981</v>
      </c>
      <c r="E2644" s="262" t="s">
        <v>207</v>
      </c>
    </row>
    <row r="2645" spans="1:5" ht="15">
      <c r="A2645" s="261">
        <v>3654</v>
      </c>
      <c r="B2645" s="261" t="s">
        <v>6843</v>
      </c>
      <c r="C2645" s="261" t="s">
        <v>3240</v>
      </c>
      <c r="D2645" s="265" t="s">
        <v>19010</v>
      </c>
      <c r="E2645" s="262" t="s">
        <v>207</v>
      </c>
    </row>
    <row r="2646" spans="1:5" ht="15">
      <c r="A2646" s="261">
        <v>3664</v>
      </c>
      <c r="B2646" s="261" t="s">
        <v>6844</v>
      </c>
      <c r="C2646" s="261" t="s">
        <v>3240</v>
      </c>
      <c r="D2646" s="265" t="s">
        <v>10217</v>
      </c>
      <c r="E2646" s="262" t="s">
        <v>207</v>
      </c>
    </row>
    <row r="2647" spans="1:5" ht="15">
      <c r="A2647" s="261">
        <v>3657</v>
      </c>
      <c r="B2647" s="261" t="s">
        <v>6845</v>
      </c>
      <c r="C2647" s="261" t="s">
        <v>3240</v>
      </c>
      <c r="D2647" s="265" t="s">
        <v>10243</v>
      </c>
      <c r="E2647" s="262" t="s">
        <v>207</v>
      </c>
    </row>
    <row r="2648" spans="1:5" ht="30">
      <c r="A2648" s="261">
        <v>12625</v>
      </c>
      <c r="B2648" s="261" t="s">
        <v>6846</v>
      </c>
      <c r="C2648" s="261" t="s">
        <v>3240</v>
      </c>
      <c r="D2648" s="265" t="s">
        <v>9913</v>
      </c>
      <c r="E2648" s="262" t="s">
        <v>207</v>
      </c>
    </row>
    <row r="2649" spans="1:5" ht="15">
      <c r="A2649" s="261">
        <v>20136</v>
      </c>
      <c r="B2649" s="261" t="s">
        <v>6847</v>
      </c>
      <c r="C2649" s="261" t="s">
        <v>3240</v>
      </c>
      <c r="D2649" s="265" t="s">
        <v>19982</v>
      </c>
      <c r="E2649" s="262" t="s">
        <v>207</v>
      </c>
    </row>
    <row r="2650" spans="1:5" ht="30">
      <c r="A2650" s="261">
        <v>20144</v>
      </c>
      <c r="B2650" s="261" t="s">
        <v>11822</v>
      </c>
      <c r="C2650" s="261" t="s">
        <v>3240</v>
      </c>
      <c r="D2650" s="265" t="s">
        <v>19983</v>
      </c>
      <c r="E2650" s="262" t="s">
        <v>207</v>
      </c>
    </row>
    <row r="2651" spans="1:5" ht="30">
      <c r="A2651" s="261">
        <v>20143</v>
      </c>
      <c r="B2651" s="261" t="s">
        <v>11823</v>
      </c>
      <c r="C2651" s="261" t="s">
        <v>3240</v>
      </c>
      <c r="D2651" s="265" t="s">
        <v>16659</v>
      </c>
      <c r="E2651" s="262" t="s">
        <v>207</v>
      </c>
    </row>
    <row r="2652" spans="1:5" ht="30">
      <c r="A2652" s="261">
        <v>20145</v>
      </c>
      <c r="B2652" s="261" t="s">
        <v>11824</v>
      </c>
      <c r="C2652" s="261" t="s">
        <v>3240</v>
      </c>
      <c r="D2652" s="265" t="s">
        <v>19984</v>
      </c>
      <c r="E2652" s="262" t="s">
        <v>207</v>
      </c>
    </row>
    <row r="2653" spans="1:5" ht="30">
      <c r="A2653" s="261">
        <v>20146</v>
      </c>
      <c r="B2653" s="261" t="s">
        <v>11825</v>
      </c>
      <c r="C2653" s="261" t="s">
        <v>3240</v>
      </c>
      <c r="D2653" s="265" t="s">
        <v>19985</v>
      </c>
      <c r="E2653" s="262" t="s">
        <v>207</v>
      </c>
    </row>
    <row r="2654" spans="1:5" ht="30">
      <c r="A2654" s="261">
        <v>20140</v>
      </c>
      <c r="B2654" s="261" t="s">
        <v>11826</v>
      </c>
      <c r="C2654" s="261" t="s">
        <v>3240</v>
      </c>
      <c r="D2654" s="265" t="s">
        <v>19986</v>
      </c>
      <c r="E2654" s="262" t="s">
        <v>207</v>
      </c>
    </row>
    <row r="2655" spans="1:5" ht="30">
      <c r="A2655" s="261">
        <v>20141</v>
      </c>
      <c r="B2655" s="261" t="s">
        <v>11827</v>
      </c>
      <c r="C2655" s="261" t="s">
        <v>3240</v>
      </c>
      <c r="D2655" s="265" t="s">
        <v>12369</v>
      </c>
      <c r="E2655" s="262" t="s">
        <v>207</v>
      </c>
    </row>
    <row r="2656" spans="1:5" ht="30">
      <c r="A2656" s="261">
        <v>20142</v>
      </c>
      <c r="B2656" s="261" t="s">
        <v>11828</v>
      </c>
      <c r="C2656" s="261" t="s">
        <v>3240</v>
      </c>
      <c r="D2656" s="265" t="s">
        <v>19706</v>
      </c>
      <c r="E2656" s="262" t="s">
        <v>207</v>
      </c>
    </row>
    <row r="2657" spans="1:5" ht="15">
      <c r="A2657" s="261">
        <v>3659</v>
      </c>
      <c r="B2657" s="261" t="s">
        <v>6848</v>
      </c>
      <c r="C2657" s="261" t="s">
        <v>3240</v>
      </c>
      <c r="D2657" s="265" t="s">
        <v>12439</v>
      </c>
      <c r="E2657" s="262" t="s">
        <v>207</v>
      </c>
    </row>
    <row r="2658" spans="1:5" ht="15">
      <c r="A2658" s="261">
        <v>3660</v>
      </c>
      <c r="B2658" s="261" t="s">
        <v>6849</v>
      </c>
      <c r="C2658" s="261" t="s">
        <v>3240</v>
      </c>
      <c r="D2658" s="265" t="s">
        <v>19987</v>
      </c>
      <c r="E2658" s="262" t="s">
        <v>207</v>
      </c>
    </row>
    <row r="2659" spans="1:5" ht="15">
      <c r="A2659" s="261">
        <v>3662</v>
      </c>
      <c r="B2659" s="261" t="s">
        <v>6850</v>
      </c>
      <c r="C2659" s="261" t="s">
        <v>3240</v>
      </c>
      <c r="D2659" s="265" t="s">
        <v>19409</v>
      </c>
      <c r="E2659" s="262" t="s">
        <v>207</v>
      </c>
    </row>
    <row r="2660" spans="1:5" ht="15">
      <c r="A2660" s="261">
        <v>3661</v>
      </c>
      <c r="B2660" s="261" t="s">
        <v>6851</v>
      </c>
      <c r="C2660" s="261" t="s">
        <v>3240</v>
      </c>
      <c r="D2660" s="265" t="s">
        <v>10835</v>
      </c>
      <c r="E2660" s="262" t="s">
        <v>207</v>
      </c>
    </row>
    <row r="2661" spans="1:5" ht="15">
      <c r="A2661" s="261">
        <v>3658</v>
      </c>
      <c r="B2661" s="261" t="s">
        <v>6852</v>
      </c>
      <c r="C2661" s="261" t="s">
        <v>3240</v>
      </c>
      <c r="D2661" s="265" t="s">
        <v>10601</v>
      </c>
      <c r="E2661" s="262" t="s">
        <v>207</v>
      </c>
    </row>
    <row r="2662" spans="1:5" ht="30">
      <c r="A2662" s="261">
        <v>3670</v>
      </c>
      <c r="B2662" s="261" t="s">
        <v>6853</v>
      </c>
      <c r="C2662" s="261" t="s">
        <v>3240</v>
      </c>
      <c r="D2662" s="265" t="s">
        <v>10974</v>
      </c>
      <c r="E2662" s="262" t="s">
        <v>207</v>
      </c>
    </row>
    <row r="2663" spans="1:5" ht="30">
      <c r="A2663" s="261">
        <v>3666</v>
      </c>
      <c r="B2663" s="261" t="s">
        <v>6854</v>
      </c>
      <c r="C2663" s="261" t="s">
        <v>3240</v>
      </c>
      <c r="D2663" s="265" t="s">
        <v>9797</v>
      </c>
      <c r="E2663" s="262" t="s">
        <v>207</v>
      </c>
    </row>
    <row r="2664" spans="1:5" ht="15">
      <c r="A2664" s="261">
        <v>14157</v>
      </c>
      <c r="B2664" s="261" t="s">
        <v>6855</v>
      </c>
      <c r="C2664" s="261" t="s">
        <v>3240</v>
      </c>
      <c r="D2664" s="265" t="s">
        <v>9971</v>
      </c>
      <c r="E2664" s="262" t="s">
        <v>207</v>
      </c>
    </row>
    <row r="2665" spans="1:5" ht="30">
      <c r="A2665" s="261">
        <v>3653</v>
      </c>
      <c r="B2665" s="261" t="s">
        <v>6856</v>
      </c>
      <c r="C2665" s="261" t="s">
        <v>3240</v>
      </c>
      <c r="D2665" s="265" t="s">
        <v>19988</v>
      </c>
      <c r="E2665" s="262" t="s">
        <v>207</v>
      </c>
    </row>
    <row r="2666" spans="1:5" ht="30">
      <c r="A2666" s="261">
        <v>3649</v>
      </c>
      <c r="B2666" s="261" t="s">
        <v>6857</v>
      </c>
      <c r="C2666" s="261" t="s">
        <v>3240</v>
      </c>
      <c r="D2666" s="265" t="s">
        <v>19989</v>
      </c>
      <c r="E2666" s="262" t="s">
        <v>207</v>
      </c>
    </row>
    <row r="2667" spans="1:5" ht="30">
      <c r="A2667" s="261">
        <v>42696</v>
      </c>
      <c r="B2667" s="261" t="s">
        <v>6858</v>
      </c>
      <c r="C2667" s="261" t="s">
        <v>3240</v>
      </c>
      <c r="D2667" s="265" t="s">
        <v>19990</v>
      </c>
      <c r="E2667" s="262" t="s">
        <v>207</v>
      </c>
    </row>
    <row r="2668" spans="1:5" ht="30">
      <c r="A2668" s="261">
        <v>42697</v>
      </c>
      <c r="B2668" s="261" t="s">
        <v>6859</v>
      </c>
      <c r="C2668" s="261" t="s">
        <v>3240</v>
      </c>
      <c r="D2668" s="265" t="s">
        <v>19991</v>
      </c>
      <c r="E2668" s="262" t="s">
        <v>207</v>
      </c>
    </row>
    <row r="2669" spans="1:5" ht="30">
      <c r="A2669" s="261">
        <v>42698</v>
      </c>
      <c r="B2669" s="261" t="s">
        <v>6860</v>
      </c>
      <c r="C2669" s="261" t="s">
        <v>3240</v>
      </c>
      <c r="D2669" s="265" t="s">
        <v>19992</v>
      </c>
      <c r="E2669" s="262" t="s">
        <v>207</v>
      </c>
    </row>
    <row r="2670" spans="1:5" ht="15">
      <c r="A2670" s="261">
        <v>39875</v>
      </c>
      <c r="B2670" s="261" t="s">
        <v>6861</v>
      </c>
      <c r="C2670" s="261" t="s">
        <v>3240</v>
      </c>
      <c r="D2670" s="265" t="s">
        <v>19993</v>
      </c>
      <c r="E2670" s="262" t="s">
        <v>207</v>
      </c>
    </row>
    <row r="2671" spans="1:5" ht="15">
      <c r="A2671" s="261">
        <v>39876</v>
      </c>
      <c r="B2671" s="261" t="s">
        <v>6862</v>
      </c>
      <c r="C2671" s="261" t="s">
        <v>3240</v>
      </c>
      <c r="D2671" s="265" t="s">
        <v>19994</v>
      </c>
      <c r="E2671" s="262" t="s">
        <v>207</v>
      </c>
    </row>
    <row r="2672" spans="1:5" ht="15">
      <c r="A2672" s="261">
        <v>39877</v>
      </c>
      <c r="B2672" s="261" t="s">
        <v>6863</v>
      </c>
      <c r="C2672" s="261" t="s">
        <v>3240</v>
      </c>
      <c r="D2672" s="265" t="s">
        <v>19995</v>
      </c>
      <c r="E2672" s="262" t="s">
        <v>207</v>
      </c>
    </row>
    <row r="2673" spans="1:5" ht="15">
      <c r="A2673" s="261">
        <v>39878</v>
      </c>
      <c r="B2673" s="261" t="s">
        <v>6864</v>
      </c>
      <c r="C2673" s="261" t="s">
        <v>3240</v>
      </c>
      <c r="D2673" s="265" t="s">
        <v>19996</v>
      </c>
      <c r="E2673" s="262" t="s">
        <v>207</v>
      </c>
    </row>
    <row r="2674" spans="1:5" ht="15">
      <c r="A2674" s="261">
        <v>39872</v>
      </c>
      <c r="B2674" s="261" t="s">
        <v>6865</v>
      </c>
      <c r="C2674" s="261" t="s">
        <v>3240</v>
      </c>
      <c r="D2674" s="265" t="s">
        <v>19997</v>
      </c>
      <c r="E2674" s="262" t="s">
        <v>207</v>
      </c>
    </row>
    <row r="2675" spans="1:5" ht="15">
      <c r="A2675" s="261">
        <v>39873</v>
      </c>
      <c r="B2675" s="261" t="s">
        <v>6866</v>
      </c>
      <c r="C2675" s="261" t="s">
        <v>3240</v>
      </c>
      <c r="D2675" s="265" t="s">
        <v>19998</v>
      </c>
      <c r="E2675" s="262" t="s">
        <v>207</v>
      </c>
    </row>
    <row r="2676" spans="1:5" ht="15">
      <c r="A2676" s="261">
        <v>39874</v>
      </c>
      <c r="B2676" s="261" t="s">
        <v>6867</v>
      </c>
      <c r="C2676" s="261" t="s">
        <v>3240</v>
      </c>
      <c r="D2676" s="265" t="s">
        <v>19999</v>
      </c>
      <c r="E2676" s="262" t="s">
        <v>207</v>
      </c>
    </row>
    <row r="2677" spans="1:5" ht="15">
      <c r="A2677" s="261">
        <v>3674</v>
      </c>
      <c r="B2677" s="261" t="s">
        <v>6868</v>
      </c>
      <c r="C2677" s="261" t="s">
        <v>3243</v>
      </c>
      <c r="D2677" s="265" t="s">
        <v>20000</v>
      </c>
      <c r="E2677" s="262" t="s">
        <v>207</v>
      </c>
    </row>
    <row r="2678" spans="1:5" ht="15">
      <c r="A2678" s="261">
        <v>3681</v>
      </c>
      <c r="B2678" s="261" t="s">
        <v>6869</v>
      </c>
      <c r="C2678" s="261" t="s">
        <v>3243</v>
      </c>
      <c r="D2678" s="265" t="s">
        <v>20001</v>
      </c>
      <c r="E2678" s="262" t="s">
        <v>207</v>
      </c>
    </row>
    <row r="2679" spans="1:5" ht="15">
      <c r="A2679" s="261">
        <v>3676</v>
      </c>
      <c r="B2679" s="261" t="s">
        <v>6870</v>
      </c>
      <c r="C2679" s="261" t="s">
        <v>3243</v>
      </c>
      <c r="D2679" s="265" t="s">
        <v>20002</v>
      </c>
      <c r="E2679" s="262" t="s">
        <v>207</v>
      </c>
    </row>
    <row r="2680" spans="1:5" ht="15">
      <c r="A2680" s="261">
        <v>3679</v>
      </c>
      <c r="B2680" s="261" t="s">
        <v>6871</v>
      </c>
      <c r="C2680" s="261" t="s">
        <v>3243</v>
      </c>
      <c r="D2680" s="265" t="s">
        <v>20003</v>
      </c>
      <c r="E2680" s="262" t="s">
        <v>207</v>
      </c>
    </row>
    <row r="2681" spans="1:5" ht="30">
      <c r="A2681" s="261">
        <v>3672</v>
      </c>
      <c r="B2681" s="261" t="s">
        <v>6872</v>
      </c>
      <c r="C2681" s="261" t="s">
        <v>3243</v>
      </c>
      <c r="D2681" s="265" t="s">
        <v>10081</v>
      </c>
      <c r="E2681" s="262" t="s">
        <v>207</v>
      </c>
    </row>
    <row r="2682" spans="1:5" ht="30">
      <c r="A2682" s="261">
        <v>3671</v>
      </c>
      <c r="B2682" s="261" t="s">
        <v>6873</v>
      </c>
      <c r="C2682" s="261" t="s">
        <v>3243</v>
      </c>
      <c r="D2682" s="265" t="s">
        <v>11193</v>
      </c>
      <c r="E2682" s="262" t="s">
        <v>207</v>
      </c>
    </row>
    <row r="2683" spans="1:5" ht="30">
      <c r="A2683" s="261">
        <v>3673</v>
      </c>
      <c r="B2683" s="261" t="s">
        <v>6874</v>
      </c>
      <c r="C2683" s="261" t="s">
        <v>3243</v>
      </c>
      <c r="D2683" s="265" t="s">
        <v>20004</v>
      </c>
      <c r="E2683" s="262" t="s">
        <v>207</v>
      </c>
    </row>
    <row r="2684" spans="1:5" ht="30">
      <c r="A2684" s="261">
        <v>38394</v>
      </c>
      <c r="B2684" s="261" t="s">
        <v>6875</v>
      </c>
      <c r="C2684" s="261" t="s">
        <v>3240</v>
      </c>
      <c r="D2684" s="265" t="s">
        <v>20005</v>
      </c>
      <c r="E2684" s="262" t="s">
        <v>207</v>
      </c>
    </row>
    <row r="2685" spans="1:5" ht="30">
      <c r="A2685" s="261">
        <v>3729</v>
      </c>
      <c r="B2685" s="261" t="s">
        <v>6876</v>
      </c>
      <c r="C2685" s="261" t="s">
        <v>3240</v>
      </c>
      <c r="D2685" s="265" t="s">
        <v>16299</v>
      </c>
      <c r="E2685" s="262" t="s">
        <v>207</v>
      </c>
    </row>
    <row r="2686" spans="1:5" ht="75">
      <c r="A2686" s="261">
        <v>39357</v>
      </c>
      <c r="B2686" s="261" t="s">
        <v>6877</v>
      </c>
      <c r="C2686" s="261" t="s">
        <v>3240</v>
      </c>
      <c r="D2686" s="265" t="s">
        <v>20006</v>
      </c>
      <c r="E2686" s="262" t="s">
        <v>207</v>
      </c>
    </row>
    <row r="2687" spans="1:5" ht="75">
      <c r="A2687" s="261">
        <v>39358</v>
      </c>
      <c r="B2687" s="261" t="s">
        <v>6878</v>
      </c>
      <c r="C2687" s="261" t="s">
        <v>3240</v>
      </c>
      <c r="D2687" s="265" t="s">
        <v>20007</v>
      </c>
      <c r="E2687" s="262" t="s">
        <v>207</v>
      </c>
    </row>
    <row r="2688" spans="1:5" ht="75">
      <c r="A2688" s="261">
        <v>39356</v>
      </c>
      <c r="B2688" s="261" t="s">
        <v>6879</v>
      </c>
      <c r="C2688" s="261" t="s">
        <v>3240</v>
      </c>
      <c r="D2688" s="265" t="s">
        <v>20008</v>
      </c>
      <c r="E2688" s="262" t="s">
        <v>207</v>
      </c>
    </row>
    <row r="2689" spans="1:5" ht="75">
      <c r="A2689" s="261">
        <v>39355</v>
      </c>
      <c r="B2689" s="261" t="s">
        <v>6880</v>
      </c>
      <c r="C2689" s="261" t="s">
        <v>3240</v>
      </c>
      <c r="D2689" s="265" t="s">
        <v>20009</v>
      </c>
      <c r="E2689" s="262" t="s">
        <v>207</v>
      </c>
    </row>
    <row r="2690" spans="1:5" ht="75">
      <c r="A2690" s="261">
        <v>39353</v>
      </c>
      <c r="B2690" s="261" t="s">
        <v>6881</v>
      </c>
      <c r="C2690" s="261" t="s">
        <v>3240</v>
      </c>
      <c r="D2690" s="265" t="s">
        <v>20010</v>
      </c>
      <c r="E2690" s="262" t="s">
        <v>207</v>
      </c>
    </row>
    <row r="2691" spans="1:5" ht="75">
      <c r="A2691" s="261">
        <v>39354</v>
      </c>
      <c r="B2691" s="261" t="s">
        <v>6882</v>
      </c>
      <c r="C2691" s="261" t="s">
        <v>3240</v>
      </c>
      <c r="D2691" s="265" t="s">
        <v>20011</v>
      </c>
      <c r="E2691" s="262" t="s">
        <v>207</v>
      </c>
    </row>
    <row r="2692" spans="1:5" ht="15">
      <c r="A2692" s="261">
        <v>39398</v>
      </c>
      <c r="B2692" s="261" t="s">
        <v>6883</v>
      </c>
      <c r="C2692" s="261" t="s">
        <v>3240</v>
      </c>
      <c r="D2692" s="265" t="s">
        <v>16403</v>
      </c>
      <c r="E2692" s="262" t="s">
        <v>207</v>
      </c>
    </row>
    <row r="2693" spans="1:5" ht="30">
      <c r="A2693" s="261">
        <v>13343</v>
      </c>
      <c r="B2693" s="261" t="s">
        <v>6884</v>
      </c>
      <c r="C2693" s="261" t="s">
        <v>3240</v>
      </c>
      <c r="D2693" s="265" t="s">
        <v>14259</v>
      </c>
      <c r="E2693" s="262" t="s">
        <v>207</v>
      </c>
    </row>
    <row r="2694" spans="1:5" ht="30">
      <c r="A2694" s="261">
        <v>12118</v>
      </c>
      <c r="B2694" s="261" t="s">
        <v>6885</v>
      </c>
      <c r="C2694" s="261" t="s">
        <v>3240</v>
      </c>
      <c r="D2694" s="265" t="s">
        <v>15822</v>
      </c>
      <c r="E2694" s="262" t="s">
        <v>207</v>
      </c>
    </row>
    <row r="2695" spans="1:5" ht="60">
      <c r="A2695" s="261">
        <v>39482</v>
      </c>
      <c r="B2695" s="261" t="s">
        <v>11829</v>
      </c>
      <c r="C2695" s="261" t="s">
        <v>3240</v>
      </c>
      <c r="D2695" s="265" t="s">
        <v>20012</v>
      </c>
      <c r="E2695" s="262" t="s">
        <v>207</v>
      </c>
    </row>
    <row r="2696" spans="1:5" ht="60">
      <c r="A2696" s="261">
        <v>39486</v>
      </c>
      <c r="B2696" s="261" t="s">
        <v>11830</v>
      </c>
      <c r="C2696" s="261" t="s">
        <v>3240</v>
      </c>
      <c r="D2696" s="265" t="s">
        <v>20013</v>
      </c>
      <c r="E2696" s="262" t="s">
        <v>207</v>
      </c>
    </row>
    <row r="2697" spans="1:5" ht="60">
      <c r="A2697" s="261">
        <v>39484</v>
      </c>
      <c r="B2697" s="261" t="s">
        <v>11831</v>
      </c>
      <c r="C2697" s="261" t="s">
        <v>3240</v>
      </c>
      <c r="D2697" s="265" t="s">
        <v>20012</v>
      </c>
      <c r="E2697" s="262" t="s">
        <v>207</v>
      </c>
    </row>
    <row r="2698" spans="1:5" ht="60">
      <c r="A2698" s="261">
        <v>39488</v>
      </c>
      <c r="B2698" s="261" t="s">
        <v>11832</v>
      </c>
      <c r="C2698" s="261" t="s">
        <v>3240</v>
      </c>
      <c r="D2698" s="265" t="s">
        <v>20014</v>
      </c>
      <c r="E2698" s="262" t="s">
        <v>207</v>
      </c>
    </row>
    <row r="2699" spans="1:5" ht="60">
      <c r="A2699" s="261">
        <v>39485</v>
      </c>
      <c r="B2699" s="261" t="s">
        <v>11833</v>
      </c>
      <c r="C2699" s="261" t="s">
        <v>3240</v>
      </c>
      <c r="D2699" s="265" t="s">
        <v>20012</v>
      </c>
      <c r="E2699" s="262" t="s">
        <v>207</v>
      </c>
    </row>
    <row r="2700" spans="1:5" ht="60">
      <c r="A2700" s="261">
        <v>39489</v>
      </c>
      <c r="B2700" s="261" t="s">
        <v>11834</v>
      </c>
      <c r="C2700" s="261" t="s">
        <v>3240</v>
      </c>
      <c r="D2700" s="265" t="s">
        <v>20015</v>
      </c>
      <c r="E2700" s="262" t="s">
        <v>207</v>
      </c>
    </row>
    <row r="2701" spans="1:5" ht="60">
      <c r="A2701" s="261">
        <v>39490</v>
      </c>
      <c r="B2701" s="261" t="s">
        <v>11835</v>
      </c>
      <c r="C2701" s="261" t="s">
        <v>3240</v>
      </c>
      <c r="D2701" s="265" t="s">
        <v>19916</v>
      </c>
      <c r="E2701" s="262" t="s">
        <v>207</v>
      </c>
    </row>
    <row r="2702" spans="1:5" ht="60">
      <c r="A2702" s="261">
        <v>39494</v>
      </c>
      <c r="B2702" s="261" t="s">
        <v>11836</v>
      </c>
      <c r="C2702" s="261" t="s">
        <v>3240</v>
      </c>
      <c r="D2702" s="265" t="s">
        <v>20016</v>
      </c>
      <c r="E2702" s="262" t="s">
        <v>207</v>
      </c>
    </row>
    <row r="2703" spans="1:5" ht="60">
      <c r="A2703" s="261">
        <v>39495</v>
      </c>
      <c r="B2703" s="261" t="s">
        <v>11837</v>
      </c>
      <c r="C2703" s="261" t="s">
        <v>3240</v>
      </c>
      <c r="D2703" s="265" t="s">
        <v>20017</v>
      </c>
      <c r="E2703" s="262" t="s">
        <v>207</v>
      </c>
    </row>
    <row r="2704" spans="1:5" ht="60">
      <c r="A2704" s="261">
        <v>39496</v>
      </c>
      <c r="B2704" s="261" t="s">
        <v>11838</v>
      </c>
      <c r="C2704" s="261" t="s">
        <v>3240</v>
      </c>
      <c r="D2704" s="265" t="s">
        <v>20018</v>
      </c>
      <c r="E2704" s="262" t="s">
        <v>207</v>
      </c>
    </row>
    <row r="2705" spans="1:5" ht="60">
      <c r="A2705" s="261">
        <v>39492</v>
      </c>
      <c r="B2705" s="261" t="s">
        <v>11839</v>
      </c>
      <c r="C2705" s="261" t="s">
        <v>3240</v>
      </c>
      <c r="D2705" s="265" t="s">
        <v>20019</v>
      </c>
      <c r="E2705" s="262" t="s">
        <v>207</v>
      </c>
    </row>
    <row r="2706" spans="1:5" ht="60">
      <c r="A2706" s="261">
        <v>39497</v>
      </c>
      <c r="B2706" s="261" t="s">
        <v>11840</v>
      </c>
      <c r="C2706" s="261" t="s">
        <v>3240</v>
      </c>
      <c r="D2706" s="265" t="s">
        <v>20020</v>
      </c>
      <c r="E2706" s="262" t="s">
        <v>207</v>
      </c>
    </row>
    <row r="2707" spans="1:5" ht="60">
      <c r="A2707" s="261">
        <v>39493</v>
      </c>
      <c r="B2707" s="261" t="s">
        <v>11841</v>
      </c>
      <c r="C2707" s="261" t="s">
        <v>3240</v>
      </c>
      <c r="D2707" s="265" t="s">
        <v>20021</v>
      </c>
      <c r="E2707" s="262" t="s">
        <v>207</v>
      </c>
    </row>
    <row r="2708" spans="1:5" ht="60">
      <c r="A2708" s="261">
        <v>39500</v>
      </c>
      <c r="B2708" s="261" t="s">
        <v>11842</v>
      </c>
      <c r="C2708" s="261" t="s">
        <v>3240</v>
      </c>
      <c r="D2708" s="265" t="s">
        <v>20022</v>
      </c>
      <c r="E2708" s="262" t="s">
        <v>207</v>
      </c>
    </row>
    <row r="2709" spans="1:5" ht="60">
      <c r="A2709" s="261">
        <v>39498</v>
      </c>
      <c r="B2709" s="261" t="s">
        <v>11843</v>
      </c>
      <c r="C2709" s="261" t="s">
        <v>3240</v>
      </c>
      <c r="D2709" s="265" t="s">
        <v>20023</v>
      </c>
      <c r="E2709" s="262" t="s">
        <v>207</v>
      </c>
    </row>
    <row r="2710" spans="1:5" ht="60">
      <c r="A2710" s="261">
        <v>43628</v>
      </c>
      <c r="B2710" s="261" t="s">
        <v>11844</v>
      </c>
      <c r="C2710" s="261" t="s">
        <v>3240</v>
      </c>
      <c r="D2710" s="265" t="s">
        <v>20024</v>
      </c>
      <c r="E2710" s="262" t="s">
        <v>207</v>
      </c>
    </row>
    <row r="2711" spans="1:5" ht="60">
      <c r="A2711" s="261">
        <v>39501</v>
      </c>
      <c r="B2711" s="261" t="s">
        <v>11845</v>
      </c>
      <c r="C2711" s="261" t="s">
        <v>3240</v>
      </c>
      <c r="D2711" s="265" t="s">
        <v>20025</v>
      </c>
      <c r="E2711" s="262" t="s">
        <v>207</v>
      </c>
    </row>
    <row r="2712" spans="1:5" ht="60">
      <c r="A2712" s="261">
        <v>39499</v>
      </c>
      <c r="B2712" s="261" t="s">
        <v>11846</v>
      </c>
      <c r="C2712" s="261" t="s">
        <v>3240</v>
      </c>
      <c r="D2712" s="265" t="s">
        <v>20026</v>
      </c>
      <c r="E2712" s="262" t="s">
        <v>207</v>
      </c>
    </row>
    <row r="2713" spans="1:5" ht="60">
      <c r="A2713" s="261">
        <v>43621</v>
      </c>
      <c r="B2713" s="261" t="s">
        <v>11847</v>
      </c>
      <c r="C2713" s="261" t="s">
        <v>3240</v>
      </c>
      <c r="D2713" s="265" t="s">
        <v>20027</v>
      </c>
      <c r="E2713" s="262" t="s">
        <v>207</v>
      </c>
    </row>
    <row r="2714" spans="1:5" ht="30">
      <c r="A2714" s="261">
        <v>3733</v>
      </c>
      <c r="B2714" s="261" t="s">
        <v>6886</v>
      </c>
      <c r="C2714" s="261" t="s">
        <v>3242</v>
      </c>
      <c r="D2714" s="265" t="s">
        <v>20028</v>
      </c>
      <c r="E2714" s="262" t="s">
        <v>207</v>
      </c>
    </row>
    <row r="2715" spans="1:5" ht="15">
      <c r="A2715" s="261">
        <v>3731</v>
      </c>
      <c r="B2715" s="261" t="s">
        <v>6887</v>
      </c>
      <c r="C2715" s="261" t="s">
        <v>3242</v>
      </c>
      <c r="D2715" s="265" t="s">
        <v>12261</v>
      </c>
      <c r="E2715" s="262" t="s">
        <v>207</v>
      </c>
    </row>
    <row r="2716" spans="1:5" ht="15">
      <c r="A2716" s="261">
        <v>38137</v>
      </c>
      <c r="B2716" s="261" t="s">
        <v>6888</v>
      </c>
      <c r="C2716" s="261" t="s">
        <v>3242</v>
      </c>
      <c r="D2716" s="265" t="s">
        <v>19940</v>
      </c>
      <c r="E2716" s="262" t="s">
        <v>207</v>
      </c>
    </row>
    <row r="2717" spans="1:5" ht="30">
      <c r="A2717" s="261">
        <v>38135</v>
      </c>
      <c r="B2717" s="261" t="s">
        <v>6889</v>
      </c>
      <c r="C2717" s="261" t="s">
        <v>3242</v>
      </c>
      <c r="D2717" s="265" t="s">
        <v>20029</v>
      </c>
      <c r="E2717" s="262" t="s">
        <v>207</v>
      </c>
    </row>
    <row r="2718" spans="1:5" ht="15">
      <c r="A2718" s="261">
        <v>38138</v>
      </c>
      <c r="B2718" s="261" t="s">
        <v>6890</v>
      </c>
      <c r="C2718" s="261" t="s">
        <v>3242</v>
      </c>
      <c r="D2718" s="265" t="s">
        <v>20030</v>
      </c>
      <c r="E2718" s="262" t="s">
        <v>207</v>
      </c>
    </row>
    <row r="2719" spans="1:5" ht="30">
      <c r="A2719" s="261">
        <v>3736</v>
      </c>
      <c r="B2719" s="261" t="s">
        <v>6891</v>
      </c>
      <c r="C2719" s="261" t="s">
        <v>3242</v>
      </c>
      <c r="D2719" s="265" t="s">
        <v>18830</v>
      </c>
      <c r="E2719" s="262" t="s">
        <v>207</v>
      </c>
    </row>
    <row r="2720" spans="1:5" ht="30">
      <c r="A2720" s="261">
        <v>3741</v>
      </c>
      <c r="B2720" s="261" t="s">
        <v>6892</v>
      </c>
      <c r="C2720" s="261" t="s">
        <v>3242</v>
      </c>
      <c r="D2720" s="265" t="s">
        <v>20031</v>
      </c>
      <c r="E2720" s="262" t="s">
        <v>207</v>
      </c>
    </row>
    <row r="2721" spans="1:5" ht="30">
      <c r="A2721" s="261">
        <v>3745</v>
      </c>
      <c r="B2721" s="261" t="s">
        <v>6893</v>
      </c>
      <c r="C2721" s="261" t="s">
        <v>3242</v>
      </c>
      <c r="D2721" s="265" t="s">
        <v>20032</v>
      </c>
      <c r="E2721" s="262" t="s">
        <v>207</v>
      </c>
    </row>
    <row r="2722" spans="1:5" ht="30">
      <c r="A2722" s="261">
        <v>3743</v>
      </c>
      <c r="B2722" s="261" t="s">
        <v>6894</v>
      </c>
      <c r="C2722" s="261" t="s">
        <v>3242</v>
      </c>
      <c r="D2722" s="265" t="s">
        <v>14065</v>
      </c>
      <c r="E2722" s="262" t="s">
        <v>207</v>
      </c>
    </row>
    <row r="2723" spans="1:5" ht="30">
      <c r="A2723" s="261">
        <v>3744</v>
      </c>
      <c r="B2723" s="261" t="s">
        <v>6895</v>
      </c>
      <c r="C2723" s="261" t="s">
        <v>3242</v>
      </c>
      <c r="D2723" s="265" t="s">
        <v>10671</v>
      </c>
      <c r="E2723" s="262" t="s">
        <v>207</v>
      </c>
    </row>
    <row r="2724" spans="1:5" ht="30">
      <c r="A2724" s="261">
        <v>3739</v>
      </c>
      <c r="B2724" s="261" t="s">
        <v>6896</v>
      </c>
      <c r="C2724" s="261" t="s">
        <v>3242</v>
      </c>
      <c r="D2724" s="265" t="s">
        <v>20033</v>
      </c>
      <c r="E2724" s="262" t="s">
        <v>207</v>
      </c>
    </row>
    <row r="2725" spans="1:5" ht="30">
      <c r="A2725" s="261">
        <v>3737</v>
      </c>
      <c r="B2725" s="261" t="s">
        <v>6897</v>
      </c>
      <c r="C2725" s="261" t="s">
        <v>3242</v>
      </c>
      <c r="D2725" s="265" t="s">
        <v>14104</v>
      </c>
      <c r="E2725" s="262" t="s">
        <v>207</v>
      </c>
    </row>
    <row r="2726" spans="1:5" ht="30">
      <c r="A2726" s="261">
        <v>3738</v>
      </c>
      <c r="B2726" s="261" t="s">
        <v>6898</v>
      </c>
      <c r="C2726" s="261" t="s">
        <v>3242</v>
      </c>
      <c r="D2726" s="265" t="s">
        <v>20034</v>
      </c>
      <c r="E2726" s="262" t="s">
        <v>207</v>
      </c>
    </row>
    <row r="2727" spans="1:5" ht="30">
      <c r="A2727" s="261">
        <v>3747</v>
      </c>
      <c r="B2727" s="261" t="s">
        <v>6899</v>
      </c>
      <c r="C2727" s="261" t="s">
        <v>3242</v>
      </c>
      <c r="D2727" s="265" t="s">
        <v>10671</v>
      </c>
      <c r="E2727" s="262" t="s">
        <v>207</v>
      </c>
    </row>
    <row r="2728" spans="1:5" ht="30">
      <c r="A2728" s="261">
        <v>11649</v>
      </c>
      <c r="B2728" s="261" t="s">
        <v>6900</v>
      </c>
      <c r="C2728" s="261" t="s">
        <v>3240</v>
      </c>
      <c r="D2728" s="265" t="s">
        <v>20035</v>
      </c>
      <c r="E2728" s="262" t="s">
        <v>207</v>
      </c>
    </row>
    <row r="2729" spans="1:5" ht="30">
      <c r="A2729" s="261">
        <v>11650</v>
      </c>
      <c r="B2729" s="261" t="s">
        <v>6901</v>
      </c>
      <c r="C2729" s="261" t="s">
        <v>3240</v>
      </c>
      <c r="D2729" s="265" t="s">
        <v>20036</v>
      </c>
      <c r="E2729" s="262" t="s">
        <v>207</v>
      </c>
    </row>
    <row r="2730" spans="1:5" ht="30">
      <c r="A2730" s="261">
        <v>3742</v>
      </c>
      <c r="B2730" s="261" t="s">
        <v>6902</v>
      </c>
      <c r="C2730" s="261" t="s">
        <v>3242</v>
      </c>
      <c r="D2730" s="265" t="s">
        <v>15886</v>
      </c>
      <c r="E2730" s="262" t="s">
        <v>207</v>
      </c>
    </row>
    <row r="2731" spans="1:5" ht="30">
      <c r="A2731" s="261">
        <v>3746</v>
      </c>
      <c r="B2731" s="261" t="s">
        <v>6903</v>
      </c>
      <c r="C2731" s="261" t="s">
        <v>3242</v>
      </c>
      <c r="D2731" s="265" t="s">
        <v>20037</v>
      </c>
      <c r="E2731" s="262" t="s">
        <v>207</v>
      </c>
    </row>
    <row r="2732" spans="1:5" ht="30">
      <c r="A2732" s="261">
        <v>21106</v>
      </c>
      <c r="B2732" s="261" t="s">
        <v>9538</v>
      </c>
      <c r="C2732" s="261" t="s">
        <v>3244</v>
      </c>
      <c r="D2732" s="265" t="s">
        <v>16643</v>
      </c>
      <c r="E2732" s="262" t="s">
        <v>207</v>
      </c>
    </row>
    <row r="2733" spans="1:5" ht="15">
      <c r="A2733" s="261">
        <v>3755</v>
      </c>
      <c r="B2733" s="261" t="s">
        <v>6904</v>
      </c>
      <c r="C2733" s="261" t="s">
        <v>3240</v>
      </c>
      <c r="D2733" s="265" t="s">
        <v>20038</v>
      </c>
      <c r="E2733" s="262" t="s">
        <v>207</v>
      </c>
    </row>
    <row r="2734" spans="1:5" ht="15">
      <c r="A2734" s="261">
        <v>3750</v>
      </c>
      <c r="B2734" s="261" t="s">
        <v>6905</v>
      </c>
      <c r="C2734" s="261" t="s">
        <v>3240</v>
      </c>
      <c r="D2734" s="265" t="s">
        <v>16185</v>
      </c>
      <c r="E2734" s="262" t="s">
        <v>207</v>
      </c>
    </row>
    <row r="2735" spans="1:5" ht="15">
      <c r="A2735" s="261">
        <v>3756</v>
      </c>
      <c r="B2735" s="261" t="s">
        <v>6906</v>
      </c>
      <c r="C2735" s="261" t="s">
        <v>3240</v>
      </c>
      <c r="D2735" s="265" t="s">
        <v>20039</v>
      </c>
      <c r="E2735" s="262" t="s">
        <v>207</v>
      </c>
    </row>
    <row r="2736" spans="1:5" ht="15">
      <c r="A2736" s="261">
        <v>39377</v>
      </c>
      <c r="B2736" s="261" t="s">
        <v>6907</v>
      </c>
      <c r="C2736" s="261" t="s">
        <v>3240</v>
      </c>
      <c r="D2736" s="265" t="s">
        <v>15818</v>
      </c>
      <c r="E2736" s="262" t="s">
        <v>207</v>
      </c>
    </row>
    <row r="2737" spans="1:5" ht="15">
      <c r="A2737" s="261">
        <v>38191</v>
      </c>
      <c r="B2737" s="261" t="s">
        <v>6908</v>
      </c>
      <c r="C2737" s="261" t="s">
        <v>3240</v>
      </c>
      <c r="D2737" s="265" t="s">
        <v>11385</v>
      </c>
      <c r="E2737" s="262" t="s">
        <v>207</v>
      </c>
    </row>
    <row r="2738" spans="1:5" ht="15">
      <c r="A2738" s="261">
        <v>39381</v>
      </c>
      <c r="B2738" s="261" t="s">
        <v>6909</v>
      </c>
      <c r="C2738" s="261" t="s">
        <v>3240</v>
      </c>
      <c r="D2738" s="265" t="s">
        <v>20040</v>
      </c>
      <c r="E2738" s="262" t="s">
        <v>207</v>
      </c>
    </row>
    <row r="2739" spans="1:5" ht="15">
      <c r="A2739" s="261">
        <v>38780</v>
      </c>
      <c r="B2739" s="261" t="s">
        <v>6910</v>
      </c>
      <c r="C2739" s="261" t="s">
        <v>3240</v>
      </c>
      <c r="D2739" s="265" t="s">
        <v>20041</v>
      </c>
      <c r="E2739" s="262" t="s">
        <v>207</v>
      </c>
    </row>
    <row r="2740" spans="1:5" ht="15">
      <c r="A2740" s="261">
        <v>38781</v>
      </c>
      <c r="B2740" s="261" t="s">
        <v>6911</v>
      </c>
      <c r="C2740" s="261" t="s">
        <v>3240</v>
      </c>
      <c r="D2740" s="265" t="s">
        <v>16180</v>
      </c>
      <c r="E2740" s="262" t="s">
        <v>207</v>
      </c>
    </row>
    <row r="2741" spans="1:5" ht="15">
      <c r="A2741" s="261">
        <v>38192</v>
      </c>
      <c r="B2741" s="261" t="s">
        <v>6912</v>
      </c>
      <c r="C2741" s="261" t="s">
        <v>3240</v>
      </c>
      <c r="D2741" s="265" t="s">
        <v>20042</v>
      </c>
      <c r="E2741" s="262" t="s">
        <v>207</v>
      </c>
    </row>
    <row r="2742" spans="1:5" ht="15">
      <c r="A2742" s="261">
        <v>3753</v>
      </c>
      <c r="B2742" s="261" t="s">
        <v>6913</v>
      </c>
      <c r="C2742" s="261" t="s">
        <v>3240</v>
      </c>
      <c r="D2742" s="265" t="s">
        <v>11545</v>
      </c>
      <c r="E2742" s="262" t="s">
        <v>207</v>
      </c>
    </row>
    <row r="2743" spans="1:5" ht="15">
      <c r="A2743" s="261">
        <v>38782</v>
      </c>
      <c r="B2743" s="261" t="s">
        <v>6914</v>
      </c>
      <c r="C2743" s="261" t="s">
        <v>3240</v>
      </c>
      <c r="D2743" s="265" t="s">
        <v>9807</v>
      </c>
      <c r="E2743" s="262" t="s">
        <v>207</v>
      </c>
    </row>
    <row r="2744" spans="1:5" ht="15">
      <c r="A2744" s="261">
        <v>38778</v>
      </c>
      <c r="B2744" s="261" t="s">
        <v>6915</v>
      </c>
      <c r="C2744" s="261" t="s">
        <v>3240</v>
      </c>
      <c r="D2744" s="265" t="s">
        <v>19778</v>
      </c>
      <c r="E2744" s="262" t="s">
        <v>207</v>
      </c>
    </row>
    <row r="2745" spans="1:5" ht="15">
      <c r="A2745" s="261">
        <v>38779</v>
      </c>
      <c r="B2745" s="261" t="s">
        <v>6916</v>
      </c>
      <c r="C2745" s="261" t="s">
        <v>3240</v>
      </c>
      <c r="D2745" s="265" t="s">
        <v>15942</v>
      </c>
      <c r="E2745" s="262" t="s">
        <v>207</v>
      </c>
    </row>
    <row r="2746" spans="1:5" ht="15">
      <c r="A2746" s="261">
        <v>39388</v>
      </c>
      <c r="B2746" s="261" t="s">
        <v>6917</v>
      </c>
      <c r="C2746" s="261" t="s">
        <v>3240</v>
      </c>
      <c r="D2746" s="265" t="s">
        <v>11488</v>
      </c>
      <c r="E2746" s="262" t="s">
        <v>207</v>
      </c>
    </row>
    <row r="2747" spans="1:5" ht="15">
      <c r="A2747" s="261">
        <v>39387</v>
      </c>
      <c r="B2747" s="261" t="s">
        <v>6918</v>
      </c>
      <c r="C2747" s="261" t="s">
        <v>3240</v>
      </c>
      <c r="D2747" s="266" t="s">
        <v>19155</v>
      </c>
      <c r="E2747" s="262" t="s">
        <v>207</v>
      </c>
    </row>
    <row r="2748" spans="1:5" ht="15">
      <c r="A2748" s="261">
        <v>39386</v>
      </c>
      <c r="B2748" s="261" t="s">
        <v>6919</v>
      </c>
      <c r="C2748" s="261" t="s">
        <v>3240</v>
      </c>
      <c r="D2748" s="265" t="s">
        <v>18763</v>
      </c>
      <c r="E2748" s="262" t="s">
        <v>207</v>
      </c>
    </row>
    <row r="2749" spans="1:5" ht="15">
      <c r="A2749" s="261">
        <v>38194</v>
      </c>
      <c r="B2749" s="261" t="s">
        <v>6920</v>
      </c>
      <c r="C2749" s="261" t="s">
        <v>3240</v>
      </c>
      <c r="D2749" s="265" t="s">
        <v>20043</v>
      </c>
      <c r="E2749" s="262" t="s">
        <v>207</v>
      </c>
    </row>
    <row r="2750" spans="1:5" ht="15">
      <c r="A2750" s="261">
        <v>38193</v>
      </c>
      <c r="B2750" s="261" t="s">
        <v>6921</v>
      </c>
      <c r="C2750" s="261" t="s">
        <v>3240</v>
      </c>
      <c r="D2750" s="265" t="s">
        <v>10312</v>
      </c>
      <c r="E2750" s="262" t="s">
        <v>207</v>
      </c>
    </row>
    <row r="2751" spans="1:5" ht="15">
      <c r="A2751" s="261">
        <v>12216</v>
      </c>
      <c r="B2751" s="261" t="s">
        <v>6922</v>
      </c>
      <c r="C2751" s="261" t="s">
        <v>3240</v>
      </c>
      <c r="D2751" s="265" t="s">
        <v>15990</v>
      </c>
      <c r="E2751" s="262" t="s">
        <v>207</v>
      </c>
    </row>
    <row r="2752" spans="1:5" ht="15">
      <c r="A2752" s="261">
        <v>3757</v>
      </c>
      <c r="B2752" s="261" t="s">
        <v>6923</v>
      </c>
      <c r="C2752" s="261" t="s">
        <v>3240</v>
      </c>
      <c r="D2752" s="265" t="s">
        <v>20044</v>
      </c>
      <c r="E2752" s="262" t="s">
        <v>207</v>
      </c>
    </row>
    <row r="2753" spans="1:5" ht="15">
      <c r="A2753" s="261">
        <v>3758</v>
      </c>
      <c r="B2753" s="261" t="s">
        <v>6924</v>
      </c>
      <c r="C2753" s="261" t="s">
        <v>3240</v>
      </c>
      <c r="D2753" s="265" t="s">
        <v>20045</v>
      </c>
      <c r="E2753" s="262" t="s">
        <v>207</v>
      </c>
    </row>
    <row r="2754" spans="1:5" ht="15">
      <c r="A2754" s="261">
        <v>12214</v>
      </c>
      <c r="B2754" s="261" t="s">
        <v>6925</v>
      </c>
      <c r="C2754" s="261" t="s">
        <v>3240</v>
      </c>
      <c r="D2754" s="265" t="s">
        <v>20046</v>
      </c>
      <c r="E2754" s="262" t="s">
        <v>207</v>
      </c>
    </row>
    <row r="2755" spans="1:5" ht="15">
      <c r="A2755" s="261">
        <v>3749</v>
      </c>
      <c r="B2755" s="261" t="s">
        <v>6926</v>
      </c>
      <c r="C2755" s="261" t="s">
        <v>3240</v>
      </c>
      <c r="D2755" s="265" t="s">
        <v>16674</v>
      </c>
      <c r="E2755" s="262" t="s">
        <v>207</v>
      </c>
    </row>
    <row r="2756" spans="1:5" ht="15">
      <c r="A2756" s="261">
        <v>3751</v>
      </c>
      <c r="B2756" s="261" t="s">
        <v>6927</v>
      </c>
      <c r="C2756" s="261" t="s">
        <v>3240</v>
      </c>
      <c r="D2756" s="265" t="s">
        <v>20047</v>
      </c>
      <c r="E2756" s="262" t="s">
        <v>207</v>
      </c>
    </row>
    <row r="2757" spans="1:5" ht="15">
      <c r="A2757" s="261">
        <v>39376</v>
      </c>
      <c r="B2757" s="261" t="s">
        <v>6928</v>
      </c>
      <c r="C2757" s="261" t="s">
        <v>3240</v>
      </c>
      <c r="D2757" s="265" t="s">
        <v>20048</v>
      </c>
      <c r="E2757" s="262" t="s">
        <v>207</v>
      </c>
    </row>
    <row r="2758" spans="1:5" ht="15">
      <c r="A2758" s="261">
        <v>3752</v>
      </c>
      <c r="B2758" s="261" t="s">
        <v>6929</v>
      </c>
      <c r="C2758" s="261" t="s">
        <v>3240</v>
      </c>
      <c r="D2758" s="265" t="s">
        <v>20049</v>
      </c>
      <c r="E2758" s="262" t="s">
        <v>207</v>
      </c>
    </row>
    <row r="2759" spans="1:5" ht="45">
      <c r="A2759" s="261">
        <v>746</v>
      </c>
      <c r="B2759" s="261" t="s">
        <v>20050</v>
      </c>
      <c r="C2759" s="261" t="s">
        <v>3240</v>
      </c>
      <c r="D2759" s="265" t="s">
        <v>20051</v>
      </c>
      <c r="E2759" s="262" t="s">
        <v>8987</v>
      </c>
    </row>
    <row r="2760" spans="1:5" ht="15">
      <c r="A2760" s="261">
        <v>36521</v>
      </c>
      <c r="B2760" s="261" t="s">
        <v>6930</v>
      </c>
      <c r="C2760" s="261" t="s">
        <v>3240</v>
      </c>
      <c r="D2760" s="265" t="s">
        <v>20052</v>
      </c>
      <c r="E2760" s="262" t="s">
        <v>207</v>
      </c>
    </row>
    <row r="2761" spans="1:5" ht="15">
      <c r="A2761" s="261">
        <v>36794</v>
      </c>
      <c r="B2761" s="261" t="s">
        <v>6931</v>
      </c>
      <c r="C2761" s="261" t="s">
        <v>3240</v>
      </c>
      <c r="D2761" s="266" t="s">
        <v>16534</v>
      </c>
      <c r="E2761" s="262" t="s">
        <v>207</v>
      </c>
    </row>
    <row r="2762" spans="1:5" ht="15">
      <c r="A2762" s="261">
        <v>10426</v>
      </c>
      <c r="B2762" s="261" t="s">
        <v>6932</v>
      </c>
      <c r="C2762" s="261" t="s">
        <v>3240</v>
      </c>
      <c r="D2762" s="266" t="s">
        <v>20053</v>
      </c>
      <c r="E2762" s="262" t="s">
        <v>207</v>
      </c>
    </row>
    <row r="2763" spans="1:5" ht="15">
      <c r="A2763" s="261">
        <v>10425</v>
      </c>
      <c r="B2763" s="261" t="s">
        <v>6933</v>
      </c>
      <c r="C2763" s="261" t="s">
        <v>3240</v>
      </c>
      <c r="D2763" s="266" t="s">
        <v>16106</v>
      </c>
      <c r="E2763" s="262" t="s">
        <v>207</v>
      </c>
    </row>
    <row r="2764" spans="1:5" ht="15">
      <c r="A2764" s="261">
        <v>10431</v>
      </c>
      <c r="B2764" s="261" t="s">
        <v>6934</v>
      </c>
      <c r="C2764" s="261" t="s">
        <v>3240</v>
      </c>
      <c r="D2764" s="266" t="s">
        <v>20054</v>
      </c>
      <c r="E2764" s="262" t="s">
        <v>207</v>
      </c>
    </row>
    <row r="2765" spans="1:5" ht="15">
      <c r="A2765" s="261">
        <v>10429</v>
      </c>
      <c r="B2765" s="261" t="s">
        <v>6935</v>
      </c>
      <c r="C2765" s="261" t="s">
        <v>3240</v>
      </c>
      <c r="D2765" s="265" t="s">
        <v>20055</v>
      </c>
      <c r="E2765" s="262" t="s">
        <v>207</v>
      </c>
    </row>
    <row r="2766" spans="1:5" ht="15">
      <c r="A2766" s="261">
        <v>20269</v>
      </c>
      <c r="B2766" s="261" t="s">
        <v>6936</v>
      </c>
      <c r="C2766" s="261" t="s">
        <v>3240</v>
      </c>
      <c r="D2766" s="265" t="s">
        <v>20056</v>
      </c>
      <c r="E2766" s="262" t="s">
        <v>207</v>
      </c>
    </row>
    <row r="2767" spans="1:5" ht="15">
      <c r="A2767" s="261">
        <v>20270</v>
      </c>
      <c r="B2767" s="261" t="s">
        <v>6937</v>
      </c>
      <c r="C2767" s="261" t="s">
        <v>3240</v>
      </c>
      <c r="D2767" s="265" t="s">
        <v>20057</v>
      </c>
      <c r="E2767" s="262" t="s">
        <v>207</v>
      </c>
    </row>
    <row r="2768" spans="1:5" ht="30">
      <c r="A2768" s="261">
        <v>11696</v>
      </c>
      <c r="B2768" s="261" t="s">
        <v>6938</v>
      </c>
      <c r="C2768" s="261" t="s">
        <v>3240</v>
      </c>
      <c r="D2768" s="265" t="s">
        <v>20058</v>
      </c>
      <c r="E2768" s="262" t="s">
        <v>207</v>
      </c>
    </row>
    <row r="2769" spans="1:5" ht="30">
      <c r="A2769" s="261">
        <v>10427</v>
      </c>
      <c r="B2769" s="261" t="s">
        <v>6939</v>
      </c>
      <c r="C2769" s="261" t="s">
        <v>3240</v>
      </c>
      <c r="D2769" s="265" t="s">
        <v>20059</v>
      </c>
      <c r="E2769" s="262" t="s">
        <v>207</v>
      </c>
    </row>
    <row r="2770" spans="1:5" ht="30">
      <c r="A2770" s="261">
        <v>10428</v>
      </c>
      <c r="B2770" s="261" t="s">
        <v>6940</v>
      </c>
      <c r="C2770" s="261" t="s">
        <v>3240</v>
      </c>
      <c r="D2770" s="266" t="s">
        <v>20060</v>
      </c>
      <c r="E2770" s="262" t="s">
        <v>207</v>
      </c>
    </row>
    <row r="2771" spans="1:5" ht="15">
      <c r="A2771" s="261">
        <v>2354</v>
      </c>
      <c r="B2771" s="261" t="s">
        <v>6941</v>
      </c>
      <c r="C2771" s="261" t="s">
        <v>3239</v>
      </c>
      <c r="D2771" s="265" t="s">
        <v>12358</v>
      </c>
      <c r="E2771" s="262" t="s">
        <v>9714</v>
      </c>
    </row>
    <row r="2772" spans="1:5" ht="15">
      <c r="A2772" s="261">
        <v>40932</v>
      </c>
      <c r="B2772" s="261" t="s">
        <v>6942</v>
      </c>
      <c r="C2772" s="261" t="s">
        <v>3246</v>
      </c>
      <c r="D2772" s="265" t="s">
        <v>12359</v>
      </c>
      <c r="E2772" s="262" t="s">
        <v>9714</v>
      </c>
    </row>
    <row r="2773" spans="1:5" ht="15">
      <c r="A2773" s="261">
        <v>10853</v>
      </c>
      <c r="B2773" s="261" t="s">
        <v>6943</v>
      </c>
      <c r="C2773" s="261" t="s">
        <v>3240</v>
      </c>
      <c r="D2773" s="265" t="s">
        <v>20061</v>
      </c>
      <c r="E2773" s="262" t="s">
        <v>207</v>
      </c>
    </row>
    <row r="2774" spans="1:5" ht="15">
      <c r="A2774" s="261">
        <v>5093</v>
      </c>
      <c r="B2774" s="261" t="s">
        <v>6944</v>
      </c>
      <c r="C2774" s="261" t="s">
        <v>3247</v>
      </c>
      <c r="D2774" s="265" t="s">
        <v>20062</v>
      </c>
      <c r="E2774" s="262" t="s">
        <v>207</v>
      </c>
    </row>
    <row r="2775" spans="1:5" ht="30">
      <c r="A2775" s="261">
        <v>37768</v>
      </c>
      <c r="B2775" s="261" t="s">
        <v>6945</v>
      </c>
      <c r="C2775" s="261" t="s">
        <v>3240</v>
      </c>
      <c r="D2775" s="265" t="s">
        <v>20063</v>
      </c>
      <c r="E2775" s="262" t="s">
        <v>8987</v>
      </c>
    </row>
    <row r="2776" spans="1:5" ht="30">
      <c r="A2776" s="261">
        <v>37773</v>
      </c>
      <c r="B2776" s="261" t="s">
        <v>6946</v>
      </c>
      <c r="C2776" s="261" t="s">
        <v>3240</v>
      </c>
      <c r="D2776" s="265" t="s">
        <v>20064</v>
      </c>
      <c r="E2776" s="262" t="s">
        <v>8987</v>
      </c>
    </row>
    <row r="2777" spans="1:5" ht="30">
      <c r="A2777" s="261">
        <v>37769</v>
      </c>
      <c r="B2777" s="261" t="s">
        <v>6947</v>
      </c>
      <c r="C2777" s="261" t="s">
        <v>3240</v>
      </c>
      <c r="D2777" s="265" t="s">
        <v>20065</v>
      </c>
      <c r="E2777" s="262" t="s">
        <v>8987</v>
      </c>
    </row>
    <row r="2778" spans="1:5" ht="30">
      <c r="A2778" s="261">
        <v>37770</v>
      </c>
      <c r="B2778" s="261" t="s">
        <v>6948</v>
      </c>
      <c r="C2778" s="261" t="s">
        <v>3240</v>
      </c>
      <c r="D2778" s="265" t="s">
        <v>20066</v>
      </c>
      <c r="E2778" s="262" t="s">
        <v>8987</v>
      </c>
    </row>
    <row r="2779" spans="1:5" ht="15">
      <c r="A2779" s="261">
        <v>38382</v>
      </c>
      <c r="B2779" s="261" t="s">
        <v>6949</v>
      </c>
      <c r="C2779" s="261" t="s">
        <v>3240</v>
      </c>
      <c r="D2779" s="265" t="s">
        <v>10336</v>
      </c>
      <c r="E2779" s="262" t="s">
        <v>207</v>
      </c>
    </row>
    <row r="2780" spans="1:5" ht="15">
      <c r="A2780" s="261">
        <v>38383</v>
      </c>
      <c r="B2780" s="261" t="s">
        <v>6950</v>
      </c>
      <c r="C2780" s="261" t="s">
        <v>3240</v>
      </c>
      <c r="D2780" s="265" t="s">
        <v>11068</v>
      </c>
      <c r="E2780" s="262" t="s">
        <v>207</v>
      </c>
    </row>
    <row r="2781" spans="1:5" ht="15">
      <c r="A2781" s="261">
        <v>3768</v>
      </c>
      <c r="B2781" s="261" t="s">
        <v>6951</v>
      </c>
      <c r="C2781" s="261" t="s">
        <v>3240</v>
      </c>
      <c r="D2781" s="265" t="s">
        <v>10034</v>
      </c>
      <c r="E2781" s="262" t="s">
        <v>207</v>
      </c>
    </row>
    <row r="2782" spans="1:5" ht="15">
      <c r="A2782" s="261">
        <v>3767</v>
      </c>
      <c r="B2782" s="261" t="s">
        <v>6952</v>
      </c>
      <c r="C2782" s="261" t="s">
        <v>3240</v>
      </c>
      <c r="D2782" s="265" t="s">
        <v>10054</v>
      </c>
      <c r="E2782" s="262" t="s">
        <v>207</v>
      </c>
    </row>
    <row r="2783" spans="1:5" ht="30">
      <c r="A2783" s="261">
        <v>13192</v>
      </c>
      <c r="B2783" s="261" t="s">
        <v>6953</v>
      </c>
      <c r="C2783" s="261" t="s">
        <v>3240</v>
      </c>
      <c r="D2783" s="265" t="s">
        <v>20067</v>
      </c>
      <c r="E2783" s="262" t="s">
        <v>8987</v>
      </c>
    </row>
    <row r="2784" spans="1:5" ht="30">
      <c r="A2784" s="261">
        <v>38413</v>
      </c>
      <c r="B2784" s="261" t="s">
        <v>6954</v>
      </c>
      <c r="C2784" s="261" t="s">
        <v>3240</v>
      </c>
      <c r="D2784" s="265" t="s">
        <v>20068</v>
      </c>
      <c r="E2784" s="262" t="s">
        <v>207</v>
      </c>
    </row>
    <row r="2785" spans="1:5" ht="45">
      <c r="A2785" s="261">
        <v>42440</v>
      </c>
      <c r="B2785" s="261" t="s">
        <v>6955</v>
      </c>
      <c r="C2785" s="261" t="s">
        <v>3240</v>
      </c>
      <c r="D2785" s="265" t="s">
        <v>20069</v>
      </c>
      <c r="E2785" s="262" t="s">
        <v>207</v>
      </c>
    </row>
    <row r="2786" spans="1:5" ht="30">
      <c r="A2786" s="261">
        <v>20193</v>
      </c>
      <c r="B2786" s="261" t="s">
        <v>6956</v>
      </c>
      <c r="C2786" s="261" t="s">
        <v>6957</v>
      </c>
      <c r="D2786" s="265" t="s">
        <v>16197</v>
      </c>
      <c r="E2786" s="262" t="s">
        <v>207</v>
      </c>
    </row>
    <row r="2787" spans="1:5" ht="45">
      <c r="A2787" s="261">
        <v>10527</v>
      </c>
      <c r="B2787" s="261" t="s">
        <v>11848</v>
      </c>
      <c r="C2787" s="261" t="s">
        <v>6958</v>
      </c>
      <c r="D2787" s="265" t="s">
        <v>11151</v>
      </c>
      <c r="E2787" s="262" t="s">
        <v>207</v>
      </c>
    </row>
    <row r="2788" spans="1:5" ht="45">
      <c r="A2788" s="261">
        <v>41805</v>
      </c>
      <c r="B2788" s="261" t="s">
        <v>6959</v>
      </c>
      <c r="C2788" s="261" t="s">
        <v>3246</v>
      </c>
      <c r="D2788" s="265" t="s">
        <v>20070</v>
      </c>
      <c r="E2788" s="262" t="s">
        <v>9714</v>
      </c>
    </row>
    <row r="2789" spans="1:5" ht="30">
      <c r="A2789" s="261">
        <v>40271</v>
      </c>
      <c r="B2789" s="261" t="s">
        <v>6960</v>
      </c>
      <c r="C2789" s="261" t="s">
        <v>3246</v>
      </c>
      <c r="D2789" s="265" t="s">
        <v>16111</v>
      </c>
      <c r="E2789" s="262" t="s">
        <v>9714</v>
      </c>
    </row>
    <row r="2790" spans="1:5" ht="30">
      <c r="A2790" s="261">
        <v>40287</v>
      </c>
      <c r="B2790" s="261" t="s">
        <v>6961</v>
      </c>
      <c r="C2790" s="261" t="s">
        <v>3246</v>
      </c>
      <c r="D2790" s="265" t="s">
        <v>10898</v>
      </c>
      <c r="E2790" s="262" t="s">
        <v>9714</v>
      </c>
    </row>
    <row r="2791" spans="1:5" ht="15">
      <c r="A2791" s="261">
        <v>40295</v>
      </c>
      <c r="B2791" s="261" t="s">
        <v>6962</v>
      </c>
      <c r="C2791" s="261" t="s">
        <v>3239</v>
      </c>
      <c r="D2791" s="265" t="s">
        <v>10042</v>
      </c>
      <c r="E2791" s="262" t="s">
        <v>8987</v>
      </c>
    </row>
    <row r="2792" spans="1:5" ht="15">
      <c r="A2792" s="261">
        <v>745</v>
      </c>
      <c r="B2792" s="261" t="s">
        <v>6963</v>
      </c>
      <c r="C2792" s="261" t="s">
        <v>3239</v>
      </c>
      <c r="D2792" s="265" t="s">
        <v>9896</v>
      </c>
      <c r="E2792" s="262" t="s">
        <v>8987</v>
      </c>
    </row>
    <row r="2793" spans="1:5" ht="60">
      <c r="A2793" s="261">
        <v>4084</v>
      </c>
      <c r="B2793" s="261" t="s">
        <v>6964</v>
      </c>
      <c r="C2793" s="261" t="s">
        <v>3239</v>
      </c>
      <c r="D2793" s="265" t="s">
        <v>10012</v>
      </c>
      <c r="E2793" s="262" t="s">
        <v>8987</v>
      </c>
    </row>
    <row r="2794" spans="1:5" ht="60">
      <c r="A2794" s="261">
        <v>743</v>
      </c>
      <c r="B2794" s="261" t="s">
        <v>6965</v>
      </c>
      <c r="C2794" s="261" t="s">
        <v>3239</v>
      </c>
      <c r="D2794" s="265" t="s">
        <v>10012</v>
      </c>
      <c r="E2794" s="262" t="s">
        <v>8987</v>
      </c>
    </row>
    <row r="2795" spans="1:5" ht="60">
      <c r="A2795" s="261">
        <v>40293</v>
      </c>
      <c r="B2795" s="261" t="s">
        <v>6966</v>
      </c>
      <c r="C2795" s="261" t="s">
        <v>3239</v>
      </c>
      <c r="D2795" s="265" t="s">
        <v>9985</v>
      </c>
      <c r="E2795" s="262" t="s">
        <v>8987</v>
      </c>
    </row>
    <row r="2796" spans="1:5" ht="60">
      <c r="A2796" s="261">
        <v>40294</v>
      </c>
      <c r="B2796" s="261" t="s">
        <v>6967</v>
      </c>
      <c r="C2796" s="261" t="s">
        <v>3239</v>
      </c>
      <c r="D2796" s="265" t="s">
        <v>10012</v>
      </c>
      <c r="E2796" s="262" t="s">
        <v>8987</v>
      </c>
    </row>
    <row r="2797" spans="1:5" ht="60">
      <c r="A2797" s="261">
        <v>4085</v>
      </c>
      <c r="B2797" s="261" t="s">
        <v>6968</v>
      </c>
      <c r="C2797" s="261" t="s">
        <v>3239</v>
      </c>
      <c r="D2797" s="265" t="s">
        <v>10073</v>
      </c>
      <c r="E2797" s="262" t="s">
        <v>8987</v>
      </c>
    </row>
    <row r="2798" spans="1:5" ht="30">
      <c r="A2798" s="261">
        <v>10775</v>
      </c>
      <c r="B2798" s="261" t="s">
        <v>6969</v>
      </c>
      <c r="C2798" s="261" t="s">
        <v>3246</v>
      </c>
      <c r="D2798" s="265" t="s">
        <v>20071</v>
      </c>
      <c r="E2798" s="262" t="s">
        <v>9714</v>
      </c>
    </row>
    <row r="2799" spans="1:5" ht="30">
      <c r="A2799" s="261">
        <v>10776</v>
      </c>
      <c r="B2799" s="261" t="s">
        <v>6970</v>
      </c>
      <c r="C2799" s="261" t="s">
        <v>3246</v>
      </c>
      <c r="D2799" s="265" t="s">
        <v>20072</v>
      </c>
      <c r="E2799" s="262" t="s">
        <v>9714</v>
      </c>
    </row>
    <row r="2800" spans="1:5" ht="30">
      <c r="A2800" s="261">
        <v>10779</v>
      </c>
      <c r="B2800" s="261" t="s">
        <v>6971</v>
      </c>
      <c r="C2800" s="261" t="s">
        <v>3246</v>
      </c>
      <c r="D2800" s="265" t="s">
        <v>20073</v>
      </c>
      <c r="E2800" s="262" t="s">
        <v>9714</v>
      </c>
    </row>
    <row r="2801" spans="1:5" ht="30">
      <c r="A2801" s="261">
        <v>10777</v>
      </c>
      <c r="B2801" s="261" t="s">
        <v>6972</v>
      </c>
      <c r="C2801" s="261" t="s">
        <v>3246</v>
      </c>
      <c r="D2801" s="265" t="s">
        <v>20074</v>
      </c>
      <c r="E2801" s="262" t="s">
        <v>9714</v>
      </c>
    </row>
    <row r="2802" spans="1:5" ht="30">
      <c r="A2802" s="261">
        <v>10778</v>
      </c>
      <c r="B2802" s="261" t="s">
        <v>6973</v>
      </c>
      <c r="C2802" s="261" t="s">
        <v>3246</v>
      </c>
      <c r="D2802" s="265" t="s">
        <v>20073</v>
      </c>
      <c r="E2802" s="262" t="s">
        <v>9714</v>
      </c>
    </row>
    <row r="2803" spans="1:5" ht="15">
      <c r="A2803" s="261">
        <v>40339</v>
      </c>
      <c r="B2803" s="261" t="s">
        <v>6974</v>
      </c>
      <c r="C2803" s="261" t="s">
        <v>3246</v>
      </c>
      <c r="D2803" s="265" t="s">
        <v>10898</v>
      </c>
      <c r="E2803" s="262" t="s">
        <v>9714</v>
      </c>
    </row>
    <row r="2804" spans="1:5" ht="45">
      <c r="A2804" s="261">
        <v>3355</v>
      </c>
      <c r="B2804" s="261" t="s">
        <v>6975</v>
      </c>
      <c r="C2804" s="261" t="s">
        <v>3239</v>
      </c>
      <c r="D2804" s="265" t="s">
        <v>11528</v>
      </c>
      <c r="E2804" s="262" t="s">
        <v>8987</v>
      </c>
    </row>
    <row r="2805" spans="1:5" ht="45">
      <c r="A2805" s="261">
        <v>39814</v>
      </c>
      <c r="B2805" s="261" t="s">
        <v>6976</v>
      </c>
      <c r="C2805" s="261" t="s">
        <v>3239</v>
      </c>
      <c r="D2805" s="265" t="s">
        <v>12362</v>
      </c>
      <c r="E2805" s="262" t="s">
        <v>8987</v>
      </c>
    </row>
    <row r="2806" spans="1:5" ht="45">
      <c r="A2806" s="261">
        <v>10749</v>
      </c>
      <c r="B2806" s="261" t="s">
        <v>6977</v>
      </c>
      <c r="C2806" s="261" t="s">
        <v>3246</v>
      </c>
      <c r="D2806" s="265" t="s">
        <v>20075</v>
      </c>
      <c r="E2806" s="262" t="s">
        <v>9714</v>
      </c>
    </row>
    <row r="2807" spans="1:5" ht="30">
      <c r="A2807" s="261">
        <v>40290</v>
      </c>
      <c r="B2807" s="261" t="s">
        <v>6978</v>
      </c>
      <c r="C2807" s="261" t="s">
        <v>3246</v>
      </c>
      <c r="D2807" s="265" t="s">
        <v>11545</v>
      </c>
      <c r="E2807" s="262" t="s">
        <v>9714</v>
      </c>
    </row>
    <row r="2808" spans="1:5" ht="30">
      <c r="A2808" s="261">
        <v>3346</v>
      </c>
      <c r="B2808" s="261" t="s">
        <v>16568</v>
      </c>
      <c r="C2808" s="261" t="s">
        <v>3239</v>
      </c>
      <c r="D2808" s="265" t="s">
        <v>9795</v>
      </c>
      <c r="E2808" s="262" t="s">
        <v>8987</v>
      </c>
    </row>
    <row r="2809" spans="1:5" ht="30">
      <c r="A2809" s="261">
        <v>3348</v>
      </c>
      <c r="B2809" s="261" t="s">
        <v>16569</v>
      </c>
      <c r="C2809" s="261" t="s">
        <v>3239</v>
      </c>
      <c r="D2809" s="265" t="s">
        <v>20041</v>
      </c>
      <c r="E2809" s="262" t="s">
        <v>8987</v>
      </c>
    </row>
    <row r="2810" spans="1:5" ht="30">
      <c r="A2810" s="261">
        <v>39833</v>
      </c>
      <c r="B2810" s="261" t="s">
        <v>16570</v>
      </c>
      <c r="C2810" s="261" t="s">
        <v>3239</v>
      </c>
      <c r="D2810" s="265" t="s">
        <v>20076</v>
      </c>
      <c r="E2810" s="262" t="s">
        <v>8987</v>
      </c>
    </row>
    <row r="2811" spans="1:5" ht="15">
      <c r="A2811" s="261">
        <v>7252</v>
      </c>
      <c r="B2811" s="261" t="s">
        <v>6979</v>
      </c>
      <c r="C2811" s="261" t="s">
        <v>3239</v>
      </c>
      <c r="D2811" s="265" t="s">
        <v>11338</v>
      </c>
      <c r="E2811" s="262" t="s">
        <v>8987</v>
      </c>
    </row>
    <row r="2812" spans="1:5" ht="15">
      <c r="A2812" s="261">
        <v>4778</v>
      </c>
      <c r="B2812" s="261" t="s">
        <v>6980</v>
      </c>
      <c r="C2812" s="261" t="s">
        <v>3239</v>
      </c>
      <c r="D2812" s="265" t="s">
        <v>9927</v>
      </c>
      <c r="E2812" s="262" t="s">
        <v>8987</v>
      </c>
    </row>
    <row r="2813" spans="1:5" ht="15">
      <c r="A2813" s="261">
        <v>4780</v>
      </c>
      <c r="B2813" s="261" t="s">
        <v>6981</v>
      </c>
      <c r="C2813" s="261" t="s">
        <v>3239</v>
      </c>
      <c r="D2813" s="265" t="s">
        <v>9896</v>
      </c>
      <c r="E2813" s="262" t="s">
        <v>8987</v>
      </c>
    </row>
    <row r="2814" spans="1:5" ht="15">
      <c r="A2814" s="261">
        <v>10809</v>
      </c>
      <c r="B2814" s="261" t="s">
        <v>6982</v>
      </c>
      <c r="C2814" s="261" t="s">
        <v>3239</v>
      </c>
      <c r="D2814" s="265" t="s">
        <v>9774</v>
      </c>
      <c r="E2814" s="262" t="s">
        <v>8987</v>
      </c>
    </row>
    <row r="2815" spans="1:5" ht="30">
      <c r="A2815" s="261">
        <v>10811</v>
      </c>
      <c r="B2815" s="261" t="s">
        <v>6983</v>
      </c>
      <c r="C2815" s="261" t="s">
        <v>3239</v>
      </c>
      <c r="D2815" s="265" t="s">
        <v>10083</v>
      </c>
      <c r="E2815" s="262" t="s">
        <v>8987</v>
      </c>
    </row>
    <row r="2816" spans="1:5" ht="30">
      <c r="A2816" s="261">
        <v>7247</v>
      </c>
      <c r="B2816" s="261" t="s">
        <v>6984</v>
      </c>
      <c r="C2816" s="261" t="s">
        <v>3239</v>
      </c>
      <c r="D2816" s="265" t="s">
        <v>11338</v>
      </c>
      <c r="E2816" s="262" t="s">
        <v>8987</v>
      </c>
    </row>
    <row r="2817" spans="1:5" ht="30">
      <c r="A2817" s="261">
        <v>40291</v>
      </c>
      <c r="B2817" s="261" t="s">
        <v>6985</v>
      </c>
      <c r="C2817" s="261" t="s">
        <v>3246</v>
      </c>
      <c r="D2817" s="265" t="s">
        <v>20077</v>
      </c>
      <c r="E2817" s="262" t="s">
        <v>9714</v>
      </c>
    </row>
    <row r="2818" spans="1:5" ht="30">
      <c r="A2818" s="261">
        <v>40275</v>
      </c>
      <c r="B2818" s="261" t="s">
        <v>6986</v>
      </c>
      <c r="C2818" s="261" t="s">
        <v>3246</v>
      </c>
      <c r="D2818" s="265" t="s">
        <v>11151</v>
      </c>
      <c r="E2818" s="262" t="s">
        <v>9714</v>
      </c>
    </row>
    <row r="2819" spans="1:5" ht="15">
      <c r="A2819" s="261">
        <v>42408</v>
      </c>
      <c r="B2819" s="261" t="s">
        <v>11849</v>
      </c>
      <c r="C2819" s="261" t="s">
        <v>3242</v>
      </c>
      <c r="D2819" s="265" t="s">
        <v>11193</v>
      </c>
      <c r="E2819" s="262" t="s">
        <v>207</v>
      </c>
    </row>
    <row r="2820" spans="1:5" ht="15">
      <c r="A2820" s="261">
        <v>3777</v>
      </c>
      <c r="B2820" s="261" t="s">
        <v>11850</v>
      </c>
      <c r="C2820" s="261" t="s">
        <v>3242</v>
      </c>
      <c r="D2820" s="265" t="s">
        <v>10909</v>
      </c>
      <c r="E2820" s="262" t="s">
        <v>207</v>
      </c>
    </row>
    <row r="2821" spans="1:5" ht="15">
      <c r="A2821" s="261">
        <v>3798</v>
      </c>
      <c r="B2821" s="261" t="s">
        <v>6987</v>
      </c>
      <c r="C2821" s="261" t="s">
        <v>3240</v>
      </c>
      <c r="D2821" s="265" t="s">
        <v>15832</v>
      </c>
      <c r="E2821" s="262" t="s">
        <v>207</v>
      </c>
    </row>
    <row r="2822" spans="1:5" ht="30">
      <c r="A2822" s="261">
        <v>38769</v>
      </c>
      <c r="B2822" s="261" t="s">
        <v>6988</v>
      </c>
      <c r="C2822" s="261" t="s">
        <v>3240</v>
      </c>
      <c r="D2822" s="265" t="s">
        <v>20078</v>
      </c>
      <c r="E2822" s="262" t="s">
        <v>207</v>
      </c>
    </row>
    <row r="2823" spans="1:5" ht="30">
      <c r="A2823" s="261">
        <v>39510</v>
      </c>
      <c r="B2823" s="261" t="s">
        <v>6989</v>
      </c>
      <c r="C2823" s="261" t="s">
        <v>3240</v>
      </c>
      <c r="D2823" s="265" t="s">
        <v>20079</v>
      </c>
      <c r="E2823" s="262" t="s">
        <v>207</v>
      </c>
    </row>
    <row r="2824" spans="1:5" ht="30">
      <c r="A2824" s="261">
        <v>38776</v>
      </c>
      <c r="B2824" s="261" t="s">
        <v>6990</v>
      </c>
      <c r="C2824" s="261" t="s">
        <v>3240</v>
      </c>
      <c r="D2824" s="265" t="s">
        <v>20080</v>
      </c>
      <c r="E2824" s="262" t="s">
        <v>207</v>
      </c>
    </row>
    <row r="2825" spans="1:5" ht="30">
      <c r="A2825" s="261">
        <v>38774</v>
      </c>
      <c r="B2825" s="261" t="s">
        <v>6991</v>
      </c>
      <c r="C2825" s="261" t="s">
        <v>3240</v>
      </c>
      <c r="D2825" s="265" t="s">
        <v>18986</v>
      </c>
      <c r="E2825" s="262" t="s">
        <v>207</v>
      </c>
    </row>
    <row r="2826" spans="1:5" ht="30">
      <c r="A2826" s="261">
        <v>42247</v>
      </c>
      <c r="B2826" s="261" t="s">
        <v>11418</v>
      </c>
      <c r="C2826" s="261" t="s">
        <v>3240</v>
      </c>
      <c r="D2826" s="265" t="s">
        <v>20081</v>
      </c>
      <c r="E2826" s="262" t="s">
        <v>207</v>
      </c>
    </row>
    <row r="2827" spans="1:5" ht="30">
      <c r="A2827" s="261">
        <v>42248</v>
      </c>
      <c r="B2827" s="261" t="s">
        <v>11419</v>
      </c>
      <c r="C2827" s="261" t="s">
        <v>3240</v>
      </c>
      <c r="D2827" s="265" t="s">
        <v>20082</v>
      </c>
      <c r="E2827" s="262" t="s">
        <v>207</v>
      </c>
    </row>
    <row r="2828" spans="1:5" ht="30">
      <c r="A2828" s="261">
        <v>42249</v>
      </c>
      <c r="B2828" s="261" t="s">
        <v>11420</v>
      </c>
      <c r="C2828" s="261" t="s">
        <v>3240</v>
      </c>
      <c r="D2828" s="265" t="s">
        <v>20083</v>
      </c>
      <c r="E2828" s="262" t="s">
        <v>207</v>
      </c>
    </row>
    <row r="2829" spans="1:5" ht="30">
      <c r="A2829" s="261">
        <v>42244</v>
      </c>
      <c r="B2829" s="261" t="s">
        <v>11421</v>
      </c>
      <c r="C2829" s="261" t="s">
        <v>3240</v>
      </c>
      <c r="D2829" s="265" t="s">
        <v>20084</v>
      </c>
      <c r="E2829" s="262" t="s">
        <v>207</v>
      </c>
    </row>
    <row r="2830" spans="1:5" ht="30">
      <c r="A2830" s="261">
        <v>42245</v>
      </c>
      <c r="B2830" s="261" t="s">
        <v>11422</v>
      </c>
      <c r="C2830" s="261" t="s">
        <v>3240</v>
      </c>
      <c r="D2830" s="265" t="s">
        <v>20085</v>
      </c>
      <c r="E2830" s="262" t="s">
        <v>207</v>
      </c>
    </row>
    <row r="2831" spans="1:5" ht="30">
      <c r="A2831" s="261">
        <v>42246</v>
      </c>
      <c r="B2831" s="261" t="s">
        <v>11423</v>
      </c>
      <c r="C2831" s="261" t="s">
        <v>3240</v>
      </c>
      <c r="D2831" s="265" t="s">
        <v>20086</v>
      </c>
      <c r="E2831" s="262" t="s">
        <v>207</v>
      </c>
    </row>
    <row r="2832" spans="1:5" ht="30">
      <c r="A2832" s="261">
        <v>42243</v>
      </c>
      <c r="B2832" s="261" t="s">
        <v>11424</v>
      </c>
      <c r="C2832" s="261" t="s">
        <v>3240</v>
      </c>
      <c r="D2832" s="265" t="s">
        <v>20087</v>
      </c>
      <c r="E2832" s="262" t="s">
        <v>207</v>
      </c>
    </row>
    <row r="2833" spans="1:5" ht="30">
      <c r="A2833" s="261">
        <v>38889</v>
      </c>
      <c r="B2833" s="261" t="s">
        <v>6992</v>
      </c>
      <c r="C2833" s="261" t="s">
        <v>3240</v>
      </c>
      <c r="D2833" s="265" t="s">
        <v>11252</v>
      </c>
      <c r="E2833" s="262" t="s">
        <v>207</v>
      </c>
    </row>
    <row r="2834" spans="1:5" ht="30">
      <c r="A2834" s="261">
        <v>38784</v>
      </c>
      <c r="B2834" s="261" t="s">
        <v>6993</v>
      </c>
      <c r="C2834" s="261" t="s">
        <v>3240</v>
      </c>
      <c r="D2834" s="265" t="s">
        <v>14063</v>
      </c>
      <c r="E2834" s="262" t="s">
        <v>207</v>
      </c>
    </row>
    <row r="2835" spans="1:5" ht="30">
      <c r="A2835" s="261">
        <v>3788</v>
      </c>
      <c r="B2835" s="261" t="s">
        <v>6994</v>
      </c>
      <c r="C2835" s="261" t="s">
        <v>3240</v>
      </c>
      <c r="D2835" s="265" t="s">
        <v>14090</v>
      </c>
      <c r="E2835" s="262" t="s">
        <v>207</v>
      </c>
    </row>
    <row r="2836" spans="1:5" ht="30">
      <c r="A2836" s="261">
        <v>12230</v>
      </c>
      <c r="B2836" s="261" t="s">
        <v>6995</v>
      </c>
      <c r="C2836" s="261" t="s">
        <v>3240</v>
      </c>
      <c r="D2836" s="265" t="s">
        <v>10828</v>
      </c>
      <c r="E2836" s="262" t="s">
        <v>207</v>
      </c>
    </row>
    <row r="2837" spans="1:5" ht="30">
      <c r="A2837" s="261">
        <v>3780</v>
      </c>
      <c r="B2837" s="261" t="s">
        <v>6996</v>
      </c>
      <c r="C2837" s="261" t="s">
        <v>3240</v>
      </c>
      <c r="D2837" s="265" t="s">
        <v>16696</v>
      </c>
      <c r="E2837" s="262" t="s">
        <v>207</v>
      </c>
    </row>
    <row r="2838" spans="1:5" ht="30">
      <c r="A2838" s="261">
        <v>12231</v>
      </c>
      <c r="B2838" s="261" t="s">
        <v>6997</v>
      </c>
      <c r="C2838" s="261" t="s">
        <v>3240</v>
      </c>
      <c r="D2838" s="265" t="s">
        <v>19518</v>
      </c>
      <c r="E2838" s="262" t="s">
        <v>207</v>
      </c>
    </row>
    <row r="2839" spans="1:5" ht="30">
      <c r="A2839" s="261">
        <v>3811</v>
      </c>
      <c r="B2839" s="261" t="s">
        <v>6998</v>
      </c>
      <c r="C2839" s="261" t="s">
        <v>3240</v>
      </c>
      <c r="D2839" s="265" t="s">
        <v>16138</v>
      </c>
      <c r="E2839" s="262" t="s">
        <v>207</v>
      </c>
    </row>
    <row r="2840" spans="1:5" ht="30">
      <c r="A2840" s="261">
        <v>12232</v>
      </c>
      <c r="B2840" s="261" t="s">
        <v>6999</v>
      </c>
      <c r="C2840" s="261" t="s">
        <v>3240</v>
      </c>
      <c r="D2840" s="265" t="s">
        <v>11480</v>
      </c>
      <c r="E2840" s="262" t="s">
        <v>207</v>
      </c>
    </row>
    <row r="2841" spans="1:5" ht="30">
      <c r="A2841" s="261">
        <v>3799</v>
      </c>
      <c r="B2841" s="261" t="s">
        <v>7000</v>
      </c>
      <c r="C2841" s="261" t="s">
        <v>3240</v>
      </c>
      <c r="D2841" s="265" t="s">
        <v>20088</v>
      </c>
      <c r="E2841" s="262" t="s">
        <v>207</v>
      </c>
    </row>
    <row r="2842" spans="1:5" ht="30">
      <c r="A2842" s="261">
        <v>12239</v>
      </c>
      <c r="B2842" s="261" t="s">
        <v>7001</v>
      </c>
      <c r="C2842" s="261" t="s">
        <v>3240</v>
      </c>
      <c r="D2842" s="265" t="s">
        <v>16090</v>
      </c>
      <c r="E2842" s="262" t="s">
        <v>207</v>
      </c>
    </row>
    <row r="2843" spans="1:5" ht="30">
      <c r="A2843" s="261">
        <v>38773</v>
      </c>
      <c r="B2843" s="261" t="s">
        <v>7002</v>
      </c>
      <c r="C2843" s="261" t="s">
        <v>3240</v>
      </c>
      <c r="D2843" s="265" t="s">
        <v>10218</v>
      </c>
      <c r="E2843" s="264" t="s">
        <v>207</v>
      </c>
    </row>
    <row r="2844" spans="1:5" ht="15">
      <c r="A2844" s="261">
        <v>12271</v>
      </c>
      <c r="B2844" s="261" t="s">
        <v>7003</v>
      </c>
      <c r="C2844" s="261" t="s">
        <v>3240</v>
      </c>
      <c r="D2844" s="265" t="s">
        <v>20089</v>
      </c>
      <c r="E2844" s="264" t="s">
        <v>207</v>
      </c>
    </row>
    <row r="2845" spans="1:5" ht="30">
      <c r="A2845" s="261">
        <v>38785</v>
      </c>
      <c r="B2845" s="261" t="s">
        <v>7004</v>
      </c>
      <c r="C2845" s="261" t="s">
        <v>3240</v>
      </c>
      <c r="D2845" s="265" t="s">
        <v>20090</v>
      </c>
      <c r="E2845" s="262" t="s">
        <v>207</v>
      </c>
    </row>
    <row r="2846" spans="1:5" ht="30">
      <c r="A2846" s="261">
        <v>38786</v>
      </c>
      <c r="B2846" s="261" t="s">
        <v>7005</v>
      </c>
      <c r="C2846" s="261" t="s">
        <v>3240</v>
      </c>
      <c r="D2846" s="265" t="s">
        <v>20091</v>
      </c>
      <c r="E2846" s="262" t="s">
        <v>207</v>
      </c>
    </row>
    <row r="2847" spans="1:5" ht="15">
      <c r="A2847" s="261">
        <v>39385</v>
      </c>
      <c r="B2847" s="261" t="s">
        <v>7006</v>
      </c>
      <c r="C2847" s="261" t="s">
        <v>3240</v>
      </c>
      <c r="D2847" s="265" t="s">
        <v>20092</v>
      </c>
      <c r="E2847" s="262" t="s">
        <v>207</v>
      </c>
    </row>
    <row r="2848" spans="1:5" ht="15">
      <c r="A2848" s="261">
        <v>39389</v>
      </c>
      <c r="B2848" s="261" t="s">
        <v>7007</v>
      </c>
      <c r="C2848" s="261" t="s">
        <v>3240</v>
      </c>
      <c r="D2848" s="265" t="s">
        <v>18773</v>
      </c>
      <c r="E2848" s="262" t="s">
        <v>207</v>
      </c>
    </row>
    <row r="2849" spans="1:5" ht="15">
      <c r="A2849" s="261">
        <v>39390</v>
      </c>
      <c r="B2849" s="261" t="s">
        <v>7008</v>
      </c>
      <c r="C2849" s="261" t="s">
        <v>3240</v>
      </c>
      <c r="D2849" s="265" t="s">
        <v>20093</v>
      </c>
      <c r="E2849" s="262" t="s">
        <v>207</v>
      </c>
    </row>
    <row r="2850" spans="1:5" ht="15">
      <c r="A2850" s="261">
        <v>39391</v>
      </c>
      <c r="B2850" s="261" t="s">
        <v>7009</v>
      </c>
      <c r="C2850" s="261" t="s">
        <v>3240</v>
      </c>
      <c r="D2850" s="265" t="s">
        <v>20094</v>
      </c>
      <c r="E2850" s="262" t="s">
        <v>207</v>
      </c>
    </row>
    <row r="2851" spans="1:5" ht="30">
      <c r="A2851" s="261">
        <v>3803</v>
      </c>
      <c r="B2851" s="261" t="s">
        <v>7010</v>
      </c>
      <c r="C2851" s="261" t="s">
        <v>3240</v>
      </c>
      <c r="D2851" s="265" t="s">
        <v>16407</v>
      </c>
      <c r="E2851" s="262" t="s">
        <v>207</v>
      </c>
    </row>
    <row r="2852" spans="1:5" ht="30">
      <c r="A2852" s="261">
        <v>38770</v>
      </c>
      <c r="B2852" s="261" t="s">
        <v>7011</v>
      </c>
      <c r="C2852" s="261" t="s">
        <v>3240</v>
      </c>
      <c r="D2852" s="265" t="s">
        <v>14067</v>
      </c>
      <c r="E2852" s="262" t="s">
        <v>207</v>
      </c>
    </row>
    <row r="2853" spans="1:5" ht="15">
      <c r="A2853" s="261">
        <v>12267</v>
      </c>
      <c r="B2853" s="261" t="s">
        <v>7012</v>
      </c>
      <c r="C2853" s="261" t="s">
        <v>3240</v>
      </c>
      <c r="D2853" s="265" t="s">
        <v>20095</v>
      </c>
      <c r="E2853" s="262" t="s">
        <v>207</v>
      </c>
    </row>
    <row r="2854" spans="1:5" ht="75">
      <c r="A2854" s="261">
        <v>43265</v>
      </c>
      <c r="B2854" s="261" t="s">
        <v>11427</v>
      </c>
      <c r="C2854" s="261" t="s">
        <v>3240</v>
      </c>
      <c r="D2854" s="265" t="s">
        <v>20096</v>
      </c>
      <c r="E2854" s="262" t="s">
        <v>207</v>
      </c>
    </row>
    <row r="2855" spans="1:5" ht="30">
      <c r="A2855" s="261">
        <v>12266</v>
      </c>
      <c r="B2855" s="261" t="s">
        <v>7013</v>
      </c>
      <c r="C2855" s="261" t="s">
        <v>3240</v>
      </c>
      <c r="D2855" s="265" t="s">
        <v>20097</v>
      </c>
      <c r="E2855" s="262" t="s">
        <v>207</v>
      </c>
    </row>
    <row r="2856" spans="1:5" ht="30">
      <c r="A2856" s="261">
        <v>39378</v>
      </c>
      <c r="B2856" s="261" t="s">
        <v>7014</v>
      </c>
      <c r="C2856" s="261" t="s">
        <v>3240</v>
      </c>
      <c r="D2856" s="265" t="s">
        <v>12471</v>
      </c>
      <c r="E2856" s="262" t="s">
        <v>207</v>
      </c>
    </row>
    <row r="2857" spans="1:5" ht="45">
      <c r="A2857" s="261">
        <v>43543</v>
      </c>
      <c r="B2857" s="261" t="s">
        <v>9539</v>
      </c>
      <c r="C2857" s="261" t="s">
        <v>3240</v>
      </c>
      <c r="D2857" s="265" t="s">
        <v>15833</v>
      </c>
      <c r="E2857" s="262" t="s">
        <v>207</v>
      </c>
    </row>
    <row r="2858" spans="1:5" ht="30">
      <c r="A2858" s="261">
        <v>38775</v>
      </c>
      <c r="B2858" s="261" t="s">
        <v>7015</v>
      </c>
      <c r="C2858" s="261" t="s">
        <v>3240</v>
      </c>
      <c r="D2858" s="265" t="s">
        <v>20098</v>
      </c>
      <c r="E2858" s="262" t="s">
        <v>207</v>
      </c>
    </row>
    <row r="2859" spans="1:5" ht="15">
      <c r="A2859" s="261">
        <v>21119</v>
      </c>
      <c r="B2859" s="261" t="s">
        <v>7016</v>
      </c>
      <c r="C2859" s="261" t="s">
        <v>3240</v>
      </c>
      <c r="D2859" s="265" t="s">
        <v>16396</v>
      </c>
      <c r="E2859" s="262" t="s">
        <v>207</v>
      </c>
    </row>
    <row r="2860" spans="1:5" ht="15">
      <c r="A2860" s="261">
        <v>37974</v>
      </c>
      <c r="B2860" s="261" t="s">
        <v>7017</v>
      </c>
      <c r="C2860" s="261" t="s">
        <v>3240</v>
      </c>
      <c r="D2860" s="265" t="s">
        <v>11338</v>
      </c>
      <c r="E2860" s="262" t="s">
        <v>207</v>
      </c>
    </row>
    <row r="2861" spans="1:5" ht="15">
      <c r="A2861" s="261">
        <v>37975</v>
      </c>
      <c r="B2861" s="261" t="s">
        <v>7018</v>
      </c>
      <c r="C2861" s="261" t="s">
        <v>3240</v>
      </c>
      <c r="D2861" s="265" t="s">
        <v>9754</v>
      </c>
      <c r="E2861" s="262" t="s">
        <v>207</v>
      </c>
    </row>
    <row r="2862" spans="1:5" ht="15">
      <c r="A2862" s="261">
        <v>37976</v>
      </c>
      <c r="B2862" s="261" t="s">
        <v>7019</v>
      </c>
      <c r="C2862" s="261" t="s">
        <v>3240</v>
      </c>
      <c r="D2862" s="265" t="s">
        <v>10611</v>
      </c>
      <c r="E2862" s="262" t="s">
        <v>207</v>
      </c>
    </row>
    <row r="2863" spans="1:5" ht="15">
      <c r="A2863" s="261">
        <v>37977</v>
      </c>
      <c r="B2863" s="261" t="s">
        <v>7020</v>
      </c>
      <c r="C2863" s="261" t="s">
        <v>3240</v>
      </c>
      <c r="D2863" s="265" t="s">
        <v>16119</v>
      </c>
      <c r="E2863" s="262" t="s">
        <v>207</v>
      </c>
    </row>
    <row r="2864" spans="1:5" ht="15">
      <c r="A2864" s="261">
        <v>37978</v>
      </c>
      <c r="B2864" s="261" t="s">
        <v>7021</v>
      </c>
      <c r="C2864" s="261" t="s">
        <v>3240</v>
      </c>
      <c r="D2864" s="265" t="s">
        <v>16485</v>
      </c>
      <c r="E2864" s="262" t="s">
        <v>207</v>
      </c>
    </row>
    <row r="2865" spans="1:5" ht="15">
      <c r="A2865" s="261">
        <v>37979</v>
      </c>
      <c r="B2865" s="261" t="s">
        <v>7022</v>
      </c>
      <c r="C2865" s="261" t="s">
        <v>3240</v>
      </c>
      <c r="D2865" s="265" t="s">
        <v>20099</v>
      </c>
      <c r="E2865" s="262" t="s">
        <v>207</v>
      </c>
    </row>
    <row r="2866" spans="1:5" ht="15">
      <c r="A2866" s="261">
        <v>37980</v>
      </c>
      <c r="B2866" s="261" t="s">
        <v>7023</v>
      </c>
      <c r="C2866" s="261" t="s">
        <v>3240</v>
      </c>
      <c r="D2866" s="265" t="s">
        <v>14233</v>
      </c>
      <c r="E2866" s="262" t="s">
        <v>207</v>
      </c>
    </row>
    <row r="2867" spans="1:5" ht="30">
      <c r="A2867" s="261">
        <v>36147</v>
      </c>
      <c r="B2867" s="261" t="s">
        <v>7024</v>
      </c>
      <c r="C2867" s="261" t="s">
        <v>3247</v>
      </c>
      <c r="D2867" s="265" t="s">
        <v>20100</v>
      </c>
      <c r="E2867" s="262" t="s">
        <v>207</v>
      </c>
    </row>
    <row r="2868" spans="1:5" ht="15">
      <c r="A2868" s="261">
        <v>12731</v>
      </c>
      <c r="B2868" s="261" t="s">
        <v>7025</v>
      </c>
      <c r="C2868" s="261" t="s">
        <v>3240</v>
      </c>
      <c r="D2868" s="265" t="s">
        <v>20101</v>
      </c>
      <c r="E2868" s="262" t="s">
        <v>207</v>
      </c>
    </row>
    <row r="2869" spans="1:5" ht="15">
      <c r="A2869" s="261">
        <v>12723</v>
      </c>
      <c r="B2869" s="261" t="s">
        <v>7026</v>
      </c>
      <c r="C2869" s="261" t="s">
        <v>3240</v>
      </c>
      <c r="D2869" s="265" t="s">
        <v>11218</v>
      </c>
      <c r="E2869" s="262" t="s">
        <v>207</v>
      </c>
    </row>
    <row r="2870" spans="1:5" ht="15">
      <c r="A2870" s="261">
        <v>12724</v>
      </c>
      <c r="B2870" s="261" t="s">
        <v>7027</v>
      </c>
      <c r="C2870" s="261" t="s">
        <v>3240</v>
      </c>
      <c r="D2870" s="265" t="s">
        <v>10484</v>
      </c>
      <c r="E2870" s="262" t="s">
        <v>207</v>
      </c>
    </row>
    <row r="2871" spans="1:5" ht="15">
      <c r="A2871" s="261">
        <v>12725</v>
      </c>
      <c r="B2871" s="261" t="s">
        <v>7028</v>
      </c>
      <c r="C2871" s="261" t="s">
        <v>3240</v>
      </c>
      <c r="D2871" s="265" t="s">
        <v>10851</v>
      </c>
      <c r="E2871" s="262" t="s">
        <v>207</v>
      </c>
    </row>
    <row r="2872" spans="1:5" ht="15">
      <c r="A2872" s="261">
        <v>12726</v>
      </c>
      <c r="B2872" s="261" t="s">
        <v>7029</v>
      </c>
      <c r="C2872" s="261" t="s">
        <v>3240</v>
      </c>
      <c r="D2872" s="265" t="s">
        <v>20102</v>
      </c>
      <c r="E2872" s="262" t="s">
        <v>207</v>
      </c>
    </row>
    <row r="2873" spans="1:5" ht="15">
      <c r="A2873" s="261">
        <v>12727</v>
      </c>
      <c r="B2873" s="261" t="s">
        <v>7030</v>
      </c>
      <c r="C2873" s="261" t="s">
        <v>3240</v>
      </c>
      <c r="D2873" s="265" t="s">
        <v>20103</v>
      </c>
      <c r="E2873" s="262" t="s">
        <v>207</v>
      </c>
    </row>
    <row r="2874" spans="1:5" ht="15">
      <c r="A2874" s="261">
        <v>12728</v>
      </c>
      <c r="B2874" s="261" t="s">
        <v>7031</v>
      </c>
      <c r="C2874" s="261" t="s">
        <v>3240</v>
      </c>
      <c r="D2874" s="265" t="s">
        <v>20104</v>
      </c>
      <c r="E2874" s="262" t="s">
        <v>207</v>
      </c>
    </row>
    <row r="2875" spans="1:5" ht="15">
      <c r="A2875" s="261">
        <v>12729</v>
      </c>
      <c r="B2875" s="261" t="s">
        <v>7032</v>
      </c>
      <c r="C2875" s="261" t="s">
        <v>3240</v>
      </c>
      <c r="D2875" s="265" t="s">
        <v>20105</v>
      </c>
      <c r="E2875" s="262" t="s">
        <v>207</v>
      </c>
    </row>
    <row r="2876" spans="1:5" ht="15">
      <c r="A2876" s="261">
        <v>12730</v>
      </c>
      <c r="B2876" s="261" t="s">
        <v>7033</v>
      </c>
      <c r="C2876" s="261" t="s">
        <v>3240</v>
      </c>
      <c r="D2876" s="265" t="s">
        <v>20106</v>
      </c>
      <c r="E2876" s="262" t="s">
        <v>207</v>
      </c>
    </row>
    <row r="2877" spans="1:5" ht="15">
      <c r="A2877" s="261">
        <v>3840</v>
      </c>
      <c r="B2877" s="261" t="s">
        <v>7034</v>
      </c>
      <c r="C2877" s="261" t="s">
        <v>3240</v>
      </c>
      <c r="D2877" s="265" t="s">
        <v>16563</v>
      </c>
      <c r="E2877" s="262" t="s">
        <v>207</v>
      </c>
    </row>
    <row r="2878" spans="1:5" ht="15">
      <c r="A2878" s="261">
        <v>3838</v>
      </c>
      <c r="B2878" s="261" t="s">
        <v>7035</v>
      </c>
      <c r="C2878" s="261" t="s">
        <v>3240</v>
      </c>
      <c r="D2878" s="265" t="s">
        <v>20107</v>
      </c>
      <c r="E2878" s="262" t="s">
        <v>207</v>
      </c>
    </row>
    <row r="2879" spans="1:5" ht="15">
      <c r="A2879" s="261">
        <v>3844</v>
      </c>
      <c r="B2879" s="261" t="s">
        <v>7036</v>
      </c>
      <c r="C2879" s="261" t="s">
        <v>3240</v>
      </c>
      <c r="D2879" s="265" t="s">
        <v>20108</v>
      </c>
      <c r="E2879" s="262" t="s">
        <v>207</v>
      </c>
    </row>
    <row r="2880" spans="1:5" ht="15">
      <c r="A2880" s="261">
        <v>3839</v>
      </c>
      <c r="B2880" s="261" t="s">
        <v>7037</v>
      </c>
      <c r="C2880" s="261" t="s">
        <v>3240</v>
      </c>
      <c r="D2880" s="265" t="s">
        <v>20109</v>
      </c>
      <c r="E2880" s="262" t="s">
        <v>207</v>
      </c>
    </row>
    <row r="2881" spans="1:5" ht="15">
      <c r="A2881" s="261">
        <v>3843</v>
      </c>
      <c r="B2881" s="261" t="s">
        <v>7038</v>
      </c>
      <c r="C2881" s="261" t="s">
        <v>3240</v>
      </c>
      <c r="D2881" s="265" t="s">
        <v>20110</v>
      </c>
      <c r="E2881" s="262" t="s">
        <v>207</v>
      </c>
    </row>
    <row r="2882" spans="1:5" ht="15">
      <c r="A2882" s="261">
        <v>3900</v>
      </c>
      <c r="B2882" s="261" t="s">
        <v>7039</v>
      </c>
      <c r="C2882" s="261" t="s">
        <v>3240</v>
      </c>
      <c r="D2882" s="265" t="s">
        <v>10249</v>
      </c>
      <c r="E2882" s="262" t="s">
        <v>207</v>
      </c>
    </row>
    <row r="2883" spans="1:5" ht="15">
      <c r="A2883" s="261">
        <v>3846</v>
      </c>
      <c r="B2883" s="261" t="s">
        <v>7040</v>
      </c>
      <c r="C2883" s="261" t="s">
        <v>3240</v>
      </c>
      <c r="D2883" s="265" t="s">
        <v>10121</v>
      </c>
      <c r="E2883" s="262" t="s">
        <v>207</v>
      </c>
    </row>
    <row r="2884" spans="1:5" ht="15">
      <c r="A2884" s="261">
        <v>3886</v>
      </c>
      <c r="B2884" s="261" t="s">
        <v>7041</v>
      </c>
      <c r="C2884" s="261" t="s">
        <v>3240</v>
      </c>
      <c r="D2884" s="265" t="s">
        <v>11510</v>
      </c>
      <c r="E2884" s="262" t="s">
        <v>207</v>
      </c>
    </row>
    <row r="2885" spans="1:5" ht="15">
      <c r="A2885" s="261">
        <v>3854</v>
      </c>
      <c r="B2885" s="261" t="s">
        <v>7042</v>
      </c>
      <c r="C2885" s="261" t="s">
        <v>3240</v>
      </c>
      <c r="D2885" s="265" t="s">
        <v>11317</v>
      </c>
      <c r="E2885" s="262" t="s">
        <v>207</v>
      </c>
    </row>
    <row r="2886" spans="1:5" ht="15">
      <c r="A2886" s="261">
        <v>3873</v>
      </c>
      <c r="B2886" s="261" t="s">
        <v>7043</v>
      </c>
      <c r="C2886" s="261" t="s">
        <v>3240</v>
      </c>
      <c r="D2886" s="265" t="s">
        <v>20111</v>
      </c>
      <c r="E2886" s="262" t="s">
        <v>207</v>
      </c>
    </row>
    <row r="2887" spans="1:5" ht="15">
      <c r="A2887" s="261">
        <v>38021</v>
      </c>
      <c r="B2887" s="261" t="s">
        <v>7044</v>
      </c>
      <c r="C2887" s="261" t="s">
        <v>3240</v>
      </c>
      <c r="D2887" s="265" t="s">
        <v>12259</v>
      </c>
      <c r="E2887" s="262" t="s">
        <v>207</v>
      </c>
    </row>
    <row r="2888" spans="1:5" ht="15">
      <c r="A2888" s="261">
        <v>3847</v>
      </c>
      <c r="B2888" s="261" t="s">
        <v>7045</v>
      </c>
      <c r="C2888" s="261" t="s">
        <v>3240</v>
      </c>
      <c r="D2888" s="265" t="s">
        <v>16042</v>
      </c>
      <c r="E2888" s="262" t="s">
        <v>207</v>
      </c>
    </row>
    <row r="2889" spans="1:5" ht="15">
      <c r="A2889" s="261">
        <v>38022</v>
      </c>
      <c r="B2889" s="261" t="s">
        <v>7046</v>
      </c>
      <c r="C2889" s="261" t="s">
        <v>3240</v>
      </c>
      <c r="D2889" s="265" t="s">
        <v>20112</v>
      </c>
      <c r="E2889" s="262" t="s">
        <v>207</v>
      </c>
    </row>
    <row r="2890" spans="1:5" ht="15">
      <c r="A2890" s="261">
        <v>3833</v>
      </c>
      <c r="B2890" s="261" t="s">
        <v>7047</v>
      </c>
      <c r="C2890" s="261" t="s">
        <v>3240</v>
      </c>
      <c r="D2890" s="265" t="s">
        <v>16699</v>
      </c>
      <c r="E2890" s="262" t="s">
        <v>207</v>
      </c>
    </row>
    <row r="2891" spans="1:5" ht="15">
      <c r="A2891" s="261">
        <v>3835</v>
      </c>
      <c r="B2891" s="261" t="s">
        <v>7048</v>
      </c>
      <c r="C2891" s="261" t="s">
        <v>3240</v>
      </c>
      <c r="D2891" s="265" t="s">
        <v>20113</v>
      </c>
      <c r="E2891" s="262" t="s">
        <v>207</v>
      </c>
    </row>
    <row r="2892" spans="1:5" ht="15">
      <c r="A2892" s="261">
        <v>3836</v>
      </c>
      <c r="B2892" s="261" t="s">
        <v>7049</v>
      </c>
      <c r="C2892" s="261" t="s">
        <v>3240</v>
      </c>
      <c r="D2892" s="265" t="s">
        <v>15812</v>
      </c>
      <c r="E2892" s="262" t="s">
        <v>207</v>
      </c>
    </row>
    <row r="2893" spans="1:5" ht="15">
      <c r="A2893" s="261">
        <v>3830</v>
      </c>
      <c r="B2893" s="261" t="s">
        <v>7050</v>
      </c>
      <c r="C2893" s="261" t="s">
        <v>3240</v>
      </c>
      <c r="D2893" s="265" t="s">
        <v>20114</v>
      </c>
      <c r="E2893" s="262" t="s">
        <v>207</v>
      </c>
    </row>
    <row r="2894" spans="1:5" ht="15">
      <c r="A2894" s="261">
        <v>3831</v>
      </c>
      <c r="B2894" s="261" t="s">
        <v>7051</v>
      </c>
      <c r="C2894" s="261" t="s">
        <v>3240</v>
      </c>
      <c r="D2894" s="265" t="s">
        <v>20115</v>
      </c>
      <c r="E2894" s="262" t="s">
        <v>207</v>
      </c>
    </row>
    <row r="2895" spans="1:5" ht="15">
      <c r="A2895" s="261">
        <v>37981</v>
      </c>
      <c r="B2895" s="261" t="s">
        <v>7052</v>
      </c>
      <c r="C2895" s="261" t="s">
        <v>3240</v>
      </c>
      <c r="D2895" s="265" t="s">
        <v>11067</v>
      </c>
      <c r="E2895" s="262" t="s">
        <v>207</v>
      </c>
    </row>
    <row r="2896" spans="1:5" ht="15">
      <c r="A2896" s="261">
        <v>37982</v>
      </c>
      <c r="B2896" s="261" t="s">
        <v>7053</v>
      </c>
      <c r="C2896" s="261" t="s">
        <v>3240</v>
      </c>
      <c r="D2896" s="265" t="s">
        <v>10304</v>
      </c>
      <c r="E2896" s="262" t="s">
        <v>207</v>
      </c>
    </row>
    <row r="2897" spans="1:5" ht="15">
      <c r="A2897" s="261">
        <v>37983</v>
      </c>
      <c r="B2897" s="261" t="s">
        <v>7054</v>
      </c>
      <c r="C2897" s="261" t="s">
        <v>3240</v>
      </c>
      <c r="D2897" s="265" t="s">
        <v>10647</v>
      </c>
      <c r="E2897" s="262" t="s">
        <v>207</v>
      </c>
    </row>
    <row r="2898" spans="1:5" ht="15">
      <c r="A2898" s="261">
        <v>37984</v>
      </c>
      <c r="B2898" s="261" t="s">
        <v>7055</v>
      </c>
      <c r="C2898" s="261" t="s">
        <v>3240</v>
      </c>
      <c r="D2898" s="265" t="s">
        <v>16325</v>
      </c>
      <c r="E2898" s="262" t="s">
        <v>207</v>
      </c>
    </row>
    <row r="2899" spans="1:5" ht="15">
      <c r="A2899" s="261">
        <v>37985</v>
      </c>
      <c r="B2899" s="261" t="s">
        <v>7056</v>
      </c>
      <c r="C2899" s="261" t="s">
        <v>3240</v>
      </c>
      <c r="D2899" s="265" t="s">
        <v>10043</v>
      </c>
      <c r="E2899" s="262" t="s">
        <v>207</v>
      </c>
    </row>
    <row r="2900" spans="1:5" ht="15">
      <c r="A2900" s="261">
        <v>3826</v>
      </c>
      <c r="B2900" s="261" t="s">
        <v>7057</v>
      </c>
      <c r="C2900" s="261" t="s">
        <v>3240</v>
      </c>
      <c r="D2900" s="265" t="s">
        <v>20116</v>
      </c>
      <c r="E2900" s="262" t="s">
        <v>207</v>
      </c>
    </row>
    <row r="2901" spans="1:5" ht="15">
      <c r="A2901" s="261">
        <v>3825</v>
      </c>
      <c r="B2901" s="261" t="s">
        <v>7058</v>
      </c>
      <c r="C2901" s="261" t="s">
        <v>3240</v>
      </c>
      <c r="D2901" s="265" t="s">
        <v>12192</v>
      </c>
      <c r="E2901" s="262" t="s">
        <v>207</v>
      </c>
    </row>
    <row r="2902" spans="1:5" ht="15">
      <c r="A2902" s="261">
        <v>3827</v>
      </c>
      <c r="B2902" s="261" t="s">
        <v>7059</v>
      </c>
      <c r="C2902" s="261" t="s">
        <v>3240</v>
      </c>
      <c r="D2902" s="265" t="s">
        <v>20117</v>
      </c>
      <c r="E2902" s="262" t="s">
        <v>207</v>
      </c>
    </row>
    <row r="2903" spans="1:5" ht="15">
      <c r="A2903" s="261">
        <v>20165</v>
      </c>
      <c r="B2903" s="261" t="s">
        <v>11851</v>
      </c>
      <c r="C2903" s="261" t="s">
        <v>3240</v>
      </c>
      <c r="D2903" s="265" t="s">
        <v>18810</v>
      </c>
      <c r="E2903" s="262" t="s">
        <v>207</v>
      </c>
    </row>
    <row r="2904" spans="1:5" ht="15">
      <c r="A2904" s="261">
        <v>20166</v>
      </c>
      <c r="B2904" s="261" t="s">
        <v>11852</v>
      </c>
      <c r="C2904" s="261" t="s">
        <v>3240</v>
      </c>
      <c r="D2904" s="265" t="s">
        <v>14241</v>
      </c>
      <c r="E2904" s="262" t="s">
        <v>207</v>
      </c>
    </row>
    <row r="2905" spans="1:5" ht="15">
      <c r="A2905" s="261">
        <v>20164</v>
      </c>
      <c r="B2905" s="261" t="s">
        <v>11853</v>
      </c>
      <c r="C2905" s="261" t="s">
        <v>3240</v>
      </c>
      <c r="D2905" s="265" t="s">
        <v>20118</v>
      </c>
      <c r="E2905" s="262" t="s">
        <v>207</v>
      </c>
    </row>
    <row r="2906" spans="1:5" ht="15">
      <c r="A2906" s="261">
        <v>3893</v>
      </c>
      <c r="B2906" s="261" t="s">
        <v>7060</v>
      </c>
      <c r="C2906" s="261" t="s">
        <v>3240</v>
      </c>
      <c r="D2906" s="265" t="s">
        <v>18776</v>
      </c>
      <c r="E2906" s="262" t="s">
        <v>207</v>
      </c>
    </row>
    <row r="2907" spans="1:5" ht="15">
      <c r="A2907" s="261">
        <v>3848</v>
      </c>
      <c r="B2907" s="261" t="s">
        <v>7061</v>
      </c>
      <c r="C2907" s="261" t="s">
        <v>3240</v>
      </c>
      <c r="D2907" s="265" t="s">
        <v>10329</v>
      </c>
      <c r="E2907" s="262" t="s">
        <v>207</v>
      </c>
    </row>
    <row r="2908" spans="1:5" ht="15">
      <c r="A2908" s="261">
        <v>3895</v>
      </c>
      <c r="B2908" s="261" t="s">
        <v>7062</v>
      </c>
      <c r="C2908" s="261" t="s">
        <v>3240</v>
      </c>
      <c r="D2908" s="265" t="s">
        <v>20119</v>
      </c>
      <c r="E2908" s="262" t="s">
        <v>207</v>
      </c>
    </row>
    <row r="2909" spans="1:5" ht="15">
      <c r="A2909" s="261">
        <v>12404</v>
      </c>
      <c r="B2909" s="261" t="s">
        <v>7063</v>
      </c>
      <c r="C2909" s="261" t="s">
        <v>3240</v>
      </c>
      <c r="D2909" s="265" t="s">
        <v>19953</v>
      </c>
      <c r="E2909" s="262" t="s">
        <v>207</v>
      </c>
    </row>
    <row r="2910" spans="1:5" ht="15">
      <c r="A2910" s="261">
        <v>3939</v>
      </c>
      <c r="B2910" s="261" t="s">
        <v>7064</v>
      </c>
      <c r="C2910" s="261" t="s">
        <v>3240</v>
      </c>
      <c r="D2910" s="265" t="s">
        <v>11296</v>
      </c>
      <c r="E2910" s="262" t="s">
        <v>207</v>
      </c>
    </row>
    <row r="2911" spans="1:5" ht="15">
      <c r="A2911" s="261">
        <v>3911</v>
      </c>
      <c r="B2911" s="261" t="s">
        <v>7065</v>
      </c>
      <c r="C2911" s="261" t="s">
        <v>3240</v>
      </c>
      <c r="D2911" s="265" t="s">
        <v>11208</v>
      </c>
      <c r="E2911" s="262" t="s">
        <v>207</v>
      </c>
    </row>
    <row r="2912" spans="1:5" ht="15">
      <c r="A2912" s="261">
        <v>3908</v>
      </c>
      <c r="B2912" s="261" t="s">
        <v>7066</v>
      </c>
      <c r="C2912" s="261" t="s">
        <v>3240</v>
      </c>
      <c r="D2912" s="265" t="s">
        <v>10954</v>
      </c>
      <c r="E2912" s="262" t="s">
        <v>207</v>
      </c>
    </row>
    <row r="2913" spans="1:5" ht="15">
      <c r="A2913" s="261">
        <v>3910</v>
      </c>
      <c r="B2913" s="261" t="s">
        <v>7067</v>
      </c>
      <c r="C2913" s="261" t="s">
        <v>3240</v>
      </c>
      <c r="D2913" s="265" t="s">
        <v>11545</v>
      </c>
      <c r="E2913" s="262" t="s">
        <v>207</v>
      </c>
    </row>
    <row r="2914" spans="1:5" ht="15">
      <c r="A2914" s="261">
        <v>3913</v>
      </c>
      <c r="B2914" s="261" t="s">
        <v>7068</v>
      </c>
      <c r="C2914" s="261" t="s">
        <v>3240</v>
      </c>
      <c r="D2914" s="265" t="s">
        <v>20120</v>
      </c>
      <c r="E2914" s="262" t="s">
        <v>207</v>
      </c>
    </row>
    <row r="2915" spans="1:5" ht="15">
      <c r="A2915" s="261">
        <v>3912</v>
      </c>
      <c r="B2915" s="261" t="s">
        <v>7069</v>
      </c>
      <c r="C2915" s="261" t="s">
        <v>3240</v>
      </c>
      <c r="D2915" s="265" t="s">
        <v>12222</v>
      </c>
      <c r="E2915" s="262" t="s">
        <v>207</v>
      </c>
    </row>
    <row r="2916" spans="1:5" ht="15">
      <c r="A2916" s="261">
        <v>3909</v>
      </c>
      <c r="B2916" s="261" t="s">
        <v>7070</v>
      </c>
      <c r="C2916" s="261" t="s">
        <v>3240</v>
      </c>
      <c r="D2916" s="265" t="s">
        <v>9756</v>
      </c>
      <c r="E2916" s="262" t="s">
        <v>207</v>
      </c>
    </row>
    <row r="2917" spans="1:5" ht="15">
      <c r="A2917" s="261">
        <v>3914</v>
      </c>
      <c r="B2917" s="261" t="s">
        <v>7071</v>
      </c>
      <c r="C2917" s="261" t="s">
        <v>3240</v>
      </c>
      <c r="D2917" s="265" t="s">
        <v>20121</v>
      </c>
      <c r="E2917" s="262" t="s">
        <v>207</v>
      </c>
    </row>
    <row r="2918" spans="1:5" ht="15">
      <c r="A2918" s="261">
        <v>3915</v>
      </c>
      <c r="B2918" s="261" t="s">
        <v>7072</v>
      </c>
      <c r="C2918" s="261" t="s">
        <v>3240</v>
      </c>
      <c r="D2918" s="265" t="s">
        <v>20122</v>
      </c>
      <c r="E2918" s="262" t="s">
        <v>207</v>
      </c>
    </row>
    <row r="2919" spans="1:5" ht="15">
      <c r="A2919" s="261">
        <v>3916</v>
      </c>
      <c r="B2919" s="261" t="s">
        <v>7073</v>
      </c>
      <c r="C2919" s="261" t="s">
        <v>3240</v>
      </c>
      <c r="D2919" s="265" t="s">
        <v>20123</v>
      </c>
      <c r="E2919" s="262" t="s">
        <v>207</v>
      </c>
    </row>
    <row r="2920" spans="1:5" ht="15">
      <c r="A2920" s="261">
        <v>3917</v>
      </c>
      <c r="B2920" s="261" t="s">
        <v>7074</v>
      </c>
      <c r="C2920" s="261" t="s">
        <v>3240</v>
      </c>
      <c r="D2920" s="265" t="s">
        <v>20124</v>
      </c>
      <c r="E2920" s="262" t="s">
        <v>207</v>
      </c>
    </row>
    <row r="2921" spans="1:5" ht="15">
      <c r="A2921" s="261">
        <v>1904</v>
      </c>
      <c r="B2921" s="261" t="s">
        <v>7075</v>
      </c>
      <c r="C2921" s="261" t="s">
        <v>3240</v>
      </c>
      <c r="D2921" s="265" t="s">
        <v>10909</v>
      </c>
      <c r="E2921" s="262" t="s">
        <v>207</v>
      </c>
    </row>
    <row r="2922" spans="1:5" ht="15">
      <c r="A2922" s="261">
        <v>1899</v>
      </c>
      <c r="B2922" s="261" t="s">
        <v>7076</v>
      </c>
      <c r="C2922" s="261" t="s">
        <v>3240</v>
      </c>
      <c r="D2922" s="265" t="s">
        <v>9904</v>
      </c>
      <c r="E2922" s="262" t="s">
        <v>207</v>
      </c>
    </row>
    <row r="2923" spans="1:5" ht="15">
      <c r="A2923" s="261">
        <v>1900</v>
      </c>
      <c r="B2923" s="261" t="s">
        <v>7077</v>
      </c>
      <c r="C2923" s="261" t="s">
        <v>3240</v>
      </c>
      <c r="D2923" s="265" t="s">
        <v>11096</v>
      </c>
      <c r="E2923" s="262" t="s">
        <v>207</v>
      </c>
    </row>
    <row r="2924" spans="1:5" ht="30">
      <c r="A2924" s="261">
        <v>12407</v>
      </c>
      <c r="B2924" s="261" t="s">
        <v>7078</v>
      </c>
      <c r="C2924" s="261" t="s">
        <v>3240</v>
      </c>
      <c r="D2924" s="265" t="s">
        <v>14100</v>
      </c>
      <c r="E2924" s="262" t="s">
        <v>207</v>
      </c>
    </row>
    <row r="2925" spans="1:5" ht="30">
      <c r="A2925" s="261">
        <v>12408</v>
      </c>
      <c r="B2925" s="261" t="s">
        <v>7079</v>
      </c>
      <c r="C2925" s="261" t="s">
        <v>3240</v>
      </c>
      <c r="D2925" s="265" t="s">
        <v>16150</v>
      </c>
      <c r="E2925" s="262" t="s">
        <v>207</v>
      </c>
    </row>
    <row r="2926" spans="1:5" ht="30">
      <c r="A2926" s="261">
        <v>12409</v>
      </c>
      <c r="B2926" s="261" t="s">
        <v>7080</v>
      </c>
      <c r="C2926" s="261" t="s">
        <v>3240</v>
      </c>
      <c r="D2926" s="265" t="s">
        <v>16150</v>
      </c>
      <c r="E2926" s="262" t="s">
        <v>207</v>
      </c>
    </row>
    <row r="2927" spans="1:5" ht="30">
      <c r="A2927" s="261">
        <v>12410</v>
      </c>
      <c r="B2927" s="261" t="s">
        <v>7081</v>
      </c>
      <c r="C2927" s="261" t="s">
        <v>3240</v>
      </c>
      <c r="D2927" s="265" t="s">
        <v>10560</v>
      </c>
      <c r="E2927" s="262" t="s">
        <v>207</v>
      </c>
    </row>
    <row r="2928" spans="1:5" ht="15">
      <c r="A2928" s="261">
        <v>3936</v>
      </c>
      <c r="B2928" s="261" t="s">
        <v>7082</v>
      </c>
      <c r="C2928" s="261" t="s">
        <v>3240</v>
      </c>
      <c r="D2928" s="265" t="s">
        <v>15965</v>
      </c>
      <c r="E2928" s="262" t="s">
        <v>207</v>
      </c>
    </row>
    <row r="2929" spans="1:5" ht="15">
      <c r="A2929" s="261">
        <v>3922</v>
      </c>
      <c r="B2929" s="261" t="s">
        <v>7083</v>
      </c>
      <c r="C2929" s="261" t="s">
        <v>3240</v>
      </c>
      <c r="D2929" s="265" t="s">
        <v>15966</v>
      </c>
      <c r="E2929" s="262" t="s">
        <v>207</v>
      </c>
    </row>
    <row r="2930" spans="1:5" ht="15">
      <c r="A2930" s="261">
        <v>3924</v>
      </c>
      <c r="B2930" s="261" t="s">
        <v>7084</v>
      </c>
      <c r="C2930" s="261" t="s">
        <v>3240</v>
      </c>
      <c r="D2930" s="265" t="s">
        <v>15965</v>
      </c>
      <c r="E2930" s="262" t="s">
        <v>207</v>
      </c>
    </row>
    <row r="2931" spans="1:5" ht="15">
      <c r="A2931" s="261">
        <v>3923</v>
      </c>
      <c r="B2931" s="261" t="s">
        <v>7085</v>
      </c>
      <c r="C2931" s="261" t="s">
        <v>3240</v>
      </c>
      <c r="D2931" s="265" t="s">
        <v>15965</v>
      </c>
      <c r="E2931" s="262" t="s">
        <v>207</v>
      </c>
    </row>
    <row r="2932" spans="1:5" ht="15">
      <c r="A2932" s="261">
        <v>3937</v>
      </c>
      <c r="B2932" s="261" t="s">
        <v>7086</v>
      </c>
      <c r="C2932" s="261" t="s">
        <v>3240</v>
      </c>
      <c r="D2932" s="265" t="s">
        <v>20125</v>
      </c>
      <c r="E2932" s="262" t="s">
        <v>207</v>
      </c>
    </row>
    <row r="2933" spans="1:5" ht="15">
      <c r="A2933" s="261">
        <v>3921</v>
      </c>
      <c r="B2933" s="261" t="s">
        <v>7087</v>
      </c>
      <c r="C2933" s="261" t="s">
        <v>3240</v>
      </c>
      <c r="D2933" s="265" t="s">
        <v>10618</v>
      </c>
      <c r="E2933" s="262" t="s">
        <v>207</v>
      </c>
    </row>
    <row r="2934" spans="1:5" ht="15">
      <c r="A2934" s="261">
        <v>3920</v>
      </c>
      <c r="B2934" s="261" t="s">
        <v>7088</v>
      </c>
      <c r="C2934" s="261" t="s">
        <v>3240</v>
      </c>
      <c r="D2934" s="265" t="s">
        <v>20125</v>
      </c>
      <c r="E2934" s="262" t="s">
        <v>207</v>
      </c>
    </row>
    <row r="2935" spans="1:5" ht="15">
      <c r="A2935" s="261">
        <v>3938</v>
      </c>
      <c r="B2935" s="261" t="s">
        <v>7089</v>
      </c>
      <c r="C2935" s="261" t="s">
        <v>3240</v>
      </c>
      <c r="D2935" s="265" t="s">
        <v>11179</v>
      </c>
      <c r="E2935" s="262" t="s">
        <v>207</v>
      </c>
    </row>
    <row r="2936" spans="1:5" ht="15">
      <c r="A2936" s="261">
        <v>3919</v>
      </c>
      <c r="B2936" s="261" t="s">
        <v>7090</v>
      </c>
      <c r="C2936" s="261" t="s">
        <v>3240</v>
      </c>
      <c r="D2936" s="265" t="s">
        <v>12204</v>
      </c>
      <c r="E2936" s="262" t="s">
        <v>207</v>
      </c>
    </row>
    <row r="2937" spans="1:5" ht="15">
      <c r="A2937" s="261">
        <v>3927</v>
      </c>
      <c r="B2937" s="261" t="s">
        <v>7091</v>
      </c>
      <c r="C2937" s="261" t="s">
        <v>3240</v>
      </c>
      <c r="D2937" s="265" t="s">
        <v>20126</v>
      </c>
      <c r="E2937" s="262" t="s">
        <v>207</v>
      </c>
    </row>
    <row r="2938" spans="1:5" ht="15">
      <c r="A2938" s="261">
        <v>3928</v>
      </c>
      <c r="B2938" s="261" t="s">
        <v>7092</v>
      </c>
      <c r="C2938" s="261" t="s">
        <v>3240</v>
      </c>
      <c r="D2938" s="265" t="s">
        <v>20126</v>
      </c>
      <c r="E2938" s="262" t="s">
        <v>207</v>
      </c>
    </row>
    <row r="2939" spans="1:5" ht="15">
      <c r="A2939" s="261">
        <v>3926</v>
      </c>
      <c r="B2939" s="261" t="s">
        <v>7093</v>
      </c>
      <c r="C2939" s="261" t="s">
        <v>3240</v>
      </c>
      <c r="D2939" s="265" t="s">
        <v>9915</v>
      </c>
      <c r="E2939" s="262" t="s">
        <v>207</v>
      </c>
    </row>
    <row r="2940" spans="1:5" ht="15">
      <c r="A2940" s="261">
        <v>3935</v>
      </c>
      <c r="B2940" s="261" t="s">
        <v>7094</v>
      </c>
      <c r="C2940" s="261" t="s">
        <v>3240</v>
      </c>
      <c r="D2940" s="265" t="s">
        <v>9915</v>
      </c>
      <c r="E2940" s="262" t="s">
        <v>207</v>
      </c>
    </row>
    <row r="2941" spans="1:5" ht="15">
      <c r="A2941" s="261">
        <v>3925</v>
      </c>
      <c r="B2941" s="261" t="s">
        <v>7095</v>
      </c>
      <c r="C2941" s="261" t="s">
        <v>3240</v>
      </c>
      <c r="D2941" s="265" t="s">
        <v>9915</v>
      </c>
      <c r="E2941" s="262" t="s">
        <v>207</v>
      </c>
    </row>
    <row r="2942" spans="1:5" ht="15">
      <c r="A2942" s="261">
        <v>12406</v>
      </c>
      <c r="B2942" s="261" t="s">
        <v>7096</v>
      </c>
      <c r="C2942" s="261" t="s">
        <v>3240</v>
      </c>
      <c r="D2942" s="265" t="s">
        <v>12396</v>
      </c>
      <c r="E2942" s="262" t="s">
        <v>207</v>
      </c>
    </row>
    <row r="2943" spans="1:5" ht="15">
      <c r="A2943" s="261">
        <v>3929</v>
      </c>
      <c r="B2943" s="261" t="s">
        <v>7097</v>
      </c>
      <c r="C2943" s="261" t="s">
        <v>3240</v>
      </c>
      <c r="D2943" s="265" t="s">
        <v>20127</v>
      </c>
      <c r="E2943" s="262" t="s">
        <v>207</v>
      </c>
    </row>
    <row r="2944" spans="1:5" ht="15">
      <c r="A2944" s="261">
        <v>3931</v>
      </c>
      <c r="B2944" s="261" t="s">
        <v>7098</v>
      </c>
      <c r="C2944" s="261" t="s">
        <v>3240</v>
      </c>
      <c r="D2944" s="265" t="s">
        <v>20127</v>
      </c>
      <c r="E2944" s="262" t="s">
        <v>207</v>
      </c>
    </row>
    <row r="2945" spans="1:5" ht="15">
      <c r="A2945" s="261">
        <v>3930</v>
      </c>
      <c r="B2945" s="261" t="s">
        <v>7099</v>
      </c>
      <c r="C2945" s="261" t="s">
        <v>3240</v>
      </c>
      <c r="D2945" s="265" t="s">
        <v>20127</v>
      </c>
      <c r="E2945" s="262" t="s">
        <v>207</v>
      </c>
    </row>
    <row r="2946" spans="1:5" ht="15">
      <c r="A2946" s="261">
        <v>3932</v>
      </c>
      <c r="B2946" s="261" t="s">
        <v>7100</v>
      </c>
      <c r="C2946" s="261" t="s">
        <v>3240</v>
      </c>
      <c r="D2946" s="265" t="s">
        <v>20128</v>
      </c>
      <c r="E2946" s="262" t="s">
        <v>207</v>
      </c>
    </row>
    <row r="2947" spans="1:5" ht="15">
      <c r="A2947" s="261">
        <v>3933</v>
      </c>
      <c r="B2947" s="261" t="s">
        <v>7101</v>
      </c>
      <c r="C2947" s="261" t="s">
        <v>3240</v>
      </c>
      <c r="D2947" s="265" t="s">
        <v>20128</v>
      </c>
      <c r="E2947" s="262" t="s">
        <v>207</v>
      </c>
    </row>
    <row r="2948" spans="1:5" ht="15">
      <c r="A2948" s="261">
        <v>3934</v>
      </c>
      <c r="B2948" s="261" t="s">
        <v>7102</v>
      </c>
      <c r="C2948" s="261" t="s">
        <v>3240</v>
      </c>
      <c r="D2948" s="265" t="s">
        <v>20128</v>
      </c>
      <c r="E2948" s="262" t="s">
        <v>207</v>
      </c>
    </row>
    <row r="2949" spans="1:5" ht="30">
      <c r="A2949" s="261">
        <v>40355</v>
      </c>
      <c r="B2949" s="261" t="s">
        <v>7103</v>
      </c>
      <c r="C2949" s="261" t="s">
        <v>3240</v>
      </c>
      <c r="D2949" s="265" t="s">
        <v>10201</v>
      </c>
      <c r="E2949" s="262" t="s">
        <v>207</v>
      </c>
    </row>
    <row r="2950" spans="1:5" ht="30">
      <c r="A2950" s="261">
        <v>40364</v>
      </c>
      <c r="B2950" s="261" t="s">
        <v>7104</v>
      </c>
      <c r="C2950" s="261" t="s">
        <v>3240</v>
      </c>
      <c r="D2950" s="265" t="s">
        <v>20129</v>
      </c>
      <c r="E2950" s="262" t="s">
        <v>207</v>
      </c>
    </row>
    <row r="2951" spans="1:5" ht="30">
      <c r="A2951" s="261">
        <v>40361</v>
      </c>
      <c r="B2951" s="261" t="s">
        <v>7105</v>
      </c>
      <c r="C2951" s="261" t="s">
        <v>3240</v>
      </c>
      <c r="D2951" s="265" t="s">
        <v>16592</v>
      </c>
      <c r="E2951" s="262" t="s">
        <v>207</v>
      </c>
    </row>
    <row r="2952" spans="1:5" ht="30">
      <c r="A2952" s="261">
        <v>40358</v>
      </c>
      <c r="B2952" s="261" t="s">
        <v>7106</v>
      </c>
      <c r="C2952" s="261" t="s">
        <v>3240</v>
      </c>
      <c r="D2952" s="265" t="s">
        <v>12139</v>
      </c>
      <c r="E2952" s="262" t="s">
        <v>207</v>
      </c>
    </row>
    <row r="2953" spans="1:5" ht="30">
      <c r="A2953" s="261">
        <v>40370</v>
      </c>
      <c r="B2953" s="261" t="s">
        <v>7107</v>
      </c>
      <c r="C2953" s="261" t="s">
        <v>3240</v>
      </c>
      <c r="D2953" s="265" t="s">
        <v>20130</v>
      </c>
      <c r="E2953" s="262" t="s">
        <v>207</v>
      </c>
    </row>
    <row r="2954" spans="1:5" ht="30">
      <c r="A2954" s="261">
        <v>40367</v>
      </c>
      <c r="B2954" s="261" t="s">
        <v>7108</v>
      </c>
      <c r="C2954" s="261" t="s">
        <v>3240</v>
      </c>
      <c r="D2954" s="265" t="s">
        <v>16614</v>
      </c>
      <c r="E2954" s="262" t="s">
        <v>207</v>
      </c>
    </row>
    <row r="2955" spans="1:5" ht="30">
      <c r="A2955" s="261">
        <v>40373</v>
      </c>
      <c r="B2955" s="261" t="s">
        <v>7109</v>
      </c>
      <c r="C2955" s="261" t="s">
        <v>3240</v>
      </c>
      <c r="D2955" s="265" t="s">
        <v>20131</v>
      </c>
      <c r="E2955" s="262" t="s">
        <v>207</v>
      </c>
    </row>
    <row r="2956" spans="1:5" ht="30">
      <c r="A2956" s="261">
        <v>38947</v>
      </c>
      <c r="B2956" s="261" t="s">
        <v>7110</v>
      </c>
      <c r="C2956" s="261" t="s">
        <v>3240</v>
      </c>
      <c r="D2956" s="265" t="s">
        <v>11190</v>
      </c>
      <c r="E2956" s="262" t="s">
        <v>207</v>
      </c>
    </row>
    <row r="2957" spans="1:5" ht="30">
      <c r="A2957" s="261">
        <v>38948</v>
      </c>
      <c r="B2957" s="261" t="s">
        <v>7111</v>
      </c>
      <c r="C2957" s="261" t="s">
        <v>3240</v>
      </c>
      <c r="D2957" s="265" t="s">
        <v>11388</v>
      </c>
      <c r="E2957" s="262" t="s">
        <v>207</v>
      </c>
    </row>
    <row r="2958" spans="1:5" ht="30">
      <c r="A2958" s="261">
        <v>38949</v>
      </c>
      <c r="B2958" s="261" t="s">
        <v>7112</v>
      </c>
      <c r="C2958" s="261" t="s">
        <v>3240</v>
      </c>
      <c r="D2958" s="265" t="s">
        <v>18985</v>
      </c>
      <c r="E2958" s="262" t="s">
        <v>207</v>
      </c>
    </row>
    <row r="2959" spans="1:5" ht="30">
      <c r="A2959" s="261">
        <v>38951</v>
      </c>
      <c r="B2959" s="261" t="s">
        <v>7113</v>
      </c>
      <c r="C2959" s="261" t="s">
        <v>3240</v>
      </c>
      <c r="D2959" s="265" t="s">
        <v>14182</v>
      </c>
      <c r="E2959" s="262" t="s">
        <v>207</v>
      </c>
    </row>
    <row r="2960" spans="1:5" ht="30">
      <c r="A2960" s="261">
        <v>39312</v>
      </c>
      <c r="B2960" s="261" t="s">
        <v>7114</v>
      </c>
      <c r="C2960" s="261" t="s">
        <v>3240</v>
      </c>
      <c r="D2960" s="265" t="s">
        <v>11116</v>
      </c>
      <c r="E2960" s="262" t="s">
        <v>207</v>
      </c>
    </row>
    <row r="2961" spans="1:5" ht="30">
      <c r="A2961" s="261">
        <v>39313</v>
      </c>
      <c r="B2961" s="261" t="s">
        <v>7115</v>
      </c>
      <c r="C2961" s="261" t="s">
        <v>3240</v>
      </c>
      <c r="D2961" s="265" t="s">
        <v>11486</v>
      </c>
      <c r="E2961" s="262" t="s">
        <v>207</v>
      </c>
    </row>
    <row r="2962" spans="1:5" ht="30">
      <c r="A2962" s="261">
        <v>38950</v>
      </c>
      <c r="B2962" s="261" t="s">
        <v>7116</v>
      </c>
      <c r="C2962" s="261" t="s">
        <v>3240</v>
      </c>
      <c r="D2962" s="265" t="s">
        <v>20132</v>
      </c>
      <c r="E2962" s="262" t="s">
        <v>207</v>
      </c>
    </row>
    <row r="2963" spans="1:5" ht="30">
      <c r="A2963" s="261">
        <v>39314</v>
      </c>
      <c r="B2963" s="261" t="s">
        <v>7117</v>
      </c>
      <c r="C2963" s="261" t="s">
        <v>3240</v>
      </c>
      <c r="D2963" s="265" t="s">
        <v>9773</v>
      </c>
      <c r="E2963" s="262" t="s">
        <v>207</v>
      </c>
    </row>
    <row r="2964" spans="1:5" ht="15">
      <c r="A2964" s="261">
        <v>3907</v>
      </c>
      <c r="B2964" s="261" t="s">
        <v>7118</v>
      </c>
      <c r="C2964" s="261" t="s">
        <v>3240</v>
      </c>
      <c r="D2964" s="265" t="s">
        <v>11034</v>
      </c>
      <c r="E2964" s="262" t="s">
        <v>207</v>
      </c>
    </row>
    <row r="2965" spans="1:5" ht="15">
      <c r="A2965" s="261">
        <v>3889</v>
      </c>
      <c r="B2965" s="261" t="s">
        <v>7119</v>
      </c>
      <c r="C2965" s="261" t="s">
        <v>3240</v>
      </c>
      <c r="D2965" s="265" t="s">
        <v>11375</v>
      </c>
      <c r="E2965" s="262" t="s">
        <v>207</v>
      </c>
    </row>
    <row r="2966" spans="1:5" ht="15">
      <c r="A2966" s="261">
        <v>3868</v>
      </c>
      <c r="B2966" s="261" t="s">
        <v>7120</v>
      </c>
      <c r="C2966" s="261" t="s">
        <v>3240</v>
      </c>
      <c r="D2966" s="265" t="s">
        <v>19061</v>
      </c>
      <c r="E2966" s="262" t="s">
        <v>207</v>
      </c>
    </row>
    <row r="2967" spans="1:5" ht="15">
      <c r="A2967" s="261">
        <v>3869</v>
      </c>
      <c r="B2967" s="261" t="s">
        <v>7121</v>
      </c>
      <c r="C2967" s="261" t="s">
        <v>3240</v>
      </c>
      <c r="D2967" s="265" t="s">
        <v>11258</v>
      </c>
      <c r="E2967" s="262" t="s">
        <v>207</v>
      </c>
    </row>
    <row r="2968" spans="1:5" ht="15">
      <c r="A2968" s="261">
        <v>3872</v>
      </c>
      <c r="B2968" s="261" t="s">
        <v>7122</v>
      </c>
      <c r="C2968" s="261" t="s">
        <v>3240</v>
      </c>
      <c r="D2968" s="265" t="s">
        <v>12167</v>
      </c>
      <c r="E2968" s="262" t="s">
        <v>207</v>
      </c>
    </row>
    <row r="2969" spans="1:5" ht="15">
      <c r="A2969" s="261">
        <v>3850</v>
      </c>
      <c r="B2969" s="261" t="s">
        <v>7123</v>
      </c>
      <c r="C2969" s="261" t="s">
        <v>3240</v>
      </c>
      <c r="D2969" s="265" t="s">
        <v>12265</v>
      </c>
      <c r="E2969" s="262" t="s">
        <v>207</v>
      </c>
    </row>
    <row r="2970" spans="1:5" ht="15">
      <c r="A2970" s="261">
        <v>38023</v>
      </c>
      <c r="B2970" s="261" t="s">
        <v>7124</v>
      </c>
      <c r="C2970" s="261" t="s">
        <v>3240</v>
      </c>
      <c r="D2970" s="265" t="s">
        <v>9799</v>
      </c>
      <c r="E2970" s="262" t="s">
        <v>207</v>
      </c>
    </row>
    <row r="2971" spans="1:5" ht="15">
      <c r="A2971" s="261">
        <v>37986</v>
      </c>
      <c r="B2971" s="261" t="s">
        <v>7125</v>
      </c>
      <c r="C2971" s="261" t="s">
        <v>3240</v>
      </c>
      <c r="D2971" s="265" t="s">
        <v>15842</v>
      </c>
      <c r="E2971" s="262" t="s">
        <v>207</v>
      </c>
    </row>
    <row r="2972" spans="1:5" ht="15">
      <c r="A2972" s="261">
        <v>37987</v>
      </c>
      <c r="B2972" s="261" t="s">
        <v>7126</v>
      </c>
      <c r="C2972" s="261" t="s">
        <v>3240</v>
      </c>
      <c r="D2972" s="265" t="s">
        <v>20133</v>
      </c>
      <c r="E2972" s="262" t="s">
        <v>207</v>
      </c>
    </row>
    <row r="2973" spans="1:5" ht="15">
      <c r="A2973" s="261">
        <v>37988</v>
      </c>
      <c r="B2973" s="261" t="s">
        <v>7127</v>
      </c>
      <c r="C2973" s="261" t="s">
        <v>3240</v>
      </c>
      <c r="D2973" s="265" t="s">
        <v>20134</v>
      </c>
      <c r="E2973" s="262" t="s">
        <v>207</v>
      </c>
    </row>
    <row r="2974" spans="1:5" ht="15">
      <c r="A2974" s="261">
        <v>21120</v>
      </c>
      <c r="B2974" s="261" t="s">
        <v>7128</v>
      </c>
      <c r="C2974" s="261" t="s">
        <v>3240</v>
      </c>
      <c r="D2974" s="265" t="s">
        <v>9782</v>
      </c>
      <c r="E2974" s="262" t="s">
        <v>207</v>
      </c>
    </row>
    <row r="2975" spans="1:5" ht="15">
      <c r="A2975" s="261">
        <v>39318</v>
      </c>
      <c r="B2975" s="261" t="s">
        <v>7129</v>
      </c>
      <c r="C2975" s="261" t="s">
        <v>3240</v>
      </c>
      <c r="D2975" s="265" t="s">
        <v>10428</v>
      </c>
      <c r="E2975" s="262" t="s">
        <v>207</v>
      </c>
    </row>
    <row r="2976" spans="1:5" ht="15">
      <c r="A2976" s="261">
        <v>20162</v>
      </c>
      <c r="B2976" s="261" t="s">
        <v>7130</v>
      </c>
      <c r="C2976" s="261" t="s">
        <v>3240</v>
      </c>
      <c r="D2976" s="265" t="s">
        <v>12178</v>
      </c>
      <c r="E2976" s="262" t="s">
        <v>207</v>
      </c>
    </row>
    <row r="2977" spans="1:5" ht="15">
      <c r="A2977" s="261">
        <v>40366</v>
      </c>
      <c r="B2977" s="261" t="s">
        <v>7131</v>
      </c>
      <c r="C2977" s="261" t="s">
        <v>3240</v>
      </c>
      <c r="D2977" s="265" t="s">
        <v>20135</v>
      </c>
      <c r="E2977" s="262" t="s">
        <v>207</v>
      </c>
    </row>
    <row r="2978" spans="1:5" ht="15">
      <c r="A2978" s="261">
        <v>40363</v>
      </c>
      <c r="B2978" s="261" t="s">
        <v>7132</v>
      </c>
      <c r="C2978" s="261" t="s">
        <v>3240</v>
      </c>
      <c r="D2978" s="265" t="s">
        <v>19362</v>
      </c>
      <c r="E2978" s="262" t="s">
        <v>207</v>
      </c>
    </row>
    <row r="2979" spans="1:5" ht="15">
      <c r="A2979" s="261">
        <v>40354</v>
      </c>
      <c r="B2979" s="261" t="s">
        <v>7133</v>
      </c>
      <c r="C2979" s="261" t="s">
        <v>3240</v>
      </c>
      <c r="D2979" s="265" t="s">
        <v>9900</v>
      </c>
      <c r="E2979" s="262" t="s">
        <v>207</v>
      </c>
    </row>
    <row r="2980" spans="1:5" ht="15">
      <c r="A2980" s="261">
        <v>40360</v>
      </c>
      <c r="B2980" s="261" t="s">
        <v>7134</v>
      </c>
      <c r="C2980" s="261" t="s">
        <v>3240</v>
      </c>
      <c r="D2980" s="265" t="s">
        <v>12234</v>
      </c>
      <c r="E2980" s="262" t="s">
        <v>207</v>
      </c>
    </row>
    <row r="2981" spans="1:5" ht="15">
      <c r="A2981" s="261">
        <v>40372</v>
      </c>
      <c r="B2981" s="261" t="s">
        <v>7135</v>
      </c>
      <c r="C2981" s="261" t="s">
        <v>3240</v>
      </c>
      <c r="D2981" s="265" t="s">
        <v>20136</v>
      </c>
      <c r="E2981" s="262" t="s">
        <v>207</v>
      </c>
    </row>
    <row r="2982" spans="1:5" ht="15">
      <c r="A2982" s="261">
        <v>40369</v>
      </c>
      <c r="B2982" s="261" t="s">
        <v>7136</v>
      </c>
      <c r="C2982" s="261" t="s">
        <v>3240</v>
      </c>
      <c r="D2982" s="265" t="s">
        <v>20137</v>
      </c>
      <c r="E2982" s="262" t="s">
        <v>207</v>
      </c>
    </row>
    <row r="2983" spans="1:5" ht="15">
      <c r="A2983" s="261">
        <v>40357</v>
      </c>
      <c r="B2983" s="261" t="s">
        <v>7137</v>
      </c>
      <c r="C2983" s="261" t="s">
        <v>3240</v>
      </c>
      <c r="D2983" s="265" t="s">
        <v>12139</v>
      </c>
      <c r="E2983" s="262" t="s">
        <v>207</v>
      </c>
    </row>
    <row r="2984" spans="1:5" ht="15">
      <c r="A2984" s="261">
        <v>40375</v>
      </c>
      <c r="B2984" s="261" t="s">
        <v>7138</v>
      </c>
      <c r="C2984" s="261" t="s">
        <v>3240</v>
      </c>
      <c r="D2984" s="265" t="s">
        <v>20138</v>
      </c>
      <c r="E2984" s="262" t="s">
        <v>207</v>
      </c>
    </row>
    <row r="2985" spans="1:5" ht="15">
      <c r="A2985" s="261">
        <v>1893</v>
      </c>
      <c r="B2985" s="261" t="s">
        <v>7139</v>
      </c>
      <c r="C2985" s="261" t="s">
        <v>3240</v>
      </c>
      <c r="D2985" s="265" t="s">
        <v>11331</v>
      </c>
      <c r="E2985" s="262" t="s">
        <v>207</v>
      </c>
    </row>
    <row r="2986" spans="1:5" ht="15">
      <c r="A2986" s="261">
        <v>1902</v>
      </c>
      <c r="B2986" s="261" t="s">
        <v>7140</v>
      </c>
      <c r="C2986" s="261" t="s">
        <v>3240</v>
      </c>
      <c r="D2986" s="265" t="s">
        <v>9833</v>
      </c>
      <c r="E2986" s="262" t="s">
        <v>207</v>
      </c>
    </row>
    <row r="2987" spans="1:5" ht="15">
      <c r="A2987" s="261">
        <v>1901</v>
      </c>
      <c r="B2987" s="261" t="s">
        <v>7141</v>
      </c>
      <c r="C2987" s="261" t="s">
        <v>3240</v>
      </c>
      <c r="D2987" s="265" t="s">
        <v>9844</v>
      </c>
      <c r="E2987" s="262" t="s">
        <v>207</v>
      </c>
    </row>
    <row r="2988" spans="1:5" ht="15">
      <c r="A2988" s="261">
        <v>1892</v>
      </c>
      <c r="B2988" s="261" t="s">
        <v>7142</v>
      </c>
      <c r="C2988" s="261" t="s">
        <v>3240</v>
      </c>
      <c r="D2988" s="265" t="s">
        <v>9977</v>
      </c>
      <c r="E2988" s="262" t="s">
        <v>207</v>
      </c>
    </row>
    <row r="2989" spans="1:5" ht="15">
      <c r="A2989" s="261">
        <v>1907</v>
      </c>
      <c r="B2989" s="261" t="s">
        <v>7143</v>
      </c>
      <c r="C2989" s="261" t="s">
        <v>3240</v>
      </c>
      <c r="D2989" s="265" t="s">
        <v>10358</v>
      </c>
      <c r="E2989" s="262" t="s">
        <v>207</v>
      </c>
    </row>
    <row r="2990" spans="1:5" ht="15">
      <c r="A2990" s="261">
        <v>1894</v>
      </c>
      <c r="B2990" s="261" t="s">
        <v>7144</v>
      </c>
      <c r="C2990" s="261" t="s">
        <v>3240</v>
      </c>
      <c r="D2990" s="265" t="s">
        <v>19970</v>
      </c>
      <c r="E2990" s="262" t="s">
        <v>207</v>
      </c>
    </row>
    <row r="2991" spans="1:5" ht="15">
      <c r="A2991" s="261">
        <v>1891</v>
      </c>
      <c r="B2991" s="261" t="s">
        <v>7145</v>
      </c>
      <c r="C2991" s="261" t="s">
        <v>3240</v>
      </c>
      <c r="D2991" s="265" t="s">
        <v>9916</v>
      </c>
      <c r="E2991" s="262" t="s">
        <v>207</v>
      </c>
    </row>
    <row r="2992" spans="1:5" ht="15">
      <c r="A2992" s="261">
        <v>1896</v>
      </c>
      <c r="B2992" s="261" t="s">
        <v>7146</v>
      </c>
      <c r="C2992" s="261" t="s">
        <v>3240</v>
      </c>
      <c r="D2992" s="265" t="s">
        <v>10655</v>
      </c>
      <c r="E2992" s="262" t="s">
        <v>207</v>
      </c>
    </row>
    <row r="2993" spans="1:5" ht="15">
      <c r="A2993" s="261">
        <v>1895</v>
      </c>
      <c r="B2993" s="261" t="s">
        <v>7147</v>
      </c>
      <c r="C2993" s="261" t="s">
        <v>3240</v>
      </c>
      <c r="D2993" s="265" t="s">
        <v>18986</v>
      </c>
      <c r="E2993" s="262" t="s">
        <v>207</v>
      </c>
    </row>
    <row r="2994" spans="1:5" ht="30">
      <c r="A2994" s="261">
        <v>2641</v>
      </c>
      <c r="B2994" s="261" t="s">
        <v>7148</v>
      </c>
      <c r="C2994" s="261" t="s">
        <v>3240</v>
      </c>
      <c r="D2994" s="265" t="s">
        <v>9969</v>
      </c>
      <c r="E2994" s="262" t="s">
        <v>207</v>
      </c>
    </row>
    <row r="2995" spans="1:5" ht="30">
      <c r="A2995" s="261">
        <v>2636</v>
      </c>
      <c r="B2995" s="261" t="s">
        <v>7149</v>
      </c>
      <c r="C2995" s="261" t="s">
        <v>3240</v>
      </c>
      <c r="D2995" s="265" t="s">
        <v>11097</v>
      </c>
      <c r="E2995" s="262" t="s">
        <v>207</v>
      </c>
    </row>
    <row r="2996" spans="1:5" ht="30">
      <c r="A2996" s="261">
        <v>2637</v>
      </c>
      <c r="B2996" s="261" t="s">
        <v>7150</v>
      </c>
      <c r="C2996" s="261" t="s">
        <v>3240</v>
      </c>
      <c r="D2996" s="265" t="s">
        <v>20139</v>
      </c>
      <c r="E2996" s="262" t="s">
        <v>207</v>
      </c>
    </row>
    <row r="2997" spans="1:5" ht="30">
      <c r="A2997" s="261">
        <v>2638</v>
      </c>
      <c r="B2997" s="261" t="s">
        <v>7151</v>
      </c>
      <c r="C2997" s="261" t="s">
        <v>3240</v>
      </c>
      <c r="D2997" s="265" t="s">
        <v>16690</v>
      </c>
      <c r="E2997" s="262" t="s">
        <v>207</v>
      </c>
    </row>
    <row r="2998" spans="1:5" ht="30">
      <c r="A2998" s="261">
        <v>2639</v>
      </c>
      <c r="B2998" s="261" t="s">
        <v>7152</v>
      </c>
      <c r="C2998" s="261" t="s">
        <v>3240</v>
      </c>
      <c r="D2998" s="265" t="s">
        <v>12271</v>
      </c>
      <c r="E2998" s="262" t="s">
        <v>207</v>
      </c>
    </row>
    <row r="2999" spans="1:5" ht="30">
      <c r="A2999" s="261">
        <v>2644</v>
      </c>
      <c r="B2999" s="261" t="s">
        <v>7153</v>
      </c>
      <c r="C2999" s="261" t="s">
        <v>3240</v>
      </c>
      <c r="D2999" s="265" t="s">
        <v>12318</v>
      </c>
      <c r="E2999" s="262" t="s">
        <v>207</v>
      </c>
    </row>
    <row r="3000" spans="1:5" ht="30">
      <c r="A3000" s="261">
        <v>2643</v>
      </c>
      <c r="B3000" s="261" t="s">
        <v>7154</v>
      </c>
      <c r="C3000" s="261" t="s">
        <v>3240</v>
      </c>
      <c r="D3000" s="265" t="s">
        <v>10485</v>
      </c>
      <c r="E3000" s="262" t="s">
        <v>207</v>
      </c>
    </row>
    <row r="3001" spans="1:5" ht="30">
      <c r="A3001" s="261">
        <v>2640</v>
      </c>
      <c r="B3001" s="261" t="s">
        <v>7155</v>
      </c>
      <c r="C3001" s="261" t="s">
        <v>3240</v>
      </c>
      <c r="D3001" s="265" t="s">
        <v>19073</v>
      </c>
      <c r="E3001" s="262" t="s">
        <v>207</v>
      </c>
    </row>
    <row r="3002" spans="1:5" ht="30">
      <c r="A3002" s="261">
        <v>2642</v>
      </c>
      <c r="B3002" s="261" t="s">
        <v>7156</v>
      </c>
      <c r="C3002" s="261" t="s">
        <v>3240</v>
      </c>
      <c r="D3002" s="265" t="s">
        <v>19420</v>
      </c>
      <c r="E3002" s="262" t="s">
        <v>207</v>
      </c>
    </row>
    <row r="3003" spans="1:5" ht="15">
      <c r="A3003" s="261">
        <v>38943</v>
      </c>
      <c r="B3003" s="261" t="s">
        <v>7157</v>
      </c>
      <c r="C3003" s="261" t="s">
        <v>3240</v>
      </c>
      <c r="D3003" s="265" t="s">
        <v>10660</v>
      </c>
      <c r="E3003" s="262" t="s">
        <v>207</v>
      </c>
    </row>
    <row r="3004" spans="1:5" ht="15">
      <c r="A3004" s="261">
        <v>38944</v>
      </c>
      <c r="B3004" s="261" t="s">
        <v>7158</v>
      </c>
      <c r="C3004" s="261" t="s">
        <v>3240</v>
      </c>
      <c r="D3004" s="265" t="s">
        <v>10225</v>
      </c>
      <c r="E3004" s="262" t="s">
        <v>207</v>
      </c>
    </row>
    <row r="3005" spans="1:5" ht="15">
      <c r="A3005" s="261">
        <v>38945</v>
      </c>
      <c r="B3005" s="261" t="s">
        <v>7159</v>
      </c>
      <c r="C3005" s="261" t="s">
        <v>3240</v>
      </c>
      <c r="D3005" s="265" t="s">
        <v>10510</v>
      </c>
      <c r="E3005" s="262" t="s">
        <v>207</v>
      </c>
    </row>
    <row r="3006" spans="1:5" ht="15">
      <c r="A3006" s="261">
        <v>38946</v>
      </c>
      <c r="B3006" s="261" t="s">
        <v>7160</v>
      </c>
      <c r="C3006" s="261" t="s">
        <v>3240</v>
      </c>
      <c r="D3006" s="265" t="s">
        <v>16368</v>
      </c>
      <c r="E3006" s="262" t="s">
        <v>207</v>
      </c>
    </row>
    <row r="3007" spans="1:5" ht="15">
      <c r="A3007" s="261">
        <v>39308</v>
      </c>
      <c r="B3007" s="261" t="s">
        <v>7161</v>
      </c>
      <c r="C3007" s="261" t="s">
        <v>3240</v>
      </c>
      <c r="D3007" s="265" t="s">
        <v>11012</v>
      </c>
      <c r="E3007" s="262" t="s">
        <v>207</v>
      </c>
    </row>
    <row r="3008" spans="1:5" ht="15">
      <c r="A3008" s="261">
        <v>39309</v>
      </c>
      <c r="B3008" s="261" t="s">
        <v>7162</v>
      </c>
      <c r="C3008" s="261" t="s">
        <v>3240</v>
      </c>
      <c r="D3008" s="265" t="s">
        <v>10987</v>
      </c>
      <c r="E3008" s="262" t="s">
        <v>207</v>
      </c>
    </row>
    <row r="3009" spans="1:5" ht="15">
      <c r="A3009" s="261">
        <v>39310</v>
      </c>
      <c r="B3009" s="261" t="s">
        <v>7163</v>
      </c>
      <c r="C3009" s="261" t="s">
        <v>3240</v>
      </c>
      <c r="D3009" s="265" t="s">
        <v>15799</v>
      </c>
      <c r="E3009" s="262" t="s">
        <v>207</v>
      </c>
    </row>
    <row r="3010" spans="1:5" ht="15">
      <c r="A3010" s="261">
        <v>39311</v>
      </c>
      <c r="B3010" s="261" t="s">
        <v>7164</v>
      </c>
      <c r="C3010" s="261" t="s">
        <v>3240</v>
      </c>
      <c r="D3010" s="265" t="s">
        <v>19546</v>
      </c>
      <c r="E3010" s="262" t="s">
        <v>207</v>
      </c>
    </row>
    <row r="3011" spans="1:5" ht="15">
      <c r="A3011" s="261">
        <v>39855</v>
      </c>
      <c r="B3011" s="261" t="s">
        <v>7165</v>
      </c>
      <c r="C3011" s="261" t="s">
        <v>3240</v>
      </c>
      <c r="D3011" s="265" t="s">
        <v>12144</v>
      </c>
      <c r="E3011" s="262" t="s">
        <v>207</v>
      </c>
    </row>
    <row r="3012" spans="1:5" ht="15">
      <c r="A3012" s="261">
        <v>39856</v>
      </c>
      <c r="B3012" s="261" t="s">
        <v>7166</v>
      </c>
      <c r="C3012" s="261" t="s">
        <v>3240</v>
      </c>
      <c r="D3012" s="265" t="s">
        <v>10499</v>
      </c>
      <c r="E3012" s="262" t="s">
        <v>207</v>
      </c>
    </row>
    <row r="3013" spans="1:5" ht="15">
      <c r="A3013" s="261">
        <v>39857</v>
      </c>
      <c r="B3013" s="261" t="s">
        <v>7167</v>
      </c>
      <c r="C3013" s="261" t="s">
        <v>3240</v>
      </c>
      <c r="D3013" s="265" t="s">
        <v>10851</v>
      </c>
      <c r="E3013" s="262" t="s">
        <v>207</v>
      </c>
    </row>
    <row r="3014" spans="1:5" ht="15">
      <c r="A3014" s="261">
        <v>39858</v>
      </c>
      <c r="B3014" s="261" t="s">
        <v>7168</v>
      </c>
      <c r="C3014" s="261" t="s">
        <v>3240</v>
      </c>
      <c r="D3014" s="265" t="s">
        <v>11055</v>
      </c>
      <c r="E3014" s="262" t="s">
        <v>207</v>
      </c>
    </row>
    <row r="3015" spans="1:5" ht="15">
      <c r="A3015" s="261">
        <v>39859</v>
      </c>
      <c r="B3015" s="261" t="s">
        <v>7169</v>
      </c>
      <c r="C3015" s="261" t="s">
        <v>3240</v>
      </c>
      <c r="D3015" s="265" t="s">
        <v>16079</v>
      </c>
      <c r="E3015" s="262" t="s">
        <v>207</v>
      </c>
    </row>
    <row r="3016" spans="1:5" ht="15">
      <c r="A3016" s="261">
        <v>39860</v>
      </c>
      <c r="B3016" s="261" t="s">
        <v>7170</v>
      </c>
      <c r="C3016" s="261" t="s">
        <v>3240</v>
      </c>
      <c r="D3016" s="265" t="s">
        <v>16128</v>
      </c>
      <c r="E3016" s="262" t="s">
        <v>207</v>
      </c>
    </row>
    <row r="3017" spans="1:5" ht="15">
      <c r="A3017" s="261">
        <v>39861</v>
      </c>
      <c r="B3017" s="261" t="s">
        <v>7171</v>
      </c>
      <c r="C3017" s="261" t="s">
        <v>3240</v>
      </c>
      <c r="D3017" s="266" t="s">
        <v>20105</v>
      </c>
      <c r="E3017" s="262" t="s">
        <v>207</v>
      </c>
    </row>
    <row r="3018" spans="1:5" ht="15">
      <c r="A3018" s="261">
        <v>38447</v>
      </c>
      <c r="B3018" s="261" t="s">
        <v>7172</v>
      </c>
      <c r="C3018" s="261" t="s">
        <v>3240</v>
      </c>
      <c r="D3018" s="265" t="s">
        <v>15908</v>
      </c>
      <c r="E3018" s="262" t="s">
        <v>207</v>
      </c>
    </row>
    <row r="3019" spans="1:5" ht="15">
      <c r="A3019" s="261">
        <v>36320</v>
      </c>
      <c r="B3019" s="261" t="s">
        <v>7173</v>
      </c>
      <c r="C3019" s="261" t="s">
        <v>3240</v>
      </c>
      <c r="D3019" s="265" t="s">
        <v>11259</v>
      </c>
      <c r="E3019" s="262" t="s">
        <v>207</v>
      </c>
    </row>
    <row r="3020" spans="1:5" ht="15">
      <c r="A3020" s="261">
        <v>36324</v>
      </c>
      <c r="B3020" s="261" t="s">
        <v>7174</v>
      </c>
      <c r="C3020" s="261" t="s">
        <v>3240</v>
      </c>
      <c r="D3020" s="265" t="s">
        <v>12177</v>
      </c>
      <c r="E3020" s="262" t="s">
        <v>207</v>
      </c>
    </row>
    <row r="3021" spans="1:5" ht="15">
      <c r="A3021" s="261">
        <v>38441</v>
      </c>
      <c r="B3021" s="261" t="s">
        <v>7175</v>
      </c>
      <c r="C3021" s="261" t="s">
        <v>3240</v>
      </c>
      <c r="D3021" s="265" t="s">
        <v>10653</v>
      </c>
      <c r="E3021" s="262" t="s">
        <v>207</v>
      </c>
    </row>
    <row r="3022" spans="1:5" ht="15">
      <c r="A3022" s="261">
        <v>38442</v>
      </c>
      <c r="B3022" s="261" t="s">
        <v>7176</v>
      </c>
      <c r="C3022" s="261" t="s">
        <v>3240</v>
      </c>
      <c r="D3022" s="265" t="s">
        <v>10051</v>
      </c>
      <c r="E3022" s="262" t="s">
        <v>207</v>
      </c>
    </row>
    <row r="3023" spans="1:5" ht="15">
      <c r="A3023" s="261">
        <v>38443</v>
      </c>
      <c r="B3023" s="261" t="s">
        <v>7177</v>
      </c>
      <c r="C3023" s="261" t="s">
        <v>3240</v>
      </c>
      <c r="D3023" s="265" t="s">
        <v>10547</v>
      </c>
      <c r="E3023" s="262" t="s">
        <v>207</v>
      </c>
    </row>
    <row r="3024" spans="1:5" ht="15">
      <c r="A3024" s="261">
        <v>38444</v>
      </c>
      <c r="B3024" s="261" t="s">
        <v>7178</v>
      </c>
      <c r="C3024" s="261" t="s">
        <v>3240</v>
      </c>
      <c r="D3024" s="265" t="s">
        <v>12407</v>
      </c>
      <c r="E3024" s="262" t="s">
        <v>207</v>
      </c>
    </row>
    <row r="3025" spans="1:5" ht="15">
      <c r="A3025" s="261">
        <v>38445</v>
      </c>
      <c r="B3025" s="261" t="s">
        <v>7179</v>
      </c>
      <c r="C3025" s="261" t="s">
        <v>3240</v>
      </c>
      <c r="D3025" s="265" t="s">
        <v>16675</v>
      </c>
      <c r="E3025" s="262" t="s">
        <v>207</v>
      </c>
    </row>
    <row r="3026" spans="1:5" ht="15">
      <c r="A3026" s="261">
        <v>38446</v>
      </c>
      <c r="B3026" s="261" t="s">
        <v>7180</v>
      </c>
      <c r="C3026" s="261" t="s">
        <v>3240</v>
      </c>
      <c r="D3026" s="265" t="s">
        <v>20140</v>
      </c>
      <c r="E3026" s="262" t="s">
        <v>207</v>
      </c>
    </row>
    <row r="3027" spans="1:5" ht="15">
      <c r="A3027" s="261">
        <v>3867</v>
      </c>
      <c r="B3027" s="261" t="s">
        <v>7181</v>
      </c>
      <c r="C3027" s="261" t="s">
        <v>3240</v>
      </c>
      <c r="D3027" s="265" t="s">
        <v>16685</v>
      </c>
      <c r="E3027" s="262" t="s">
        <v>207</v>
      </c>
    </row>
    <row r="3028" spans="1:5" ht="15">
      <c r="A3028" s="261">
        <v>3861</v>
      </c>
      <c r="B3028" s="261" t="s">
        <v>7182</v>
      </c>
      <c r="C3028" s="261" t="s">
        <v>3240</v>
      </c>
      <c r="D3028" s="265" t="s">
        <v>10054</v>
      </c>
      <c r="E3028" s="262" t="s">
        <v>207</v>
      </c>
    </row>
    <row r="3029" spans="1:5" ht="15">
      <c r="A3029" s="261">
        <v>3904</v>
      </c>
      <c r="B3029" s="261" t="s">
        <v>7183</v>
      </c>
      <c r="C3029" s="261" t="s">
        <v>3240</v>
      </c>
      <c r="D3029" s="265" t="s">
        <v>9845</v>
      </c>
      <c r="E3029" s="262" t="s">
        <v>207</v>
      </c>
    </row>
    <row r="3030" spans="1:5" ht="15">
      <c r="A3030" s="261">
        <v>3903</v>
      </c>
      <c r="B3030" s="261" t="s">
        <v>7184</v>
      </c>
      <c r="C3030" s="261" t="s">
        <v>3240</v>
      </c>
      <c r="D3030" s="265" t="s">
        <v>16690</v>
      </c>
      <c r="E3030" s="262" t="s">
        <v>207</v>
      </c>
    </row>
    <row r="3031" spans="1:5" ht="15">
      <c r="A3031" s="261">
        <v>3862</v>
      </c>
      <c r="B3031" s="261" t="s">
        <v>7185</v>
      </c>
      <c r="C3031" s="261" t="s">
        <v>3240</v>
      </c>
      <c r="D3031" s="265" t="s">
        <v>16489</v>
      </c>
      <c r="E3031" s="262" t="s">
        <v>207</v>
      </c>
    </row>
    <row r="3032" spans="1:5" ht="15">
      <c r="A3032" s="261">
        <v>3863</v>
      </c>
      <c r="B3032" s="261" t="s">
        <v>7186</v>
      </c>
      <c r="C3032" s="261" t="s">
        <v>3240</v>
      </c>
      <c r="D3032" s="265" t="s">
        <v>9747</v>
      </c>
      <c r="E3032" s="262" t="s">
        <v>207</v>
      </c>
    </row>
    <row r="3033" spans="1:5" ht="15">
      <c r="A3033" s="261">
        <v>3864</v>
      </c>
      <c r="B3033" s="261" t="s">
        <v>7187</v>
      </c>
      <c r="C3033" s="261" t="s">
        <v>3240</v>
      </c>
      <c r="D3033" s="265" t="s">
        <v>10557</v>
      </c>
      <c r="E3033" s="262" t="s">
        <v>207</v>
      </c>
    </row>
    <row r="3034" spans="1:5" ht="15">
      <c r="A3034" s="261">
        <v>3865</v>
      </c>
      <c r="B3034" s="261" t="s">
        <v>7188</v>
      </c>
      <c r="C3034" s="261" t="s">
        <v>3240</v>
      </c>
      <c r="D3034" s="265" t="s">
        <v>11256</v>
      </c>
      <c r="E3034" s="262" t="s">
        <v>207</v>
      </c>
    </row>
    <row r="3035" spans="1:5" ht="15">
      <c r="A3035" s="261">
        <v>3866</v>
      </c>
      <c r="B3035" s="261" t="s">
        <v>7189</v>
      </c>
      <c r="C3035" s="261" t="s">
        <v>3240</v>
      </c>
      <c r="D3035" s="265" t="s">
        <v>20141</v>
      </c>
      <c r="E3035" s="262" t="s">
        <v>207</v>
      </c>
    </row>
    <row r="3036" spans="1:5" ht="15">
      <c r="A3036" s="261">
        <v>3902</v>
      </c>
      <c r="B3036" s="261" t="s">
        <v>7190</v>
      </c>
      <c r="C3036" s="261" t="s">
        <v>3240</v>
      </c>
      <c r="D3036" s="265" t="s">
        <v>16553</v>
      </c>
      <c r="E3036" s="262" t="s">
        <v>207</v>
      </c>
    </row>
    <row r="3037" spans="1:5" ht="15">
      <c r="A3037" s="261">
        <v>3878</v>
      </c>
      <c r="B3037" s="261" t="s">
        <v>7191</v>
      </c>
      <c r="C3037" s="261" t="s">
        <v>3240</v>
      </c>
      <c r="D3037" s="265" t="s">
        <v>9762</v>
      </c>
      <c r="E3037" s="262" t="s">
        <v>207</v>
      </c>
    </row>
    <row r="3038" spans="1:5" ht="15">
      <c r="A3038" s="261">
        <v>3877</v>
      </c>
      <c r="B3038" s="261" t="s">
        <v>7192</v>
      </c>
      <c r="C3038" s="261" t="s">
        <v>3240</v>
      </c>
      <c r="D3038" s="265" t="s">
        <v>20142</v>
      </c>
      <c r="E3038" s="262" t="s">
        <v>207</v>
      </c>
    </row>
    <row r="3039" spans="1:5" ht="15">
      <c r="A3039" s="261">
        <v>3879</v>
      </c>
      <c r="B3039" s="261" t="s">
        <v>7193</v>
      </c>
      <c r="C3039" s="261" t="s">
        <v>3240</v>
      </c>
      <c r="D3039" s="265" t="s">
        <v>20143</v>
      </c>
      <c r="E3039" s="262" t="s">
        <v>207</v>
      </c>
    </row>
    <row r="3040" spans="1:5" ht="15">
      <c r="A3040" s="261">
        <v>3880</v>
      </c>
      <c r="B3040" s="261" t="s">
        <v>7194</v>
      </c>
      <c r="C3040" s="261" t="s">
        <v>3240</v>
      </c>
      <c r="D3040" s="265" t="s">
        <v>16470</v>
      </c>
      <c r="E3040" s="262" t="s">
        <v>207</v>
      </c>
    </row>
    <row r="3041" spans="1:5" ht="15">
      <c r="A3041" s="261">
        <v>12892</v>
      </c>
      <c r="B3041" s="261" t="s">
        <v>7195</v>
      </c>
      <c r="C3041" s="261" t="s">
        <v>3247</v>
      </c>
      <c r="D3041" s="265" t="s">
        <v>9914</v>
      </c>
      <c r="E3041" s="262" t="s">
        <v>207</v>
      </c>
    </row>
    <row r="3042" spans="1:5" ht="15">
      <c r="A3042" s="261">
        <v>3883</v>
      </c>
      <c r="B3042" s="261" t="s">
        <v>7196</v>
      </c>
      <c r="C3042" s="261" t="s">
        <v>3240</v>
      </c>
      <c r="D3042" s="266" t="s">
        <v>9967</v>
      </c>
      <c r="E3042" s="262" t="s">
        <v>207</v>
      </c>
    </row>
    <row r="3043" spans="1:5" ht="15">
      <c r="A3043" s="261">
        <v>3876</v>
      </c>
      <c r="B3043" s="261" t="s">
        <v>7197</v>
      </c>
      <c r="C3043" s="261" t="s">
        <v>3240</v>
      </c>
      <c r="D3043" s="266" t="s">
        <v>20144</v>
      </c>
      <c r="E3043" s="262" t="s">
        <v>207</v>
      </c>
    </row>
    <row r="3044" spans="1:5" ht="15">
      <c r="A3044" s="261">
        <v>3884</v>
      </c>
      <c r="B3044" s="261" t="s">
        <v>7198</v>
      </c>
      <c r="C3044" s="261" t="s">
        <v>3240</v>
      </c>
      <c r="D3044" s="266" t="s">
        <v>10097</v>
      </c>
      <c r="E3044" s="262" t="s">
        <v>207</v>
      </c>
    </row>
    <row r="3045" spans="1:5" ht="15">
      <c r="A3045" s="261">
        <v>3837</v>
      </c>
      <c r="B3045" s="261" t="s">
        <v>7199</v>
      </c>
      <c r="C3045" s="261" t="s">
        <v>3240</v>
      </c>
      <c r="D3045" s="266" t="s">
        <v>20145</v>
      </c>
      <c r="E3045" s="262" t="s">
        <v>207</v>
      </c>
    </row>
    <row r="3046" spans="1:5" ht="15">
      <c r="A3046" s="261">
        <v>3845</v>
      </c>
      <c r="B3046" s="261" t="s">
        <v>7200</v>
      </c>
      <c r="C3046" s="261" t="s">
        <v>3240</v>
      </c>
      <c r="D3046" s="265" t="s">
        <v>19690</v>
      </c>
      <c r="E3046" s="262" t="s">
        <v>207</v>
      </c>
    </row>
    <row r="3047" spans="1:5" ht="15">
      <c r="A3047" s="261">
        <v>11045</v>
      </c>
      <c r="B3047" s="261" t="s">
        <v>7201</v>
      </c>
      <c r="C3047" s="261" t="s">
        <v>3240</v>
      </c>
      <c r="D3047" s="265" t="s">
        <v>16451</v>
      </c>
      <c r="E3047" s="262" t="s">
        <v>207</v>
      </c>
    </row>
    <row r="3048" spans="1:5" ht="15">
      <c r="A3048" s="261">
        <v>20170</v>
      </c>
      <c r="B3048" s="261" t="s">
        <v>11854</v>
      </c>
      <c r="C3048" s="261" t="s">
        <v>3240</v>
      </c>
      <c r="D3048" s="265" t="s">
        <v>14091</v>
      </c>
      <c r="E3048" s="262" t="s">
        <v>207</v>
      </c>
    </row>
    <row r="3049" spans="1:5" ht="15">
      <c r="A3049" s="261">
        <v>20171</v>
      </c>
      <c r="B3049" s="261" t="s">
        <v>11855</v>
      </c>
      <c r="C3049" s="261" t="s">
        <v>3240</v>
      </c>
      <c r="D3049" s="265" t="s">
        <v>20146</v>
      </c>
      <c r="E3049" s="262" t="s">
        <v>207</v>
      </c>
    </row>
    <row r="3050" spans="1:5" ht="15">
      <c r="A3050" s="261">
        <v>20167</v>
      </c>
      <c r="B3050" s="261" t="s">
        <v>11856</v>
      </c>
      <c r="C3050" s="261" t="s">
        <v>3240</v>
      </c>
      <c r="D3050" s="265" t="s">
        <v>12302</v>
      </c>
      <c r="E3050" s="262" t="s">
        <v>207</v>
      </c>
    </row>
    <row r="3051" spans="1:5" ht="15">
      <c r="A3051" s="261">
        <v>20168</v>
      </c>
      <c r="B3051" s="261" t="s">
        <v>11857</v>
      </c>
      <c r="C3051" s="261" t="s">
        <v>3240</v>
      </c>
      <c r="D3051" s="265" t="s">
        <v>14073</v>
      </c>
      <c r="E3051" s="262" t="s">
        <v>207</v>
      </c>
    </row>
    <row r="3052" spans="1:5" ht="15">
      <c r="A3052" s="261">
        <v>20169</v>
      </c>
      <c r="B3052" s="261" t="s">
        <v>11858</v>
      </c>
      <c r="C3052" s="261" t="s">
        <v>3240</v>
      </c>
      <c r="D3052" s="265" t="s">
        <v>9962</v>
      </c>
      <c r="E3052" s="262" t="s">
        <v>207</v>
      </c>
    </row>
    <row r="3053" spans="1:5" ht="15">
      <c r="A3053" s="261">
        <v>3899</v>
      </c>
      <c r="B3053" s="261" t="s">
        <v>7202</v>
      </c>
      <c r="C3053" s="261" t="s">
        <v>3240</v>
      </c>
      <c r="D3053" s="265" t="s">
        <v>10305</v>
      </c>
      <c r="E3053" s="262" t="s">
        <v>207</v>
      </c>
    </row>
    <row r="3054" spans="1:5" ht="15">
      <c r="A3054" s="261">
        <v>38676</v>
      </c>
      <c r="B3054" s="261" t="s">
        <v>7203</v>
      </c>
      <c r="C3054" s="261" t="s">
        <v>3240</v>
      </c>
      <c r="D3054" s="265" t="s">
        <v>10668</v>
      </c>
      <c r="E3054" s="262" t="s">
        <v>207</v>
      </c>
    </row>
    <row r="3055" spans="1:5" ht="15">
      <c r="A3055" s="261">
        <v>3897</v>
      </c>
      <c r="B3055" s="261" t="s">
        <v>7204</v>
      </c>
      <c r="C3055" s="261" t="s">
        <v>3240</v>
      </c>
      <c r="D3055" s="265" t="s">
        <v>11172</v>
      </c>
      <c r="E3055" s="262" t="s">
        <v>207</v>
      </c>
    </row>
    <row r="3056" spans="1:5" ht="15">
      <c r="A3056" s="261">
        <v>3875</v>
      </c>
      <c r="B3056" s="261" t="s">
        <v>7205</v>
      </c>
      <c r="C3056" s="261" t="s">
        <v>3240</v>
      </c>
      <c r="D3056" s="265" t="s">
        <v>9805</v>
      </c>
      <c r="E3056" s="262" t="s">
        <v>207</v>
      </c>
    </row>
    <row r="3057" spans="1:5" ht="15">
      <c r="A3057" s="261">
        <v>3898</v>
      </c>
      <c r="B3057" s="261" t="s">
        <v>7206</v>
      </c>
      <c r="C3057" s="261" t="s">
        <v>3240</v>
      </c>
      <c r="D3057" s="265" t="s">
        <v>20147</v>
      </c>
      <c r="E3057" s="262" t="s">
        <v>207</v>
      </c>
    </row>
    <row r="3058" spans="1:5" ht="15">
      <c r="A3058" s="261">
        <v>3855</v>
      </c>
      <c r="B3058" s="261" t="s">
        <v>7207</v>
      </c>
      <c r="C3058" s="261" t="s">
        <v>3240</v>
      </c>
      <c r="D3058" s="265" t="s">
        <v>11232</v>
      </c>
      <c r="E3058" s="262" t="s">
        <v>207</v>
      </c>
    </row>
    <row r="3059" spans="1:5" ht="15">
      <c r="A3059" s="261">
        <v>3874</v>
      </c>
      <c r="B3059" s="261" t="s">
        <v>7208</v>
      </c>
      <c r="C3059" s="261" t="s">
        <v>3240</v>
      </c>
      <c r="D3059" s="265" t="s">
        <v>9729</v>
      </c>
      <c r="E3059" s="262" t="s">
        <v>207</v>
      </c>
    </row>
    <row r="3060" spans="1:5" ht="15">
      <c r="A3060" s="261">
        <v>3870</v>
      </c>
      <c r="B3060" s="261" t="s">
        <v>7209</v>
      </c>
      <c r="C3060" s="261" t="s">
        <v>3240</v>
      </c>
      <c r="D3060" s="265" t="s">
        <v>9878</v>
      </c>
      <c r="E3060" s="262" t="s">
        <v>207</v>
      </c>
    </row>
    <row r="3061" spans="1:5" ht="15">
      <c r="A3061" s="261">
        <v>38678</v>
      </c>
      <c r="B3061" s="261" t="s">
        <v>7210</v>
      </c>
      <c r="C3061" s="261" t="s">
        <v>3240</v>
      </c>
      <c r="D3061" s="265" t="s">
        <v>20148</v>
      </c>
      <c r="E3061" s="262" t="s">
        <v>207</v>
      </c>
    </row>
    <row r="3062" spans="1:5" ht="15">
      <c r="A3062" s="261">
        <v>3859</v>
      </c>
      <c r="B3062" s="261" t="s">
        <v>7211</v>
      </c>
      <c r="C3062" s="261" t="s">
        <v>3240</v>
      </c>
      <c r="D3062" s="265" t="s">
        <v>11080</v>
      </c>
      <c r="E3062" s="262" t="s">
        <v>207</v>
      </c>
    </row>
    <row r="3063" spans="1:5" ht="15">
      <c r="A3063" s="261">
        <v>3856</v>
      </c>
      <c r="B3063" s="261" t="s">
        <v>7212</v>
      </c>
      <c r="C3063" s="261" t="s">
        <v>3240</v>
      </c>
      <c r="D3063" s="265" t="s">
        <v>16397</v>
      </c>
      <c r="E3063" s="262" t="s">
        <v>207</v>
      </c>
    </row>
    <row r="3064" spans="1:5" ht="15">
      <c r="A3064" s="261">
        <v>3906</v>
      </c>
      <c r="B3064" s="261" t="s">
        <v>7213</v>
      </c>
      <c r="C3064" s="261" t="s">
        <v>3240</v>
      </c>
      <c r="D3064" s="265" t="s">
        <v>10908</v>
      </c>
      <c r="E3064" s="262" t="s">
        <v>207</v>
      </c>
    </row>
    <row r="3065" spans="1:5" ht="15">
      <c r="A3065" s="261">
        <v>3860</v>
      </c>
      <c r="B3065" s="261" t="s">
        <v>7214</v>
      </c>
      <c r="C3065" s="261" t="s">
        <v>3240</v>
      </c>
      <c r="D3065" s="265" t="s">
        <v>11351</v>
      </c>
      <c r="E3065" s="262" t="s">
        <v>207</v>
      </c>
    </row>
    <row r="3066" spans="1:5" ht="15">
      <c r="A3066" s="261">
        <v>3905</v>
      </c>
      <c r="B3066" s="261" t="s">
        <v>7215</v>
      </c>
      <c r="C3066" s="261" t="s">
        <v>3240</v>
      </c>
      <c r="D3066" s="265" t="s">
        <v>16119</v>
      </c>
      <c r="E3066" s="262" t="s">
        <v>207</v>
      </c>
    </row>
    <row r="3067" spans="1:5" ht="15">
      <c r="A3067" s="261">
        <v>3871</v>
      </c>
      <c r="B3067" s="261" t="s">
        <v>7216</v>
      </c>
      <c r="C3067" s="261" t="s">
        <v>3240</v>
      </c>
      <c r="D3067" s="265" t="s">
        <v>16083</v>
      </c>
      <c r="E3067" s="262" t="s">
        <v>207</v>
      </c>
    </row>
    <row r="3068" spans="1:5" ht="15">
      <c r="A3068" s="261">
        <v>37429</v>
      </c>
      <c r="B3068" s="261" t="s">
        <v>7217</v>
      </c>
      <c r="C3068" s="261" t="s">
        <v>3240</v>
      </c>
      <c r="D3068" s="265" t="s">
        <v>20149</v>
      </c>
      <c r="E3068" s="262" t="s">
        <v>207</v>
      </c>
    </row>
    <row r="3069" spans="1:5" ht="15">
      <c r="A3069" s="261">
        <v>37426</v>
      </c>
      <c r="B3069" s="261" t="s">
        <v>7218</v>
      </c>
      <c r="C3069" s="261" t="s">
        <v>3240</v>
      </c>
      <c r="D3069" s="265" t="s">
        <v>10436</v>
      </c>
      <c r="E3069" s="262" t="s">
        <v>207</v>
      </c>
    </row>
    <row r="3070" spans="1:5" ht="15">
      <c r="A3070" s="261">
        <v>37427</v>
      </c>
      <c r="B3070" s="261" t="s">
        <v>7219</v>
      </c>
      <c r="C3070" s="261" t="s">
        <v>3240</v>
      </c>
      <c r="D3070" s="266" t="s">
        <v>20150</v>
      </c>
      <c r="E3070" s="262" t="s">
        <v>207</v>
      </c>
    </row>
    <row r="3071" spans="1:5" ht="15">
      <c r="A3071" s="261">
        <v>37424</v>
      </c>
      <c r="B3071" s="261" t="s">
        <v>7220</v>
      </c>
      <c r="C3071" s="261" t="s">
        <v>3240</v>
      </c>
      <c r="D3071" s="266" t="s">
        <v>15944</v>
      </c>
      <c r="E3071" s="262" t="s">
        <v>207</v>
      </c>
    </row>
    <row r="3072" spans="1:5" ht="15">
      <c r="A3072" s="261">
        <v>37428</v>
      </c>
      <c r="B3072" s="261" t="s">
        <v>7221</v>
      </c>
      <c r="C3072" s="261" t="s">
        <v>3240</v>
      </c>
      <c r="D3072" s="265" t="s">
        <v>20151</v>
      </c>
      <c r="E3072" s="262" t="s">
        <v>207</v>
      </c>
    </row>
    <row r="3073" spans="1:5" ht="15">
      <c r="A3073" s="261">
        <v>37425</v>
      </c>
      <c r="B3073" s="261" t="s">
        <v>7222</v>
      </c>
      <c r="C3073" s="261" t="s">
        <v>3240</v>
      </c>
      <c r="D3073" s="265" t="s">
        <v>16149</v>
      </c>
      <c r="E3073" s="262" t="s">
        <v>207</v>
      </c>
    </row>
    <row r="3074" spans="1:5" ht="30">
      <c r="A3074" s="261">
        <v>11519</v>
      </c>
      <c r="B3074" s="261" t="s">
        <v>11859</v>
      </c>
      <c r="C3074" s="261" t="s">
        <v>3247</v>
      </c>
      <c r="D3074" s="265" t="s">
        <v>11048</v>
      </c>
      <c r="E3074" s="262" t="s">
        <v>207</v>
      </c>
    </row>
    <row r="3075" spans="1:5" ht="30">
      <c r="A3075" s="261">
        <v>11520</v>
      </c>
      <c r="B3075" s="261" t="s">
        <v>7223</v>
      </c>
      <c r="C3075" s="261" t="s">
        <v>3247</v>
      </c>
      <c r="D3075" s="265" t="s">
        <v>11076</v>
      </c>
      <c r="E3075" s="262" t="s">
        <v>207</v>
      </c>
    </row>
    <row r="3076" spans="1:5" ht="30">
      <c r="A3076" s="261">
        <v>11518</v>
      </c>
      <c r="B3076" s="261" t="s">
        <v>11860</v>
      </c>
      <c r="C3076" s="261" t="s">
        <v>3247</v>
      </c>
      <c r="D3076" s="265" t="s">
        <v>20152</v>
      </c>
      <c r="E3076" s="262" t="s">
        <v>207</v>
      </c>
    </row>
    <row r="3077" spans="1:5" ht="15">
      <c r="A3077" s="261">
        <v>38473</v>
      </c>
      <c r="B3077" s="261" t="s">
        <v>7224</v>
      </c>
      <c r="C3077" s="261" t="s">
        <v>3240</v>
      </c>
      <c r="D3077" s="265" t="s">
        <v>20153</v>
      </c>
      <c r="E3077" s="262" t="s">
        <v>207</v>
      </c>
    </row>
    <row r="3078" spans="1:5" ht="15">
      <c r="A3078" s="261">
        <v>4244</v>
      </c>
      <c r="B3078" s="261" t="s">
        <v>7225</v>
      </c>
      <c r="C3078" s="261" t="s">
        <v>3239</v>
      </c>
      <c r="D3078" s="265" t="s">
        <v>14236</v>
      </c>
      <c r="E3078" s="262" t="s">
        <v>9714</v>
      </c>
    </row>
    <row r="3079" spans="1:5" ht="15">
      <c r="A3079" s="261">
        <v>40977</v>
      </c>
      <c r="B3079" s="261" t="s">
        <v>7226</v>
      </c>
      <c r="C3079" s="261" t="s">
        <v>3246</v>
      </c>
      <c r="D3079" s="265" t="s">
        <v>20154</v>
      </c>
      <c r="E3079" s="262" t="s">
        <v>9714</v>
      </c>
    </row>
    <row r="3080" spans="1:5" ht="30">
      <c r="A3080" s="261">
        <v>4115</v>
      </c>
      <c r="B3080" s="261" t="s">
        <v>11861</v>
      </c>
      <c r="C3080" s="261" t="s">
        <v>3243</v>
      </c>
      <c r="D3080" s="265" t="s">
        <v>12376</v>
      </c>
      <c r="E3080" s="262" t="s">
        <v>207</v>
      </c>
    </row>
    <row r="3081" spans="1:5" ht="30">
      <c r="A3081" s="261">
        <v>4119</v>
      </c>
      <c r="B3081" s="261" t="s">
        <v>11862</v>
      </c>
      <c r="C3081" s="261" t="s">
        <v>3243</v>
      </c>
      <c r="D3081" s="265" t="s">
        <v>12377</v>
      </c>
      <c r="E3081" s="262" t="s">
        <v>207</v>
      </c>
    </row>
    <row r="3082" spans="1:5" ht="30">
      <c r="A3082" s="261">
        <v>2794</v>
      </c>
      <c r="B3082" s="261" t="s">
        <v>11863</v>
      </c>
      <c r="C3082" s="261" t="s">
        <v>3243</v>
      </c>
      <c r="D3082" s="265" t="s">
        <v>11459</v>
      </c>
      <c r="E3082" s="262" t="s">
        <v>207</v>
      </c>
    </row>
    <row r="3083" spans="1:5" ht="30">
      <c r="A3083" s="261">
        <v>2788</v>
      </c>
      <c r="B3083" s="261" t="s">
        <v>11864</v>
      </c>
      <c r="C3083" s="261" t="s">
        <v>3243</v>
      </c>
      <c r="D3083" s="265" t="s">
        <v>12378</v>
      </c>
      <c r="E3083" s="262" t="s">
        <v>207</v>
      </c>
    </row>
    <row r="3084" spans="1:5" ht="15">
      <c r="A3084" s="261">
        <v>4006</v>
      </c>
      <c r="B3084" s="261" t="s">
        <v>11865</v>
      </c>
      <c r="C3084" s="261" t="s">
        <v>3241</v>
      </c>
      <c r="D3084" s="265" t="s">
        <v>20155</v>
      </c>
      <c r="E3084" s="262" t="s">
        <v>207</v>
      </c>
    </row>
    <row r="3085" spans="1:5" ht="15">
      <c r="A3085" s="261">
        <v>36151</v>
      </c>
      <c r="B3085" s="261" t="s">
        <v>7227</v>
      </c>
      <c r="C3085" s="261" t="s">
        <v>3240</v>
      </c>
      <c r="D3085" s="265" t="s">
        <v>20156</v>
      </c>
      <c r="E3085" s="262" t="s">
        <v>207</v>
      </c>
    </row>
    <row r="3086" spans="1:5" ht="15">
      <c r="A3086" s="261">
        <v>37457</v>
      </c>
      <c r="B3086" s="261" t="s">
        <v>7228</v>
      </c>
      <c r="C3086" s="261" t="s">
        <v>3243</v>
      </c>
      <c r="D3086" s="265" t="s">
        <v>11089</v>
      </c>
      <c r="E3086" s="262" t="s">
        <v>207</v>
      </c>
    </row>
    <row r="3087" spans="1:5" ht="15">
      <c r="A3087" s="261">
        <v>37456</v>
      </c>
      <c r="B3087" s="261" t="s">
        <v>7229</v>
      </c>
      <c r="C3087" s="261" t="s">
        <v>3243</v>
      </c>
      <c r="D3087" s="265" t="s">
        <v>10908</v>
      </c>
      <c r="E3087" s="262" t="s">
        <v>207</v>
      </c>
    </row>
    <row r="3088" spans="1:5" ht="30">
      <c r="A3088" s="261">
        <v>37461</v>
      </c>
      <c r="B3088" s="261" t="s">
        <v>7230</v>
      </c>
      <c r="C3088" s="261" t="s">
        <v>3243</v>
      </c>
      <c r="D3088" s="265" t="s">
        <v>10242</v>
      </c>
      <c r="E3088" s="262" t="s">
        <v>207</v>
      </c>
    </row>
    <row r="3089" spans="1:5" ht="30">
      <c r="A3089" s="261">
        <v>37460</v>
      </c>
      <c r="B3089" s="261" t="s">
        <v>7231</v>
      </c>
      <c r="C3089" s="261" t="s">
        <v>3243</v>
      </c>
      <c r="D3089" s="265" t="s">
        <v>15900</v>
      </c>
      <c r="E3089" s="262" t="s">
        <v>207</v>
      </c>
    </row>
    <row r="3090" spans="1:5" ht="15">
      <c r="A3090" s="261">
        <v>37458</v>
      </c>
      <c r="B3090" s="261" t="s">
        <v>7232</v>
      </c>
      <c r="C3090" s="261" t="s">
        <v>3243</v>
      </c>
      <c r="D3090" s="265" t="s">
        <v>11250</v>
      </c>
      <c r="E3090" s="262" t="s">
        <v>207</v>
      </c>
    </row>
    <row r="3091" spans="1:5" ht="15">
      <c r="A3091" s="261">
        <v>37454</v>
      </c>
      <c r="B3091" s="261" t="s">
        <v>7233</v>
      </c>
      <c r="C3091" s="261" t="s">
        <v>3243</v>
      </c>
      <c r="D3091" s="265" t="s">
        <v>10430</v>
      </c>
      <c r="E3091" s="262" t="s">
        <v>207</v>
      </c>
    </row>
    <row r="3092" spans="1:5" ht="15">
      <c r="A3092" s="261">
        <v>37455</v>
      </c>
      <c r="B3092" s="261" t="s">
        <v>7234</v>
      </c>
      <c r="C3092" s="261" t="s">
        <v>3243</v>
      </c>
      <c r="D3092" s="265" t="s">
        <v>11366</v>
      </c>
      <c r="E3092" s="262" t="s">
        <v>207</v>
      </c>
    </row>
    <row r="3093" spans="1:5" ht="15">
      <c r="A3093" s="261">
        <v>37459</v>
      </c>
      <c r="B3093" s="261" t="s">
        <v>7235</v>
      </c>
      <c r="C3093" s="261" t="s">
        <v>3243</v>
      </c>
      <c r="D3093" s="265" t="s">
        <v>16208</v>
      </c>
      <c r="E3093" s="262" t="s">
        <v>207</v>
      </c>
    </row>
    <row r="3094" spans="1:5" ht="45">
      <c r="A3094" s="261">
        <v>21029</v>
      </c>
      <c r="B3094" s="261" t="s">
        <v>7236</v>
      </c>
      <c r="C3094" s="261" t="s">
        <v>3240</v>
      </c>
      <c r="D3094" s="265" t="s">
        <v>20157</v>
      </c>
      <c r="E3094" s="262" t="s">
        <v>207</v>
      </c>
    </row>
    <row r="3095" spans="1:5" ht="45">
      <c r="A3095" s="261">
        <v>21030</v>
      </c>
      <c r="B3095" s="261" t="s">
        <v>7237</v>
      </c>
      <c r="C3095" s="261" t="s">
        <v>3240</v>
      </c>
      <c r="D3095" s="265" t="s">
        <v>20158</v>
      </c>
      <c r="E3095" s="262" t="s">
        <v>207</v>
      </c>
    </row>
    <row r="3096" spans="1:5" ht="45">
      <c r="A3096" s="261">
        <v>21031</v>
      </c>
      <c r="B3096" s="261" t="s">
        <v>7238</v>
      </c>
      <c r="C3096" s="261" t="s">
        <v>3240</v>
      </c>
      <c r="D3096" s="265" t="s">
        <v>20159</v>
      </c>
      <c r="E3096" s="262" t="s">
        <v>207</v>
      </c>
    </row>
    <row r="3097" spans="1:5" ht="45">
      <c r="A3097" s="261">
        <v>21032</v>
      </c>
      <c r="B3097" s="261" t="s">
        <v>7239</v>
      </c>
      <c r="C3097" s="261" t="s">
        <v>3240</v>
      </c>
      <c r="D3097" s="265" t="s">
        <v>20160</v>
      </c>
      <c r="E3097" s="262" t="s">
        <v>207</v>
      </c>
    </row>
    <row r="3098" spans="1:5" ht="45">
      <c r="A3098" s="261">
        <v>37527</v>
      </c>
      <c r="B3098" s="261" t="s">
        <v>7240</v>
      </c>
      <c r="C3098" s="261" t="s">
        <v>3240</v>
      </c>
      <c r="D3098" s="265" t="s">
        <v>20161</v>
      </c>
      <c r="E3098" s="262" t="s">
        <v>207</v>
      </c>
    </row>
    <row r="3099" spans="1:5" ht="30">
      <c r="A3099" s="261">
        <v>37528</v>
      </c>
      <c r="B3099" s="261" t="s">
        <v>7241</v>
      </c>
      <c r="C3099" s="261" t="s">
        <v>3240</v>
      </c>
      <c r="D3099" s="265" t="s">
        <v>20162</v>
      </c>
      <c r="E3099" s="262" t="s">
        <v>207</v>
      </c>
    </row>
    <row r="3100" spans="1:5" ht="30">
      <c r="A3100" s="261">
        <v>37529</v>
      </c>
      <c r="B3100" s="261" t="s">
        <v>7242</v>
      </c>
      <c r="C3100" s="261" t="s">
        <v>3240</v>
      </c>
      <c r="D3100" s="265" t="s">
        <v>20163</v>
      </c>
      <c r="E3100" s="262" t="s">
        <v>207</v>
      </c>
    </row>
    <row r="3101" spans="1:5" ht="30">
      <c r="A3101" s="261">
        <v>37530</v>
      </c>
      <c r="B3101" s="261" t="s">
        <v>7243</v>
      </c>
      <c r="C3101" s="261" t="s">
        <v>3240</v>
      </c>
      <c r="D3101" s="265" t="s">
        <v>20164</v>
      </c>
      <c r="E3101" s="262" t="s">
        <v>207</v>
      </c>
    </row>
    <row r="3102" spans="1:5" ht="45">
      <c r="A3102" s="261">
        <v>21034</v>
      </c>
      <c r="B3102" s="261" t="s">
        <v>7244</v>
      </c>
      <c r="C3102" s="261" t="s">
        <v>3240</v>
      </c>
      <c r="D3102" s="266" t="s">
        <v>20165</v>
      </c>
      <c r="E3102" s="262" t="s">
        <v>207</v>
      </c>
    </row>
    <row r="3103" spans="1:5" ht="30">
      <c r="A3103" s="261">
        <v>37531</v>
      </c>
      <c r="B3103" s="261" t="s">
        <v>7245</v>
      </c>
      <c r="C3103" s="261" t="s">
        <v>3240</v>
      </c>
      <c r="D3103" s="266" t="s">
        <v>20166</v>
      </c>
      <c r="E3103" s="262" t="s">
        <v>207</v>
      </c>
    </row>
    <row r="3104" spans="1:5" ht="45">
      <c r="A3104" s="261">
        <v>21036</v>
      </c>
      <c r="B3104" s="261" t="s">
        <v>7246</v>
      </c>
      <c r="C3104" s="261" t="s">
        <v>3240</v>
      </c>
      <c r="D3104" s="266" t="s">
        <v>20167</v>
      </c>
      <c r="E3104" s="262" t="s">
        <v>207</v>
      </c>
    </row>
    <row r="3105" spans="1:5" ht="45">
      <c r="A3105" s="261">
        <v>21037</v>
      </c>
      <c r="B3105" s="261" t="s">
        <v>7247</v>
      </c>
      <c r="C3105" s="261" t="s">
        <v>3240</v>
      </c>
      <c r="D3105" s="266" t="s">
        <v>20168</v>
      </c>
      <c r="E3105" s="262" t="s">
        <v>207</v>
      </c>
    </row>
    <row r="3106" spans="1:5" ht="30">
      <c r="A3106" s="261">
        <v>20185</v>
      </c>
      <c r="B3106" s="261" t="s">
        <v>7248</v>
      </c>
      <c r="C3106" s="261" t="s">
        <v>3243</v>
      </c>
      <c r="D3106" s="266" t="s">
        <v>11124</v>
      </c>
      <c r="E3106" s="262" t="s">
        <v>207</v>
      </c>
    </row>
    <row r="3107" spans="1:5" ht="30">
      <c r="A3107" s="261">
        <v>20260</v>
      </c>
      <c r="B3107" s="261" t="s">
        <v>7249</v>
      </c>
      <c r="C3107" s="261" t="s">
        <v>3240</v>
      </c>
      <c r="D3107" s="266" t="s">
        <v>15976</v>
      </c>
      <c r="E3107" s="262" t="s">
        <v>207</v>
      </c>
    </row>
    <row r="3108" spans="1:5" ht="30">
      <c r="A3108" s="261">
        <v>37523</v>
      </c>
      <c r="B3108" s="261" t="s">
        <v>7250</v>
      </c>
      <c r="C3108" s="261" t="s">
        <v>3240</v>
      </c>
      <c r="D3108" s="265" t="s">
        <v>20169</v>
      </c>
      <c r="E3108" s="262" t="s">
        <v>8987</v>
      </c>
    </row>
    <row r="3109" spans="1:5" ht="30">
      <c r="A3109" s="261">
        <v>37515</v>
      </c>
      <c r="B3109" s="261" t="s">
        <v>7251</v>
      </c>
      <c r="C3109" s="261" t="s">
        <v>3240</v>
      </c>
      <c r="D3109" s="266" t="s">
        <v>20170</v>
      </c>
      <c r="E3109" s="262" t="s">
        <v>8987</v>
      </c>
    </row>
    <row r="3110" spans="1:5" ht="30">
      <c r="A3110" s="261">
        <v>12899</v>
      </c>
      <c r="B3110" s="261" t="s">
        <v>7252</v>
      </c>
      <c r="C3110" s="261" t="s">
        <v>3240</v>
      </c>
      <c r="D3110" s="266" t="s">
        <v>20171</v>
      </c>
      <c r="E3110" s="262" t="s">
        <v>207</v>
      </c>
    </row>
    <row r="3111" spans="1:5" ht="30">
      <c r="A3111" s="261">
        <v>12898</v>
      </c>
      <c r="B3111" s="261" t="s">
        <v>7253</v>
      </c>
      <c r="C3111" s="261" t="s">
        <v>3240</v>
      </c>
      <c r="D3111" s="266" t="s">
        <v>16533</v>
      </c>
      <c r="E3111" s="262" t="s">
        <v>207</v>
      </c>
    </row>
    <row r="3112" spans="1:5" ht="15">
      <c r="A3112" s="261">
        <v>42528</v>
      </c>
      <c r="B3112" s="261" t="s">
        <v>7254</v>
      </c>
      <c r="C3112" s="261" t="s">
        <v>3242</v>
      </c>
      <c r="D3112" s="266" t="s">
        <v>16044</v>
      </c>
      <c r="E3112" s="262" t="s">
        <v>207</v>
      </c>
    </row>
    <row r="3113" spans="1:5" ht="15">
      <c r="A3113" s="261">
        <v>39696</v>
      </c>
      <c r="B3113" s="261" t="s">
        <v>7255</v>
      </c>
      <c r="C3113" s="261" t="s">
        <v>3242</v>
      </c>
      <c r="D3113" s="266" t="s">
        <v>11323</v>
      </c>
      <c r="E3113" s="262" t="s">
        <v>207</v>
      </c>
    </row>
    <row r="3114" spans="1:5" ht="15">
      <c r="A3114" s="261">
        <v>39700</v>
      </c>
      <c r="B3114" s="261" t="s">
        <v>7256</v>
      </c>
      <c r="C3114" s="261" t="s">
        <v>3242</v>
      </c>
      <c r="D3114" s="266" t="s">
        <v>10549</v>
      </c>
      <c r="E3114" s="262" t="s">
        <v>207</v>
      </c>
    </row>
    <row r="3115" spans="1:5" ht="30">
      <c r="A3115" s="261">
        <v>11621</v>
      </c>
      <c r="B3115" s="261" t="s">
        <v>7257</v>
      </c>
      <c r="C3115" s="261" t="s">
        <v>3242</v>
      </c>
      <c r="D3115" s="266" t="s">
        <v>20172</v>
      </c>
      <c r="E3115" s="262" t="s">
        <v>207</v>
      </c>
    </row>
    <row r="3116" spans="1:5" ht="30">
      <c r="A3116" s="261">
        <v>4014</v>
      </c>
      <c r="B3116" s="261" t="s">
        <v>7258</v>
      </c>
      <c r="C3116" s="261" t="s">
        <v>3242</v>
      </c>
      <c r="D3116" s="266" t="s">
        <v>20173</v>
      </c>
      <c r="E3116" s="262" t="s">
        <v>207</v>
      </c>
    </row>
    <row r="3117" spans="1:5" ht="30">
      <c r="A3117" s="261">
        <v>4015</v>
      </c>
      <c r="B3117" s="261" t="s">
        <v>7259</v>
      </c>
      <c r="C3117" s="261" t="s">
        <v>3242</v>
      </c>
      <c r="D3117" s="265" t="s">
        <v>12445</v>
      </c>
      <c r="E3117" s="262" t="s">
        <v>207</v>
      </c>
    </row>
    <row r="3118" spans="1:5" ht="30">
      <c r="A3118" s="261">
        <v>4017</v>
      </c>
      <c r="B3118" s="261" t="s">
        <v>7260</v>
      </c>
      <c r="C3118" s="261" t="s">
        <v>3242</v>
      </c>
      <c r="D3118" s="265" t="s">
        <v>14154</v>
      </c>
      <c r="E3118" s="262" t="s">
        <v>207</v>
      </c>
    </row>
    <row r="3119" spans="1:5" ht="30">
      <c r="A3119" s="261">
        <v>4016</v>
      </c>
      <c r="B3119" s="261" t="s">
        <v>7261</v>
      </c>
      <c r="C3119" s="261" t="s">
        <v>3242</v>
      </c>
      <c r="D3119" s="265" t="s">
        <v>11128</v>
      </c>
      <c r="E3119" s="262" t="s">
        <v>207</v>
      </c>
    </row>
    <row r="3120" spans="1:5" ht="15">
      <c r="A3120" s="261">
        <v>39699</v>
      </c>
      <c r="B3120" s="261" t="s">
        <v>7262</v>
      </c>
      <c r="C3120" s="261" t="s">
        <v>3242</v>
      </c>
      <c r="D3120" s="265" t="s">
        <v>16071</v>
      </c>
      <c r="E3120" s="262" t="s">
        <v>207</v>
      </c>
    </row>
    <row r="3121" spans="1:5" ht="15">
      <c r="A3121" s="261">
        <v>38544</v>
      </c>
      <c r="B3121" s="261" t="s">
        <v>7263</v>
      </c>
      <c r="C3121" s="261" t="s">
        <v>3242</v>
      </c>
      <c r="D3121" s="265" t="s">
        <v>10475</v>
      </c>
      <c r="E3121" s="262" t="s">
        <v>207</v>
      </c>
    </row>
    <row r="3122" spans="1:5" ht="15">
      <c r="A3122" s="261">
        <v>38545</v>
      </c>
      <c r="B3122" s="261" t="s">
        <v>7264</v>
      </c>
      <c r="C3122" s="261" t="s">
        <v>3242</v>
      </c>
      <c r="D3122" s="265" t="s">
        <v>9753</v>
      </c>
      <c r="E3122" s="262" t="s">
        <v>207</v>
      </c>
    </row>
    <row r="3123" spans="1:5" ht="30">
      <c r="A3123" s="261">
        <v>42527</v>
      </c>
      <c r="B3123" s="261" t="s">
        <v>7265</v>
      </c>
      <c r="C3123" s="261" t="s">
        <v>3242</v>
      </c>
      <c r="D3123" s="265" t="s">
        <v>16025</v>
      </c>
      <c r="E3123" s="262" t="s">
        <v>207</v>
      </c>
    </row>
    <row r="3124" spans="1:5" ht="30">
      <c r="A3124" s="261">
        <v>39323</v>
      </c>
      <c r="B3124" s="261" t="s">
        <v>7266</v>
      </c>
      <c r="C3124" s="261" t="s">
        <v>3242</v>
      </c>
      <c r="D3124" s="265" t="s">
        <v>10658</v>
      </c>
      <c r="E3124" s="262" t="s">
        <v>207</v>
      </c>
    </row>
    <row r="3125" spans="1:5" ht="45">
      <c r="A3125" s="261">
        <v>626</v>
      </c>
      <c r="B3125" s="261" t="s">
        <v>7267</v>
      </c>
      <c r="C3125" s="261" t="s">
        <v>3244</v>
      </c>
      <c r="D3125" s="265" t="s">
        <v>18813</v>
      </c>
      <c r="E3125" s="262" t="s">
        <v>207</v>
      </c>
    </row>
    <row r="3126" spans="1:5" ht="15">
      <c r="A3126" s="261">
        <v>25860</v>
      </c>
      <c r="B3126" s="261" t="s">
        <v>7268</v>
      </c>
      <c r="C3126" s="261" t="s">
        <v>3242</v>
      </c>
      <c r="D3126" s="265" t="s">
        <v>11334</v>
      </c>
      <c r="E3126" s="262" t="s">
        <v>207</v>
      </c>
    </row>
    <row r="3127" spans="1:5" ht="15">
      <c r="A3127" s="261">
        <v>25861</v>
      </c>
      <c r="B3127" s="261" t="s">
        <v>7269</v>
      </c>
      <c r="C3127" s="261" t="s">
        <v>3242</v>
      </c>
      <c r="D3127" s="265" t="s">
        <v>19274</v>
      </c>
      <c r="E3127" s="262" t="s">
        <v>207</v>
      </c>
    </row>
    <row r="3128" spans="1:5" ht="15">
      <c r="A3128" s="261">
        <v>25862</v>
      </c>
      <c r="B3128" s="261" t="s">
        <v>7270</v>
      </c>
      <c r="C3128" s="261" t="s">
        <v>3242</v>
      </c>
      <c r="D3128" s="265" t="s">
        <v>14131</v>
      </c>
      <c r="E3128" s="262" t="s">
        <v>207</v>
      </c>
    </row>
    <row r="3129" spans="1:5" ht="15">
      <c r="A3129" s="261">
        <v>25863</v>
      </c>
      <c r="B3129" s="261" t="s">
        <v>7271</v>
      </c>
      <c r="C3129" s="261" t="s">
        <v>3242</v>
      </c>
      <c r="D3129" s="265" t="s">
        <v>10270</v>
      </c>
      <c r="E3129" s="262" t="s">
        <v>207</v>
      </c>
    </row>
    <row r="3130" spans="1:5" ht="15">
      <c r="A3130" s="261">
        <v>25864</v>
      </c>
      <c r="B3130" s="261" t="s">
        <v>7272</v>
      </c>
      <c r="C3130" s="261" t="s">
        <v>3242</v>
      </c>
      <c r="D3130" s="265" t="s">
        <v>12269</v>
      </c>
      <c r="E3130" s="262" t="s">
        <v>207</v>
      </c>
    </row>
    <row r="3131" spans="1:5" ht="15">
      <c r="A3131" s="261">
        <v>25865</v>
      </c>
      <c r="B3131" s="261" t="s">
        <v>7273</v>
      </c>
      <c r="C3131" s="261" t="s">
        <v>3242</v>
      </c>
      <c r="D3131" s="265" t="s">
        <v>20174</v>
      </c>
      <c r="E3131" s="262" t="s">
        <v>207</v>
      </c>
    </row>
    <row r="3132" spans="1:5" ht="15">
      <c r="A3132" s="261">
        <v>25866</v>
      </c>
      <c r="B3132" s="261" t="s">
        <v>7274</v>
      </c>
      <c r="C3132" s="261" t="s">
        <v>3242</v>
      </c>
      <c r="D3132" s="265" t="s">
        <v>16403</v>
      </c>
      <c r="E3132" s="262" t="s">
        <v>207</v>
      </c>
    </row>
    <row r="3133" spans="1:5" ht="30">
      <c r="A3133" s="261">
        <v>25868</v>
      </c>
      <c r="B3133" s="261" t="s">
        <v>7275</v>
      </c>
      <c r="C3133" s="261" t="s">
        <v>3242</v>
      </c>
      <c r="D3133" s="265" t="s">
        <v>12367</v>
      </c>
      <c r="E3133" s="262" t="s">
        <v>207</v>
      </c>
    </row>
    <row r="3134" spans="1:5" ht="30">
      <c r="A3134" s="261">
        <v>25869</v>
      </c>
      <c r="B3134" s="261" t="s">
        <v>7276</v>
      </c>
      <c r="C3134" s="261" t="s">
        <v>3242</v>
      </c>
      <c r="D3134" s="266" t="s">
        <v>9948</v>
      </c>
      <c r="E3134" s="262" t="s">
        <v>207</v>
      </c>
    </row>
    <row r="3135" spans="1:5" ht="30">
      <c r="A3135" s="261">
        <v>25870</v>
      </c>
      <c r="B3135" s="261" t="s">
        <v>7277</v>
      </c>
      <c r="C3135" s="261" t="s">
        <v>3242</v>
      </c>
      <c r="D3135" s="266" t="s">
        <v>16048</v>
      </c>
      <c r="E3135" s="262" t="s">
        <v>207</v>
      </c>
    </row>
    <row r="3136" spans="1:5" ht="30">
      <c r="A3136" s="261">
        <v>25871</v>
      </c>
      <c r="B3136" s="261" t="s">
        <v>7278</v>
      </c>
      <c r="C3136" s="261" t="s">
        <v>3242</v>
      </c>
      <c r="D3136" s="266" t="s">
        <v>19801</v>
      </c>
      <c r="E3136" s="262" t="s">
        <v>207</v>
      </c>
    </row>
    <row r="3137" spans="1:5" ht="30">
      <c r="A3137" s="261">
        <v>25867</v>
      </c>
      <c r="B3137" s="261" t="s">
        <v>7279</v>
      </c>
      <c r="C3137" s="261" t="s">
        <v>3242</v>
      </c>
      <c r="D3137" s="265" t="s">
        <v>20175</v>
      </c>
      <c r="E3137" s="262" t="s">
        <v>207</v>
      </c>
    </row>
    <row r="3138" spans="1:5" ht="30">
      <c r="A3138" s="261">
        <v>25872</v>
      </c>
      <c r="B3138" s="261" t="s">
        <v>7280</v>
      </c>
      <c r="C3138" s="261" t="s">
        <v>3242</v>
      </c>
      <c r="D3138" s="265" t="s">
        <v>16562</v>
      </c>
      <c r="E3138" s="262" t="s">
        <v>207</v>
      </c>
    </row>
    <row r="3139" spans="1:5" ht="30">
      <c r="A3139" s="261">
        <v>25873</v>
      </c>
      <c r="B3139" s="261" t="s">
        <v>7281</v>
      </c>
      <c r="C3139" s="261" t="s">
        <v>3242</v>
      </c>
      <c r="D3139" s="265" t="s">
        <v>16066</v>
      </c>
      <c r="E3139" s="262" t="s">
        <v>207</v>
      </c>
    </row>
    <row r="3140" spans="1:5" ht="15">
      <c r="A3140" s="261">
        <v>11479</v>
      </c>
      <c r="B3140" s="261" t="s">
        <v>11866</v>
      </c>
      <c r="C3140" s="261" t="s">
        <v>3240</v>
      </c>
      <c r="D3140" s="265" t="s">
        <v>20176</v>
      </c>
      <c r="E3140" s="262" t="s">
        <v>207</v>
      </c>
    </row>
    <row r="3141" spans="1:5" ht="15">
      <c r="A3141" s="261">
        <v>11481</v>
      </c>
      <c r="B3141" s="261" t="s">
        <v>11867</v>
      </c>
      <c r="C3141" s="261" t="s">
        <v>3240</v>
      </c>
      <c r="D3141" s="265" t="s">
        <v>20177</v>
      </c>
      <c r="E3141" s="262" t="s">
        <v>207</v>
      </c>
    </row>
    <row r="3142" spans="1:5" ht="15">
      <c r="A3142" s="261">
        <v>43609</v>
      </c>
      <c r="B3142" s="261" t="s">
        <v>11868</v>
      </c>
      <c r="C3142" s="261" t="s">
        <v>3240</v>
      </c>
      <c r="D3142" s="265" t="s">
        <v>20177</v>
      </c>
      <c r="E3142" s="262" t="s">
        <v>207</v>
      </c>
    </row>
    <row r="3143" spans="1:5" ht="15">
      <c r="A3143" s="261">
        <v>11478</v>
      </c>
      <c r="B3143" s="261" t="s">
        <v>11869</v>
      </c>
      <c r="C3143" s="261" t="s">
        <v>3240</v>
      </c>
      <c r="D3143" s="265" t="s">
        <v>15834</v>
      </c>
      <c r="E3143" s="262" t="s">
        <v>207</v>
      </c>
    </row>
    <row r="3144" spans="1:5" ht="15">
      <c r="A3144" s="261">
        <v>43608</v>
      </c>
      <c r="B3144" s="261" t="s">
        <v>11870</v>
      </c>
      <c r="C3144" s="261" t="s">
        <v>3240</v>
      </c>
      <c r="D3144" s="265" t="s">
        <v>20178</v>
      </c>
      <c r="E3144" s="262" t="s">
        <v>207</v>
      </c>
    </row>
    <row r="3145" spans="1:5" ht="15">
      <c r="A3145" s="261">
        <v>11476</v>
      </c>
      <c r="B3145" s="261" t="s">
        <v>11871</v>
      </c>
      <c r="C3145" s="261" t="s">
        <v>3240</v>
      </c>
      <c r="D3145" s="265" t="s">
        <v>20178</v>
      </c>
      <c r="E3145" s="262" t="s">
        <v>207</v>
      </c>
    </row>
    <row r="3146" spans="1:5" ht="30">
      <c r="A3146" s="261">
        <v>40637</v>
      </c>
      <c r="B3146" s="261" t="s">
        <v>7282</v>
      </c>
      <c r="C3146" s="261" t="s">
        <v>3240</v>
      </c>
      <c r="D3146" s="265" t="s">
        <v>20179</v>
      </c>
      <c r="E3146" s="262" t="s">
        <v>8987</v>
      </c>
    </row>
    <row r="3147" spans="1:5" ht="30">
      <c r="A3147" s="261">
        <v>13836</v>
      </c>
      <c r="B3147" s="261" t="s">
        <v>7283</v>
      </c>
      <c r="C3147" s="261" t="s">
        <v>3240</v>
      </c>
      <c r="D3147" s="265" t="s">
        <v>20180</v>
      </c>
      <c r="E3147" s="264" t="s">
        <v>8987</v>
      </c>
    </row>
    <row r="3148" spans="1:5" ht="45">
      <c r="A3148" s="261">
        <v>14534</v>
      </c>
      <c r="B3148" s="261" t="s">
        <v>7284</v>
      </c>
      <c r="C3148" s="261" t="s">
        <v>3240</v>
      </c>
      <c r="D3148" s="265" t="s">
        <v>20181</v>
      </c>
      <c r="E3148" s="264" t="s">
        <v>8987</v>
      </c>
    </row>
    <row r="3149" spans="1:5" ht="30">
      <c r="A3149" s="261">
        <v>14619</v>
      </c>
      <c r="B3149" s="261" t="s">
        <v>7285</v>
      </c>
      <c r="C3149" s="261" t="s">
        <v>3240</v>
      </c>
      <c r="D3149" s="265" t="s">
        <v>20182</v>
      </c>
      <c r="E3149" s="262" t="s">
        <v>8987</v>
      </c>
    </row>
    <row r="3150" spans="1:5" ht="45">
      <c r="A3150" s="261">
        <v>14535</v>
      </c>
      <c r="B3150" s="261" t="s">
        <v>7286</v>
      </c>
      <c r="C3150" s="261" t="s">
        <v>3240</v>
      </c>
      <c r="D3150" s="265" t="s">
        <v>20183</v>
      </c>
      <c r="E3150" s="262" t="s">
        <v>8987</v>
      </c>
    </row>
    <row r="3151" spans="1:5" ht="60">
      <c r="A3151" s="261">
        <v>39813</v>
      </c>
      <c r="B3151" s="261" t="s">
        <v>7287</v>
      </c>
      <c r="C3151" s="261" t="s">
        <v>3240</v>
      </c>
      <c r="D3151" s="265" t="s">
        <v>20184</v>
      </c>
      <c r="E3151" s="262" t="s">
        <v>8987</v>
      </c>
    </row>
    <row r="3152" spans="1:5" ht="45">
      <c r="A3152" s="261">
        <v>40403</v>
      </c>
      <c r="B3152" s="261" t="s">
        <v>7288</v>
      </c>
      <c r="C3152" s="261" t="s">
        <v>3240</v>
      </c>
      <c r="D3152" s="265" t="s">
        <v>16589</v>
      </c>
      <c r="E3152" s="262" t="s">
        <v>207</v>
      </c>
    </row>
    <row r="3153" spans="1:5" ht="15">
      <c r="A3153" s="261">
        <v>12868</v>
      </c>
      <c r="B3153" s="261" t="s">
        <v>7289</v>
      </c>
      <c r="C3153" s="261" t="s">
        <v>3239</v>
      </c>
      <c r="D3153" s="265" t="s">
        <v>9733</v>
      </c>
      <c r="E3153" s="262" t="s">
        <v>9714</v>
      </c>
    </row>
    <row r="3154" spans="1:5" ht="15">
      <c r="A3154" s="261">
        <v>40916</v>
      </c>
      <c r="B3154" s="261" t="s">
        <v>7290</v>
      </c>
      <c r="C3154" s="261" t="s">
        <v>3246</v>
      </c>
      <c r="D3154" s="265" t="s">
        <v>20185</v>
      </c>
      <c r="E3154" s="262" t="s">
        <v>9714</v>
      </c>
    </row>
    <row r="3155" spans="1:5" ht="15">
      <c r="A3155" s="261">
        <v>4755</v>
      </c>
      <c r="B3155" s="261" t="s">
        <v>7291</v>
      </c>
      <c r="C3155" s="261" t="s">
        <v>3239</v>
      </c>
      <c r="D3155" s="265" t="s">
        <v>15847</v>
      </c>
      <c r="E3155" s="262" t="s">
        <v>9714</v>
      </c>
    </row>
    <row r="3156" spans="1:5" ht="15">
      <c r="A3156" s="261">
        <v>41067</v>
      </c>
      <c r="B3156" s="261" t="s">
        <v>7292</v>
      </c>
      <c r="C3156" s="261" t="s">
        <v>3246</v>
      </c>
      <c r="D3156" s="265" t="s">
        <v>20186</v>
      </c>
      <c r="E3156" s="262" t="s">
        <v>9714</v>
      </c>
    </row>
    <row r="3157" spans="1:5" ht="15">
      <c r="A3157" s="261">
        <v>38463</v>
      </c>
      <c r="B3157" s="261" t="s">
        <v>7293</v>
      </c>
      <c r="C3157" s="261" t="s">
        <v>3240</v>
      </c>
      <c r="D3157" s="265" t="s">
        <v>12238</v>
      </c>
      <c r="E3157" s="262" t="s">
        <v>207</v>
      </c>
    </row>
    <row r="3158" spans="1:5" ht="30">
      <c r="A3158" s="261">
        <v>40703</v>
      </c>
      <c r="B3158" s="261" t="s">
        <v>7294</v>
      </c>
      <c r="C3158" s="261" t="s">
        <v>3240</v>
      </c>
      <c r="D3158" s="265" t="s">
        <v>20187</v>
      </c>
      <c r="E3158" s="262" t="s">
        <v>8987</v>
      </c>
    </row>
    <row r="3159" spans="1:5" ht="30">
      <c r="A3159" s="261">
        <v>14531</v>
      </c>
      <c r="B3159" s="261" t="s">
        <v>7295</v>
      </c>
      <c r="C3159" s="261" t="s">
        <v>3240</v>
      </c>
      <c r="D3159" s="266" t="s">
        <v>20188</v>
      </c>
      <c r="E3159" s="262" t="s">
        <v>8987</v>
      </c>
    </row>
    <row r="3160" spans="1:5" ht="30">
      <c r="A3160" s="261">
        <v>36533</v>
      </c>
      <c r="B3160" s="261" t="s">
        <v>7296</v>
      </c>
      <c r="C3160" s="261" t="s">
        <v>3240</v>
      </c>
      <c r="D3160" s="265" t="s">
        <v>20189</v>
      </c>
      <c r="E3160" s="262" t="s">
        <v>8987</v>
      </c>
    </row>
    <row r="3161" spans="1:5" ht="15">
      <c r="A3161" s="261">
        <v>11616</v>
      </c>
      <c r="B3161" s="261" t="s">
        <v>7297</v>
      </c>
      <c r="C3161" s="261" t="s">
        <v>3240</v>
      </c>
      <c r="D3161" s="266" t="s">
        <v>20190</v>
      </c>
      <c r="E3161" s="262" t="s">
        <v>8987</v>
      </c>
    </row>
    <row r="3162" spans="1:5" ht="15">
      <c r="A3162" s="261">
        <v>41898</v>
      </c>
      <c r="B3162" s="261" t="s">
        <v>7298</v>
      </c>
      <c r="C3162" s="261" t="s">
        <v>3240</v>
      </c>
      <c r="D3162" s="265" t="s">
        <v>20191</v>
      </c>
      <c r="E3162" s="262" t="s">
        <v>8987</v>
      </c>
    </row>
    <row r="3163" spans="1:5" ht="30">
      <c r="A3163" s="261">
        <v>13447</v>
      </c>
      <c r="B3163" s="261" t="s">
        <v>7299</v>
      </c>
      <c r="C3163" s="261" t="s">
        <v>3240</v>
      </c>
      <c r="D3163" s="265" t="s">
        <v>20192</v>
      </c>
      <c r="E3163" s="262" t="s">
        <v>8987</v>
      </c>
    </row>
    <row r="3164" spans="1:5" ht="15">
      <c r="A3164" s="261">
        <v>14529</v>
      </c>
      <c r="B3164" s="261" t="s">
        <v>7300</v>
      </c>
      <c r="C3164" s="261" t="s">
        <v>3240</v>
      </c>
      <c r="D3164" s="265" t="s">
        <v>20193</v>
      </c>
      <c r="E3164" s="262" t="s">
        <v>8987</v>
      </c>
    </row>
    <row r="3165" spans="1:5" ht="15">
      <c r="A3165" s="261">
        <v>10747</v>
      </c>
      <c r="B3165" s="261" t="s">
        <v>7301</v>
      </c>
      <c r="C3165" s="261" t="s">
        <v>3240</v>
      </c>
      <c r="D3165" s="265" t="s">
        <v>20194</v>
      </c>
      <c r="E3165" s="262" t="s">
        <v>8987</v>
      </c>
    </row>
    <row r="3166" spans="1:5" ht="30">
      <c r="A3166" s="261">
        <v>36141</v>
      </c>
      <c r="B3166" s="261" t="s">
        <v>7302</v>
      </c>
      <c r="C3166" s="261" t="s">
        <v>3240</v>
      </c>
      <c r="D3166" s="265" t="s">
        <v>10596</v>
      </c>
      <c r="E3166" s="262" t="s">
        <v>207</v>
      </c>
    </row>
    <row r="3167" spans="1:5" ht="30">
      <c r="A3167" s="261">
        <v>39434</v>
      </c>
      <c r="B3167" s="261" t="s">
        <v>11872</v>
      </c>
      <c r="C3167" s="261" t="s">
        <v>3244</v>
      </c>
      <c r="D3167" s="265" t="s">
        <v>19273</v>
      </c>
      <c r="E3167" s="262" t="s">
        <v>207</v>
      </c>
    </row>
    <row r="3168" spans="1:5" ht="30">
      <c r="A3168" s="261">
        <v>39433</v>
      </c>
      <c r="B3168" s="261" t="s">
        <v>7303</v>
      </c>
      <c r="C3168" s="261" t="s">
        <v>3244</v>
      </c>
      <c r="D3168" s="265" t="s">
        <v>11561</v>
      </c>
      <c r="E3168" s="262" t="s">
        <v>207</v>
      </c>
    </row>
    <row r="3169" spans="1:5" ht="15">
      <c r="A3169" s="261">
        <v>4049</v>
      </c>
      <c r="B3169" s="261" t="s">
        <v>7304</v>
      </c>
      <c r="C3169" s="261" t="s">
        <v>3245</v>
      </c>
      <c r="D3169" s="266" t="s">
        <v>20195</v>
      </c>
      <c r="E3169" s="262" t="s">
        <v>207</v>
      </c>
    </row>
    <row r="3170" spans="1:5" ht="15">
      <c r="A3170" s="261">
        <v>38120</v>
      </c>
      <c r="B3170" s="261" t="s">
        <v>7305</v>
      </c>
      <c r="C3170" s="261" t="s">
        <v>3244</v>
      </c>
      <c r="D3170" s="266" t="s">
        <v>20196</v>
      </c>
      <c r="E3170" s="262" t="s">
        <v>207</v>
      </c>
    </row>
    <row r="3171" spans="1:5" ht="15">
      <c r="A3171" s="261">
        <v>38877</v>
      </c>
      <c r="B3171" s="261" t="s">
        <v>7306</v>
      </c>
      <c r="C3171" s="261" t="s">
        <v>3244</v>
      </c>
      <c r="D3171" s="266" t="s">
        <v>10198</v>
      </c>
      <c r="E3171" s="262" t="s">
        <v>207</v>
      </c>
    </row>
    <row r="3172" spans="1:5" ht="30">
      <c r="A3172" s="261">
        <v>34546</v>
      </c>
      <c r="B3172" s="261" t="s">
        <v>7307</v>
      </c>
      <c r="C3172" s="261" t="s">
        <v>3244</v>
      </c>
      <c r="D3172" s="266" t="s">
        <v>11412</v>
      </c>
      <c r="E3172" s="262" t="s">
        <v>207</v>
      </c>
    </row>
    <row r="3173" spans="1:5" ht="15">
      <c r="A3173" s="261">
        <v>10498</v>
      </c>
      <c r="B3173" s="261" t="s">
        <v>7308</v>
      </c>
      <c r="C3173" s="261" t="s">
        <v>3244</v>
      </c>
      <c r="D3173" s="266" t="s">
        <v>16334</v>
      </c>
      <c r="E3173" s="262" t="s">
        <v>207</v>
      </c>
    </row>
    <row r="3174" spans="1:5" ht="15">
      <c r="A3174" s="261">
        <v>4823</v>
      </c>
      <c r="B3174" s="261" t="s">
        <v>7309</v>
      </c>
      <c r="C3174" s="261" t="s">
        <v>3244</v>
      </c>
      <c r="D3174" s="265" t="s">
        <v>16023</v>
      </c>
      <c r="E3174" s="262" t="s">
        <v>207</v>
      </c>
    </row>
    <row r="3175" spans="1:5" ht="15">
      <c r="A3175" s="261">
        <v>12357</v>
      </c>
      <c r="B3175" s="261" t="s">
        <v>7310</v>
      </c>
      <c r="C3175" s="261" t="s">
        <v>3240</v>
      </c>
      <c r="D3175" s="265" t="s">
        <v>20197</v>
      </c>
      <c r="E3175" s="262" t="s">
        <v>207</v>
      </c>
    </row>
    <row r="3176" spans="1:5" ht="15">
      <c r="A3176" s="261">
        <v>12358</v>
      </c>
      <c r="B3176" s="261" t="s">
        <v>7311</v>
      </c>
      <c r="C3176" s="261" t="s">
        <v>3240</v>
      </c>
      <c r="D3176" s="265" t="s">
        <v>15981</v>
      </c>
      <c r="E3176" s="262" t="s">
        <v>207</v>
      </c>
    </row>
    <row r="3177" spans="1:5" ht="30">
      <c r="A3177" s="261">
        <v>11079</v>
      </c>
      <c r="B3177" s="261" t="s">
        <v>7312</v>
      </c>
      <c r="C3177" s="261" t="s">
        <v>3241</v>
      </c>
      <c r="D3177" s="265" t="s">
        <v>16590</v>
      </c>
      <c r="E3177" s="262" t="s">
        <v>207</v>
      </c>
    </row>
    <row r="3178" spans="1:5" ht="30">
      <c r="A3178" s="261">
        <v>11082</v>
      </c>
      <c r="B3178" s="261" t="s">
        <v>7313</v>
      </c>
      <c r="C3178" s="261" t="s">
        <v>3241</v>
      </c>
      <c r="D3178" s="266" t="s">
        <v>16590</v>
      </c>
      <c r="E3178" s="262" t="s">
        <v>207</v>
      </c>
    </row>
    <row r="3179" spans="1:5" ht="15">
      <c r="A3179" s="261">
        <v>4058</v>
      </c>
      <c r="B3179" s="261" t="s">
        <v>7314</v>
      </c>
      <c r="C3179" s="261" t="s">
        <v>3239</v>
      </c>
      <c r="D3179" s="266" t="s">
        <v>20198</v>
      </c>
      <c r="E3179" s="262" t="s">
        <v>9714</v>
      </c>
    </row>
    <row r="3180" spans="1:5" ht="15">
      <c r="A3180" s="261">
        <v>40974</v>
      </c>
      <c r="B3180" s="261" t="s">
        <v>7315</v>
      </c>
      <c r="C3180" s="261" t="s">
        <v>3246</v>
      </c>
      <c r="D3180" s="266" t="s">
        <v>20199</v>
      </c>
      <c r="E3180" s="262" t="s">
        <v>9714</v>
      </c>
    </row>
    <row r="3181" spans="1:5" ht="15">
      <c r="A3181" s="261">
        <v>34794</v>
      </c>
      <c r="B3181" s="261" t="s">
        <v>7316</v>
      </c>
      <c r="C3181" s="261" t="s">
        <v>3239</v>
      </c>
      <c r="D3181" s="265" t="s">
        <v>19162</v>
      </c>
      <c r="E3181" s="262" t="s">
        <v>9714</v>
      </c>
    </row>
    <row r="3182" spans="1:5" ht="15">
      <c r="A3182" s="261">
        <v>40925</v>
      </c>
      <c r="B3182" s="261" t="s">
        <v>7317</v>
      </c>
      <c r="C3182" s="261" t="s">
        <v>3246</v>
      </c>
      <c r="D3182" s="266" t="s">
        <v>20200</v>
      </c>
      <c r="E3182" s="262" t="s">
        <v>9714</v>
      </c>
    </row>
    <row r="3183" spans="1:5" ht="15">
      <c r="A3183" s="261">
        <v>13741</v>
      </c>
      <c r="B3183" s="261" t="s">
        <v>7318</v>
      </c>
      <c r="C3183" s="261" t="s">
        <v>3240</v>
      </c>
      <c r="D3183" s="265" t="s">
        <v>20201</v>
      </c>
      <c r="E3183" s="262" t="s">
        <v>207</v>
      </c>
    </row>
    <row r="3184" spans="1:5" ht="30">
      <c r="A3184" s="261">
        <v>3288</v>
      </c>
      <c r="B3184" s="261" t="s">
        <v>7319</v>
      </c>
      <c r="C3184" s="261" t="s">
        <v>3243</v>
      </c>
      <c r="D3184" s="265" t="s">
        <v>11250</v>
      </c>
      <c r="E3184" s="262" t="s">
        <v>207</v>
      </c>
    </row>
    <row r="3185" spans="1:5" ht="30">
      <c r="A3185" s="261">
        <v>13587</v>
      </c>
      <c r="B3185" s="261" t="s">
        <v>7320</v>
      </c>
      <c r="C3185" s="261" t="s">
        <v>3243</v>
      </c>
      <c r="D3185" s="265" t="s">
        <v>10520</v>
      </c>
      <c r="E3185" s="262" t="s">
        <v>207</v>
      </c>
    </row>
    <row r="3186" spans="1:5" ht="15">
      <c r="A3186" s="261">
        <v>38598</v>
      </c>
      <c r="B3186" s="261" t="s">
        <v>11873</v>
      </c>
      <c r="C3186" s="261" t="s">
        <v>3240</v>
      </c>
      <c r="D3186" s="265" t="s">
        <v>11069</v>
      </c>
      <c r="E3186" s="262" t="s">
        <v>207</v>
      </c>
    </row>
    <row r="3187" spans="1:5" ht="15">
      <c r="A3187" s="261">
        <v>38595</v>
      </c>
      <c r="B3187" s="261" t="s">
        <v>11874</v>
      </c>
      <c r="C3187" s="261" t="s">
        <v>3240</v>
      </c>
      <c r="D3187" s="265" t="s">
        <v>11366</v>
      </c>
      <c r="E3187" s="262" t="s">
        <v>207</v>
      </c>
    </row>
    <row r="3188" spans="1:5" ht="15">
      <c r="A3188" s="261">
        <v>38592</v>
      </c>
      <c r="B3188" s="261" t="s">
        <v>11875</v>
      </c>
      <c r="C3188" s="261" t="s">
        <v>3240</v>
      </c>
      <c r="D3188" s="266" t="s">
        <v>11483</v>
      </c>
      <c r="E3188" s="262" t="s">
        <v>207</v>
      </c>
    </row>
    <row r="3189" spans="1:5" ht="15">
      <c r="A3189" s="261">
        <v>38588</v>
      </c>
      <c r="B3189" s="261" t="s">
        <v>11876</v>
      </c>
      <c r="C3189" s="261" t="s">
        <v>3240</v>
      </c>
      <c r="D3189" s="265" t="s">
        <v>9796</v>
      </c>
      <c r="E3189" s="262" t="s">
        <v>207</v>
      </c>
    </row>
    <row r="3190" spans="1:5" ht="15">
      <c r="A3190" s="261">
        <v>38593</v>
      </c>
      <c r="B3190" s="261" t="s">
        <v>11877</v>
      </c>
      <c r="C3190" s="261" t="s">
        <v>3240</v>
      </c>
      <c r="D3190" s="266" t="s">
        <v>9935</v>
      </c>
      <c r="E3190" s="262" t="s">
        <v>207</v>
      </c>
    </row>
    <row r="3191" spans="1:5" ht="15">
      <c r="A3191" s="261">
        <v>38589</v>
      </c>
      <c r="B3191" s="261" t="s">
        <v>11878</v>
      </c>
      <c r="C3191" s="261" t="s">
        <v>3240</v>
      </c>
      <c r="D3191" s="266" t="s">
        <v>10004</v>
      </c>
      <c r="E3191" s="262" t="s">
        <v>207</v>
      </c>
    </row>
    <row r="3192" spans="1:5" ht="15">
      <c r="A3192" s="261">
        <v>38594</v>
      </c>
      <c r="B3192" s="261" t="s">
        <v>11879</v>
      </c>
      <c r="C3192" s="261" t="s">
        <v>3240</v>
      </c>
      <c r="D3192" s="266" t="s">
        <v>9727</v>
      </c>
      <c r="E3192" s="262" t="s">
        <v>207</v>
      </c>
    </row>
    <row r="3193" spans="1:5" ht="30">
      <c r="A3193" s="261">
        <v>34773</v>
      </c>
      <c r="B3193" s="261" t="s">
        <v>11880</v>
      </c>
      <c r="C3193" s="261" t="s">
        <v>3240</v>
      </c>
      <c r="D3193" s="266" t="s">
        <v>11237</v>
      </c>
      <c r="E3193" s="262" t="s">
        <v>207</v>
      </c>
    </row>
    <row r="3194" spans="1:5" ht="30">
      <c r="A3194" s="261">
        <v>34769</v>
      </c>
      <c r="B3194" s="261" t="s">
        <v>11881</v>
      </c>
      <c r="C3194" s="261" t="s">
        <v>3240</v>
      </c>
      <c r="D3194" s="266" t="s">
        <v>11416</v>
      </c>
      <c r="E3194" s="262" t="s">
        <v>207</v>
      </c>
    </row>
    <row r="3195" spans="1:5" ht="30">
      <c r="A3195" s="261">
        <v>34763</v>
      </c>
      <c r="B3195" s="261" t="s">
        <v>11882</v>
      </c>
      <c r="C3195" s="261" t="s">
        <v>3240</v>
      </c>
      <c r="D3195" s="266" t="s">
        <v>19061</v>
      </c>
      <c r="E3195" s="262" t="s">
        <v>207</v>
      </c>
    </row>
    <row r="3196" spans="1:5" ht="15">
      <c r="A3196" s="261">
        <v>34774</v>
      </c>
      <c r="B3196" s="261" t="s">
        <v>11883</v>
      </c>
      <c r="C3196" s="261" t="s">
        <v>3240</v>
      </c>
      <c r="D3196" s="266" t="s">
        <v>19086</v>
      </c>
      <c r="E3196" s="262" t="s">
        <v>207</v>
      </c>
    </row>
    <row r="3197" spans="1:5" ht="15">
      <c r="A3197" s="261">
        <v>34771</v>
      </c>
      <c r="B3197" s="261" t="s">
        <v>11884</v>
      </c>
      <c r="C3197" s="261" t="s">
        <v>3240</v>
      </c>
      <c r="D3197" s="266" t="s">
        <v>16690</v>
      </c>
      <c r="E3197" s="262" t="s">
        <v>207</v>
      </c>
    </row>
    <row r="3198" spans="1:5" ht="15">
      <c r="A3198" s="261">
        <v>34764</v>
      </c>
      <c r="B3198" s="261" t="s">
        <v>11885</v>
      </c>
      <c r="C3198" s="261" t="s">
        <v>3240</v>
      </c>
      <c r="D3198" s="266" t="s">
        <v>10933</v>
      </c>
      <c r="E3198" s="262" t="s">
        <v>207</v>
      </c>
    </row>
    <row r="3199" spans="1:5" ht="15">
      <c r="A3199" s="261">
        <v>34788</v>
      </c>
      <c r="B3199" s="261" t="s">
        <v>7321</v>
      </c>
      <c r="C3199" s="261" t="s">
        <v>3240</v>
      </c>
      <c r="D3199" s="266" t="s">
        <v>11080</v>
      </c>
      <c r="E3199" s="262" t="s">
        <v>207</v>
      </c>
    </row>
    <row r="3200" spans="1:5" ht="15">
      <c r="A3200" s="261">
        <v>34781</v>
      </c>
      <c r="B3200" s="261" t="s">
        <v>7322</v>
      </c>
      <c r="C3200" s="261" t="s">
        <v>3240</v>
      </c>
      <c r="D3200" s="265" t="s">
        <v>10078</v>
      </c>
      <c r="E3200" s="262" t="s">
        <v>207</v>
      </c>
    </row>
    <row r="3201" spans="1:5" ht="30">
      <c r="A3201" s="261">
        <v>41682</v>
      </c>
      <c r="B3201" s="261" t="s">
        <v>11886</v>
      </c>
      <c r="C3201" s="261" t="s">
        <v>3240</v>
      </c>
      <c r="D3201" s="265" t="s">
        <v>16545</v>
      </c>
      <c r="E3201" s="262" t="s">
        <v>207</v>
      </c>
    </row>
    <row r="3202" spans="1:5" ht="30">
      <c r="A3202" s="261">
        <v>41683</v>
      </c>
      <c r="B3202" s="261" t="s">
        <v>11887</v>
      </c>
      <c r="C3202" s="261" t="s">
        <v>3240</v>
      </c>
      <c r="D3202" s="266" t="s">
        <v>20202</v>
      </c>
      <c r="E3202" s="262" t="s">
        <v>207</v>
      </c>
    </row>
    <row r="3203" spans="1:5" ht="30">
      <c r="A3203" s="261">
        <v>41680</v>
      </c>
      <c r="B3203" s="261" t="s">
        <v>11888</v>
      </c>
      <c r="C3203" s="261" t="s">
        <v>3240</v>
      </c>
      <c r="D3203" s="265" t="s">
        <v>10851</v>
      </c>
      <c r="E3203" s="262" t="s">
        <v>207</v>
      </c>
    </row>
    <row r="3204" spans="1:5" ht="30">
      <c r="A3204" s="261">
        <v>41679</v>
      </c>
      <c r="B3204" s="261" t="s">
        <v>11889</v>
      </c>
      <c r="C3204" s="261" t="s">
        <v>3240</v>
      </c>
      <c r="D3204" s="265" t="s">
        <v>11546</v>
      </c>
      <c r="E3204" s="262" t="s">
        <v>207</v>
      </c>
    </row>
    <row r="3205" spans="1:5" ht="30">
      <c r="A3205" s="261">
        <v>41681</v>
      </c>
      <c r="B3205" s="261" t="s">
        <v>11890</v>
      </c>
      <c r="C3205" s="261" t="s">
        <v>3240</v>
      </c>
      <c r="D3205" s="265" t="s">
        <v>15940</v>
      </c>
      <c r="E3205" s="262" t="s">
        <v>207</v>
      </c>
    </row>
    <row r="3206" spans="1:5" ht="30">
      <c r="A3206" s="261">
        <v>43386</v>
      </c>
      <c r="B3206" s="261" t="s">
        <v>11891</v>
      </c>
      <c r="C3206" s="261" t="s">
        <v>3240</v>
      </c>
      <c r="D3206" s="265" t="s">
        <v>20203</v>
      </c>
      <c r="E3206" s="262" t="s">
        <v>207</v>
      </c>
    </row>
    <row r="3207" spans="1:5" ht="30">
      <c r="A3207" s="261">
        <v>4059</v>
      </c>
      <c r="B3207" s="261" t="s">
        <v>11892</v>
      </c>
      <c r="C3207" s="261" t="s">
        <v>3243</v>
      </c>
      <c r="D3207" s="265" t="s">
        <v>16545</v>
      </c>
      <c r="E3207" s="262" t="s">
        <v>207</v>
      </c>
    </row>
    <row r="3208" spans="1:5" ht="15">
      <c r="A3208" s="261">
        <v>4062</v>
      </c>
      <c r="B3208" s="261" t="s">
        <v>7323</v>
      </c>
      <c r="C3208" s="261" t="s">
        <v>3240</v>
      </c>
      <c r="D3208" s="265" t="s">
        <v>16545</v>
      </c>
      <c r="E3208" s="262" t="s">
        <v>207</v>
      </c>
    </row>
    <row r="3209" spans="1:5" ht="30">
      <c r="A3209" s="261">
        <v>4061</v>
      </c>
      <c r="B3209" s="261" t="s">
        <v>11893</v>
      </c>
      <c r="C3209" s="261" t="s">
        <v>3240</v>
      </c>
      <c r="D3209" s="265" t="s">
        <v>20204</v>
      </c>
      <c r="E3209" s="262" t="s">
        <v>207</v>
      </c>
    </row>
    <row r="3210" spans="1:5" ht="30">
      <c r="A3210" s="261">
        <v>41315</v>
      </c>
      <c r="B3210" s="261" t="s">
        <v>9540</v>
      </c>
      <c r="C3210" s="261" t="s">
        <v>3244</v>
      </c>
      <c r="D3210" s="265" t="s">
        <v>20205</v>
      </c>
      <c r="E3210" s="262" t="s">
        <v>207</v>
      </c>
    </row>
    <row r="3211" spans="1:5" ht="15">
      <c r="A3211" s="261">
        <v>43148</v>
      </c>
      <c r="B3211" s="261" t="s">
        <v>9541</v>
      </c>
      <c r="C3211" s="261" t="s">
        <v>3244</v>
      </c>
      <c r="D3211" s="265" t="s">
        <v>20206</v>
      </c>
      <c r="E3211" s="262" t="s">
        <v>207</v>
      </c>
    </row>
    <row r="3212" spans="1:5" ht="15">
      <c r="A3212" s="261">
        <v>43147</v>
      </c>
      <c r="B3212" s="261" t="s">
        <v>9542</v>
      </c>
      <c r="C3212" s="261" t="s">
        <v>3244</v>
      </c>
      <c r="D3212" s="265" t="s">
        <v>12208</v>
      </c>
      <c r="E3212" s="262" t="s">
        <v>207</v>
      </c>
    </row>
    <row r="3213" spans="1:5" ht="30">
      <c r="A3213" s="261">
        <v>10608</v>
      </c>
      <c r="B3213" s="261" t="s">
        <v>7324</v>
      </c>
      <c r="C3213" s="261" t="s">
        <v>3240</v>
      </c>
      <c r="D3213" s="265" t="s">
        <v>20207</v>
      </c>
      <c r="E3213" s="262" t="s">
        <v>8987</v>
      </c>
    </row>
    <row r="3214" spans="1:5" ht="15">
      <c r="A3214" s="261">
        <v>4069</v>
      </c>
      <c r="B3214" s="261" t="s">
        <v>7325</v>
      </c>
      <c r="C3214" s="261" t="s">
        <v>3239</v>
      </c>
      <c r="D3214" s="265" t="s">
        <v>20208</v>
      </c>
      <c r="E3214" s="262" t="s">
        <v>9714</v>
      </c>
    </row>
    <row r="3215" spans="1:5" ht="15">
      <c r="A3215" s="261">
        <v>40819</v>
      </c>
      <c r="B3215" s="261" t="s">
        <v>7326</v>
      </c>
      <c r="C3215" s="261" t="s">
        <v>3246</v>
      </c>
      <c r="D3215" s="265" t="s">
        <v>20209</v>
      </c>
      <c r="E3215" s="262" t="s">
        <v>9714</v>
      </c>
    </row>
    <row r="3216" spans="1:5" ht="15">
      <c r="A3216" s="261">
        <v>34361</v>
      </c>
      <c r="B3216" s="261" t="s">
        <v>7327</v>
      </c>
      <c r="C3216" s="261" t="s">
        <v>3244</v>
      </c>
      <c r="D3216" s="265" t="s">
        <v>10311</v>
      </c>
      <c r="E3216" s="262" t="s">
        <v>207</v>
      </c>
    </row>
    <row r="3217" spans="1:5" ht="30">
      <c r="A3217" s="261">
        <v>36512</v>
      </c>
      <c r="B3217" s="261" t="s">
        <v>7328</v>
      </c>
      <c r="C3217" s="261" t="s">
        <v>3240</v>
      </c>
      <c r="D3217" s="265" t="s">
        <v>20210</v>
      </c>
      <c r="E3217" s="262" t="s">
        <v>8987</v>
      </c>
    </row>
    <row r="3218" spans="1:5" ht="30">
      <c r="A3218" s="261">
        <v>25972</v>
      </c>
      <c r="B3218" s="261" t="s">
        <v>7329</v>
      </c>
      <c r="C3218" s="261" t="s">
        <v>3244</v>
      </c>
      <c r="D3218" s="265" t="s">
        <v>10111</v>
      </c>
      <c r="E3218" s="262" t="s">
        <v>207</v>
      </c>
    </row>
    <row r="3219" spans="1:5" ht="30">
      <c r="A3219" s="261">
        <v>25973</v>
      </c>
      <c r="B3219" s="261" t="s">
        <v>7330</v>
      </c>
      <c r="C3219" s="261" t="s">
        <v>3244</v>
      </c>
      <c r="D3219" s="265" t="s">
        <v>10111</v>
      </c>
      <c r="E3219" s="262" t="s">
        <v>207</v>
      </c>
    </row>
    <row r="3220" spans="1:5" ht="30">
      <c r="A3220" s="261">
        <v>11697</v>
      </c>
      <c r="B3220" s="261" t="s">
        <v>7331</v>
      </c>
      <c r="C3220" s="261" t="s">
        <v>3240</v>
      </c>
      <c r="D3220" s="265" t="s">
        <v>20211</v>
      </c>
      <c r="E3220" s="262" t="s">
        <v>207</v>
      </c>
    </row>
    <row r="3221" spans="1:5" ht="30">
      <c r="A3221" s="261">
        <v>11698</v>
      </c>
      <c r="B3221" s="261" t="s">
        <v>7332</v>
      </c>
      <c r="C3221" s="261" t="s">
        <v>3240</v>
      </c>
      <c r="D3221" s="265" t="s">
        <v>20212</v>
      </c>
      <c r="E3221" s="262" t="s">
        <v>207</v>
      </c>
    </row>
    <row r="3222" spans="1:5" ht="15">
      <c r="A3222" s="261">
        <v>11699</v>
      </c>
      <c r="B3222" s="261" t="s">
        <v>7333</v>
      </c>
      <c r="C3222" s="261" t="s">
        <v>3240</v>
      </c>
      <c r="D3222" s="265" t="s">
        <v>20213</v>
      </c>
      <c r="E3222" s="262" t="s">
        <v>207</v>
      </c>
    </row>
    <row r="3223" spans="1:5" ht="15">
      <c r="A3223" s="261">
        <v>10432</v>
      </c>
      <c r="B3223" s="261" t="s">
        <v>7334</v>
      </c>
      <c r="C3223" s="261" t="s">
        <v>3240</v>
      </c>
      <c r="D3223" s="265" t="s">
        <v>15889</v>
      </c>
      <c r="E3223" s="262" t="s">
        <v>207</v>
      </c>
    </row>
    <row r="3224" spans="1:5" ht="15">
      <c r="A3224" s="261">
        <v>10430</v>
      </c>
      <c r="B3224" s="261" t="s">
        <v>7335</v>
      </c>
      <c r="C3224" s="261" t="s">
        <v>3240</v>
      </c>
      <c r="D3224" s="265" t="s">
        <v>20214</v>
      </c>
      <c r="E3224" s="262" t="s">
        <v>207</v>
      </c>
    </row>
    <row r="3225" spans="1:5" ht="30">
      <c r="A3225" s="261">
        <v>37514</v>
      </c>
      <c r="B3225" s="261" t="s">
        <v>7336</v>
      </c>
      <c r="C3225" s="261" t="s">
        <v>3240</v>
      </c>
      <c r="D3225" s="265" t="s">
        <v>20215</v>
      </c>
      <c r="E3225" s="262" t="s">
        <v>8987</v>
      </c>
    </row>
    <row r="3226" spans="1:5" ht="30">
      <c r="A3226" s="261">
        <v>37519</v>
      </c>
      <c r="B3226" s="261" t="s">
        <v>7337</v>
      </c>
      <c r="C3226" s="261" t="s">
        <v>3240</v>
      </c>
      <c r="D3226" s="265" t="s">
        <v>20216</v>
      </c>
      <c r="E3226" s="264" t="s">
        <v>8987</v>
      </c>
    </row>
    <row r="3227" spans="1:5" ht="30">
      <c r="A3227" s="261">
        <v>37520</v>
      </c>
      <c r="B3227" s="261" t="s">
        <v>7338</v>
      </c>
      <c r="C3227" s="261" t="s">
        <v>3240</v>
      </c>
      <c r="D3227" s="265" t="s">
        <v>20217</v>
      </c>
      <c r="E3227" s="264" t="s">
        <v>8987</v>
      </c>
    </row>
    <row r="3228" spans="1:5" ht="30">
      <c r="A3228" s="261">
        <v>37521</v>
      </c>
      <c r="B3228" s="261" t="s">
        <v>7339</v>
      </c>
      <c r="C3228" s="261" t="s">
        <v>3240</v>
      </c>
      <c r="D3228" s="265" t="s">
        <v>20218</v>
      </c>
      <c r="E3228" s="264" t="s">
        <v>8987</v>
      </c>
    </row>
    <row r="3229" spans="1:5" ht="30">
      <c r="A3229" s="261">
        <v>37522</v>
      </c>
      <c r="B3229" s="261" t="s">
        <v>7340</v>
      </c>
      <c r="C3229" s="261" t="s">
        <v>3240</v>
      </c>
      <c r="D3229" s="265" t="s">
        <v>20219</v>
      </c>
      <c r="E3229" s="264" t="s">
        <v>8987</v>
      </c>
    </row>
    <row r="3230" spans="1:5" ht="30">
      <c r="A3230" s="261">
        <v>21109</v>
      </c>
      <c r="B3230" s="261" t="s">
        <v>7341</v>
      </c>
      <c r="C3230" s="261" t="s">
        <v>3240</v>
      </c>
      <c r="D3230" s="265" t="s">
        <v>16667</v>
      </c>
      <c r="E3230" s="262" t="s">
        <v>207</v>
      </c>
    </row>
    <row r="3231" spans="1:5" ht="30">
      <c r="A3231" s="261">
        <v>36800</v>
      </c>
      <c r="B3231" s="261" t="s">
        <v>7342</v>
      </c>
      <c r="C3231" s="261" t="s">
        <v>3240</v>
      </c>
      <c r="D3231" s="265" t="s">
        <v>20220</v>
      </c>
      <c r="E3231" s="262" t="s">
        <v>207</v>
      </c>
    </row>
    <row r="3232" spans="1:5" ht="15">
      <c r="A3232" s="261">
        <v>11769</v>
      </c>
      <c r="B3232" s="261" t="s">
        <v>7343</v>
      </c>
      <c r="C3232" s="261" t="s">
        <v>3240</v>
      </c>
      <c r="D3232" s="265" t="s">
        <v>20221</v>
      </c>
      <c r="E3232" s="262" t="s">
        <v>207</v>
      </c>
    </row>
    <row r="3233" spans="1:5" ht="15">
      <c r="A3233" s="261">
        <v>36793</v>
      </c>
      <c r="B3233" s="261" t="s">
        <v>7344</v>
      </c>
      <c r="C3233" s="261" t="s">
        <v>3240</v>
      </c>
      <c r="D3233" s="265" t="s">
        <v>20222</v>
      </c>
      <c r="E3233" s="262" t="s">
        <v>207</v>
      </c>
    </row>
    <row r="3234" spans="1:5" ht="30">
      <c r="A3234" s="261">
        <v>37546</v>
      </c>
      <c r="B3234" s="261" t="s">
        <v>7345</v>
      </c>
      <c r="C3234" s="261" t="s">
        <v>3240</v>
      </c>
      <c r="D3234" s="265" t="s">
        <v>20223</v>
      </c>
      <c r="E3234" s="262" t="s">
        <v>8987</v>
      </c>
    </row>
    <row r="3235" spans="1:5" ht="30">
      <c r="A3235" s="261">
        <v>37544</v>
      </c>
      <c r="B3235" s="261" t="s">
        <v>7346</v>
      </c>
      <c r="C3235" s="261" t="s">
        <v>3240</v>
      </c>
      <c r="D3235" s="265" t="s">
        <v>20224</v>
      </c>
      <c r="E3235" s="262" t="s">
        <v>8987</v>
      </c>
    </row>
    <row r="3236" spans="1:5" ht="30">
      <c r="A3236" s="261">
        <v>37545</v>
      </c>
      <c r="B3236" s="261" t="s">
        <v>7347</v>
      </c>
      <c r="C3236" s="261" t="s">
        <v>3240</v>
      </c>
      <c r="D3236" s="265" t="s">
        <v>20225</v>
      </c>
      <c r="E3236" s="262" t="s">
        <v>8987</v>
      </c>
    </row>
    <row r="3237" spans="1:5" ht="30">
      <c r="A3237" s="261">
        <v>11771</v>
      </c>
      <c r="B3237" s="261" t="s">
        <v>7348</v>
      </c>
      <c r="C3237" s="261" t="s">
        <v>3240</v>
      </c>
      <c r="D3237" s="265" t="s">
        <v>20226</v>
      </c>
      <c r="E3237" s="262" t="s">
        <v>207</v>
      </c>
    </row>
    <row r="3238" spans="1:5" ht="45">
      <c r="A3238" s="261">
        <v>39919</v>
      </c>
      <c r="B3238" s="261" t="s">
        <v>7349</v>
      </c>
      <c r="C3238" s="261" t="s">
        <v>3240</v>
      </c>
      <c r="D3238" s="265" t="s">
        <v>20227</v>
      </c>
      <c r="E3238" s="262" t="s">
        <v>8987</v>
      </c>
    </row>
    <row r="3239" spans="1:5" ht="30">
      <c r="A3239" s="261">
        <v>38385</v>
      </c>
      <c r="B3239" s="261" t="s">
        <v>7350</v>
      </c>
      <c r="C3239" s="261" t="s">
        <v>3240</v>
      </c>
      <c r="D3239" s="265" t="s">
        <v>20228</v>
      </c>
      <c r="E3239" s="262" t="s">
        <v>207</v>
      </c>
    </row>
    <row r="3240" spans="1:5" ht="30">
      <c r="A3240" s="261">
        <v>37587</v>
      </c>
      <c r="B3240" s="261" t="s">
        <v>7351</v>
      </c>
      <c r="C3240" s="261" t="s">
        <v>3240</v>
      </c>
      <c r="D3240" s="265" t="s">
        <v>20229</v>
      </c>
      <c r="E3240" s="262" t="s">
        <v>207</v>
      </c>
    </row>
    <row r="3241" spans="1:5" ht="30">
      <c r="A3241" s="261">
        <v>11561</v>
      </c>
      <c r="B3241" s="261" t="s">
        <v>11894</v>
      </c>
      <c r="C3241" s="261" t="s">
        <v>3240</v>
      </c>
      <c r="D3241" s="265" t="s">
        <v>20230</v>
      </c>
      <c r="E3241" s="262" t="s">
        <v>207</v>
      </c>
    </row>
    <row r="3242" spans="1:5" ht="30">
      <c r="A3242" s="261">
        <v>43604</v>
      </c>
      <c r="B3242" s="261" t="s">
        <v>11895</v>
      </c>
      <c r="C3242" s="261" t="s">
        <v>3240</v>
      </c>
      <c r="D3242" s="265" t="s">
        <v>20231</v>
      </c>
      <c r="E3242" s="262" t="s">
        <v>207</v>
      </c>
    </row>
    <row r="3243" spans="1:5" ht="30">
      <c r="A3243" s="261">
        <v>11560</v>
      </c>
      <c r="B3243" s="261" t="s">
        <v>11896</v>
      </c>
      <c r="C3243" s="261" t="s">
        <v>3240</v>
      </c>
      <c r="D3243" s="265" t="s">
        <v>16140</v>
      </c>
      <c r="E3243" s="262" t="s">
        <v>207</v>
      </c>
    </row>
    <row r="3244" spans="1:5" ht="30">
      <c r="A3244" s="261">
        <v>11499</v>
      </c>
      <c r="B3244" s="261" t="s">
        <v>11897</v>
      </c>
      <c r="C3244" s="261" t="s">
        <v>3240</v>
      </c>
      <c r="D3244" s="265" t="s">
        <v>20232</v>
      </c>
      <c r="E3244" s="262" t="s">
        <v>207</v>
      </c>
    </row>
    <row r="3245" spans="1:5" ht="15">
      <c r="A3245" s="261">
        <v>34761</v>
      </c>
      <c r="B3245" s="261" t="s">
        <v>7352</v>
      </c>
      <c r="C3245" s="261" t="s">
        <v>3239</v>
      </c>
      <c r="D3245" s="265" t="s">
        <v>20233</v>
      </c>
      <c r="E3245" s="262" t="s">
        <v>9714</v>
      </c>
    </row>
    <row r="3246" spans="1:5" ht="15">
      <c r="A3246" s="261">
        <v>40924</v>
      </c>
      <c r="B3246" s="261" t="s">
        <v>7353</v>
      </c>
      <c r="C3246" s="261" t="s">
        <v>3246</v>
      </c>
      <c r="D3246" s="265" t="s">
        <v>20234</v>
      </c>
      <c r="E3246" s="262" t="s">
        <v>9714</v>
      </c>
    </row>
    <row r="3247" spans="1:5" ht="15">
      <c r="A3247" s="261">
        <v>25957</v>
      </c>
      <c r="B3247" s="261" t="s">
        <v>7354</v>
      </c>
      <c r="C3247" s="261" t="s">
        <v>3239</v>
      </c>
      <c r="D3247" s="265" t="s">
        <v>16119</v>
      </c>
      <c r="E3247" s="262" t="s">
        <v>9714</v>
      </c>
    </row>
    <row r="3248" spans="1:5" ht="15">
      <c r="A3248" s="261">
        <v>40983</v>
      </c>
      <c r="B3248" s="261" t="s">
        <v>7355</v>
      </c>
      <c r="C3248" s="261" t="s">
        <v>3246</v>
      </c>
      <c r="D3248" s="265" t="s">
        <v>20235</v>
      </c>
      <c r="E3248" s="262" t="s">
        <v>9714</v>
      </c>
    </row>
    <row r="3249" spans="1:5" ht="15">
      <c r="A3249" s="261">
        <v>2437</v>
      </c>
      <c r="B3249" s="261" t="s">
        <v>7356</v>
      </c>
      <c r="C3249" s="261" t="s">
        <v>3239</v>
      </c>
      <c r="D3249" s="265" t="s">
        <v>10623</v>
      </c>
      <c r="E3249" s="262" t="s">
        <v>9714</v>
      </c>
    </row>
    <row r="3250" spans="1:5" ht="15">
      <c r="A3250" s="261">
        <v>40921</v>
      </c>
      <c r="B3250" s="261" t="s">
        <v>7357</v>
      </c>
      <c r="C3250" s="261" t="s">
        <v>3246</v>
      </c>
      <c r="D3250" s="265" t="s">
        <v>20236</v>
      </c>
      <c r="E3250" s="262" t="s">
        <v>9714</v>
      </c>
    </row>
    <row r="3251" spans="1:5" ht="30">
      <c r="A3251" s="261">
        <v>14252</v>
      </c>
      <c r="B3251" s="261" t="s">
        <v>7358</v>
      </c>
      <c r="C3251" s="261" t="s">
        <v>3240</v>
      </c>
      <c r="D3251" s="265" t="s">
        <v>20237</v>
      </c>
      <c r="E3251" s="262" t="s">
        <v>207</v>
      </c>
    </row>
    <row r="3252" spans="1:5" ht="45">
      <c r="A3252" s="261">
        <v>730</v>
      </c>
      <c r="B3252" s="261" t="s">
        <v>7359</v>
      </c>
      <c r="C3252" s="261" t="s">
        <v>3240</v>
      </c>
      <c r="D3252" s="265" t="s">
        <v>20238</v>
      </c>
      <c r="E3252" s="264" t="s">
        <v>207</v>
      </c>
    </row>
    <row r="3253" spans="1:5" ht="45">
      <c r="A3253" s="261">
        <v>723</v>
      </c>
      <c r="B3253" s="261" t="s">
        <v>7360</v>
      </c>
      <c r="C3253" s="261" t="s">
        <v>3240</v>
      </c>
      <c r="D3253" s="265" t="s">
        <v>20239</v>
      </c>
      <c r="E3253" s="264" t="s">
        <v>207</v>
      </c>
    </row>
    <row r="3254" spans="1:5" ht="30">
      <c r="A3254" s="261">
        <v>36502</v>
      </c>
      <c r="B3254" s="261" t="s">
        <v>7361</v>
      </c>
      <c r="C3254" s="261" t="s">
        <v>3240</v>
      </c>
      <c r="D3254" s="265" t="s">
        <v>20240</v>
      </c>
      <c r="E3254" s="264" t="s">
        <v>207</v>
      </c>
    </row>
    <row r="3255" spans="1:5" ht="30">
      <c r="A3255" s="261">
        <v>36503</v>
      </c>
      <c r="B3255" s="261" t="s">
        <v>7362</v>
      </c>
      <c r="C3255" s="261" t="s">
        <v>3240</v>
      </c>
      <c r="D3255" s="265" t="s">
        <v>20241</v>
      </c>
      <c r="E3255" s="264" t="s">
        <v>207</v>
      </c>
    </row>
    <row r="3256" spans="1:5" ht="30">
      <c r="A3256" s="261">
        <v>4090</v>
      </c>
      <c r="B3256" s="261" t="s">
        <v>7363</v>
      </c>
      <c r="C3256" s="261" t="s">
        <v>3240</v>
      </c>
      <c r="D3256" s="265" t="s">
        <v>20242</v>
      </c>
      <c r="E3256" s="262" t="s">
        <v>8987</v>
      </c>
    </row>
    <row r="3257" spans="1:5" ht="30">
      <c r="A3257" s="261">
        <v>13227</v>
      </c>
      <c r="B3257" s="261" t="s">
        <v>7364</v>
      </c>
      <c r="C3257" s="261" t="s">
        <v>3240</v>
      </c>
      <c r="D3257" s="265" t="s">
        <v>20243</v>
      </c>
      <c r="E3257" s="262" t="s">
        <v>8987</v>
      </c>
    </row>
    <row r="3258" spans="1:5" ht="30">
      <c r="A3258" s="261">
        <v>10597</v>
      </c>
      <c r="B3258" s="261" t="s">
        <v>7365</v>
      </c>
      <c r="C3258" s="261" t="s">
        <v>3240</v>
      </c>
      <c r="D3258" s="265" t="s">
        <v>20244</v>
      </c>
      <c r="E3258" s="262" t="s">
        <v>8987</v>
      </c>
    </row>
    <row r="3259" spans="1:5" ht="15">
      <c r="A3259" s="261">
        <v>39628</v>
      </c>
      <c r="B3259" s="261" t="s">
        <v>7366</v>
      </c>
      <c r="C3259" s="261" t="s">
        <v>3240</v>
      </c>
      <c r="D3259" s="265" t="s">
        <v>20245</v>
      </c>
      <c r="E3259" s="262" t="s">
        <v>207</v>
      </c>
    </row>
    <row r="3260" spans="1:5" ht="15">
      <c r="A3260" s="261">
        <v>39404</v>
      </c>
      <c r="B3260" s="261" t="s">
        <v>7367</v>
      </c>
      <c r="C3260" s="261" t="s">
        <v>3240</v>
      </c>
      <c r="D3260" s="265" t="s">
        <v>20246</v>
      </c>
      <c r="E3260" s="262" t="s">
        <v>207</v>
      </c>
    </row>
    <row r="3261" spans="1:5" ht="15">
      <c r="A3261" s="261">
        <v>39402</v>
      </c>
      <c r="B3261" s="261" t="s">
        <v>7368</v>
      </c>
      <c r="C3261" s="261" t="s">
        <v>3240</v>
      </c>
      <c r="D3261" s="265" t="s">
        <v>20247</v>
      </c>
      <c r="E3261" s="262" t="s">
        <v>207</v>
      </c>
    </row>
    <row r="3262" spans="1:5" ht="15">
      <c r="A3262" s="261">
        <v>39403</v>
      </c>
      <c r="B3262" s="261" t="s">
        <v>7369</v>
      </c>
      <c r="C3262" s="261" t="s">
        <v>3240</v>
      </c>
      <c r="D3262" s="265" t="s">
        <v>20248</v>
      </c>
      <c r="E3262" s="262" t="s">
        <v>207</v>
      </c>
    </row>
    <row r="3263" spans="1:5" ht="15">
      <c r="A3263" s="261">
        <v>4093</v>
      </c>
      <c r="B3263" s="261" t="s">
        <v>7370</v>
      </c>
      <c r="C3263" s="261" t="s">
        <v>3239</v>
      </c>
      <c r="D3263" s="265" t="s">
        <v>10026</v>
      </c>
      <c r="E3263" s="262" t="s">
        <v>9714</v>
      </c>
    </row>
    <row r="3264" spans="1:5" ht="15">
      <c r="A3264" s="261">
        <v>10512</v>
      </c>
      <c r="B3264" s="261" t="s">
        <v>7371</v>
      </c>
      <c r="C3264" s="261" t="s">
        <v>3246</v>
      </c>
      <c r="D3264" s="265" t="s">
        <v>20249</v>
      </c>
      <c r="E3264" s="262" t="s">
        <v>9714</v>
      </c>
    </row>
    <row r="3265" spans="1:5" ht="15">
      <c r="A3265" s="261">
        <v>20020</v>
      </c>
      <c r="B3265" s="261" t="s">
        <v>7372</v>
      </c>
      <c r="C3265" s="261" t="s">
        <v>3239</v>
      </c>
      <c r="D3265" s="265" t="s">
        <v>18849</v>
      </c>
      <c r="E3265" s="262" t="s">
        <v>9714</v>
      </c>
    </row>
    <row r="3266" spans="1:5" ht="15">
      <c r="A3266" s="261">
        <v>41038</v>
      </c>
      <c r="B3266" s="261" t="s">
        <v>7373</v>
      </c>
      <c r="C3266" s="261" t="s">
        <v>3246</v>
      </c>
      <c r="D3266" s="265" t="s">
        <v>20250</v>
      </c>
      <c r="E3266" s="262" t="s">
        <v>9714</v>
      </c>
    </row>
    <row r="3267" spans="1:5" ht="15">
      <c r="A3267" s="261">
        <v>4094</v>
      </c>
      <c r="B3267" s="261" t="s">
        <v>7374</v>
      </c>
      <c r="C3267" s="261" t="s">
        <v>3239</v>
      </c>
      <c r="D3267" s="265" t="s">
        <v>12459</v>
      </c>
      <c r="E3267" s="262" t="s">
        <v>9714</v>
      </c>
    </row>
    <row r="3268" spans="1:5" ht="15">
      <c r="A3268" s="261">
        <v>40988</v>
      </c>
      <c r="B3268" s="261" t="s">
        <v>7375</v>
      </c>
      <c r="C3268" s="261" t="s">
        <v>3246</v>
      </c>
      <c r="D3268" s="265" t="s">
        <v>20251</v>
      </c>
      <c r="E3268" s="262" t="s">
        <v>9714</v>
      </c>
    </row>
    <row r="3269" spans="1:5" ht="15">
      <c r="A3269" s="261">
        <v>4095</v>
      </c>
      <c r="B3269" s="261" t="s">
        <v>7376</v>
      </c>
      <c r="C3269" s="261" t="s">
        <v>3239</v>
      </c>
      <c r="D3269" s="265" t="s">
        <v>11243</v>
      </c>
      <c r="E3269" s="262" t="s">
        <v>9714</v>
      </c>
    </row>
    <row r="3270" spans="1:5" ht="15">
      <c r="A3270" s="261">
        <v>40990</v>
      </c>
      <c r="B3270" s="261" t="s">
        <v>7377</v>
      </c>
      <c r="C3270" s="261" t="s">
        <v>3246</v>
      </c>
      <c r="D3270" s="266" t="s">
        <v>18939</v>
      </c>
      <c r="E3270" s="262" t="s">
        <v>9714</v>
      </c>
    </row>
    <row r="3271" spans="1:5" ht="15">
      <c r="A3271" s="261">
        <v>4097</v>
      </c>
      <c r="B3271" s="261" t="s">
        <v>7378</v>
      </c>
      <c r="C3271" s="261" t="s">
        <v>3239</v>
      </c>
      <c r="D3271" s="266" t="s">
        <v>20252</v>
      </c>
      <c r="E3271" s="262" t="s">
        <v>9714</v>
      </c>
    </row>
    <row r="3272" spans="1:5" ht="15">
      <c r="A3272" s="261">
        <v>40994</v>
      </c>
      <c r="B3272" s="261" t="s">
        <v>7379</v>
      </c>
      <c r="C3272" s="261" t="s">
        <v>3246</v>
      </c>
      <c r="D3272" s="266" t="s">
        <v>20253</v>
      </c>
      <c r="E3272" s="262" t="s">
        <v>9714</v>
      </c>
    </row>
    <row r="3273" spans="1:5" ht="15">
      <c r="A3273" s="261">
        <v>4096</v>
      </c>
      <c r="B3273" s="261" t="s">
        <v>7380</v>
      </c>
      <c r="C3273" s="261" t="s">
        <v>3239</v>
      </c>
      <c r="D3273" s="266" t="s">
        <v>11243</v>
      </c>
      <c r="E3273" s="262" t="s">
        <v>9714</v>
      </c>
    </row>
    <row r="3274" spans="1:5" ht="15">
      <c r="A3274" s="261">
        <v>40992</v>
      </c>
      <c r="B3274" s="261" t="s">
        <v>7381</v>
      </c>
      <c r="C3274" s="261" t="s">
        <v>3246</v>
      </c>
      <c r="D3274" s="266" t="s">
        <v>18939</v>
      </c>
      <c r="E3274" s="262" t="s">
        <v>9714</v>
      </c>
    </row>
    <row r="3275" spans="1:5" ht="15">
      <c r="A3275" s="261">
        <v>13955</v>
      </c>
      <c r="B3275" s="261" t="s">
        <v>7382</v>
      </c>
      <c r="C3275" s="261" t="s">
        <v>3240</v>
      </c>
      <c r="D3275" s="265" t="s">
        <v>20254</v>
      </c>
      <c r="E3275" s="262" t="s">
        <v>207</v>
      </c>
    </row>
    <row r="3276" spans="1:5" ht="30">
      <c r="A3276" s="261">
        <v>4114</v>
      </c>
      <c r="B3276" s="261" t="s">
        <v>7383</v>
      </c>
      <c r="C3276" s="261" t="s">
        <v>3240</v>
      </c>
      <c r="D3276" s="265" t="s">
        <v>20255</v>
      </c>
      <c r="E3276" s="262" t="s">
        <v>207</v>
      </c>
    </row>
    <row r="3277" spans="1:5" ht="15">
      <c r="A3277" s="261">
        <v>36797</v>
      </c>
      <c r="B3277" s="261" t="s">
        <v>11898</v>
      </c>
      <c r="C3277" s="261" t="s">
        <v>3240</v>
      </c>
      <c r="D3277" s="265" t="s">
        <v>11508</v>
      </c>
      <c r="E3277" s="262" t="s">
        <v>207</v>
      </c>
    </row>
    <row r="3278" spans="1:5" ht="15">
      <c r="A3278" s="261">
        <v>4107</v>
      </c>
      <c r="B3278" s="261" t="s">
        <v>11899</v>
      </c>
      <c r="C3278" s="261" t="s">
        <v>3240</v>
      </c>
      <c r="D3278" s="265" t="s">
        <v>20145</v>
      </c>
      <c r="E3278" s="262" t="s">
        <v>207</v>
      </c>
    </row>
    <row r="3279" spans="1:5" ht="15">
      <c r="A3279" s="261">
        <v>4102</v>
      </c>
      <c r="B3279" s="261" t="s">
        <v>11900</v>
      </c>
      <c r="C3279" s="261" t="s">
        <v>3240</v>
      </c>
      <c r="D3279" s="265" t="s">
        <v>16000</v>
      </c>
      <c r="E3279" s="262" t="s">
        <v>207</v>
      </c>
    </row>
    <row r="3280" spans="1:5" ht="15">
      <c r="A3280" s="261">
        <v>36799</v>
      </c>
      <c r="B3280" s="261" t="s">
        <v>7384</v>
      </c>
      <c r="C3280" s="261" t="s">
        <v>3240</v>
      </c>
      <c r="D3280" s="265" t="s">
        <v>20256</v>
      </c>
      <c r="E3280" s="262" t="s">
        <v>207</v>
      </c>
    </row>
    <row r="3281" spans="1:5" ht="30">
      <c r="A3281" s="261">
        <v>2747</v>
      </c>
      <c r="B3281" s="261" t="s">
        <v>11901</v>
      </c>
      <c r="C3281" s="261" t="s">
        <v>3243</v>
      </c>
      <c r="D3281" s="265" t="s">
        <v>11288</v>
      </c>
      <c r="E3281" s="262" t="s">
        <v>207</v>
      </c>
    </row>
    <row r="3282" spans="1:5" ht="30">
      <c r="A3282" s="261">
        <v>21138</v>
      </c>
      <c r="B3282" s="261" t="s">
        <v>11902</v>
      </c>
      <c r="C3282" s="261" t="s">
        <v>3243</v>
      </c>
      <c r="D3282" s="265" t="s">
        <v>10227</v>
      </c>
      <c r="E3282" s="262" t="s">
        <v>207</v>
      </c>
    </row>
    <row r="3283" spans="1:5" ht="30">
      <c r="A3283" s="261">
        <v>10826</v>
      </c>
      <c r="B3283" s="261" t="s">
        <v>7385</v>
      </c>
      <c r="C3283" s="261" t="s">
        <v>3240</v>
      </c>
      <c r="D3283" s="265" t="s">
        <v>20257</v>
      </c>
      <c r="E3283" s="264" t="s">
        <v>207</v>
      </c>
    </row>
    <row r="3284" spans="1:5" ht="30">
      <c r="A3284" s="261">
        <v>365</v>
      </c>
      <c r="B3284" s="261" t="s">
        <v>7386</v>
      </c>
      <c r="C3284" s="261" t="s">
        <v>3240</v>
      </c>
      <c r="D3284" s="265" t="s">
        <v>15795</v>
      </c>
      <c r="E3284" s="264" t="s">
        <v>207</v>
      </c>
    </row>
    <row r="3285" spans="1:5" ht="15">
      <c r="A3285" s="261">
        <v>38639</v>
      </c>
      <c r="B3285" s="261" t="s">
        <v>7387</v>
      </c>
      <c r="C3285" s="261" t="s">
        <v>3240</v>
      </c>
      <c r="D3285" s="265" t="s">
        <v>20258</v>
      </c>
      <c r="E3285" s="262" t="s">
        <v>207</v>
      </c>
    </row>
    <row r="3286" spans="1:5" ht="15">
      <c r="A3286" s="261">
        <v>38640</v>
      </c>
      <c r="B3286" s="261" t="s">
        <v>7388</v>
      </c>
      <c r="C3286" s="261" t="s">
        <v>3240</v>
      </c>
      <c r="D3286" s="265" t="s">
        <v>9740</v>
      </c>
      <c r="E3286" s="262" t="s">
        <v>207</v>
      </c>
    </row>
    <row r="3287" spans="1:5" ht="30">
      <c r="A3287" s="261">
        <v>358</v>
      </c>
      <c r="B3287" s="261" t="s">
        <v>7389</v>
      </c>
      <c r="C3287" s="261" t="s">
        <v>3240</v>
      </c>
      <c r="D3287" s="265" t="s">
        <v>20259</v>
      </c>
      <c r="E3287" s="262" t="s">
        <v>207</v>
      </c>
    </row>
    <row r="3288" spans="1:5" ht="30">
      <c r="A3288" s="261">
        <v>359</v>
      </c>
      <c r="B3288" s="261" t="s">
        <v>7390</v>
      </c>
      <c r="C3288" s="261" t="s">
        <v>3240</v>
      </c>
      <c r="D3288" s="266" t="s">
        <v>20260</v>
      </c>
      <c r="E3288" s="262" t="s">
        <v>207</v>
      </c>
    </row>
    <row r="3289" spans="1:5" ht="15">
      <c r="A3289" s="261">
        <v>38641</v>
      </c>
      <c r="B3289" s="261" t="s">
        <v>7391</v>
      </c>
      <c r="C3289" s="261" t="s">
        <v>3240</v>
      </c>
      <c r="D3289" s="265" t="s">
        <v>20261</v>
      </c>
      <c r="E3289" s="262" t="s">
        <v>207</v>
      </c>
    </row>
    <row r="3290" spans="1:5" ht="30">
      <c r="A3290" s="261">
        <v>360</v>
      </c>
      <c r="B3290" s="261" t="s">
        <v>7392</v>
      </c>
      <c r="C3290" s="261" t="s">
        <v>3240</v>
      </c>
      <c r="D3290" s="265" t="s">
        <v>9831</v>
      </c>
      <c r="E3290" s="262" t="s">
        <v>207</v>
      </c>
    </row>
    <row r="3291" spans="1:5" ht="45">
      <c r="A3291" s="261">
        <v>42430</v>
      </c>
      <c r="B3291" s="261" t="s">
        <v>7393</v>
      </c>
      <c r="C3291" s="261" t="s">
        <v>3240</v>
      </c>
      <c r="D3291" s="265" t="s">
        <v>20262</v>
      </c>
      <c r="E3291" s="262" t="s">
        <v>207</v>
      </c>
    </row>
    <row r="3292" spans="1:5" ht="15">
      <c r="A3292" s="261">
        <v>4214</v>
      </c>
      <c r="B3292" s="261" t="s">
        <v>7394</v>
      </c>
      <c r="C3292" s="261" t="s">
        <v>3240</v>
      </c>
      <c r="D3292" s="265" t="s">
        <v>11352</v>
      </c>
      <c r="E3292" s="262" t="s">
        <v>207</v>
      </c>
    </row>
    <row r="3293" spans="1:5" ht="15">
      <c r="A3293" s="261">
        <v>4215</v>
      </c>
      <c r="B3293" s="261" t="s">
        <v>7395</v>
      </c>
      <c r="C3293" s="261" t="s">
        <v>3240</v>
      </c>
      <c r="D3293" s="265" t="s">
        <v>10903</v>
      </c>
      <c r="E3293" s="262" t="s">
        <v>207</v>
      </c>
    </row>
    <row r="3294" spans="1:5" ht="15">
      <c r="A3294" s="261">
        <v>4210</v>
      </c>
      <c r="B3294" s="261" t="s">
        <v>7396</v>
      </c>
      <c r="C3294" s="261" t="s">
        <v>3240</v>
      </c>
      <c r="D3294" s="265" t="s">
        <v>9995</v>
      </c>
      <c r="E3294" s="262" t="s">
        <v>207</v>
      </c>
    </row>
    <row r="3295" spans="1:5" ht="15">
      <c r="A3295" s="261">
        <v>4212</v>
      </c>
      <c r="B3295" s="261" t="s">
        <v>7397</v>
      </c>
      <c r="C3295" s="261" t="s">
        <v>3240</v>
      </c>
      <c r="D3295" s="265" t="s">
        <v>10502</v>
      </c>
      <c r="E3295" s="262" t="s">
        <v>207</v>
      </c>
    </row>
    <row r="3296" spans="1:5" ht="15">
      <c r="A3296" s="261">
        <v>4213</v>
      </c>
      <c r="B3296" s="261" t="s">
        <v>7398</v>
      </c>
      <c r="C3296" s="261" t="s">
        <v>3240</v>
      </c>
      <c r="D3296" s="265" t="s">
        <v>14248</v>
      </c>
      <c r="E3296" s="262" t="s">
        <v>207</v>
      </c>
    </row>
    <row r="3297" spans="1:5" ht="15">
      <c r="A3297" s="261">
        <v>4211</v>
      </c>
      <c r="B3297" s="261" t="s">
        <v>7399</v>
      </c>
      <c r="C3297" s="261" t="s">
        <v>3240</v>
      </c>
      <c r="D3297" s="265" t="s">
        <v>11088</v>
      </c>
      <c r="E3297" s="262" t="s">
        <v>207</v>
      </c>
    </row>
    <row r="3298" spans="1:5" ht="15">
      <c r="A3298" s="261">
        <v>4209</v>
      </c>
      <c r="B3298" s="261" t="s">
        <v>7400</v>
      </c>
      <c r="C3298" s="261" t="s">
        <v>3240</v>
      </c>
      <c r="D3298" s="265" t="s">
        <v>10096</v>
      </c>
      <c r="E3298" s="262" t="s">
        <v>207</v>
      </c>
    </row>
    <row r="3299" spans="1:5" ht="15">
      <c r="A3299" s="261">
        <v>4180</v>
      </c>
      <c r="B3299" s="261" t="s">
        <v>7401</v>
      </c>
      <c r="C3299" s="261" t="s">
        <v>3240</v>
      </c>
      <c r="D3299" s="265" t="s">
        <v>10457</v>
      </c>
      <c r="E3299" s="262" t="s">
        <v>207</v>
      </c>
    </row>
    <row r="3300" spans="1:5" ht="15">
      <c r="A3300" s="261">
        <v>4177</v>
      </c>
      <c r="B3300" s="261" t="s">
        <v>7402</v>
      </c>
      <c r="C3300" s="261" t="s">
        <v>3240</v>
      </c>
      <c r="D3300" s="265" t="s">
        <v>9840</v>
      </c>
      <c r="E3300" s="262" t="s">
        <v>207</v>
      </c>
    </row>
    <row r="3301" spans="1:5" ht="15">
      <c r="A3301" s="261">
        <v>4179</v>
      </c>
      <c r="B3301" s="261" t="s">
        <v>7403</v>
      </c>
      <c r="C3301" s="261" t="s">
        <v>3240</v>
      </c>
      <c r="D3301" s="265" t="s">
        <v>10235</v>
      </c>
      <c r="E3301" s="262" t="s">
        <v>207</v>
      </c>
    </row>
    <row r="3302" spans="1:5" ht="15">
      <c r="A3302" s="261">
        <v>4208</v>
      </c>
      <c r="B3302" s="261" t="s">
        <v>7404</v>
      </c>
      <c r="C3302" s="261" t="s">
        <v>3240</v>
      </c>
      <c r="D3302" s="265" t="s">
        <v>20263</v>
      </c>
      <c r="E3302" s="262" t="s">
        <v>207</v>
      </c>
    </row>
    <row r="3303" spans="1:5" ht="15">
      <c r="A3303" s="261">
        <v>4181</v>
      </c>
      <c r="B3303" s="261" t="s">
        <v>7405</v>
      </c>
      <c r="C3303" s="261" t="s">
        <v>3240</v>
      </c>
      <c r="D3303" s="265" t="s">
        <v>20264</v>
      </c>
      <c r="E3303" s="262" t="s">
        <v>207</v>
      </c>
    </row>
    <row r="3304" spans="1:5" ht="15">
      <c r="A3304" s="261">
        <v>4178</v>
      </c>
      <c r="B3304" s="261" t="s">
        <v>7406</v>
      </c>
      <c r="C3304" s="261" t="s">
        <v>3240</v>
      </c>
      <c r="D3304" s="265" t="s">
        <v>10250</v>
      </c>
      <c r="E3304" s="262" t="s">
        <v>207</v>
      </c>
    </row>
    <row r="3305" spans="1:5" ht="15">
      <c r="A3305" s="261">
        <v>4182</v>
      </c>
      <c r="B3305" s="261" t="s">
        <v>7407</v>
      </c>
      <c r="C3305" s="261" t="s">
        <v>3240</v>
      </c>
      <c r="D3305" s="265" t="s">
        <v>20265</v>
      </c>
      <c r="E3305" s="262" t="s">
        <v>207</v>
      </c>
    </row>
    <row r="3306" spans="1:5" ht="15">
      <c r="A3306" s="261">
        <v>4183</v>
      </c>
      <c r="B3306" s="261" t="s">
        <v>7408</v>
      </c>
      <c r="C3306" s="261" t="s">
        <v>3240</v>
      </c>
      <c r="D3306" s="265" t="s">
        <v>20266</v>
      </c>
      <c r="E3306" s="262" t="s">
        <v>207</v>
      </c>
    </row>
    <row r="3307" spans="1:5" ht="15">
      <c r="A3307" s="261">
        <v>4184</v>
      </c>
      <c r="B3307" s="261" t="s">
        <v>7409</v>
      </c>
      <c r="C3307" s="261" t="s">
        <v>3240</v>
      </c>
      <c r="D3307" s="265" t="s">
        <v>20267</v>
      </c>
      <c r="E3307" s="262" t="s">
        <v>207</v>
      </c>
    </row>
    <row r="3308" spans="1:5" ht="15">
      <c r="A3308" s="261">
        <v>4185</v>
      </c>
      <c r="B3308" s="261" t="s">
        <v>7410</v>
      </c>
      <c r="C3308" s="261" t="s">
        <v>3240</v>
      </c>
      <c r="D3308" s="265" t="s">
        <v>20268</v>
      </c>
      <c r="E3308" s="262" t="s">
        <v>207</v>
      </c>
    </row>
    <row r="3309" spans="1:5" ht="15">
      <c r="A3309" s="261">
        <v>4205</v>
      </c>
      <c r="B3309" s="261" t="s">
        <v>7411</v>
      </c>
      <c r="C3309" s="261" t="s">
        <v>3240</v>
      </c>
      <c r="D3309" s="265" t="s">
        <v>19957</v>
      </c>
      <c r="E3309" s="262" t="s">
        <v>207</v>
      </c>
    </row>
    <row r="3310" spans="1:5" ht="15">
      <c r="A3310" s="261">
        <v>4192</v>
      </c>
      <c r="B3310" s="261" t="s">
        <v>7412</v>
      </c>
      <c r="C3310" s="261" t="s">
        <v>3240</v>
      </c>
      <c r="D3310" s="265" t="s">
        <v>19957</v>
      </c>
      <c r="E3310" s="262" t="s">
        <v>207</v>
      </c>
    </row>
    <row r="3311" spans="1:5" ht="15">
      <c r="A3311" s="261">
        <v>4191</v>
      </c>
      <c r="B3311" s="261" t="s">
        <v>7413</v>
      </c>
      <c r="C3311" s="261" t="s">
        <v>3240</v>
      </c>
      <c r="D3311" s="265" t="s">
        <v>19957</v>
      </c>
      <c r="E3311" s="262" t="s">
        <v>207</v>
      </c>
    </row>
    <row r="3312" spans="1:5" ht="15">
      <c r="A3312" s="261">
        <v>4207</v>
      </c>
      <c r="B3312" s="261" t="s">
        <v>7414</v>
      </c>
      <c r="C3312" s="261" t="s">
        <v>3240</v>
      </c>
      <c r="D3312" s="265" t="s">
        <v>12388</v>
      </c>
      <c r="E3312" s="262" t="s">
        <v>207</v>
      </c>
    </row>
    <row r="3313" spans="1:5" ht="15">
      <c r="A3313" s="261">
        <v>4206</v>
      </c>
      <c r="B3313" s="261" t="s">
        <v>7415</v>
      </c>
      <c r="C3313" s="261" t="s">
        <v>3240</v>
      </c>
      <c r="D3313" s="265" t="s">
        <v>10971</v>
      </c>
      <c r="E3313" s="262" t="s">
        <v>207</v>
      </c>
    </row>
    <row r="3314" spans="1:5" ht="15">
      <c r="A3314" s="261">
        <v>4190</v>
      </c>
      <c r="B3314" s="261" t="s">
        <v>7416</v>
      </c>
      <c r="C3314" s="261" t="s">
        <v>3240</v>
      </c>
      <c r="D3314" s="265" t="s">
        <v>10971</v>
      </c>
      <c r="E3314" s="262" t="s">
        <v>207</v>
      </c>
    </row>
    <row r="3315" spans="1:5" ht="15">
      <c r="A3315" s="261">
        <v>4186</v>
      </c>
      <c r="B3315" s="261" t="s">
        <v>7417</v>
      </c>
      <c r="C3315" s="261" t="s">
        <v>3240</v>
      </c>
      <c r="D3315" s="265" t="s">
        <v>11345</v>
      </c>
      <c r="E3315" s="262" t="s">
        <v>207</v>
      </c>
    </row>
    <row r="3316" spans="1:5" ht="15">
      <c r="A3316" s="261">
        <v>4188</v>
      </c>
      <c r="B3316" s="261" t="s">
        <v>7418</v>
      </c>
      <c r="C3316" s="261" t="s">
        <v>3240</v>
      </c>
      <c r="D3316" s="265" t="s">
        <v>18969</v>
      </c>
      <c r="E3316" s="262" t="s">
        <v>207</v>
      </c>
    </row>
    <row r="3317" spans="1:5" ht="15">
      <c r="A3317" s="261">
        <v>4189</v>
      </c>
      <c r="B3317" s="261" t="s">
        <v>7419</v>
      </c>
      <c r="C3317" s="261" t="s">
        <v>3240</v>
      </c>
      <c r="D3317" s="265" t="s">
        <v>18969</v>
      </c>
      <c r="E3317" s="262" t="s">
        <v>207</v>
      </c>
    </row>
    <row r="3318" spans="1:5" ht="15">
      <c r="A3318" s="261">
        <v>4197</v>
      </c>
      <c r="B3318" s="261" t="s">
        <v>7420</v>
      </c>
      <c r="C3318" s="261" t="s">
        <v>3240</v>
      </c>
      <c r="D3318" s="265" t="s">
        <v>20269</v>
      </c>
      <c r="E3318" s="262" t="s">
        <v>207</v>
      </c>
    </row>
    <row r="3319" spans="1:5" ht="15">
      <c r="A3319" s="261">
        <v>4194</v>
      </c>
      <c r="B3319" s="261" t="s">
        <v>7421</v>
      </c>
      <c r="C3319" s="261" t="s">
        <v>3240</v>
      </c>
      <c r="D3319" s="265" t="s">
        <v>20270</v>
      </c>
      <c r="E3319" s="262" t="s">
        <v>207</v>
      </c>
    </row>
    <row r="3320" spans="1:5" ht="15">
      <c r="A3320" s="261">
        <v>4193</v>
      </c>
      <c r="B3320" s="261" t="s">
        <v>7422</v>
      </c>
      <c r="C3320" s="261" t="s">
        <v>3240</v>
      </c>
      <c r="D3320" s="265" t="s">
        <v>20270</v>
      </c>
      <c r="E3320" s="262" t="s">
        <v>207</v>
      </c>
    </row>
    <row r="3321" spans="1:5" ht="15">
      <c r="A3321" s="261">
        <v>4204</v>
      </c>
      <c r="B3321" s="261" t="s">
        <v>7423</v>
      </c>
      <c r="C3321" s="261" t="s">
        <v>3240</v>
      </c>
      <c r="D3321" s="265" t="s">
        <v>20270</v>
      </c>
      <c r="E3321" s="262" t="s">
        <v>207</v>
      </c>
    </row>
    <row r="3322" spans="1:5" ht="15">
      <c r="A3322" s="261">
        <v>4187</v>
      </c>
      <c r="B3322" s="261" t="s">
        <v>7424</v>
      </c>
      <c r="C3322" s="261" t="s">
        <v>3240</v>
      </c>
      <c r="D3322" s="265" t="s">
        <v>20271</v>
      </c>
      <c r="E3322" s="262" t="s">
        <v>207</v>
      </c>
    </row>
    <row r="3323" spans="1:5" ht="15">
      <c r="A3323" s="261">
        <v>4202</v>
      </c>
      <c r="B3323" s="261" t="s">
        <v>7425</v>
      </c>
      <c r="C3323" s="261" t="s">
        <v>3240</v>
      </c>
      <c r="D3323" s="265" t="s">
        <v>20272</v>
      </c>
      <c r="E3323" s="262" t="s">
        <v>207</v>
      </c>
    </row>
    <row r="3324" spans="1:5" ht="15">
      <c r="A3324" s="261">
        <v>4203</v>
      </c>
      <c r="B3324" s="261" t="s">
        <v>7426</v>
      </c>
      <c r="C3324" s="261" t="s">
        <v>3240</v>
      </c>
      <c r="D3324" s="265" t="s">
        <v>16307</v>
      </c>
      <c r="E3324" s="262" t="s">
        <v>207</v>
      </c>
    </row>
    <row r="3325" spans="1:5" ht="30">
      <c r="A3325" s="261">
        <v>40368</v>
      </c>
      <c r="B3325" s="261" t="s">
        <v>7427</v>
      </c>
      <c r="C3325" s="261" t="s">
        <v>3240</v>
      </c>
      <c r="D3325" s="265" t="s">
        <v>20273</v>
      </c>
      <c r="E3325" s="262" t="s">
        <v>207</v>
      </c>
    </row>
    <row r="3326" spans="1:5" ht="30">
      <c r="A3326" s="261">
        <v>40365</v>
      </c>
      <c r="B3326" s="261" t="s">
        <v>7428</v>
      </c>
      <c r="C3326" s="261" t="s">
        <v>3240</v>
      </c>
      <c r="D3326" s="265" t="s">
        <v>20274</v>
      </c>
      <c r="E3326" s="262" t="s">
        <v>207</v>
      </c>
    </row>
    <row r="3327" spans="1:5" ht="15">
      <c r="A3327" s="261">
        <v>40356</v>
      </c>
      <c r="B3327" s="261" t="s">
        <v>7429</v>
      </c>
      <c r="C3327" s="261" t="s">
        <v>3240</v>
      </c>
      <c r="D3327" s="265" t="s">
        <v>20275</v>
      </c>
      <c r="E3327" s="262" t="s">
        <v>207</v>
      </c>
    </row>
    <row r="3328" spans="1:5" ht="15">
      <c r="A3328" s="261">
        <v>40362</v>
      </c>
      <c r="B3328" s="261" t="s">
        <v>7430</v>
      </c>
      <c r="C3328" s="261" t="s">
        <v>3240</v>
      </c>
      <c r="D3328" s="265" t="s">
        <v>11036</v>
      </c>
      <c r="E3328" s="262" t="s">
        <v>207</v>
      </c>
    </row>
    <row r="3329" spans="1:5" ht="30">
      <c r="A3329" s="261">
        <v>40374</v>
      </c>
      <c r="B3329" s="261" t="s">
        <v>7431</v>
      </c>
      <c r="C3329" s="261" t="s">
        <v>3240</v>
      </c>
      <c r="D3329" s="265" t="s">
        <v>20276</v>
      </c>
      <c r="E3329" s="262" t="s">
        <v>207</v>
      </c>
    </row>
    <row r="3330" spans="1:5" ht="15">
      <c r="A3330" s="261">
        <v>40371</v>
      </c>
      <c r="B3330" s="261" t="s">
        <v>7432</v>
      </c>
      <c r="C3330" s="261" t="s">
        <v>3240</v>
      </c>
      <c r="D3330" s="265" t="s">
        <v>20277</v>
      </c>
      <c r="E3330" s="262" t="s">
        <v>207</v>
      </c>
    </row>
    <row r="3331" spans="1:5" ht="15">
      <c r="A3331" s="261">
        <v>40359</v>
      </c>
      <c r="B3331" s="261" t="s">
        <v>7433</v>
      </c>
      <c r="C3331" s="261" t="s">
        <v>3240</v>
      </c>
      <c r="D3331" s="265" t="s">
        <v>14052</v>
      </c>
      <c r="E3331" s="262" t="s">
        <v>207</v>
      </c>
    </row>
    <row r="3332" spans="1:5" ht="15">
      <c r="A3332" s="261">
        <v>7595</v>
      </c>
      <c r="B3332" s="261" t="s">
        <v>7434</v>
      </c>
      <c r="C3332" s="261" t="s">
        <v>3239</v>
      </c>
      <c r="D3332" s="265" t="s">
        <v>18848</v>
      </c>
      <c r="E3332" s="262" t="s">
        <v>9714</v>
      </c>
    </row>
    <row r="3333" spans="1:5" ht="15">
      <c r="A3333" s="261">
        <v>41094</v>
      </c>
      <c r="B3333" s="261" t="s">
        <v>7435</v>
      </c>
      <c r="C3333" s="261" t="s">
        <v>3246</v>
      </c>
      <c r="D3333" s="265" t="s">
        <v>20278</v>
      </c>
      <c r="E3333" s="262" t="s">
        <v>9714</v>
      </c>
    </row>
    <row r="3334" spans="1:5" ht="30">
      <c r="A3334" s="261">
        <v>39609</v>
      </c>
      <c r="B3334" s="261" t="s">
        <v>11445</v>
      </c>
      <c r="C3334" s="261" t="s">
        <v>3240</v>
      </c>
      <c r="D3334" s="265" t="s">
        <v>20279</v>
      </c>
      <c r="E3334" s="262" t="s">
        <v>8987</v>
      </c>
    </row>
    <row r="3335" spans="1:5" ht="30">
      <c r="A3335" s="261">
        <v>39610</v>
      </c>
      <c r="B3335" s="261" t="s">
        <v>11446</v>
      </c>
      <c r="C3335" s="261" t="s">
        <v>3240</v>
      </c>
      <c r="D3335" s="265" t="s">
        <v>20280</v>
      </c>
      <c r="E3335" s="262" t="s">
        <v>8987</v>
      </c>
    </row>
    <row r="3336" spans="1:5" ht="30">
      <c r="A3336" s="261">
        <v>39611</v>
      </c>
      <c r="B3336" s="261" t="s">
        <v>11447</v>
      </c>
      <c r="C3336" s="261" t="s">
        <v>3240</v>
      </c>
      <c r="D3336" s="265" t="s">
        <v>20281</v>
      </c>
      <c r="E3336" s="262" t="s">
        <v>8987</v>
      </c>
    </row>
    <row r="3337" spans="1:5" ht="30">
      <c r="A3337" s="261">
        <v>39612</v>
      </c>
      <c r="B3337" s="261" t="s">
        <v>11448</v>
      </c>
      <c r="C3337" s="261" t="s">
        <v>3240</v>
      </c>
      <c r="D3337" s="265" t="s">
        <v>20282</v>
      </c>
      <c r="E3337" s="262" t="s">
        <v>8987</v>
      </c>
    </row>
    <row r="3338" spans="1:5" ht="30">
      <c r="A3338" s="261">
        <v>39608</v>
      </c>
      <c r="B3338" s="261" t="s">
        <v>11449</v>
      </c>
      <c r="C3338" s="261" t="s">
        <v>3240</v>
      </c>
      <c r="D3338" s="265" t="s">
        <v>20283</v>
      </c>
      <c r="E3338" s="262" t="s">
        <v>8987</v>
      </c>
    </row>
    <row r="3339" spans="1:5" ht="30">
      <c r="A3339" s="261">
        <v>38175</v>
      </c>
      <c r="B3339" s="261" t="s">
        <v>11903</v>
      </c>
      <c r="C3339" s="261" t="s">
        <v>3240</v>
      </c>
      <c r="D3339" s="265" t="s">
        <v>11324</v>
      </c>
      <c r="E3339" s="262" t="s">
        <v>207</v>
      </c>
    </row>
    <row r="3340" spans="1:5" ht="30">
      <c r="A3340" s="261">
        <v>38176</v>
      </c>
      <c r="B3340" s="261" t="s">
        <v>11904</v>
      </c>
      <c r="C3340" s="261" t="s">
        <v>3240</v>
      </c>
      <c r="D3340" s="265" t="s">
        <v>11313</v>
      </c>
      <c r="E3340" s="262" t="s">
        <v>207</v>
      </c>
    </row>
    <row r="3341" spans="1:5" ht="30">
      <c r="A3341" s="261">
        <v>36152</v>
      </c>
      <c r="B3341" s="261" t="s">
        <v>7436</v>
      </c>
      <c r="C3341" s="261" t="s">
        <v>3240</v>
      </c>
      <c r="D3341" s="265" t="s">
        <v>10657</v>
      </c>
      <c r="E3341" s="262" t="s">
        <v>207</v>
      </c>
    </row>
    <row r="3342" spans="1:5" ht="15">
      <c r="A3342" s="261">
        <v>11138</v>
      </c>
      <c r="B3342" s="261" t="s">
        <v>7437</v>
      </c>
      <c r="C3342" s="261" t="s">
        <v>3245</v>
      </c>
      <c r="D3342" s="265" t="s">
        <v>16516</v>
      </c>
      <c r="E3342" s="262" t="s">
        <v>207</v>
      </c>
    </row>
    <row r="3343" spans="1:5" ht="15">
      <c r="A3343" s="261">
        <v>4221</v>
      </c>
      <c r="B3343" s="261" t="s">
        <v>7438</v>
      </c>
      <c r="C3343" s="261" t="s">
        <v>3245</v>
      </c>
      <c r="D3343" s="265" t="s">
        <v>9754</v>
      </c>
      <c r="E3343" s="262" t="s">
        <v>207</v>
      </c>
    </row>
    <row r="3344" spans="1:5" ht="30">
      <c r="A3344" s="261">
        <v>4227</v>
      </c>
      <c r="B3344" s="261" t="s">
        <v>7439</v>
      </c>
      <c r="C3344" s="261" t="s">
        <v>3245</v>
      </c>
      <c r="D3344" s="265" t="s">
        <v>12324</v>
      </c>
      <c r="E3344" s="262" t="s">
        <v>207</v>
      </c>
    </row>
    <row r="3345" spans="1:5" ht="30">
      <c r="A3345" s="261">
        <v>38170</v>
      </c>
      <c r="B3345" s="261" t="s">
        <v>11905</v>
      </c>
      <c r="C3345" s="261" t="s">
        <v>3240</v>
      </c>
      <c r="D3345" s="265" t="s">
        <v>20284</v>
      </c>
      <c r="E3345" s="262" t="s">
        <v>207</v>
      </c>
    </row>
    <row r="3346" spans="1:5" ht="15">
      <c r="A3346" s="261">
        <v>4252</v>
      </c>
      <c r="B3346" s="261" t="s">
        <v>7440</v>
      </c>
      <c r="C3346" s="261" t="s">
        <v>3239</v>
      </c>
      <c r="D3346" s="265" t="s">
        <v>11341</v>
      </c>
      <c r="E3346" s="262" t="s">
        <v>9714</v>
      </c>
    </row>
    <row r="3347" spans="1:5" ht="15">
      <c r="A3347" s="261">
        <v>40980</v>
      </c>
      <c r="B3347" s="261" t="s">
        <v>7441</v>
      </c>
      <c r="C3347" s="261" t="s">
        <v>3246</v>
      </c>
      <c r="D3347" s="265" t="s">
        <v>20285</v>
      </c>
      <c r="E3347" s="262" t="s">
        <v>9714</v>
      </c>
    </row>
    <row r="3348" spans="1:5" ht="15">
      <c r="A3348" s="261">
        <v>4243</v>
      </c>
      <c r="B3348" s="261" t="s">
        <v>7442</v>
      </c>
      <c r="C3348" s="261" t="s">
        <v>3239</v>
      </c>
      <c r="D3348" s="265" t="s">
        <v>10592</v>
      </c>
      <c r="E3348" s="262" t="s">
        <v>9714</v>
      </c>
    </row>
    <row r="3349" spans="1:5" ht="15">
      <c r="A3349" s="261">
        <v>41031</v>
      </c>
      <c r="B3349" s="261" t="s">
        <v>7443</v>
      </c>
      <c r="C3349" s="261" t="s">
        <v>3246</v>
      </c>
      <c r="D3349" s="265" t="s">
        <v>20286</v>
      </c>
      <c r="E3349" s="262" t="s">
        <v>9714</v>
      </c>
    </row>
    <row r="3350" spans="1:5" ht="15">
      <c r="A3350" s="261">
        <v>37666</v>
      </c>
      <c r="B3350" s="261" t="s">
        <v>11450</v>
      </c>
      <c r="C3350" s="261" t="s">
        <v>3239</v>
      </c>
      <c r="D3350" s="265" t="s">
        <v>15937</v>
      </c>
      <c r="E3350" s="262" t="s">
        <v>9714</v>
      </c>
    </row>
    <row r="3351" spans="1:5" ht="15">
      <c r="A3351" s="261">
        <v>40986</v>
      </c>
      <c r="B3351" s="261" t="s">
        <v>7444</v>
      </c>
      <c r="C3351" s="261" t="s">
        <v>3246</v>
      </c>
      <c r="D3351" s="265" t="s">
        <v>20287</v>
      </c>
      <c r="E3351" s="262" t="s">
        <v>9714</v>
      </c>
    </row>
    <row r="3352" spans="1:5" ht="15">
      <c r="A3352" s="261">
        <v>4250</v>
      </c>
      <c r="B3352" s="261" t="s">
        <v>7445</v>
      </c>
      <c r="C3352" s="261" t="s">
        <v>3239</v>
      </c>
      <c r="D3352" s="265" t="s">
        <v>10663</v>
      </c>
      <c r="E3352" s="262" t="s">
        <v>9714</v>
      </c>
    </row>
    <row r="3353" spans="1:5" ht="15">
      <c r="A3353" s="261">
        <v>40978</v>
      </c>
      <c r="B3353" s="261" t="s">
        <v>7446</v>
      </c>
      <c r="C3353" s="261" t="s">
        <v>3246</v>
      </c>
      <c r="D3353" s="265" t="s">
        <v>20288</v>
      </c>
      <c r="E3353" s="262" t="s">
        <v>9714</v>
      </c>
    </row>
    <row r="3354" spans="1:5" ht="15">
      <c r="A3354" s="261">
        <v>25960</v>
      </c>
      <c r="B3354" s="261" t="s">
        <v>7447</v>
      </c>
      <c r="C3354" s="261" t="s">
        <v>3239</v>
      </c>
      <c r="D3354" s="265" t="s">
        <v>10648</v>
      </c>
      <c r="E3354" s="262" t="s">
        <v>9714</v>
      </c>
    </row>
    <row r="3355" spans="1:5" ht="15">
      <c r="A3355" s="261">
        <v>41043</v>
      </c>
      <c r="B3355" s="261" t="s">
        <v>7448</v>
      </c>
      <c r="C3355" s="261" t="s">
        <v>3246</v>
      </c>
      <c r="D3355" s="265" t="s">
        <v>20289</v>
      </c>
      <c r="E3355" s="262" t="s">
        <v>9714</v>
      </c>
    </row>
    <row r="3356" spans="1:5" ht="15">
      <c r="A3356" s="261">
        <v>4234</v>
      </c>
      <c r="B3356" s="261" t="s">
        <v>7449</v>
      </c>
      <c r="C3356" s="261" t="s">
        <v>3239</v>
      </c>
      <c r="D3356" s="265" t="s">
        <v>11524</v>
      </c>
      <c r="E3356" s="262" t="s">
        <v>9714</v>
      </c>
    </row>
    <row r="3357" spans="1:5" ht="15">
      <c r="A3357" s="261">
        <v>40987</v>
      </c>
      <c r="B3357" s="261" t="s">
        <v>7450</v>
      </c>
      <c r="C3357" s="261" t="s">
        <v>3246</v>
      </c>
      <c r="D3357" s="265" t="s">
        <v>18936</v>
      </c>
      <c r="E3357" s="262" t="s">
        <v>9714</v>
      </c>
    </row>
    <row r="3358" spans="1:5" ht="15">
      <c r="A3358" s="261">
        <v>4253</v>
      </c>
      <c r="B3358" s="261" t="s">
        <v>11451</v>
      </c>
      <c r="C3358" s="261" t="s">
        <v>3239</v>
      </c>
      <c r="D3358" s="265" t="s">
        <v>11243</v>
      </c>
      <c r="E3358" s="262" t="s">
        <v>9714</v>
      </c>
    </row>
    <row r="3359" spans="1:5" ht="15">
      <c r="A3359" s="261">
        <v>40981</v>
      </c>
      <c r="B3359" s="261" t="s">
        <v>7451</v>
      </c>
      <c r="C3359" s="261" t="s">
        <v>3246</v>
      </c>
      <c r="D3359" s="265" t="s">
        <v>18939</v>
      </c>
      <c r="E3359" s="262" t="s">
        <v>9714</v>
      </c>
    </row>
    <row r="3360" spans="1:5" ht="15">
      <c r="A3360" s="261">
        <v>4254</v>
      </c>
      <c r="B3360" s="261" t="s">
        <v>7452</v>
      </c>
      <c r="C3360" s="261" t="s">
        <v>3239</v>
      </c>
      <c r="D3360" s="265" t="s">
        <v>11243</v>
      </c>
      <c r="E3360" s="262" t="s">
        <v>9714</v>
      </c>
    </row>
    <row r="3361" spans="1:5" ht="15">
      <c r="A3361" s="261">
        <v>41036</v>
      </c>
      <c r="B3361" s="261" t="s">
        <v>7453</v>
      </c>
      <c r="C3361" s="261" t="s">
        <v>3246</v>
      </c>
      <c r="D3361" s="265" t="s">
        <v>18939</v>
      </c>
      <c r="E3361" s="262" t="s">
        <v>9714</v>
      </c>
    </row>
    <row r="3362" spans="1:5" ht="15">
      <c r="A3362" s="261">
        <v>4251</v>
      </c>
      <c r="B3362" s="261" t="s">
        <v>7454</v>
      </c>
      <c r="C3362" s="261" t="s">
        <v>3239</v>
      </c>
      <c r="D3362" s="265" t="s">
        <v>10533</v>
      </c>
      <c r="E3362" s="262" t="s">
        <v>9714</v>
      </c>
    </row>
    <row r="3363" spans="1:5" ht="15">
      <c r="A3363" s="261">
        <v>40979</v>
      </c>
      <c r="B3363" s="261" t="s">
        <v>7455</v>
      </c>
      <c r="C3363" s="261" t="s">
        <v>3246</v>
      </c>
      <c r="D3363" s="266" t="s">
        <v>20290</v>
      </c>
      <c r="E3363" s="262" t="s">
        <v>9714</v>
      </c>
    </row>
    <row r="3364" spans="1:5" ht="15">
      <c r="A3364" s="261">
        <v>4230</v>
      </c>
      <c r="B3364" s="261" t="s">
        <v>7456</v>
      </c>
      <c r="C3364" s="261" t="s">
        <v>3239</v>
      </c>
      <c r="D3364" s="265" t="s">
        <v>10663</v>
      </c>
      <c r="E3364" s="262" t="s">
        <v>9714</v>
      </c>
    </row>
    <row r="3365" spans="1:5" ht="15">
      <c r="A3365" s="261">
        <v>40998</v>
      </c>
      <c r="B3365" s="261" t="s">
        <v>7457</v>
      </c>
      <c r="C3365" s="261" t="s">
        <v>3246</v>
      </c>
      <c r="D3365" s="265" t="s">
        <v>20291</v>
      </c>
      <c r="E3365" s="262" t="s">
        <v>9714</v>
      </c>
    </row>
    <row r="3366" spans="1:5" ht="15">
      <c r="A3366" s="261">
        <v>4257</v>
      </c>
      <c r="B3366" s="261" t="s">
        <v>7458</v>
      </c>
      <c r="C3366" s="261" t="s">
        <v>3239</v>
      </c>
      <c r="D3366" s="265" t="s">
        <v>10470</v>
      </c>
      <c r="E3366" s="262" t="s">
        <v>9714</v>
      </c>
    </row>
    <row r="3367" spans="1:5" ht="15">
      <c r="A3367" s="261">
        <v>40982</v>
      </c>
      <c r="B3367" s="261" t="s">
        <v>7459</v>
      </c>
      <c r="C3367" s="261" t="s">
        <v>3246</v>
      </c>
      <c r="D3367" s="265" t="s">
        <v>20292</v>
      </c>
      <c r="E3367" s="262" t="s">
        <v>9714</v>
      </c>
    </row>
    <row r="3368" spans="1:5" ht="15">
      <c r="A3368" s="261">
        <v>4240</v>
      </c>
      <c r="B3368" s="261" t="s">
        <v>7460</v>
      </c>
      <c r="C3368" s="261" t="s">
        <v>3239</v>
      </c>
      <c r="D3368" s="265" t="s">
        <v>15856</v>
      </c>
      <c r="E3368" s="262" t="s">
        <v>9714</v>
      </c>
    </row>
    <row r="3369" spans="1:5" ht="15">
      <c r="A3369" s="261">
        <v>41026</v>
      </c>
      <c r="B3369" s="261" t="s">
        <v>7461</v>
      </c>
      <c r="C3369" s="261" t="s">
        <v>3246</v>
      </c>
      <c r="D3369" s="265" t="s">
        <v>20293</v>
      </c>
      <c r="E3369" s="262" t="s">
        <v>9714</v>
      </c>
    </row>
    <row r="3370" spans="1:5" ht="15">
      <c r="A3370" s="261">
        <v>4239</v>
      </c>
      <c r="B3370" s="261" t="s">
        <v>7462</v>
      </c>
      <c r="C3370" s="261" t="s">
        <v>3239</v>
      </c>
      <c r="D3370" s="265" t="s">
        <v>20294</v>
      </c>
      <c r="E3370" s="262" t="s">
        <v>9714</v>
      </c>
    </row>
    <row r="3371" spans="1:5" ht="15">
      <c r="A3371" s="261">
        <v>41024</v>
      </c>
      <c r="B3371" s="261" t="s">
        <v>7463</v>
      </c>
      <c r="C3371" s="261" t="s">
        <v>3246</v>
      </c>
      <c r="D3371" s="265" t="s">
        <v>20295</v>
      </c>
      <c r="E3371" s="262" t="s">
        <v>9714</v>
      </c>
    </row>
    <row r="3372" spans="1:5" ht="15">
      <c r="A3372" s="261">
        <v>4248</v>
      </c>
      <c r="B3372" s="261" t="s">
        <v>7464</v>
      </c>
      <c r="C3372" s="261" t="s">
        <v>3239</v>
      </c>
      <c r="D3372" s="265" t="s">
        <v>11200</v>
      </c>
      <c r="E3372" s="262" t="s">
        <v>9714</v>
      </c>
    </row>
    <row r="3373" spans="1:5" ht="15">
      <c r="A3373" s="261">
        <v>41033</v>
      </c>
      <c r="B3373" s="261" t="s">
        <v>7465</v>
      </c>
      <c r="C3373" s="261" t="s">
        <v>3246</v>
      </c>
      <c r="D3373" s="265" t="s">
        <v>20296</v>
      </c>
      <c r="E3373" s="262" t="s">
        <v>9714</v>
      </c>
    </row>
    <row r="3374" spans="1:5" ht="15">
      <c r="A3374" s="261">
        <v>25959</v>
      </c>
      <c r="B3374" s="261" t="s">
        <v>11452</v>
      </c>
      <c r="C3374" s="261" t="s">
        <v>3239</v>
      </c>
      <c r="D3374" s="265" t="s">
        <v>10449</v>
      </c>
      <c r="E3374" s="262" t="s">
        <v>9714</v>
      </c>
    </row>
    <row r="3375" spans="1:5" ht="15">
      <c r="A3375" s="261">
        <v>41040</v>
      </c>
      <c r="B3375" s="261" t="s">
        <v>11453</v>
      </c>
      <c r="C3375" s="261" t="s">
        <v>3246</v>
      </c>
      <c r="D3375" s="265" t="s">
        <v>20297</v>
      </c>
      <c r="E3375" s="262" t="s">
        <v>9714</v>
      </c>
    </row>
    <row r="3376" spans="1:5" ht="15">
      <c r="A3376" s="261">
        <v>4238</v>
      </c>
      <c r="B3376" s="261" t="s">
        <v>7466</v>
      </c>
      <c r="C3376" s="261" t="s">
        <v>3239</v>
      </c>
      <c r="D3376" s="265" t="s">
        <v>11395</v>
      </c>
      <c r="E3376" s="262" t="s">
        <v>9714</v>
      </c>
    </row>
    <row r="3377" spans="1:5" ht="15">
      <c r="A3377" s="261">
        <v>41012</v>
      </c>
      <c r="B3377" s="261" t="s">
        <v>7467</v>
      </c>
      <c r="C3377" s="261" t="s">
        <v>3246</v>
      </c>
      <c r="D3377" s="265" t="s">
        <v>20298</v>
      </c>
      <c r="E3377" s="262" t="s">
        <v>9714</v>
      </c>
    </row>
    <row r="3378" spans="1:5" ht="15">
      <c r="A3378" s="261">
        <v>4237</v>
      </c>
      <c r="B3378" s="261" t="s">
        <v>7468</v>
      </c>
      <c r="C3378" s="261" t="s">
        <v>3239</v>
      </c>
      <c r="D3378" s="265" t="s">
        <v>11243</v>
      </c>
      <c r="E3378" s="262" t="s">
        <v>9714</v>
      </c>
    </row>
    <row r="3379" spans="1:5" ht="15">
      <c r="A3379" s="261">
        <v>41002</v>
      </c>
      <c r="B3379" s="261" t="s">
        <v>7469</v>
      </c>
      <c r="C3379" s="261" t="s">
        <v>3246</v>
      </c>
      <c r="D3379" s="265" t="s">
        <v>18939</v>
      </c>
      <c r="E3379" s="262" t="s">
        <v>9714</v>
      </c>
    </row>
    <row r="3380" spans="1:5" ht="15">
      <c r="A3380" s="261">
        <v>4233</v>
      </c>
      <c r="B3380" s="261" t="s">
        <v>7470</v>
      </c>
      <c r="C3380" s="261" t="s">
        <v>3239</v>
      </c>
      <c r="D3380" s="265" t="s">
        <v>10026</v>
      </c>
      <c r="E3380" s="262" t="s">
        <v>9714</v>
      </c>
    </row>
    <row r="3381" spans="1:5" ht="15">
      <c r="A3381" s="261">
        <v>41001</v>
      </c>
      <c r="B3381" s="261" t="s">
        <v>7471</v>
      </c>
      <c r="C3381" s="261" t="s">
        <v>3246</v>
      </c>
      <c r="D3381" s="265" t="s">
        <v>20299</v>
      </c>
      <c r="E3381" s="262" t="s">
        <v>9714</v>
      </c>
    </row>
    <row r="3382" spans="1:5" ht="15">
      <c r="A3382" s="261">
        <v>2</v>
      </c>
      <c r="B3382" s="261" t="s">
        <v>7472</v>
      </c>
      <c r="C3382" s="261" t="s">
        <v>3241</v>
      </c>
      <c r="D3382" s="265" t="s">
        <v>16591</v>
      </c>
      <c r="E3382" s="262" t="s">
        <v>207</v>
      </c>
    </row>
    <row r="3383" spans="1:5" ht="30">
      <c r="A3383" s="261">
        <v>36517</v>
      </c>
      <c r="B3383" s="261" t="s">
        <v>11454</v>
      </c>
      <c r="C3383" s="261" t="s">
        <v>3240</v>
      </c>
      <c r="D3383" s="265" t="s">
        <v>20300</v>
      </c>
      <c r="E3383" s="262" t="s">
        <v>8987</v>
      </c>
    </row>
    <row r="3384" spans="1:5" ht="30">
      <c r="A3384" s="261">
        <v>4262</v>
      </c>
      <c r="B3384" s="261" t="s">
        <v>11455</v>
      </c>
      <c r="C3384" s="261" t="s">
        <v>3240</v>
      </c>
      <c r="D3384" s="265" t="s">
        <v>20301</v>
      </c>
      <c r="E3384" s="262" t="s">
        <v>8987</v>
      </c>
    </row>
    <row r="3385" spans="1:5" ht="30">
      <c r="A3385" s="261">
        <v>4263</v>
      </c>
      <c r="B3385" s="261" t="s">
        <v>11456</v>
      </c>
      <c r="C3385" s="261" t="s">
        <v>3240</v>
      </c>
      <c r="D3385" s="265" t="s">
        <v>20302</v>
      </c>
      <c r="E3385" s="262" t="s">
        <v>8987</v>
      </c>
    </row>
    <row r="3386" spans="1:5" ht="30">
      <c r="A3386" s="261">
        <v>36518</v>
      </c>
      <c r="B3386" s="261" t="s">
        <v>11457</v>
      </c>
      <c r="C3386" s="261" t="s">
        <v>3240</v>
      </c>
      <c r="D3386" s="265" t="s">
        <v>20303</v>
      </c>
      <c r="E3386" s="262" t="s">
        <v>8987</v>
      </c>
    </row>
    <row r="3387" spans="1:5" ht="30">
      <c r="A3387" s="261">
        <v>14221</v>
      </c>
      <c r="B3387" s="261" t="s">
        <v>11458</v>
      </c>
      <c r="C3387" s="261" t="s">
        <v>3240</v>
      </c>
      <c r="D3387" s="265" t="s">
        <v>20304</v>
      </c>
      <c r="E3387" s="262" t="s">
        <v>8987</v>
      </c>
    </row>
    <row r="3388" spans="1:5" ht="15">
      <c r="A3388" s="261">
        <v>38402</v>
      </c>
      <c r="B3388" s="261" t="s">
        <v>7473</v>
      </c>
      <c r="C3388" s="261" t="s">
        <v>3240</v>
      </c>
      <c r="D3388" s="265" t="s">
        <v>11399</v>
      </c>
      <c r="E3388" s="262" t="s">
        <v>207</v>
      </c>
    </row>
    <row r="3389" spans="1:5" ht="15">
      <c r="A3389" s="261">
        <v>3412</v>
      </c>
      <c r="B3389" s="261" t="s">
        <v>7474</v>
      </c>
      <c r="C3389" s="261" t="s">
        <v>3242</v>
      </c>
      <c r="D3389" s="265" t="s">
        <v>12472</v>
      </c>
      <c r="E3389" s="262" t="s">
        <v>207</v>
      </c>
    </row>
    <row r="3390" spans="1:5" ht="15">
      <c r="A3390" s="261">
        <v>3413</v>
      </c>
      <c r="B3390" s="261" t="s">
        <v>7475</v>
      </c>
      <c r="C3390" s="261" t="s">
        <v>3242</v>
      </c>
      <c r="D3390" s="265" t="s">
        <v>20305</v>
      </c>
      <c r="E3390" s="262" t="s">
        <v>207</v>
      </c>
    </row>
    <row r="3391" spans="1:5" ht="15">
      <c r="A3391" s="261">
        <v>39744</v>
      </c>
      <c r="B3391" s="261" t="s">
        <v>7476</v>
      </c>
      <c r="C3391" s="261" t="s">
        <v>3242</v>
      </c>
      <c r="D3391" s="265" t="s">
        <v>10599</v>
      </c>
      <c r="E3391" s="262" t="s">
        <v>207</v>
      </c>
    </row>
    <row r="3392" spans="1:5" ht="15">
      <c r="A3392" s="261">
        <v>39745</v>
      </c>
      <c r="B3392" s="261" t="s">
        <v>7477</v>
      </c>
      <c r="C3392" s="261" t="s">
        <v>3242</v>
      </c>
      <c r="D3392" s="265" t="s">
        <v>16313</v>
      </c>
      <c r="E3392" s="262" t="s">
        <v>207</v>
      </c>
    </row>
    <row r="3393" spans="1:5" ht="30">
      <c r="A3393" s="261">
        <v>39637</v>
      </c>
      <c r="B3393" s="261" t="s">
        <v>7478</v>
      </c>
      <c r="C3393" s="261" t="s">
        <v>3242</v>
      </c>
      <c r="D3393" s="265" t="s">
        <v>20306</v>
      </c>
      <c r="E3393" s="262" t="s">
        <v>207</v>
      </c>
    </row>
    <row r="3394" spans="1:5" ht="30">
      <c r="A3394" s="261">
        <v>39638</v>
      </c>
      <c r="B3394" s="261" t="s">
        <v>7479</v>
      </c>
      <c r="C3394" s="261" t="s">
        <v>3242</v>
      </c>
      <c r="D3394" s="265" t="s">
        <v>20307</v>
      </c>
      <c r="E3394" s="262" t="s">
        <v>207</v>
      </c>
    </row>
    <row r="3395" spans="1:5" ht="30">
      <c r="A3395" s="261">
        <v>39639</v>
      </c>
      <c r="B3395" s="261" t="s">
        <v>7480</v>
      </c>
      <c r="C3395" s="261" t="s">
        <v>3242</v>
      </c>
      <c r="D3395" s="265" t="s">
        <v>20308</v>
      </c>
      <c r="E3395" s="262" t="s">
        <v>207</v>
      </c>
    </row>
    <row r="3396" spans="1:5" ht="60">
      <c r="A3396" s="261">
        <v>39517</v>
      </c>
      <c r="B3396" s="261" t="s">
        <v>9543</v>
      </c>
      <c r="C3396" s="261" t="s">
        <v>3242</v>
      </c>
      <c r="D3396" s="265" t="s">
        <v>20309</v>
      </c>
      <c r="E3396" s="262" t="s">
        <v>207</v>
      </c>
    </row>
    <row r="3397" spans="1:5" ht="60">
      <c r="A3397" s="261">
        <v>39518</v>
      </c>
      <c r="B3397" s="261" t="s">
        <v>9544</v>
      </c>
      <c r="C3397" s="261" t="s">
        <v>3242</v>
      </c>
      <c r="D3397" s="265" t="s">
        <v>20310</v>
      </c>
      <c r="E3397" s="262" t="s">
        <v>207</v>
      </c>
    </row>
    <row r="3398" spans="1:5" ht="15">
      <c r="A3398" s="261">
        <v>38366</v>
      </c>
      <c r="B3398" s="261" t="s">
        <v>7481</v>
      </c>
      <c r="C3398" s="261" t="s">
        <v>3242</v>
      </c>
      <c r="D3398" s="265" t="s">
        <v>11359</v>
      </c>
      <c r="E3398" s="262" t="s">
        <v>207</v>
      </c>
    </row>
    <row r="3399" spans="1:5" ht="15">
      <c r="A3399" s="261">
        <v>11703</v>
      </c>
      <c r="B3399" s="261" t="s">
        <v>7482</v>
      </c>
      <c r="C3399" s="261" t="s">
        <v>3240</v>
      </c>
      <c r="D3399" s="265" t="s">
        <v>20311</v>
      </c>
      <c r="E3399" s="262" t="s">
        <v>207</v>
      </c>
    </row>
    <row r="3400" spans="1:5" ht="15">
      <c r="A3400" s="261">
        <v>37400</v>
      </c>
      <c r="B3400" s="261" t="s">
        <v>7483</v>
      </c>
      <c r="C3400" s="261" t="s">
        <v>3240</v>
      </c>
      <c r="D3400" s="265" t="s">
        <v>20312</v>
      </c>
      <c r="E3400" s="262" t="s">
        <v>207</v>
      </c>
    </row>
    <row r="3401" spans="1:5" ht="30">
      <c r="A3401" s="261">
        <v>25400</v>
      </c>
      <c r="B3401" s="261" t="s">
        <v>7484</v>
      </c>
      <c r="C3401" s="261" t="s">
        <v>3240</v>
      </c>
      <c r="D3401" s="265" t="s">
        <v>20313</v>
      </c>
      <c r="E3401" s="262" t="s">
        <v>207</v>
      </c>
    </row>
    <row r="3402" spans="1:5" ht="30">
      <c r="A3402" s="261">
        <v>4276</v>
      </c>
      <c r="B3402" s="261" t="s">
        <v>7485</v>
      </c>
      <c r="C3402" s="261" t="s">
        <v>3240</v>
      </c>
      <c r="D3402" s="265" t="s">
        <v>20314</v>
      </c>
      <c r="E3402" s="262" t="s">
        <v>207</v>
      </c>
    </row>
    <row r="3403" spans="1:5" ht="30">
      <c r="A3403" s="261">
        <v>4273</v>
      </c>
      <c r="B3403" s="261" t="s">
        <v>7486</v>
      </c>
      <c r="C3403" s="261" t="s">
        <v>3240</v>
      </c>
      <c r="D3403" s="265" t="s">
        <v>20315</v>
      </c>
      <c r="E3403" s="264" t="s">
        <v>207</v>
      </c>
    </row>
    <row r="3404" spans="1:5" ht="30">
      <c r="A3404" s="261">
        <v>4274</v>
      </c>
      <c r="B3404" s="261" t="s">
        <v>7487</v>
      </c>
      <c r="C3404" s="261" t="s">
        <v>3240</v>
      </c>
      <c r="D3404" s="265" t="s">
        <v>20316</v>
      </c>
      <c r="E3404" s="264" t="s">
        <v>207</v>
      </c>
    </row>
    <row r="3405" spans="1:5" ht="45">
      <c r="A3405" s="261">
        <v>39438</v>
      </c>
      <c r="B3405" s="261" t="s">
        <v>7488</v>
      </c>
      <c r="C3405" s="261" t="s">
        <v>3240</v>
      </c>
      <c r="D3405" s="265" t="s">
        <v>9942</v>
      </c>
      <c r="E3405" s="262" t="s">
        <v>207</v>
      </c>
    </row>
    <row r="3406" spans="1:5" ht="30">
      <c r="A3406" s="261">
        <v>11963</v>
      </c>
      <c r="B3406" s="261" t="s">
        <v>7489</v>
      </c>
      <c r="C3406" s="261" t="s">
        <v>3240</v>
      </c>
      <c r="D3406" s="265" t="s">
        <v>10508</v>
      </c>
      <c r="E3406" s="262" t="s">
        <v>207</v>
      </c>
    </row>
    <row r="3407" spans="1:5" ht="30">
      <c r="A3407" s="261">
        <v>11964</v>
      </c>
      <c r="B3407" s="261" t="s">
        <v>7490</v>
      </c>
      <c r="C3407" s="261" t="s">
        <v>3240</v>
      </c>
      <c r="D3407" s="265" t="s">
        <v>11172</v>
      </c>
      <c r="E3407" s="262" t="s">
        <v>207</v>
      </c>
    </row>
    <row r="3408" spans="1:5" ht="30">
      <c r="A3408" s="261">
        <v>4379</v>
      </c>
      <c r="B3408" s="261" t="s">
        <v>7491</v>
      </c>
      <c r="C3408" s="261" t="s">
        <v>3240</v>
      </c>
      <c r="D3408" s="265" t="s">
        <v>9895</v>
      </c>
      <c r="E3408" s="262" t="s">
        <v>207</v>
      </c>
    </row>
    <row r="3409" spans="1:5" ht="30">
      <c r="A3409" s="261">
        <v>4377</v>
      </c>
      <c r="B3409" s="261" t="s">
        <v>7492</v>
      </c>
      <c r="C3409" s="261" t="s">
        <v>3240</v>
      </c>
      <c r="D3409" s="265" t="s">
        <v>10029</v>
      </c>
      <c r="E3409" s="262" t="s">
        <v>207</v>
      </c>
    </row>
    <row r="3410" spans="1:5" ht="30">
      <c r="A3410" s="261">
        <v>4356</v>
      </c>
      <c r="B3410" s="261" t="s">
        <v>7493</v>
      </c>
      <c r="C3410" s="261" t="s">
        <v>3240</v>
      </c>
      <c r="D3410" s="265" t="s">
        <v>9942</v>
      </c>
      <c r="E3410" s="262" t="s">
        <v>207</v>
      </c>
    </row>
    <row r="3411" spans="1:5" ht="30">
      <c r="A3411" s="261">
        <v>13246</v>
      </c>
      <c r="B3411" s="261" t="s">
        <v>7494</v>
      </c>
      <c r="C3411" s="261" t="s">
        <v>3240</v>
      </c>
      <c r="D3411" s="265" t="s">
        <v>11058</v>
      </c>
      <c r="E3411" s="262" t="s">
        <v>207</v>
      </c>
    </row>
    <row r="3412" spans="1:5" ht="30">
      <c r="A3412" s="261">
        <v>4346</v>
      </c>
      <c r="B3412" s="261" t="s">
        <v>7495</v>
      </c>
      <c r="C3412" s="261" t="s">
        <v>3240</v>
      </c>
      <c r="D3412" s="265" t="s">
        <v>11176</v>
      </c>
      <c r="E3412" s="262" t="s">
        <v>207</v>
      </c>
    </row>
    <row r="3413" spans="1:5" ht="30">
      <c r="A3413" s="261">
        <v>11955</v>
      </c>
      <c r="B3413" s="261" t="s">
        <v>7496</v>
      </c>
      <c r="C3413" s="261" t="s">
        <v>3240</v>
      </c>
      <c r="D3413" s="265" t="s">
        <v>9935</v>
      </c>
      <c r="E3413" s="262" t="s">
        <v>207</v>
      </c>
    </row>
    <row r="3414" spans="1:5" ht="30">
      <c r="A3414" s="261">
        <v>11960</v>
      </c>
      <c r="B3414" s="261" t="s">
        <v>7497</v>
      </c>
      <c r="C3414" s="261" t="s">
        <v>3240</v>
      </c>
      <c r="D3414" s="265" t="s">
        <v>9865</v>
      </c>
      <c r="E3414" s="262" t="s">
        <v>207</v>
      </c>
    </row>
    <row r="3415" spans="1:5" ht="30">
      <c r="A3415" s="261">
        <v>4333</v>
      </c>
      <c r="B3415" s="261" t="s">
        <v>7498</v>
      </c>
      <c r="C3415" s="261" t="s">
        <v>3240</v>
      </c>
      <c r="D3415" s="265" t="s">
        <v>9942</v>
      </c>
      <c r="E3415" s="262" t="s">
        <v>207</v>
      </c>
    </row>
    <row r="3416" spans="1:5" ht="30">
      <c r="A3416" s="261">
        <v>4358</v>
      </c>
      <c r="B3416" s="261" t="s">
        <v>7499</v>
      </c>
      <c r="C3416" s="261" t="s">
        <v>3240</v>
      </c>
      <c r="D3416" s="265" t="s">
        <v>9929</v>
      </c>
      <c r="E3416" s="262" t="s">
        <v>207</v>
      </c>
    </row>
    <row r="3417" spans="1:5" ht="30">
      <c r="A3417" s="261">
        <v>39435</v>
      </c>
      <c r="B3417" s="261" t="s">
        <v>7500</v>
      </c>
      <c r="C3417" s="261" t="s">
        <v>3240</v>
      </c>
      <c r="D3417" s="265" t="s">
        <v>9982</v>
      </c>
      <c r="E3417" s="262" t="s">
        <v>207</v>
      </c>
    </row>
    <row r="3418" spans="1:5" ht="30">
      <c r="A3418" s="261">
        <v>39436</v>
      </c>
      <c r="B3418" s="261" t="s">
        <v>7501</v>
      </c>
      <c r="C3418" s="261" t="s">
        <v>3240</v>
      </c>
      <c r="D3418" s="265" t="s">
        <v>9925</v>
      </c>
      <c r="E3418" s="262" t="s">
        <v>207</v>
      </c>
    </row>
    <row r="3419" spans="1:5" ht="30">
      <c r="A3419" s="261">
        <v>39437</v>
      </c>
      <c r="B3419" s="261" t="s">
        <v>7502</v>
      </c>
      <c r="C3419" s="261" t="s">
        <v>3240</v>
      </c>
      <c r="D3419" s="265" t="s">
        <v>9879</v>
      </c>
      <c r="E3419" s="262" t="s">
        <v>207</v>
      </c>
    </row>
    <row r="3420" spans="1:5" ht="30">
      <c r="A3420" s="261">
        <v>39439</v>
      </c>
      <c r="B3420" s="261" t="s">
        <v>7503</v>
      </c>
      <c r="C3420" s="261" t="s">
        <v>3240</v>
      </c>
      <c r="D3420" s="265" t="s">
        <v>9865</v>
      </c>
      <c r="E3420" s="262" t="s">
        <v>207</v>
      </c>
    </row>
    <row r="3421" spans="1:5" ht="30">
      <c r="A3421" s="261">
        <v>39440</v>
      </c>
      <c r="B3421" s="261" t="s">
        <v>7504</v>
      </c>
      <c r="C3421" s="261" t="s">
        <v>3240</v>
      </c>
      <c r="D3421" s="265" t="s">
        <v>9959</v>
      </c>
      <c r="E3421" s="262" t="s">
        <v>207</v>
      </c>
    </row>
    <row r="3422" spans="1:5" ht="30">
      <c r="A3422" s="261">
        <v>39441</v>
      </c>
      <c r="B3422" s="261" t="s">
        <v>7505</v>
      </c>
      <c r="C3422" s="261" t="s">
        <v>3240</v>
      </c>
      <c r="D3422" s="266" t="s">
        <v>9942</v>
      </c>
      <c r="E3422" s="262" t="s">
        <v>207</v>
      </c>
    </row>
    <row r="3423" spans="1:5" ht="30">
      <c r="A3423" s="261">
        <v>39442</v>
      </c>
      <c r="B3423" s="261" t="s">
        <v>7506</v>
      </c>
      <c r="C3423" s="261" t="s">
        <v>3240</v>
      </c>
      <c r="D3423" s="265" t="s">
        <v>10029</v>
      </c>
      <c r="E3423" s="262" t="s">
        <v>207</v>
      </c>
    </row>
    <row r="3424" spans="1:5" ht="30">
      <c r="A3424" s="261">
        <v>39443</v>
      </c>
      <c r="B3424" s="261" t="s">
        <v>7507</v>
      </c>
      <c r="C3424" s="261" t="s">
        <v>3240</v>
      </c>
      <c r="D3424" s="265" t="s">
        <v>9880</v>
      </c>
      <c r="E3424" s="262" t="s">
        <v>207</v>
      </c>
    </row>
    <row r="3425" spans="1:5" ht="30">
      <c r="A3425" s="261">
        <v>4329</v>
      </c>
      <c r="B3425" s="261" t="s">
        <v>7508</v>
      </c>
      <c r="C3425" s="261" t="s">
        <v>3240</v>
      </c>
      <c r="D3425" s="265" t="s">
        <v>9971</v>
      </c>
      <c r="E3425" s="262" t="s">
        <v>207</v>
      </c>
    </row>
    <row r="3426" spans="1:5" ht="30">
      <c r="A3426" s="261">
        <v>4383</v>
      </c>
      <c r="B3426" s="261" t="s">
        <v>7509</v>
      </c>
      <c r="C3426" s="261" t="s">
        <v>3240</v>
      </c>
      <c r="D3426" s="265" t="s">
        <v>12449</v>
      </c>
      <c r="E3426" s="262" t="s">
        <v>207</v>
      </c>
    </row>
    <row r="3427" spans="1:5" ht="30">
      <c r="A3427" s="261">
        <v>4344</v>
      </c>
      <c r="B3427" s="261" t="s">
        <v>7510</v>
      </c>
      <c r="C3427" s="261" t="s">
        <v>3240</v>
      </c>
      <c r="D3427" s="265" t="s">
        <v>14114</v>
      </c>
      <c r="E3427" s="262" t="s">
        <v>207</v>
      </c>
    </row>
    <row r="3428" spans="1:5" ht="30">
      <c r="A3428" s="261">
        <v>436</v>
      </c>
      <c r="B3428" s="261" t="s">
        <v>7511</v>
      </c>
      <c r="C3428" s="261" t="s">
        <v>3240</v>
      </c>
      <c r="D3428" s="265" t="s">
        <v>11299</v>
      </c>
      <c r="E3428" s="262" t="s">
        <v>207</v>
      </c>
    </row>
    <row r="3429" spans="1:5" ht="30">
      <c r="A3429" s="261">
        <v>442</v>
      </c>
      <c r="B3429" s="261" t="s">
        <v>7512</v>
      </c>
      <c r="C3429" s="261" t="s">
        <v>3240</v>
      </c>
      <c r="D3429" s="265" t="s">
        <v>18774</v>
      </c>
      <c r="E3429" s="262" t="s">
        <v>207</v>
      </c>
    </row>
    <row r="3430" spans="1:5" ht="30">
      <c r="A3430" s="261">
        <v>11953</v>
      </c>
      <c r="B3430" s="261" t="s">
        <v>7513</v>
      </c>
      <c r="C3430" s="261" t="s">
        <v>3240</v>
      </c>
      <c r="D3430" s="265" t="s">
        <v>20004</v>
      </c>
      <c r="E3430" s="262" t="s">
        <v>207</v>
      </c>
    </row>
    <row r="3431" spans="1:5" ht="30">
      <c r="A3431" s="261">
        <v>4335</v>
      </c>
      <c r="B3431" s="261" t="s">
        <v>7514</v>
      </c>
      <c r="C3431" s="261" t="s">
        <v>3240</v>
      </c>
      <c r="D3431" s="265" t="s">
        <v>20317</v>
      </c>
      <c r="E3431" s="262" t="s">
        <v>207</v>
      </c>
    </row>
    <row r="3432" spans="1:5" ht="30">
      <c r="A3432" s="261">
        <v>4334</v>
      </c>
      <c r="B3432" s="261" t="s">
        <v>7515</v>
      </c>
      <c r="C3432" s="261" t="s">
        <v>3240</v>
      </c>
      <c r="D3432" s="265" t="s">
        <v>16591</v>
      </c>
      <c r="E3432" s="262" t="s">
        <v>207</v>
      </c>
    </row>
    <row r="3433" spans="1:5" ht="30">
      <c r="A3433" s="261">
        <v>4343</v>
      </c>
      <c r="B3433" s="261" t="s">
        <v>7516</v>
      </c>
      <c r="C3433" s="261" t="s">
        <v>3240</v>
      </c>
      <c r="D3433" s="265" t="s">
        <v>20318</v>
      </c>
      <c r="E3433" s="262" t="s">
        <v>207</v>
      </c>
    </row>
    <row r="3434" spans="1:5" ht="30">
      <c r="A3434" s="261">
        <v>430</v>
      </c>
      <c r="B3434" s="261" t="s">
        <v>7517</v>
      </c>
      <c r="C3434" s="261" t="s">
        <v>3240</v>
      </c>
      <c r="D3434" s="265" t="s">
        <v>10113</v>
      </c>
      <c r="E3434" s="262" t="s">
        <v>207</v>
      </c>
    </row>
    <row r="3435" spans="1:5" ht="30">
      <c r="A3435" s="261">
        <v>441</v>
      </c>
      <c r="B3435" s="261" t="s">
        <v>7518</v>
      </c>
      <c r="C3435" s="261" t="s">
        <v>3240</v>
      </c>
      <c r="D3435" s="265" t="s">
        <v>9761</v>
      </c>
      <c r="E3435" s="262" t="s">
        <v>207</v>
      </c>
    </row>
    <row r="3436" spans="1:5" ht="30">
      <c r="A3436" s="261">
        <v>431</v>
      </c>
      <c r="B3436" s="261" t="s">
        <v>7519</v>
      </c>
      <c r="C3436" s="261" t="s">
        <v>3240</v>
      </c>
      <c r="D3436" s="265" t="s">
        <v>16530</v>
      </c>
      <c r="E3436" s="262" t="s">
        <v>207</v>
      </c>
    </row>
    <row r="3437" spans="1:5" ht="30">
      <c r="A3437" s="261">
        <v>432</v>
      </c>
      <c r="B3437" s="261" t="s">
        <v>7520</v>
      </c>
      <c r="C3437" s="261" t="s">
        <v>3240</v>
      </c>
      <c r="D3437" s="265" t="s">
        <v>12466</v>
      </c>
      <c r="E3437" s="262" t="s">
        <v>207</v>
      </c>
    </row>
    <row r="3438" spans="1:5" ht="30">
      <c r="A3438" s="261">
        <v>429</v>
      </c>
      <c r="B3438" s="261" t="s">
        <v>7521</v>
      </c>
      <c r="C3438" s="261" t="s">
        <v>3240</v>
      </c>
      <c r="D3438" s="265" t="s">
        <v>10203</v>
      </c>
      <c r="E3438" s="262" t="s">
        <v>207</v>
      </c>
    </row>
    <row r="3439" spans="1:5" ht="30">
      <c r="A3439" s="261">
        <v>439</v>
      </c>
      <c r="B3439" s="261" t="s">
        <v>7522</v>
      </c>
      <c r="C3439" s="261" t="s">
        <v>3240</v>
      </c>
      <c r="D3439" s="265" t="s">
        <v>10553</v>
      </c>
      <c r="E3439" s="262" t="s">
        <v>207</v>
      </c>
    </row>
    <row r="3440" spans="1:5" ht="30">
      <c r="A3440" s="261">
        <v>433</v>
      </c>
      <c r="B3440" s="261" t="s">
        <v>7523</v>
      </c>
      <c r="C3440" s="261" t="s">
        <v>3240</v>
      </c>
      <c r="D3440" s="265" t="s">
        <v>20118</v>
      </c>
      <c r="E3440" s="262" t="s">
        <v>207</v>
      </c>
    </row>
    <row r="3441" spans="1:5" ht="30">
      <c r="A3441" s="261">
        <v>437</v>
      </c>
      <c r="B3441" s="261" t="s">
        <v>7524</v>
      </c>
      <c r="C3441" s="261" t="s">
        <v>3240</v>
      </c>
      <c r="D3441" s="265" t="s">
        <v>11136</v>
      </c>
      <c r="E3441" s="262" t="s">
        <v>207</v>
      </c>
    </row>
    <row r="3442" spans="1:5" ht="30">
      <c r="A3442" s="261">
        <v>11790</v>
      </c>
      <c r="B3442" s="261" t="s">
        <v>7525</v>
      </c>
      <c r="C3442" s="261" t="s">
        <v>3240</v>
      </c>
      <c r="D3442" s="265" t="s">
        <v>19955</v>
      </c>
      <c r="E3442" s="262" t="s">
        <v>207</v>
      </c>
    </row>
    <row r="3443" spans="1:5" ht="30">
      <c r="A3443" s="261">
        <v>428</v>
      </c>
      <c r="B3443" s="261" t="s">
        <v>7526</v>
      </c>
      <c r="C3443" s="261" t="s">
        <v>3240</v>
      </c>
      <c r="D3443" s="265" t="s">
        <v>20319</v>
      </c>
      <c r="E3443" s="262" t="s">
        <v>207</v>
      </c>
    </row>
    <row r="3444" spans="1:5" ht="30">
      <c r="A3444" s="261">
        <v>4384</v>
      </c>
      <c r="B3444" s="261" t="s">
        <v>7527</v>
      </c>
      <c r="C3444" s="261" t="s">
        <v>3240</v>
      </c>
      <c r="D3444" s="265" t="s">
        <v>20320</v>
      </c>
      <c r="E3444" s="262" t="s">
        <v>207</v>
      </c>
    </row>
    <row r="3445" spans="1:5" ht="30">
      <c r="A3445" s="261">
        <v>4351</v>
      </c>
      <c r="B3445" s="261" t="s">
        <v>7528</v>
      </c>
      <c r="C3445" s="261" t="s">
        <v>3240</v>
      </c>
      <c r="D3445" s="265" t="s">
        <v>16691</v>
      </c>
      <c r="E3445" s="262" t="s">
        <v>207</v>
      </c>
    </row>
    <row r="3446" spans="1:5" ht="30">
      <c r="A3446" s="261">
        <v>11054</v>
      </c>
      <c r="B3446" s="261" t="s">
        <v>7529</v>
      </c>
      <c r="C3446" s="261" t="s">
        <v>3240</v>
      </c>
      <c r="D3446" s="265" t="s">
        <v>9917</v>
      </c>
      <c r="E3446" s="262" t="s">
        <v>207</v>
      </c>
    </row>
    <row r="3447" spans="1:5" ht="30">
      <c r="A3447" s="261">
        <v>11055</v>
      </c>
      <c r="B3447" s="261" t="s">
        <v>7530</v>
      </c>
      <c r="C3447" s="261" t="s">
        <v>3240</v>
      </c>
      <c r="D3447" s="265" t="s">
        <v>9982</v>
      </c>
      <c r="E3447" s="262" t="s">
        <v>207</v>
      </c>
    </row>
    <row r="3448" spans="1:5" ht="30">
      <c r="A3448" s="261">
        <v>11056</v>
      </c>
      <c r="B3448" s="261" t="s">
        <v>7531</v>
      </c>
      <c r="C3448" s="261" t="s">
        <v>3240</v>
      </c>
      <c r="D3448" s="265" t="s">
        <v>9824</v>
      </c>
      <c r="E3448" s="262" t="s">
        <v>207</v>
      </c>
    </row>
    <row r="3449" spans="1:5" ht="30">
      <c r="A3449" s="261">
        <v>11057</v>
      </c>
      <c r="B3449" s="261" t="s">
        <v>7532</v>
      </c>
      <c r="C3449" s="261" t="s">
        <v>3240</v>
      </c>
      <c r="D3449" s="265" t="s">
        <v>9879</v>
      </c>
      <c r="E3449" s="262" t="s">
        <v>207</v>
      </c>
    </row>
    <row r="3450" spans="1:5" ht="30">
      <c r="A3450" s="261">
        <v>11059</v>
      </c>
      <c r="B3450" s="261" t="s">
        <v>7533</v>
      </c>
      <c r="C3450" s="261" t="s">
        <v>3240</v>
      </c>
      <c r="D3450" s="265" t="s">
        <v>9871</v>
      </c>
      <c r="E3450" s="262" t="s">
        <v>207</v>
      </c>
    </row>
    <row r="3451" spans="1:5" ht="30">
      <c r="A3451" s="261">
        <v>11058</v>
      </c>
      <c r="B3451" s="261" t="s">
        <v>7534</v>
      </c>
      <c r="C3451" s="261" t="s">
        <v>3240</v>
      </c>
      <c r="D3451" s="265" t="s">
        <v>9918</v>
      </c>
      <c r="E3451" s="262" t="s">
        <v>207</v>
      </c>
    </row>
    <row r="3452" spans="1:5" ht="15">
      <c r="A3452" s="261">
        <v>4380</v>
      </c>
      <c r="B3452" s="261" t="s">
        <v>7535</v>
      </c>
      <c r="C3452" s="261" t="s">
        <v>3240</v>
      </c>
      <c r="D3452" s="265" t="s">
        <v>10013</v>
      </c>
      <c r="E3452" s="262" t="s">
        <v>207</v>
      </c>
    </row>
    <row r="3453" spans="1:5" ht="30">
      <c r="A3453" s="261">
        <v>4299</v>
      </c>
      <c r="B3453" s="261" t="s">
        <v>7536</v>
      </c>
      <c r="C3453" s="261" t="s">
        <v>3240</v>
      </c>
      <c r="D3453" s="265" t="s">
        <v>77</v>
      </c>
      <c r="E3453" s="262" t="s">
        <v>207</v>
      </c>
    </row>
    <row r="3454" spans="1:5" ht="30">
      <c r="A3454" s="261">
        <v>4304</v>
      </c>
      <c r="B3454" s="261" t="s">
        <v>7537</v>
      </c>
      <c r="C3454" s="261" t="s">
        <v>3240</v>
      </c>
      <c r="D3454" s="265" t="s">
        <v>9903</v>
      </c>
      <c r="E3454" s="262" t="s">
        <v>207</v>
      </c>
    </row>
    <row r="3455" spans="1:5" ht="30">
      <c r="A3455" s="261">
        <v>4305</v>
      </c>
      <c r="B3455" s="261" t="s">
        <v>7538</v>
      </c>
      <c r="C3455" s="261" t="s">
        <v>3240</v>
      </c>
      <c r="D3455" s="265" t="s">
        <v>11246</v>
      </c>
      <c r="E3455" s="262" t="s">
        <v>207</v>
      </c>
    </row>
    <row r="3456" spans="1:5" ht="30">
      <c r="A3456" s="261">
        <v>4306</v>
      </c>
      <c r="B3456" s="261" t="s">
        <v>7539</v>
      </c>
      <c r="C3456" s="261" t="s">
        <v>3240</v>
      </c>
      <c r="D3456" s="265" t="s">
        <v>9970</v>
      </c>
      <c r="E3456" s="262" t="s">
        <v>207</v>
      </c>
    </row>
    <row r="3457" spans="1:5" ht="30">
      <c r="A3457" s="261">
        <v>4308</v>
      </c>
      <c r="B3457" s="261" t="s">
        <v>7540</v>
      </c>
      <c r="C3457" s="261" t="s">
        <v>3240</v>
      </c>
      <c r="D3457" s="265" t="s">
        <v>10967</v>
      </c>
      <c r="E3457" s="262" t="s">
        <v>207</v>
      </c>
    </row>
    <row r="3458" spans="1:5" ht="30">
      <c r="A3458" s="261">
        <v>4302</v>
      </c>
      <c r="B3458" s="261" t="s">
        <v>7541</v>
      </c>
      <c r="C3458" s="261" t="s">
        <v>3240</v>
      </c>
      <c r="D3458" s="265" t="s">
        <v>9932</v>
      </c>
      <c r="E3458" s="262" t="s">
        <v>207</v>
      </c>
    </row>
    <row r="3459" spans="1:5" ht="30">
      <c r="A3459" s="261">
        <v>4300</v>
      </c>
      <c r="B3459" s="261" t="s">
        <v>7542</v>
      </c>
      <c r="C3459" s="261" t="s">
        <v>3240</v>
      </c>
      <c r="D3459" s="265" t="s">
        <v>9764</v>
      </c>
      <c r="E3459" s="262" t="s">
        <v>207</v>
      </c>
    </row>
    <row r="3460" spans="1:5" ht="30">
      <c r="A3460" s="261">
        <v>4301</v>
      </c>
      <c r="B3460" s="261" t="s">
        <v>7543</v>
      </c>
      <c r="C3460" s="261" t="s">
        <v>3240</v>
      </c>
      <c r="D3460" s="265" t="s">
        <v>10909</v>
      </c>
      <c r="E3460" s="262" t="s">
        <v>207</v>
      </c>
    </row>
    <row r="3461" spans="1:5" ht="30">
      <c r="A3461" s="261">
        <v>4320</v>
      </c>
      <c r="B3461" s="261" t="s">
        <v>7544</v>
      </c>
      <c r="C3461" s="261" t="s">
        <v>3240</v>
      </c>
      <c r="D3461" s="265" t="s">
        <v>10097</v>
      </c>
      <c r="E3461" s="262" t="s">
        <v>207</v>
      </c>
    </row>
    <row r="3462" spans="1:5" ht="30">
      <c r="A3462" s="261">
        <v>4318</v>
      </c>
      <c r="B3462" s="261" t="s">
        <v>7545</v>
      </c>
      <c r="C3462" s="261" t="s">
        <v>3240</v>
      </c>
      <c r="D3462" s="265" t="s">
        <v>9779</v>
      </c>
      <c r="E3462" s="262" t="s">
        <v>207</v>
      </c>
    </row>
    <row r="3463" spans="1:5" ht="15">
      <c r="A3463" s="261">
        <v>40547</v>
      </c>
      <c r="B3463" s="261" t="s">
        <v>7546</v>
      </c>
      <c r="C3463" s="261" t="s">
        <v>3255</v>
      </c>
      <c r="D3463" s="265" t="s">
        <v>9816</v>
      </c>
      <c r="E3463" s="262" t="s">
        <v>207</v>
      </c>
    </row>
    <row r="3464" spans="1:5" ht="30">
      <c r="A3464" s="261">
        <v>11962</v>
      </c>
      <c r="B3464" s="261" t="s">
        <v>7547</v>
      </c>
      <c r="C3464" s="261" t="s">
        <v>3240</v>
      </c>
      <c r="D3464" s="265" t="s">
        <v>9879</v>
      </c>
      <c r="E3464" s="262" t="s">
        <v>207</v>
      </c>
    </row>
    <row r="3465" spans="1:5" ht="30">
      <c r="A3465" s="261">
        <v>4332</v>
      </c>
      <c r="B3465" s="261" t="s">
        <v>7548</v>
      </c>
      <c r="C3465" s="261" t="s">
        <v>3240</v>
      </c>
      <c r="D3465" s="265" t="s">
        <v>9928</v>
      </c>
      <c r="E3465" s="262" t="s">
        <v>207</v>
      </c>
    </row>
    <row r="3466" spans="1:5" ht="30">
      <c r="A3466" s="261">
        <v>4331</v>
      </c>
      <c r="B3466" s="261" t="s">
        <v>7549</v>
      </c>
      <c r="C3466" s="261" t="s">
        <v>3240</v>
      </c>
      <c r="D3466" s="266" t="s">
        <v>11416</v>
      </c>
      <c r="E3466" s="262" t="s">
        <v>207</v>
      </c>
    </row>
    <row r="3467" spans="1:5" ht="30">
      <c r="A3467" s="261">
        <v>4336</v>
      </c>
      <c r="B3467" s="261" t="s">
        <v>7550</v>
      </c>
      <c r="C3467" s="261" t="s">
        <v>3240</v>
      </c>
      <c r="D3467" s="266" t="s">
        <v>20321</v>
      </c>
      <c r="E3467" s="262" t="s">
        <v>207</v>
      </c>
    </row>
    <row r="3468" spans="1:5" ht="30">
      <c r="A3468" s="261">
        <v>13294</v>
      </c>
      <c r="B3468" s="261" t="s">
        <v>7551</v>
      </c>
      <c r="C3468" s="261" t="s">
        <v>3240</v>
      </c>
      <c r="D3468" s="266" t="s">
        <v>10909</v>
      </c>
      <c r="E3468" s="262" t="s">
        <v>207</v>
      </c>
    </row>
    <row r="3469" spans="1:5" ht="30">
      <c r="A3469" s="261">
        <v>11948</v>
      </c>
      <c r="B3469" s="261" t="s">
        <v>7552</v>
      </c>
      <c r="C3469" s="261" t="s">
        <v>3240</v>
      </c>
      <c r="D3469" s="266" t="s">
        <v>9988</v>
      </c>
      <c r="E3469" s="262" t="s">
        <v>207</v>
      </c>
    </row>
    <row r="3470" spans="1:5" ht="30">
      <c r="A3470" s="261">
        <v>4382</v>
      </c>
      <c r="B3470" s="261" t="s">
        <v>7553</v>
      </c>
      <c r="C3470" s="261" t="s">
        <v>3240</v>
      </c>
      <c r="D3470" s="266" t="s">
        <v>9934</v>
      </c>
      <c r="E3470" s="262" t="s">
        <v>207</v>
      </c>
    </row>
    <row r="3471" spans="1:5" ht="30">
      <c r="A3471" s="261">
        <v>4354</v>
      </c>
      <c r="B3471" s="261" t="s">
        <v>7554</v>
      </c>
      <c r="C3471" s="261" t="s">
        <v>3240</v>
      </c>
      <c r="D3471" s="266" t="s">
        <v>20322</v>
      </c>
      <c r="E3471" s="262" t="s">
        <v>207</v>
      </c>
    </row>
    <row r="3472" spans="1:5" ht="30">
      <c r="A3472" s="261">
        <v>40839</v>
      </c>
      <c r="B3472" s="261" t="s">
        <v>7555</v>
      </c>
      <c r="C3472" s="261" t="s">
        <v>3255</v>
      </c>
      <c r="D3472" s="266" t="s">
        <v>11535</v>
      </c>
      <c r="E3472" s="262" t="s">
        <v>207</v>
      </c>
    </row>
    <row r="3473" spans="1:5" ht="30">
      <c r="A3473" s="261">
        <v>40552</v>
      </c>
      <c r="B3473" s="261" t="s">
        <v>7556</v>
      </c>
      <c r="C3473" s="261" t="s">
        <v>3255</v>
      </c>
      <c r="D3473" s="266" t="s">
        <v>20323</v>
      </c>
      <c r="E3473" s="262" t="s">
        <v>207</v>
      </c>
    </row>
    <row r="3474" spans="1:5" ht="30">
      <c r="A3474" s="261">
        <v>40549</v>
      </c>
      <c r="B3474" s="261" t="s">
        <v>7557</v>
      </c>
      <c r="C3474" s="261" t="s">
        <v>3255</v>
      </c>
      <c r="D3474" s="266" t="s">
        <v>20324</v>
      </c>
      <c r="E3474" s="262" t="s">
        <v>207</v>
      </c>
    </row>
    <row r="3475" spans="1:5" ht="30">
      <c r="A3475" s="261">
        <v>4385</v>
      </c>
      <c r="B3475" s="261" t="s">
        <v>11906</v>
      </c>
      <c r="C3475" s="261" t="s">
        <v>3250</v>
      </c>
      <c r="D3475" s="266" t="s">
        <v>16595</v>
      </c>
      <c r="E3475" s="262" t="s">
        <v>207</v>
      </c>
    </row>
    <row r="3476" spans="1:5" ht="30">
      <c r="A3476" s="261">
        <v>20078</v>
      </c>
      <c r="B3476" s="261" t="s">
        <v>7558</v>
      </c>
      <c r="C3476" s="261" t="s">
        <v>3240</v>
      </c>
      <c r="D3476" s="265" t="s">
        <v>9726</v>
      </c>
      <c r="E3476" s="262" t="s">
        <v>207</v>
      </c>
    </row>
    <row r="3477" spans="1:5" ht="15">
      <c r="A3477" s="261">
        <v>39897</v>
      </c>
      <c r="B3477" s="261" t="s">
        <v>7559</v>
      </c>
      <c r="C3477" s="261" t="s">
        <v>3240</v>
      </c>
      <c r="D3477" s="265" t="s">
        <v>12127</v>
      </c>
      <c r="E3477" s="262" t="s">
        <v>207</v>
      </c>
    </row>
    <row r="3478" spans="1:5" ht="15">
      <c r="A3478" s="261">
        <v>118</v>
      </c>
      <c r="B3478" s="261" t="s">
        <v>7560</v>
      </c>
      <c r="C3478" s="261" t="s">
        <v>3240</v>
      </c>
      <c r="D3478" s="265" t="s">
        <v>20325</v>
      </c>
      <c r="E3478" s="262" t="s">
        <v>207</v>
      </c>
    </row>
    <row r="3479" spans="1:5" ht="30">
      <c r="A3479" s="261">
        <v>4396</v>
      </c>
      <c r="B3479" s="261" t="s">
        <v>7561</v>
      </c>
      <c r="C3479" s="261" t="s">
        <v>3242</v>
      </c>
      <c r="D3479" s="265" t="s">
        <v>20326</v>
      </c>
      <c r="E3479" s="262" t="s">
        <v>207</v>
      </c>
    </row>
    <row r="3480" spans="1:5" ht="30">
      <c r="A3480" s="261">
        <v>36881</v>
      </c>
      <c r="B3480" s="261" t="s">
        <v>7562</v>
      </c>
      <c r="C3480" s="261" t="s">
        <v>3242</v>
      </c>
      <c r="D3480" s="265" t="s">
        <v>20327</v>
      </c>
      <c r="E3480" s="262" t="s">
        <v>207</v>
      </c>
    </row>
    <row r="3481" spans="1:5" ht="30">
      <c r="A3481" s="261">
        <v>36882</v>
      </c>
      <c r="B3481" s="261" t="s">
        <v>7563</v>
      </c>
      <c r="C3481" s="261" t="s">
        <v>3242</v>
      </c>
      <c r="D3481" s="265" t="s">
        <v>20328</v>
      </c>
      <c r="E3481" s="262" t="s">
        <v>207</v>
      </c>
    </row>
    <row r="3482" spans="1:5" ht="30">
      <c r="A3482" s="261">
        <v>4397</v>
      </c>
      <c r="B3482" s="261" t="s">
        <v>7564</v>
      </c>
      <c r="C3482" s="261" t="s">
        <v>3242</v>
      </c>
      <c r="D3482" s="265" t="s">
        <v>20329</v>
      </c>
      <c r="E3482" s="262" t="s">
        <v>207</v>
      </c>
    </row>
    <row r="3483" spans="1:5" ht="15">
      <c r="A3483" s="261">
        <v>4751</v>
      </c>
      <c r="B3483" s="261" t="s">
        <v>7565</v>
      </c>
      <c r="C3483" s="261" t="s">
        <v>3239</v>
      </c>
      <c r="D3483" s="265" t="s">
        <v>12385</v>
      </c>
      <c r="E3483" s="262" t="s">
        <v>9714</v>
      </c>
    </row>
    <row r="3484" spans="1:5" ht="15">
      <c r="A3484" s="261">
        <v>41066</v>
      </c>
      <c r="B3484" s="261" t="s">
        <v>7566</v>
      </c>
      <c r="C3484" s="261" t="s">
        <v>3246</v>
      </c>
      <c r="D3484" s="265" t="s">
        <v>20330</v>
      </c>
      <c r="E3484" s="262" t="s">
        <v>9714</v>
      </c>
    </row>
    <row r="3485" spans="1:5" ht="15">
      <c r="A3485" s="261">
        <v>39604</v>
      </c>
      <c r="B3485" s="261" t="s">
        <v>7567</v>
      </c>
      <c r="C3485" s="261" t="s">
        <v>3240</v>
      </c>
      <c r="D3485" s="265" t="s">
        <v>16149</v>
      </c>
      <c r="E3485" s="262" t="s">
        <v>207</v>
      </c>
    </row>
    <row r="3486" spans="1:5" ht="15">
      <c r="A3486" s="261">
        <v>39605</v>
      </c>
      <c r="B3486" s="261" t="s">
        <v>7568</v>
      </c>
      <c r="C3486" s="261" t="s">
        <v>3240</v>
      </c>
      <c r="D3486" s="265" t="s">
        <v>10641</v>
      </c>
      <c r="E3486" s="262" t="s">
        <v>207</v>
      </c>
    </row>
    <row r="3487" spans="1:5" ht="15">
      <c r="A3487" s="261">
        <v>39606</v>
      </c>
      <c r="B3487" s="261" t="s">
        <v>7569</v>
      </c>
      <c r="C3487" s="261" t="s">
        <v>3240</v>
      </c>
      <c r="D3487" s="265" t="s">
        <v>10543</v>
      </c>
      <c r="E3487" s="262" t="s">
        <v>207</v>
      </c>
    </row>
    <row r="3488" spans="1:5" ht="15">
      <c r="A3488" s="261">
        <v>39607</v>
      </c>
      <c r="B3488" s="261" t="s">
        <v>7570</v>
      </c>
      <c r="C3488" s="261" t="s">
        <v>3240</v>
      </c>
      <c r="D3488" s="265" t="s">
        <v>20331</v>
      </c>
      <c r="E3488" s="262" t="s">
        <v>207</v>
      </c>
    </row>
    <row r="3489" spans="1:5" ht="15">
      <c r="A3489" s="261">
        <v>39594</v>
      </c>
      <c r="B3489" s="261" t="s">
        <v>7571</v>
      </c>
      <c r="C3489" s="261" t="s">
        <v>3240</v>
      </c>
      <c r="D3489" s="265" t="s">
        <v>20332</v>
      </c>
      <c r="E3489" s="262" t="s">
        <v>207</v>
      </c>
    </row>
    <row r="3490" spans="1:5" ht="15">
      <c r="A3490" s="261">
        <v>39596</v>
      </c>
      <c r="B3490" s="261" t="s">
        <v>7572</v>
      </c>
      <c r="C3490" s="261" t="s">
        <v>3240</v>
      </c>
      <c r="D3490" s="265" t="s">
        <v>12225</v>
      </c>
      <c r="E3490" s="262" t="s">
        <v>207</v>
      </c>
    </row>
    <row r="3491" spans="1:5" ht="15">
      <c r="A3491" s="261">
        <v>39595</v>
      </c>
      <c r="B3491" s="261" t="s">
        <v>7573</v>
      </c>
      <c r="C3491" s="261" t="s">
        <v>3240</v>
      </c>
      <c r="D3491" s="265" t="s">
        <v>20333</v>
      </c>
      <c r="E3491" s="262" t="s">
        <v>207</v>
      </c>
    </row>
    <row r="3492" spans="1:5" ht="15">
      <c r="A3492" s="261">
        <v>39597</v>
      </c>
      <c r="B3492" s="261" t="s">
        <v>7574</v>
      </c>
      <c r="C3492" s="261" t="s">
        <v>3240</v>
      </c>
      <c r="D3492" s="265" t="s">
        <v>20334</v>
      </c>
      <c r="E3492" s="262" t="s">
        <v>207</v>
      </c>
    </row>
    <row r="3493" spans="1:5" ht="15">
      <c r="A3493" s="261">
        <v>10731</v>
      </c>
      <c r="B3493" s="261" t="s">
        <v>7575</v>
      </c>
      <c r="C3493" s="261" t="s">
        <v>3242</v>
      </c>
      <c r="D3493" s="265" t="s">
        <v>20335</v>
      </c>
      <c r="E3493" s="262" t="s">
        <v>207</v>
      </c>
    </row>
    <row r="3494" spans="1:5" ht="15">
      <c r="A3494" s="261">
        <v>4704</v>
      </c>
      <c r="B3494" s="261" t="s">
        <v>7576</v>
      </c>
      <c r="C3494" s="261" t="s">
        <v>3242</v>
      </c>
      <c r="D3494" s="265" t="s">
        <v>11266</v>
      </c>
      <c r="E3494" s="262" t="s">
        <v>207</v>
      </c>
    </row>
    <row r="3495" spans="1:5" ht="15">
      <c r="A3495" s="261">
        <v>10730</v>
      </c>
      <c r="B3495" s="261" t="s">
        <v>7577</v>
      </c>
      <c r="C3495" s="261" t="s">
        <v>3242</v>
      </c>
      <c r="D3495" s="265" t="s">
        <v>12250</v>
      </c>
      <c r="E3495" s="262" t="s">
        <v>207</v>
      </c>
    </row>
    <row r="3496" spans="1:5" ht="30">
      <c r="A3496" s="261">
        <v>4729</v>
      </c>
      <c r="B3496" s="261" t="s">
        <v>7578</v>
      </c>
      <c r="C3496" s="261" t="s">
        <v>3241</v>
      </c>
      <c r="D3496" s="265" t="s">
        <v>14226</v>
      </c>
      <c r="E3496" s="262" t="s">
        <v>207</v>
      </c>
    </row>
    <row r="3497" spans="1:5" ht="30">
      <c r="A3497" s="261">
        <v>4720</v>
      </c>
      <c r="B3497" s="261" t="s">
        <v>7579</v>
      </c>
      <c r="C3497" s="261" t="s">
        <v>3241</v>
      </c>
      <c r="D3497" s="265" t="s">
        <v>16597</v>
      </c>
      <c r="E3497" s="262" t="s">
        <v>207</v>
      </c>
    </row>
    <row r="3498" spans="1:5" ht="15">
      <c r="A3498" s="261">
        <v>4721</v>
      </c>
      <c r="B3498" s="261" t="s">
        <v>7580</v>
      </c>
      <c r="C3498" s="261" t="s">
        <v>3241</v>
      </c>
      <c r="D3498" s="265" t="s">
        <v>16598</v>
      </c>
      <c r="E3498" s="262" t="s">
        <v>207</v>
      </c>
    </row>
    <row r="3499" spans="1:5" ht="15">
      <c r="A3499" s="261">
        <v>4718</v>
      </c>
      <c r="B3499" s="261" t="s">
        <v>7581</v>
      </c>
      <c r="C3499" s="261" t="s">
        <v>3241</v>
      </c>
      <c r="D3499" s="265" t="s">
        <v>16599</v>
      </c>
      <c r="E3499" s="262" t="s">
        <v>207</v>
      </c>
    </row>
    <row r="3500" spans="1:5" ht="15">
      <c r="A3500" s="261">
        <v>4722</v>
      </c>
      <c r="B3500" s="261" t="s">
        <v>7582</v>
      </c>
      <c r="C3500" s="261" t="s">
        <v>3241</v>
      </c>
      <c r="D3500" s="265" t="s">
        <v>16600</v>
      </c>
      <c r="E3500" s="262" t="s">
        <v>207</v>
      </c>
    </row>
    <row r="3501" spans="1:5" ht="15">
      <c r="A3501" s="261">
        <v>4723</v>
      </c>
      <c r="B3501" s="261" t="s">
        <v>7583</v>
      </c>
      <c r="C3501" s="261" t="s">
        <v>3241</v>
      </c>
      <c r="D3501" s="265" t="s">
        <v>16601</v>
      </c>
      <c r="E3501" s="262" t="s">
        <v>207</v>
      </c>
    </row>
    <row r="3502" spans="1:5" ht="15">
      <c r="A3502" s="261">
        <v>4727</v>
      </c>
      <c r="B3502" s="261" t="s">
        <v>7584</v>
      </c>
      <c r="C3502" s="261" t="s">
        <v>3241</v>
      </c>
      <c r="D3502" s="265" t="s">
        <v>16602</v>
      </c>
      <c r="E3502" s="262" t="s">
        <v>207</v>
      </c>
    </row>
    <row r="3503" spans="1:5" ht="30">
      <c r="A3503" s="261">
        <v>4748</v>
      </c>
      <c r="B3503" s="261" t="s">
        <v>7585</v>
      </c>
      <c r="C3503" s="261" t="s">
        <v>3241</v>
      </c>
      <c r="D3503" s="265" t="s">
        <v>16603</v>
      </c>
      <c r="E3503" s="262" t="s">
        <v>207</v>
      </c>
    </row>
    <row r="3504" spans="1:5" ht="30">
      <c r="A3504" s="261">
        <v>4730</v>
      </c>
      <c r="B3504" s="261" t="s">
        <v>7586</v>
      </c>
      <c r="C3504" s="261" t="s">
        <v>3241</v>
      </c>
      <c r="D3504" s="265" t="s">
        <v>16604</v>
      </c>
      <c r="E3504" s="262" t="s">
        <v>207</v>
      </c>
    </row>
    <row r="3505" spans="1:5" ht="45">
      <c r="A3505" s="261">
        <v>13186</v>
      </c>
      <c r="B3505" s="261" t="s">
        <v>7587</v>
      </c>
      <c r="C3505" s="261" t="s">
        <v>3241</v>
      </c>
      <c r="D3505" s="265" t="s">
        <v>16605</v>
      </c>
      <c r="E3505" s="262" t="s">
        <v>207</v>
      </c>
    </row>
    <row r="3506" spans="1:5" ht="45">
      <c r="A3506" s="261">
        <v>10737</v>
      </c>
      <c r="B3506" s="261" t="s">
        <v>7588</v>
      </c>
      <c r="C3506" s="261" t="s">
        <v>3242</v>
      </c>
      <c r="D3506" s="265" t="s">
        <v>20336</v>
      </c>
      <c r="E3506" s="262" t="s">
        <v>207</v>
      </c>
    </row>
    <row r="3507" spans="1:5" ht="30">
      <c r="A3507" s="261">
        <v>10734</v>
      </c>
      <c r="B3507" s="261" t="s">
        <v>7589</v>
      </c>
      <c r="C3507" s="261" t="s">
        <v>3242</v>
      </c>
      <c r="D3507" s="265" t="s">
        <v>20337</v>
      </c>
      <c r="E3507" s="262" t="s">
        <v>207</v>
      </c>
    </row>
    <row r="3508" spans="1:5" ht="15">
      <c r="A3508" s="261">
        <v>4708</v>
      </c>
      <c r="B3508" s="261" t="s">
        <v>7590</v>
      </c>
      <c r="C3508" s="261" t="s">
        <v>3242</v>
      </c>
      <c r="D3508" s="265" t="s">
        <v>20338</v>
      </c>
      <c r="E3508" s="262" t="s">
        <v>207</v>
      </c>
    </row>
    <row r="3509" spans="1:5" ht="45">
      <c r="A3509" s="261">
        <v>4712</v>
      </c>
      <c r="B3509" s="261" t="s">
        <v>7591</v>
      </c>
      <c r="C3509" s="261" t="s">
        <v>3242</v>
      </c>
      <c r="D3509" s="265" t="s">
        <v>12351</v>
      </c>
      <c r="E3509" s="262" t="s">
        <v>207</v>
      </c>
    </row>
    <row r="3510" spans="1:5" ht="45">
      <c r="A3510" s="261">
        <v>4710</v>
      </c>
      <c r="B3510" s="261" t="s">
        <v>7592</v>
      </c>
      <c r="C3510" s="261" t="s">
        <v>3242</v>
      </c>
      <c r="D3510" s="265" t="s">
        <v>20339</v>
      </c>
      <c r="E3510" s="262" t="s">
        <v>207</v>
      </c>
    </row>
    <row r="3511" spans="1:5" ht="30">
      <c r="A3511" s="261">
        <v>4746</v>
      </c>
      <c r="B3511" s="261" t="s">
        <v>7593</v>
      </c>
      <c r="C3511" s="261" t="s">
        <v>3241</v>
      </c>
      <c r="D3511" s="265" t="s">
        <v>16607</v>
      </c>
      <c r="E3511" s="262" t="s">
        <v>207</v>
      </c>
    </row>
    <row r="3512" spans="1:5" ht="15">
      <c r="A3512" s="261">
        <v>4750</v>
      </c>
      <c r="B3512" s="261" t="s">
        <v>7594</v>
      </c>
      <c r="C3512" s="261" t="s">
        <v>3239</v>
      </c>
      <c r="D3512" s="265" t="s">
        <v>11524</v>
      </c>
      <c r="E3512" s="262" t="s">
        <v>9714</v>
      </c>
    </row>
    <row r="3513" spans="1:5" ht="15">
      <c r="A3513" s="261">
        <v>41065</v>
      </c>
      <c r="B3513" s="261" t="s">
        <v>7595</v>
      </c>
      <c r="C3513" s="261" t="s">
        <v>3246</v>
      </c>
      <c r="D3513" s="265" t="s">
        <v>18936</v>
      </c>
      <c r="E3513" s="262" t="s">
        <v>9714</v>
      </c>
    </row>
    <row r="3514" spans="1:5" ht="30">
      <c r="A3514" s="261">
        <v>34747</v>
      </c>
      <c r="B3514" s="261" t="s">
        <v>7596</v>
      </c>
      <c r="C3514" s="261" t="s">
        <v>3243</v>
      </c>
      <c r="D3514" s="265" t="s">
        <v>18768</v>
      </c>
      <c r="E3514" s="262" t="s">
        <v>207</v>
      </c>
    </row>
    <row r="3515" spans="1:5" ht="30">
      <c r="A3515" s="261">
        <v>4826</v>
      </c>
      <c r="B3515" s="261" t="s">
        <v>7597</v>
      </c>
      <c r="C3515" s="261" t="s">
        <v>3243</v>
      </c>
      <c r="D3515" s="265" t="s">
        <v>16361</v>
      </c>
      <c r="E3515" s="262" t="s">
        <v>207</v>
      </c>
    </row>
    <row r="3516" spans="1:5" ht="15">
      <c r="A3516" s="261">
        <v>41975</v>
      </c>
      <c r="B3516" s="261" t="s">
        <v>7598</v>
      </c>
      <c r="C3516" s="261" t="s">
        <v>3242</v>
      </c>
      <c r="D3516" s="265" t="s">
        <v>20340</v>
      </c>
      <c r="E3516" s="262" t="s">
        <v>207</v>
      </c>
    </row>
    <row r="3517" spans="1:5" ht="30">
      <c r="A3517" s="261">
        <v>4825</v>
      </c>
      <c r="B3517" s="261" t="s">
        <v>7599</v>
      </c>
      <c r="C3517" s="261" t="s">
        <v>3243</v>
      </c>
      <c r="D3517" s="265" t="s">
        <v>20341</v>
      </c>
      <c r="E3517" s="262" t="s">
        <v>207</v>
      </c>
    </row>
    <row r="3518" spans="1:5" ht="15">
      <c r="A3518" s="261">
        <v>34744</v>
      </c>
      <c r="B3518" s="261" t="s">
        <v>7600</v>
      </c>
      <c r="C3518" s="261" t="s">
        <v>3242</v>
      </c>
      <c r="D3518" s="265" t="s">
        <v>10072</v>
      </c>
      <c r="E3518" s="262" t="s">
        <v>207</v>
      </c>
    </row>
    <row r="3519" spans="1:5" ht="30">
      <c r="A3519" s="261">
        <v>39430</v>
      </c>
      <c r="B3519" s="261" t="s">
        <v>7601</v>
      </c>
      <c r="C3519" s="261" t="s">
        <v>3240</v>
      </c>
      <c r="D3519" s="265" t="s">
        <v>11162</v>
      </c>
      <c r="E3519" s="262" t="s">
        <v>207</v>
      </c>
    </row>
    <row r="3520" spans="1:5" ht="30">
      <c r="A3520" s="261">
        <v>39573</v>
      </c>
      <c r="B3520" s="261" t="s">
        <v>7602</v>
      </c>
      <c r="C3520" s="261" t="s">
        <v>3240</v>
      </c>
      <c r="D3520" s="265" t="s">
        <v>11366</v>
      </c>
      <c r="E3520" s="262" t="s">
        <v>207</v>
      </c>
    </row>
    <row r="3521" spans="1:5" ht="30">
      <c r="A3521" s="261">
        <v>38410</v>
      </c>
      <c r="B3521" s="261" t="s">
        <v>7603</v>
      </c>
      <c r="C3521" s="261" t="s">
        <v>3240</v>
      </c>
      <c r="D3521" s="265" t="s">
        <v>20342</v>
      </c>
      <c r="E3521" s="262" t="s">
        <v>207</v>
      </c>
    </row>
    <row r="3522" spans="1:5" ht="15">
      <c r="A3522" s="261">
        <v>41596</v>
      </c>
      <c r="B3522" s="261" t="s">
        <v>9545</v>
      </c>
      <c r="C3522" s="261" t="s">
        <v>3244</v>
      </c>
      <c r="D3522" s="265" t="s">
        <v>11130</v>
      </c>
      <c r="E3522" s="262" t="s">
        <v>207</v>
      </c>
    </row>
    <row r="3523" spans="1:5" ht="15">
      <c r="A3523" s="261">
        <v>41598</v>
      </c>
      <c r="B3523" s="261" t="s">
        <v>9546</v>
      </c>
      <c r="C3523" s="261" t="s">
        <v>3244</v>
      </c>
      <c r="D3523" s="265" t="s">
        <v>11130</v>
      </c>
      <c r="E3523" s="262" t="s">
        <v>207</v>
      </c>
    </row>
    <row r="3524" spans="1:5" ht="15">
      <c r="A3524" s="261">
        <v>41594</v>
      </c>
      <c r="B3524" s="261" t="s">
        <v>9547</v>
      </c>
      <c r="C3524" s="261" t="s">
        <v>3244</v>
      </c>
      <c r="D3524" s="265" t="s">
        <v>20118</v>
      </c>
      <c r="E3524" s="262" t="s">
        <v>207</v>
      </c>
    </row>
    <row r="3525" spans="1:5" ht="15">
      <c r="A3525" s="261">
        <v>43663</v>
      </c>
      <c r="B3525" s="261" t="s">
        <v>9548</v>
      </c>
      <c r="C3525" s="261" t="s">
        <v>3244</v>
      </c>
      <c r="D3525" s="265" t="s">
        <v>11240</v>
      </c>
      <c r="E3525" s="262" t="s">
        <v>207</v>
      </c>
    </row>
    <row r="3526" spans="1:5" ht="15">
      <c r="A3526" s="261">
        <v>4766</v>
      </c>
      <c r="B3526" s="261" t="s">
        <v>9549</v>
      </c>
      <c r="C3526" s="261" t="s">
        <v>3244</v>
      </c>
      <c r="D3526" s="265" t="s">
        <v>16181</v>
      </c>
      <c r="E3526" s="262" t="s">
        <v>207</v>
      </c>
    </row>
    <row r="3527" spans="1:5" ht="15">
      <c r="A3527" s="261">
        <v>43664</v>
      </c>
      <c r="B3527" s="261" t="s">
        <v>9550</v>
      </c>
      <c r="C3527" s="261" t="s">
        <v>3244</v>
      </c>
      <c r="D3527" s="265" t="s">
        <v>16113</v>
      </c>
      <c r="E3527" s="262" t="s">
        <v>207</v>
      </c>
    </row>
    <row r="3528" spans="1:5" ht="15">
      <c r="A3528" s="261">
        <v>43082</v>
      </c>
      <c r="B3528" s="261" t="s">
        <v>9551</v>
      </c>
      <c r="C3528" s="261" t="s">
        <v>3244</v>
      </c>
      <c r="D3528" s="265" t="s">
        <v>11468</v>
      </c>
      <c r="E3528" s="262" t="s">
        <v>207</v>
      </c>
    </row>
    <row r="3529" spans="1:5" ht="15">
      <c r="A3529" s="261">
        <v>43665</v>
      </c>
      <c r="B3529" s="261" t="s">
        <v>7604</v>
      </c>
      <c r="C3529" s="261" t="s">
        <v>3244</v>
      </c>
      <c r="D3529" s="265" t="s">
        <v>16181</v>
      </c>
      <c r="E3529" s="262" t="s">
        <v>207</v>
      </c>
    </row>
    <row r="3530" spans="1:5" ht="15">
      <c r="A3530" s="261">
        <v>10966</v>
      </c>
      <c r="B3530" s="261" t="s">
        <v>7605</v>
      </c>
      <c r="C3530" s="261" t="s">
        <v>3244</v>
      </c>
      <c r="D3530" s="265" t="s">
        <v>11240</v>
      </c>
      <c r="E3530" s="262" t="s">
        <v>207</v>
      </c>
    </row>
    <row r="3531" spans="1:5" ht="30">
      <c r="A3531" s="261">
        <v>43692</v>
      </c>
      <c r="B3531" s="261" t="s">
        <v>9552</v>
      </c>
      <c r="C3531" s="261" t="s">
        <v>3244</v>
      </c>
      <c r="D3531" s="265" t="s">
        <v>11240</v>
      </c>
      <c r="E3531" s="262" t="s">
        <v>207</v>
      </c>
    </row>
    <row r="3532" spans="1:5" ht="30">
      <c r="A3532" s="261">
        <v>43083</v>
      </c>
      <c r="B3532" s="261" t="s">
        <v>9553</v>
      </c>
      <c r="C3532" s="261" t="s">
        <v>3244</v>
      </c>
      <c r="D3532" s="265" t="s">
        <v>10501</v>
      </c>
      <c r="E3532" s="262" t="s">
        <v>207</v>
      </c>
    </row>
    <row r="3533" spans="1:5" ht="15">
      <c r="A3533" s="261">
        <v>40535</v>
      </c>
      <c r="B3533" s="261" t="s">
        <v>7606</v>
      </c>
      <c r="C3533" s="261" t="s">
        <v>3244</v>
      </c>
      <c r="D3533" s="266" t="s">
        <v>10501</v>
      </c>
      <c r="E3533" s="262" t="s">
        <v>207</v>
      </c>
    </row>
    <row r="3534" spans="1:5" ht="30">
      <c r="A3534" s="261">
        <v>39427</v>
      </c>
      <c r="B3534" s="261" t="s">
        <v>7607</v>
      </c>
      <c r="C3534" s="261" t="s">
        <v>3243</v>
      </c>
      <c r="D3534" s="265" t="s">
        <v>10327</v>
      </c>
      <c r="E3534" s="262" t="s">
        <v>207</v>
      </c>
    </row>
    <row r="3535" spans="1:5" ht="30">
      <c r="A3535" s="261">
        <v>39424</v>
      </c>
      <c r="B3535" s="261" t="s">
        <v>7608</v>
      </c>
      <c r="C3535" s="261" t="s">
        <v>3243</v>
      </c>
      <c r="D3535" s="265" t="s">
        <v>11257</v>
      </c>
      <c r="E3535" s="262" t="s">
        <v>207</v>
      </c>
    </row>
    <row r="3536" spans="1:5" ht="30">
      <c r="A3536" s="261">
        <v>39425</v>
      </c>
      <c r="B3536" s="261" t="s">
        <v>7609</v>
      </c>
      <c r="C3536" s="261" t="s">
        <v>3243</v>
      </c>
      <c r="D3536" s="265" t="s">
        <v>10653</v>
      </c>
      <c r="E3536" s="262" t="s">
        <v>207</v>
      </c>
    </row>
    <row r="3537" spans="1:5" ht="15">
      <c r="A3537" s="261">
        <v>40664</v>
      </c>
      <c r="B3537" s="261" t="s">
        <v>7610</v>
      </c>
      <c r="C3537" s="261" t="s">
        <v>3244</v>
      </c>
      <c r="D3537" s="265" t="s">
        <v>19500</v>
      </c>
      <c r="E3537" s="262" t="s">
        <v>207</v>
      </c>
    </row>
    <row r="3538" spans="1:5" ht="15">
      <c r="A3538" s="261">
        <v>34360</v>
      </c>
      <c r="B3538" s="261" t="s">
        <v>7611</v>
      </c>
      <c r="C3538" s="261" t="s">
        <v>3244</v>
      </c>
      <c r="D3538" s="265" t="s">
        <v>12448</v>
      </c>
      <c r="E3538" s="262" t="s">
        <v>207</v>
      </c>
    </row>
    <row r="3539" spans="1:5" ht="15">
      <c r="A3539" s="261">
        <v>20259</v>
      </c>
      <c r="B3539" s="261" t="s">
        <v>7612</v>
      </c>
      <c r="C3539" s="261" t="s">
        <v>3243</v>
      </c>
      <c r="D3539" s="265" t="s">
        <v>11295</v>
      </c>
      <c r="E3539" s="262" t="s">
        <v>207</v>
      </c>
    </row>
    <row r="3540" spans="1:5" ht="45">
      <c r="A3540" s="261">
        <v>14077</v>
      </c>
      <c r="B3540" s="261" t="s">
        <v>7613</v>
      </c>
      <c r="C3540" s="261" t="s">
        <v>3243</v>
      </c>
      <c r="D3540" s="265" t="s">
        <v>20343</v>
      </c>
      <c r="E3540" s="262" t="s">
        <v>207</v>
      </c>
    </row>
    <row r="3541" spans="1:5" ht="45">
      <c r="A3541" s="261">
        <v>3678</v>
      </c>
      <c r="B3541" s="261" t="s">
        <v>7614</v>
      </c>
      <c r="C3541" s="261" t="s">
        <v>3243</v>
      </c>
      <c r="D3541" s="265" t="s">
        <v>20344</v>
      </c>
      <c r="E3541" s="262" t="s">
        <v>207</v>
      </c>
    </row>
    <row r="3542" spans="1:5" ht="30">
      <c r="A3542" s="261">
        <v>39418</v>
      </c>
      <c r="B3542" s="261" t="s">
        <v>7615</v>
      </c>
      <c r="C3542" s="261" t="s">
        <v>3243</v>
      </c>
      <c r="D3542" s="265" t="s">
        <v>11281</v>
      </c>
      <c r="E3542" s="262" t="s">
        <v>207</v>
      </c>
    </row>
    <row r="3543" spans="1:5" ht="30">
      <c r="A3543" s="261">
        <v>39419</v>
      </c>
      <c r="B3543" s="261" t="s">
        <v>7616</v>
      </c>
      <c r="C3543" s="261" t="s">
        <v>3243</v>
      </c>
      <c r="D3543" s="265" t="s">
        <v>9966</v>
      </c>
      <c r="E3543" s="262" t="s">
        <v>207</v>
      </c>
    </row>
    <row r="3544" spans="1:5" ht="30">
      <c r="A3544" s="261">
        <v>39420</v>
      </c>
      <c r="B3544" s="261" t="s">
        <v>7617</v>
      </c>
      <c r="C3544" s="261" t="s">
        <v>3243</v>
      </c>
      <c r="D3544" s="265" t="s">
        <v>16182</v>
      </c>
      <c r="E3544" s="262" t="s">
        <v>207</v>
      </c>
    </row>
    <row r="3545" spans="1:5" ht="30">
      <c r="A3545" s="261">
        <v>39571</v>
      </c>
      <c r="B3545" s="261" t="s">
        <v>7618</v>
      </c>
      <c r="C3545" s="261" t="s">
        <v>3243</v>
      </c>
      <c r="D3545" s="265" t="s">
        <v>11307</v>
      </c>
      <c r="E3545" s="262" t="s">
        <v>207</v>
      </c>
    </row>
    <row r="3546" spans="1:5" ht="30">
      <c r="A3546" s="261">
        <v>39421</v>
      </c>
      <c r="B3546" s="261" t="s">
        <v>7619</v>
      </c>
      <c r="C3546" s="261" t="s">
        <v>3243</v>
      </c>
      <c r="D3546" s="265" t="s">
        <v>10477</v>
      </c>
      <c r="E3546" s="262" t="s">
        <v>207</v>
      </c>
    </row>
    <row r="3547" spans="1:5" ht="30">
      <c r="A3547" s="261">
        <v>39422</v>
      </c>
      <c r="B3547" s="261" t="s">
        <v>7620</v>
      </c>
      <c r="C3547" s="261" t="s">
        <v>3243</v>
      </c>
      <c r="D3547" s="265" t="s">
        <v>10511</v>
      </c>
      <c r="E3547" s="262" t="s">
        <v>207</v>
      </c>
    </row>
    <row r="3548" spans="1:5" ht="30">
      <c r="A3548" s="261">
        <v>39423</v>
      </c>
      <c r="B3548" s="261" t="s">
        <v>7621</v>
      </c>
      <c r="C3548" s="261" t="s">
        <v>3243</v>
      </c>
      <c r="D3548" s="265" t="s">
        <v>11349</v>
      </c>
      <c r="E3548" s="262" t="s">
        <v>207</v>
      </c>
    </row>
    <row r="3549" spans="1:5" ht="30">
      <c r="A3549" s="261">
        <v>39426</v>
      </c>
      <c r="B3549" s="261" t="s">
        <v>7622</v>
      </c>
      <c r="C3549" s="261" t="s">
        <v>3243</v>
      </c>
      <c r="D3549" s="265" t="s">
        <v>20345</v>
      </c>
      <c r="E3549" s="262" t="s">
        <v>207</v>
      </c>
    </row>
    <row r="3550" spans="1:5" ht="30">
      <c r="A3550" s="261">
        <v>39429</v>
      </c>
      <c r="B3550" s="261" t="s">
        <v>7623</v>
      </c>
      <c r="C3550" s="261" t="s">
        <v>3243</v>
      </c>
      <c r="D3550" s="265" t="s">
        <v>11498</v>
      </c>
      <c r="E3550" s="262" t="s">
        <v>207</v>
      </c>
    </row>
    <row r="3551" spans="1:5" ht="30">
      <c r="A3551" s="261">
        <v>39428</v>
      </c>
      <c r="B3551" s="261" t="s">
        <v>7624</v>
      </c>
      <c r="C3551" s="261" t="s">
        <v>3243</v>
      </c>
      <c r="D3551" s="265" t="s">
        <v>19062</v>
      </c>
      <c r="E3551" s="262" t="s">
        <v>207</v>
      </c>
    </row>
    <row r="3552" spans="1:5" ht="30">
      <c r="A3552" s="261">
        <v>39572</v>
      </c>
      <c r="B3552" s="261" t="s">
        <v>7625</v>
      </c>
      <c r="C3552" s="261" t="s">
        <v>3243</v>
      </c>
      <c r="D3552" s="265" t="s">
        <v>11389</v>
      </c>
      <c r="E3552" s="262" t="s">
        <v>207</v>
      </c>
    </row>
    <row r="3553" spans="1:5" ht="30">
      <c r="A3553" s="261">
        <v>39570</v>
      </c>
      <c r="B3553" s="261" t="s">
        <v>7626</v>
      </c>
      <c r="C3553" s="261" t="s">
        <v>3243</v>
      </c>
      <c r="D3553" s="265" t="s">
        <v>9799</v>
      </c>
      <c r="E3553" s="262" t="s">
        <v>207</v>
      </c>
    </row>
    <row r="3554" spans="1:5" ht="30">
      <c r="A3554" s="261">
        <v>39569</v>
      </c>
      <c r="B3554" s="261" t="s">
        <v>7627</v>
      </c>
      <c r="C3554" s="261" t="s">
        <v>3243</v>
      </c>
      <c r="D3554" s="265" t="s">
        <v>20346</v>
      </c>
      <c r="E3554" s="262" t="s">
        <v>207</v>
      </c>
    </row>
    <row r="3555" spans="1:5" ht="30">
      <c r="A3555" s="261">
        <v>11552</v>
      </c>
      <c r="B3555" s="261" t="s">
        <v>11907</v>
      </c>
      <c r="C3555" s="261" t="s">
        <v>3243</v>
      </c>
      <c r="D3555" s="265" t="s">
        <v>10660</v>
      </c>
      <c r="E3555" s="262" t="s">
        <v>207</v>
      </c>
    </row>
    <row r="3556" spans="1:5" ht="30">
      <c r="A3556" s="261">
        <v>40598</v>
      </c>
      <c r="B3556" s="261" t="s">
        <v>7628</v>
      </c>
      <c r="C3556" s="261" t="s">
        <v>3244</v>
      </c>
      <c r="D3556" s="265" t="s">
        <v>11474</v>
      </c>
      <c r="E3556" s="262" t="s">
        <v>207</v>
      </c>
    </row>
    <row r="3557" spans="1:5" ht="15">
      <c r="A3557" s="261">
        <v>39029</v>
      </c>
      <c r="B3557" s="261" t="s">
        <v>7629</v>
      </c>
      <c r="C3557" s="261" t="s">
        <v>3243</v>
      </c>
      <c r="D3557" s="265" t="s">
        <v>14236</v>
      </c>
      <c r="E3557" s="262" t="s">
        <v>207</v>
      </c>
    </row>
    <row r="3558" spans="1:5" ht="15">
      <c r="A3558" s="261">
        <v>39028</v>
      </c>
      <c r="B3558" s="261" t="s">
        <v>7630</v>
      </c>
      <c r="C3558" s="261" t="s">
        <v>3243</v>
      </c>
      <c r="D3558" s="265" t="s">
        <v>10486</v>
      </c>
      <c r="E3558" s="262" t="s">
        <v>207</v>
      </c>
    </row>
    <row r="3559" spans="1:5" ht="15">
      <c r="A3559" s="261">
        <v>39328</v>
      </c>
      <c r="B3559" s="261" t="s">
        <v>7631</v>
      </c>
      <c r="C3559" s="261" t="s">
        <v>3243</v>
      </c>
      <c r="D3559" s="265" t="s">
        <v>20147</v>
      </c>
      <c r="E3559" s="262" t="s">
        <v>207</v>
      </c>
    </row>
    <row r="3560" spans="1:5" ht="45">
      <c r="A3560" s="261">
        <v>38541</v>
      </c>
      <c r="B3560" s="261" t="s">
        <v>7632</v>
      </c>
      <c r="C3560" s="261" t="s">
        <v>3240</v>
      </c>
      <c r="D3560" s="265" t="s">
        <v>20347</v>
      </c>
      <c r="E3560" s="262" t="s">
        <v>8987</v>
      </c>
    </row>
    <row r="3561" spans="1:5" ht="45">
      <c r="A3561" s="261">
        <v>38542</v>
      </c>
      <c r="B3561" s="261" t="s">
        <v>7633</v>
      </c>
      <c r="C3561" s="261" t="s">
        <v>3240</v>
      </c>
      <c r="D3561" s="265" t="s">
        <v>20348</v>
      </c>
      <c r="E3561" s="262" t="s">
        <v>8987</v>
      </c>
    </row>
    <row r="3562" spans="1:5" ht="60">
      <c r="A3562" s="261">
        <v>38543</v>
      </c>
      <c r="B3562" s="261" t="s">
        <v>7634</v>
      </c>
      <c r="C3562" s="261" t="s">
        <v>3240</v>
      </c>
      <c r="D3562" s="265" t="s">
        <v>20349</v>
      </c>
      <c r="E3562" s="262" t="s">
        <v>8987</v>
      </c>
    </row>
    <row r="3563" spans="1:5" ht="30">
      <c r="A3563" s="261">
        <v>40406</v>
      </c>
      <c r="B3563" s="261" t="s">
        <v>7635</v>
      </c>
      <c r="C3563" s="261" t="s">
        <v>3240</v>
      </c>
      <c r="D3563" s="265" t="s">
        <v>20350</v>
      </c>
      <c r="E3563" s="262" t="s">
        <v>8987</v>
      </c>
    </row>
    <row r="3564" spans="1:5" ht="30">
      <c r="A3564" s="261">
        <v>40789</v>
      </c>
      <c r="B3564" s="261" t="s">
        <v>7636</v>
      </c>
      <c r="C3564" s="261" t="s">
        <v>3240</v>
      </c>
      <c r="D3564" s="265" t="s">
        <v>20351</v>
      </c>
      <c r="E3564" s="262" t="s">
        <v>8987</v>
      </c>
    </row>
    <row r="3565" spans="1:5" ht="30">
      <c r="A3565" s="261">
        <v>40791</v>
      </c>
      <c r="B3565" s="261" t="s">
        <v>7637</v>
      </c>
      <c r="C3565" s="261" t="s">
        <v>3240</v>
      </c>
      <c r="D3565" s="265" t="s">
        <v>20352</v>
      </c>
      <c r="E3565" s="262" t="s">
        <v>8987</v>
      </c>
    </row>
    <row r="3566" spans="1:5" ht="30">
      <c r="A3566" s="261">
        <v>11651</v>
      </c>
      <c r="B3566" s="261" t="s">
        <v>7638</v>
      </c>
      <c r="C3566" s="261" t="s">
        <v>3240</v>
      </c>
      <c r="D3566" s="265" t="s">
        <v>20353</v>
      </c>
      <c r="E3566" s="262" t="s">
        <v>8987</v>
      </c>
    </row>
    <row r="3567" spans="1:5" ht="30">
      <c r="A3567" s="261">
        <v>42002</v>
      </c>
      <c r="B3567" s="261" t="s">
        <v>7639</v>
      </c>
      <c r="C3567" s="261" t="s">
        <v>3240</v>
      </c>
      <c r="D3567" s="265" t="s">
        <v>20354</v>
      </c>
      <c r="E3567" s="262" t="s">
        <v>8987</v>
      </c>
    </row>
    <row r="3568" spans="1:5" ht="30">
      <c r="A3568" s="261">
        <v>40435</v>
      </c>
      <c r="B3568" s="261" t="s">
        <v>7640</v>
      </c>
      <c r="C3568" s="261" t="s">
        <v>3240</v>
      </c>
      <c r="D3568" s="265" t="s">
        <v>20355</v>
      </c>
      <c r="E3568" s="262" t="s">
        <v>8987</v>
      </c>
    </row>
    <row r="3569" spans="1:5" ht="30">
      <c r="A3569" s="261">
        <v>39012</v>
      </c>
      <c r="B3569" s="261" t="s">
        <v>7641</v>
      </c>
      <c r="C3569" s="261" t="s">
        <v>3240</v>
      </c>
      <c r="D3569" s="265" t="s">
        <v>20356</v>
      </c>
      <c r="E3569" s="262" t="s">
        <v>8987</v>
      </c>
    </row>
    <row r="3570" spans="1:5" ht="30">
      <c r="A3570" s="261">
        <v>13617</v>
      </c>
      <c r="B3570" s="261" t="s">
        <v>7642</v>
      </c>
      <c r="C3570" s="261" t="s">
        <v>3240</v>
      </c>
      <c r="D3570" s="265" t="s">
        <v>20357</v>
      </c>
      <c r="E3570" s="262" t="s">
        <v>8987</v>
      </c>
    </row>
    <row r="3571" spans="1:5" ht="30">
      <c r="A3571" s="261">
        <v>35274</v>
      </c>
      <c r="B3571" s="261" t="s">
        <v>11908</v>
      </c>
      <c r="C3571" s="261" t="s">
        <v>3243</v>
      </c>
      <c r="D3571" s="265" t="s">
        <v>20358</v>
      </c>
      <c r="E3571" s="262" t="s">
        <v>207</v>
      </c>
    </row>
    <row r="3572" spans="1:5" ht="30">
      <c r="A3572" s="261">
        <v>35275</v>
      </c>
      <c r="B3572" s="261" t="s">
        <v>11909</v>
      </c>
      <c r="C3572" s="261" t="s">
        <v>3243</v>
      </c>
      <c r="D3572" s="265" t="s">
        <v>15926</v>
      </c>
      <c r="E3572" s="262" t="s">
        <v>207</v>
      </c>
    </row>
    <row r="3573" spans="1:5" ht="30">
      <c r="A3573" s="261">
        <v>35276</v>
      </c>
      <c r="B3573" s="261" t="s">
        <v>11910</v>
      </c>
      <c r="C3573" s="261" t="s">
        <v>3243</v>
      </c>
      <c r="D3573" s="265" t="s">
        <v>20359</v>
      </c>
      <c r="E3573" s="262" t="s">
        <v>207</v>
      </c>
    </row>
    <row r="3574" spans="1:5" ht="15">
      <c r="A3574" s="261">
        <v>38386</v>
      </c>
      <c r="B3574" s="261" t="s">
        <v>7643</v>
      </c>
      <c r="C3574" s="261" t="s">
        <v>3240</v>
      </c>
      <c r="D3574" s="265" t="s">
        <v>11319</v>
      </c>
      <c r="E3574" s="262" t="s">
        <v>207</v>
      </c>
    </row>
    <row r="3575" spans="1:5" ht="30">
      <c r="A3575" s="261">
        <v>11091</v>
      </c>
      <c r="B3575" s="261" t="s">
        <v>7644</v>
      </c>
      <c r="C3575" s="261" t="s">
        <v>3240</v>
      </c>
      <c r="D3575" s="265" t="s">
        <v>10081</v>
      </c>
      <c r="E3575" s="262" t="s">
        <v>207</v>
      </c>
    </row>
    <row r="3576" spans="1:5" ht="30">
      <c r="A3576" s="261">
        <v>37586</v>
      </c>
      <c r="B3576" s="261" t="s">
        <v>7645</v>
      </c>
      <c r="C3576" s="261" t="s">
        <v>3255</v>
      </c>
      <c r="D3576" s="265" t="s">
        <v>12435</v>
      </c>
      <c r="E3576" s="262" t="s">
        <v>207</v>
      </c>
    </row>
    <row r="3577" spans="1:5" ht="15">
      <c r="A3577" s="261">
        <v>37395</v>
      </c>
      <c r="B3577" s="261" t="s">
        <v>7646</v>
      </c>
      <c r="C3577" s="261" t="s">
        <v>3255</v>
      </c>
      <c r="D3577" s="265" t="s">
        <v>16609</v>
      </c>
      <c r="E3577" s="262" t="s">
        <v>207</v>
      </c>
    </row>
    <row r="3578" spans="1:5" ht="30">
      <c r="A3578" s="261">
        <v>14147</v>
      </c>
      <c r="B3578" s="261" t="s">
        <v>7647</v>
      </c>
      <c r="C3578" s="261" t="s">
        <v>3255</v>
      </c>
      <c r="D3578" s="266" t="s">
        <v>16610</v>
      </c>
      <c r="E3578" s="262" t="s">
        <v>207</v>
      </c>
    </row>
    <row r="3579" spans="1:5" ht="15">
      <c r="A3579" s="261">
        <v>37396</v>
      </c>
      <c r="B3579" s="261" t="s">
        <v>7648</v>
      </c>
      <c r="C3579" s="261" t="s">
        <v>3255</v>
      </c>
      <c r="D3579" s="265" t="s">
        <v>16494</v>
      </c>
      <c r="E3579" s="262" t="s">
        <v>207</v>
      </c>
    </row>
    <row r="3580" spans="1:5" ht="15">
      <c r="A3580" s="261">
        <v>37397</v>
      </c>
      <c r="B3580" s="261" t="s">
        <v>7649</v>
      </c>
      <c r="C3580" s="261" t="s">
        <v>3255</v>
      </c>
      <c r="D3580" s="265" t="s">
        <v>16112</v>
      </c>
      <c r="E3580" s="262" t="s">
        <v>207</v>
      </c>
    </row>
    <row r="3581" spans="1:5" ht="30">
      <c r="A3581" s="261">
        <v>43606</v>
      </c>
      <c r="B3581" s="261" t="s">
        <v>11911</v>
      </c>
      <c r="C3581" s="261" t="s">
        <v>3240</v>
      </c>
      <c r="D3581" s="265" t="s">
        <v>10244</v>
      </c>
      <c r="E3581" s="262" t="s">
        <v>207</v>
      </c>
    </row>
    <row r="3582" spans="1:5" ht="30">
      <c r="A3582" s="261">
        <v>444</v>
      </c>
      <c r="B3582" s="261" t="s">
        <v>7650</v>
      </c>
      <c r="C3582" s="261" t="s">
        <v>3240</v>
      </c>
      <c r="D3582" s="265" t="s">
        <v>10451</v>
      </c>
      <c r="E3582" s="262" t="s">
        <v>207</v>
      </c>
    </row>
    <row r="3583" spans="1:5" ht="30">
      <c r="A3583" s="261">
        <v>445</v>
      </c>
      <c r="B3583" s="261" t="s">
        <v>7651</v>
      </c>
      <c r="C3583" s="261" t="s">
        <v>3240</v>
      </c>
      <c r="D3583" s="265" t="s">
        <v>20360</v>
      </c>
      <c r="E3583" s="262" t="s">
        <v>207</v>
      </c>
    </row>
    <row r="3584" spans="1:5" ht="15">
      <c r="A3584" s="261">
        <v>4783</v>
      </c>
      <c r="B3584" s="261" t="s">
        <v>7652</v>
      </c>
      <c r="C3584" s="261" t="s">
        <v>3239</v>
      </c>
      <c r="D3584" s="265" t="s">
        <v>11524</v>
      </c>
      <c r="E3584" s="262" t="s">
        <v>9714</v>
      </c>
    </row>
    <row r="3585" spans="1:5" ht="15">
      <c r="A3585" s="261">
        <v>41079</v>
      </c>
      <c r="B3585" s="261" t="s">
        <v>7653</v>
      </c>
      <c r="C3585" s="261" t="s">
        <v>3246</v>
      </c>
      <c r="D3585" s="265" t="s">
        <v>18936</v>
      </c>
      <c r="E3585" s="262" t="s">
        <v>9714</v>
      </c>
    </row>
    <row r="3586" spans="1:5" ht="15">
      <c r="A3586" s="261">
        <v>12874</v>
      </c>
      <c r="B3586" s="261" t="s">
        <v>7654</v>
      </c>
      <c r="C3586" s="261" t="s">
        <v>3239</v>
      </c>
      <c r="D3586" s="265" t="s">
        <v>15813</v>
      </c>
      <c r="E3586" s="262" t="s">
        <v>9714</v>
      </c>
    </row>
    <row r="3587" spans="1:5" ht="15">
      <c r="A3587" s="261">
        <v>41082</v>
      </c>
      <c r="B3587" s="261" t="s">
        <v>7655</v>
      </c>
      <c r="C3587" s="261" t="s">
        <v>3246</v>
      </c>
      <c r="D3587" s="265" t="s">
        <v>20361</v>
      </c>
      <c r="E3587" s="262" t="s">
        <v>9714</v>
      </c>
    </row>
    <row r="3588" spans="1:5" ht="15">
      <c r="A3588" s="261">
        <v>4785</v>
      </c>
      <c r="B3588" s="261" t="s">
        <v>7656</v>
      </c>
      <c r="C3588" s="261" t="s">
        <v>3239</v>
      </c>
      <c r="D3588" s="265" t="s">
        <v>10092</v>
      </c>
      <c r="E3588" s="262" t="s">
        <v>9714</v>
      </c>
    </row>
    <row r="3589" spans="1:5" ht="15">
      <c r="A3589" s="261">
        <v>41081</v>
      </c>
      <c r="B3589" s="261" t="s">
        <v>7657</v>
      </c>
      <c r="C3589" s="261" t="s">
        <v>3246</v>
      </c>
      <c r="D3589" s="265" t="s">
        <v>20362</v>
      </c>
      <c r="E3589" s="262" t="s">
        <v>9714</v>
      </c>
    </row>
    <row r="3590" spans="1:5" ht="15">
      <c r="A3590" s="261">
        <v>4801</v>
      </c>
      <c r="B3590" s="261" t="s">
        <v>7658</v>
      </c>
      <c r="C3590" s="261" t="s">
        <v>3242</v>
      </c>
      <c r="D3590" s="265" t="s">
        <v>20363</v>
      </c>
      <c r="E3590" s="262" t="s">
        <v>207</v>
      </c>
    </row>
    <row r="3591" spans="1:5" ht="30">
      <c r="A3591" s="261">
        <v>4794</v>
      </c>
      <c r="B3591" s="261" t="s">
        <v>7659</v>
      </c>
      <c r="C3591" s="261" t="s">
        <v>3242</v>
      </c>
      <c r="D3591" s="265" t="s">
        <v>20364</v>
      </c>
      <c r="E3591" s="262" t="s">
        <v>207</v>
      </c>
    </row>
    <row r="3592" spans="1:5" ht="30">
      <c r="A3592" s="261">
        <v>4796</v>
      </c>
      <c r="B3592" s="261" t="s">
        <v>7660</v>
      </c>
      <c r="C3592" s="261" t="s">
        <v>3242</v>
      </c>
      <c r="D3592" s="265" t="s">
        <v>20365</v>
      </c>
      <c r="E3592" s="262" t="s">
        <v>207</v>
      </c>
    </row>
    <row r="3593" spans="1:5" ht="30">
      <c r="A3593" s="261">
        <v>4800</v>
      </c>
      <c r="B3593" s="261" t="s">
        <v>7661</v>
      </c>
      <c r="C3593" s="261" t="s">
        <v>3242</v>
      </c>
      <c r="D3593" s="265" t="s">
        <v>20366</v>
      </c>
      <c r="E3593" s="262" t="s">
        <v>207</v>
      </c>
    </row>
    <row r="3594" spans="1:5" ht="30">
      <c r="A3594" s="261">
        <v>4795</v>
      </c>
      <c r="B3594" s="261" t="s">
        <v>7662</v>
      </c>
      <c r="C3594" s="261" t="s">
        <v>3242</v>
      </c>
      <c r="D3594" s="265" t="s">
        <v>20367</v>
      </c>
      <c r="E3594" s="262" t="s">
        <v>207</v>
      </c>
    </row>
    <row r="3595" spans="1:5" ht="45">
      <c r="A3595" s="261">
        <v>39694</v>
      </c>
      <c r="B3595" s="261" t="s">
        <v>7663</v>
      </c>
      <c r="C3595" s="261" t="s">
        <v>3242</v>
      </c>
      <c r="D3595" s="265" t="s">
        <v>20368</v>
      </c>
      <c r="E3595" s="262" t="s">
        <v>207</v>
      </c>
    </row>
    <row r="3596" spans="1:5" ht="30">
      <c r="A3596" s="261">
        <v>1292</v>
      </c>
      <c r="B3596" s="261" t="s">
        <v>7664</v>
      </c>
      <c r="C3596" s="261" t="s">
        <v>3242</v>
      </c>
      <c r="D3596" s="265" t="s">
        <v>12435</v>
      </c>
      <c r="E3596" s="262" t="s">
        <v>207</v>
      </c>
    </row>
    <row r="3597" spans="1:5" ht="30">
      <c r="A3597" s="261">
        <v>1287</v>
      </c>
      <c r="B3597" s="261" t="s">
        <v>7665</v>
      </c>
      <c r="C3597" s="261" t="s">
        <v>3242</v>
      </c>
      <c r="D3597" s="265" t="s">
        <v>10423</v>
      </c>
      <c r="E3597" s="262" t="s">
        <v>207</v>
      </c>
    </row>
    <row r="3598" spans="1:5" ht="30">
      <c r="A3598" s="261">
        <v>1297</v>
      </c>
      <c r="B3598" s="261" t="s">
        <v>7666</v>
      </c>
      <c r="C3598" s="261" t="s">
        <v>3242</v>
      </c>
      <c r="D3598" s="265" t="s">
        <v>10351</v>
      </c>
      <c r="E3598" s="262" t="s">
        <v>207</v>
      </c>
    </row>
    <row r="3599" spans="1:5" ht="30">
      <c r="A3599" s="261">
        <v>4786</v>
      </c>
      <c r="B3599" s="261" t="s">
        <v>7667</v>
      </c>
      <c r="C3599" s="261" t="s">
        <v>3242</v>
      </c>
      <c r="D3599" s="265" t="s">
        <v>20369</v>
      </c>
      <c r="E3599" s="262" t="s">
        <v>207</v>
      </c>
    </row>
    <row r="3600" spans="1:5" ht="45">
      <c r="A3600" s="261">
        <v>10840</v>
      </c>
      <c r="B3600" s="261" t="s">
        <v>7668</v>
      </c>
      <c r="C3600" s="261" t="s">
        <v>3242</v>
      </c>
      <c r="D3600" s="265" t="s">
        <v>20370</v>
      </c>
      <c r="E3600" s="262" t="s">
        <v>207</v>
      </c>
    </row>
    <row r="3601" spans="1:5" ht="45">
      <c r="A3601" s="261">
        <v>10841</v>
      </c>
      <c r="B3601" s="261" t="s">
        <v>7669</v>
      </c>
      <c r="C3601" s="261" t="s">
        <v>3242</v>
      </c>
      <c r="D3601" s="266" t="s">
        <v>20371</v>
      </c>
      <c r="E3601" s="262" t="s">
        <v>207</v>
      </c>
    </row>
    <row r="3602" spans="1:5" ht="30">
      <c r="A3602" s="261">
        <v>25980</v>
      </c>
      <c r="B3602" s="261" t="s">
        <v>7670</v>
      </c>
      <c r="C3602" s="261" t="s">
        <v>3242</v>
      </c>
      <c r="D3602" s="265" t="s">
        <v>20372</v>
      </c>
      <c r="E3602" s="262" t="s">
        <v>207</v>
      </c>
    </row>
    <row r="3603" spans="1:5" ht="30">
      <c r="A3603" s="261">
        <v>10842</v>
      </c>
      <c r="B3603" s="261" t="s">
        <v>7671</v>
      </c>
      <c r="C3603" s="261" t="s">
        <v>3242</v>
      </c>
      <c r="D3603" s="265" t="s">
        <v>15798</v>
      </c>
      <c r="E3603" s="262" t="s">
        <v>207</v>
      </c>
    </row>
    <row r="3604" spans="1:5" ht="15">
      <c r="A3604" s="261">
        <v>21108</v>
      </c>
      <c r="B3604" s="261" t="s">
        <v>7672</v>
      </c>
      <c r="C3604" s="261" t="s">
        <v>3242</v>
      </c>
      <c r="D3604" s="266" t="s">
        <v>20373</v>
      </c>
      <c r="E3604" s="262" t="s">
        <v>207</v>
      </c>
    </row>
    <row r="3605" spans="1:5" ht="30">
      <c r="A3605" s="261">
        <v>38180</v>
      </c>
      <c r="B3605" s="261" t="s">
        <v>7673</v>
      </c>
      <c r="C3605" s="261" t="s">
        <v>3242</v>
      </c>
      <c r="D3605" s="265" t="s">
        <v>20374</v>
      </c>
      <c r="E3605" s="262" t="s">
        <v>207</v>
      </c>
    </row>
    <row r="3606" spans="1:5" ht="15">
      <c r="A3606" s="261">
        <v>40648</v>
      </c>
      <c r="B3606" s="261" t="s">
        <v>7674</v>
      </c>
      <c r="C3606" s="261" t="s">
        <v>3242</v>
      </c>
      <c r="D3606" s="265" t="s">
        <v>20375</v>
      </c>
      <c r="E3606" s="262" t="s">
        <v>207</v>
      </c>
    </row>
    <row r="3607" spans="1:5" ht="15">
      <c r="A3607" s="261">
        <v>40649</v>
      </c>
      <c r="B3607" s="261" t="s">
        <v>7675</v>
      </c>
      <c r="C3607" s="261" t="s">
        <v>3242</v>
      </c>
      <c r="D3607" s="265" t="s">
        <v>20376</v>
      </c>
      <c r="E3607" s="262" t="s">
        <v>207</v>
      </c>
    </row>
    <row r="3608" spans="1:5" ht="15">
      <c r="A3608" s="261">
        <v>40650</v>
      </c>
      <c r="B3608" s="261" t="s">
        <v>7676</v>
      </c>
      <c r="C3608" s="261" t="s">
        <v>3242</v>
      </c>
      <c r="D3608" s="265" t="s">
        <v>14274</v>
      </c>
      <c r="E3608" s="262" t="s">
        <v>207</v>
      </c>
    </row>
    <row r="3609" spans="1:5" ht="15">
      <c r="A3609" s="261">
        <v>40651</v>
      </c>
      <c r="B3609" s="261" t="s">
        <v>7677</v>
      </c>
      <c r="C3609" s="261" t="s">
        <v>3242</v>
      </c>
      <c r="D3609" s="265" t="s">
        <v>20377</v>
      </c>
      <c r="E3609" s="262" t="s">
        <v>207</v>
      </c>
    </row>
    <row r="3610" spans="1:5" ht="15">
      <c r="A3610" s="261">
        <v>40652</v>
      </c>
      <c r="B3610" s="261" t="s">
        <v>7678</v>
      </c>
      <c r="C3610" s="261" t="s">
        <v>3242</v>
      </c>
      <c r="D3610" s="265" t="s">
        <v>20378</v>
      </c>
      <c r="E3610" s="262" t="s">
        <v>207</v>
      </c>
    </row>
    <row r="3611" spans="1:5" ht="30">
      <c r="A3611" s="261">
        <v>40647</v>
      </c>
      <c r="B3611" s="261" t="s">
        <v>7679</v>
      </c>
      <c r="C3611" s="261" t="s">
        <v>3242</v>
      </c>
      <c r="D3611" s="265" t="s">
        <v>20379</v>
      </c>
      <c r="E3611" s="262" t="s">
        <v>207</v>
      </c>
    </row>
    <row r="3612" spans="1:5" ht="15">
      <c r="A3612" s="261">
        <v>40653</v>
      </c>
      <c r="B3612" s="261" t="s">
        <v>7680</v>
      </c>
      <c r="C3612" s="261" t="s">
        <v>3242</v>
      </c>
      <c r="D3612" s="265" t="s">
        <v>20380</v>
      </c>
      <c r="E3612" s="262" t="s">
        <v>207</v>
      </c>
    </row>
    <row r="3613" spans="1:5" ht="15">
      <c r="A3613" s="261">
        <v>36178</v>
      </c>
      <c r="B3613" s="261" t="s">
        <v>7681</v>
      </c>
      <c r="C3613" s="261" t="s">
        <v>3240</v>
      </c>
      <c r="D3613" s="265" t="s">
        <v>11186</v>
      </c>
      <c r="E3613" s="262" t="s">
        <v>207</v>
      </c>
    </row>
    <row r="3614" spans="1:5" ht="15">
      <c r="A3614" s="261">
        <v>38195</v>
      </c>
      <c r="B3614" s="261" t="s">
        <v>7682</v>
      </c>
      <c r="C3614" s="261" t="s">
        <v>3242</v>
      </c>
      <c r="D3614" s="265" t="s">
        <v>20381</v>
      </c>
      <c r="E3614" s="262" t="s">
        <v>207</v>
      </c>
    </row>
    <row r="3615" spans="1:5" ht="30">
      <c r="A3615" s="261">
        <v>38181</v>
      </c>
      <c r="B3615" s="261" t="s">
        <v>7683</v>
      </c>
      <c r="C3615" s="261" t="s">
        <v>3242</v>
      </c>
      <c r="D3615" s="265" t="s">
        <v>20382</v>
      </c>
      <c r="E3615" s="262" t="s">
        <v>207</v>
      </c>
    </row>
    <row r="3616" spans="1:5" ht="30">
      <c r="A3616" s="261">
        <v>38182</v>
      </c>
      <c r="B3616" s="261" t="s">
        <v>7684</v>
      </c>
      <c r="C3616" s="261" t="s">
        <v>3242</v>
      </c>
      <c r="D3616" s="265" t="s">
        <v>20383</v>
      </c>
      <c r="E3616" s="262" t="s">
        <v>207</v>
      </c>
    </row>
    <row r="3617" spans="1:5" ht="30">
      <c r="A3617" s="261">
        <v>38186</v>
      </c>
      <c r="B3617" s="261" t="s">
        <v>7685</v>
      </c>
      <c r="C3617" s="261" t="s">
        <v>3242</v>
      </c>
      <c r="D3617" s="265" t="s">
        <v>20384</v>
      </c>
      <c r="E3617" s="262" t="s">
        <v>207</v>
      </c>
    </row>
    <row r="3618" spans="1:5" ht="30">
      <c r="A3618" s="261">
        <v>38185</v>
      </c>
      <c r="B3618" s="261" t="s">
        <v>7686</v>
      </c>
      <c r="C3618" s="261" t="s">
        <v>3242</v>
      </c>
      <c r="D3618" s="265" t="s">
        <v>20385</v>
      </c>
      <c r="E3618" s="262" t="s">
        <v>207</v>
      </c>
    </row>
    <row r="3619" spans="1:5" ht="30">
      <c r="A3619" s="261">
        <v>40654</v>
      </c>
      <c r="B3619" s="261" t="s">
        <v>7687</v>
      </c>
      <c r="C3619" s="261" t="s">
        <v>3242</v>
      </c>
      <c r="D3619" s="265" t="s">
        <v>20386</v>
      </c>
      <c r="E3619" s="262" t="s">
        <v>207</v>
      </c>
    </row>
    <row r="3620" spans="1:5" ht="45">
      <c r="A3620" s="261">
        <v>25981</v>
      </c>
      <c r="B3620" s="261" t="s">
        <v>7688</v>
      </c>
      <c r="C3620" s="261" t="s">
        <v>3242</v>
      </c>
      <c r="D3620" s="265" t="s">
        <v>20387</v>
      </c>
      <c r="E3620" s="262" t="s">
        <v>207</v>
      </c>
    </row>
    <row r="3621" spans="1:5" ht="30">
      <c r="A3621" s="261">
        <v>4822</v>
      </c>
      <c r="B3621" s="261" t="s">
        <v>7689</v>
      </c>
      <c r="C3621" s="261" t="s">
        <v>3242</v>
      </c>
      <c r="D3621" s="265" t="s">
        <v>20388</v>
      </c>
      <c r="E3621" s="262" t="s">
        <v>207</v>
      </c>
    </row>
    <row r="3622" spans="1:5" ht="30">
      <c r="A3622" s="261">
        <v>4818</v>
      </c>
      <c r="B3622" s="261" t="s">
        <v>7690</v>
      </c>
      <c r="C3622" s="261" t="s">
        <v>3242</v>
      </c>
      <c r="D3622" s="265" t="s">
        <v>20389</v>
      </c>
      <c r="E3622" s="262" t="s">
        <v>207</v>
      </c>
    </row>
    <row r="3623" spans="1:5" ht="45">
      <c r="A3623" s="261">
        <v>39567</v>
      </c>
      <c r="B3623" s="261" t="s">
        <v>11912</v>
      </c>
      <c r="C3623" s="261" t="s">
        <v>3242</v>
      </c>
      <c r="D3623" s="265" t="s">
        <v>12149</v>
      </c>
      <c r="E3623" s="262" t="s">
        <v>207</v>
      </c>
    </row>
    <row r="3624" spans="1:5" ht="45">
      <c r="A3624" s="261">
        <v>39566</v>
      </c>
      <c r="B3624" s="261" t="s">
        <v>11913</v>
      </c>
      <c r="C3624" s="261" t="s">
        <v>3242</v>
      </c>
      <c r="D3624" s="265" t="s">
        <v>10645</v>
      </c>
      <c r="E3624" s="262" t="s">
        <v>207</v>
      </c>
    </row>
    <row r="3625" spans="1:5" ht="30">
      <c r="A3625" s="261">
        <v>39416</v>
      </c>
      <c r="B3625" s="261" t="s">
        <v>11914</v>
      </c>
      <c r="C3625" s="261" t="s">
        <v>3242</v>
      </c>
      <c r="D3625" s="265" t="s">
        <v>20390</v>
      </c>
      <c r="E3625" s="262" t="s">
        <v>207</v>
      </c>
    </row>
    <row r="3626" spans="1:5" ht="30">
      <c r="A3626" s="261">
        <v>39417</v>
      </c>
      <c r="B3626" s="261" t="s">
        <v>11915</v>
      </c>
      <c r="C3626" s="261" t="s">
        <v>3242</v>
      </c>
      <c r="D3626" s="265" t="s">
        <v>19957</v>
      </c>
      <c r="E3626" s="262" t="s">
        <v>207</v>
      </c>
    </row>
    <row r="3627" spans="1:5" ht="30">
      <c r="A3627" s="261">
        <v>39414</v>
      </c>
      <c r="B3627" s="261" t="s">
        <v>11916</v>
      </c>
      <c r="C3627" s="261" t="s">
        <v>3242</v>
      </c>
      <c r="D3627" s="265" t="s">
        <v>12129</v>
      </c>
      <c r="E3627" s="262" t="s">
        <v>207</v>
      </c>
    </row>
    <row r="3628" spans="1:5" ht="30">
      <c r="A3628" s="261">
        <v>39415</v>
      </c>
      <c r="B3628" s="261" t="s">
        <v>11917</v>
      </c>
      <c r="C3628" s="261" t="s">
        <v>3242</v>
      </c>
      <c r="D3628" s="265" t="s">
        <v>12151</v>
      </c>
      <c r="E3628" s="262" t="s">
        <v>207</v>
      </c>
    </row>
    <row r="3629" spans="1:5" ht="30">
      <c r="A3629" s="261">
        <v>39412</v>
      </c>
      <c r="B3629" s="261" t="s">
        <v>11918</v>
      </c>
      <c r="C3629" s="261" t="s">
        <v>3242</v>
      </c>
      <c r="D3629" s="265" t="s">
        <v>11433</v>
      </c>
      <c r="E3629" s="262" t="s">
        <v>207</v>
      </c>
    </row>
    <row r="3630" spans="1:5" ht="30">
      <c r="A3630" s="261">
        <v>39413</v>
      </c>
      <c r="B3630" s="261" t="s">
        <v>11919</v>
      </c>
      <c r="C3630" s="261" t="s">
        <v>3242</v>
      </c>
      <c r="D3630" s="265" t="s">
        <v>10889</v>
      </c>
      <c r="E3630" s="262" t="s">
        <v>207</v>
      </c>
    </row>
    <row r="3631" spans="1:5" ht="15">
      <c r="A3631" s="261">
        <v>11062</v>
      </c>
      <c r="B3631" s="261" t="s">
        <v>7691</v>
      </c>
      <c r="C3631" s="261" t="s">
        <v>3242</v>
      </c>
      <c r="D3631" s="265" t="s">
        <v>20391</v>
      </c>
      <c r="E3631" s="262" t="s">
        <v>207</v>
      </c>
    </row>
    <row r="3632" spans="1:5" ht="15">
      <c r="A3632" s="261">
        <v>11063</v>
      </c>
      <c r="B3632" s="261" t="s">
        <v>7692</v>
      </c>
      <c r="C3632" s="261" t="s">
        <v>3242</v>
      </c>
      <c r="D3632" s="265" t="s">
        <v>20392</v>
      </c>
      <c r="E3632" s="262" t="s">
        <v>207</v>
      </c>
    </row>
    <row r="3633" spans="1:5" ht="15">
      <c r="A3633" s="261">
        <v>13521</v>
      </c>
      <c r="B3633" s="261" t="s">
        <v>7693</v>
      </c>
      <c r="C3633" s="261" t="s">
        <v>3240</v>
      </c>
      <c r="D3633" s="265" t="s">
        <v>20393</v>
      </c>
      <c r="E3633" s="262" t="s">
        <v>207</v>
      </c>
    </row>
    <row r="3634" spans="1:5" ht="30">
      <c r="A3634" s="261">
        <v>10851</v>
      </c>
      <c r="B3634" s="261" t="s">
        <v>7694</v>
      </c>
      <c r="C3634" s="261" t="s">
        <v>3240</v>
      </c>
      <c r="D3634" s="265" t="s">
        <v>16613</v>
      </c>
      <c r="E3634" s="262" t="s">
        <v>207</v>
      </c>
    </row>
    <row r="3635" spans="1:5" ht="30">
      <c r="A3635" s="261">
        <v>39515</v>
      </c>
      <c r="B3635" s="261" t="s">
        <v>7695</v>
      </c>
      <c r="C3635" s="261" t="s">
        <v>3240</v>
      </c>
      <c r="D3635" s="265" t="s">
        <v>16134</v>
      </c>
      <c r="E3635" s="262" t="s">
        <v>207</v>
      </c>
    </row>
    <row r="3636" spans="1:5" ht="30">
      <c r="A3636" s="261">
        <v>39516</v>
      </c>
      <c r="B3636" s="261" t="s">
        <v>7696</v>
      </c>
      <c r="C3636" s="261" t="s">
        <v>3240</v>
      </c>
      <c r="D3636" s="265" t="s">
        <v>16647</v>
      </c>
      <c r="E3636" s="262" t="s">
        <v>207</v>
      </c>
    </row>
    <row r="3637" spans="1:5" ht="30">
      <c r="A3637" s="261">
        <v>39514</v>
      </c>
      <c r="B3637" s="261" t="s">
        <v>7697</v>
      </c>
      <c r="C3637" s="261" t="s">
        <v>3240</v>
      </c>
      <c r="D3637" s="265" t="s">
        <v>20394</v>
      </c>
      <c r="E3637" s="262" t="s">
        <v>207</v>
      </c>
    </row>
    <row r="3638" spans="1:5" ht="30">
      <c r="A3638" s="261">
        <v>4812</v>
      </c>
      <c r="B3638" s="261" t="s">
        <v>11920</v>
      </c>
      <c r="C3638" s="261" t="s">
        <v>3242</v>
      </c>
      <c r="D3638" s="265" t="s">
        <v>11190</v>
      </c>
      <c r="E3638" s="262" t="s">
        <v>207</v>
      </c>
    </row>
    <row r="3639" spans="1:5" ht="15">
      <c r="A3639" s="261">
        <v>10849</v>
      </c>
      <c r="B3639" s="261" t="s">
        <v>7698</v>
      </c>
      <c r="C3639" s="261" t="s">
        <v>3240</v>
      </c>
      <c r="D3639" s="265" t="s">
        <v>20395</v>
      </c>
      <c r="E3639" s="262" t="s">
        <v>207</v>
      </c>
    </row>
    <row r="3640" spans="1:5" ht="15">
      <c r="A3640" s="261">
        <v>10848</v>
      </c>
      <c r="B3640" s="261" t="s">
        <v>7699</v>
      </c>
      <c r="C3640" s="261" t="s">
        <v>3240</v>
      </c>
      <c r="D3640" s="265" t="s">
        <v>20396</v>
      </c>
      <c r="E3640" s="262" t="s">
        <v>207</v>
      </c>
    </row>
    <row r="3641" spans="1:5" ht="30">
      <c r="A3641" s="261">
        <v>4813</v>
      </c>
      <c r="B3641" s="261" t="s">
        <v>7700</v>
      </c>
      <c r="C3641" s="261" t="s">
        <v>3242</v>
      </c>
      <c r="D3641" s="265" t="s">
        <v>18995</v>
      </c>
      <c r="E3641" s="262" t="s">
        <v>207</v>
      </c>
    </row>
    <row r="3642" spans="1:5" ht="45">
      <c r="A3642" s="261">
        <v>37560</v>
      </c>
      <c r="B3642" s="261" t="s">
        <v>20397</v>
      </c>
      <c r="C3642" s="261" t="s">
        <v>3240</v>
      </c>
      <c r="D3642" s="265" t="s">
        <v>20398</v>
      </c>
      <c r="E3642" s="262" t="s">
        <v>207</v>
      </c>
    </row>
    <row r="3643" spans="1:5" ht="45">
      <c r="A3643" s="261">
        <v>37557</v>
      </c>
      <c r="B3643" s="261" t="s">
        <v>20399</v>
      </c>
      <c r="C3643" s="261" t="s">
        <v>3240</v>
      </c>
      <c r="D3643" s="265" t="s">
        <v>11395</v>
      </c>
      <c r="E3643" s="262" t="s">
        <v>207</v>
      </c>
    </row>
    <row r="3644" spans="1:5" ht="45">
      <c r="A3644" s="261">
        <v>37556</v>
      </c>
      <c r="B3644" s="261" t="s">
        <v>20400</v>
      </c>
      <c r="C3644" s="261" t="s">
        <v>3240</v>
      </c>
      <c r="D3644" s="265" t="s">
        <v>11266</v>
      </c>
      <c r="E3644" s="262" t="s">
        <v>207</v>
      </c>
    </row>
    <row r="3645" spans="1:5" ht="45">
      <c r="A3645" s="261">
        <v>37559</v>
      </c>
      <c r="B3645" s="261" t="s">
        <v>20401</v>
      </c>
      <c r="C3645" s="261" t="s">
        <v>3240</v>
      </c>
      <c r="D3645" s="265" t="s">
        <v>16654</v>
      </c>
      <c r="E3645" s="262" t="s">
        <v>207</v>
      </c>
    </row>
    <row r="3646" spans="1:5" ht="45">
      <c r="A3646" s="261">
        <v>37539</v>
      </c>
      <c r="B3646" s="261" t="s">
        <v>20402</v>
      </c>
      <c r="C3646" s="261" t="s">
        <v>3240</v>
      </c>
      <c r="D3646" s="265" t="s">
        <v>11206</v>
      </c>
      <c r="E3646" s="262" t="s">
        <v>207</v>
      </c>
    </row>
    <row r="3647" spans="1:5" ht="45">
      <c r="A3647" s="261">
        <v>37558</v>
      </c>
      <c r="B3647" s="261" t="s">
        <v>20403</v>
      </c>
      <c r="C3647" s="261" t="s">
        <v>3240</v>
      </c>
      <c r="D3647" s="265" t="s">
        <v>20404</v>
      </c>
      <c r="E3647" s="262" t="s">
        <v>207</v>
      </c>
    </row>
    <row r="3648" spans="1:5" ht="15">
      <c r="A3648" s="261">
        <v>34723</v>
      </c>
      <c r="B3648" s="261" t="s">
        <v>7701</v>
      </c>
      <c r="C3648" s="261" t="s">
        <v>3242</v>
      </c>
      <c r="D3648" s="265" t="s">
        <v>20405</v>
      </c>
      <c r="E3648" s="262" t="s">
        <v>207</v>
      </c>
    </row>
    <row r="3649" spans="1:5" ht="15">
      <c r="A3649" s="261">
        <v>34721</v>
      </c>
      <c r="B3649" s="261" t="s">
        <v>7702</v>
      </c>
      <c r="C3649" s="261" t="s">
        <v>3242</v>
      </c>
      <c r="D3649" s="266" t="s">
        <v>20406</v>
      </c>
      <c r="E3649" s="262" t="s">
        <v>207</v>
      </c>
    </row>
    <row r="3650" spans="1:5" ht="15">
      <c r="A3650" s="261">
        <v>4309</v>
      </c>
      <c r="B3650" s="261" t="s">
        <v>7703</v>
      </c>
      <c r="C3650" s="261" t="s">
        <v>3240</v>
      </c>
      <c r="D3650" s="266" t="s">
        <v>10151</v>
      </c>
      <c r="E3650" s="262" t="s">
        <v>207</v>
      </c>
    </row>
    <row r="3651" spans="1:5" ht="15">
      <c r="A3651" s="261">
        <v>4307</v>
      </c>
      <c r="B3651" s="261" t="s">
        <v>7704</v>
      </c>
      <c r="C3651" s="261" t="s">
        <v>3240</v>
      </c>
      <c r="D3651" s="266" t="s">
        <v>9913</v>
      </c>
      <c r="E3651" s="262" t="s">
        <v>207</v>
      </c>
    </row>
    <row r="3652" spans="1:5" ht="15">
      <c r="A3652" s="261">
        <v>10850</v>
      </c>
      <c r="B3652" s="261" t="s">
        <v>7705</v>
      </c>
      <c r="C3652" s="261" t="s">
        <v>3240</v>
      </c>
      <c r="D3652" s="266" t="s">
        <v>20407</v>
      </c>
      <c r="E3652" s="262" t="s">
        <v>207</v>
      </c>
    </row>
    <row r="3653" spans="1:5" ht="45">
      <c r="A3653" s="261">
        <v>42438</v>
      </c>
      <c r="B3653" s="261" t="s">
        <v>7706</v>
      </c>
      <c r="C3653" s="261" t="s">
        <v>3240</v>
      </c>
      <c r="D3653" s="265" t="s">
        <v>20408</v>
      </c>
      <c r="E3653" s="262" t="s">
        <v>207</v>
      </c>
    </row>
    <row r="3654" spans="1:5" ht="15">
      <c r="A3654" s="261">
        <v>4792</v>
      </c>
      <c r="B3654" s="261" t="s">
        <v>7707</v>
      </c>
      <c r="C3654" s="261" t="s">
        <v>3242</v>
      </c>
      <c r="D3654" s="265" t="s">
        <v>20409</v>
      </c>
      <c r="E3654" s="262" t="s">
        <v>207</v>
      </c>
    </row>
    <row r="3655" spans="1:5" ht="30">
      <c r="A3655" s="261">
        <v>4790</v>
      </c>
      <c r="B3655" s="261" t="s">
        <v>7708</v>
      </c>
      <c r="C3655" s="261" t="s">
        <v>3242</v>
      </c>
      <c r="D3655" s="266" t="s">
        <v>16193</v>
      </c>
      <c r="E3655" s="262" t="s">
        <v>207</v>
      </c>
    </row>
    <row r="3656" spans="1:5" ht="30">
      <c r="A3656" s="261">
        <v>40671</v>
      </c>
      <c r="B3656" s="261" t="s">
        <v>7709</v>
      </c>
      <c r="C3656" s="261" t="s">
        <v>3242</v>
      </c>
      <c r="D3656" s="265" t="s">
        <v>20410</v>
      </c>
      <c r="E3656" s="262" t="s">
        <v>207</v>
      </c>
    </row>
    <row r="3657" spans="1:5" ht="30">
      <c r="A3657" s="261">
        <v>7552</v>
      </c>
      <c r="B3657" s="261" t="s">
        <v>7710</v>
      </c>
      <c r="C3657" s="261" t="s">
        <v>3240</v>
      </c>
      <c r="D3657" s="265" t="s">
        <v>12336</v>
      </c>
      <c r="E3657" s="262" t="s">
        <v>207</v>
      </c>
    </row>
    <row r="3658" spans="1:5" ht="15">
      <c r="A3658" s="261">
        <v>4893</v>
      </c>
      <c r="B3658" s="261" t="s">
        <v>7711</v>
      </c>
      <c r="C3658" s="261" t="s">
        <v>3240</v>
      </c>
      <c r="D3658" s="265" t="s">
        <v>10611</v>
      </c>
      <c r="E3658" s="262" t="s">
        <v>207</v>
      </c>
    </row>
    <row r="3659" spans="1:5" ht="15">
      <c r="A3659" s="261">
        <v>4894</v>
      </c>
      <c r="B3659" s="261" t="s">
        <v>7712</v>
      </c>
      <c r="C3659" s="261" t="s">
        <v>3240</v>
      </c>
      <c r="D3659" s="265" t="s">
        <v>20411</v>
      </c>
      <c r="E3659" s="262" t="s">
        <v>207</v>
      </c>
    </row>
    <row r="3660" spans="1:5" ht="15">
      <c r="A3660" s="261">
        <v>4888</v>
      </c>
      <c r="B3660" s="261" t="s">
        <v>7713</v>
      </c>
      <c r="C3660" s="261" t="s">
        <v>3240</v>
      </c>
      <c r="D3660" s="265" t="s">
        <v>20412</v>
      </c>
      <c r="E3660" s="262" t="s">
        <v>207</v>
      </c>
    </row>
    <row r="3661" spans="1:5" ht="15">
      <c r="A3661" s="261">
        <v>4890</v>
      </c>
      <c r="B3661" s="261" t="s">
        <v>7714</v>
      </c>
      <c r="C3661" s="261" t="s">
        <v>3240</v>
      </c>
      <c r="D3661" s="265" t="s">
        <v>11067</v>
      </c>
      <c r="E3661" s="262" t="s">
        <v>207</v>
      </c>
    </row>
    <row r="3662" spans="1:5" ht="15">
      <c r="A3662" s="261">
        <v>12411</v>
      </c>
      <c r="B3662" s="261" t="s">
        <v>7715</v>
      </c>
      <c r="C3662" s="261" t="s">
        <v>3240</v>
      </c>
      <c r="D3662" s="266" t="s">
        <v>20413</v>
      </c>
      <c r="E3662" s="262" t="s">
        <v>207</v>
      </c>
    </row>
    <row r="3663" spans="1:5" ht="15">
      <c r="A3663" s="261">
        <v>4891</v>
      </c>
      <c r="B3663" s="261" t="s">
        <v>7716</v>
      </c>
      <c r="C3663" s="261" t="s">
        <v>3240</v>
      </c>
      <c r="D3663" s="266" t="s">
        <v>15945</v>
      </c>
      <c r="E3663" s="262" t="s">
        <v>207</v>
      </c>
    </row>
    <row r="3664" spans="1:5" ht="15">
      <c r="A3664" s="261">
        <v>4889</v>
      </c>
      <c r="B3664" s="261" t="s">
        <v>7717</v>
      </c>
      <c r="C3664" s="261" t="s">
        <v>3240</v>
      </c>
      <c r="D3664" s="265" t="s">
        <v>9996</v>
      </c>
      <c r="E3664" s="262" t="s">
        <v>207</v>
      </c>
    </row>
    <row r="3665" spans="1:5" ht="15">
      <c r="A3665" s="261">
        <v>4892</v>
      </c>
      <c r="B3665" s="261" t="s">
        <v>7718</v>
      </c>
      <c r="C3665" s="261" t="s">
        <v>3240</v>
      </c>
      <c r="D3665" s="265" t="s">
        <v>11274</v>
      </c>
      <c r="E3665" s="262" t="s">
        <v>207</v>
      </c>
    </row>
    <row r="3666" spans="1:5" ht="15">
      <c r="A3666" s="261">
        <v>12412</v>
      </c>
      <c r="B3666" s="261" t="s">
        <v>7719</v>
      </c>
      <c r="C3666" s="261" t="s">
        <v>3240</v>
      </c>
      <c r="D3666" s="265" t="s">
        <v>20414</v>
      </c>
      <c r="E3666" s="262" t="s">
        <v>207</v>
      </c>
    </row>
    <row r="3667" spans="1:5" ht="15">
      <c r="A3667" s="261">
        <v>11073</v>
      </c>
      <c r="B3667" s="261" t="s">
        <v>7720</v>
      </c>
      <c r="C3667" s="261" t="s">
        <v>3240</v>
      </c>
      <c r="D3667" s="265" t="s">
        <v>11307</v>
      </c>
      <c r="E3667" s="262" t="s">
        <v>207</v>
      </c>
    </row>
    <row r="3668" spans="1:5" ht="15">
      <c r="A3668" s="261">
        <v>11071</v>
      </c>
      <c r="B3668" s="261" t="s">
        <v>7721</v>
      </c>
      <c r="C3668" s="261" t="s">
        <v>3240</v>
      </c>
      <c r="D3668" s="265" t="s">
        <v>10521</v>
      </c>
      <c r="E3668" s="262" t="s">
        <v>207</v>
      </c>
    </row>
    <row r="3669" spans="1:5" ht="15">
      <c r="A3669" s="261">
        <v>11072</v>
      </c>
      <c r="B3669" s="261" t="s">
        <v>7722</v>
      </c>
      <c r="C3669" s="261" t="s">
        <v>3240</v>
      </c>
      <c r="D3669" s="265" t="s">
        <v>9849</v>
      </c>
      <c r="E3669" s="262" t="s">
        <v>207</v>
      </c>
    </row>
    <row r="3670" spans="1:5" ht="15">
      <c r="A3670" s="261">
        <v>4895</v>
      </c>
      <c r="B3670" s="261" t="s">
        <v>7723</v>
      </c>
      <c r="C3670" s="261" t="s">
        <v>3240</v>
      </c>
      <c r="D3670" s="265" t="s">
        <v>11073</v>
      </c>
      <c r="E3670" s="262" t="s">
        <v>207</v>
      </c>
    </row>
    <row r="3671" spans="1:5" ht="15">
      <c r="A3671" s="261">
        <v>4907</v>
      </c>
      <c r="B3671" s="261" t="s">
        <v>7724</v>
      </c>
      <c r="C3671" s="261" t="s">
        <v>3240</v>
      </c>
      <c r="D3671" s="266" t="s">
        <v>20415</v>
      </c>
      <c r="E3671" s="262" t="s">
        <v>207</v>
      </c>
    </row>
    <row r="3672" spans="1:5" ht="15">
      <c r="A3672" s="261">
        <v>4902</v>
      </c>
      <c r="B3672" s="261" t="s">
        <v>7725</v>
      </c>
      <c r="C3672" s="261" t="s">
        <v>3240</v>
      </c>
      <c r="D3672" s="265" t="s">
        <v>20416</v>
      </c>
      <c r="E3672" s="262" t="s">
        <v>207</v>
      </c>
    </row>
    <row r="3673" spans="1:5" ht="15">
      <c r="A3673" s="261">
        <v>4908</v>
      </c>
      <c r="B3673" s="261" t="s">
        <v>7726</v>
      </c>
      <c r="C3673" s="261" t="s">
        <v>3240</v>
      </c>
      <c r="D3673" s="266" t="s">
        <v>20417</v>
      </c>
      <c r="E3673" s="262" t="s">
        <v>207</v>
      </c>
    </row>
    <row r="3674" spans="1:5" ht="15">
      <c r="A3674" s="261">
        <v>4909</v>
      </c>
      <c r="B3674" s="261" t="s">
        <v>7727</v>
      </c>
      <c r="C3674" s="261" t="s">
        <v>3240</v>
      </c>
      <c r="D3674" s="265" t="s">
        <v>20418</v>
      </c>
      <c r="E3674" s="262" t="s">
        <v>207</v>
      </c>
    </row>
    <row r="3675" spans="1:5" ht="15">
      <c r="A3675" s="261">
        <v>4903</v>
      </c>
      <c r="B3675" s="261" t="s">
        <v>7728</v>
      </c>
      <c r="C3675" s="261" t="s">
        <v>3240</v>
      </c>
      <c r="D3675" s="265" t="s">
        <v>20419</v>
      </c>
      <c r="E3675" s="262" t="s">
        <v>207</v>
      </c>
    </row>
    <row r="3676" spans="1:5" ht="15">
      <c r="A3676" s="261">
        <v>4897</v>
      </c>
      <c r="B3676" s="261" t="s">
        <v>7729</v>
      </c>
      <c r="C3676" s="261" t="s">
        <v>3240</v>
      </c>
      <c r="D3676" s="265" t="s">
        <v>10097</v>
      </c>
      <c r="E3676" s="262" t="s">
        <v>207</v>
      </c>
    </row>
    <row r="3677" spans="1:5" ht="15">
      <c r="A3677" s="261">
        <v>4896</v>
      </c>
      <c r="B3677" s="261" t="s">
        <v>7730</v>
      </c>
      <c r="C3677" s="261" t="s">
        <v>3240</v>
      </c>
      <c r="D3677" s="265" t="s">
        <v>11094</v>
      </c>
      <c r="E3677" s="262" t="s">
        <v>207</v>
      </c>
    </row>
    <row r="3678" spans="1:5" ht="15">
      <c r="A3678" s="261">
        <v>4900</v>
      </c>
      <c r="B3678" s="261" t="s">
        <v>7731</v>
      </c>
      <c r="C3678" s="261" t="s">
        <v>3240</v>
      </c>
      <c r="D3678" s="265" t="s">
        <v>10156</v>
      </c>
      <c r="E3678" s="262" t="s">
        <v>207</v>
      </c>
    </row>
    <row r="3679" spans="1:5" ht="15">
      <c r="A3679" s="261">
        <v>4898</v>
      </c>
      <c r="B3679" s="261" t="s">
        <v>7732</v>
      </c>
      <c r="C3679" s="261" t="s">
        <v>3240</v>
      </c>
      <c r="D3679" s="265" t="s">
        <v>9927</v>
      </c>
      <c r="E3679" s="262" t="s">
        <v>207</v>
      </c>
    </row>
    <row r="3680" spans="1:5" ht="15">
      <c r="A3680" s="261">
        <v>4899</v>
      </c>
      <c r="B3680" s="261" t="s">
        <v>7733</v>
      </c>
      <c r="C3680" s="261" t="s">
        <v>3240</v>
      </c>
      <c r="D3680" s="265" t="s">
        <v>10591</v>
      </c>
      <c r="E3680" s="262" t="s">
        <v>207</v>
      </c>
    </row>
    <row r="3681" spans="1:5" ht="15">
      <c r="A3681" s="261">
        <v>11096</v>
      </c>
      <c r="B3681" s="261" t="s">
        <v>7734</v>
      </c>
      <c r="C3681" s="261" t="s">
        <v>3244</v>
      </c>
      <c r="D3681" s="265" t="s">
        <v>9920</v>
      </c>
      <c r="E3681" s="262" t="s">
        <v>207</v>
      </c>
    </row>
    <row r="3682" spans="1:5" ht="15">
      <c r="A3682" s="261">
        <v>4741</v>
      </c>
      <c r="B3682" s="261" t="s">
        <v>7735</v>
      </c>
      <c r="C3682" s="261" t="s">
        <v>3241</v>
      </c>
      <c r="D3682" s="265" t="s">
        <v>16600</v>
      </c>
      <c r="E3682" s="262" t="s">
        <v>207</v>
      </c>
    </row>
    <row r="3683" spans="1:5" ht="15">
      <c r="A3683" s="261">
        <v>4752</v>
      </c>
      <c r="B3683" s="261" t="s">
        <v>7736</v>
      </c>
      <c r="C3683" s="261" t="s">
        <v>3239</v>
      </c>
      <c r="D3683" s="265" t="s">
        <v>12367</v>
      </c>
      <c r="E3683" s="262" t="s">
        <v>9714</v>
      </c>
    </row>
    <row r="3684" spans="1:5" ht="15">
      <c r="A3684" s="261">
        <v>41091</v>
      </c>
      <c r="B3684" s="261" t="s">
        <v>7737</v>
      </c>
      <c r="C3684" s="261" t="s">
        <v>3246</v>
      </c>
      <c r="D3684" s="265" t="s">
        <v>20420</v>
      </c>
      <c r="E3684" s="262" t="s">
        <v>9714</v>
      </c>
    </row>
    <row r="3685" spans="1:5" ht="30">
      <c r="A3685" s="261">
        <v>13954</v>
      </c>
      <c r="B3685" s="261" t="s">
        <v>7738</v>
      </c>
      <c r="C3685" s="261" t="s">
        <v>3240</v>
      </c>
      <c r="D3685" s="265" t="s">
        <v>20421</v>
      </c>
      <c r="E3685" s="262" t="s">
        <v>8987</v>
      </c>
    </row>
    <row r="3686" spans="1:5" ht="15">
      <c r="A3686" s="261">
        <v>3411</v>
      </c>
      <c r="B3686" s="261" t="s">
        <v>7739</v>
      </c>
      <c r="C3686" s="261" t="s">
        <v>3244</v>
      </c>
      <c r="D3686" s="266" t="s">
        <v>20422</v>
      </c>
      <c r="E3686" s="262" t="s">
        <v>207</v>
      </c>
    </row>
    <row r="3687" spans="1:5" ht="15">
      <c r="A3687" s="261">
        <v>39995</v>
      </c>
      <c r="B3687" s="261" t="s">
        <v>7740</v>
      </c>
      <c r="C3687" s="261" t="s">
        <v>3241</v>
      </c>
      <c r="D3687" s="266" t="s">
        <v>20423</v>
      </c>
      <c r="E3687" s="262" t="s">
        <v>207</v>
      </c>
    </row>
    <row r="3688" spans="1:5" ht="30">
      <c r="A3688" s="261">
        <v>11615</v>
      </c>
      <c r="B3688" s="261" t="s">
        <v>7741</v>
      </c>
      <c r="C3688" s="261" t="s">
        <v>3242</v>
      </c>
      <c r="D3688" s="265" t="s">
        <v>10055</v>
      </c>
      <c r="E3688" s="262" t="s">
        <v>207</v>
      </c>
    </row>
    <row r="3689" spans="1:5" ht="30">
      <c r="A3689" s="261">
        <v>3408</v>
      </c>
      <c r="B3689" s="261" t="s">
        <v>7742</v>
      </c>
      <c r="C3689" s="261" t="s">
        <v>3242</v>
      </c>
      <c r="D3689" s="265" t="s">
        <v>10020</v>
      </c>
      <c r="E3689" s="262" t="s">
        <v>207</v>
      </c>
    </row>
    <row r="3690" spans="1:5" ht="30">
      <c r="A3690" s="261">
        <v>3409</v>
      </c>
      <c r="B3690" s="261" t="s">
        <v>7743</v>
      </c>
      <c r="C3690" s="261" t="s">
        <v>3242</v>
      </c>
      <c r="D3690" s="266" t="s">
        <v>16665</v>
      </c>
      <c r="E3690" s="262" t="s">
        <v>207</v>
      </c>
    </row>
    <row r="3691" spans="1:5" ht="15">
      <c r="A3691" s="261">
        <v>11427</v>
      </c>
      <c r="B3691" s="261" t="s">
        <v>7744</v>
      </c>
      <c r="C3691" s="261" t="s">
        <v>3244</v>
      </c>
      <c r="D3691" s="265" t="s">
        <v>20424</v>
      </c>
      <c r="E3691" s="262" t="s">
        <v>207</v>
      </c>
    </row>
    <row r="3692" spans="1:5" ht="15">
      <c r="A3692" s="261">
        <v>4491</v>
      </c>
      <c r="B3692" s="261" t="s">
        <v>11921</v>
      </c>
      <c r="C3692" s="261" t="s">
        <v>3243</v>
      </c>
      <c r="D3692" s="265" t="s">
        <v>10487</v>
      </c>
      <c r="E3692" s="262" t="s">
        <v>207</v>
      </c>
    </row>
    <row r="3693" spans="1:5" ht="30">
      <c r="A3693" s="261">
        <v>2745</v>
      </c>
      <c r="B3693" s="261" t="s">
        <v>11922</v>
      </c>
      <c r="C3693" s="261" t="s">
        <v>3243</v>
      </c>
      <c r="D3693" s="265" t="s">
        <v>10800</v>
      </c>
      <c r="E3693" s="262" t="s">
        <v>207</v>
      </c>
    </row>
    <row r="3694" spans="1:5" ht="30">
      <c r="A3694" s="261">
        <v>14439</v>
      </c>
      <c r="B3694" s="261" t="s">
        <v>11923</v>
      </c>
      <c r="C3694" s="261" t="s">
        <v>3243</v>
      </c>
      <c r="D3694" s="265" t="s">
        <v>10041</v>
      </c>
      <c r="E3694" s="262" t="s">
        <v>207</v>
      </c>
    </row>
    <row r="3695" spans="1:5" ht="30">
      <c r="A3695" s="261">
        <v>26022</v>
      </c>
      <c r="B3695" s="261" t="s">
        <v>7745</v>
      </c>
      <c r="C3695" s="261" t="s">
        <v>3240</v>
      </c>
      <c r="D3695" s="265" t="s">
        <v>20425</v>
      </c>
      <c r="E3695" s="262" t="s">
        <v>207</v>
      </c>
    </row>
    <row r="3696" spans="1:5" ht="15">
      <c r="A3696" s="261">
        <v>12362</v>
      </c>
      <c r="B3696" s="261" t="s">
        <v>7746</v>
      </c>
      <c r="C3696" s="261" t="s">
        <v>3240</v>
      </c>
      <c r="D3696" s="265" t="s">
        <v>16201</v>
      </c>
      <c r="E3696" s="262" t="s">
        <v>207</v>
      </c>
    </row>
    <row r="3697" spans="1:5" ht="15">
      <c r="A3697" s="261">
        <v>421</v>
      </c>
      <c r="B3697" s="261" t="s">
        <v>20426</v>
      </c>
      <c r="C3697" s="261" t="s">
        <v>3240</v>
      </c>
      <c r="D3697" s="265" t="s">
        <v>15975</v>
      </c>
      <c r="E3697" s="262" t="s">
        <v>207</v>
      </c>
    </row>
    <row r="3698" spans="1:5" ht="30">
      <c r="A3698" s="261">
        <v>14148</v>
      </c>
      <c r="B3698" s="261" t="s">
        <v>7747</v>
      </c>
      <c r="C3698" s="261" t="s">
        <v>3240</v>
      </c>
      <c r="D3698" s="265" t="s">
        <v>11378</v>
      </c>
      <c r="E3698" s="262" t="s">
        <v>207</v>
      </c>
    </row>
    <row r="3699" spans="1:5" ht="15">
      <c r="A3699" s="261">
        <v>4341</v>
      </c>
      <c r="B3699" s="261" t="s">
        <v>7748</v>
      </c>
      <c r="C3699" s="261" t="s">
        <v>3240</v>
      </c>
      <c r="D3699" s="265" t="s">
        <v>10906</v>
      </c>
      <c r="E3699" s="262" t="s">
        <v>207</v>
      </c>
    </row>
    <row r="3700" spans="1:5" ht="15">
      <c r="A3700" s="261">
        <v>4337</v>
      </c>
      <c r="B3700" s="261" t="s">
        <v>7749</v>
      </c>
      <c r="C3700" s="261" t="s">
        <v>3240</v>
      </c>
      <c r="D3700" s="265" t="s">
        <v>19883</v>
      </c>
      <c r="E3700" s="262" t="s">
        <v>207</v>
      </c>
    </row>
    <row r="3701" spans="1:5" ht="15">
      <c r="A3701" s="261">
        <v>4339</v>
      </c>
      <c r="B3701" s="261" t="s">
        <v>7750</v>
      </c>
      <c r="C3701" s="261" t="s">
        <v>3240</v>
      </c>
      <c r="D3701" s="265" t="s">
        <v>9848</v>
      </c>
      <c r="E3701" s="262" t="s">
        <v>207</v>
      </c>
    </row>
    <row r="3702" spans="1:5" ht="15">
      <c r="A3702" s="261">
        <v>39997</v>
      </c>
      <c r="B3702" s="261" t="s">
        <v>7751</v>
      </c>
      <c r="C3702" s="261" t="s">
        <v>3240</v>
      </c>
      <c r="D3702" s="265" t="s">
        <v>9866</v>
      </c>
      <c r="E3702" s="262" t="s">
        <v>207</v>
      </c>
    </row>
    <row r="3703" spans="1:5" ht="15">
      <c r="A3703" s="261">
        <v>11971</v>
      </c>
      <c r="B3703" s="261" t="s">
        <v>7752</v>
      </c>
      <c r="C3703" s="261" t="s">
        <v>3240</v>
      </c>
      <c r="D3703" s="265" t="s">
        <v>10033</v>
      </c>
      <c r="E3703" s="262" t="s">
        <v>207</v>
      </c>
    </row>
    <row r="3704" spans="1:5" ht="15">
      <c r="A3704" s="261">
        <v>4342</v>
      </c>
      <c r="B3704" s="261" t="s">
        <v>7753</v>
      </c>
      <c r="C3704" s="261" t="s">
        <v>3240</v>
      </c>
      <c r="D3704" s="265" t="s">
        <v>9879</v>
      </c>
      <c r="E3704" s="262" t="s">
        <v>207</v>
      </c>
    </row>
    <row r="3705" spans="1:5" ht="15">
      <c r="A3705" s="261">
        <v>4330</v>
      </c>
      <c r="B3705" s="261" t="s">
        <v>7754</v>
      </c>
      <c r="C3705" s="261" t="s">
        <v>3240</v>
      </c>
      <c r="D3705" s="265" t="s">
        <v>9865</v>
      </c>
      <c r="E3705" s="262" t="s">
        <v>207</v>
      </c>
    </row>
    <row r="3706" spans="1:5" ht="15">
      <c r="A3706" s="261">
        <v>4340</v>
      </c>
      <c r="B3706" s="261" t="s">
        <v>7755</v>
      </c>
      <c r="C3706" s="261" t="s">
        <v>3240</v>
      </c>
      <c r="D3706" s="265" t="s">
        <v>9968</v>
      </c>
      <c r="E3706" s="262" t="s">
        <v>207</v>
      </c>
    </row>
    <row r="3707" spans="1:5" ht="15">
      <c r="A3707" s="261">
        <v>5088</v>
      </c>
      <c r="B3707" s="261" t="s">
        <v>11924</v>
      </c>
      <c r="C3707" s="261" t="s">
        <v>3240</v>
      </c>
      <c r="D3707" s="265" t="s">
        <v>9884</v>
      </c>
      <c r="E3707" s="262" t="s">
        <v>207</v>
      </c>
    </row>
    <row r="3708" spans="1:5" ht="30">
      <c r="A3708" s="261">
        <v>11154</v>
      </c>
      <c r="B3708" s="261" t="s">
        <v>7756</v>
      </c>
      <c r="C3708" s="261" t="s">
        <v>3240</v>
      </c>
      <c r="D3708" s="265" t="s">
        <v>20427</v>
      </c>
      <c r="E3708" s="262" t="s">
        <v>207</v>
      </c>
    </row>
    <row r="3709" spans="1:5" ht="45">
      <c r="A3709" s="261">
        <v>4989</v>
      </c>
      <c r="B3709" s="261" t="s">
        <v>11925</v>
      </c>
      <c r="C3709" s="261" t="s">
        <v>3240</v>
      </c>
      <c r="D3709" s="265" t="s">
        <v>20428</v>
      </c>
      <c r="E3709" s="262" t="s">
        <v>207</v>
      </c>
    </row>
    <row r="3710" spans="1:5" ht="45">
      <c r="A3710" s="261">
        <v>4982</v>
      </c>
      <c r="B3710" s="261" t="s">
        <v>11926</v>
      </c>
      <c r="C3710" s="261" t="s">
        <v>3240</v>
      </c>
      <c r="D3710" s="265" t="s">
        <v>20429</v>
      </c>
      <c r="E3710" s="262" t="s">
        <v>207</v>
      </c>
    </row>
    <row r="3711" spans="1:5" ht="45">
      <c r="A3711" s="261">
        <v>4962</v>
      </c>
      <c r="B3711" s="261" t="s">
        <v>11927</v>
      </c>
      <c r="C3711" s="261" t="s">
        <v>3240</v>
      </c>
      <c r="D3711" s="265" t="s">
        <v>20430</v>
      </c>
      <c r="E3711" s="262" t="s">
        <v>207</v>
      </c>
    </row>
    <row r="3712" spans="1:5" ht="45">
      <c r="A3712" s="261">
        <v>4981</v>
      </c>
      <c r="B3712" s="261" t="s">
        <v>11928</v>
      </c>
      <c r="C3712" s="261" t="s">
        <v>3240</v>
      </c>
      <c r="D3712" s="265" t="s">
        <v>20431</v>
      </c>
      <c r="E3712" s="262" t="s">
        <v>207</v>
      </c>
    </row>
    <row r="3713" spans="1:5" ht="45">
      <c r="A3713" s="261">
        <v>4964</v>
      </c>
      <c r="B3713" s="261" t="s">
        <v>11929</v>
      </c>
      <c r="C3713" s="261" t="s">
        <v>3240</v>
      </c>
      <c r="D3713" s="265" t="s">
        <v>20432</v>
      </c>
      <c r="E3713" s="262" t="s">
        <v>207</v>
      </c>
    </row>
    <row r="3714" spans="1:5" ht="45">
      <c r="A3714" s="261">
        <v>4992</v>
      </c>
      <c r="B3714" s="261" t="s">
        <v>11930</v>
      </c>
      <c r="C3714" s="261" t="s">
        <v>3240</v>
      </c>
      <c r="D3714" s="265" t="s">
        <v>12447</v>
      </c>
      <c r="E3714" s="262" t="s">
        <v>207</v>
      </c>
    </row>
    <row r="3715" spans="1:5" ht="45">
      <c r="A3715" s="261">
        <v>4987</v>
      </c>
      <c r="B3715" s="261" t="s">
        <v>11931</v>
      </c>
      <c r="C3715" s="261" t="s">
        <v>3240</v>
      </c>
      <c r="D3715" s="265" t="s">
        <v>20433</v>
      </c>
      <c r="E3715" s="262" t="s">
        <v>207</v>
      </c>
    </row>
    <row r="3716" spans="1:5" ht="45">
      <c r="A3716" s="261">
        <v>39021</v>
      </c>
      <c r="B3716" s="261" t="s">
        <v>7757</v>
      </c>
      <c r="C3716" s="261" t="s">
        <v>3240</v>
      </c>
      <c r="D3716" s="265" t="s">
        <v>20434</v>
      </c>
      <c r="E3716" s="262" t="s">
        <v>207</v>
      </c>
    </row>
    <row r="3717" spans="1:5" ht="30">
      <c r="A3717" s="261">
        <v>39022</v>
      </c>
      <c r="B3717" s="261" t="s">
        <v>7758</v>
      </c>
      <c r="C3717" s="261" t="s">
        <v>3240</v>
      </c>
      <c r="D3717" s="265" t="s">
        <v>20435</v>
      </c>
      <c r="E3717" s="262" t="s">
        <v>207</v>
      </c>
    </row>
    <row r="3718" spans="1:5" ht="45">
      <c r="A3718" s="261">
        <v>39024</v>
      </c>
      <c r="B3718" s="261" t="s">
        <v>7759</v>
      </c>
      <c r="C3718" s="261" t="s">
        <v>3240</v>
      </c>
      <c r="D3718" s="265" t="s">
        <v>20436</v>
      </c>
      <c r="E3718" s="262" t="s">
        <v>207</v>
      </c>
    </row>
    <row r="3719" spans="1:5" ht="30">
      <c r="A3719" s="261">
        <v>4914</v>
      </c>
      <c r="B3719" s="261" t="s">
        <v>7760</v>
      </c>
      <c r="C3719" s="261" t="s">
        <v>3242</v>
      </c>
      <c r="D3719" s="265" t="s">
        <v>20437</v>
      </c>
      <c r="E3719" s="262" t="s">
        <v>207</v>
      </c>
    </row>
    <row r="3720" spans="1:5" ht="30">
      <c r="A3720" s="261">
        <v>4917</v>
      </c>
      <c r="B3720" s="261" t="s">
        <v>7761</v>
      </c>
      <c r="C3720" s="261" t="s">
        <v>3242</v>
      </c>
      <c r="D3720" s="265" t="s">
        <v>20438</v>
      </c>
      <c r="E3720" s="262" t="s">
        <v>207</v>
      </c>
    </row>
    <row r="3721" spans="1:5" ht="30">
      <c r="A3721" s="261">
        <v>39025</v>
      </c>
      <c r="B3721" s="261" t="s">
        <v>7762</v>
      </c>
      <c r="C3721" s="261" t="s">
        <v>3240</v>
      </c>
      <c r="D3721" s="265" t="s">
        <v>20439</v>
      </c>
      <c r="E3721" s="262" t="s">
        <v>207</v>
      </c>
    </row>
    <row r="3722" spans="1:5" ht="30">
      <c r="A3722" s="261">
        <v>4930</v>
      </c>
      <c r="B3722" s="261" t="s">
        <v>7763</v>
      </c>
      <c r="C3722" s="261" t="s">
        <v>3242</v>
      </c>
      <c r="D3722" s="265" t="s">
        <v>20440</v>
      </c>
      <c r="E3722" s="262" t="s">
        <v>207</v>
      </c>
    </row>
    <row r="3723" spans="1:5" ht="45">
      <c r="A3723" s="261">
        <v>4922</v>
      </c>
      <c r="B3723" s="261" t="s">
        <v>7764</v>
      </c>
      <c r="C3723" s="261" t="s">
        <v>3242</v>
      </c>
      <c r="D3723" s="265" t="s">
        <v>20441</v>
      </c>
      <c r="E3723" s="262" t="s">
        <v>207</v>
      </c>
    </row>
    <row r="3724" spans="1:5" ht="30">
      <c r="A3724" s="261">
        <v>4911</v>
      </c>
      <c r="B3724" s="261" t="s">
        <v>7765</v>
      </c>
      <c r="C3724" s="261" t="s">
        <v>3242</v>
      </c>
      <c r="D3724" s="266" t="s">
        <v>20442</v>
      </c>
      <c r="E3724" s="262" t="s">
        <v>207</v>
      </c>
    </row>
    <row r="3725" spans="1:5" ht="45">
      <c r="A3725" s="261">
        <v>37518</v>
      </c>
      <c r="B3725" s="261" t="s">
        <v>7766</v>
      </c>
      <c r="C3725" s="261" t="s">
        <v>3242</v>
      </c>
      <c r="D3725" s="266" t="s">
        <v>20443</v>
      </c>
      <c r="E3725" s="262" t="s">
        <v>207</v>
      </c>
    </row>
    <row r="3726" spans="1:5" ht="30">
      <c r="A3726" s="261">
        <v>4910</v>
      </c>
      <c r="B3726" s="261" t="s">
        <v>7767</v>
      </c>
      <c r="C3726" s="261" t="s">
        <v>3242</v>
      </c>
      <c r="D3726" s="265" t="s">
        <v>20444</v>
      </c>
      <c r="E3726" s="262" t="s">
        <v>207</v>
      </c>
    </row>
    <row r="3727" spans="1:5" ht="30">
      <c r="A3727" s="261">
        <v>4943</v>
      </c>
      <c r="B3727" s="261" t="s">
        <v>7768</v>
      </c>
      <c r="C3727" s="261" t="s">
        <v>3242</v>
      </c>
      <c r="D3727" s="265" t="s">
        <v>20445</v>
      </c>
      <c r="E3727" s="262" t="s">
        <v>207</v>
      </c>
    </row>
    <row r="3728" spans="1:5" ht="30">
      <c r="A3728" s="261">
        <v>5002</v>
      </c>
      <c r="B3728" s="261" t="s">
        <v>7769</v>
      </c>
      <c r="C3728" s="261" t="s">
        <v>3242</v>
      </c>
      <c r="D3728" s="265" t="s">
        <v>20446</v>
      </c>
      <c r="E3728" s="262" t="s">
        <v>207</v>
      </c>
    </row>
    <row r="3729" spans="1:5" ht="30">
      <c r="A3729" s="261">
        <v>4977</v>
      </c>
      <c r="B3729" s="261" t="s">
        <v>7770</v>
      </c>
      <c r="C3729" s="261" t="s">
        <v>3242</v>
      </c>
      <c r="D3729" s="265" t="s">
        <v>20447</v>
      </c>
      <c r="E3729" s="262" t="s">
        <v>207</v>
      </c>
    </row>
    <row r="3730" spans="1:5" ht="30">
      <c r="A3730" s="261">
        <v>5028</v>
      </c>
      <c r="B3730" s="261" t="s">
        <v>7771</v>
      </c>
      <c r="C3730" s="261" t="s">
        <v>3242</v>
      </c>
      <c r="D3730" s="265" t="s">
        <v>20448</v>
      </c>
      <c r="E3730" s="262" t="s">
        <v>207</v>
      </c>
    </row>
    <row r="3731" spans="1:5" ht="30">
      <c r="A3731" s="261">
        <v>4998</v>
      </c>
      <c r="B3731" s="261" t="s">
        <v>7772</v>
      </c>
      <c r="C3731" s="261" t="s">
        <v>3242</v>
      </c>
      <c r="D3731" s="265" t="s">
        <v>15873</v>
      </c>
      <c r="E3731" s="262" t="s">
        <v>207</v>
      </c>
    </row>
    <row r="3732" spans="1:5" ht="30">
      <c r="A3732" s="261">
        <v>4969</v>
      </c>
      <c r="B3732" s="261" t="s">
        <v>7773</v>
      </c>
      <c r="C3732" s="261" t="s">
        <v>3242</v>
      </c>
      <c r="D3732" s="265" t="s">
        <v>20449</v>
      </c>
      <c r="E3732" s="262" t="s">
        <v>207</v>
      </c>
    </row>
    <row r="3733" spans="1:5" ht="45">
      <c r="A3733" s="261">
        <v>11364</v>
      </c>
      <c r="B3733" s="261" t="s">
        <v>11932</v>
      </c>
      <c r="C3733" s="261" t="s">
        <v>3240</v>
      </c>
      <c r="D3733" s="265" t="s">
        <v>12405</v>
      </c>
      <c r="E3733" s="262" t="s">
        <v>207</v>
      </c>
    </row>
    <row r="3734" spans="1:5" ht="45">
      <c r="A3734" s="261">
        <v>11365</v>
      </c>
      <c r="B3734" s="261" t="s">
        <v>11933</v>
      </c>
      <c r="C3734" s="261" t="s">
        <v>3240</v>
      </c>
      <c r="D3734" s="265" t="s">
        <v>16129</v>
      </c>
      <c r="E3734" s="262" t="s">
        <v>207</v>
      </c>
    </row>
    <row r="3735" spans="1:5" ht="45">
      <c r="A3735" s="261">
        <v>11366</v>
      </c>
      <c r="B3735" s="261" t="s">
        <v>11934</v>
      </c>
      <c r="C3735" s="261" t="s">
        <v>3240</v>
      </c>
      <c r="D3735" s="265" t="s">
        <v>20450</v>
      </c>
      <c r="E3735" s="262" t="s">
        <v>207</v>
      </c>
    </row>
    <row r="3736" spans="1:5" ht="30">
      <c r="A3736" s="261">
        <v>43777</v>
      </c>
      <c r="B3736" s="261" t="s">
        <v>11935</v>
      </c>
      <c r="C3736" s="261" t="s">
        <v>3240</v>
      </c>
      <c r="D3736" s="265" t="s">
        <v>20451</v>
      </c>
      <c r="E3736" s="262" t="s">
        <v>207</v>
      </c>
    </row>
    <row r="3737" spans="1:5" ht="45">
      <c r="A3737" s="261">
        <v>20322</v>
      </c>
      <c r="B3737" s="261" t="s">
        <v>11936</v>
      </c>
      <c r="C3737" s="261" t="s">
        <v>3240</v>
      </c>
      <c r="D3737" s="265" t="s">
        <v>20452</v>
      </c>
      <c r="E3737" s="262" t="s">
        <v>207</v>
      </c>
    </row>
    <row r="3738" spans="1:5" ht="45">
      <c r="A3738" s="261">
        <v>10553</v>
      </c>
      <c r="B3738" s="261" t="s">
        <v>11937</v>
      </c>
      <c r="C3738" s="261" t="s">
        <v>3240</v>
      </c>
      <c r="D3738" s="265" t="s">
        <v>16656</v>
      </c>
      <c r="E3738" s="262" t="s">
        <v>207</v>
      </c>
    </row>
    <row r="3739" spans="1:5" ht="45">
      <c r="A3739" s="261">
        <v>5020</v>
      </c>
      <c r="B3739" s="261" t="s">
        <v>11938</v>
      </c>
      <c r="C3739" s="261" t="s">
        <v>3240</v>
      </c>
      <c r="D3739" s="265" t="s">
        <v>20453</v>
      </c>
      <c r="E3739" s="262" t="s">
        <v>207</v>
      </c>
    </row>
    <row r="3740" spans="1:5" ht="45">
      <c r="A3740" s="261">
        <v>10554</v>
      </c>
      <c r="B3740" s="261" t="s">
        <v>11939</v>
      </c>
      <c r="C3740" s="261" t="s">
        <v>3240</v>
      </c>
      <c r="D3740" s="265" t="s">
        <v>20454</v>
      </c>
      <c r="E3740" s="262" t="s">
        <v>207</v>
      </c>
    </row>
    <row r="3741" spans="1:5" ht="45">
      <c r="A3741" s="261">
        <v>10555</v>
      </c>
      <c r="B3741" s="261" t="s">
        <v>11940</v>
      </c>
      <c r="C3741" s="261" t="s">
        <v>3240</v>
      </c>
      <c r="D3741" s="265" t="s">
        <v>20455</v>
      </c>
      <c r="E3741" s="262" t="s">
        <v>207</v>
      </c>
    </row>
    <row r="3742" spans="1:5" ht="45">
      <c r="A3742" s="261">
        <v>10556</v>
      </c>
      <c r="B3742" s="261" t="s">
        <v>11941</v>
      </c>
      <c r="C3742" s="261" t="s">
        <v>3240</v>
      </c>
      <c r="D3742" s="265" t="s">
        <v>20456</v>
      </c>
      <c r="E3742" s="262" t="s">
        <v>207</v>
      </c>
    </row>
    <row r="3743" spans="1:5" ht="45">
      <c r="A3743" s="261">
        <v>39502</v>
      </c>
      <c r="B3743" s="261" t="s">
        <v>11942</v>
      </c>
      <c r="C3743" s="261" t="s">
        <v>3240</v>
      </c>
      <c r="D3743" s="265" t="s">
        <v>20457</v>
      </c>
      <c r="E3743" s="262" t="s">
        <v>207</v>
      </c>
    </row>
    <row r="3744" spans="1:5" ht="45">
      <c r="A3744" s="261">
        <v>39504</v>
      </c>
      <c r="B3744" s="261" t="s">
        <v>11943</v>
      </c>
      <c r="C3744" s="261" t="s">
        <v>3240</v>
      </c>
      <c r="D3744" s="266" t="s">
        <v>16616</v>
      </c>
      <c r="E3744" s="262" t="s">
        <v>207</v>
      </c>
    </row>
    <row r="3745" spans="1:5" ht="45">
      <c r="A3745" s="261">
        <v>39503</v>
      </c>
      <c r="B3745" s="261" t="s">
        <v>11944</v>
      </c>
      <c r="C3745" s="261" t="s">
        <v>3240</v>
      </c>
      <c r="D3745" s="265" t="s">
        <v>20458</v>
      </c>
      <c r="E3745" s="262" t="s">
        <v>207</v>
      </c>
    </row>
    <row r="3746" spans="1:5" ht="45">
      <c r="A3746" s="261">
        <v>39505</v>
      </c>
      <c r="B3746" s="261" t="s">
        <v>11945</v>
      </c>
      <c r="C3746" s="261" t="s">
        <v>3240</v>
      </c>
      <c r="D3746" s="265" t="s">
        <v>20459</v>
      </c>
      <c r="E3746" s="262" t="s">
        <v>207</v>
      </c>
    </row>
    <row r="3747" spans="1:5" ht="15">
      <c r="A3747" s="261">
        <v>25969</v>
      </c>
      <c r="B3747" s="261" t="s">
        <v>7774</v>
      </c>
      <c r="C3747" s="261" t="s">
        <v>3240</v>
      </c>
      <c r="D3747" s="265" t="s">
        <v>20460</v>
      </c>
      <c r="E3747" s="262" t="s">
        <v>207</v>
      </c>
    </row>
    <row r="3748" spans="1:5" ht="30">
      <c r="A3748" s="261">
        <v>4944</v>
      </c>
      <c r="B3748" s="261" t="s">
        <v>7775</v>
      </c>
      <c r="C3748" s="261" t="s">
        <v>3242</v>
      </c>
      <c r="D3748" s="265" t="s">
        <v>20461</v>
      </c>
      <c r="E3748" s="262" t="s">
        <v>207</v>
      </c>
    </row>
    <row r="3749" spans="1:5" ht="15">
      <c r="A3749" s="261">
        <v>21102</v>
      </c>
      <c r="B3749" s="261" t="s">
        <v>7776</v>
      </c>
      <c r="C3749" s="261" t="s">
        <v>3240</v>
      </c>
      <c r="D3749" s="265" t="s">
        <v>12350</v>
      </c>
      <c r="E3749" s="262" t="s">
        <v>207</v>
      </c>
    </row>
    <row r="3750" spans="1:5" ht="15">
      <c r="A3750" s="261">
        <v>21101</v>
      </c>
      <c r="B3750" s="261" t="s">
        <v>7777</v>
      </c>
      <c r="C3750" s="261" t="s">
        <v>3240</v>
      </c>
      <c r="D3750" s="265" t="s">
        <v>12213</v>
      </c>
      <c r="E3750" s="262" t="s">
        <v>207</v>
      </c>
    </row>
    <row r="3751" spans="1:5" ht="30">
      <c r="A3751" s="261">
        <v>34713</v>
      </c>
      <c r="B3751" s="261" t="s">
        <v>7778</v>
      </c>
      <c r="C3751" s="261" t="s">
        <v>3242</v>
      </c>
      <c r="D3751" s="265" t="s">
        <v>20462</v>
      </c>
      <c r="E3751" s="262" t="s">
        <v>207</v>
      </c>
    </row>
    <row r="3752" spans="1:5" ht="45">
      <c r="A3752" s="261">
        <v>4947</v>
      </c>
      <c r="B3752" s="261" t="s">
        <v>7779</v>
      </c>
      <c r="C3752" s="261" t="s">
        <v>3242</v>
      </c>
      <c r="D3752" s="265" t="s">
        <v>20463</v>
      </c>
      <c r="E3752" s="262" t="s">
        <v>207</v>
      </c>
    </row>
    <row r="3753" spans="1:5" ht="30">
      <c r="A3753" s="261">
        <v>37563</v>
      </c>
      <c r="B3753" s="261" t="s">
        <v>7780</v>
      </c>
      <c r="C3753" s="261" t="s">
        <v>3242</v>
      </c>
      <c r="D3753" s="265" t="s">
        <v>20464</v>
      </c>
      <c r="E3753" s="262" t="s">
        <v>207</v>
      </c>
    </row>
    <row r="3754" spans="1:5" ht="30">
      <c r="A3754" s="261">
        <v>4948</v>
      </c>
      <c r="B3754" s="261" t="s">
        <v>7781</v>
      </c>
      <c r="C3754" s="261" t="s">
        <v>3242</v>
      </c>
      <c r="D3754" s="265" t="s">
        <v>20465</v>
      </c>
      <c r="E3754" s="262" t="s">
        <v>207</v>
      </c>
    </row>
    <row r="3755" spans="1:5" ht="45">
      <c r="A3755" s="261">
        <v>37561</v>
      </c>
      <c r="B3755" s="261" t="s">
        <v>7782</v>
      </c>
      <c r="C3755" s="261" t="s">
        <v>3242</v>
      </c>
      <c r="D3755" s="266" t="s">
        <v>20466</v>
      </c>
      <c r="E3755" s="262" t="s">
        <v>207</v>
      </c>
    </row>
    <row r="3756" spans="1:5" ht="30">
      <c r="A3756" s="261">
        <v>37562</v>
      </c>
      <c r="B3756" s="261" t="s">
        <v>7783</v>
      </c>
      <c r="C3756" s="261" t="s">
        <v>3242</v>
      </c>
      <c r="D3756" s="266" t="s">
        <v>20467</v>
      </c>
      <c r="E3756" s="262" t="s">
        <v>207</v>
      </c>
    </row>
    <row r="3757" spans="1:5" ht="30">
      <c r="A3757" s="261">
        <v>14164</v>
      </c>
      <c r="B3757" s="261" t="s">
        <v>7784</v>
      </c>
      <c r="C3757" s="261" t="s">
        <v>3240</v>
      </c>
      <c r="D3757" s="265" t="s">
        <v>20468</v>
      </c>
      <c r="E3757" s="264" t="s">
        <v>207</v>
      </c>
    </row>
    <row r="3758" spans="1:5" ht="30">
      <c r="A3758" s="261">
        <v>14163</v>
      </c>
      <c r="B3758" s="261" t="s">
        <v>7785</v>
      </c>
      <c r="C3758" s="261" t="s">
        <v>3240</v>
      </c>
      <c r="D3758" s="265" t="s">
        <v>20469</v>
      </c>
      <c r="E3758" s="264" t="s">
        <v>207</v>
      </c>
    </row>
    <row r="3759" spans="1:5" ht="30">
      <c r="A3759" s="261">
        <v>5051</v>
      </c>
      <c r="B3759" s="261" t="s">
        <v>7786</v>
      </c>
      <c r="C3759" s="261" t="s">
        <v>3240</v>
      </c>
      <c r="D3759" s="266" t="s">
        <v>20470</v>
      </c>
      <c r="E3759" s="262" t="s">
        <v>207</v>
      </c>
    </row>
    <row r="3760" spans="1:5" ht="30">
      <c r="A3760" s="261">
        <v>14162</v>
      </c>
      <c r="B3760" s="261" t="s">
        <v>7787</v>
      </c>
      <c r="C3760" s="261" t="s">
        <v>3240</v>
      </c>
      <c r="D3760" s="265" t="s">
        <v>20471</v>
      </c>
      <c r="E3760" s="262" t="s">
        <v>207</v>
      </c>
    </row>
    <row r="3761" spans="1:5" ht="30">
      <c r="A3761" s="261">
        <v>5052</v>
      </c>
      <c r="B3761" s="261" t="s">
        <v>7788</v>
      </c>
      <c r="C3761" s="261" t="s">
        <v>3240</v>
      </c>
      <c r="D3761" s="265" t="s">
        <v>20472</v>
      </c>
      <c r="E3761" s="262" t="s">
        <v>207</v>
      </c>
    </row>
    <row r="3762" spans="1:5" ht="30">
      <c r="A3762" s="261">
        <v>14166</v>
      </c>
      <c r="B3762" s="261" t="s">
        <v>7789</v>
      </c>
      <c r="C3762" s="261" t="s">
        <v>3240</v>
      </c>
      <c r="D3762" s="265" t="s">
        <v>20473</v>
      </c>
      <c r="E3762" s="262" t="s">
        <v>207</v>
      </c>
    </row>
    <row r="3763" spans="1:5" ht="30">
      <c r="A3763" s="261">
        <v>14165</v>
      </c>
      <c r="B3763" s="261" t="s">
        <v>7790</v>
      </c>
      <c r="C3763" s="261" t="s">
        <v>3240</v>
      </c>
      <c r="D3763" s="265" t="s">
        <v>20474</v>
      </c>
      <c r="E3763" s="262" t="s">
        <v>207</v>
      </c>
    </row>
    <row r="3764" spans="1:5" ht="30">
      <c r="A3764" s="261">
        <v>5050</v>
      </c>
      <c r="B3764" s="261" t="s">
        <v>7791</v>
      </c>
      <c r="C3764" s="261" t="s">
        <v>3240</v>
      </c>
      <c r="D3764" s="265" t="s">
        <v>20475</v>
      </c>
      <c r="E3764" s="262" t="s">
        <v>207</v>
      </c>
    </row>
    <row r="3765" spans="1:5" ht="15">
      <c r="A3765" s="261">
        <v>12366</v>
      </c>
      <c r="B3765" s="261" t="s">
        <v>7792</v>
      </c>
      <c r="C3765" s="261" t="s">
        <v>3240</v>
      </c>
      <c r="D3765" s="265" t="s">
        <v>20476</v>
      </c>
      <c r="E3765" s="262" t="s">
        <v>207</v>
      </c>
    </row>
    <row r="3766" spans="1:5" ht="15">
      <c r="A3766" s="261">
        <v>5045</v>
      </c>
      <c r="B3766" s="261" t="s">
        <v>7793</v>
      </c>
      <c r="C3766" s="261" t="s">
        <v>3240</v>
      </c>
      <c r="D3766" s="265" t="s">
        <v>20477</v>
      </c>
      <c r="E3766" s="262" t="s">
        <v>207</v>
      </c>
    </row>
    <row r="3767" spans="1:5" ht="15">
      <c r="A3767" s="261">
        <v>5044</v>
      </c>
      <c r="B3767" s="261" t="s">
        <v>7794</v>
      </c>
      <c r="C3767" s="261" t="s">
        <v>3240</v>
      </c>
      <c r="D3767" s="266" t="s">
        <v>20478</v>
      </c>
      <c r="E3767" s="262" t="s">
        <v>207</v>
      </c>
    </row>
    <row r="3768" spans="1:5" ht="15">
      <c r="A3768" s="261">
        <v>5055</v>
      </c>
      <c r="B3768" s="261" t="s">
        <v>7795</v>
      </c>
      <c r="C3768" s="261" t="s">
        <v>3240</v>
      </c>
      <c r="D3768" s="265" t="s">
        <v>20479</v>
      </c>
      <c r="E3768" s="262" t="s">
        <v>207</v>
      </c>
    </row>
    <row r="3769" spans="1:5" ht="15">
      <c r="A3769" s="261">
        <v>5053</v>
      </c>
      <c r="B3769" s="261" t="s">
        <v>7796</v>
      </c>
      <c r="C3769" s="261" t="s">
        <v>3240</v>
      </c>
      <c r="D3769" s="265" t="s">
        <v>20480</v>
      </c>
      <c r="E3769" s="262" t="s">
        <v>207</v>
      </c>
    </row>
    <row r="3770" spans="1:5" ht="15">
      <c r="A3770" s="261">
        <v>5035</v>
      </c>
      <c r="B3770" s="261" t="s">
        <v>7797</v>
      </c>
      <c r="C3770" s="261" t="s">
        <v>3240</v>
      </c>
      <c r="D3770" s="265" t="s">
        <v>20481</v>
      </c>
      <c r="E3770" s="262" t="s">
        <v>207</v>
      </c>
    </row>
    <row r="3771" spans="1:5" ht="15">
      <c r="A3771" s="261">
        <v>5036</v>
      </c>
      <c r="B3771" s="261" t="s">
        <v>7798</v>
      </c>
      <c r="C3771" s="261" t="s">
        <v>3240</v>
      </c>
      <c r="D3771" s="265" t="s">
        <v>20482</v>
      </c>
      <c r="E3771" s="262" t="s">
        <v>207</v>
      </c>
    </row>
    <row r="3772" spans="1:5" ht="15">
      <c r="A3772" s="261">
        <v>5059</v>
      </c>
      <c r="B3772" s="261" t="s">
        <v>7799</v>
      </c>
      <c r="C3772" s="261" t="s">
        <v>3240</v>
      </c>
      <c r="D3772" s="265" t="s">
        <v>20483</v>
      </c>
      <c r="E3772" s="262" t="s">
        <v>207</v>
      </c>
    </row>
    <row r="3773" spans="1:5" ht="15">
      <c r="A3773" s="261">
        <v>5057</v>
      </c>
      <c r="B3773" s="261" t="s">
        <v>7800</v>
      </c>
      <c r="C3773" s="261" t="s">
        <v>3240</v>
      </c>
      <c r="D3773" s="265" t="s">
        <v>20484</v>
      </c>
      <c r="E3773" s="262" t="s">
        <v>207</v>
      </c>
    </row>
    <row r="3774" spans="1:5" ht="15">
      <c r="A3774" s="261">
        <v>5033</v>
      </c>
      <c r="B3774" s="261" t="s">
        <v>7801</v>
      </c>
      <c r="C3774" s="261" t="s">
        <v>3240</v>
      </c>
      <c r="D3774" s="265" t="s">
        <v>20485</v>
      </c>
      <c r="E3774" s="262" t="s">
        <v>207</v>
      </c>
    </row>
    <row r="3775" spans="1:5" ht="15">
      <c r="A3775" s="261">
        <v>5038</v>
      </c>
      <c r="B3775" s="261" t="s">
        <v>7802</v>
      </c>
      <c r="C3775" s="261" t="s">
        <v>3240</v>
      </c>
      <c r="D3775" s="265" t="s">
        <v>20486</v>
      </c>
      <c r="E3775" s="262" t="s">
        <v>207</v>
      </c>
    </row>
    <row r="3776" spans="1:5" ht="15">
      <c r="A3776" s="261">
        <v>12372</v>
      </c>
      <c r="B3776" s="261" t="s">
        <v>7803</v>
      </c>
      <c r="C3776" s="261" t="s">
        <v>3240</v>
      </c>
      <c r="D3776" s="265" t="s">
        <v>20487</v>
      </c>
      <c r="E3776" s="262" t="s">
        <v>207</v>
      </c>
    </row>
    <row r="3777" spans="1:5" ht="15">
      <c r="A3777" s="261">
        <v>13339</v>
      </c>
      <c r="B3777" s="261" t="s">
        <v>7804</v>
      </c>
      <c r="C3777" s="261" t="s">
        <v>3240</v>
      </c>
      <c r="D3777" s="265" t="s">
        <v>20488</v>
      </c>
      <c r="E3777" s="262" t="s">
        <v>207</v>
      </c>
    </row>
    <row r="3778" spans="1:5" ht="15">
      <c r="A3778" s="261">
        <v>12373</v>
      </c>
      <c r="B3778" s="261" t="s">
        <v>7805</v>
      </c>
      <c r="C3778" s="261" t="s">
        <v>3240</v>
      </c>
      <c r="D3778" s="265" t="s">
        <v>20489</v>
      </c>
      <c r="E3778" s="262" t="s">
        <v>207</v>
      </c>
    </row>
    <row r="3779" spans="1:5" ht="15">
      <c r="A3779" s="261">
        <v>12388</v>
      </c>
      <c r="B3779" s="261" t="s">
        <v>7806</v>
      </c>
      <c r="C3779" s="261" t="s">
        <v>3240</v>
      </c>
      <c r="D3779" s="265" t="s">
        <v>20490</v>
      </c>
      <c r="E3779" s="262" t="s">
        <v>207</v>
      </c>
    </row>
    <row r="3780" spans="1:5" ht="15">
      <c r="A3780" s="261">
        <v>34695</v>
      </c>
      <c r="B3780" s="261" t="s">
        <v>7807</v>
      </c>
      <c r="C3780" s="261" t="s">
        <v>3240</v>
      </c>
      <c r="D3780" s="265" t="s">
        <v>20491</v>
      </c>
      <c r="E3780" s="262" t="s">
        <v>207</v>
      </c>
    </row>
    <row r="3781" spans="1:5" ht="15">
      <c r="A3781" s="261">
        <v>34692</v>
      </c>
      <c r="B3781" s="261" t="s">
        <v>7808</v>
      </c>
      <c r="C3781" s="261" t="s">
        <v>3240</v>
      </c>
      <c r="D3781" s="265" t="s">
        <v>20492</v>
      </c>
      <c r="E3781" s="262" t="s">
        <v>207</v>
      </c>
    </row>
    <row r="3782" spans="1:5" ht="30">
      <c r="A3782" s="261">
        <v>2731</v>
      </c>
      <c r="B3782" s="261" t="s">
        <v>11946</v>
      </c>
      <c r="C3782" s="261" t="s">
        <v>3243</v>
      </c>
      <c r="D3782" s="265" t="s">
        <v>12406</v>
      </c>
      <c r="E3782" s="262" t="s">
        <v>207</v>
      </c>
    </row>
    <row r="3783" spans="1:5" ht="15">
      <c r="A3783" s="261">
        <v>26028</v>
      </c>
      <c r="B3783" s="261" t="s">
        <v>7809</v>
      </c>
      <c r="C3783" s="261" t="s">
        <v>3251</v>
      </c>
      <c r="D3783" s="265" t="s">
        <v>20493</v>
      </c>
      <c r="E3783" s="262" t="s">
        <v>207</v>
      </c>
    </row>
    <row r="3784" spans="1:5" ht="30">
      <c r="A3784" s="261">
        <v>11844</v>
      </c>
      <c r="B3784" s="261" t="s">
        <v>11947</v>
      </c>
      <c r="C3784" s="261" t="s">
        <v>3243</v>
      </c>
      <c r="D3784" s="265" t="s">
        <v>16551</v>
      </c>
      <c r="E3784" s="262" t="s">
        <v>207</v>
      </c>
    </row>
    <row r="3785" spans="1:5" ht="30">
      <c r="A3785" s="261">
        <v>4465</v>
      </c>
      <c r="B3785" s="261" t="s">
        <v>11948</v>
      </c>
      <c r="C3785" s="261" t="s">
        <v>3243</v>
      </c>
      <c r="D3785" s="265" t="s">
        <v>16343</v>
      </c>
      <c r="E3785" s="262" t="s">
        <v>207</v>
      </c>
    </row>
    <row r="3786" spans="1:5" ht="30">
      <c r="A3786" s="261">
        <v>35273</v>
      </c>
      <c r="B3786" s="261" t="s">
        <v>11949</v>
      </c>
      <c r="C3786" s="261" t="s">
        <v>3243</v>
      </c>
      <c r="D3786" s="265" t="s">
        <v>11269</v>
      </c>
      <c r="E3786" s="262" t="s">
        <v>207</v>
      </c>
    </row>
    <row r="3787" spans="1:5" ht="30">
      <c r="A3787" s="261">
        <v>4470</v>
      </c>
      <c r="B3787" s="261" t="s">
        <v>11950</v>
      </c>
      <c r="C3787" s="261" t="s">
        <v>3243</v>
      </c>
      <c r="D3787" s="265" t="s">
        <v>15925</v>
      </c>
      <c r="E3787" s="262" t="s">
        <v>207</v>
      </c>
    </row>
    <row r="3788" spans="1:5" ht="30">
      <c r="A3788" s="261">
        <v>20208</v>
      </c>
      <c r="B3788" s="261" t="s">
        <v>11951</v>
      </c>
      <c r="C3788" s="261" t="s">
        <v>3243</v>
      </c>
      <c r="D3788" s="265" t="s">
        <v>20494</v>
      </c>
      <c r="E3788" s="262" t="s">
        <v>207</v>
      </c>
    </row>
    <row r="3789" spans="1:5" ht="30">
      <c r="A3789" s="261">
        <v>20204</v>
      </c>
      <c r="B3789" s="261" t="s">
        <v>11952</v>
      </c>
      <c r="C3789" s="261" t="s">
        <v>3243</v>
      </c>
      <c r="D3789" s="265" t="s">
        <v>12158</v>
      </c>
      <c r="E3789" s="262" t="s">
        <v>207</v>
      </c>
    </row>
    <row r="3790" spans="1:5" ht="30">
      <c r="A3790" s="261">
        <v>4437</v>
      </c>
      <c r="B3790" s="261" t="s">
        <v>11953</v>
      </c>
      <c r="C3790" s="261" t="s">
        <v>3243</v>
      </c>
      <c r="D3790" s="265" t="s">
        <v>20495</v>
      </c>
      <c r="E3790" s="262" t="s">
        <v>207</v>
      </c>
    </row>
    <row r="3791" spans="1:5" ht="30">
      <c r="A3791" s="261">
        <v>14580</v>
      </c>
      <c r="B3791" s="261" t="s">
        <v>11954</v>
      </c>
      <c r="C3791" s="261" t="s">
        <v>3243</v>
      </c>
      <c r="D3791" s="265" t="s">
        <v>20495</v>
      </c>
      <c r="E3791" s="262" t="s">
        <v>207</v>
      </c>
    </row>
    <row r="3792" spans="1:5" ht="15">
      <c r="A3792" s="261">
        <v>40304</v>
      </c>
      <c r="B3792" s="261" t="s">
        <v>7810</v>
      </c>
      <c r="C3792" s="261" t="s">
        <v>3244</v>
      </c>
      <c r="D3792" s="265" t="s">
        <v>16508</v>
      </c>
      <c r="E3792" s="262" t="s">
        <v>207</v>
      </c>
    </row>
    <row r="3793" spans="1:5" ht="15">
      <c r="A3793" s="261">
        <v>5065</v>
      </c>
      <c r="B3793" s="261" t="s">
        <v>7811</v>
      </c>
      <c r="C3793" s="261" t="s">
        <v>3244</v>
      </c>
      <c r="D3793" s="265" t="s">
        <v>19059</v>
      </c>
      <c r="E3793" s="262" t="s">
        <v>207</v>
      </c>
    </row>
    <row r="3794" spans="1:5" ht="15">
      <c r="A3794" s="261">
        <v>5072</v>
      </c>
      <c r="B3794" s="261" t="s">
        <v>7812</v>
      </c>
      <c r="C3794" s="261" t="s">
        <v>3244</v>
      </c>
      <c r="D3794" s="265" t="s">
        <v>10053</v>
      </c>
      <c r="E3794" s="262" t="s">
        <v>207</v>
      </c>
    </row>
    <row r="3795" spans="1:5" ht="15">
      <c r="A3795" s="261">
        <v>5066</v>
      </c>
      <c r="B3795" s="261" t="s">
        <v>7813</v>
      </c>
      <c r="C3795" s="261" t="s">
        <v>3244</v>
      </c>
      <c r="D3795" s="265" t="s">
        <v>14258</v>
      </c>
      <c r="E3795" s="262" t="s">
        <v>207</v>
      </c>
    </row>
    <row r="3796" spans="1:5" ht="15">
      <c r="A3796" s="261">
        <v>5063</v>
      </c>
      <c r="B3796" s="261" t="s">
        <v>7814</v>
      </c>
      <c r="C3796" s="261" t="s">
        <v>3244</v>
      </c>
      <c r="D3796" s="265" t="s">
        <v>20496</v>
      </c>
      <c r="E3796" s="262" t="s">
        <v>207</v>
      </c>
    </row>
    <row r="3797" spans="1:5" ht="15">
      <c r="A3797" s="261">
        <v>20247</v>
      </c>
      <c r="B3797" s="261" t="s">
        <v>7815</v>
      </c>
      <c r="C3797" s="261" t="s">
        <v>3244</v>
      </c>
      <c r="D3797" s="265" t="s">
        <v>20497</v>
      </c>
      <c r="E3797" s="262" t="s">
        <v>207</v>
      </c>
    </row>
    <row r="3798" spans="1:5" ht="15">
      <c r="A3798" s="261">
        <v>5074</v>
      </c>
      <c r="B3798" s="261" t="s">
        <v>7816</v>
      </c>
      <c r="C3798" s="261" t="s">
        <v>3244</v>
      </c>
      <c r="D3798" s="265" t="s">
        <v>18749</v>
      </c>
      <c r="E3798" s="262" t="s">
        <v>207</v>
      </c>
    </row>
    <row r="3799" spans="1:5" ht="15">
      <c r="A3799" s="261">
        <v>5067</v>
      </c>
      <c r="B3799" s="261" t="s">
        <v>7817</v>
      </c>
      <c r="C3799" s="261" t="s">
        <v>3244</v>
      </c>
      <c r="D3799" s="265" t="s">
        <v>10352</v>
      </c>
      <c r="E3799" s="262" t="s">
        <v>207</v>
      </c>
    </row>
    <row r="3800" spans="1:5" ht="15">
      <c r="A3800" s="261">
        <v>5078</v>
      </c>
      <c r="B3800" s="261" t="s">
        <v>7818</v>
      </c>
      <c r="C3800" s="261" t="s">
        <v>3244</v>
      </c>
      <c r="D3800" s="265" t="s">
        <v>10102</v>
      </c>
      <c r="E3800" s="262" t="s">
        <v>207</v>
      </c>
    </row>
    <row r="3801" spans="1:5" ht="15">
      <c r="A3801" s="261">
        <v>5068</v>
      </c>
      <c r="B3801" s="261" t="s">
        <v>7819</v>
      </c>
      <c r="C3801" s="261" t="s">
        <v>3244</v>
      </c>
      <c r="D3801" s="265" t="s">
        <v>14225</v>
      </c>
      <c r="E3801" s="262" t="s">
        <v>207</v>
      </c>
    </row>
    <row r="3802" spans="1:5" ht="15">
      <c r="A3802" s="261">
        <v>5073</v>
      </c>
      <c r="B3802" s="261" t="s">
        <v>7820</v>
      </c>
      <c r="C3802" s="261" t="s">
        <v>3244</v>
      </c>
      <c r="D3802" s="265" t="s">
        <v>20331</v>
      </c>
      <c r="E3802" s="262" t="s">
        <v>207</v>
      </c>
    </row>
    <row r="3803" spans="1:5" ht="15">
      <c r="A3803" s="261">
        <v>5069</v>
      </c>
      <c r="B3803" s="261" t="s">
        <v>7821</v>
      </c>
      <c r="C3803" s="261" t="s">
        <v>3244</v>
      </c>
      <c r="D3803" s="265" t="s">
        <v>20331</v>
      </c>
      <c r="E3803" s="262" t="s">
        <v>207</v>
      </c>
    </row>
    <row r="3804" spans="1:5" ht="15">
      <c r="A3804" s="261">
        <v>5070</v>
      </c>
      <c r="B3804" s="261" t="s">
        <v>7822</v>
      </c>
      <c r="C3804" s="261" t="s">
        <v>3244</v>
      </c>
      <c r="D3804" s="265" t="s">
        <v>16059</v>
      </c>
      <c r="E3804" s="262" t="s">
        <v>207</v>
      </c>
    </row>
    <row r="3805" spans="1:5" ht="15">
      <c r="A3805" s="261">
        <v>5071</v>
      </c>
      <c r="B3805" s="261" t="s">
        <v>7823</v>
      </c>
      <c r="C3805" s="261" t="s">
        <v>3244</v>
      </c>
      <c r="D3805" s="265" t="s">
        <v>14225</v>
      </c>
      <c r="E3805" s="262" t="s">
        <v>207</v>
      </c>
    </row>
    <row r="3806" spans="1:5" ht="15">
      <c r="A3806" s="261">
        <v>5061</v>
      </c>
      <c r="B3806" s="261" t="s">
        <v>7824</v>
      </c>
      <c r="C3806" s="261" t="s">
        <v>3244</v>
      </c>
      <c r="D3806" s="265" t="s">
        <v>20498</v>
      </c>
      <c r="E3806" s="262" t="s">
        <v>207</v>
      </c>
    </row>
    <row r="3807" spans="1:5" ht="15">
      <c r="A3807" s="261">
        <v>5075</v>
      </c>
      <c r="B3807" s="261" t="s">
        <v>7825</v>
      </c>
      <c r="C3807" s="261" t="s">
        <v>3244</v>
      </c>
      <c r="D3807" s="265" t="s">
        <v>14225</v>
      </c>
      <c r="E3807" s="262" t="s">
        <v>207</v>
      </c>
    </row>
    <row r="3808" spans="1:5" ht="15">
      <c r="A3808" s="261">
        <v>39027</v>
      </c>
      <c r="B3808" s="261" t="s">
        <v>7826</v>
      </c>
      <c r="C3808" s="261" t="s">
        <v>3244</v>
      </c>
      <c r="D3808" s="265" t="s">
        <v>12370</v>
      </c>
      <c r="E3808" s="262" t="s">
        <v>207</v>
      </c>
    </row>
    <row r="3809" spans="1:5" ht="15">
      <c r="A3809" s="261">
        <v>5062</v>
      </c>
      <c r="B3809" s="261" t="s">
        <v>7827</v>
      </c>
      <c r="C3809" s="261" t="s">
        <v>3244</v>
      </c>
      <c r="D3809" s="265" t="s">
        <v>10566</v>
      </c>
      <c r="E3809" s="262" t="s">
        <v>207</v>
      </c>
    </row>
    <row r="3810" spans="1:5" ht="15">
      <c r="A3810" s="261">
        <v>40568</v>
      </c>
      <c r="B3810" s="261" t="s">
        <v>7828</v>
      </c>
      <c r="C3810" s="261" t="s">
        <v>3244</v>
      </c>
      <c r="D3810" s="265" t="s">
        <v>19957</v>
      </c>
      <c r="E3810" s="262" t="s">
        <v>207</v>
      </c>
    </row>
    <row r="3811" spans="1:5" ht="15">
      <c r="A3811" s="261">
        <v>39026</v>
      </c>
      <c r="B3811" s="261" t="s">
        <v>7829</v>
      </c>
      <c r="C3811" s="261" t="s">
        <v>3244</v>
      </c>
      <c r="D3811" s="265" t="s">
        <v>20499</v>
      </c>
      <c r="E3811" s="262" t="s">
        <v>207</v>
      </c>
    </row>
    <row r="3812" spans="1:5" ht="45">
      <c r="A3812" s="261">
        <v>42431</v>
      </c>
      <c r="B3812" s="261" t="s">
        <v>7830</v>
      </c>
      <c r="C3812" s="261" t="s">
        <v>3240</v>
      </c>
      <c r="D3812" s="265" t="s">
        <v>20500</v>
      </c>
      <c r="E3812" s="262" t="s">
        <v>207</v>
      </c>
    </row>
    <row r="3813" spans="1:5" ht="15">
      <c r="A3813" s="261">
        <v>11149</v>
      </c>
      <c r="B3813" s="261" t="s">
        <v>7831</v>
      </c>
      <c r="C3813" s="261" t="s">
        <v>3256</v>
      </c>
      <c r="D3813" s="265" t="s">
        <v>20501</v>
      </c>
      <c r="E3813" s="262" t="s">
        <v>207</v>
      </c>
    </row>
    <row r="3814" spans="1:5" ht="30">
      <c r="A3814" s="261">
        <v>511</v>
      </c>
      <c r="B3814" s="261" t="s">
        <v>7832</v>
      </c>
      <c r="C3814" s="261" t="s">
        <v>3245</v>
      </c>
      <c r="D3814" s="266" t="s">
        <v>12157</v>
      </c>
      <c r="E3814" s="262" t="s">
        <v>207</v>
      </c>
    </row>
    <row r="3815" spans="1:5" ht="30">
      <c r="A3815" s="261">
        <v>37540</v>
      </c>
      <c r="B3815" s="261" t="s">
        <v>7833</v>
      </c>
      <c r="C3815" s="261" t="s">
        <v>3240</v>
      </c>
      <c r="D3815" s="265" t="s">
        <v>20502</v>
      </c>
      <c r="E3815" s="262" t="s">
        <v>8987</v>
      </c>
    </row>
    <row r="3816" spans="1:5" ht="30">
      <c r="A3816" s="261">
        <v>37548</v>
      </c>
      <c r="B3816" s="261" t="s">
        <v>7834</v>
      </c>
      <c r="C3816" s="261" t="s">
        <v>3240</v>
      </c>
      <c r="D3816" s="265" t="s">
        <v>20503</v>
      </c>
      <c r="E3816" s="262" t="s">
        <v>8987</v>
      </c>
    </row>
    <row r="3817" spans="1:5" ht="30">
      <c r="A3817" s="261">
        <v>39828</v>
      </c>
      <c r="B3817" s="261" t="s">
        <v>7835</v>
      </c>
      <c r="C3817" s="261" t="s">
        <v>3240</v>
      </c>
      <c r="D3817" s="265" t="s">
        <v>20504</v>
      </c>
      <c r="E3817" s="262" t="s">
        <v>207</v>
      </c>
    </row>
    <row r="3818" spans="1:5" ht="45">
      <c r="A3818" s="261">
        <v>12273</v>
      </c>
      <c r="B3818" s="261" t="s">
        <v>7836</v>
      </c>
      <c r="C3818" s="261" t="s">
        <v>3240</v>
      </c>
      <c r="D3818" s="265" t="s">
        <v>16309</v>
      </c>
      <c r="E3818" s="262" t="s">
        <v>207</v>
      </c>
    </row>
    <row r="3819" spans="1:5" ht="15">
      <c r="A3819" s="261">
        <v>38392</v>
      </c>
      <c r="B3819" s="261" t="s">
        <v>7837</v>
      </c>
      <c r="C3819" s="261" t="s">
        <v>3240</v>
      </c>
      <c r="D3819" s="265" t="s">
        <v>20505</v>
      </c>
      <c r="E3819" s="262" t="s">
        <v>207</v>
      </c>
    </row>
    <row r="3820" spans="1:5" ht="15">
      <c r="A3820" s="261">
        <v>11735</v>
      </c>
      <c r="B3820" s="261" t="s">
        <v>7838</v>
      </c>
      <c r="C3820" s="261" t="s">
        <v>3240</v>
      </c>
      <c r="D3820" s="265" t="s">
        <v>15788</v>
      </c>
      <c r="E3820" s="262" t="s">
        <v>207</v>
      </c>
    </row>
    <row r="3821" spans="1:5" ht="15">
      <c r="A3821" s="261">
        <v>11737</v>
      </c>
      <c r="B3821" s="261" t="s">
        <v>7839</v>
      </c>
      <c r="C3821" s="261" t="s">
        <v>3240</v>
      </c>
      <c r="D3821" s="265" t="s">
        <v>15944</v>
      </c>
      <c r="E3821" s="262" t="s">
        <v>207</v>
      </c>
    </row>
    <row r="3822" spans="1:5" ht="15">
      <c r="A3822" s="261">
        <v>11738</v>
      </c>
      <c r="B3822" s="261" t="s">
        <v>7840</v>
      </c>
      <c r="C3822" s="261" t="s">
        <v>3240</v>
      </c>
      <c r="D3822" s="265" t="s">
        <v>11341</v>
      </c>
      <c r="E3822" s="262" t="s">
        <v>207</v>
      </c>
    </row>
    <row r="3823" spans="1:5" ht="30">
      <c r="A3823" s="261">
        <v>36143</v>
      </c>
      <c r="B3823" s="261" t="s">
        <v>7841</v>
      </c>
      <c r="C3823" s="261" t="s">
        <v>3240</v>
      </c>
      <c r="D3823" s="265" t="s">
        <v>20506</v>
      </c>
      <c r="E3823" s="262" t="s">
        <v>207</v>
      </c>
    </row>
    <row r="3824" spans="1:5" ht="30">
      <c r="A3824" s="261">
        <v>36142</v>
      </c>
      <c r="B3824" s="261" t="s">
        <v>7842</v>
      </c>
      <c r="C3824" s="261" t="s">
        <v>3240</v>
      </c>
      <c r="D3824" s="265" t="s">
        <v>11063</v>
      </c>
      <c r="E3824" s="262" t="s">
        <v>207</v>
      </c>
    </row>
    <row r="3825" spans="1:5" ht="15">
      <c r="A3825" s="261">
        <v>36146</v>
      </c>
      <c r="B3825" s="261" t="s">
        <v>7843</v>
      </c>
      <c r="C3825" s="261" t="s">
        <v>3240</v>
      </c>
      <c r="D3825" s="265" t="s">
        <v>20507</v>
      </c>
      <c r="E3825" s="262" t="s">
        <v>207</v>
      </c>
    </row>
    <row r="3826" spans="1:5" ht="30">
      <c r="A3826" s="261">
        <v>39015</v>
      </c>
      <c r="B3826" s="261" t="s">
        <v>7844</v>
      </c>
      <c r="C3826" s="261" t="s">
        <v>3240</v>
      </c>
      <c r="D3826" s="265" t="s">
        <v>9926</v>
      </c>
      <c r="E3826" s="262" t="s">
        <v>207</v>
      </c>
    </row>
    <row r="3827" spans="1:5" ht="15">
      <c r="A3827" s="261">
        <v>38377</v>
      </c>
      <c r="B3827" s="261" t="s">
        <v>7845</v>
      </c>
      <c r="C3827" s="261" t="s">
        <v>3240</v>
      </c>
      <c r="D3827" s="265" t="s">
        <v>20508</v>
      </c>
      <c r="E3827" s="262" t="s">
        <v>207</v>
      </c>
    </row>
    <row r="3828" spans="1:5" ht="15">
      <c r="A3828" s="261">
        <v>38376</v>
      </c>
      <c r="B3828" s="261" t="s">
        <v>7846</v>
      </c>
      <c r="C3828" s="261" t="s">
        <v>3240</v>
      </c>
      <c r="D3828" s="265" t="s">
        <v>20509</v>
      </c>
      <c r="E3828" s="262" t="s">
        <v>207</v>
      </c>
    </row>
    <row r="3829" spans="1:5" ht="15">
      <c r="A3829" s="261">
        <v>38116</v>
      </c>
      <c r="B3829" s="261" t="s">
        <v>7847</v>
      </c>
      <c r="C3829" s="261" t="s">
        <v>3240</v>
      </c>
      <c r="D3829" s="265" t="s">
        <v>9755</v>
      </c>
      <c r="E3829" s="262" t="s">
        <v>207</v>
      </c>
    </row>
    <row r="3830" spans="1:5" ht="30">
      <c r="A3830" s="261">
        <v>38066</v>
      </c>
      <c r="B3830" s="261" t="s">
        <v>7848</v>
      </c>
      <c r="C3830" s="261" t="s">
        <v>3240</v>
      </c>
      <c r="D3830" s="265" t="s">
        <v>10910</v>
      </c>
      <c r="E3830" s="262" t="s">
        <v>207</v>
      </c>
    </row>
    <row r="3831" spans="1:5" ht="15">
      <c r="A3831" s="261">
        <v>38117</v>
      </c>
      <c r="B3831" s="261" t="s">
        <v>7849</v>
      </c>
      <c r="C3831" s="261" t="s">
        <v>3240</v>
      </c>
      <c r="D3831" s="265" t="s">
        <v>11306</v>
      </c>
      <c r="E3831" s="262" t="s">
        <v>207</v>
      </c>
    </row>
    <row r="3832" spans="1:5" ht="30">
      <c r="A3832" s="261">
        <v>38067</v>
      </c>
      <c r="B3832" s="261" t="s">
        <v>7850</v>
      </c>
      <c r="C3832" s="261" t="s">
        <v>3240</v>
      </c>
      <c r="D3832" s="265" t="s">
        <v>16326</v>
      </c>
      <c r="E3832" s="262" t="s">
        <v>207</v>
      </c>
    </row>
    <row r="3833" spans="1:5" ht="30">
      <c r="A3833" s="261">
        <v>41757</v>
      </c>
      <c r="B3833" s="261" t="s">
        <v>7851</v>
      </c>
      <c r="C3833" s="261" t="s">
        <v>3240</v>
      </c>
      <c r="D3833" s="265" t="s">
        <v>20510</v>
      </c>
      <c r="E3833" s="262" t="s">
        <v>207</v>
      </c>
    </row>
    <row r="3834" spans="1:5" ht="30">
      <c r="A3834" s="261">
        <v>11522</v>
      </c>
      <c r="B3834" s="261" t="s">
        <v>11955</v>
      </c>
      <c r="C3834" s="261" t="s">
        <v>3240</v>
      </c>
      <c r="D3834" s="265" t="s">
        <v>11537</v>
      </c>
      <c r="E3834" s="262" t="s">
        <v>207</v>
      </c>
    </row>
    <row r="3835" spans="1:5" ht="30">
      <c r="A3835" s="261">
        <v>43600</v>
      </c>
      <c r="B3835" s="261" t="s">
        <v>11956</v>
      </c>
      <c r="C3835" s="261" t="s">
        <v>3240</v>
      </c>
      <c r="D3835" s="265" t="s">
        <v>16556</v>
      </c>
      <c r="E3835" s="262" t="s">
        <v>207</v>
      </c>
    </row>
    <row r="3836" spans="1:5" ht="30">
      <c r="A3836" s="261">
        <v>5080</v>
      </c>
      <c r="B3836" s="261" t="s">
        <v>11957</v>
      </c>
      <c r="C3836" s="261" t="s">
        <v>3240</v>
      </c>
      <c r="D3836" s="265" t="s">
        <v>9939</v>
      </c>
      <c r="E3836" s="262" t="s">
        <v>207</v>
      </c>
    </row>
    <row r="3837" spans="1:5" ht="30">
      <c r="A3837" s="261">
        <v>38168</v>
      </c>
      <c r="B3837" s="261" t="s">
        <v>11958</v>
      </c>
      <c r="C3837" s="261" t="s">
        <v>3240</v>
      </c>
      <c r="D3837" s="265" t="s">
        <v>20511</v>
      </c>
      <c r="E3837" s="262" t="s">
        <v>207</v>
      </c>
    </row>
    <row r="3838" spans="1:5" ht="30">
      <c r="A3838" s="261">
        <v>43601</v>
      </c>
      <c r="B3838" s="261" t="s">
        <v>11959</v>
      </c>
      <c r="C3838" s="261" t="s">
        <v>3240</v>
      </c>
      <c r="D3838" s="265" t="s">
        <v>20512</v>
      </c>
      <c r="E3838" s="262" t="s">
        <v>207</v>
      </c>
    </row>
    <row r="3839" spans="1:5" ht="30">
      <c r="A3839" s="261">
        <v>13393</v>
      </c>
      <c r="B3839" s="261" t="s">
        <v>7852</v>
      </c>
      <c r="C3839" s="261" t="s">
        <v>3240</v>
      </c>
      <c r="D3839" s="265" t="s">
        <v>20513</v>
      </c>
      <c r="E3839" s="262" t="s">
        <v>207</v>
      </c>
    </row>
    <row r="3840" spans="1:5" ht="30">
      <c r="A3840" s="261">
        <v>13395</v>
      </c>
      <c r="B3840" s="261" t="s">
        <v>9554</v>
      </c>
      <c r="C3840" s="261" t="s">
        <v>3240</v>
      </c>
      <c r="D3840" s="265" t="s">
        <v>20514</v>
      </c>
      <c r="E3840" s="262" t="s">
        <v>207</v>
      </c>
    </row>
    <row r="3841" spans="1:5" ht="30">
      <c r="A3841" s="261">
        <v>12039</v>
      </c>
      <c r="B3841" s="261" t="s">
        <v>7853</v>
      </c>
      <c r="C3841" s="261" t="s">
        <v>3240</v>
      </c>
      <c r="D3841" s="265" t="s">
        <v>20515</v>
      </c>
      <c r="E3841" s="262" t="s">
        <v>207</v>
      </c>
    </row>
    <row r="3842" spans="1:5" ht="30">
      <c r="A3842" s="261">
        <v>13396</v>
      </c>
      <c r="B3842" s="261" t="s">
        <v>7854</v>
      </c>
      <c r="C3842" s="261" t="s">
        <v>3240</v>
      </c>
      <c r="D3842" s="265" t="s">
        <v>20516</v>
      </c>
      <c r="E3842" s="262" t="s">
        <v>207</v>
      </c>
    </row>
    <row r="3843" spans="1:5" ht="30">
      <c r="A3843" s="261">
        <v>12041</v>
      </c>
      <c r="B3843" s="261" t="s">
        <v>7855</v>
      </c>
      <c r="C3843" s="261" t="s">
        <v>3240</v>
      </c>
      <c r="D3843" s="265" t="s">
        <v>20517</v>
      </c>
      <c r="E3843" s="262" t="s">
        <v>207</v>
      </c>
    </row>
    <row r="3844" spans="1:5" ht="30">
      <c r="A3844" s="261">
        <v>12043</v>
      </c>
      <c r="B3844" s="261" t="s">
        <v>7856</v>
      </c>
      <c r="C3844" s="261" t="s">
        <v>3240</v>
      </c>
      <c r="D3844" s="265" t="s">
        <v>20518</v>
      </c>
      <c r="E3844" s="262" t="s">
        <v>207</v>
      </c>
    </row>
    <row r="3845" spans="1:5" ht="30">
      <c r="A3845" s="261">
        <v>39762</v>
      </c>
      <c r="B3845" s="261" t="s">
        <v>7857</v>
      </c>
      <c r="C3845" s="261" t="s">
        <v>3240</v>
      </c>
      <c r="D3845" s="265" t="s">
        <v>20519</v>
      </c>
      <c r="E3845" s="262" t="s">
        <v>207</v>
      </c>
    </row>
    <row r="3846" spans="1:5" ht="30">
      <c r="A3846" s="261">
        <v>12042</v>
      </c>
      <c r="B3846" s="261" t="s">
        <v>7858</v>
      </c>
      <c r="C3846" s="261" t="s">
        <v>3240</v>
      </c>
      <c r="D3846" s="265" t="s">
        <v>20520</v>
      </c>
      <c r="E3846" s="262" t="s">
        <v>207</v>
      </c>
    </row>
    <row r="3847" spans="1:5" ht="30">
      <c r="A3847" s="261">
        <v>39763</v>
      </c>
      <c r="B3847" s="261" t="s">
        <v>7859</v>
      </c>
      <c r="C3847" s="261" t="s">
        <v>3240</v>
      </c>
      <c r="D3847" s="265" t="s">
        <v>20521</v>
      </c>
      <c r="E3847" s="262" t="s">
        <v>207</v>
      </c>
    </row>
    <row r="3848" spans="1:5" ht="30">
      <c r="A3848" s="261">
        <v>39760</v>
      </c>
      <c r="B3848" s="261" t="s">
        <v>11475</v>
      </c>
      <c r="C3848" s="261" t="s">
        <v>3240</v>
      </c>
      <c r="D3848" s="265" t="s">
        <v>20522</v>
      </c>
      <c r="E3848" s="262" t="s">
        <v>207</v>
      </c>
    </row>
    <row r="3849" spans="1:5" ht="30">
      <c r="A3849" s="261">
        <v>39756</v>
      </c>
      <c r="B3849" s="261" t="s">
        <v>7860</v>
      </c>
      <c r="C3849" s="261" t="s">
        <v>3240</v>
      </c>
      <c r="D3849" s="265" t="s">
        <v>20523</v>
      </c>
      <c r="E3849" s="262" t="s">
        <v>207</v>
      </c>
    </row>
    <row r="3850" spans="1:5" ht="30">
      <c r="A3850" s="261">
        <v>12038</v>
      </c>
      <c r="B3850" s="261" t="s">
        <v>7861</v>
      </c>
      <c r="C3850" s="261" t="s">
        <v>3240</v>
      </c>
      <c r="D3850" s="265" t="s">
        <v>20524</v>
      </c>
      <c r="E3850" s="262" t="s">
        <v>207</v>
      </c>
    </row>
    <row r="3851" spans="1:5" ht="30">
      <c r="A3851" s="261">
        <v>39757</v>
      </c>
      <c r="B3851" s="261" t="s">
        <v>7862</v>
      </c>
      <c r="C3851" s="261" t="s">
        <v>3240</v>
      </c>
      <c r="D3851" s="265" t="s">
        <v>20525</v>
      </c>
      <c r="E3851" s="262" t="s">
        <v>207</v>
      </c>
    </row>
    <row r="3852" spans="1:5" ht="30">
      <c r="A3852" s="261">
        <v>39758</v>
      </c>
      <c r="B3852" s="261" t="s">
        <v>7863</v>
      </c>
      <c r="C3852" s="261" t="s">
        <v>3240</v>
      </c>
      <c r="D3852" s="265" t="s">
        <v>20526</v>
      </c>
      <c r="E3852" s="262" t="s">
        <v>207</v>
      </c>
    </row>
    <row r="3853" spans="1:5" ht="30">
      <c r="A3853" s="261">
        <v>39759</v>
      </c>
      <c r="B3853" s="261" t="s">
        <v>7864</v>
      </c>
      <c r="C3853" s="261" t="s">
        <v>3240</v>
      </c>
      <c r="D3853" s="265" t="s">
        <v>20527</v>
      </c>
      <c r="E3853" s="262" t="s">
        <v>207</v>
      </c>
    </row>
    <row r="3854" spans="1:5" ht="30">
      <c r="A3854" s="261">
        <v>39761</v>
      </c>
      <c r="B3854" s="261" t="s">
        <v>7865</v>
      </c>
      <c r="C3854" s="261" t="s">
        <v>3240</v>
      </c>
      <c r="D3854" s="265" t="s">
        <v>20528</v>
      </c>
      <c r="E3854" s="262" t="s">
        <v>207</v>
      </c>
    </row>
    <row r="3855" spans="1:5" ht="30">
      <c r="A3855" s="261">
        <v>39805</v>
      </c>
      <c r="B3855" s="261" t="s">
        <v>9555</v>
      </c>
      <c r="C3855" s="261" t="s">
        <v>3240</v>
      </c>
      <c r="D3855" s="265" t="s">
        <v>20529</v>
      </c>
      <c r="E3855" s="262" t="s">
        <v>207</v>
      </c>
    </row>
    <row r="3856" spans="1:5" ht="30">
      <c r="A3856" s="261">
        <v>39806</v>
      </c>
      <c r="B3856" s="261" t="s">
        <v>9556</v>
      </c>
      <c r="C3856" s="261" t="s">
        <v>3240</v>
      </c>
      <c r="D3856" s="265" t="s">
        <v>20530</v>
      </c>
      <c r="E3856" s="262" t="s">
        <v>207</v>
      </c>
    </row>
    <row r="3857" spans="1:5" ht="30">
      <c r="A3857" s="261">
        <v>39807</v>
      </c>
      <c r="B3857" s="261" t="s">
        <v>9557</v>
      </c>
      <c r="C3857" s="261" t="s">
        <v>3240</v>
      </c>
      <c r="D3857" s="265" t="s">
        <v>20531</v>
      </c>
      <c r="E3857" s="262" t="s">
        <v>207</v>
      </c>
    </row>
    <row r="3858" spans="1:5" ht="30">
      <c r="A3858" s="261">
        <v>43100</v>
      </c>
      <c r="B3858" s="261" t="s">
        <v>9558</v>
      </c>
      <c r="C3858" s="261" t="s">
        <v>3240</v>
      </c>
      <c r="D3858" s="265" t="s">
        <v>20532</v>
      </c>
      <c r="E3858" s="262" t="s">
        <v>207</v>
      </c>
    </row>
    <row r="3859" spans="1:5" ht="30">
      <c r="A3859" s="261">
        <v>39804</v>
      </c>
      <c r="B3859" s="261" t="s">
        <v>9559</v>
      </c>
      <c r="C3859" s="261" t="s">
        <v>3240</v>
      </c>
      <c r="D3859" s="265" t="s">
        <v>16093</v>
      </c>
      <c r="E3859" s="262" t="s">
        <v>207</v>
      </c>
    </row>
    <row r="3860" spans="1:5" ht="30">
      <c r="A3860" s="261">
        <v>39796</v>
      </c>
      <c r="B3860" s="261" t="s">
        <v>9560</v>
      </c>
      <c r="C3860" s="261" t="s">
        <v>3240</v>
      </c>
      <c r="D3860" s="265" t="s">
        <v>20533</v>
      </c>
      <c r="E3860" s="262" t="s">
        <v>207</v>
      </c>
    </row>
    <row r="3861" spans="1:5" ht="30">
      <c r="A3861" s="261">
        <v>39797</v>
      </c>
      <c r="B3861" s="261" t="s">
        <v>9561</v>
      </c>
      <c r="C3861" s="261" t="s">
        <v>3240</v>
      </c>
      <c r="D3861" s="265" t="s">
        <v>20534</v>
      </c>
      <c r="E3861" s="262" t="s">
        <v>207</v>
      </c>
    </row>
    <row r="3862" spans="1:5" ht="30">
      <c r="A3862" s="261">
        <v>39798</v>
      </c>
      <c r="B3862" s="261" t="s">
        <v>9562</v>
      </c>
      <c r="C3862" s="261" t="s">
        <v>3240</v>
      </c>
      <c r="D3862" s="265" t="s">
        <v>20535</v>
      </c>
      <c r="E3862" s="262" t="s">
        <v>207</v>
      </c>
    </row>
    <row r="3863" spans="1:5" ht="30">
      <c r="A3863" s="261">
        <v>39794</v>
      </c>
      <c r="B3863" s="261" t="s">
        <v>9563</v>
      </c>
      <c r="C3863" s="261" t="s">
        <v>3240</v>
      </c>
      <c r="D3863" s="265" t="s">
        <v>20536</v>
      </c>
      <c r="E3863" s="262" t="s">
        <v>207</v>
      </c>
    </row>
    <row r="3864" spans="1:5" ht="30">
      <c r="A3864" s="261">
        <v>39795</v>
      </c>
      <c r="B3864" s="261" t="s">
        <v>9564</v>
      </c>
      <c r="C3864" s="261" t="s">
        <v>3240</v>
      </c>
      <c r="D3864" s="265" t="s">
        <v>19543</v>
      </c>
      <c r="E3864" s="262" t="s">
        <v>207</v>
      </c>
    </row>
    <row r="3865" spans="1:5" ht="30">
      <c r="A3865" s="261">
        <v>39799</v>
      </c>
      <c r="B3865" s="261" t="s">
        <v>9565</v>
      </c>
      <c r="C3865" s="261" t="s">
        <v>3240</v>
      </c>
      <c r="D3865" s="265" t="s">
        <v>14315</v>
      </c>
      <c r="E3865" s="262" t="s">
        <v>207</v>
      </c>
    </row>
    <row r="3866" spans="1:5" ht="30">
      <c r="A3866" s="261">
        <v>39801</v>
      </c>
      <c r="B3866" s="261" t="s">
        <v>9566</v>
      </c>
      <c r="C3866" s="261" t="s">
        <v>3240</v>
      </c>
      <c r="D3866" s="265" t="s">
        <v>20537</v>
      </c>
      <c r="E3866" s="262" t="s">
        <v>207</v>
      </c>
    </row>
    <row r="3867" spans="1:5" ht="30">
      <c r="A3867" s="261">
        <v>39802</v>
      </c>
      <c r="B3867" s="261" t="s">
        <v>9567</v>
      </c>
      <c r="C3867" s="261" t="s">
        <v>3240</v>
      </c>
      <c r="D3867" s="265" t="s">
        <v>20538</v>
      </c>
      <c r="E3867" s="262" t="s">
        <v>207</v>
      </c>
    </row>
    <row r="3868" spans="1:5" ht="30">
      <c r="A3868" s="261">
        <v>39803</v>
      </c>
      <c r="B3868" s="261" t="s">
        <v>9568</v>
      </c>
      <c r="C3868" s="261" t="s">
        <v>3240</v>
      </c>
      <c r="D3868" s="265" t="s">
        <v>20539</v>
      </c>
      <c r="E3868" s="262" t="s">
        <v>207</v>
      </c>
    </row>
    <row r="3869" spans="1:5" ht="30">
      <c r="A3869" s="261">
        <v>39800</v>
      </c>
      <c r="B3869" s="261" t="s">
        <v>9569</v>
      </c>
      <c r="C3869" s="261" t="s">
        <v>3240</v>
      </c>
      <c r="D3869" s="265" t="s">
        <v>20540</v>
      </c>
      <c r="E3869" s="262" t="s">
        <v>207</v>
      </c>
    </row>
    <row r="3870" spans="1:5" ht="15">
      <c r="A3870" s="261">
        <v>21059</v>
      </c>
      <c r="B3870" s="261" t="s">
        <v>7866</v>
      </c>
      <c r="C3870" s="261" t="s">
        <v>3240</v>
      </c>
      <c r="D3870" s="265" t="s">
        <v>20541</v>
      </c>
      <c r="E3870" s="262" t="s">
        <v>207</v>
      </c>
    </row>
    <row r="3871" spans="1:5" ht="15">
      <c r="A3871" s="261">
        <v>11234</v>
      </c>
      <c r="B3871" s="261" t="s">
        <v>7867</v>
      </c>
      <c r="C3871" s="261" t="s">
        <v>3240</v>
      </c>
      <c r="D3871" s="265" t="s">
        <v>20542</v>
      </c>
      <c r="E3871" s="262" t="s">
        <v>207</v>
      </c>
    </row>
    <row r="3872" spans="1:5" ht="15">
      <c r="A3872" s="261">
        <v>21060</v>
      </c>
      <c r="B3872" s="261" t="s">
        <v>7868</v>
      </c>
      <c r="C3872" s="261" t="s">
        <v>3240</v>
      </c>
      <c r="D3872" s="265" t="s">
        <v>20543</v>
      </c>
      <c r="E3872" s="262" t="s">
        <v>207</v>
      </c>
    </row>
    <row r="3873" spans="1:5" ht="15">
      <c r="A3873" s="261">
        <v>21061</v>
      </c>
      <c r="B3873" s="261" t="s">
        <v>7869</v>
      </c>
      <c r="C3873" s="261" t="s">
        <v>3240</v>
      </c>
      <c r="D3873" s="265" t="s">
        <v>20544</v>
      </c>
      <c r="E3873" s="262" t="s">
        <v>207</v>
      </c>
    </row>
    <row r="3874" spans="1:5" ht="15">
      <c r="A3874" s="261">
        <v>21062</v>
      </c>
      <c r="B3874" s="261" t="s">
        <v>7870</v>
      </c>
      <c r="C3874" s="261" t="s">
        <v>3240</v>
      </c>
      <c r="D3874" s="265" t="s">
        <v>20545</v>
      </c>
      <c r="E3874" s="262" t="s">
        <v>207</v>
      </c>
    </row>
    <row r="3875" spans="1:5" ht="15">
      <c r="A3875" s="261">
        <v>11708</v>
      </c>
      <c r="B3875" s="261" t="s">
        <v>7871</v>
      </c>
      <c r="C3875" s="261" t="s">
        <v>3240</v>
      </c>
      <c r="D3875" s="265" t="s">
        <v>11480</v>
      </c>
      <c r="E3875" s="262" t="s">
        <v>207</v>
      </c>
    </row>
    <row r="3876" spans="1:5" ht="15">
      <c r="A3876" s="261">
        <v>11709</v>
      </c>
      <c r="B3876" s="261" t="s">
        <v>7872</v>
      </c>
      <c r="C3876" s="261" t="s">
        <v>3240</v>
      </c>
      <c r="D3876" s="265" t="s">
        <v>15877</v>
      </c>
      <c r="E3876" s="262" t="s">
        <v>207</v>
      </c>
    </row>
    <row r="3877" spans="1:5" ht="15">
      <c r="A3877" s="261">
        <v>11710</v>
      </c>
      <c r="B3877" s="261" t="s">
        <v>7873</v>
      </c>
      <c r="C3877" s="261" t="s">
        <v>3240</v>
      </c>
      <c r="D3877" s="265" t="s">
        <v>16094</v>
      </c>
      <c r="E3877" s="262" t="s">
        <v>207</v>
      </c>
    </row>
    <row r="3878" spans="1:5" ht="15">
      <c r="A3878" s="261">
        <v>11707</v>
      </c>
      <c r="B3878" s="261" t="s">
        <v>7874</v>
      </c>
      <c r="C3878" s="261" t="s">
        <v>3240</v>
      </c>
      <c r="D3878" s="265" t="s">
        <v>14084</v>
      </c>
      <c r="E3878" s="262" t="s">
        <v>207</v>
      </c>
    </row>
    <row r="3879" spans="1:5" ht="15">
      <c r="A3879" s="261">
        <v>11739</v>
      </c>
      <c r="B3879" s="261" t="s">
        <v>7875</v>
      </c>
      <c r="C3879" s="261" t="s">
        <v>3240</v>
      </c>
      <c r="D3879" s="266" t="s">
        <v>20546</v>
      </c>
      <c r="E3879" s="262" t="s">
        <v>207</v>
      </c>
    </row>
    <row r="3880" spans="1:5" ht="15">
      <c r="A3880" s="261">
        <v>11711</v>
      </c>
      <c r="B3880" s="261" t="s">
        <v>7876</v>
      </c>
      <c r="C3880" s="261" t="s">
        <v>3240</v>
      </c>
      <c r="D3880" s="266" t="s">
        <v>10828</v>
      </c>
      <c r="E3880" s="262" t="s">
        <v>207</v>
      </c>
    </row>
    <row r="3881" spans="1:5" ht="15">
      <c r="A3881" s="261">
        <v>5102</v>
      </c>
      <c r="B3881" s="261" t="s">
        <v>7877</v>
      </c>
      <c r="C3881" s="261" t="s">
        <v>3240</v>
      </c>
      <c r="D3881" s="265" t="s">
        <v>16434</v>
      </c>
      <c r="E3881" s="262" t="s">
        <v>207</v>
      </c>
    </row>
    <row r="3882" spans="1:5" ht="15">
      <c r="A3882" s="261">
        <v>11741</v>
      </c>
      <c r="B3882" s="261" t="s">
        <v>7878</v>
      </c>
      <c r="C3882" s="261" t="s">
        <v>3240</v>
      </c>
      <c r="D3882" s="265" t="s">
        <v>19777</v>
      </c>
      <c r="E3882" s="262" t="s">
        <v>207</v>
      </c>
    </row>
    <row r="3883" spans="1:5" ht="30">
      <c r="A3883" s="261">
        <v>11743</v>
      </c>
      <c r="B3883" s="261" t="s">
        <v>7879</v>
      </c>
      <c r="C3883" s="261" t="s">
        <v>3240</v>
      </c>
      <c r="D3883" s="265" t="s">
        <v>10590</v>
      </c>
      <c r="E3883" s="262" t="s">
        <v>207</v>
      </c>
    </row>
    <row r="3884" spans="1:5" ht="30">
      <c r="A3884" s="261">
        <v>11745</v>
      </c>
      <c r="B3884" s="261" t="s">
        <v>7880</v>
      </c>
      <c r="C3884" s="261" t="s">
        <v>3240</v>
      </c>
      <c r="D3884" s="265" t="s">
        <v>15975</v>
      </c>
      <c r="E3884" s="262" t="s">
        <v>207</v>
      </c>
    </row>
    <row r="3885" spans="1:5" ht="15">
      <c r="A3885" s="261">
        <v>25961</v>
      </c>
      <c r="B3885" s="261" t="s">
        <v>7881</v>
      </c>
      <c r="C3885" s="261" t="s">
        <v>3239</v>
      </c>
      <c r="D3885" s="265" t="s">
        <v>11431</v>
      </c>
      <c r="E3885" s="262" t="s">
        <v>9714</v>
      </c>
    </row>
    <row r="3886" spans="1:5" ht="15">
      <c r="A3886" s="261">
        <v>40985</v>
      </c>
      <c r="B3886" s="261" t="s">
        <v>7882</v>
      </c>
      <c r="C3886" s="261" t="s">
        <v>3246</v>
      </c>
      <c r="D3886" s="265" t="s">
        <v>18944</v>
      </c>
      <c r="E3886" s="262" t="s">
        <v>9714</v>
      </c>
    </row>
    <row r="3887" spans="1:5" ht="15">
      <c r="A3887" s="261">
        <v>1088</v>
      </c>
      <c r="B3887" s="261" t="s">
        <v>7883</v>
      </c>
      <c r="C3887" s="261" t="s">
        <v>3240</v>
      </c>
      <c r="D3887" s="265" t="s">
        <v>20547</v>
      </c>
      <c r="E3887" s="262" t="s">
        <v>207</v>
      </c>
    </row>
    <row r="3888" spans="1:5" ht="15">
      <c r="A3888" s="261">
        <v>1087</v>
      </c>
      <c r="B3888" s="261" t="s">
        <v>7884</v>
      </c>
      <c r="C3888" s="261" t="s">
        <v>3240</v>
      </c>
      <c r="D3888" s="265" t="s">
        <v>11015</v>
      </c>
      <c r="E3888" s="262" t="s">
        <v>207</v>
      </c>
    </row>
    <row r="3889" spans="1:5" ht="15">
      <c r="A3889" s="261">
        <v>38777</v>
      </c>
      <c r="B3889" s="261" t="s">
        <v>7885</v>
      </c>
      <c r="C3889" s="261" t="s">
        <v>3240</v>
      </c>
      <c r="D3889" s="265" t="s">
        <v>12401</v>
      </c>
      <c r="E3889" s="262" t="s">
        <v>207</v>
      </c>
    </row>
    <row r="3890" spans="1:5" ht="15">
      <c r="A3890" s="261">
        <v>1086</v>
      </c>
      <c r="B3890" s="261" t="s">
        <v>7886</v>
      </c>
      <c r="C3890" s="261" t="s">
        <v>3240</v>
      </c>
      <c r="D3890" s="265" t="s">
        <v>12420</v>
      </c>
      <c r="E3890" s="262" t="s">
        <v>207</v>
      </c>
    </row>
    <row r="3891" spans="1:5" ht="15">
      <c r="A3891" s="261">
        <v>1079</v>
      </c>
      <c r="B3891" s="261" t="s">
        <v>7887</v>
      </c>
      <c r="C3891" s="261" t="s">
        <v>3240</v>
      </c>
      <c r="D3891" s="265" t="s">
        <v>20548</v>
      </c>
      <c r="E3891" s="262" t="s">
        <v>207</v>
      </c>
    </row>
    <row r="3892" spans="1:5" ht="30">
      <c r="A3892" s="261">
        <v>39374</v>
      </c>
      <c r="B3892" s="261" t="s">
        <v>7888</v>
      </c>
      <c r="C3892" s="261" t="s">
        <v>3240</v>
      </c>
      <c r="D3892" s="266" t="s">
        <v>20549</v>
      </c>
      <c r="E3892" s="262" t="s">
        <v>207</v>
      </c>
    </row>
    <row r="3893" spans="1:5" ht="15">
      <c r="A3893" s="261">
        <v>1082</v>
      </c>
      <c r="B3893" s="261" t="s">
        <v>7889</v>
      </c>
      <c r="C3893" s="261" t="s">
        <v>3240</v>
      </c>
      <c r="D3893" s="266" t="s">
        <v>20550</v>
      </c>
      <c r="E3893" s="262" t="s">
        <v>207</v>
      </c>
    </row>
    <row r="3894" spans="1:5" ht="15">
      <c r="A3894" s="261">
        <v>12316</v>
      </c>
      <c r="B3894" s="261" t="s">
        <v>7890</v>
      </c>
      <c r="C3894" s="261" t="s">
        <v>3240</v>
      </c>
      <c r="D3894" s="266" t="s">
        <v>20551</v>
      </c>
      <c r="E3894" s="262" t="s">
        <v>207</v>
      </c>
    </row>
    <row r="3895" spans="1:5" ht="15">
      <c r="A3895" s="261">
        <v>12317</v>
      </c>
      <c r="B3895" s="261" t="s">
        <v>7891</v>
      </c>
      <c r="C3895" s="261" t="s">
        <v>3240</v>
      </c>
      <c r="D3895" s="265" t="s">
        <v>16173</v>
      </c>
      <c r="E3895" s="262" t="s">
        <v>207</v>
      </c>
    </row>
    <row r="3896" spans="1:5" ht="15">
      <c r="A3896" s="261">
        <v>12318</v>
      </c>
      <c r="B3896" s="261" t="s">
        <v>7892</v>
      </c>
      <c r="C3896" s="261" t="s">
        <v>3240</v>
      </c>
      <c r="D3896" s="265" t="s">
        <v>19110</v>
      </c>
      <c r="E3896" s="262" t="s">
        <v>207</v>
      </c>
    </row>
    <row r="3897" spans="1:5" ht="15">
      <c r="A3897" s="261">
        <v>5104</v>
      </c>
      <c r="B3897" s="261" t="s">
        <v>7893</v>
      </c>
      <c r="C3897" s="261" t="s">
        <v>3244</v>
      </c>
      <c r="D3897" s="265" t="s">
        <v>20552</v>
      </c>
      <c r="E3897" s="262" t="s">
        <v>207</v>
      </c>
    </row>
    <row r="3898" spans="1:5" ht="15">
      <c r="A3898" s="261">
        <v>26023</v>
      </c>
      <c r="B3898" s="261" t="s">
        <v>7894</v>
      </c>
      <c r="C3898" s="261" t="s">
        <v>3240</v>
      </c>
      <c r="D3898" s="265" t="s">
        <v>20553</v>
      </c>
      <c r="E3898" s="262" t="s">
        <v>207</v>
      </c>
    </row>
    <row r="3899" spans="1:5" ht="15">
      <c r="A3899" s="261">
        <v>2710</v>
      </c>
      <c r="B3899" s="261" t="s">
        <v>7895</v>
      </c>
      <c r="C3899" s="261" t="s">
        <v>3240</v>
      </c>
      <c r="D3899" s="265" t="s">
        <v>20554</v>
      </c>
      <c r="E3899" s="262" t="s">
        <v>207</v>
      </c>
    </row>
    <row r="3900" spans="1:5" ht="30">
      <c r="A3900" s="261">
        <v>14575</v>
      </c>
      <c r="B3900" s="261" t="s">
        <v>7896</v>
      </c>
      <c r="C3900" s="261" t="s">
        <v>3240</v>
      </c>
      <c r="D3900" s="265" t="s">
        <v>20555</v>
      </c>
      <c r="E3900" s="262" t="s">
        <v>8987</v>
      </c>
    </row>
    <row r="3901" spans="1:5" ht="15">
      <c r="A3901" s="261">
        <v>20034</v>
      </c>
      <c r="B3901" s="261" t="s">
        <v>7897</v>
      </c>
      <c r="C3901" s="261" t="s">
        <v>3240</v>
      </c>
      <c r="D3901" s="265" t="s">
        <v>20556</v>
      </c>
      <c r="E3901" s="262" t="s">
        <v>207</v>
      </c>
    </row>
    <row r="3902" spans="1:5" ht="15">
      <c r="A3902" s="261">
        <v>20036</v>
      </c>
      <c r="B3902" s="261" t="s">
        <v>7898</v>
      </c>
      <c r="C3902" s="261" t="s">
        <v>3240</v>
      </c>
      <c r="D3902" s="265" t="s">
        <v>20557</v>
      </c>
      <c r="E3902" s="262" t="s">
        <v>207</v>
      </c>
    </row>
    <row r="3903" spans="1:5" ht="15">
      <c r="A3903" s="261">
        <v>20037</v>
      </c>
      <c r="B3903" s="261" t="s">
        <v>7899</v>
      </c>
      <c r="C3903" s="261" t="s">
        <v>3240</v>
      </c>
      <c r="D3903" s="265" t="s">
        <v>20558</v>
      </c>
      <c r="E3903" s="262" t="s">
        <v>207</v>
      </c>
    </row>
    <row r="3904" spans="1:5" ht="15">
      <c r="A3904" s="261">
        <v>20043</v>
      </c>
      <c r="B3904" s="261" t="s">
        <v>7900</v>
      </c>
      <c r="C3904" s="261" t="s">
        <v>3240</v>
      </c>
      <c r="D3904" s="265" t="s">
        <v>15852</v>
      </c>
      <c r="E3904" s="262" t="s">
        <v>207</v>
      </c>
    </row>
    <row r="3905" spans="1:5" ht="15">
      <c r="A3905" s="261">
        <v>20044</v>
      </c>
      <c r="B3905" s="261" t="s">
        <v>7901</v>
      </c>
      <c r="C3905" s="261" t="s">
        <v>3240</v>
      </c>
      <c r="D3905" s="266" t="s">
        <v>10822</v>
      </c>
      <c r="E3905" s="262" t="s">
        <v>207</v>
      </c>
    </row>
    <row r="3906" spans="1:5" ht="15">
      <c r="A3906" s="261">
        <v>20042</v>
      </c>
      <c r="B3906" s="261" t="s">
        <v>7902</v>
      </c>
      <c r="C3906" s="261" t="s">
        <v>3240</v>
      </c>
      <c r="D3906" s="266" t="s">
        <v>16039</v>
      </c>
      <c r="E3906" s="262" t="s">
        <v>207</v>
      </c>
    </row>
    <row r="3907" spans="1:5" ht="30">
      <c r="A3907" s="261">
        <v>20046</v>
      </c>
      <c r="B3907" s="261" t="s">
        <v>11960</v>
      </c>
      <c r="C3907" s="261" t="s">
        <v>3240</v>
      </c>
      <c r="D3907" s="265" t="s">
        <v>11312</v>
      </c>
      <c r="E3907" s="262" t="s">
        <v>207</v>
      </c>
    </row>
    <row r="3908" spans="1:5" ht="30">
      <c r="A3908" s="261">
        <v>20047</v>
      </c>
      <c r="B3908" s="261" t="s">
        <v>11961</v>
      </c>
      <c r="C3908" s="261" t="s">
        <v>3240</v>
      </c>
      <c r="D3908" s="265" t="s">
        <v>20559</v>
      </c>
      <c r="E3908" s="262" t="s">
        <v>207</v>
      </c>
    </row>
    <row r="3909" spans="1:5" ht="30">
      <c r="A3909" s="261">
        <v>20045</v>
      </c>
      <c r="B3909" s="261" t="s">
        <v>11962</v>
      </c>
      <c r="C3909" s="261" t="s">
        <v>3240</v>
      </c>
      <c r="D3909" s="265" t="s">
        <v>10412</v>
      </c>
      <c r="E3909" s="262" t="s">
        <v>207</v>
      </c>
    </row>
    <row r="3910" spans="1:5" ht="30">
      <c r="A3910" s="261">
        <v>20972</v>
      </c>
      <c r="B3910" s="261" t="s">
        <v>7903</v>
      </c>
      <c r="C3910" s="261" t="s">
        <v>3240</v>
      </c>
      <c r="D3910" s="265" t="s">
        <v>20560</v>
      </c>
      <c r="E3910" s="262" t="s">
        <v>207</v>
      </c>
    </row>
    <row r="3911" spans="1:5" ht="15">
      <c r="A3911" s="261">
        <v>20032</v>
      </c>
      <c r="B3911" s="261" t="s">
        <v>7904</v>
      </c>
      <c r="C3911" s="261" t="s">
        <v>3240</v>
      </c>
      <c r="D3911" s="265" t="s">
        <v>16620</v>
      </c>
      <c r="E3911" s="262" t="s">
        <v>207</v>
      </c>
    </row>
    <row r="3912" spans="1:5" ht="15">
      <c r="A3912" s="261">
        <v>11321</v>
      </c>
      <c r="B3912" s="261" t="s">
        <v>7905</v>
      </c>
      <c r="C3912" s="261" t="s">
        <v>3240</v>
      </c>
      <c r="D3912" s="265" t="s">
        <v>20561</v>
      </c>
      <c r="E3912" s="262" t="s">
        <v>207</v>
      </c>
    </row>
    <row r="3913" spans="1:5" ht="15">
      <c r="A3913" s="261">
        <v>11323</v>
      </c>
      <c r="B3913" s="261" t="s">
        <v>7906</v>
      </c>
      <c r="C3913" s="261" t="s">
        <v>3240</v>
      </c>
      <c r="D3913" s="265" t="s">
        <v>10361</v>
      </c>
      <c r="E3913" s="262" t="s">
        <v>207</v>
      </c>
    </row>
    <row r="3914" spans="1:5" ht="15">
      <c r="A3914" s="261">
        <v>20327</v>
      </c>
      <c r="B3914" s="261" t="s">
        <v>7907</v>
      </c>
      <c r="C3914" s="261" t="s">
        <v>3240</v>
      </c>
      <c r="D3914" s="265" t="s">
        <v>15793</v>
      </c>
      <c r="E3914" s="262" t="s">
        <v>207</v>
      </c>
    </row>
    <row r="3915" spans="1:5" ht="45">
      <c r="A3915" s="261">
        <v>13390</v>
      </c>
      <c r="B3915" s="261" t="s">
        <v>7908</v>
      </c>
      <c r="C3915" s="261" t="s">
        <v>3240</v>
      </c>
      <c r="D3915" s="265" t="s">
        <v>16316</v>
      </c>
      <c r="E3915" s="262" t="s">
        <v>207</v>
      </c>
    </row>
    <row r="3916" spans="1:5" ht="15">
      <c r="A3916" s="261">
        <v>6034</v>
      </c>
      <c r="B3916" s="261" t="s">
        <v>7909</v>
      </c>
      <c r="C3916" s="261" t="s">
        <v>3240</v>
      </c>
      <c r="D3916" s="265" t="s">
        <v>10971</v>
      </c>
      <c r="E3916" s="262" t="s">
        <v>207</v>
      </c>
    </row>
    <row r="3917" spans="1:5" ht="15">
      <c r="A3917" s="261">
        <v>6036</v>
      </c>
      <c r="B3917" s="261" t="s">
        <v>7910</v>
      </c>
      <c r="C3917" s="261" t="s">
        <v>3240</v>
      </c>
      <c r="D3917" s="265" t="s">
        <v>16435</v>
      </c>
      <c r="E3917" s="262" t="s">
        <v>207</v>
      </c>
    </row>
    <row r="3918" spans="1:5" ht="15">
      <c r="A3918" s="261">
        <v>6031</v>
      </c>
      <c r="B3918" s="261" t="s">
        <v>7911</v>
      </c>
      <c r="C3918" s="261" t="s">
        <v>3240</v>
      </c>
      <c r="D3918" s="265" t="s">
        <v>20562</v>
      </c>
      <c r="E3918" s="262" t="s">
        <v>207</v>
      </c>
    </row>
    <row r="3919" spans="1:5" ht="15">
      <c r="A3919" s="261">
        <v>6029</v>
      </c>
      <c r="B3919" s="261" t="s">
        <v>7912</v>
      </c>
      <c r="C3919" s="261" t="s">
        <v>3240</v>
      </c>
      <c r="D3919" s="265" t="s">
        <v>14057</v>
      </c>
      <c r="E3919" s="262" t="s">
        <v>207</v>
      </c>
    </row>
    <row r="3920" spans="1:5" ht="15">
      <c r="A3920" s="261">
        <v>6033</v>
      </c>
      <c r="B3920" s="261" t="s">
        <v>7913</v>
      </c>
      <c r="C3920" s="261" t="s">
        <v>3240</v>
      </c>
      <c r="D3920" s="265" t="s">
        <v>20563</v>
      </c>
      <c r="E3920" s="262" t="s">
        <v>207</v>
      </c>
    </row>
    <row r="3921" spans="1:5" ht="30">
      <c r="A3921" s="261">
        <v>11672</v>
      </c>
      <c r="B3921" s="261" t="s">
        <v>7914</v>
      </c>
      <c r="C3921" s="261" t="s">
        <v>3240</v>
      </c>
      <c r="D3921" s="266" t="s">
        <v>20564</v>
      </c>
      <c r="E3921" s="262" t="s">
        <v>207</v>
      </c>
    </row>
    <row r="3922" spans="1:5" ht="30">
      <c r="A3922" s="261">
        <v>11669</v>
      </c>
      <c r="B3922" s="261" t="s">
        <v>7915</v>
      </c>
      <c r="C3922" s="261" t="s">
        <v>3240</v>
      </c>
      <c r="D3922" s="266" t="s">
        <v>16076</v>
      </c>
      <c r="E3922" s="262" t="s">
        <v>207</v>
      </c>
    </row>
    <row r="3923" spans="1:5" ht="30">
      <c r="A3923" s="261">
        <v>11670</v>
      </c>
      <c r="B3923" s="261" t="s">
        <v>7916</v>
      </c>
      <c r="C3923" s="261" t="s">
        <v>3240</v>
      </c>
      <c r="D3923" s="266" t="s">
        <v>15871</v>
      </c>
      <c r="E3923" s="262" t="s">
        <v>207</v>
      </c>
    </row>
    <row r="3924" spans="1:5" ht="30">
      <c r="A3924" s="261">
        <v>20055</v>
      </c>
      <c r="B3924" s="261" t="s">
        <v>7917</v>
      </c>
      <c r="C3924" s="261" t="s">
        <v>3240</v>
      </c>
      <c r="D3924" s="266" t="s">
        <v>16013</v>
      </c>
      <c r="E3924" s="262" t="s">
        <v>207</v>
      </c>
    </row>
    <row r="3925" spans="1:5" ht="30">
      <c r="A3925" s="261">
        <v>11671</v>
      </c>
      <c r="B3925" s="261" t="s">
        <v>7918</v>
      </c>
      <c r="C3925" s="261" t="s">
        <v>3240</v>
      </c>
      <c r="D3925" s="266" t="s">
        <v>20565</v>
      </c>
      <c r="E3925" s="262" t="s">
        <v>207</v>
      </c>
    </row>
    <row r="3926" spans="1:5" ht="30">
      <c r="A3926" s="261">
        <v>6032</v>
      </c>
      <c r="B3926" s="261" t="s">
        <v>7919</v>
      </c>
      <c r="C3926" s="261" t="s">
        <v>3240</v>
      </c>
      <c r="D3926" s="266" t="s">
        <v>16494</v>
      </c>
      <c r="E3926" s="262" t="s">
        <v>207</v>
      </c>
    </row>
    <row r="3927" spans="1:5" ht="30">
      <c r="A3927" s="261">
        <v>11673</v>
      </c>
      <c r="B3927" s="261" t="s">
        <v>7920</v>
      </c>
      <c r="C3927" s="261" t="s">
        <v>3240</v>
      </c>
      <c r="D3927" s="266" t="s">
        <v>9893</v>
      </c>
      <c r="E3927" s="262" t="s">
        <v>207</v>
      </c>
    </row>
    <row r="3928" spans="1:5" ht="30">
      <c r="A3928" s="261">
        <v>11674</v>
      </c>
      <c r="B3928" s="261" t="s">
        <v>7921</v>
      </c>
      <c r="C3928" s="261" t="s">
        <v>3240</v>
      </c>
      <c r="D3928" s="266" t="s">
        <v>14086</v>
      </c>
      <c r="E3928" s="262" t="s">
        <v>207</v>
      </c>
    </row>
    <row r="3929" spans="1:5" ht="30">
      <c r="A3929" s="261">
        <v>11675</v>
      </c>
      <c r="B3929" s="261" t="s">
        <v>7922</v>
      </c>
      <c r="C3929" s="261" t="s">
        <v>3240</v>
      </c>
      <c r="D3929" s="266" t="s">
        <v>20566</v>
      </c>
      <c r="E3929" s="262" t="s">
        <v>207</v>
      </c>
    </row>
    <row r="3930" spans="1:5" ht="30">
      <c r="A3930" s="261">
        <v>11676</v>
      </c>
      <c r="B3930" s="261" t="s">
        <v>7923</v>
      </c>
      <c r="C3930" s="261" t="s">
        <v>3240</v>
      </c>
      <c r="D3930" s="266" t="s">
        <v>20567</v>
      </c>
      <c r="E3930" s="262" t="s">
        <v>207</v>
      </c>
    </row>
    <row r="3931" spans="1:5" ht="30">
      <c r="A3931" s="261">
        <v>11677</v>
      </c>
      <c r="B3931" s="261" t="s">
        <v>7924</v>
      </c>
      <c r="C3931" s="261" t="s">
        <v>3240</v>
      </c>
      <c r="D3931" s="265" t="s">
        <v>20568</v>
      </c>
      <c r="E3931" s="262" t="s">
        <v>207</v>
      </c>
    </row>
    <row r="3932" spans="1:5" ht="30">
      <c r="A3932" s="261">
        <v>11678</v>
      </c>
      <c r="B3932" s="261" t="s">
        <v>7925</v>
      </c>
      <c r="C3932" s="261" t="s">
        <v>3240</v>
      </c>
      <c r="D3932" s="265" t="s">
        <v>20569</v>
      </c>
      <c r="E3932" s="262" t="s">
        <v>207</v>
      </c>
    </row>
    <row r="3933" spans="1:5" ht="15">
      <c r="A3933" s="261">
        <v>6038</v>
      </c>
      <c r="B3933" s="261" t="s">
        <v>7926</v>
      </c>
      <c r="C3933" s="261" t="s">
        <v>3240</v>
      </c>
      <c r="D3933" s="266" t="s">
        <v>9719</v>
      </c>
      <c r="E3933" s="262" t="s">
        <v>207</v>
      </c>
    </row>
    <row r="3934" spans="1:5" ht="15">
      <c r="A3934" s="261">
        <v>11718</v>
      </c>
      <c r="B3934" s="261" t="s">
        <v>7927</v>
      </c>
      <c r="C3934" s="261" t="s">
        <v>3240</v>
      </c>
      <c r="D3934" s="265" t="s">
        <v>11253</v>
      </c>
      <c r="E3934" s="262" t="s">
        <v>207</v>
      </c>
    </row>
    <row r="3935" spans="1:5" ht="15">
      <c r="A3935" s="261">
        <v>6037</v>
      </c>
      <c r="B3935" s="261" t="s">
        <v>7928</v>
      </c>
      <c r="C3935" s="261" t="s">
        <v>3240</v>
      </c>
      <c r="D3935" s="265" t="s">
        <v>9763</v>
      </c>
      <c r="E3935" s="262" t="s">
        <v>207</v>
      </c>
    </row>
    <row r="3936" spans="1:5" ht="15">
      <c r="A3936" s="261">
        <v>11719</v>
      </c>
      <c r="B3936" s="261" t="s">
        <v>7929</v>
      </c>
      <c r="C3936" s="261" t="s">
        <v>3240</v>
      </c>
      <c r="D3936" s="265" t="s">
        <v>10525</v>
      </c>
      <c r="E3936" s="262" t="s">
        <v>207</v>
      </c>
    </row>
    <row r="3937" spans="1:5" ht="15">
      <c r="A3937" s="261">
        <v>6019</v>
      </c>
      <c r="B3937" s="261" t="s">
        <v>7930</v>
      </c>
      <c r="C3937" s="261" t="s">
        <v>3240</v>
      </c>
      <c r="D3937" s="265" t="s">
        <v>20570</v>
      </c>
      <c r="E3937" s="262" t="s">
        <v>207</v>
      </c>
    </row>
    <row r="3938" spans="1:5" ht="15">
      <c r="A3938" s="261">
        <v>6010</v>
      </c>
      <c r="B3938" s="261" t="s">
        <v>7931</v>
      </c>
      <c r="C3938" s="261" t="s">
        <v>3240</v>
      </c>
      <c r="D3938" s="265" t="s">
        <v>20571</v>
      </c>
      <c r="E3938" s="262" t="s">
        <v>207</v>
      </c>
    </row>
    <row r="3939" spans="1:5" ht="15">
      <c r="A3939" s="261">
        <v>6017</v>
      </c>
      <c r="B3939" s="261" t="s">
        <v>7932</v>
      </c>
      <c r="C3939" s="261" t="s">
        <v>3240</v>
      </c>
      <c r="D3939" s="265" t="s">
        <v>19453</v>
      </c>
      <c r="E3939" s="262" t="s">
        <v>207</v>
      </c>
    </row>
    <row r="3940" spans="1:5" ht="15">
      <c r="A3940" s="261">
        <v>6020</v>
      </c>
      <c r="B3940" s="261" t="s">
        <v>7933</v>
      </c>
      <c r="C3940" s="261" t="s">
        <v>3240</v>
      </c>
      <c r="D3940" s="265" t="s">
        <v>20572</v>
      </c>
      <c r="E3940" s="262" t="s">
        <v>207</v>
      </c>
    </row>
    <row r="3941" spans="1:5" ht="15">
      <c r="A3941" s="261">
        <v>6028</v>
      </c>
      <c r="B3941" s="261" t="s">
        <v>7934</v>
      </c>
      <c r="C3941" s="261" t="s">
        <v>3240</v>
      </c>
      <c r="D3941" s="265" t="s">
        <v>14264</v>
      </c>
      <c r="E3941" s="262" t="s">
        <v>207</v>
      </c>
    </row>
    <row r="3942" spans="1:5" ht="15">
      <c r="A3942" s="261">
        <v>6011</v>
      </c>
      <c r="B3942" s="261" t="s">
        <v>7935</v>
      </c>
      <c r="C3942" s="261" t="s">
        <v>3240</v>
      </c>
      <c r="D3942" s="265" t="s">
        <v>20573</v>
      </c>
      <c r="E3942" s="262" t="s">
        <v>207</v>
      </c>
    </row>
    <row r="3943" spans="1:5" ht="15">
      <c r="A3943" s="261">
        <v>6012</v>
      </c>
      <c r="B3943" s="261" t="s">
        <v>7936</v>
      </c>
      <c r="C3943" s="261" t="s">
        <v>3240</v>
      </c>
      <c r="D3943" s="265" t="s">
        <v>20574</v>
      </c>
      <c r="E3943" s="262" t="s">
        <v>207</v>
      </c>
    </row>
    <row r="3944" spans="1:5" ht="15">
      <c r="A3944" s="261">
        <v>6016</v>
      </c>
      <c r="B3944" s="261" t="s">
        <v>7937</v>
      </c>
      <c r="C3944" s="261" t="s">
        <v>3240</v>
      </c>
      <c r="D3944" s="265" t="s">
        <v>20575</v>
      </c>
      <c r="E3944" s="262" t="s">
        <v>207</v>
      </c>
    </row>
    <row r="3945" spans="1:5" ht="15">
      <c r="A3945" s="261">
        <v>6027</v>
      </c>
      <c r="B3945" s="261" t="s">
        <v>7938</v>
      </c>
      <c r="C3945" s="261" t="s">
        <v>3240</v>
      </c>
      <c r="D3945" s="265" t="s">
        <v>20576</v>
      </c>
      <c r="E3945" s="262" t="s">
        <v>207</v>
      </c>
    </row>
    <row r="3946" spans="1:5" ht="30">
      <c r="A3946" s="261">
        <v>6013</v>
      </c>
      <c r="B3946" s="261" t="s">
        <v>7939</v>
      </c>
      <c r="C3946" s="261" t="s">
        <v>3240</v>
      </c>
      <c r="D3946" s="265" t="s">
        <v>20577</v>
      </c>
      <c r="E3946" s="262" t="s">
        <v>207</v>
      </c>
    </row>
    <row r="3947" spans="1:5" ht="30">
      <c r="A3947" s="261">
        <v>6015</v>
      </c>
      <c r="B3947" s="261" t="s">
        <v>7940</v>
      </c>
      <c r="C3947" s="261" t="s">
        <v>3240</v>
      </c>
      <c r="D3947" s="265" t="s">
        <v>20578</v>
      </c>
      <c r="E3947" s="262" t="s">
        <v>207</v>
      </c>
    </row>
    <row r="3948" spans="1:5" ht="30">
      <c r="A3948" s="261">
        <v>6014</v>
      </c>
      <c r="B3948" s="261" t="s">
        <v>7941</v>
      </c>
      <c r="C3948" s="261" t="s">
        <v>3240</v>
      </c>
      <c r="D3948" s="265" t="s">
        <v>20579</v>
      </c>
      <c r="E3948" s="262" t="s">
        <v>207</v>
      </c>
    </row>
    <row r="3949" spans="1:5" ht="30">
      <c r="A3949" s="261">
        <v>6006</v>
      </c>
      <c r="B3949" s="261" t="s">
        <v>7942</v>
      </c>
      <c r="C3949" s="261" t="s">
        <v>3240</v>
      </c>
      <c r="D3949" s="265" t="s">
        <v>20580</v>
      </c>
      <c r="E3949" s="262" t="s">
        <v>207</v>
      </c>
    </row>
    <row r="3950" spans="1:5" ht="30">
      <c r="A3950" s="261">
        <v>6005</v>
      </c>
      <c r="B3950" s="261" t="s">
        <v>7943</v>
      </c>
      <c r="C3950" s="261" t="s">
        <v>3240</v>
      </c>
      <c r="D3950" s="265" t="s">
        <v>20581</v>
      </c>
      <c r="E3950" s="262" t="s">
        <v>207</v>
      </c>
    </row>
    <row r="3951" spans="1:5" ht="15">
      <c r="A3951" s="261">
        <v>11756</v>
      </c>
      <c r="B3951" s="261" t="s">
        <v>7944</v>
      </c>
      <c r="C3951" s="261" t="s">
        <v>3240</v>
      </c>
      <c r="D3951" s="265" t="s">
        <v>20582</v>
      </c>
      <c r="E3951" s="262" t="s">
        <v>207</v>
      </c>
    </row>
    <row r="3952" spans="1:5" ht="45">
      <c r="A3952" s="261">
        <v>10904</v>
      </c>
      <c r="B3952" s="261" t="s">
        <v>7945</v>
      </c>
      <c r="C3952" s="261" t="s">
        <v>3240</v>
      </c>
      <c r="D3952" s="265" t="s">
        <v>12211</v>
      </c>
      <c r="E3952" s="262" t="s">
        <v>207</v>
      </c>
    </row>
    <row r="3953" spans="1:5" ht="15">
      <c r="A3953" s="261">
        <v>11752</v>
      </c>
      <c r="B3953" s="261" t="s">
        <v>7946</v>
      </c>
      <c r="C3953" s="261" t="s">
        <v>3240</v>
      </c>
      <c r="D3953" s="265" t="s">
        <v>19433</v>
      </c>
      <c r="E3953" s="262" t="s">
        <v>207</v>
      </c>
    </row>
    <row r="3954" spans="1:5" ht="15">
      <c r="A3954" s="261">
        <v>11753</v>
      </c>
      <c r="B3954" s="261" t="s">
        <v>7947</v>
      </c>
      <c r="C3954" s="261" t="s">
        <v>3240</v>
      </c>
      <c r="D3954" s="265" t="s">
        <v>12202</v>
      </c>
      <c r="E3954" s="262" t="s">
        <v>207</v>
      </c>
    </row>
    <row r="3955" spans="1:5" ht="30">
      <c r="A3955" s="261">
        <v>6021</v>
      </c>
      <c r="B3955" s="261" t="s">
        <v>7948</v>
      </c>
      <c r="C3955" s="261" t="s">
        <v>3240</v>
      </c>
      <c r="D3955" s="265" t="s">
        <v>20583</v>
      </c>
      <c r="E3955" s="262" t="s">
        <v>207</v>
      </c>
    </row>
    <row r="3956" spans="1:5" ht="30">
      <c r="A3956" s="261">
        <v>6024</v>
      </c>
      <c r="B3956" s="261" t="s">
        <v>7949</v>
      </c>
      <c r="C3956" s="261" t="s">
        <v>3240</v>
      </c>
      <c r="D3956" s="265" t="s">
        <v>20584</v>
      </c>
      <c r="E3956" s="262" t="s">
        <v>207</v>
      </c>
    </row>
    <row r="3957" spans="1:5" ht="15">
      <c r="A3957" s="261">
        <v>38379</v>
      </c>
      <c r="B3957" s="261" t="s">
        <v>7950</v>
      </c>
      <c r="C3957" s="261" t="s">
        <v>3243</v>
      </c>
      <c r="D3957" s="265" t="s">
        <v>20585</v>
      </c>
      <c r="E3957" s="262" t="s">
        <v>207</v>
      </c>
    </row>
    <row r="3958" spans="1:5" ht="30">
      <c r="A3958" s="261">
        <v>13897</v>
      </c>
      <c r="B3958" s="261" t="s">
        <v>7951</v>
      </c>
      <c r="C3958" s="261" t="s">
        <v>3240</v>
      </c>
      <c r="D3958" s="265" t="s">
        <v>20586</v>
      </c>
      <c r="E3958" s="262" t="s">
        <v>8987</v>
      </c>
    </row>
    <row r="3959" spans="1:5" ht="30">
      <c r="A3959" s="261">
        <v>10640</v>
      </c>
      <c r="B3959" s="261" t="s">
        <v>7952</v>
      </c>
      <c r="C3959" s="261" t="s">
        <v>3240</v>
      </c>
      <c r="D3959" s="265" t="s">
        <v>20587</v>
      </c>
      <c r="E3959" s="262" t="s">
        <v>8987</v>
      </c>
    </row>
    <row r="3960" spans="1:5" ht="30">
      <c r="A3960" s="261">
        <v>11086</v>
      </c>
      <c r="B3960" s="261" t="s">
        <v>7953</v>
      </c>
      <c r="C3960" s="261" t="s">
        <v>3241</v>
      </c>
      <c r="D3960" s="265" t="s">
        <v>16628</v>
      </c>
      <c r="E3960" s="262" t="s">
        <v>207</v>
      </c>
    </row>
    <row r="3961" spans="1:5" ht="15">
      <c r="A3961" s="261">
        <v>34357</v>
      </c>
      <c r="B3961" s="261" t="s">
        <v>11963</v>
      </c>
      <c r="C3961" s="261" t="s">
        <v>3244</v>
      </c>
      <c r="D3961" s="265" t="s">
        <v>11340</v>
      </c>
      <c r="E3961" s="262" t="s">
        <v>207</v>
      </c>
    </row>
    <row r="3962" spans="1:5" ht="15">
      <c r="A3962" s="261">
        <v>37329</v>
      </c>
      <c r="B3962" s="261" t="s">
        <v>11964</v>
      </c>
      <c r="C3962" s="261" t="s">
        <v>3244</v>
      </c>
      <c r="D3962" s="265" t="s">
        <v>12414</v>
      </c>
      <c r="E3962" s="262" t="s">
        <v>207</v>
      </c>
    </row>
    <row r="3963" spans="1:5" ht="15">
      <c r="A3963" s="261">
        <v>2510</v>
      </c>
      <c r="B3963" s="261" t="s">
        <v>7954</v>
      </c>
      <c r="C3963" s="261" t="s">
        <v>3240</v>
      </c>
      <c r="D3963" s="265" t="s">
        <v>16496</v>
      </c>
      <c r="E3963" s="264" t="s">
        <v>207</v>
      </c>
    </row>
    <row r="3964" spans="1:5" ht="30">
      <c r="A3964" s="261">
        <v>12359</v>
      </c>
      <c r="B3964" s="261" t="s">
        <v>7955</v>
      </c>
      <c r="C3964" s="261" t="s">
        <v>3240</v>
      </c>
      <c r="D3964" s="265" t="s">
        <v>20588</v>
      </c>
      <c r="E3964" s="264" t="s">
        <v>207</v>
      </c>
    </row>
    <row r="3965" spans="1:5" ht="15">
      <c r="A3965" s="261">
        <v>7353</v>
      </c>
      <c r="B3965" s="261" t="s">
        <v>7956</v>
      </c>
      <c r="C3965" s="261" t="s">
        <v>3245</v>
      </c>
      <c r="D3965" s="265" t="s">
        <v>11129</v>
      </c>
      <c r="E3965" s="262" t="s">
        <v>207</v>
      </c>
    </row>
    <row r="3966" spans="1:5" ht="15">
      <c r="A3966" s="261">
        <v>36144</v>
      </c>
      <c r="B3966" s="261" t="s">
        <v>7957</v>
      </c>
      <c r="C3966" s="261" t="s">
        <v>3240</v>
      </c>
      <c r="D3966" s="265" t="s">
        <v>11377</v>
      </c>
      <c r="E3966" s="262" t="s">
        <v>207</v>
      </c>
    </row>
    <row r="3967" spans="1:5" ht="15">
      <c r="A3967" s="261">
        <v>10518</v>
      </c>
      <c r="B3967" s="261" t="s">
        <v>7958</v>
      </c>
      <c r="C3967" s="261" t="s">
        <v>3240</v>
      </c>
      <c r="D3967" s="265" t="s">
        <v>20589</v>
      </c>
      <c r="E3967" s="262" t="s">
        <v>207</v>
      </c>
    </row>
    <row r="3968" spans="1:5" ht="60">
      <c r="A3968" s="261">
        <v>36530</v>
      </c>
      <c r="B3968" s="261" t="s">
        <v>7959</v>
      </c>
      <c r="C3968" s="261" t="s">
        <v>3240</v>
      </c>
      <c r="D3968" s="265" t="s">
        <v>20590</v>
      </c>
      <c r="E3968" s="262" t="s">
        <v>8987</v>
      </c>
    </row>
    <row r="3969" spans="1:5" ht="60">
      <c r="A3969" s="261">
        <v>6046</v>
      </c>
      <c r="B3969" s="261" t="s">
        <v>7960</v>
      </c>
      <c r="C3969" s="261" t="s">
        <v>3240</v>
      </c>
      <c r="D3969" s="265" t="s">
        <v>20591</v>
      </c>
      <c r="E3969" s="262" t="s">
        <v>8987</v>
      </c>
    </row>
    <row r="3970" spans="1:5" ht="60">
      <c r="A3970" s="261">
        <v>36531</v>
      </c>
      <c r="B3970" s="261" t="s">
        <v>7961</v>
      </c>
      <c r="C3970" s="261" t="s">
        <v>3240</v>
      </c>
      <c r="D3970" s="265" t="s">
        <v>20592</v>
      </c>
      <c r="E3970" s="262" t="s">
        <v>8987</v>
      </c>
    </row>
    <row r="3971" spans="1:5" ht="30">
      <c r="A3971" s="261">
        <v>34684</v>
      </c>
      <c r="B3971" s="261" t="s">
        <v>7962</v>
      </c>
      <c r="C3971" s="261" t="s">
        <v>3242</v>
      </c>
      <c r="D3971" s="265" t="s">
        <v>20593</v>
      </c>
      <c r="E3971" s="262" t="s">
        <v>207</v>
      </c>
    </row>
    <row r="3972" spans="1:5" ht="30">
      <c r="A3972" s="261">
        <v>34683</v>
      </c>
      <c r="B3972" s="261" t="s">
        <v>7963</v>
      </c>
      <c r="C3972" s="261" t="s">
        <v>3242</v>
      </c>
      <c r="D3972" s="265" t="s">
        <v>20594</v>
      </c>
      <c r="E3972" s="262" t="s">
        <v>207</v>
      </c>
    </row>
    <row r="3973" spans="1:5" ht="30">
      <c r="A3973" s="261">
        <v>533</v>
      </c>
      <c r="B3973" s="261" t="s">
        <v>7964</v>
      </c>
      <c r="C3973" s="261" t="s">
        <v>3242</v>
      </c>
      <c r="D3973" s="266" t="s">
        <v>12185</v>
      </c>
      <c r="E3973" s="262" t="s">
        <v>207</v>
      </c>
    </row>
    <row r="3974" spans="1:5" ht="30">
      <c r="A3974" s="261">
        <v>10515</v>
      </c>
      <c r="B3974" s="261" t="s">
        <v>7965</v>
      </c>
      <c r="C3974" s="261" t="s">
        <v>3242</v>
      </c>
      <c r="D3974" s="266" t="s">
        <v>20595</v>
      </c>
      <c r="E3974" s="262" t="s">
        <v>207</v>
      </c>
    </row>
    <row r="3975" spans="1:5" ht="30">
      <c r="A3975" s="261">
        <v>536</v>
      </c>
      <c r="B3975" s="261" t="s">
        <v>7966</v>
      </c>
      <c r="C3975" s="261" t="s">
        <v>3242</v>
      </c>
      <c r="D3975" s="266" t="s">
        <v>14122</v>
      </c>
      <c r="E3975" s="262" t="s">
        <v>207</v>
      </c>
    </row>
    <row r="3976" spans="1:5" ht="30">
      <c r="A3976" s="261">
        <v>153</v>
      </c>
      <c r="B3976" s="261" t="s">
        <v>7967</v>
      </c>
      <c r="C3976" s="261" t="s">
        <v>3245</v>
      </c>
      <c r="D3976" s="265" t="s">
        <v>20596</v>
      </c>
      <c r="E3976" s="262" t="s">
        <v>207</v>
      </c>
    </row>
    <row r="3977" spans="1:5" ht="30">
      <c r="A3977" s="261">
        <v>34682</v>
      </c>
      <c r="B3977" s="261" t="s">
        <v>7968</v>
      </c>
      <c r="C3977" s="261" t="s">
        <v>3242</v>
      </c>
      <c r="D3977" s="265" t="s">
        <v>19980</v>
      </c>
      <c r="E3977" s="262" t="s">
        <v>207</v>
      </c>
    </row>
    <row r="3978" spans="1:5" ht="30">
      <c r="A3978" s="261">
        <v>20205</v>
      </c>
      <c r="B3978" s="261" t="s">
        <v>11965</v>
      </c>
      <c r="C3978" s="261" t="s">
        <v>3243</v>
      </c>
      <c r="D3978" s="265" t="s">
        <v>11061</v>
      </c>
      <c r="E3978" s="262" t="s">
        <v>207</v>
      </c>
    </row>
    <row r="3979" spans="1:5" ht="30">
      <c r="A3979" s="261">
        <v>4412</v>
      </c>
      <c r="B3979" s="261" t="s">
        <v>11966</v>
      </c>
      <c r="C3979" s="261" t="s">
        <v>3243</v>
      </c>
      <c r="D3979" s="265" t="s">
        <v>10078</v>
      </c>
      <c r="E3979" s="262" t="s">
        <v>207</v>
      </c>
    </row>
    <row r="3980" spans="1:5" ht="30">
      <c r="A3980" s="261">
        <v>4408</v>
      </c>
      <c r="B3980" s="261" t="s">
        <v>11967</v>
      </c>
      <c r="C3980" s="261" t="s">
        <v>3243</v>
      </c>
      <c r="D3980" s="265" t="s">
        <v>9965</v>
      </c>
      <c r="E3980" s="262" t="s">
        <v>207</v>
      </c>
    </row>
    <row r="3981" spans="1:5" ht="15">
      <c r="A3981" s="261">
        <v>10559</v>
      </c>
      <c r="B3981" s="261" t="s">
        <v>7969</v>
      </c>
      <c r="C3981" s="261" t="s">
        <v>3240</v>
      </c>
      <c r="D3981" s="265" t="s">
        <v>20597</v>
      </c>
      <c r="E3981" s="262" t="s">
        <v>8987</v>
      </c>
    </row>
    <row r="3982" spans="1:5" ht="15">
      <c r="A3982" s="261">
        <v>10664</v>
      </c>
      <c r="B3982" s="261" t="s">
        <v>7970</v>
      </c>
      <c r="C3982" s="261" t="s">
        <v>3240</v>
      </c>
      <c r="D3982" s="266" t="s">
        <v>20598</v>
      </c>
      <c r="E3982" s="262" t="s">
        <v>8987</v>
      </c>
    </row>
    <row r="3983" spans="1:5" ht="15">
      <c r="A3983" s="261">
        <v>36250</v>
      </c>
      <c r="B3983" s="261" t="s">
        <v>7971</v>
      </c>
      <c r="C3983" s="261" t="s">
        <v>3243</v>
      </c>
      <c r="D3983" s="265" t="s">
        <v>16489</v>
      </c>
      <c r="E3983" s="262" t="s">
        <v>207</v>
      </c>
    </row>
    <row r="3984" spans="1:5" ht="15">
      <c r="A3984" s="261">
        <v>10857</v>
      </c>
      <c r="B3984" s="261" t="s">
        <v>7972</v>
      </c>
      <c r="C3984" s="261" t="s">
        <v>3243</v>
      </c>
      <c r="D3984" s="265" t="s">
        <v>9730</v>
      </c>
      <c r="E3984" s="262" t="s">
        <v>207</v>
      </c>
    </row>
    <row r="3985" spans="1:5" ht="15">
      <c r="A3985" s="261">
        <v>4803</v>
      </c>
      <c r="B3985" s="261" t="s">
        <v>7973</v>
      </c>
      <c r="C3985" s="261" t="s">
        <v>3243</v>
      </c>
      <c r="D3985" s="265" t="s">
        <v>15993</v>
      </c>
      <c r="E3985" s="262" t="s">
        <v>207</v>
      </c>
    </row>
    <row r="3986" spans="1:5" ht="30">
      <c r="A3986" s="261">
        <v>6186</v>
      </c>
      <c r="B3986" s="261" t="s">
        <v>7974</v>
      </c>
      <c r="C3986" s="261" t="s">
        <v>3243</v>
      </c>
      <c r="D3986" s="265" t="s">
        <v>10338</v>
      </c>
      <c r="E3986" s="262" t="s">
        <v>207</v>
      </c>
    </row>
    <row r="3987" spans="1:5" ht="30">
      <c r="A3987" s="261">
        <v>4829</v>
      </c>
      <c r="B3987" s="261" t="s">
        <v>7975</v>
      </c>
      <c r="C3987" s="261" t="s">
        <v>3243</v>
      </c>
      <c r="D3987" s="265" t="s">
        <v>20599</v>
      </c>
      <c r="E3987" s="262" t="s">
        <v>207</v>
      </c>
    </row>
    <row r="3988" spans="1:5" ht="15">
      <c r="A3988" s="261">
        <v>39829</v>
      </c>
      <c r="B3988" s="261" t="s">
        <v>7976</v>
      </c>
      <c r="C3988" s="261" t="s">
        <v>3243</v>
      </c>
      <c r="D3988" s="265" t="s">
        <v>20600</v>
      </c>
      <c r="E3988" s="262" t="s">
        <v>207</v>
      </c>
    </row>
    <row r="3989" spans="1:5" ht="30">
      <c r="A3989" s="261">
        <v>20231</v>
      </c>
      <c r="B3989" s="261" t="s">
        <v>7977</v>
      </c>
      <c r="C3989" s="261" t="s">
        <v>3243</v>
      </c>
      <c r="D3989" s="265" t="s">
        <v>16159</v>
      </c>
      <c r="E3989" s="262" t="s">
        <v>207</v>
      </c>
    </row>
    <row r="3990" spans="1:5" ht="15">
      <c r="A3990" s="261">
        <v>4804</v>
      </c>
      <c r="B3990" s="261" t="s">
        <v>7978</v>
      </c>
      <c r="C3990" s="261" t="s">
        <v>3243</v>
      </c>
      <c r="D3990" s="265" t="s">
        <v>20601</v>
      </c>
      <c r="E3990" s="262" t="s">
        <v>207</v>
      </c>
    </row>
    <row r="3991" spans="1:5" ht="15">
      <c r="A3991" s="261">
        <v>34680</v>
      </c>
      <c r="B3991" s="261" t="s">
        <v>7979</v>
      </c>
      <c r="C3991" s="261" t="s">
        <v>3243</v>
      </c>
      <c r="D3991" s="265" t="s">
        <v>20602</v>
      </c>
      <c r="E3991" s="262" t="s">
        <v>207</v>
      </c>
    </row>
    <row r="3992" spans="1:5" ht="30">
      <c r="A3992" s="261">
        <v>11573</v>
      </c>
      <c r="B3992" s="261" t="s">
        <v>11968</v>
      </c>
      <c r="C3992" s="261" t="s">
        <v>3240</v>
      </c>
      <c r="D3992" s="265" t="s">
        <v>9842</v>
      </c>
      <c r="E3992" s="262" t="s">
        <v>207</v>
      </c>
    </row>
    <row r="3993" spans="1:5" ht="15">
      <c r="A3993" s="261">
        <v>38401</v>
      </c>
      <c r="B3993" s="261" t="s">
        <v>7980</v>
      </c>
      <c r="C3993" s="261" t="s">
        <v>3240</v>
      </c>
      <c r="D3993" s="265" t="s">
        <v>11180</v>
      </c>
      <c r="E3993" s="262" t="s">
        <v>207</v>
      </c>
    </row>
    <row r="3994" spans="1:5" ht="30">
      <c r="A3994" s="261">
        <v>11575</v>
      </c>
      <c r="B3994" s="261" t="s">
        <v>11969</v>
      </c>
      <c r="C3994" s="261" t="s">
        <v>3240</v>
      </c>
      <c r="D3994" s="265" t="s">
        <v>20603</v>
      </c>
      <c r="E3994" s="262" t="s">
        <v>207</v>
      </c>
    </row>
    <row r="3995" spans="1:5" ht="30">
      <c r="A3995" s="261">
        <v>38179</v>
      </c>
      <c r="B3995" s="261" t="s">
        <v>11970</v>
      </c>
      <c r="C3995" s="261" t="s">
        <v>3240</v>
      </c>
      <c r="D3995" s="265" t="s">
        <v>20604</v>
      </c>
      <c r="E3995" s="262" t="s">
        <v>207</v>
      </c>
    </row>
    <row r="3996" spans="1:5" ht="30">
      <c r="A3996" s="261">
        <v>20256</v>
      </c>
      <c r="B3996" s="261" t="s">
        <v>7981</v>
      </c>
      <c r="C3996" s="261" t="s">
        <v>3240</v>
      </c>
      <c r="D3996" s="265" t="s">
        <v>9918</v>
      </c>
      <c r="E3996" s="262" t="s">
        <v>207</v>
      </c>
    </row>
    <row r="3997" spans="1:5" ht="30">
      <c r="A3997" s="261">
        <v>14511</v>
      </c>
      <c r="B3997" s="261" t="s">
        <v>7982</v>
      </c>
      <c r="C3997" s="261" t="s">
        <v>3240</v>
      </c>
      <c r="D3997" s="266" t="s">
        <v>20605</v>
      </c>
      <c r="E3997" s="262" t="s">
        <v>8987</v>
      </c>
    </row>
    <row r="3998" spans="1:5" ht="30">
      <c r="A3998" s="261">
        <v>10642</v>
      </c>
      <c r="B3998" s="261" t="s">
        <v>7983</v>
      </c>
      <c r="C3998" s="261" t="s">
        <v>3240</v>
      </c>
      <c r="D3998" s="265" t="s">
        <v>20606</v>
      </c>
      <c r="E3998" s="262" t="s">
        <v>8987</v>
      </c>
    </row>
    <row r="3999" spans="1:5" ht="45">
      <c r="A3999" s="261">
        <v>14489</v>
      </c>
      <c r="B3999" s="261" t="s">
        <v>7984</v>
      </c>
      <c r="C3999" s="261" t="s">
        <v>3240</v>
      </c>
      <c r="D3999" s="265" t="s">
        <v>20607</v>
      </c>
      <c r="E3999" s="262" t="s">
        <v>8987</v>
      </c>
    </row>
    <row r="4000" spans="1:5" ht="30">
      <c r="A4000" s="261">
        <v>14513</v>
      </c>
      <c r="B4000" s="261" t="s">
        <v>7985</v>
      </c>
      <c r="C4000" s="261" t="s">
        <v>3240</v>
      </c>
      <c r="D4000" s="265" t="s">
        <v>20608</v>
      </c>
      <c r="E4000" s="262" t="s">
        <v>8987</v>
      </c>
    </row>
    <row r="4001" spans="1:5" ht="45">
      <c r="A4001" s="261">
        <v>13600</v>
      </c>
      <c r="B4001" s="261" t="s">
        <v>7986</v>
      </c>
      <c r="C4001" s="261" t="s">
        <v>3240</v>
      </c>
      <c r="D4001" s="265" t="s">
        <v>20609</v>
      </c>
      <c r="E4001" s="262" t="s">
        <v>8987</v>
      </c>
    </row>
    <row r="4002" spans="1:5" ht="45">
      <c r="A4002" s="261">
        <v>10646</v>
      </c>
      <c r="B4002" s="261" t="s">
        <v>7987</v>
      </c>
      <c r="C4002" s="261" t="s">
        <v>3240</v>
      </c>
      <c r="D4002" s="265" t="s">
        <v>20610</v>
      </c>
      <c r="E4002" s="262" t="s">
        <v>8987</v>
      </c>
    </row>
    <row r="4003" spans="1:5" ht="45">
      <c r="A4003" s="261">
        <v>6070</v>
      </c>
      <c r="B4003" s="261" t="s">
        <v>7988</v>
      </c>
      <c r="C4003" s="261" t="s">
        <v>3240</v>
      </c>
      <c r="D4003" s="265" t="s">
        <v>20611</v>
      </c>
      <c r="E4003" s="262" t="s">
        <v>8987</v>
      </c>
    </row>
    <row r="4004" spans="1:5" ht="45">
      <c r="A4004" s="261">
        <v>6069</v>
      </c>
      <c r="B4004" s="261" t="s">
        <v>7989</v>
      </c>
      <c r="C4004" s="261" t="s">
        <v>3240</v>
      </c>
      <c r="D4004" s="265" t="s">
        <v>20612</v>
      </c>
      <c r="E4004" s="262" t="s">
        <v>8987</v>
      </c>
    </row>
    <row r="4005" spans="1:5" ht="30">
      <c r="A4005" s="261">
        <v>14626</v>
      </c>
      <c r="B4005" s="261" t="s">
        <v>7990</v>
      </c>
      <c r="C4005" s="261" t="s">
        <v>3240</v>
      </c>
      <c r="D4005" s="265" t="s">
        <v>20613</v>
      </c>
      <c r="E4005" s="262" t="s">
        <v>8987</v>
      </c>
    </row>
    <row r="4006" spans="1:5" ht="30">
      <c r="A4006" s="261">
        <v>6067</v>
      </c>
      <c r="B4006" s="261" t="s">
        <v>7991</v>
      </c>
      <c r="C4006" s="261" t="s">
        <v>3240</v>
      </c>
      <c r="D4006" s="265" t="s">
        <v>20614</v>
      </c>
      <c r="E4006" s="262" t="s">
        <v>8987</v>
      </c>
    </row>
    <row r="4007" spans="1:5" ht="15">
      <c r="A4007" s="261">
        <v>38393</v>
      </c>
      <c r="B4007" s="261" t="s">
        <v>7992</v>
      </c>
      <c r="C4007" s="261" t="s">
        <v>3240</v>
      </c>
      <c r="D4007" s="265" t="s">
        <v>11348</v>
      </c>
      <c r="E4007" s="262" t="s">
        <v>207</v>
      </c>
    </row>
    <row r="4008" spans="1:5" ht="15">
      <c r="A4008" s="261">
        <v>38390</v>
      </c>
      <c r="B4008" s="261" t="s">
        <v>7993</v>
      </c>
      <c r="C4008" s="261" t="s">
        <v>3240</v>
      </c>
      <c r="D4008" s="265" t="s">
        <v>20615</v>
      </c>
      <c r="E4008" s="262" t="s">
        <v>207</v>
      </c>
    </row>
    <row r="4009" spans="1:5" ht="15">
      <c r="A4009" s="261">
        <v>36532</v>
      </c>
      <c r="B4009" s="261" t="s">
        <v>7994</v>
      </c>
      <c r="C4009" s="261" t="s">
        <v>3240</v>
      </c>
      <c r="D4009" s="265" t="s">
        <v>20616</v>
      </c>
      <c r="E4009" s="262" t="s">
        <v>8987</v>
      </c>
    </row>
    <row r="4010" spans="1:5" ht="30">
      <c r="A4010" s="261">
        <v>11578</v>
      </c>
      <c r="B4010" s="261" t="s">
        <v>7995</v>
      </c>
      <c r="C4010" s="261" t="s">
        <v>3240</v>
      </c>
      <c r="D4010" s="265" t="s">
        <v>10353</v>
      </c>
      <c r="E4010" s="262" t="s">
        <v>207</v>
      </c>
    </row>
    <row r="4011" spans="1:5" ht="30">
      <c r="A4011" s="261">
        <v>11577</v>
      </c>
      <c r="B4011" s="261" t="s">
        <v>7996</v>
      </c>
      <c r="C4011" s="261" t="s">
        <v>3240</v>
      </c>
      <c r="D4011" s="265" t="s">
        <v>12218</v>
      </c>
      <c r="E4011" s="262" t="s">
        <v>207</v>
      </c>
    </row>
    <row r="4012" spans="1:5" ht="45">
      <c r="A4012" s="261">
        <v>42432</v>
      </c>
      <c r="B4012" s="261" t="s">
        <v>7997</v>
      </c>
      <c r="C4012" s="261" t="s">
        <v>3240</v>
      </c>
      <c r="D4012" s="265" t="s">
        <v>20617</v>
      </c>
      <c r="E4012" s="262" t="s">
        <v>207</v>
      </c>
    </row>
    <row r="4013" spans="1:5" ht="45">
      <c r="A4013" s="261">
        <v>42437</v>
      </c>
      <c r="B4013" s="261" t="s">
        <v>7998</v>
      </c>
      <c r="C4013" s="261" t="s">
        <v>3240</v>
      </c>
      <c r="D4013" s="265" t="s">
        <v>20618</v>
      </c>
      <c r="E4013" s="262" t="s">
        <v>207</v>
      </c>
    </row>
    <row r="4014" spans="1:5" ht="15">
      <c r="A4014" s="261">
        <v>1116</v>
      </c>
      <c r="B4014" s="261" t="s">
        <v>7999</v>
      </c>
      <c r="C4014" s="261" t="s">
        <v>3243</v>
      </c>
      <c r="D4014" s="265" t="s">
        <v>11444</v>
      </c>
      <c r="E4014" s="262" t="s">
        <v>207</v>
      </c>
    </row>
    <row r="4015" spans="1:5" ht="15">
      <c r="A4015" s="261">
        <v>1115</v>
      </c>
      <c r="B4015" s="261" t="s">
        <v>8000</v>
      </c>
      <c r="C4015" s="261" t="s">
        <v>3243</v>
      </c>
      <c r="D4015" s="265" t="s">
        <v>15853</v>
      </c>
      <c r="E4015" s="262" t="s">
        <v>207</v>
      </c>
    </row>
    <row r="4016" spans="1:5" ht="15">
      <c r="A4016" s="261">
        <v>1113</v>
      </c>
      <c r="B4016" s="261" t="s">
        <v>8001</v>
      </c>
      <c r="C4016" s="261" t="s">
        <v>3243</v>
      </c>
      <c r="D4016" s="265" t="s">
        <v>14130</v>
      </c>
      <c r="E4016" s="262" t="s">
        <v>207</v>
      </c>
    </row>
    <row r="4017" spans="1:5" ht="15">
      <c r="A4017" s="261">
        <v>1114</v>
      </c>
      <c r="B4017" s="261" t="s">
        <v>8002</v>
      </c>
      <c r="C4017" s="261" t="s">
        <v>3243</v>
      </c>
      <c r="D4017" s="265" t="s">
        <v>16581</v>
      </c>
      <c r="E4017" s="262" t="s">
        <v>207</v>
      </c>
    </row>
    <row r="4018" spans="1:5" ht="15">
      <c r="A4018" s="261">
        <v>40873</v>
      </c>
      <c r="B4018" s="261" t="s">
        <v>9570</v>
      </c>
      <c r="C4018" s="261" t="s">
        <v>3243</v>
      </c>
      <c r="D4018" s="265" t="s">
        <v>20619</v>
      </c>
      <c r="E4018" s="262" t="s">
        <v>207</v>
      </c>
    </row>
    <row r="4019" spans="1:5" ht="15">
      <c r="A4019" s="261">
        <v>20214</v>
      </c>
      <c r="B4019" s="261" t="s">
        <v>8003</v>
      </c>
      <c r="C4019" s="261" t="s">
        <v>3240</v>
      </c>
      <c r="D4019" s="265" t="s">
        <v>20620</v>
      </c>
      <c r="E4019" s="262" t="s">
        <v>207</v>
      </c>
    </row>
    <row r="4020" spans="1:5" ht="30">
      <c r="A4020" s="261">
        <v>11064</v>
      </c>
      <c r="B4020" s="261" t="s">
        <v>8004</v>
      </c>
      <c r="C4020" s="261" t="s">
        <v>3240</v>
      </c>
      <c r="D4020" s="265" t="s">
        <v>12185</v>
      </c>
      <c r="E4020" s="262" t="s">
        <v>207</v>
      </c>
    </row>
    <row r="4021" spans="1:5" ht="30">
      <c r="A4021" s="261">
        <v>7237</v>
      </c>
      <c r="B4021" s="261" t="s">
        <v>8005</v>
      </c>
      <c r="C4021" s="261" t="s">
        <v>3240</v>
      </c>
      <c r="D4021" s="265" t="s">
        <v>16114</v>
      </c>
      <c r="E4021" s="262" t="s">
        <v>207</v>
      </c>
    </row>
    <row r="4022" spans="1:5" ht="15">
      <c r="A4022" s="261">
        <v>11757</v>
      </c>
      <c r="B4022" s="261" t="s">
        <v>8006</v>
      </c>
      <c r="C4022" s="261" t="s">
        <v>3240</v>
      </c>
      <c r="D4022" s="265" t="s">
        <v>16338</v>
      </c>
      <c r="E4022" s="262" t="s">
        <v>207</v>
      </c>
    </row>
    <row r="4023" spans="1:5" ht="30">
      <c r="A4023" s="261">
        <v>11758</v>
      </c>
      <c r="B4023" s="261" t="s">
        <v>8007</v>
      </c>
      <c r="C4023" s="261" t="s">
        <v>3240</v>
      </c>
      <c r="D4023" s="265" t="s">
        <v>20621</v>
      </c>
      <c r="E4023" s="262" t="s">
        <v>207</v>
      </c>
    </row>
    <row r="4024" spans="1:5" ht="15">
      <c r="A4024" s="261">
        <v>37526</v>
      </c>
      <c r="B4024" s="261" t="s">
        <v>8008</v>
      </c>
      <c r="C4024" s="261" t="s">
        <v>3240</v>
      </c>
      <c r="D4024" s="265" t="s">
        <v>9979</v>
      </c>
      <c r="E4024" s="262" t="s">
        <v>207</v>
      </c>
    </row>
    <row r="4025" spans="1:5" ht="15">
      <c r="A4025" s="261">
        <v>6076</v>
      </c>
      <c r="B4025" s="261" t="s">
        <v>8009</v>
      </c>
      <c r="C4025" s="261" t="s">
        <v>3241</v>
      </c>
      <c r="D4025" s="266" t="s">
        <v>20622</v>
      </c>
      <c r="E4025" s="262" t="s">
        <v>207</v>
      </c>
    </row>
    <row r="4026" spans="1:5" ht="15">
      <c r="A4026" s="261">
        <v>13109</v>
      </c>
      <c r="B4026" s="261" t="s">
        <v>8010</v>
      </c>
      <c r="C4026" s="261" t="s">
        <v>3240</v>
      </c>
      <c r="D4026" s="266" t="s">
        <v>20623</v>
      </c>
      <c r="E4026" s="262" t="s">
        <v>207</v>
      </c>
    </row>
    <row r="4027" spans="1:5" ht="15">
      <c r="A4027" s="261">
        <v>13110</v>
      </c>
      <c r="B4027" s="261" t="s">
        <v>8011</v>
      </c>
      <c r="C4027" s="261" t="s">
        <v>3240</v>
      </c>
      <c r="D4027" s="266" t="s">
        <v>20624</v>
      </c>
      <c r="E4027" s="262" t="s">
        <v>207</v>
      </c>
    </row>
    <row r="4028" spans="1:5" ht="15">
      <c r="A4028" s="261">
        <v>7581</v>
      </c>
      <c r="B4028" s="261" t="s">
        <v>8012</v>
      </c>
      <c r="C4028" s="261" t="s">
        <v>3240</v>
      </c>
      <c r="D4028" s="265" t="s">
        <v>19008</v>
      </c>
      <c r="E4028" s="262" t="s">
        <v>207</v>
      </c>
    </row>
    <row r="4029" spans="1:5" ht="15">
      <c r="A4029" s="261">
        <v>4509</v>
      </c>
      <c r="B4029" s="261" t="s">
        <v>11971</v>
      </c>
      <c r="C4029" s="261" t="s">
        <v>3243</v>
      </c>
      <c r="D4029" s="266" t="s">
        <v>9896</v>
      </c>
      <c r="E4029" s="262" t="s">
        <v>207</v>
      </c>
    </row>
    <row r="4030" spans="1:5" ht="15">
      <c r="A4030" s="261">
        <v>4512</v>
      </c>
      <c r="B4030" s="261" t="s">
        <v>11972</v>
      </c>
      <c r="C4030" s="261" t="s">
        <v>3243</v>
      </c>
      <c r="D4030" s="266" t="s">
        <v>11377</v>
      </c>
      <c r="E4030" s="262" t="s">
        <v>207</v>
      </c>
    </row>
    <row r="4031" spans="1:5" ht="15">
      <c r="A4031" s="261">
        <v>4517</v>
      </c>
      <c r="B4031" s="261" t="s">
        <v>11973</v>
      </c>
      <c r="C4031" s="261" t="s">
        <v>3243</v>
      </c>
      <c r="D4031" s="265" t="s">
        <v>9819</v>
      </c>
      <c r="E4031" s="262" t="s">
        <v>207</v>
      </c>
    </row>
    <row r="4032" spans="1:5" ht="30">
      <c r="A4032" s="261">
        <v>20206</v>
      </c>
      <c r="B4032" s="261" t="s">
        <v>11974</v>
      </c>
      <c r="C4032" s="261" t="s">
        <v>3243</v>
      </c>
      <c r="D4032" s="265" t="s">
        <v>10206</v>
      </c>
      <c r="E4032" s="262" t="s">
        <v>207</v>
      </c>
    </row>
    <row r="4033" spans="1:5" ht="30">
      <c r="A4033" s="261">
        <v>4460</v>
      </c>
      <c r="B4033" s="261" t="s">
        <v>11975</v>
      </c>
      <c r="C4033" s="261" t="s">
        <v>3243</v>
      </c>
      <c r="D4033" s="265" t="s">
        <v>20625</v>
      </c>
      <c r="E4033" s="262" t="s">
        <v>207</v>
      </c>
    </row>
    <row r="4034" spans="1:5" ht="30">
      <c r="A4034" s="261">
        <v>4417</v>
      </c>
      <c r="B4034" s="261" t="s">
        <v>11976</v>
      </c>
      <c r="C4034" s="261" t="s">
        <v>3243</v>
      </c>
      <c r="D4034" s="265" t="s">
        <v>20271</v>
      </c>
      <c r="E4034" s="262" t="s">
        <v>207</v>
      </c>
    </row>
    <row r="4035" spans="1:5" ht="30">
      <c r="A4035" s="261">
        <v>4415</v>
      </c>
      <c r="B4035" s="261" t="s">
        <v>11977</v>
      </c>
      <c r="C4035" s="261" t="s">
        <v>3243</v>
      </c>
      <c r="D4035" s="265" t="s">
        <v>11324</v>
      </c>
      <c r="E4035" s="262" t="s">
        <v>207</v>
      </c>
    </row>
    <row r="4036" spans="1:5" ht="15">
      <c r="A4036" s="261">
        <v>37373</v>
      </c>
      <c r="B4036" s="261" t="s">
        <v>8013</v>
      </c>
      <c r="C4036" s="261" t="s">
        <v>3239</v>
      </c>
      <c r="D4036" s="265" t="s">
        <v>9824</v>
      </c>
      <c r="E4036" s="262" t="s">
        <v>20626</v>
      </c>
    </row>
    <row r="4037" spans="1:5" ht="15">
      <c r="A4037" s="261">
        <v>40864</v>
      </c>
      <c r="B4037" s="261" t="s">
        <v>8014</v>
      </c>
      <c r="C4037" s="261" t="s">
        <v>3246</v>
      </c>
      <c r="D4037" s="265" t="s">
        <v>10633</v>
      </c>
      <c r="E4037" s="262" t="s">
        <v>20626</v>
      </c>
    </row>
    <row r="4038" spans="1:5" ht="30">
      <c r="A4038" s="261">
        <v>4734</v>
      </c>
      <c r="B4038" s="261" t="s">
        <v>8015</v>
      </c>
      <c r="C4038" s="261" t="s">
        <v>3241</v>
      </c>
      <c r="D4038" s="265" t="s">
        <v>16632</v>
      </c>
      <c r="E4038" s="262" t="s">
        <v>207</v>
      </c>
    </row>
    <row r="4039" spans="1:5" ht="15">
      <c r="A4039" s="261">
        <v>6085</v>
      </c>
      <c r="B4039" s="261" t="s">
        <v>8016</v>
      </c>
      <c r="C4039" s="261" t="s">
        <v>3245</v>
      </c>
      <c r="D4039" s="265" t="s">
        <v>10555</v>
      </c>
      <c r="E4039" s="262" t="s">
        <v>207</v>
      </c>
    </row>
    <row r="4040" spans="1:5" ht="15">
      <c r="A4040" s="261">
        <v>38396</v>
      </c>
      <c r="B4040" s="261" t="s">
        <v>8017</v>
      </c>
      <c r="C4040" s="261" t="s">
        <v>3240</v>
      </c>
      <c r="D4040" s="265" t="s">
        <v>20627</v>
      </c>
      <c r="E4040" s="262" t="s">
        <v>207</v>
      </c>
    </row>
    <row r="4041" spans="1:5" ht="15">
      <c r="A4041" s="261">
        <v>11622</v>
      </c>
      <c r="B4041" s="261" t="s">
        <v>8018</v>
      </c>
      <c r="C4041" s="261" t="s">
        <v>3244</v>
      </c>
      <c r="D4041" s="265" t="s">
        <v>14296</v>
      </c>
      <c r="E4041" s="262" t="s">
        <v>207</v>
      </c>
    </row>
    <row r="4042" spans="1:5" ht="30">
      <c r="A4042" s="261">
        <v>43143</v>
      </c>
      <c r="B4042" s="261" t="s">
        <v>9571</v>
      </c>
      <c r="C4042" s="261" t="s">
        <v>3245</v>
      </c>
      <c r="D4042" s="265" t="s">
        <v>14068</v>
      </c>
      <c r="E4042" s="262" t="s">
        <v>207</v>
      </c>
    </row>
    <row r="4043" spans="1:5" ht="15">
      <c r="A4043" s="261">
        <v>7317</v>
      </c>
      <c r="B4043" s="261" t="s">
        <v>8019</v>
      </c>
      <c r="C4043" s="261" t="s">
        <v>3244</v>
      </c>
      <c r="D4043" s="265" t="s">
        <v>20628</v>
      </c>
      <c r="E4043" s="262" t="s">
        <v>207</v>
      </c>
    </row>
    <row r="4044" spans="1:5" ht="30">
      <c r="A4044" s="261">
        <v>142</v>
      </c>
      <c r="B4044" s="261" t="s">
        <v>9572</v>
      </c>
      <c r="C4044" s="261" t="s">
        <v>3258</v>
      </c>
      <c r="D4044" s="265" t="s">
        <v>15821</v>
      </c>
      <c r="E4044" s="262" t="s">
        <v>207</v>
      </c>
    </row>
    <row r="4045" spans="1:5" ht="30">
      <c r="A4045" s="261">
        <v>43142</v>
      </c>
      <c r="B4045" s="261" t="s">
        <v>9573</v>
      </c>
      <c r="C4045" s="261" t="s">
        <v>3245</v>
      </c>
      <c r="D4045" s="265" t="s">
        <v>20629</v>
      </c>
      <c r="E4045" s="262" t="s">
        <v>207</v>
      </c>
    </row>
    <row r="4046" spans="1:5" ht="15">
      <c r="A4046" s="261">
        <v>38123</v>
      </c>
      <c r="B4046" s="261" t="s">
        <v>8020</v>
      </c>
      <c r="C4046" s="261" t="s">
        <v>3244</v>
      </c>
      <c r="D4046" s="265" t="s">
        <v>20630</v>
      </c>
      <c r="E4046" s="262" t="s">
        <v>207</v>
      </c>
    </row>
    <row r="4047" spans="1:5" ht="30">
      <c r="A4047" s="261">
        <v>42701</v>
      </c>
      <c r="B4047" s="261" t="s">
        <v>8021</v>
      </c>
      <c r="C4047" s="261" t="s">
        <v>3240</v>
      </c>
      <c r="D4047" s="265" t="s">
        <v>20631</v>
      </c>
      <c r="E4047" s="262" t="s">
        <v>207</v>
      </c>
    </row>
    <row r="4048" spans="1:5" ht="30">
      <c r="A4048" s="261">
        <v>42702</v>
      </c>
      <c r="B4048" s="261" t="s">
        <v>8022</v>
      </c>
      <c r="C4048" s="261" t="s">
        <v>3240</v>
      </c>
      <c r="D4048" s="265" t="s">
        <v>20632</v>
      </c>
      <c r="E4048" s="262" t="s">
        <v>207</v>
      </c>
    </row>
    <row r="4049" spans="1:5" ht="30">
      <c r="A4049" s="261">
        <v>37955</v>
      </c>
      <c r="B4049" s="261" t="s">
        <v>8023</v>
      </c>
      <c r="C4049" s="261" t="s">
        <v>3240</v>
      </c>
      <c r="D4049" s="265" t="s">
        <v>20633</v>
      </c>
      <c r="E4049" s="262" t="s">
        <v>207</v>
      </c>
    </row>
    <row r="4050" spans="1:5" ht="30">
      <c r="A4050" s="261">
        <v>42699</v>
      </c>
      <c r="B4050" s="261" t="s">
        <v>8024</v>
      </c>
      <c r="C4050" s="261" t="s">
        <v>3240</v>
      </c>
      <c r="D4050" s="265" t="s">
        <v>16124</v>
      </c>
      <c r="E4050" s="262" t="s">
        <v>207</v>
      </c>
    </row>
    <row r="4051" spans="1:5" ht="30">
      <c r="A4051" s="261">
        <v>42700</v>
      </c>
      <c r="B4051" s="261" t="s">
        <v>8025</v>
      </c>
      <c r="C4051" s="261" t="s">
        <v>3240</v>
      </c>
      <c r="D4051" s="265" t="s">
        <v>20634</v>
      </c>
      <c r="E4051" s="262" t="s">
        <v>207</v>
      </c>
    </row>
    <row r="4052" spans="1:5" ht="30">
      <c r="A4052" s="261">
        <v>37743</v>
      </c>
      <c r="B4052" s="261" t="s">
        <v>8026</v>
      </c>
      <c r="C4052" s="261" t="s">
        <v>3240</v>
      </c>
      <c r="D4052" s="265" t="s">
        <v>20635</v>
      </c>
      <c r="E4052" s="262" t="s">
        <v>8987</v>
      </c>
    </row>
    <row r="4053" spans="1:5" ht="30">
      <c r="A4053" s="261">
        <v>37744</v>
      </c>
      <c r="B4053" s="261" t="s">
        <v>8027</v>
      </c>
      <c r="C4053" s="261" t="s">
        <v>3240</v>
      </c>
      <c r="D4053" s="265" t="s">
        <v>20636</v>
      </c>
      <c r="E4053" s="262" t="s">
        <v>8987</v>
      </c>
    </row>
    <row r="4054" spans="1:5" ht="30">
      <c r="A4054" s="261">
        <v>37741</v>
      </c>
      <c r="B4054" s="261" t="s">
        <v>8028</v>
      </c>
      <c r="C4054" s="261" t="s">
        <v>3240</v>
      </c>
      <c r="D4054" s="265" t="s">
        <v>20637</v>
      </c>
      <c r="E4054" s="262" t="s">
        <v>8987</v>
      </c>
    </row>
    <row r="4055" spans="1:5" ht="30">
      <c r="A4055" s="261">
        <v>39396</v>
      </c>
      <c r="B4055" s="261" t="s">
        <v>8029</v>
      </c>
      <c r="C4055" s="261" t="s">
        <v>3240</v>
      </c>
      <c r="D4055" s="265" t="s">
        <v>20638</v>
      </c>
      <c r="E4055" s="262" t="s">
        <v>207</v>
      </c>
    </row>
    <row r="4056" spans="1:5" ht="30">
      <c r="A4056" s="261">
        <v>39392</v>
      </c>
      <c r="B4056" s="261" t="s">
        <v>8030</v>
      </c>
      <c r="C4056" s="261" t="s">
        <v>3240</v>
      </c>
      <c r="D4056" s="265" t="s">
        <v>20639</v>
      </c>
      <c r="E4056" s="262" t="s">
        <v>207</v>
      </c>
    </row>
    <row r="4057" spans="1:5" ht="30">
      <c r="A4057" s="261">
        <v>39393</v>
      </c>
      <c r="B4057" s="261" t="s">
        <v>8031</v>
      </c>
      <c r="C4057" s="261" t="s">
        <v>3240</v>
      </c>
      <c r="D4057" s="266" t="s">
        <v>16092</v>
      </c>
      <c r="E4057" s="262" t="s">
        <v>207</v>
      </c>
    </row>
    <row r="4058" spans="1:5" ht="30">
      <c r="A4058" s="261">
        <v>39394</v>
      </c>
      <c r="B4058" s="261" t="s">
        <v>8032</v>
      </c>
      <c r="C4058" s="261" t="s">
        <v>3240</v>
      </c>
      <c r="D4058" s="265" t="s">
        <v>15920</v>
      </c>
      <c r="E4058" s="262" t="s">
        <v>207</v>
      </c>
    </row>
    <row r="4059" spans="1:5" ht="30">
      <c r="A4059" s="261">
        <v>39395</v>
      </c>
      <c r="B4059" s="261" t="s">
        <v>8033</v>
      </c>
      <c r="C4059" s="261" t="s">
        <v>3240</v>
      </c>
      <c r="D4059" s="266" t="s">
        <v>12133</v>
      </c>
      <c r="E4059" s="262" t="s">
        <v>207</v>
      </c>
    </row>
    <row r="4060" spans="1:5" ht="30">
      <c r="A4060" s="261">
        <v>14618</v>
      </c>
      <c r="B4060" s="261" t="s">
        <v>8034</v>
      </c>
      <c r="C4060" s="261" t="s">
        <v>3240</v>
      </c>
      <c r="D4060" s="265" t="s">
        <v>20640</v>
      </c>
      <c r="E4060" s="262" t="s">
        <v>8987</v>
      </c>
    </row>
    <row r="4061" spans="1:5" ht="30">
      <c r="A4061" s="261">
        <v>40269</v>
      </c>
      <c r="B4061" s="261" t="s">
        <v>8035</v>
      </c>
      <c r="C4061" s="261" t="s">
        <v>3240</v>
      </c>
      <c r="D4061" s="265" t="s">
        <v>20641</v>
      </c>
      <c r="E4061" s="262" t="s">
        <v>8987</v>
      </c>
    </row>
    <row r="4062" spans="1:5" ht="15">
      <c r="A4062" s="261">
        <v>6110</v>
      </c>
      <c r="B4062" s="261" t="s">
        <v>8036</v>
      </c>
      <c r="C4062" s="261" t="s">
        <v>3239</v>
      </c>
      <c r="D4062" s="265" t="s">
        <v>11524</v>
      </c>
      <c r="E4062" s="262" t="s">
        <v>9714</v>
      </c>
    </row>
    <row r="4063" spans="1:5" ht="15">
      <c r="A4063" s="261">
        <v>40910</v>
      </c>
      <c r="B4063" s="261" t="s">
        <v>8037</v>
      </c>
      <c r="C4063" s="261" t="s">
        <v>3246</v>
      </c>
      <c r="D4063" s="265" t="s">
        <v>18936</v>
      </c>
      <c r="E4063" s="262" t="s">
        <v>9714</v>
      </c>
    </row>
    <row r="4064" spans="1:5" ht="15">
      <c r="A4064" s="261">
        <v>6111</v>
      </c>
      <c r="B4064" s="261" t="s">
        <v>8038</v>
      </c>
      <c r="C4064" s="261" t="s">
        <v>3239</v>
      </c>
      <c r="D4064" s="265" t="s">
        <v>10000</v>
      </c>
      <c r="E4064" s="262" t="s">
        <v>9714</v>
      </c>
    </row>
    <row r="4065" spans="1:5" ht="15">
      <c r="A4065" s="261">
        <v>41084</v>
      </c>
      <c r="B4065" s="261" t="s">
        <v>8039</v>
      </c>
      <c r="C4065" s="261" t="s">
        <v>3246</v>
      </c>
      <c r="D4065" s="265" t="s">
        <v>20642</v>
      </c>
      <c r="E4065" s="262" t="s">
        <v>9714</v>
      </c>
    </row>
    <row r="4066" spans="1:5" ht="15">
      <c r="A4066" s="261">
        <v>25950</v>
      </c>
      <c r="B4066" s="261" t="s">
        <v>8040</v>
      </c>
      <c r="C4066" s="261" t="s">
        <v>3241</v>
      </c>
      <c r="D4066" s="265" t="s">
        <v>16518</v>
      </c>
      <c r="E4066" s="262" t="s">
        <v>207</v>
      </c>
    </row>
    <row r="4067" spans="1:5" ht="15">
      <c r="A4067" s="261">
        <v>38637</v>
      </c>
      <c r="B4067" s="261" t="s">
        <v>8041</v>
      </c>
      <c r="C4067" s="261" t="s">
        <v>3240</v>
      </c>
      <c r="D4067" s="265" t="s">
        <v>20643</v>
      </c>
      <c r="E4067" s="262" t="s">
        <v>207</v>
      </c>
    </row>
    <row r="4068" spans="1:5" ht="15">
      <c r="A4068" s="261">
        <v>6150</v>
      </c>
      <c r="B4068" s="261" t="s">
        <v>8042</v>
      </c>
      <c r="C4068" s="261" t="s">
        <v>3240</v>
      </c>
      <c r="D4068" s="265" t="s">
        <v>20644</v>
      </c>
      <c r="E4068" s="262" t="s">
        <v>207</v>
      </c>
    </row>
    <row r="4069" spans="1:5" ht="15">
      <c r="A4069" s="261">
        <v>6136</v>
      </c>
      <c r="B4069" s="261" t="s">
        <v>8043</v>
      </c>
      <c r="C4069" s="261" t="s">
        <v>3240</v>
      </c>
      <c r="D4069" s="265" t="s">
        <v>15961</v>
      </c>
      <c r="E4069" s="262" t="s">
        <v>207</v>
      </c>
    </row>
    <row r="4070" spans="1:5" ht="15">
      <c r="A4070" s="261">
        <v>38638</v>
      </c>
      <c r="B4070" s="261" t="s">
        <v>8044</v>
      </c>
      <c r="C4070" s="261" t="s">
        <v>3240</v>
      </c>
      <c r="D4070" s="265" t="s">
        <v>20645</v>
      </c>
      <c r="E4070" s="262" t="s">
        <v>207</v>
      </c>
    </row>
    <row r="4071" spans="1:5" ht="15">
      <c r="A4071" s="261">
        <v>20262</v>
      </c>
      <c r="B4071" s="261" t="s">
        <v>8045</v>
      </c>
      <c r="C4071" s="261" t="s">
        <v>3240</v>
      </c>
      <c r="D4071" s="265" t="s">
        <v>10281</v>
      </c>
      <c r="E4071" s="262" t="s">
        <v>207</v>
      </c>
    </row>
    <row r="4072" spans="1:5" ht="15">
      <c r="A4072" s="261">
        <v>6148</v>
      </c>
      <c r="B4072" s="261" t="s">
        <v>8046</v>
      </c>
      <c r="C4072" s="261" t="s">
        <v>3240</v>
      </c>
      <c r="D4072" s="265" t="s">
        <v>10344</v>
      </c>
      <c r="E4072" s="262" t="s">
        <v>207</v>
      </c>
    </row>
    <row r="4073" spans="1:5" ht="15">
      <c r="A4073" s="261">
        <v>6145</v>
      </c>
      <c r="B4073" s="261" t="s">
        <v>8047</v>
      </c>
      <c r="C4073" s="261" t="s">
        <v>3240</v>
      </c>
      <c r="D4073" s="265" t="s">
        <v>11335</v>
      </c>
      <c r="E4073" s="262" t="s">
        <v>207</v>
      </c>
    </row>
    <row r="4074" spans="1:5" ht="15">
      <c r="A4074" s="261">
        <v>6149</v>
      </c>
      <c r="B4074" s="261" t="s">
        <v>8048</v>
      </c>
      <c r="C4074" s="261" t="s">
        <v>3240</v>
      </c>
      <c r="D4074" s="265" t="s">
        <v>10603</v>
      </c>
      <c r="E4074" s="262" t="s">
        <v>207</v>
      </c>
    </row>
    <row r="4075" spans="1:5" ht="15">
      <c r="A4075" s="261">
        <v>6146</v>
      </c>
      <c r="B4075" s="261" t="s">
        <v>8049</v>
      </c>
      <c r="C4075" s="261" t="s">
        <v>3240</v>
      </c>
      <c r="D4075" s="265" t="s">
        <v>11200</v>
      </c>
      <c r="E4075" s="262" t="s">
        <v>207</v>
      </c>
    </row>
    <row r="4076" spans="1:5" ht="15">
      <c r="A4076" s="261">
        <v>26026</v>
      </c>
      <c r="B4076" s="261" t="s">
        <v>8050</v>
      </c>
      <c r="C4076" s="261" t="s">
        <v>3244</v>
      </c>
      <c r="D4076" s="265" t="s">
        <v>20318</v>
      </c>
      <c r="E4076" s="262" t="s">
        <v>207</v>
      </c>
    </row>
    <row r="4077" spans="1:5" ht="15">
      <c r="A4077" s="261">
        <v>39961</v>
      </c>
      <c r="B4077" s="261" t="s">
        <v>8051</v>
      </c>
      <c r="C4077" s="261" t="s">
        <v>3240</v>
      </c>
      <c r="D4077" s="265" t="s">
        <v>16329</v>
      </c>
      <c r="E4077" s="262" t="s">
        <v>207</v>
      </c>
    </row>
    <row r="4078" spans="1:5" ht="45">
      <c r="A4078" s="261">
        <v>42433</v>
      </c>
      <c r="B4078" s="261" t="s">
        <v>8052</v>
      </c>
      <c r="C4078" s="261" t="s">
        <v>3240</v>
      </c>
      <c r="D4078" s="265" t="s">
        <v>20646</v>
      </c>
      <c r="E4078" s="262" t="s">
        <v>207</v>
      </c>
    </row>
    <row r="4079" spans="1:5" ht="45">
      <c r="A4079" s="261">
        <v>42434</v>
      </c>
      <c r="B4079" s="261" t="s">
        <v>8053</v>
      </c>
      <c r="C4079" s="261" t="s">
        <v>3240</v>
      </c>
      <c r="D4079" s="265" t="s">
        <v>20647</v>
      </c>
      <c r="E4079" s="262" t="s">
        <v>207</v>
      </c>
    </row>
    <row r="4080" spans="1:5" ht="45">
      <c r="A4080" s="261">
        <v>42435</v>
      </c>
      <c r="B4080" s="261" t="s">
        <v>8054</v>
      </c>
      <c r="C4080" s="261" t="s">
        <v>3240</v>
      </c>
      <c r="D4080" s="265" t="s">
        <v>20648</v>
      </c>
      <c r="E4080" s="262" t="s">
        <v>207</v>
      </c>
    </row>
    <row r="4081" spans="1:5" ht="15">
      <c r="A4081" s="261">
        <v>38061</v>
      </c>
      <c r="B4081" s="261" t="s">
        <v>8055</v>
      </c>
      <c r="C4081" s="261" t="s">
        <v>3240</v>
      </c>
      <c r="D4081" s="265" t="s">
        <v>20649</v>
      </c>
      <c r="E4081" s="262" t="s">
        <v>207</v>
      </c>
    </row>
    <row r="4082" spans="1:5" ht="15">
      <c r="A4082" s="261">
        <v>20250</v>
      </c>
      <c r="B4082" s="261" t="s">
        <v>8056</v>
      </c>
      <c r="C4082" s="261" t="s">
        <v>3244</v>
      </c>
      <c r="D4082" s="265" t="s">
        <v>20650</v>
      </c>
      <c r="E4082" s="262" t="s">
        <v>207</v>
      </c>
    </row>
    <row r="4083" spans="1:5" ht="60">
      <c r="A4083" s="261">
        <v>39965</v>
      </c>
      <c r="B4083" s="261" t="s">
        <v>8057</v>
      </c>
      <c r="C4083" s="261" t="s">
        <v>3242</v>
      </c>
      <c r="D4083" s="265" t="s">
        <v>12423</v>
      </c>
      <c r="E4083" s="262" t="s">
        <v>207</v>
      </c>
    </row>
    <row r="4084" spans="1:5" ht="60">
      <c r="A4084" s="261">
        <v>39964</v>
      </c>
      <c r="B4084" s="261" t="s">
        <v>8058</v>
      </c>
      <c r="C4084" s="261" t="s">
        <v>3242</v>
      </c>
      <c r="D4084" s="265" t="s">
        <v>12424</v>
      </c>
      <c r="E4084" s="262" t="s">
        <v>207</v>
      </c>
    </row>
    <row r="4085" spans="1:5" ht="15">
      <c r="A4085" s="261">
        <v>13388</v>
      </c>
      <c r="B4085" s="261" t="s">
        <v>8059</v>
      </c>
      <c r="C4085" s="261" t="s">
        <v>3244</v>
      </c>
      <c r="D4085" s="265" t="s">
        <v>20542</v>
      </c>
      <c r="E4085" s="262" t="s">
        <v>207</v>
      </c>
    </row>
    <row r="4086" spans="1:5" ht="15">
      <c r="A4086" s="261">
        <v>39914</v>
      </c>
      <c r="B4086" s="261" t="s">
        <v>8060</v>
      </c>
      <c r="C4086" s="261" t="s">
        <v>3244</v>
      </c>
      <c r="D4086" s="265" t="s">
        <v>20651</v>
      </c>
      <c r="E4086" s="262" t="s">
        <v>207</v>
      </c>
    </row>
    <row r="4087" spans="1:5" ht="30">
      <c r="A4087" s="261">
        <v>12732</v>
      </c>
      <c r="B4087" s="261" t="s">
        <v>8061</v>
      </c>
      <c r="C4087" s="261" t="s">
        <v>3240</v>
      </c>
      <c r="D4087" s="265" t="s">
        <v>20652</v>
      </c>
      <c r="E4087" s="262" t="s">
        <v>207</v>
      </c>
    </row>
    <row r="4088" spans="1:5" ht="15">
      <c r="A4088" s="261">
        <v>6160</v>
      </c>
      <c r="B4088" s="261" t="s">
        <v>8062</v>
      </c>
      <c r="C4088" s="261" t="s">
        <v>3239</v>
      </c>
      <c r="D4088" s="265" t="s">
        <v>11524</v>
      </c>
      <c r="E4088" s="262" t="s">
        <v>9714</v>
      </c>
    </row>
    <row r="4089" spans="1:5" ht="15">
      <c r="A4089" s="261">
        <v>41087</v>
      </c>
      <c r="B4089" s="261" t="s">
        <v>8063</v>
      </c>
      <c r="C4089" s="261" t="s">
        <v>3246</v>
      </c>
      <c r="D4089" s="265" t="s">
        <v>18936</v>
      </c>
      <c r="E4089" s="262" t="s">
        <v>9714</v>
      </c>
    </row>
    <row r="4090" spans="1:5" ht="15">
      <c r="A4090" s="261">
        <v>6166</v>
      </c>
      <c r="B4090" s="261" t="s">
        <v>8064</v>
      </c>
      <c r="C4090" s="261" t="s">
        <v>3239</v>
      </c>
      <c r="D4090" s="265" t="s">
        <v>20653</v>
      </c>
      <c r="E4090" s="262" t="s">
        <v>9714</v>
      </c>
    </row>
    <row r="4091" spans="1:5" ht="15">
      <c r="A4091" s="261">
        <v>41088</v>
      </c>
      <c r="B4091" s="261" t="s">
        <v>8065</v>
      </c>
      <c r="C4091" s="261" t="s">
        <v>3246</v>
      </c>
      <c r="D4091" s="265" t="s">
        <v>20654</v>
      </c>
      <c r="E4091" s="262" t="s">
        <v>9714</v>
      </c>
    </row>
    <row r="4092" spans="1:5" ht="30">
      <c r="A4092" s="261">
        <v>20232</v>
      </c>
      <c r="B4092" s="261" t="s">
        <v>8066</v>
      </c>
      <c r="C4092" s="261" t="s">
        <v>3243</v>
      </c>
      <c r="D4092" s="265" t="s">
        <v>14234</v>
      </c>
      <c r="E4092" s="262" t="s">
        <v>207</v>
      </c>
    </row>
    <row r="4093" spans="1:5" ht="15">
      <c r="A4093" s="261">
        <v>10856</v>
      </c>
      <c r="B4093" s="261" t="s">
        <v>8067</v>
      </c>
      <c r="C4093" s="261" t="s">
        <v>3243</v>
      </c>
      <c r="D4093" s="265" t="s">
        <v>20655</v>
      </c>
      <c r="E4093" s="262" t="s">
        <v>207</v>
      </c>
    </row>
    <row r="4094" spans="1:5" ht="30">
      <c r="A4094" s="261">
        <v>4828</v>
      </c>
      <c r="B4094" s="261" t="s">
        <v>8068</v>
      </c>
      <c r="C4094" s="261" t="s">
        <v>3243</v>
      </c>
      <c r="D4094" s="265" t="s">
        <v>20656</v>
      </c>
      <c r="E4094" s="262" t="s">
        <v>207</v>
      </c>
    </row>
    <row r="4095" spans="1:5" ht="15">
      <c r="A4095" s="261">
        <v>20249</v>
      </c>
      <c r="B4095" s="261" t="s">
        <v>8069</v>
      </c>
      <c r="C4095" s="261" t="s">
        <v>3243</v>
      </c>
      <c r="D4095" s="266" t="s">
        <v>20657</v>
      </c>
      <c r="E4095" s="262" t="s">
        <v>207</v>
      </c>
    </row>
    <row r="4096" spans="1:5" ht="15">
      <c r="A4096" s="261">
        <v>11609</v>
      </c>
      <c r="B4096" s="261" t="s">
        <v>8070</v>
      </c>
      <c r="C4096" s="261" t="s">
        <v>3245</v>
      </c>
      <c r="D4096" s="265" t="s">
        <v>14092</v>
      </c>
      <c r="E4096" s="262" t="s">
        <v>207</v>
      </c>
    </row>
    <row r="4097" spans="1:5" ht="15">
      <c r="A4097" s="261">
        <v>20083</v>
      </c>
      <c r="B4097" s="261" t="s">
        <v>8071</v>
      </c>
      <c r="C4097" s="261" t="s">
        <v>3240</v>
      </c>
      <c r="D4097" s="265" t="s">
        <v>20658</v>
      </c>
      <c r="E4097" s="262" t="s">
        <v>207</v>
      </c>
    </row>
    <row r="4098" spans="1:5" ht="15">
      <c r="A4098" s="261">
        <v>5318</v>
      </c>
      <c r="B4098" s="261" t="s">
        <v>8072</v>
      </c>
      <c r="C4098" s="261" t="s">
        <v>3245</v>
      </c>
      <c r="D4098" s="265" t="s">
        <v>11270</v>
      </c>
      <c r="E4098" s="262" t="s">
        <v>207</v>
      </c>
    </row>
    <row r="4099" spans="1:5" ht="15">
      <c r="A4099" s="261">
        <v>10691</v>
      </c>
      <c r="B4099" s="261" t="s">
        <v>8073</v>
      </c>
      <c r="C4099" s="261" t="s">
        <v>3245</v>
      </c>
      <c r="D4099" s="265" t="s">
        <v>20659</v>
      </c>
      <c r="E4099" s="262" t="s">
        <v>207</v>
      </c>
    </row>
    <row r="4100" spans="1:5" ht="15">
      <c r="A4100" s="261">
        <v>12295</v>
      </c>
      <c r="B4100" s="261" t="s">
        <v>8074</v>
      </c>
      <c r="C4100" s="261" t="s">
        <v>3240</v>
      </c>
      <c r="D4100" s="266" t="s">
        <v>9974</v>
      </c>
      <c r="E4100" s="262" t="s">
        <v>207</v>
      </c>
    </row>
    <row r="4101" spans="1:5" ht="15">
      <c r="A4101" s="261">
        <v>12296</v>
      </c>
      <c r="B4101" s="261" t="s">
        <v>8075</v>
      </c>
      <c r="C4101" s="261" t="s">
        <v>3240</v>
      </c>
      <c r="D4101" s="266" t="s">
        <v>10055</v>
      </c>
      <c r="E4101" s="262" t="s">
        <v>207</v>
      </c>
    </row>
    <row r="4102" spans="1:5" ht="15">
      <c r="A4102" s="261">
        <v>12294</v>
      </c>
      <c r="B4102" s="261" t="s">
        <v>8076</v>
      </c>
      <c r="C4102" s="261" t="s">
        <v>3240</v>
      </c>
      <c r="D4102" s="266" t="s">
        <v>10254</v>
      </c>
      <c r="E4102" s="262" t="s">
        <v>207</v>
      </c>
    </row>
    <row r="4103" spans="1:5" ht="15">
      <c r="A4103" s="261">
        <v>14543</v>
      </c>
      <c r="B4103" s="261" t="s">
        <v>8077</v>
      </c>
      <c r="C4103" s="261" t="s">
        <v>3240</v>
      </c>
      <c r="D4103" s="266" t="s">
        <v>20271</v>
      </c>
      <c r="E4103" s="262" t="s">
        <v>207</v>
      </c>
    </row>
    <row r="4104" spans="1:5" ht="15">
      <c r="A4104" s="261">
        <v>13329</v>
      </c>
      <c r="B4104" s="261" t="s">
        <v>8078</v>
      </c>
      <c r="C4104" s="261" t="s">
        <v>3240</v>
      </c>
      <c r="D4104" s="266" t="s">
        <v>11398</v>
      </c>
      <c r="E4104" s="262" t="s">
        <v>207</v>
      </c>
    </row>
    <row r="4105" spans="1:5" ht="30">
      <c r="A4105" s="261">
        <v>21044</v>
      </c>
      <c r="B4105" s="261" t="s">
        <v>8079</v>
      </c>
      <c r="C4105" s="261" t="s">
        <v>3240</v>
      </c>
      <c r="D4105" s="266" t="s">
        <v>16065</v>
      </c>
      <c r="E4105" s="262" t="s">
        <v>207</v>
      </c>
    </row>
    <row r="4106" spans="1:5" ht="30">
      <c r="A4106" s="261">
        <v>21045</v>
      </c>
      <c r="B4106" s="261" t="s">
        <v>8080</v>
      </c>
      <c r="C4106" s="261" t="s">
        <v>3240</v>
      </c>
      <c r="D4106" s="266" t="s">
        <v>20660</v>
      </c>
      <c r="E4106" s="262" t="s">
        <v>207</v>
      </c>
    </row>
    <row r="4107" spans="1:5" ht="30">
      <c r="A4107" s="261">
        <v>21040</v>
      </c>
      <c r="B4107" s="261" t="s">
        <v>8081</v>
      </c>
      <c r="C4107" s="261" t="s">
        <v>3240</v>
      </c>
      <c r="D4107" s="266" t="s">
        <v>20661</v>
      </c>
      <c r="E4107" s="262" t="s">
        <v>207</v>
      </c>
    </row>
    <row r="4108" spans="1:5" ht="30">
      <c r="A4108" s="261">
        <v>21041</v>
      </c>
      <c r="B4108" s="261" t="s">
        <v>8082</v>
      </c>
      <c r="C4108" s="261" t="s">
        <v>3240</v>
      </c>
      <c r="D4108" s="265" t="s">
        <v>16115</v>
      </c>
      <c r="E4108" s="262" t="s">
        <v>207</v>
      </c>
    </row>
    <row r="4109" spans="1:5" ht="30">
      <c r="A4109" s="261">
        <v>21047</v>
      </c>
      <c r="B4109" s="261" t="s">
        <v>8083</v>
      </c>
      <c r="C4109" s="261" t="s">
        <v>3240</v>
      </c>
      <c r="D4109" s="265" t="s">
        <v>14268</v>
      </c>
      <c r="E4109" s="262" t="s">
        <v>207</v>
      </c>
    </row>
    <row r="4110" spans="1:5" ht="30">
      <c r="A4110" s="261">
        <v>21043</v>
      </c>
      <c r="B4110" s="261" t="s">
        <v>8084</v>
      </c>
      <c r="C4110" s="261" t="s">
        <v>3240</v>
      </c>
      <c r="D4110" s="265" t="s">
        <v>12418</v>
      </c>
      <c r="E4110" s="262" t="s">
        <v>207</v>
      </c>
    </row>
    <row r="4111" spans="1:5" ht="30">
      <c r="A4111" s="261">
        <v>21042</v>
      </c>
      <c r="B4111" s="261" t="s">
        <v>8085</v>
      </c>
      <c r="C4111" s="261" t="s">
        <v>3240</v>
      </c>
      <c r="D4111" s="265" t="s">
        <v>20662</v>
      </c>
      <c r="E4111" s="262" t="s">
        <v>207</v>
      </c>
    </row>
    <row r="4112" spans="1:5" ht="15">
      <c r="A4112" s="261">
        <v>14149</v>
      </c>
      <c r="B4112" s="261" t="s">
        <v>8086</v>
      </c>
      <c r="C4112" s="261" t="s">
        <v>3255</v>
      </c>
      <c r="D4112" s="265" t="s">
        <v>16635</v>
      </c>
      <c r="E4112" s="262" t="s">
        <v>207</v>
      </c>
    </row>
    <row r="4113" spans="1:5" ht="30">
      <c r="A4113" s="261">
        <v>38099</v>
      </c>
      <c r="B4113" s="261" t="s">
        <v>8087</v>
      </c>
      <c r="C4113" s="261" t="s">
        <v>3240</v>
      </c>
      <c r="D4113" s="265" t="s">
        <v>11172</v>
      </c>
      <c r="E4113" s="262" t="s">
        <v>207</v>
      </c>
    </row>
    <row r="4114" spans="1:5" ht="30">
      <c r="A4114" s="261">
        <v>38100</v>
      </c>
      <c r="B4114" s="261" t="s">
        <v>8088</v>
      </c>
      <c r="C4114" s="261" t="s">
        <v>3240</v>
      </c>
      <c r="D4114" s="265" t="s">
        <v>12254</v>
      </c>
      <c r="E4114" s="262" t="s">
        <v>207</v>
      </c>
    </row>
    <row r="4115" spans="1:5" ht="30">
      <c r="A4115" s="261">
        <v>20061</v>
      </c>
      <c r="B4115" s="261" t="s">
        <v>8089</v>
      </c>
      <c r="C4115" s="261" t="s">
        <v>3240</v>
      </c>
      <c r="D4115" s="265" t="s">
        <v>16398</v>
      </c>
      <c r="E4115" s="262" t="s">
        <v>207</v>
      </c>
    </row>
    <row r="4116" spans="1:5" ht="30">
      <c r="A4116" s="261">
        <v>7576</v>
      </c>
      <c r="B4116" s="261" t="s">
        <v>8090</v>
      </c>
      <c r="C4116" s="261" t="s">
        <v>3240</v>
      </c>
      <c r="D4116" s="265" t="s">
        <v>20663</v>
      </c>
      <c r="E4116" s="262" t="s">
        <v>207</v>
      </c>
    </row>
    <row r="4117" spans="1:5" ht="30">
      <c r="A4117" s="261">
        <v>3384</v>
      </c>
      <c r="B4117" s="261" t="s">
        <v>8091</v>
      </c>
      <c r="C4117" s="261" t="s">
        <v>3240</v>
      </c>
      <c r="D4117" s="265" t="s">
        <v>10937</v>
      </c>
      <c r="E4117" s="262" t="s">
        <v>207</v>
      </c>
    </row>
    <row r="4118" spans="1:5" ht="30">
      <c r="A4118" s="261">
        <v>7572</v>
      </c>
      <c r="B4118" s="261" t="s">
        <v>8092</v>
      </c>
      <c r="C4118" s="261" t="s">
        <v>3240</v>
      </c>
      <c r="D4118" s="265" t="s">
        <v>10051</v>
      </c>
      <c r="E4118" s="262" t="s">
        <v>207</v>
      </c>
    </row>
    <row r="4119" spans="1:5" ht="30">
      <c r="A4119" s="261">
        <v>3396</v>
      </c>
      <c r="B4119" s="261" t="s">
        <v>8093</v>
      </c>
      <c r="C4119" s="261" t="s">
        <v>3240</v>
      </c>
      <c r="D4119" s="265" t="s">
        <v>12274</v>
      </c>
      <c r="E4119" s="264" t="s">
        <v>207</v>
      </c>
    </row>
    <row r="4120" spans="1:5" ht="30">
      <c r="A4120" s="261">
        <v>37590</v>
      </c>
      <c r="B4120" s="261" t="s">
        <v>8094</v>
      </c>
      <c r="C4120" s="261" t="s">
        <v>3240</v>
      </c>
      <c r="D4120" s="265" t="s">
        <v>20664</v>
      </c>
      <c r="E4120" s="264" t="s">
        <v>207</v>
      </c>
    </row>
    <row r="4121" spans="1:5" ht="30">
      <c r="A4121" s="261">
        <v>37591</v>
      </c>
      <c r="B4121" s="261" t="s">
        <v>8095</v>
      </c>
      <c r="C4121" s="261" t="s">
        <v>3240</v>
      </c>
      <c r="D4121" s="265" t="s">
        <v>9870</v>
      </c>
      <c r="E4121" s="262" t="s">
        <v>207</v>
      </c>
    </row>
    <row r="4122" spans="1:5" ht="30">
      <c r="A4122" s="261">
        <v>12626</v>
      </c>
      <c r="B4122" s="261" t="s">
        <v>8096</v>
      </c>
      <c r="C4122" s="261" t="s">
        <v>3240</v>
      </c>
      <c r="D4122" s="265" t="s">
        <v>15966</v>
      </c>
      <c r="E4122" s="262" t="s">
        <v>207</v>
      </c>
    </row>
    <row r="4123" spans="1:5" ht="15">
      <c r="A4123" s="261">
        <v>11033</v>
      </c>
      <c r="B4123" s="261" t="s">
        <v>8097</v>
      </c>
      <c r="C4123" s="261" t="s">
        <v>3240</v>
      </c>
      <c r="D4123" s="265" t="s">
        <v>20346</v>
      </c>
      <c r="E4123" s="262" t="s">
        <v>207</v>
      </c>
    </row>
    <row r="4124" spans="1:5" ht="15">
      <c r="A4124" s="261">
        <v>390</v>
      </c>
      <c r="B4124" s="261" t="s">
        <v>8098</v>
      </c>
      <c r="C4124" s="261" t="s">
        <v>3240</v>
      </c>
      <c r="D4124" s="265" t="s">
        <v>11393</v>
      </c>
      <c r="E4124" s="262" t="s">
        <v>207</v>
      </c>
    </row>
    <row r="4125" spans="1:5" ht="45">
      <c r="A4125" s="261">
        <v>42436</v>
      </c>
      <c r="B4125" s="261" t="s">
        <v>8099</v>
      </c>
      <c r="C4125" s="261" t="s">
        <v>3240</v>
      </c>
      <c r="D4125" s="265" t="s">
        <v>20665</v>
      </c>
      <c r="E4125" s="262" t="s">
        <v>207</v>
      </c>
    </row>
    <row r="4126" spans="1:5" ht="30">
      <c r="A4126" s="261">
        <v>6193</v>
      </c>
      <c r="B4126" s="261" t="s">
        <v>11978</v>
      </c>
      <c r="C4126" s="261" t="s">
        <v>3243</v>
      </c>
      <c r="D4126" s="265" t="s">
        <v>16587</v>
      </c>
      <c r="E4126" s="262" t="s">
        <v>207</v>
      </c>
    </row>
    <row r="4127" spans="1:5" ht="15">
      <c r="A4127" s="261">
        <v>6194</v>
      </c>
      <c r="B4127" s="261" t="s">
        <v>11979</v>
      </c>
      <c r="C4127" s="261" t="s">
        <v>3243</v>
      </c>
      <c r="D4127" s="265" t="s">
        <v>14185</v>
      </c>
      <c r="E4127" s="262" t="s">
        <v>207</v>
      </c>
    </row>
    <row r="4128" spans="1:5" ht="15">
      <c r="A4128" s="261">
        <v>10567</v>
      </c>
      <c r="B4128" s="261" t="s">
        <v>11980</v>
      </c>
      <c r="C4128" s="261" t="s">
        <v>3243</v>
      </c>
      <c r="D4128" s="265" t="s">
        <v>10243</v>
      </c>
      <c r="E4128" s="262" t="s">
        <v>207</v>
      </c>
    </row>
    <row r="4129" spans="1:5" ht="15">
      <c r="A4129" s="261">
        <v>6212</v>
      </c>
      <c r="B4129" s="261" t="s">
        <v>11981</v>
      </c>
      <c r="C4129" s="261" t="s">
        <v>3243</v>
      </c>
      <c r="D4129" s="265" t="s">
        <v>20666</v>
      </c>
      <c r="E4129" s="262" t="s">
        <v>207</v>
      </c>
    </row>
    <row r="4130" spans="1:5" ht="30">
      <c r="A4130" s="261">
        <v>3993</v>
      </c>
      <c r="B4130" s="261" t="s">
        <v>11982</v>
      </c>
      <c r="C4130" s="261" t="s">
        <v>3242</v>
      </c>
      <c r="D4130" s="265" t="s">
        <v>16449</v>
      </c>
      <c r="E4130" s="262" t="s">
        <v>207</v>
      </c>
    </row>
    <row r="4131" spans="1:5" ht="30">
      <c r="A4131" s="261">
        <v>3990</v>
      </c>
      <c r="B4131" s="261" t="s">
        <v>11983</v>
      </c>
      <c r="C4131" s="261" t="s">
        <v>3243</v>
      </c>
      <c r="D4131" s="265" t="s">
        <v>10092</v>
      </c>
      <c r="E4131" s="262" t="s">
        <v>207</v>
      </c>
    </row>
    <row r="4132" spans="1:5" ht="30">
      <c r="A4132" s="261">
        <v>3992</v>
      </c>
      <c r="B4132" s="261" t="s">
        <v>11984</v>
      </c>
      <c r="C4132" s="261" t="s">
        <v>3243</v>
      </c>
      <c r="D4132" s="265" t="s">
        <v>20667</v>
      </c>
      <c r="E4132" s="262" t="s">
        <v>207</v>
      </c>
    </row>
    <row r="4133" spans="1:5" ht="30">
      <c r="A4133" s="261">
        <v>6178</v>
      </c>
      <c r="B4133" s="261" t="s">
        <v>8100</v>
      </c>
      <c r="C4133" s="261" t="s">
        <v>3242</v>
      </c>
      <c r="D4133" s="265" t="s">
        <v>20668</v>
      </c>
      <c r="E4133" s="262" t="s">
        <v>207</v>
      </c>
    </row>
    <row r="4134" spans="1:5" ht="30">
      <c r="A4134" s="261">
        <v>6180</v>
      </c>
      <c r="B4134" s="261" t="s">
        <v>8101</v>
      </c>
      <c r="C4134" s="261" t="s">
        <v>3242</v>
      </c>
      <c r="D4134" s="265" t="s">
        <v>20669</v>
      </c>
      <c r="E4134" s="262" t="s">
        <v>207</v>
      </c>
    </row>
    <row r="4135" spans="1:5" ht="30">
      <c r="A4135" s="261">
        <v>6182</v>
      </c>
      <c r="B4135" s="261" t="s">
        <v>8102</v>
      </c>
      <c r="C4135" s="261" t="s">
        <v>3242</v>
      </c>
      <c r="D4135" s="265" t="s">
        <v>20670</v>
      </c>
      <c r="E4135" s="262" t="s">
        <v>207</v>
      </c>
    </row>
    <row r="4136" spans="1:5" ht="30">
      <c r="A4136" s="261">
        <v>43614</v>
      </c>
      <c r="B4136" s="261" t="s">
        <v>11985</v>
      </c>
      <c r="C4136" s="261" t="s">
        <v>3243</v>
      </c>
      <c r="D4136" s="265" t="s">
        <v>10970</v>
      </c>
      <c r="E4136" s="262" t="s">
        <v>207</v>
      </c>
    </row>
    <row r="4137" spans="1:5" ht="30">
      <c r="A4137" s="261">
        <v>6189</v>
      </c>
      <c r="B4137" s="261" t="s">
        <v>11986</v>
      </c>
      <c r="C4137" s="261" t="s">
        <v>3243</v>
      </c>
      <c r="D4137" s="265" t="s">
        <v>11513</v>
      </c>
      <c r="E4137" s="262" t="s">
        <v>207</v>
      </c>
    </row>
    <row r="4138" spans="1:5" ht="30">
      <c r="A4138" s="261">
        <v>6214</v>
      </c>
      <c r="B4138" s="261" t="s">
        <v>8103</v>
      </c>
      <c r="C4138" s="261" t="s">
        <v>3242</v>
      </c>
      <c r="D4138" s="265" t="s">
        <v>20671</v>
      </c>
      <c r="E4138" s="262" t="s">
        <v>207</v>
      </c>
    </row>
    <row r="4139" spans="1:5" ht="30">
      <c r="A4139" s="261">
        <v>36153</v>
      </c>
      <c r="B4139" s="261" t="s">
        <v>8104</v>
      </c>
      <c r="C4139" s="261" t="s">
        <v>3240</v>
      </c>
      <c r="D4139" s="265" t="s">
        <v>20672</v>
      </c>
      <c r="E4139" s="262" t="s">
        <v>207</v>
      </c>
    </row>
    <row r="4140" spans="1:5" ht="15">
      <c r="A4140" s="261">
        <v>10740</v>
      </c>
      <c r="B4140" s="261" t="s">
        <v>8105</v>
      </c>
      <c r="C4140" s="261" t="s">
        <v>3240</v>
      </c>
      <c r="D4140" s="265" t="s">
        <v>16636</v>
      </c>
      <c r="E4140" s="262" t="s">
        <v>8987</v>
      </c>
    </row>
    <row r="4141" spans="1:5" ht="15">
      <c r="A4141" s="261">
        <v>13914</v>
      </c>
      <c r="B4141" s="261" t="s">
        <v>8106</v>
      </c>
      <c r="C4141" s="261" t="s">
        <v>3240</v>
      </c>
      <c r="D4141" s="265" t="s">
        <v>16637</v>
      </c>
      <c r="E4141" s="262" t="s">
        <v>8987</v>
      </c>
    </row>
    <row r="4142" spans="1:5" ht="15">
      <c r="A4142" s="261">
        <v>10742</v>
      </c>
      <c r="B4142" s="261" t="s">
        <v>8107</v>
      </c>
      <c r="C4142" s="261" t="s">
        <v>3240</v>
      </c>
      <c r="D4142" s="265" t="s">
        <v>16638</v>
      </c>
      <c r="E4142" s="262" t="s">
        <v>8987</v>
      </c>
    </row>
    <row r="4143" spans="1:5" ht="15">
      <c r="A4143" s="261">
        <v>38465</v>
      </c>
      <c r="B4143" s="261" t="s">
        <v>8108</v>
      </c>
      <c r="C4143" s="261" t="s">
        <v>3240</v>
      </c>
      <c r="D4143" s="265" t="s">
        <v>20673</v>
      </c>
      <c r="E4143" s="262" t="s">
        <v>207</v>
      </c>
    </row>
    <row r="4144" spans="1:5" ht="15">
      <c r="A4144" s="261">
        <v>7543</v>
      </c>
      <c r="B4144" s="261" t="s">
        <v>8109</v>
      </c>
      <c r="C4144" s="261" t="s">
        <v>3240</v>
      </c>
      <c r="D4144" s="265" t="s">
        <v>11187</v>
      </c>
      <c r="E4144" s="262" t="s">
        <v>207</v>
      </c>
    </row>
    <row r="4145" spans="1:5" ht="30">
      <c r="A4145" s="261">
        <v>43427</v>
      </c>
      <c r="B4145" s="261" t="s">
        <v>11987</v>
      </c>
      <c r="C4145" s="261" t="s">
        <v>3240</v>
      </c>
      <c r="D4145" s="265" t="s">
        <v>20674</v>
      </c>
      <c r="E4145" s="262" t="s">
        <v>207</v>
      </c>
    </row>
    <row r="4146" spans="1:5" ht="15">
      <c r="A4146" s="261">
        <v>41613</v>
      </c>
      <c r="B4146" s="261" t="s">
        <v>11988</v>
      </c>
      <c r="C4146" s="261" t="s">
        <v>3240</v>
      </c>
      <c r="D4146" s="265" t="s">
        <v>14224</v>
      </c>
      <c r="E4146" s="262" t="s">
        <v>207</v>
      </c>
    </row>
    <row r="4147" spans="1:5" ht="15">
      <c r="A4147" s="261">
        <v>41614</v>
      </c>
      <c r="B4147" s="261" t="s">
        <v>11989</v>
      </c>
      <c r="C4147" s="261" t="s">
        <v>3240</v>
      </c>
      <c r="D4147" s="265" t="s">
        <v>20675</v>
      </c>
      <c r="E4147" s="264" t="s">
        <v>207</v>
      </c>
    </row>
    <row r="4148" spans="1:5" ht="15">
      <c r="A4148" s="261">
        <v>41615</v>
      </c>
      <c r="B4148" s="261" t="s">
        <v>11990</v>
      </c>
      <c r="C4148" s="261" t="s">
        <v>3240</v>
      </c>
      <c r="D4148" s="265" t="s">
        <v>20676</v>
      </c>
      <c r="E4148" s="264" t="s">
        <v>207</v>
      </c>
    </row>
    <row r="4149" spans="1:5" ht="15">
      <c r="A4149" s="261">
        <v>41616</v>
      </c>
      <c r="B4149" s="261" t="s">
        <v>11991</v>
      </c>
      <c r="C4149" s="261" t="s">
        <v>3240</v>
      </c>
      <c r="D4149" s="265" t="s">
        <v>20677</v>
      </c>
      <c r="E4149" s="264" t="s">
        <v>207</v>
      </c>
    </row>
    <row r="4150" spans="1:5" ht="15">
      <c r="A4150" s="261">
        <v>41617</v>
      </c>
      <c r="B4150" s="261" t="s">
        <v>11992</v>
      </c>
      <c r="C4150" s="261" t="s">
        <v>3240</v>
      </c>
      <c r="D4150" s="265" t="s">
        <v>20678</v>
      </c>
      <c r="E4150" s="264" t="s">
        <v>207</v>
      </c>
    </row>
    <row r="4151" spans="1:5" ht="15">
      <c r="A4151" s="261">
        <v>41618</v>
      </c>
      <c r="B4151" s="261" t="s">
        <v>11993</v>
      </c>
      <c r="C4151" s="261" t="s">
        <v>3240</v>
      </c>
      <c r="D4151" s="265" t="s">
        <v>20679</v>
      </c>
      <c r="E4151" s="262" t="s">
        <v>207</v>
      </c>
    </row>
    <row r="4152" spans="1:5" ht="30">
      <c r="A4152" s="261">
        <v>43428</v>
      </c>
      <c r="B4152" s="261" t="s">
        <v>11994</v>
      </c>
      <c r="C4152" s="261" t="s">
        <v>3240</v>
      </c>
      <c r="D4152" s="265" t="s">
        <v>20680</v>
      </c>
      <c r="E4152" s="262" t="s">
        <v>207</v>
      </c>
    </row>
    <row r="4153" spans="1:5" ht="30">
      <c r="A4153" s="261">
        <v>41619</v>
      </c>
      <c r="B4153" s="261" t="s">
        <v>11995</v>
      </c>
      <c r="C4153" s="261" t="s">
        <v>3240</v>
      </c>
      <c r="D4153" s="265" t="s">
        <v>18846</v>
      </c>
      <c r="E4153" s="262" t="s">
        <v>207</v>
      </c>
    </row>
    <row r="4154" spans="1:5" ht="30">
      <c r="A4154" s="261">
        <v>41620</v>
      </c>
      <c r="B4154" s="261" t="s">
        <v>11996</v>
      </c>
      <c r="C4154" s="261" t="s">
        <v>3240</v>
      </c>
      <c r="D4154" s="265" t="s">
        <v>16394</v>
      </c>
      <c r="E4154" s="262" t="s">
        <v>207</v>
      </c>
    </row>
    <row r="4155" spans="1:5" ht="30">
      <c r="A4155" s="261">
        <v>41622</v>
      </c>
      <c r="B4155" s="261" t="s">
        <v>11997</v>
      </c>
      <c r="C4155" s="261" t="s">
        <v>3240</v>
      </c>
      <c r="D4155" s="265" t="s">
        <v>20681</v>
      </c>
      <c r="E4155" s="262" t="s">
        <v>207</v>
      </c>
    </row>
    <row r="4156" spans="1:5" ht="30">
      <c r="A4156" s="261">
        <v>41623</v>
      </c>
      <c r="B4156" s="261" t="s">
        <v>11998</v>
      </c>
      <c r="C4156" s="261" t="s">
        <v>3240</v>
      </c>
      <c r="D4156" s="265" t="s">
        <v>20682</v>
      </c>
      <c r="E4156" s="262" t="s">
        <v>207</v>
      </c>
    </row>
    <row r="4157" spans="1:5" ht="30">
      <c r="A4157" s="261">
        <v>41624</v>
      </c>
      <c r="B4157" s="261" t="s">
        <v>11999</v>
      </c>
      <c r="C4157" s="261" t="s">
        <v>3240</v>
      </c>
      <c r="D4157" s="265" t="s">
        <v>20683</v>
      </c>
      <c r="E4157" s="262" t="s">
        <v>207</v>
      </c>
    </row>
    <row r="4158" spans="1:5" ht="30">
      <c r="A4158" s="261">
        <v>41625</v>
      </c>
      <c r="B4158" s="261" t="s">
        <v>12000</v>
      </c>
      <c r="C4158" s="261" t="s">
        <v>3240</v>
      </c>
      <c r="D4158" s="265" t="s">
        <v>20684</v>
      </c>
      <c r="E4158" s="262" t="s">
        <v>207</v>
      </c>
    </row>
    <row r="4159" spans="1:5" ht="15">
      <c r="A4159" s="261">
        <v>39352</v>
      </c>
      <c r="B4159" s="261" t="s">
        <v>8110</v>
      </c>
      <c r="C4159" s="261" t="s">
        <v>3240</v>
      </c>
      <c r="D4159" s="265" t="s">
        <v>9889</v>
      </c>
      <c r="E4159" s="262" t="s">
        <v>207</v>
      </c>
    </row>
    <row r="4160" spans="1:5" ht="15">
      <c r="A4160" s="261">
        <v>39346</v>
      </c>
      <c r="B4160" s="261" t="s">
        <v>8111</v>
      </c>
      <c r="C4160" s="261" t="s">
        <v>3240</v>
      </c>
      <c r="D4160" s="265" t="s">
        <v>9889</v>
      </c>
      <c r="E4160" s="262" t="s">
        <v>207</v>
      </c>
    </row>
    <row r="4161" spans="1:5" ht="15">
      <c r="A4161" s="261">
        <v>39350</v>
      </c>
      <c r="B4161" s="261" t="s">
        <v>8112</v>
      </c>
      <c r="C4161" s="261" t="s">
        <v>3240</v>
      </c>
      <c r="D4161" s="265" t="s">
        <v>11331</v>
      </c>
      <c r="E4161" s="262" t="s">
        <v>207</v>
      </c>
    </row>
    <row r="4162" spans="1:5" ht="15">
      <c r="A4162" s="261">
        <v>39351</v>
      </c>
      <c r="B4162" s="261" t="s">
        <v>8113</v>
      </c>
      <c r="C4162" s="261" t="s">
        <v>3240</v>
      </c>
      <c r="D4162" s="265" t="s">
        <v>11359</v>
      </c>
      <c r="E4162" s="262" t="s">
        <v>207</v>
      </c>
    </row>
    <row r="4163" spans="1:5" ht="15">
      <c r="A4163" s="261">
        <v>38952</v>
      </c>
      <c r="B4163" s="261" t="s">
        <v>8114</v>
      </c>
      <c r="C4163" s="261" t="s">
        <v>3240</v>
      </c>
      <c r="D4163" s="265" t="s">
        <v>11236</v>
      </c>
      <c r="E4163" s="262" t="s">
        <v>207</v>
      </c>
    </row>
    <row r="4164" spans="1:5" ht="15">
      <c r="A4164" s="261">
        <v>38953</v>
      </c>
      <c r="B4164" s="261" t="s">
        <v>8115</v>
      </c>
      <c r="C4164" s="261" t="s">
        <v>3240</v>
      </c>
      <c r="D4164" s="265" t="s">
        <v>9803</v>
      </c>
      <c r="E4164" s="262" t="s">
        <v>207</v>
      </c>
    </row>
    <row r="4165" spans="1:5" ht="15">
      <c r="A4165" s="261">
        <v>38835</v>
      </c>
      <c r="B4165" s="261" t="s">
        <v>8116</v>
      </c>
      <c r="C4165" s="261" t="s">
        <v>3240</v>
      </c>
      <c r="D4165" s="265" t="s">
        <v>11244</v>
      </c>
      <c r="E4165" s="262" t="s">
        <v>207</v>
      </c>
    </row>
    <row r="4166" spans="1:5" ht="15">
      <c r="A4166" s="261">
        <v>38837</v>
      </c>
      <c r="B4166" s="261" t="s">
        <v>8117</v>
      </c>
      <c r="C4166" s="261" t="s">
        <v>3240</v>
      </c>
      <c r="D4166" s="265" t="s">
        <v>15939</v>
      </c>
      <c r="E4166" s="262" t="s">
        <v>207</v>
      </c>
    </row>
    <row r="4167" spans="1:5" ht="15">
      <c r="A4167" s="261">
        <v>38836</v>
      </c>
      <c r="B4167" s="261" t="s">
        <v>8118</v>
      </c>
      <c r="C4167" s="261" t="s">
        <v>3240</v>
      </c>
      <c r="D4167" s="265" t="s">
        <v>20685</v>
      </c>
      <c r="E4167" s="262" t="s">
        <v>207</v>
      </c>
    </row>
    <row r="4168" spans="1:5" ht="30">
      <c r="A4168" s="261">
        <v>2666</v>
      </c>
      <c r="B4168" s="261" t="s">
        <v>8119</v>
      </c>
      <c r="C4168" s="261" t="s">
        <v>3240</v>
      </c>
      <c r="D4168" s="265" t="s">
        <v>12239</v>
      </c>
      <c r="E4168" s="262" t="s">
        <v>207</v>
      </c>
    </row>
    <row r="4169" spans="1:5" ht="30">
      <c r="A4169" s="261">
        <v>2668</v>
      </c>
      <c r="B4169" s="261" t="s">
        <v>8120</v>
      </c>
      <c r="C4169" s="261" t="s">
        <v>3240</v>
      </c>
      <c r="D4169" s="265" t="s">
        <v>16410</v>
      </c>
      <c r="E4169" s="262" t="s">
        <v>207</v>
      </c>
    </row>
    <row r="4170" spans="1:5" ht="30">
      <c r="A4170" s="261">
        <v>2664</v>
      </c>
      <c r="B4170" s="261" t="s">
        <v>8121</v>
      </c>
      <c r="C4170" s="261" t="s">
        <v>3240</v>
      </c>
      <c r="D4170" s="265" t="s">
        <v>10336</v>
      </c>
      <c r="E4170" s="262" t="s">
        <v>207</v>
      </c>
    </row>
    <row r="4171" spans="1:5" ht="30">
      <c r="A4171" s="261">
        <v>2662</v>
      </c>
      <c r="B4171" s="261" t="s">
        <v>8122</v>
      </c>
      <c r="C4171" s="261" t="s">
        <v>3240</v>
      </c>
      <c r="D4171" s="265" t="s">
        <v>16041</v>
      </c>
      <c r="E4171" s="262" t="s">
        <v>207</v>
      </c>
    </row>
    <row r="4172" spans="1:5" ht="30">
      <c r="A4172" s="261">
        <v>20964</v>
      </c>
      <c r="B4172" s="261" t="s">
        <v>8123</v>
      </c>
      <c r="C4172" s="261" t="s">
        <v>3240</v>
      </c>
      <c r="D4172" s="265" t="s">
        <v>20686</v>
      </c>
      <c r="E4172" s="262" t="s">
        <v>207</v>
      </c>
    </row>
    <row r="4173" spans="1:5" ht="30">
      <c r="A4173" s="261">
        <v>10905</v>
      </c>
      <c r="B4173" s="261" t="s">
        <v>8124</v>
      </c>
      <c r="C4173" s="261" t="s">
        <v>3240</v>
      </c>
      <c r="D4173" s="265" t="s">
        <v>20687</v>
      </c>
      <c r="E4173" s="262" t="s">
        <v>207</v>
      </c>
    </row>
    <row r="4174" spans="1:5" ht="30">
      <c r="A4174" s="261">
        <v>42703</v>
      </c>
      <c r="B4174" s="261" t="s">
        <v>8125</v>
      </c>
      <c r="C4174" s="261" t="s">
        <v>3240</v>
      </c>
      <c r="D4174" s="265" t="s">
        <v>20688</v>
      </c>
      <c r="E4174" s="262" t="s">
        <v>207</v>
      </c>
    </row>
    <row r="4175" spans="1:5" ht="30">
      <c r="A4175" s="261">
        <v>42704</v>
      </c>
      <c r="B4175" s="261" t="s">
        <v>8126</v>
      </c>
      <c r="C4175" s="261" t="s">
        <v>3240</v>
      </c>
      <c r="D4175" s="265" t="s">
        <v>20689</v>
      </c>
      <c r="E4175" s="262" t="s">
        <v>207</v>
      </c>
    </row>
    <row r="4176" spans="1:5" ht="30">
      <c r="A4176" s="261">
        <v>42705</v>
      </c>
      <c r="B4176" s="261" t="s">
        <v>8127</v>
      </c>
      <c r="C4176" s="261" t="s">
        <v>3240</v>
      </c>
      <c r="D4176" s="265" t="s">
        <v>20690</v>
      </c>
      <c r="E4176" s="262" t="s">
        <v>207</v>
      </c>
    </row>
    <row r="4177" spans="1:5" ht="30">
      <c r="A4177" s="261">
        <v>42706</v>
      </c>
      <c r="B4177" s="261" t="s">
        <v>8128</v>
      </c>
      <c r="C4177" s="261" t="s">
        <v>3240</v>
      </c>
      <c r="D4177" s="265" t="s">
        <v>20691</v>
      </c>
      <c r="E4177" s="262" t="s">
        <v>207</v>
      </c>
    </row>
    <row r="4178" spans="1:5" ht="30">
      <c r="A4178" s="261">
        <v>11289</v>
      </c>
      <c r="B4178" s="261" t="s">
        <v>8129</v>
      </c>
      <c r="C4178" s="261" t="s">
        <v>3240</v>
      </c>
      <c r="D4178" s="265" t="s">
        <v>20692</v>
      </c>
      <c r="E4178" s="262" t="s">
        <v>207</v>
      </c>
    </row>
    <row r="4179" spans="1:5" ht="30">
      <c r="A4179" s="261">
        <v>11241</v>
      </c>
      <c r="B4179" s="261" t="s">
        <v>8130</v>
      </c>
      <c r="C4179" s="261" t="s">
        <v>3240</v>
      </c>
      <c r="D4179" s="265" t="s">
        <v>20693</v>
      </c>
      <c r="E4179" s="262" t="s">
        <v>207</v>
      </c>
    </row>
    <row r="4180" spans="1:5" ht="30">
      <c r="A4180" s="261">
        <v>11301</v>
      </c>
      <c r="B4180" s="261" t="s">
        <v>8131</v>
      </c>
      <c r="C4180" s="261" t="s">
        <v>3240</v>
      </c>
      <c r="D4180" s="265" t="s">
        <v>20694</v>
      </c>
      <c r="E4180" s="262" t="s">
        <v>207</v>
      </c>
    </row>
    <row r="4181" spans="1:5" ht="30">
      <c r="A4181" s="261">
        <v>21090</v>
      </c>
      <c r="B4181" s="261" t="s">
        <v>8132</v>
      </c>
      <c r="C4181" s="261" t="s">
        <v>3240</v>
      </c>
      <c r="D4181" s="265" t="s">
        <v>20695</v>
      </c>
      <c r="E4181" s="262" t="s">
        <v>207</v>
      </c>
    </row>
    <row r="4182" spans="1:5" ht="30">
      <c r="A4182" s="261">
        <v>14112</v>
      </c>
      <c r="B4182" s="261" t="s">
        <v>8133</v>
      </c>
      <c r="C4182" s="261" t="s">
        <v>3240</v>
      </c>
      <c r="D4182" s="265" t="s">
        <v>20696</v>
      </c>
      <c r="E4182" s="262" t="s">
        <v>207</v>
      </c>
    </row>
    <row r="4183" spans="1:5" ht="30">
      <c r="A4183" s="261">
        <v>11315</v>
      </c>
      <c r="B4183" s="261" t="s">
        <v>8134</v>
      </c>
      <c r="C4183" s="261" t="s">
        <v>3240</v>
      </c>
      <c r="D4183" s="265" t="s">
        <v>20697</v>
      </c>
      <c r="E4183" s="262" t="s">
        <v>207</v>
      </c>
    </row>
    <row r="4184" spans="1:5" ht="30">
      <c r="A4184" s="261">
        <v>21071</v>
      </c>
      <c r="B4184" s="261" t="s">
        <v>8135</v>
      </c>
      <c r="C4184" s="261" t="s">
        <v>3240</v>
      </c>
      <c r="D4184" s="265" t="s">
        <v>20698</v>
      </c>
      <c r="E4184" s="262" t="s">
        <v>207</v>
      </c>
    </row>
    <row r="4185" spans="1:5" ht="30">
      <c r="A4185" s="261">
        <v>11316</v>
      </c>
      <c r="B4185" s="261" t="s">
        <v>8136</v>
      </c>
      <c r="C4185" s="261" t="s">
        <v>3240</v>
      </c>
      <c r="D4185" s="265" t="s">
        <v>20699</v>
      </c>
      <c r="E4185" s="262" t="s">
        <v>207</v>
      </c>
    </row>
    <row r="4186" spans="1:5" ht="30">
      <c r="A4186" s="261">
        <v>6243</v>
      </c>
      <c r="B4186" s="261" t="s">
        <v>8137</v>
      </c>
      <c r="C4186" s="261" t="s">
        <v>3240</v>
      </c>
      <c r="D4186" s="265" t="s">
        <v>20070</v>
      </c>
      <c r="E4186" s="262" t="s">
        <v>207</v>
      </c>
    </row>
    <row r="4187" spans="1:5" ht="30">
      <c r="A4187" s="261">
        <v>6240</v>
      </c>
      <c r="B4187" s="261" t="s">
        <v>8138</v>
      </c>
      <c r="C4187" s="261" t="s">
        <v>3240</v>
      </c>
      <c r="D4187" s="265" t="s">
        <v>20700</v>
      </c>
      <c r="E4187" s="262" t="s">
        <v>207</v>
      </c>
    </row>
    <row r="4188" spans="1:5" ht="30">
      <c r="A4188" s="261">
        <v>11296</v>
      </c>
      <c r="B4188" s="261" t="s">
        <v>8139</v>
      </c>
      <c r="C4188" s="261" t="s">
        <v>3240</v>
      </c>
      <c r="D4188" s="265" t="s">
        <v>20701</v>
      </c>
      <c r="E4188" s="262" t="s">
        <v>207</v>
      </c>
    </row>
    <row r="4189" spans="1:5" ht="30">
      <c r="A4189" s="261">
        <v>11299</v>
      </c>
      <c r="B4189" s="261" t="s">
        <v>8140</v>
      </c>
      <c r="C4189" s="261" t="s">
        <v>3240</v>
      </c>
      <c r="D4189" s="265" t="s">
        <v>20702</v>
      </c>
      <c r="E4189" s="262" t="s">
        <v>207</v>
      </c>
    </row>
    <row r="4190" spans="1:5" ht="30">
      <c r="A4190" s="261">
        <v>11066</v>
      </c>
      <c r="B4190" s="261" t="s">
        <v>8141</v>
      </c>
      <c r="C4190" s="261" t="s">
        <v>3240</v>
      </c>
      <c r="D4190" s="265" t="s">
        <v>10174</v>
      </c>
      <c r="E4190" s="262" t="s">
        <v>207</v>
      </c>
    </row>
    <row r="4191" spans="1:5" ht="30">
      <c r="A4191" s="261">
        <v>11065</v>
      </c>
      <c r="B4191" s="261" t="s">
        <v>8142</v>
      </c>
      <c r="C4191" s="261" t="s">
        <v>3240</v>
      </c>
      <c r="D4191" s="265" t="s">
        <v>11552</v>
      </c>
      <c r="E4191" s="262" t="s">
        <v>207</v>
      </c>
    </row>
    <row r="4192" spans="1:5" ht="30">
      <c r="A4192" s="261">
        <v>11688</v>
      </c>
      <c r="B4192" s="261" t="s">
        <v>8143</v>
      </c>
      <c r="C4192" s="261" t="s">
        <v>3240</v>
      </c>
      <c r="D4192" s="265" t="s">
        <v>20703</v>
      </c>
      <c r="E4192" s="262" t="s">
        <v>207</v>
      </c>
    </row>
    <row r="4193" spans="1:5" ht="45">
      <c r="A4193" s="261">
        <v>37736</v>
      </c>
      <c r="B4193" s="261" t="s">
        <v>8144</v>
      </c>
      <c r="C4193" s="261" t="s">
        <v>3240</v>
      </c>
      <c r="D4193" s="265" t="s">
        <v>20704</v>
      </c>
      <c r="E4193" s="262" t="s">
        <v>8987</v>
      </c>
    </row>
    <row r="4194" spans="1:5" ht="30">
      <c r="A4194" s="261">
        <v>37739</v>
      </c>
      <c r="B4194" s="261" t="s">
        <v>8145</v>
      </c>
      <c r="C4194" s="261" t="s">
        <v>3240</v>
      </c>
      <c r="D4194" s="265" t="s">
        <v>20705</v>
      </c>
      <c r="E4194" s="262" t="s">
        <v>8987</v>
      </c>
    </row>
    <row r="4195" spans="1:5" ht="30">
      <c r="A4195" s="261">
        <v>37740</v>
      </c>
      <c r="B4195" s="261" t="s">
        <v>8146</v>
      </c>
      <c r="C4195" s="261" t="s">
        <v>3240</v>
      </c>
      <c r="D4195" s="265" t="s">
        <v>20706</v>
      </c>
      <c r="E4195" s="262" t="s">
        <v>8987</v>
      </c>
    </row>
    <row r="4196" spans="1:5" ht="30">
      <c r="A4196" s="261">
        <v>37738</v>
      </c>
      <c r="B4196" s="261" t="s">
        <v>8147</v>
      </c>
      <c r="C4196" s="261" t="s">
        <v>3240</v>
      </c>
      <c r="D4196" s="265" t="s">
        <v>20707</v>
      </c>
      <c r="E4196" s="262" t="s">
        <v>8987</v>
      </c>
    </row>
    <row r="4197" spans="1:5" ht="30">
      <c r="A4197" s="261">
        <v>37737</v>
      </c>
      <c r="B4197" s="261" t="s">
        <v>8148</v>
      </c>
      <c r="C4197" s="261" t="s">
        <v>3240</v>
      </c>
      <c r="D4197" s="265" t="s">
        <v>20708</v>
      </c>
      <c r="E4197" s="262" t="s">
        <v>8987</v>
      </c>
    </row>
    <row r="4198" spans="1:5" ht="15">
      <c r="A4198" s="261">
        <v>25014</v>
      </c>
      <c r="B4198" s="261" t="s">
        <v>8149</v>
      </c>
      <c r="C4198" s="261" t="s">
        <v>3240</v>
      </c>
      <c r="D4198" s="265" t="s">
        <v>20709</v>
      </c>
      <c r="E4198" s="262" t="s">
        <v>8987</v>
      </c>
    </row>
    <row r="4199" spans="1:5" ht="15">
      <c r="A4199" s="261">
        <v>25013</v>
      </c>
      <c r="B4199" s="261" t="s">
        <v>8150</v>
      </c>
      <c r="C4199" s="261" t="s">
        <v>3240</v>
      </c>
      <c r="D4199" s="265" t="s">
        <v>20710</v>
      </c>
      <c r="E4199" s="262" t="s">
        <v>8987</v>
      </c>
    </row>
    <row r="4200" spans="1:5" ht="15">
      <c r="A4200" s="261">
        <v>14405</v>
      </c>
      <c r="B4200" s="261" t="s">
        <v>8151</v>
      </c>
      <c r="C4200" s="261" t="s">
        <v>3240</v>
      </c>
      <c r="D4200" s="265" t="s">
        <v>20711</v>
      </c>
      <c r="E4200" s="262" t="s">
        <v>8987</v>
      </c>
    </row>
    <row r="4201" spans="1:5" ht="30">
      <c r="A4201" s="261">
        <v>36790</v>
      </c>
      <c r="B4201" s="261" t="s">
        <v>8152</v>
      </c>
      <c r="C4201" s="261" t="s">
        <v>3240</v>
      </c>
      <c r="D4201" s="265" t="s">
        <v>20712</v>
      </c>
      <c r="E4201" s="262" t="s">
        <v>207</v>
      </c>
    </row>
    <row r="4202" spans="1:5" ht="15">
      <c r="A4202" s="261">
        <v>20271</v>
      </c>
      <c r="B4202" s="261" t="s">
        <v>8153</v>
      </c>
      <c r="C4202" s="261" t="s">
        <v>3240</v>
      </c>
      <c r="D4202" s="265" t="s">
        <v>20713</v>
      </c>
      <c r="E4202" s="262" t="s">
        <v>207</v>
      </c>
    </row>
    <row r="4203" spans="1:5" ht="15">
      <c r="A4203" s="261">
        <v>10423</v>
      </c>
      <c r="B4203" s="261" t="s">
        <v>8154</v>
      </c>
      <c r="C4203" s="261" t="s">
        <v>3240</v>
      </c>
      <c r="D4203" s="265" t="s">
        <v>20714</v>
      </c>
      <c r="E4203" s="262" t="s">
        <v>207</v>
      </c>
    </row>
    <row r="4204" spans="1:5" ht="30">
      <c r="A4204" s="261">
        <v>37589</v>
      </c>
      <c r="B4204" s="261" t="s">
        <v>8155</v>
      </c>
      <c r="C4204" s="261" t="s">
        <v>3240</v>
      </c>
      <c r="D4204" s="265" t="s">
        <v>20715</v>
      </c>
      <c r="E4204" s="262" t="s">
        <v>207</v>
      </c>
    </row>
    <row r="4205" spans="1:5" ht="30">
      <c r="A4205" s="261">
        <v>11690</v>
      </c>
      <c r="B4205" s="261" t="s">
        <v>8156</v>
      </c>
      <c r="C4205" s="261" t="s">
        <v>3240</v>
      </c>
      <c r="D4205" s="265" t="s">
        <v>20716</v>
      </c>
      <c r="E4205" s="262" t="s">
        <v>207</v>
      </c>
    </row>
    <row r="4206" spans="1:5" ht="30">
      <c r="A4206" s="261">
        <v>20234</v>
      </c>
      <c r="B4206" s="261" t="s">
        <v>8157</v>
      </c>
      <c r="C4206" s="261" t="s">
        <v>3240</v>
      </c>
      <c r="D4206" s="265" t="s">
        <v>20717</v>
      </c>
      <c r="E4206" s="262" t="s">
        <v>207</v>
      </c>
    </row>
    <row r="4207" spans="1:5" ht="15">
      <c r="A4207" s="261">
        <v>4763</v>
      </c>
      <c r="B4207" s="261" t="s">
        <v>8158</v>
      </c>
      <c r="C4207" s="261" t="s">
        <v>3239</v>
      </c>
      <c r="D4207" s="265" t="s">
        <v>14145</v>
      </c>
      <c r="E4207" s="262" t="s">
        <v>9714</v>
      </c>
    </row>
    <row r="4208" spans="1:5" ht="15">
      <c r="A4208" s="261">
        <v>41070</v>
      </c>
      <c r="B4208" s="261" t="s">
        <v>8159</v>
      </c>
      <c r="C4208" s="261" t="s">
        <v>3246</v>
      </c>
      <c r="D4208" s="265" t="s">
        <v>20718</v>
      </c>
      <c r="E4208" s="262" t="s">
        <v>9714</v>
      </c>
    </row>
    <row r="4209" spans="1:5" ht="15">
      <c r="A4209" s="261">
        <v>14583</v>
      </c>
      <c r="B4209" s="261" t="s">
        <v>8160</v>
      </c>
      <c r="C4209" s="261" t="s">
        <v>3241</v>
      </c>
      <c r="D4209" s="265" t="s">
        <v>10553</v>
      </c>
      <c r="E4209" s="262" t="s">
        <v>207</v>
      </c>
    </row>
    <row r="4210" spans="1:5" ht="30">
      <c r="A4210" s="261">
        <v>11457</v>
      </c>
      <c r="B4210" s="261" t="s">
        <v>12001</v>
      </c>
      <c r="C4210" s="261" t="s">
        <v>3240</v>
      </c>
      <c r="D4210" s="265" t="s">
        <v>20719</v>
      </c>
      <c r="E4210" s="262" t="s">
        <v>207</v>
      </c>
    </row>
    <row r="4211" spans="1:5" ht="15">
      <c r="A4211" s="261">
        <v>21121</v>
      </c>
      <c r="B4211" s="261" t="s">
        <v>8161</v>
      </c>
      <c r="C4211" s="261" t="s">
        <v>3240</v>
      </c>
      <c r="D4211" s="265" t="s">
        <v>11402</v>
      </c>
      <c r="E4211" s="262" t="s">
        <v>207</v>
      </c>
    </row>
    <row r="4212" spans="1:5" ht="15">
      <c r="A4212" s="261">
        <v>38010</v>
      </c>
      <c r="B4212" s="261" t="s">
        <v>8162</v>
      </c>
      <c r="C4212" s="261" t="s">
        <v>3240</v>
      </c>
      <c r="D4212" s="265" t="s">
        <v>11187</v>
      </c>
      <c r="E4212" s="262" t="s">
        <v>207</v>
      </c>
    </row>
    <row r="4213" spans="1:5" ht="15">
      <c r="A4213" s="261">
        <v>38011</v>
      </c>
      <c r="B4213" s="261" t="s">
        <v>8163</v>
      </c>
      <c r="C4213" s="261" t="s">
        <v>3240</v>
      </c>
      <c r="D4213" s="265" t="s">
        <v>10287</v>
      </c>
      <c r="E4213" s="262" t="s">
        <v>207</v>
      </c>
    </row>
    <row r="4214" spans="1:5" ht="15">
      <c r="A4214" s="261">
        <v>38012</v>
      </c>
      <c r="B4214" s="261" t="s">
        <v>8164</v>
      </c>
      <c r="C4214" s="261" t="s">
        <v>3240</v>
      </c>
      <c r="D4214" s="265" t="s">
        <v>14103</v>
      </c>
      <c r="E4214" s="262" t="s">
        <v>207</v>
      </c>
    </row>
    <row r="4215" spans="1:5" ht="15">
      <c r="A4215" s="261">
        <v>38013</v>
      </c>
      <c r="B4215" s="261" t="s">
        <v>8165</v>
      </c>
      <c r="C4215" s="261" t="s">
        <v>3240</v>
      </c>
      <c r="D4215" s="265" t="s">
        <v>20720</v>
      </c>
      <c r="E4215" s="262" t="s">
        <v>207</v>
      </c>
    </row>
    <row r="4216" spans="1:5" ht="15">
      <c r="A4216" s="261">
        <v>38014</v>
      </c>
      <c r="B4216" s="261" t="s">
        <v>8166</v>
      </c>
      <c r="C4216" s="261" t="s">
        <v>3240</v>
      </c>
      <c r="D4216" s="265" t="s">
        <v>20721</v>
      </c>
      <c r="E4216" s="262" t="s">
        <v>207</v>
      </c>
    </row>
    <row r="4217" spans="1:5" ht="15">
      <c r="A4217" s="261">
        <v>38015</v>
      </c>
      <c r="B4217" s="261" t="s">
        <v>8167</v>
      </c>
      <c r="C4217" s="261" t="s">
        <v>3240</v>
      </c>
      <c r="D4217" s="265" t="s">
        <v>20722</v>
      </c>
      <c r="E4217" s="262" t="s">
        <v>207</v>
      </c>
    </row>
    <row r="4218" spans="1:5" ht="15">
      <c r="A4218" s="261">
        <v>38016</v>
      </c>
      <c r="B4218" s="261" t="s">
        <v>8168</v>
      </c>
      <c r="C4218" s="261" t="s">
        <v>3240</v>
      </c>
      <c r="D4218" s="265" t="s">
        <v>20723</v>
      </c>
      <c r="E4218" s="262" t="s">
        <v>207</v>
      </c>
    </row>
    <row r="4219" spans="1:5" ht="15">
      <c r="A4219" s="261">
        <v>12741</v>
      </c>
      <c r="B4219" s="261" t="s">
        <v>8169</v>
      </c>
      <c r="C4219" s="261" t="s">
        <v>3240</v>
      </c>
      <c r="D4219" s="265" t="s">
        <v>20724</v>
      </c>
      <c r="E4219" s="262" t="s">
        <v>207</v>
      </c>
    </row>
    <row r="4220" spans="1:5" ht="15">
      <c r="A4220" s="261">
        <v>12733</v>
      </c>
      <c r="B4220" s="261" t="s">
        <v>8170</v>
      </c>
      <c r="C4220" s="261" t="s">
        <v>3240</v>
      </c>
      <c r="D4220" s="265" t="s">
        <v>10216</v>
      </c>
      <c r="E4220" s="262" t="s">
        <v>207</v>
      </c>
    </row>
    <row r="4221" spans="1:5" ht="15">
      <c r="A4221" s="261">
        <v>12734</v>
      </c>
      <c r="B4221" s="261" t="s">
        <v>8171</v>
      </c>
      <c r="C4221" s="261" t="s">
        <v>3240</v>
      </c>
      <c r="D4221" s="265" t="s">
        <v>9961</v>
      </c>
      <c r="E4221" s="262" t="s">
        <v>207</v>
      </c>
    </row>
    <row r="4222" spans="1:5" ht="15">
      <c r="A4222" s="261">
        <v>12735</v>
      </c>
      <c r="B4222" s="261" t="s">
        <v>8172</v>
      </c>
      <c r="C4222" s="261" t="s">
        <v>3240</v>
      </c>
      <c r="D4222" s="265" t="s">
        <v>19435</v>
      </c>
      <c r="E4222" s="262" t="s">
        <v>207</v>
      </c>
    </row>
    <row r="4223" spans="1:5" ht="15">
      <c r="A4223" s="261">
        <v>12736</v>
      </c>
      <c r="B4223" s="261" t="s">
        <v>8173</v>
      </c>
      <c r="C4223" s="261" t="s">
        <v>3240</v>
      </c>
      <c r="D4223" s="265" t="s">
        <v>20725</v>
      </c>
      <c r="E4223" s="262" t="s">
        <v>207</v>
      </c>
    </row>
    <row r="4224" spans="1:5" ht="15">
      <c r="A4224" s="261">
        <v>12737</v>
      </c>
      <c r="B4224" s="261" t="s">
        <v>8174</v>
      </c>
      <c r="C4224" s="261" t="s">
        <v>3240</v>
      </c>
      <c r="D4224" s="265" t="s">
        <v>20726</v>
      </c>
      <c r="E4224" s="262" t="s">
        <v>207</v>
      </c>
    </row>
    <row r="4225" spans="1:5" ht="15">
      <c r="A4225" s="261">
        <v>12738</v>
      </c>
      <c r="B4225" s="261" t="s">
        <v>8175</v>
      </c>
      <c r="C4225" s="261" t="s">
        <v>3240</v>
      </c>
      <c r="D4225" s="265" t="s">
        <v>20727</v>
      </c>
      <c r="E4225" s="262" t="s">
        <v>207</v>
      </c>
    </row>
    <row r="4226" spans="1:5" ht="15">
      <c r="A4226" s="261">
        <v>12739</v>
      </c>
      <c r="B4226" s="261" t="s">
        <v>8176</v>
      </c>
      <c r="C4226" s="261" t="s">
        <v>3240</v>
      </c>
      <c r="D4226" s="265" t="s">
        <v>20728</v>
      </c>
      <c r="E4226" s="262" t="s">
        <v>207</v>
      </c>
    </row>
    <row r="4227" spans="1:5" ht="15">
      <c r="A4227" s="261">
        <v>12740</v>
      </c>
      <c r="B4227" s="261" t="s">
        <v>8177</v>
      </c>
      <c r="C4227" s="261" t="s">
        <v>3240</v>
      </c>
      <c r="D4227" s="265" t="s">
        <v>20729</v>
      </c>
      <c r="E4227" s="262" t="s">
        <v>207</v>
      </c>
    </row>
    <row r="4228" spans="1:5" ht="15">
      <c r="A4228" s="261">
        <v>6297</v>
      </c>
      <c r="B4228" s="261" t="s">
        <v>8178</v>
      </c>
      <c r="C4228" s="261" t="s">
        <v>3240</v>
      </c>
      <c r="D4228" s="265" t="s">
        <v>14223</v>
      </c>
      <c r="E4228" s="262" t="s">
        <v>207</v>
      </c>
    </row>
    <row r="4229" spans="1:5" ht="15">
      <c r="A4229" s="261">
        <v>6296</v>
      </c>
      <c r="B4229" s="261" t="s">
        <v>8179</v>
      </c>
      <c r="C4229" s="261" t="s">
        <v>3240</v>
      </c>
      <c r="D4229" s="265" t="s">
        <v>14219</v>
      </c>
      <c r="E4229" s="262" t="s">
        <v>207</v>
      </c>
    </row>
    <row r="4230" spans="1:5" ht="15">
      <c r="A4230" s="261">
        <v>6294</v>
      </c>
      <c r="B4230" s="261" t="s">
        <v>8180</v>
      </c>
      <c r="C4230" s="261" t="s">
        <v>3240</v>
      </c>
      <c r="D4230" s="265" t="s">
        <v>10213</v>
      </c>
      <c r="E4230" s="262" t="s">
        <v>207</v>
      </c>
    </row>
    <row r="4231" spans="1:5" ht="15">
      <c r="A4231" s="261">
        <v>6323</v>
      </c>
      <c r="B4231" s="261" t="s">
        <v>8181</v>
      </c>
      <c r="C4231" s="261" t="s">
        <v>3240</v>
      </c>
      <c r="D4231" s="265" t="s">
        <v>20730</v>
      </c>
      <c r="E4231" s="262" t="s">
        <v>207</v>
      </c>
    </row>
    <row r="4232" spans="1:5" ht="15">
      <c r="A4232" s="261">
        <v>6299</v>
      </c>
      <c r="B4232" s="261" t="s">
        <v>8182</v>
      </c>
      <c r="C4232" s="261" t="s">
        <v>3240</v>
      </c>
      <c r="D4232" s="265" t="s">
        <v>20731</v>
      </c>
      <c r="E4232" s="262" t="s">
        <v>207</v>
      </c>
    </row>
    <row r="4233" spans="1:5" ht="15">
      <c r="A4233" s="261">
        <v>6298</v>
      </c>
      <c r="B4233" s="261" t="s">
        <v>8183</v>
      </c>
      <c r="C4233" s="261" t="s">
        <v>3240</v>
      </c>
      <c r="D4233" s="265" t="s">
        <v>20398</v>
      </c>
      <c r="E4233" s="262" t="s">
        <v>207</v>
      </c>
    </row>
    <row r="4234" spans="1:5" ht="15">
      <c r="A4234" s="261">
        <v>6295</v>
      </c>
      <c r="B4234" s="261" t="s">
        <v>8184</v>
      </c>
      <c r="C4234" s="261" t="s">
        <v>3240</v>
      </c>
      <c r="D4234" s="265" t="s">
        <v>16182</v>
      </c>
      <c r="E4234" s="262" t="s">
        <v>207</v>
      </c>
    </row>
    <row r="4235" spans="1:5" ht="15">
      <c r="A4235" s="261">
        <v>6322</v>
      </c>
      <c r="B4235" s="261" t="s">
        <v>8185</v>
      </c>
      <c r="C4235" s="261" t="s">
        <v>3240</v>
      </c>
      <c r="D4235" s="265" t="s">
        <v>15801</v>
      </c>
      <c r="E4235" s="262" t="s">
        <v>207</v>
      </c>
    </row>
    <row r="4236" spans="1:5" ht="15">
      <c r="A4236" s="261">
        <v>6300</v>
      </c>
      <c r="B4236" s="261" t="s">
        <v>8186</v>
      </c>
      <c r="C4236" s="261" t="s">
        <v>3240</v>
      </c>
      <c r="D4236" s="265" t="s">
        <v>20732</v>
      </c>
      <c r="E4236" s="262" t="s">
        <v>207</v>
      </c>
    </row>
    <row r="4237" spans="1:5" ht="15">
      <c r="A4237" s="261">
        <v>6321</v>
      </c>
      <c r="B4237" s="261" t="s">
        <v>8187</v>
      </c>
      <c r="C4237" s="261" t="s">
        <v>3240</v>
      </c>
      <c r="D4237" s="265" t="s">
        <v>20733</v>
      </c>
      <c r="E4237" s="262" t="s">
        <v>207</v>
      </c>
    </row>
    <row r="4238" spans="1:5" ht="15">
      <c r="A4238" s="261">
        <v>6301</v>
      </c>
      <c r="B4238" s="261" t="s">
        <v>8188</v>
      </c>
      <c r="C4238" s="261" t="s">
        <v>3240</v>
      </c>
      <c r="D4238" s="265" t="s">
        <v>20734</v>
      </c>
      <c r="E4238" s="262" t="s">
        <v>207</v>
      </c>
    </row>
    <row r="4239" spans="1:5" ht="15">
      <c r="A4239" s="261">
        <v>7105</v>
      </c>
      <c r="B4239" s="261" t="s">
        <v>8189</v>
      </c>
      <c r="C4239" s="261" t="s">
        <v>3240</v>
      </c>
      <c r="D4239" s="265" t="s">
        <v>20735</v>
      </c>
      <c r="E4239" s="262" t="s">
        <v>207</v>
      </c>
    </row>
    <row r="4240" spans="1:5" ht="30">
      <c r="A4240" s="261">
        <v>20183</v>
      </c>
      <c r="B4240" s="261" t="s">
        <v>12002</v>
      </c>
      <c r="C4240" s="261" t="s">
        <v>3240</v>
      </c>
      <c r="D4240" s="265" t="s">
        <v>14066</v>
      </c>
      <c r="E4240" s="262" t="s">
        <v>207</v>
      </c>
    </row>
    <row r="4241" spans="1:5" ht="30">
      <c r="A4241" s="261">
        <v>38448</v>
      </c>
      <c r="B4241" s="261" t="s">
        <v>12003</v>
      </c>
      <c r="C4241" s="261" t="s">
        <v>3240</v>
      </c>
      <c r="D4241" s="265" t="s">
        <v>20651</v>
      </c>
      <c r="E4241" s="262" t="s">
        <v>207</v>
      </c>
    </row>
    <row r="4242" spans="1:5" ht="30">
      <c r="A4242" s="261">
        <v>20182</v>
      </c>
      <c r="B4242" s="261" t="s">
        <v>12004</v>
      </c>
      <c r="C4242" s="261" t="s">
        <v>3240</v>
      </c>
      <c r="D4242" s="265" t="s">
        <v>14221</v>
      </c>
      <c r="E4242" s="262" t="s">
        <v>207</v>
      </c>
    </row>
    <row r="4243" spans="1:5" ht="15">
      <c r="A4243" s="261">
        <v>7119</v>
      </c>
      <c r="B4243" s="261" t="s">
        <v>8190</v>
      </c>
      <c r="C4243" s="261" t="s">
        <v>3240</v>
      </c>
      <c r="D4243" s="265" t="s">
        <v>9812</v>
      </c>
      <c r="E4243" s="262" t="s">
        <v>207</v>
      </c>
    </row>
    <row r="4244" spans="1:5" ht="15">
      <c r="A4244" s="261">
        <v>7120</v>
      </c>
      <c r="B4244" s="261" t="s">
        <v>8191</v>
      </c>
      <c r="C4244" s="261" t="s">
        <v>3240</v>
      </c>
      <c r="D4244" s="265" t="s">
        <v>10228</v>
      </c>
      <c r="E4244" s="262" t="s">
        <v>207</v>
      </c>
    </row>
    <row r="4245" spans="1:5" ht="15">
      <c r="A4245" s="261">
        <v>6319</v>
      </c>
      <c r="B4245" s="261" t="s">
        <v>8192</v>
      </c>
      <c r="C4245" s="261" t="s">
        <v>3240</v>
      </c>
      <c r="D4245" s="265" t="s">
        <v>20736</v>
      </c>
      <c r="E4245" s="262" t="s">
        <v>207</v>
      </c>
    </row>
    <row r="4246" spans="1:5" ht="15">
      <c r="A4246" s="261">
        <v>6304</v>
      </c>
      <c r="B4246" s="261" t="s">
        <v>8193</v>
      </c>
      <c r="C4246" s="261" t="s">
        <v>3240</v>
      </c>
      <c r="D4246" s="265" t="s">
        <v>20736</v>
      </c>
      <c r="E4246" s="262" t="s">
        <v>207</v>
      </c>
    </row>
    <row r="4247" spans="1:5" ht="15">
      <c r="A4247" s="261">
        <v>21116</v>
      </c>
      <c r="B4247" s="261" t="s">
        <v>8194</v>
      </c>
      <c r="C4247" s="261" t="s">
        <v>3240</v>
      </c>
      <c r="D4247" s="265" t="s">
        <v>16594</v>
      </c>
      <c r="E4247" s="262" t="s">
        <v>207</v>
      </c>
    </row>
    <row r="4248" spans="1:5" ht="15">
      <c r="A4248" s="261">
        <v>6320</v>
      </c>
      <c r="B4248" s="261" t="s">
        <v>8195</v>
      </c>
      <c r="C4248" s="261" t="s">
        <v>3240</v>
      </c>
      <c r="D4248" s="265" t="s">
        <v>11137</v>
      </c>
      <c r="E4248" s="262" t="s">
        <v>207</v>
      </c>
    </row>
    <row r="4249" spans="1:5" ht="15">
      <c r="A4249" s="261">
        <v>6303</v>
      </c>
      <c r="B4249" s="261" t="s">
        <v>8196</v>
      </c>
      <c r="C4249" s="261" t="s">
        <v>3240</v>
      </c>
      <c r="D4249" s="265" t="s">
        <v>11137</v>
      </c>
      <c r="E4249" s="262" t="s">
        <v>207</v>
      </c>
    </row>
    <row r="4250" spans="1:5" ht="15">
      <c r="A4250" s="261">
        <v>6308</v>
      </c>
      <c r="B4250" s="261" t="s">
        <v>8197</v>
      </c>
      <c r="C4250" s="261" t="s">
        <v>3240</v>
      </c>
      <c r="D4250" s="265" t="s">
        <v>20737</v>
      </c>
      <c r="E4250" s="262" t="s">
        <v>207</v>
      </c>
    </row>
    <row r="4251" spans="1:5" ht="15">
      <c r="A4251" s="261">
        <v>6317</v>
      </c>
      <c r="B4251" s="261" t="s">
        <v>8198</v>
      </c>
      <c r="C4251" s="261" t="s">
        <v>3240</v>
      </c>
      <c r="D4251" s="265" t="s">
        <v>20737</v>
      </c>
      <c r="E4251" s="262" t="s">
        <v>207</v>
      </c>
    </row>
    <row r="4252" spans="1:5" ht="15">
      <c r="A4252" s="261">
        <v>6307</v>
      </c>
      <c r="B4252" s="261" t="s">
        <v>8199</v>
      </c>
      <c r="C4252" s="261" t="s">
        <v>3240</v>
      </c>
      <c r="D4252" s="265" t="s">
        <v>20737</v>
      </c>
      <c r="E4252" s="262" t="s">
        <v>207</v>
      </c>
    </row>
    <row r="4253" spans="1:5" ht="15">
      <c r="A4253" s="261">
        <v>6309</v>
      </c>
      <c r="B4253" s="261" t="s">
        <v>8200</v>
      </c>
      <c r="C4253" s="261" t="s">
        <v>3240</v>
      </c>
      <c r="D4253" s="265" t="s">
        <v>20738</v>
      </c>
      <c r="E4253" s="262" t="s">
        <v>207</v>
      </c>
    </row>
    <row r="4254" spans="1:5" ht="15">
      <c r="A4254" s="261">
        <v>6318</v>
      </c>
      <c r="B4254" s="261" t="s">
        <v>8201</v>
      </c>
      <c r="C4254" s="261" t="s">
        <v>3240</v>
      </c>
      <c r="D4254" s="265" t="s">
        <v>16144</v>
      </c>
      <c r="E4254" s="262" t="s">
        <v>207</v>
      </c>
    </row>
    <row r="4255" spans="1:5" ht="15">
      <c r="A4255" s="261">
        <v>6306</v>
      </c>
      <c r="B4255" s="261" t="s">
        <v>8202</v>
      </c>
      <c r="C4255" s="261" t="s">
        <v>3240</v>
      </c>
      <c r="D4255" s="265" t="s">
        <v>16144</v>
      </c>
      <c r="E4255" s="262" t="s">
        <v>207</v>
      </c>
    </row>
    <row r="4256" spans="1:5" ht="15">
      <c r="A4256" s="261">
        <v>6305</v>
      </c>
      <c r="B4256" s="261" t="s">
        <v>8203</v>
      </c>
      <c r="C4256" s="261" t="s">
        <v>3240</v>
      </c>
      <c r="D4256" s="265" t="s">
        <v>16144</v>
      </c>
      <c r="E4256" s="262" t="s">
        <v>207</v>
      </c>
    </row>
    <row r="4257" spans="1:5" ht="15">
      <c r="A4257" s="261">
        <v>6302</v>
      </c>
      <c r="B4257" s="261" t="s">
        <v>8204</v>
      </c>
      <c r="C4257" s="261" t="s">
        <v>3240</v>
      </c>
      <c r="D4257" s="265" t="s">
        <v>10109</v>
      </c>
      <c r="E4257" s="262" t="s">
        <v>207</v>
      </c>
    </row>
    <row r="4258" spans="1:5" ht="15">
      <c r="A4258" s="261">
        <v>6312</v>
      </c>
      <c r="B4258" s="261" t="s">
        <v>8205</v>
      </c>
      <c r="C4258" s="261" t="s">
        <v>3240</v>
      </c>
      <c r="D4258" s="265" t="s">
        <v>16373</v>
      </c>
      <c r="E4258" s="262" t="s">
        <v>207</v>
      </c>
    </row>
    <row r="4259" spans="1:5" ht="15">
      <c r="A4259" s="261">
        <v>6311</v>
      </c>
      <c r="B4259" s="261" t="s">
        <v>8206</v>
      </c>
      <c r="C4259" s="261" t="s">
        <v>3240</v>
      </c>
      <c r="D4259" s="265" t="s">
        <v>16373</v>
      </c>
      <c r="E4259" s="262" t="s">
        <v>207</v>
      </c>
    </row>
    <row r="4260" spans="1:5" ht="15">
      <c r="A4260" s="261">
        <v>6310</v>
      </c>
      <c r="B4260" s="261" t="s">
        <v>8207</v>
      </c>
      <c r="C4260" s="261" t="s">
        <v>3240</v>
      </c>
      <c r="D4260" s="265" t="s">
        <v>16373</v>
      </c>
      <c r="E4260" s="262" t="s">
        <v>207</v>
      </c>
    </row>
    <row r="4261" spans="1:5" ht="15">
      <c r="A4261" s="261">
        <v>6314</v>
      </c>
      <c r="B4261" s="261" t="s">
        <v>8208</v>
      </c>
      <c r="C4261" s="261" t="s">
        <v>3240</v>
      </c>
      <c r="D4261" s="265" t="s">
        <v>16373</v>
      </c>
      <c r="E4261" s="262" t="s">
        <v>207</v>
      </c>
    </row>
    <row r="4262" spans="1:5" ht="15">
      <c r="A4262" s="261">
        <v>6313</v>
      </c>
      <c r="B4262" s="261" t="s">
        <v>8209</v>
      </c>
      <c r="C4262" s="261" t="s">
        <v>3240</v>
      </c>
      <c r="D4262" s="265" t="s">
        <v>16373</v>
      </c>
      <c r="E4262" s="262" t="s">
        <v>207</v>
      </c>
    </row>
    <row r="4263" spans="1:5" ht="15">
      <c r="A4263" s="261">
        <v>6315</v>
      </c>
      <c r="B4263" s="261" t="s">
        <v>8210</v>
      </c>
      <c r="C4263" s="261" t="s">
        <v>3240</v>
      </c>
      <c r="D4263" s="265" t="s">
        <v>20739</v>
      </c>
      <c r="E4263" s="262" t="s">
        <v>207</v>
      </c>
    </row>
    <row r="4264" spans="1:5" ht="15">
      <c r="A4264" s="261">
        <v>6316</v>
      </c>
      <c r="B4264" s="261" t="s">
        <v>8211</v>
      </c>
      <c r="C4264" s="261" t="s">
        <v>3240</v>
      </c>
      <c r="D4264" s="265" t="s">
        <v>20739</v>
      </c>
      <c r="E4264" s="262" t="s">
        <v>207</v>
      </c>
    </row>
    <row r="4265" spans="1:5" ht="30">
      <c r="A4265" s="261">
        <v>38878</v>
      </c>
      <c r="B4265" s="261" t="s">
        <v>8212</v>
      </c>
      <c r="C4265" s="261" t="s">
        <v>3240</v>
      </c>
      <c r="D4265" s="265" t="s">
        <v>12460</v>
      </c>
      <c r="E4265" s="262" t="s">
        <v>207</v>
      </c>
    </row>
    <row r="4266" spans="1:5" ht="30">
      <c r="A4266" s="261">
        <v>38879</v>
      </c>
      <c r="B4266" s="261" t="s">
        <v>8213</v>
      </c>
      <c r="C4266" s="261" t="s">
        <v>3240</v>
      </c>
      <c r="D4266" s="265" t="s">
        <v>20740</v>
      </c>
      <c r="E4266" s="262" t="s">
        <v>207</v>
      </c>
    </row>
    <row r="4267" spans="1:5" ht="30">
      <c r="A4267" s="261">
        <v>38881</v>
      </c>
      <c r="B4267" s="261" t="s">
        <v>8214</v>
      </c>
      <c r="C4267" s="261" t="s">
        <v>3240</v>
      </c>
      <c r="D4267" s="265" t="s">
        <v>12228</v>
      </c>
      <c r="E4267" s="262" t="s">
        <v>207</v>
      </c>
    </row>
    <row r="4268" spans="1:5" ht="30">
      <c r="A4268" s="261">
        <v>38880</v>
      </c>
      <c r="B4268" s="261" t="s">
        <v>8215</v>
      </c>
      <c r="C4268" s="261" t="s">
        <v>3240</v>
      </c>
      <c r="D4268" s="265" t="s">
        <v>16576</v>
      </c>
      <c r="E4268" s="262" t="s">
        <v>207</v>
      </c>
    </row>
    <row r="4269" spans="1:5" ht="30">
      <c r="A4269" s="261">
        <v>38882</v>
      </c>
      <c r="B4269" s="261" t="s">
        <v>8216</v>
      </c>
      <c r="C4269" s="261" t="s">
        <v>3240</v>
      </c>
      <c r="D4269" s="265" t="s">
        <v>16365</v>
      </c>
      <c r="E4269" s="262" t="s">
        <v>207</v>
      </c>
    </row>
    <row r="4270" spans="1:5" ht="30">
      <c r="A4270" s="261">
        <v>38883</v>
      </c>
      <c r="B4270" s="261" t="s">
        <v>8217</v>
      </c>
      <c r="C4270" s="261" t="s">
        <v>3240</v>
      </c>
      <c r="D4270" s="265" t="s">
        <v>20741</v>
      </c>
      <c r="E4270" s="262" t="s">
        <v>207</v>
      </c>
    </row>
    <row r="4271" spans="1:5" ht="30">
      <c r="A4271" s="261">
        <v>38884</v>
      </c>
      <c r="B4271" s="261" t="s">
        <v>8218</v>
      </c>
      <c r="C4271" s="261" t="s">
        <v>3240</v>
      </c>
      <c r="D4271" s="265" t="s">
        <v>10130</v>
      </c>
      <c r="E4271" s="262" t="s">
        <v>207</v>
      </c>
    </row>
    <row r="4272" spans="1:5" ht="30">
      <c r="A4272" s="261">
        <v>38885</v>
      </c>
      <c r="B4272" s="261" t="s">
        <v>8219</v>
      </c>
      <c r="C4272" s="261" t="s">
        <v>3240</v>
      </c>
      <c r="D4272" s="265" t="s">
        <v>20742</v>
      </c>
      <c r="E4272" s="262" t="s">
        <v>207</v>
      </c>
    </row>
    <row r="4273" spans="1:5" ht="30">
      <c r="A4273" s="261">
        <v>38886</v>
      </c>
      <c r="B4273" s="261" t="s">
        <v>8220</v>
      </c>
      <c r="C4273" s="261" t="s">
        <v>3240</v>
      </c>
      <c r="D4273" s="265" t="s">
        <v>19341</v>
      </c>
      <c r="E4273" s="262" t="s">
        <v>207</v>
      </c>
    </row>
    <row r="4274" spans="1:5" ht="30">
      <c r="A4274" s="261">
        <v>38887</v>
      </c>
      <c r="B4274" s="261" t="s">
        <v>8221</v>
      </c>
      <c r="C4274" s="261" t="s">
        <v>3240</v>
      </c>
      <c r="D4274" s="265" t="s">
        <v>20743</v>
      </c>
      <c r="E4274" s="262" t="s">
        <v>207</v>
      </c>
    </row>
    <row r="4275" spans="1:5" ht="30">
      <c r="A4275" s="261">
        <v>38888</v>
      </c>
      <c r="B4275" s="261" t="s">
        <v>8222</v>
      </c>
      <c r="C4275" s="261" t="s">
        <v>3240</v>
      </c>
      <c r="D4275" s="265" t="s">
        <v>20744</v>
      </c>
      <c r="E4275" s="262" t="s">
        <v>207</v>
      </c>
    </row>
    <row r="4276" spans="1:5" ht="30">
      <c r="A4276" s="261">
        <v>38890</v>
      </c>
      <c r="B4276" s="261" t="s">
        <v>8223</v>
      </c>
      <c r="C4276" s="261" t="s">
        <v>3240</v>
      </c>
      <c r="D4276" s="265" t="s">
        <v>20745</v>
      </c>
      <c r="E4276" s="262" t="s">
        <v>207</v>
      </c>
    </row>
    <row r="4277" spans="1:5" ht="30">
      <c r="A4277" s="261">
        <v>38893</v>
      </c>
      <c r="B4277" s="261" t="s">
        <v>8224</v>
      </c>
      <c r="C4277" s="261" t="s">
        <v>3240</v>
      </c>
      <c r="D4277" s="265" t="s">
        <v>10528</v>
      </c>
      <c r="E4277" s="262" t="s">
        <v>207</v>
      </c>
    </row>
    <row r="4278" spans="1:5" ht="30">
      <c r="A4278" s="261">
        <v>38894</v>
      </c>
      <c r="B4278" s="261" t="s">
        <v>8225</v>
      </c>
      <c r="C4278" s="261" t="s">
        <v>3240</v>
      </c>
      <c r="D4278" s="265" t="s">
        <v>20746</v>
      </c>
      <c r="E4278" s="262" t="s">
        <v>207</v>
      </c>
    </row>
    <row r="4279" spans="1:5" ht="30">
      <c r="A4279" s="261">
        <v>38896</v>
      </c>
      <c r="B4279" s="261" t="s">
        <v>8226</v>
      </c>
      <c r="C4279" s="261" t="s">
        <v>3240</v>
      </c>
      <c r="D4279" s="265" t="s">
        <v>20747</v>
      </c>
      <c r="E4279" s="262" t="s">
        <v>207</v>
      </c>
    </row>
    <row r="4280" spans="1:5" ht="15">
      <c r="A4280" s="261">
        <v>39324</v>
      </c>
      <c r="B4280" s="261" t="s">
        <v>8227</v>
      </c>
      <c r="C4280" s="261" t="s">
        <v>3240</v>
      </c>
      <c r="D4280" s="265" t="s">
        <v>10475</v>
      </c>
      <c r="E4280" s="262" t="s">
        <v>207</v>
      </c>
    </row>
    <row r="4281" spans="1:5" ht="15">
      <c r="A4281" s="261">
        <v>39325</v>
      </c>
      <c r="B4281" s="261" t="s">
        <v>8228</v>
      </c>
      <c r="C4281" s="261" t="s">
        <v>3240</v>
      </c>
      <c r="D4281" s="265" t="s">
        <v>9963</v>
      </c>
      <c r="E4281" s="262" t="s">
        <v>207</v>
      </c>
    </row>
    <row r="4282" spans="1:5" ht="15">
      <c r="A4282" s="261">
        <v>39326</v>
      </c>
      <c r="B4282" s="261" t="s">
        <v>8229</v>
      </c>
      <c r="C4282" s="261" t="s">
        <v>3240</v>
      </c>
      <c r="D4282" s="265" t="s">
        <v>16364</v>
      </c>
      <c r="E4282" s="262" t="s">
        <v>207</v>
      </c>
    </row>
    <row r="4283" spans="1:5" ht="15">
      <c r="A4283" s="261">
        <v>39327</v>
      </c>
      <c r="B4283" s="261" t="s">
        <v>8230</v>
      </c>
      <c r="C4283" s="261" t="s">
        <v>3240</v>
      </c>
      <c r="D4283" s="265" t="s">
        <v>20748</v>
      </c>
      <c r="E4283" s="262" t="s">
        <v>207</v>
      </c>
    </row>
    <row r="4284" spans="1:5" ht="30">
      <c r="A4284" s="261">
        <v>20176</v>
      </c>
      <c r="B4284" s="261" t="s">
        <v>8231</v>
      </c>
      <c r="C4284" s="261" t="s">
        <v>3240</v>
      </c>
      <c r="D4284" s="265" t="s">
        <v>18800</v>
      </c>
      <c r="E4284" s="262" t="s">
        <v>207</v>
      </c>
    </row>
    <row r="4285" spans="1:5" ht="30">
      <c r="A4285" s="261">
        <v>11378</v>
      </c>
      <c r="B4285" s="261" t="s">
        <v>8232</v>
      </c>
      <c r="C4285" s="261" t="s">
        <v>3240</v>
      </c>
      <c r="D4285" s="265" t="s">
        <v>20749</v>
      </c>
      <c r="E4285" s="262" t="s">
        <v>207</v>
      </c>
    </row>
    <row r="4286" spans="1:5" ht="30">
      <c r="A4286" s="261">
        <v>11379</v>
      </c>
      <c r="B4286" s="261" t="s">
        <v>8233</v>
      </c>
      <c r="C4286" s="261" t="s">
        <v>3240</v>
      </c>
      <c r="D4286" s="265" t="s">
        <v>20750</v>
      </c>
      <c r="E4286" s="262" t="s">
        <v>207</v>
      </c>
    </row>
    <row r="4287" spans="1:5" ht="30">
      <c r="A4287" s="261">
        <v>11493</v>
      </c>
      <c r="B4287" s="261" t="s">
        <v>8234</v>
      </c>
      <c r="C4287" s="261" t="s">
        <v>3240</v>
      </c>
      <c r="D4287" s="265" t="s">
        <v>20751</v>
      </c>
      <c r="E4287" s="262" t="s">
        <v>207</v>
      </c>
    </row>
    <row r="4288" spans="1:5" ht="30">
      <c r="A4288" s="261">
        <v>42717</v>
      </c>
      <c r="B4288" s="261" t="s">
        <v>8235</v>
      </c>
      <c r="C4288" s="261" t="s">
        <v>3240</v>
      </c>
      <c r="D4288" s="265" t="s">
        <v>20752</v>
      </c>
      <c r="E4288" s="262" t="s">
        <v>207</v>
      </c>
    </row>
    <row r="4289" spans="1:5" ht="30">
      <c r="A4289" s="261">
        <v>42718</v>
      </c>
      <c r="B4289" s="261" t="s">
        <v>8236</v>
      </c>
      <c r="C4289" s="261" t="s">
        <v>3240</v>
      </c>
      <c r="D4289" s="265" t="s">
        <v>20753</v>
      </c>
      <c r="E4289" s="262" t="s">
        <v>207</v>
      </c>
    </row>
    <row r="4290" spans="1:5" ht="30">
      <c r="A4290" s="261">
        <v>7106</v>
      </c>
      <c r="B4290" s="261" t="s">
        <v>8237</v>
      </c>
      <c r="C4290" s="261" t="s">
        <v>3240</v>
      </c>
      <c r="D4290" s="265" t="s">
        <v>20754</v>
      </c>
      <c r="E4290" s="262" t="s">
        <v>207</v>
      </c>
    </row>
    <row r="4291" spans="1:5" ht="30">
      <c r="A4291" s="261">
        <v>7104</v>
      </c>
      <c r="B4291" s="261" t="s">
        <v>8238</v>
      </c>
      <c r="C4291" s="261" t="s">
        <v>3240</v>
      </c>
      <c r="D4291" s="265" t="s">
        <v>9859</v>
      </c>
      <c r="E4291" s="262" t="s">
        <v>207</v>
      </c>
    </row>
    <row r="4292" spans="1:5" ht="30">
      <c r="A4292" s="261">
        <v>7136</v>
      </c>
      <c r="B4292" s="261" t="s">
        <v>8239</v>
      </c>
      <c r="C4292" s="261" t="s">
        <v>3240</v>
      </c>
      <c r="D4292" s="265" t="s">
        <v>20755</v>
      </c>
      <c r="E4292" s="262" t="s">
        <v>207</v>
      </c>
    </row>
    <row r="4293" spans="1:5" ht="30">
      <c r="A4293" s="261">
        <v>7128</v>
      </c>
      <c r="B4293" s="261" t="s">
        <v>8240</v>
      </c>
      <c r="C4293" s="261" t="s">
        <v>3240</v>
      </c>
      <c r="D4293" s="265" t="s">
        <v>10336</v>
      </c>
      <c r="E4293" s="262" t="s">
        <v>207</v>
      </c>
    </row>
    <row r="4294" spans="1:5" ht="30">
      <c r="A4294" s="261">
        <v>7108</v>
      </c>
      <c r="B4294" s="261" t="s">
        <v>8241</v>
      </c>
      <c r="C4294" s="261" t="s">
        <v>3240</v>
      </c>
      <c r="D4294" s="265" t="s">
        <v>11328</v>
      </c>
      <c r="E4294" s="262" t="s">
        <v>207</v>
      </c>
    </row>
    <row r="4295" spans="1:5" ht="30">
      <c r="A4295" s="261">
        <v>7129</v>
      </c>
      <c r="B4295" s="261" t="s">
        <v>8242</v>
      </c>
      <c r="C4295" s="261" t="s">
        <v>3240</v>
      </c>
      <c r="D4295" s="265" t="s">
        <v>11303</v>
      </c>
      <c r="E4295" s="262" t="s">
        <v>207</v>
      </c>
    </row>
    <row r="4296" spans="1:5" ht="30">
      <c r="A4296" s="261">
        <v>7130</v>
      </c>
      <c r="B4296" s="261" t="s">
        <v>8243</v>
      </c>
      <c r="C4296" s="261" t="s">
        <v>3240</v>
      </c>
      <c r="D4296" s="265" t="s">
        <v>12152</v>
      </c>
      <c r="E4296" s="262" t="s">
        <v>207</v>
      </c>
    </row>
    <row r="4297" spans="1:5" ht="30">
      <c r="A4297" s="261">
        <v>7131</v>
      </c>
      <c r="B4297" s="261" t="s">
        <v>8244</v>
      </c>
      <c r="C4297" s="261" t="s">
        <v>3240</v>
      </c>
      <c r="D4297" s="265" t="s">
        <v>11284</v>
      </c>
      <c r="E4297" s="262" t="s">
        <v>207</v>
      </c>
    </row>
    <row r="4298" spans="1:5" ht="30">
      <c r="A4298" s="261">
        <v>7132</v>
      </c>
      <c r="B4298" s="261" t="s">
        <v>8245</v>
      </c>
      <c r="C4298" s="261" t="s">
        <v>3240</v>
      </c>
      <c r="D4298" s="265" t="s">
        <v>20756</v>
      </c>
      <c r="E4298" s="262" t="s">
        <v>207</v>
      </c>
    </row>
    <row r="4299" spans="1:5" ht="30">
      <c r="A4299" s="261">
        <v>7133</v>
      </c>
      <c r="B4299" s="261" t="s">
        <v>8246</v>
      </c>
      <c r="C4299" s="261" t="s">
        <v>3240</v>
      </c>
      <c r="D4299" s="265" t="s">
        <v>20757</v>
      </c>
      <c r="E4299" s="262" t="s">
        <v>207</v>
      </c>
    </row>
    <row r="4300" spans="1:5" ht="30">
      <c r="A4300" s="261">
        <v>37420</v>
      </c>
      <c r="B4300" s="261" t="s">
        <v>8247</v>
      </c>
      <c r="C4300" s="261" t="s">
        <v>3240</v>
      </c>
      <c r="D4300" s="265" t="s">
        <v>16161</v>
      </c>
      <c r="E4300" s="262" t="s">
        <v>207</v>
      </c>
    </row>
    <row r="4301" spans="1:5" ht="30">
      <c r="A4301" s="261">
        <v>37421</v>
      </c>
      <c r="B4301" s="261" t="s">
        <v>8248</v>
      </c>
      <c r="C4301" s="261" t="s">
        <v>3240</v>
      </c>
      <c r="D4301" s="265" t="s">
        <v>20758</v>
      </c>
      <c r="E4301" s="262" t="s">
        <v>207</v>
      </c>
    </row>
    <row r="4302" spans="1:5" ht="30">
      <c r="A4302" s="261">
        <v>37422</v>
      </c>
      <c r="B4302" s="261" t="s">
        <v>8249</v>
      </c>
      <c r="C4302" s="261" t="s">
        <v>3240</v>
      </c>
      <c r="D4302" s="265" t="s">
        <v>19947</v>
      </c>
      <c r="E4302" s="262" t="s">
        <v>207</v>
      </c>
    </row>
    <row r="4303" spans="1:5" ht="15">
      <c r="A4303" s="261">
        <v>37443</v>
      </c>
      <c r="B4303" s="261" t="s">
        <v>8250</v>
      </c>
      <c r="C4303" s="261" t="s">
        <v>3240</v>
      </c>
      <c r="D4303" s="265" t="s">
        <v>20759</v>
      </c>
      <c r="E4303" s="262" t="s">
        <v>207</v>
      </c>
    </row>
    <row r="4304" spans="1:5" ht="15">
      <c r="A4304" s="261">
        <v>37444</v>
      </c>
      <c r="B4304" s="261" t="s">
        <v>8251</v>
      </c>
      <c r="C4304" s="261" t="s">
        <v>3240</v>
      </c>
      <c r="D4304" s="265" t="s">
        <v>20760</v>
      </c>
      <c r="E4304" s="262" t="s">
        <v>207</v>
      </c>
    </row>
    <row r="4305" spans="1:5" ht="15">
      <c r="A4305" s="261">
        <v>37445</v>
      </c>
      <c r="B4305" s="261" t="s">
        <v>8252</v>
      </c>
      <c r="C4305" s="261" t="s">
        <v>3240</v>
      </c>
      <c r="D4305" s="265" t="s">
        <v>20761</v>
      </c>
      <c r="E4305" s="262" t="s">
        <v>207</v>
      </c>
    </row>
    <row r="4306" spans="1:5" ht="15">
      <c r="A4306" s="261">
        <v>37446</v>
      </c>
      <c r="B4306" s="261" t="s">
        <v>8253</v>
      </c>
      <c r="C4306" s="261" t="s">
        <v>3240</v>
      </c>
      <c r="D4306" s="265" t="s">
        <v>20762</v>
      </c>
      <c r="E4306" s="262" t="s">
        <v>207</v>
      </c>
    </row>
    <row r="4307" spans="1:5" ht="15">
      <c r="A4307" s="261">
        <v>37447</v>
      </c>
      <c r="B4307" s="261" t="s">
        <v>8254</v>
      </c>
      <c r="C4307" s="261" t="s">
        <v>3240</v>
      </c>
      <c r="D4307" s="265" t="s">
        <v>20763</v>
      </c>
      <c r="E4307" s="262" t="s">
        <v>207</v>
      </c>
    </row>
    <row r="4308" spans="1:5" ht="15">
      <c r="A4308" s="261">
        <v>37448</v>
      </c>
      <c r="B4308" s="261" t="s">
        <v>8255</v>
      </c>
      <c r="C4308" s="261" t="s">
        <v>3240</v>
      </c>
      <c r="D4308" s="265" t="s">
        <v>20764</v>
      </c>
      <c r="E4308" s="262" t="s">
        <v>207</v>
      </c>
    </row>
    <row r="4309" spans="1:5" ht="15">
      <c r="A4309" s="261">
        <v>37440</v>
      </c>
      <c r="B4309" s="261" t="s">
        <v>8256</v>
      </c>
      <c r="C4309" s="261" t="s">
        <v>3240</v>
      </c>
      <c r="D4309" s="265" t="s">
        <v>20765</v>
      </c>
      <c r="E4309" s="262" t="s">
        <v>207</v>
      </c>
    </row>
    <row r="4310" spans="1:5" ht="15">
      <c r="A4310" s="261">
        <v>37441</v>
      </c>
      <c r="B4310" s="261" t="s">
        <v>8257</v>
      </c>
      <c r="C4310" s="261" t="s">
        <v>3240</v>
      </c>
      <c r="D4310" s="265" t="s">
        <v>20765</v>
      </c>
      <c r="E4310" s="262" t="s">
        <v>207</v>
      </c>
    </row>
    <row r="4311" spans="1:5" ht="15">
      <c r="A4311" s="261">
        <v>37442</v>
      </c>
      <c r="B4311" s="261" t="s">
        <v>8258</v>
      </c>
      <c r="C4311" s="261" t="s">
        <v>3240</v>
      </c>
      <c r="D4311" s="265" t="s">
        <v>20766</v>
      </c>
      <c r="E4311" s="262" t="s">
        <v>207</v>
      </c>
    </row>
    <row r="4312" spans="1:5" ht="15">
      <c r="A4312" s="261">
        <v>38017</v>
      </c>
      <c r="B4312" s="261" t="s">
        <v>8259</v>
      </c>
      <c r="C4312" s="261" t="s">
        <v>3240</v>
      </c>
      <c r="D4312" s="265" t="s">
        <v>19872</v>
      </c>
      <c r="E4312" s="262" t="s">
        <v>207</v>
      </c>
    </row>
    <row r="4313" spans="1:5" ht="15">
      <c r="A4313" s="261">
        <v>38018</v>
      </c>
      <c r="B4313" s="261" t="s">
        <v>8260</v>
      </c>
      <c r="C4313" s="261" t="s">
        <v>3240</v>
      </c>
      <c r="D4313" s="265" t="s">
        <v>10006</v>
      </c>
      <c r="E4313" s="262" t="s">
        <v>207</v>
      </c>
    </row>
    <row r="4314" spans="1:5" ht="30">
      <c r="A4314" s="261">
        <v>39895</v>
      </c>
      <c r="B4314" s="261" t="s">
        <v>8261</v>
      </c>
      <c r="C4314" s="261" t="s">
        <v>3240</v>
      </c>
      <c r="D4314" s="265" t="s">
        <v>20767</v>
      </c>
      <c r="E4314" s="262" t="s">
        <v>207</v>
      </c>
    </row>
    <row r="4315" spans="1:5" ht="30">
      <c r="A4315" s="261">
        <v>39896</v>
      </c>
      <c r="B4315" s="261" t="s">
        <v>8262</v>
      </c>
      <c r="C4315" s="261" t="s">
        <v>3240</v>
      </c>
      <c r="D4315" s="265" t="s">
        <v>16462</v>
      </c>
      <c r="E4315" s="262" t="s">
        <v>207</v>
      </c>
    </row>
    <row r="4316" spans="1:5" ht="15">
      <c r="A4316" s="261">
        <v>38873</v>
      </c>
      <c r="B4316" s="261" t="s">
        <v>8263</v>
      </c>
      <c r="C4316" s="261" t="s">
        <v>3240</v>
      </c>
      <c r="D4316" s="265" t="s">
        <v>9766</v>
      </c>
      <c r="E4316" s="262" t="s">
        <v>207</v>
      </c>
    </row>
    <row r="4317" spans="1:5" ht="15">
      <c r="A4317" s="261">
        <v>38874</v>
      </c>
      <c r="B4317" s="261" t="s">
        <v>8264</v>
      </c>
      <c r="C4317" s="261" t="s">
        <v>3240</v>
      </c>
      <c r="D4317" s="265" t="s">
        <v>11415</v>
      </c>
      <c r="E4317" s="262" t="s">
        <v>207</v>
      </c>
    </row>
    <row r="4318" spans="1:5" ht="15">
      <c r="A4318" s="261">
        <v>38875</v>
      </c>
      <c r="B4318" s="261" t="s">
        <v>8265</v>
      </c>
      <c r="C4318" s="261" t="s">
        <v>3240</v>
      </c>
      <c r="D4318" s="265" t="s">
        <v>20768</v>
      </c>
      <c r="E4318" s="262" t="s">
        <v>207</v>
      </c>
    </row>
    <row r="4319" spans="1:5" ht="15">
      <c r="A4319" s="261">
        <v>38876</v>
      </c>
      <c r="B4319" s="261" t="s">
        <v>8266</v>
      </c>
      <c r="C4319" s="261" t="s">
        <v>3240</v>
      </c>
      <c r="D4319" s="265" t="s">
        <v>20769</v>
      </c>
      <c r="E4319" s="262" t="s">
        <v>207</v>
      </c>
    </row>
    <row r="4320" spans="1:5" ht="30">
      <c r="A4320" s="261">
        <v>39000</v>
      </c>
      <c r="B4320" s="261" t="s">
        <v>8267</v>
      </c>
      <c r="C4320" s="261" t="s">
        <v>3240</v>
      </c>
      <c r="D4320" s="265" t="s">
        <v>20770</v>
      </c>
      <c r="E4320" s="262" t="s">
        <v>207</v>
      </c>
    </row>
    <row r="4321" spans="1:5" ht="30">
      <c r="A4321" s="261">
        <v>38674</v>
      </c>
      <c r="B4321" s="261" t="s">
        <v>8268</v>
      </c>
      <c r="C4321" s="261" t="s">
        <v>3240</v>
      </c>
      <c r="D4321" s="265" t="s">
        <v>12437</v>
      </c>
      <c r="E4321" s="262" t="s">
        <v>207</v>
      </c>
    </row>
    <row r="4322" spans="1:5" ht="30">
      <c r="A4322" s="261">
        <v>38911</v>
      </c>
      <c r="B4322" s="261" t="s">
        <v>8269</v>
      </c>
      <c r="C4322" s="261" t="s">
        <v>3240</v>
      </c>
      <c r="D4322" s="265" t="s">
        <v>16486</v>
      </c>
      <c r="E4322" s="262" t="s">
        <v>207</v>
      </c>
    </row>
    <row r="4323" spans="1:5" ht="30">
      <c r="A4323" s="261">
        <v>38912</v>
      </c>
      <c r="B4323" s="261" t="s">
        <v>8270</v>
      </c>
      <c r="C4323" s="261" t="s">
        <v>3240</v>
      </c>
      <c r="D4323" s="266" t="s">
        <v>12332</v>
      </c>
      <c r="E4323" s="262" t="s">
        <v>207</v>
      </c>
    </row>
    <row r="4324" spans="1:5" ht="15">
      <c r="A4324" s="261">
        <v>38019</v>
      </c>
      <c r="B4324" s="261" t="s">
        <v>8271</v>
      </c>
      <c r="C4324" s="261" t="s">
        <v>3240</v>
      </c>
      <c r="D4324" s="266" t="s">
        <v>11410</v>
      </c>
      <c r="E4324" s="262" t="s">
        <v>207</v>
      </c>
    </row>
    <row r="4325" spans="1:5" ht="15">
      <c r="A4325" s="261">
        <v>38020</v>
      </c>
      <c r="B4325" s="261" t="s">
        <v>8272</v>
      </c>
      <c r="C4325" s="261" t="s">
        <v>3240</v>
      </c>
      <c r="D4325" s="265" t="s">
        <v>10006</v>
      </c>
      <c r="E4325" s="262" t="s">
        <v>207</v>
      </c>
    </row>
    <row r="4326" spans="1:5" ht="15">
      <c r="A4326" s="261">
        <v>38454</v>
      </c>
      <c r="B4326" s="261" t="s">
        <v>8273</v>
      </c>
      <c r="C4326" s="261" t="s">
        <v>3240</v>
      </c>
      <c r="D4326" s="265" t="s">
        <v>9760</v>
      </c>
      <c r="E4326" s="262" t="s">
        <v>207</v>
      </c>
    </row>
    <row r="4327" spans="1:5" ht="15">
      <c r="A4327" s="261">
        <v>38455</v>
      </c>
      <c r="B4327" s="261" t="s">
        <v>8274</v>
      </c>
      <c r="C4327" s="261" t="s">
        <v>3240</v>
      </c>
      <c r="D4327" s="265" t="s">
        <v>10276</v>
      </c>
      <c r="E4327" s="262" t="s">
        <v>207</v>
      </c>
    </row>
    <row r="4328" spans="1:5" ht="30">
      <c r="A4328" s="261">
        <v>38462</v>
      </c>
      <c r="B4328" s="261" t="s">
        <v>8275</v>
      </c>
      <c r="C4328" s="261" t="s">
        <v>3240</v>
      </c>
      <c r="D4328" s="265" t="s">
        <v>20771</v>
      </c>
      <c r="E4328" s="262" t="s">
        <v>207</v>
      </c>
    </row>
    <row r="4329" spans="1:5" ht="30">
      <c r="A4329" s="261">
        <v>36362</v>
      </c>
      <c r="B4329" s="261" t="s">
        <v>8276</v>
      </c>
      <c r="C4329" s="261" t="s">
        <v>3240</v>
      </c>
      <c r="D4329" s="265" t="s">
        <v>11218</v>
      </c>
      <c r="E4329" s="262" t="s">
        <v>207</v>
      </c>
    </row>
    <row r="4330" spans="1:5" ht="30">
      <c r="A4330" s="261">
        <v>36298</v>
      </c>
      <c r="B4330" s="261" t="s">
        <v>8277</v>
      </c>
      <c r="C4330" s="261" t="s">
        <v>3240</v>
      </c>
      <c r="D4330" s="265" t="s">
        <v>10024</v>
      </c>
      <c r="E4330" s="262" t="s">
        <v>207</v>
      </c>
    </row>
    <row r="4331" spans="1:5" ht="30">
      <c r="A4331" s="261">
        <v>38456</v>
      </c>
      <c r="B4331" s="261" t="s">
        <v>8278</v>
      </c>
      <c r="C4331" s="261" t="s">
        <v>3240</v>
      </c>
      <c r="D4331" s="265" t="s">
        <v>10197</v>
      </c>
      <c r="E4331" s="262" t="s">
        <v>207</v>
      </c>
    </row>
    <row r="4332" spans="1:5" ht="30">
      <c r="A4332" s="261">
        <v>38457</v>
      </c>
      <c r="B4332" s="261" t="s">
        <v>8279</v>
      </c>
      <c r="C4332" s="261" t="s">
        <v>3240</v>
      </c>
      <c r="D4332" s="265" t="s">
        <v>9956</v>
      </c>
      <c r="E4332" s="262" t="s">
        <v>207</v>
      </c>
    </row>
    <row r="4333" spans="1:5" ht="30">
      <c r="A4333" s="261">
        <v>38458</v>
      </c>
      <c r="B4333" s="261" t="s">
        <v>8280</v>
      </c>
      <c r="C4333" s="261" t="s">
        <v>3240</v>
      </c>
      <c r="D4333" s="265" t="s">
        <v>11249</v>
      </c>
      <c r="E4333" s="262" t="s">
        <v>207</v>
      </c>
    </row>
    <row r="4334" spans="1:5" ht="30">
      <c r="A4334" s="261">
        <v>38459</v>
      </c>
      <c r="B4334" s="261" t="s">
        <v>8281</v>
      </c>
      <c r="C4334" s="261" t="s">
        <v>3240</v>
      </c>
      <c r="D4334" s="265" t="s">
        <v>20772</v>
      </c>
      <c r="E4334" s="262" t="s">
        <v>207</v>
      </c>
    </row>
    <row r="4335" spans="1:5" ht="30">
      <c r="A4335" s="261">
        <v>38460</v>
      </c>
      <c r="B4335" s="261" t="s">
        <v>8282</v>
      </c>
      <c r="C4335" s="261" t="s">
        <v>3240</v>
      </c>
      <c r="D4335" s="265" t="s">
        <v>20773</v>
      </c>
      <c r="E4335" s="262" t="s">
        <v>207</v>
      </c>
    </row>
    <row r="4336" spans="1:5" ht="30">
      <c r="A4336" s="261">
        <v>38461</v>
      </c>
      <c r="B4336" s="261" t="s">
        <v>8283</v>
      </c>
      <c r="C4336" s="261" t="s">
        <v>3240</v>
      </c>
      <c r="D4336" s="265" t="s">
        <v>20774</v>
      </c>
      <c r="E4336" s="262" t="s">
        <v>207</v>
      </c>
    </row>
    <row r="4337" spans="1:5" ht="15">
      <c r="A4337" s="261">
        <v>7094</v>
      </c>
      <c r="B4337" s="261" t="s">
        <v>8284</v>
      </c>
      <c r="C4337" s="261" t="s">
        <v>3240</v>
      </c>
      <c r="D4337" s="265" t="s">
        <v>10991</v>
      </c>
      <c r="E4337" s="262" t="s">
        <v>207</v>
      </c>
    </row>
    <row r="4338" spans="1:5" ht="15">
      <c r="A4338" s="261">
        <v>7116</v>
      </c>
      <c r="B4338" s="261" t="s">
        <v>8285</v>
      </c>
      <c r="C4338" s="261" t="s">
        <v>3240</v>
      </c>
      <c r="D4338" s="265" t="s">
        <v>18765</v>
      </c>
      <c r="E4338" s="262" t="s">
        <v>207</v>
      </c>
    </row>
    <row r="4339" spans="1:5" ht="15">
      <c r="A4339" s="261">
        <v>7118</v>
      </c>
      <c r="B4339" s="261" t="s">
        <v>8286</v>
      </c>
      <c r="C4339" s="261" t="s">
        <v>3240</v>
      </c>
      <c r="D4339" s="265" t="s">
        <v>16127</v>
      </c>
      <c r="E4339" s="262" t="s">
        <v>207</v>
      </c>
    </row>
    <row r="4340" spans="1:5" ht="15">
      <c r="A4340" s="261">
        <v>7117</v>
      </c>
      <c r="B4340" s="261" t="s">
        <v>8287</v>
      </c>
      <c r="C4340" s="261" t="s">
        <v>3240</v>
      </c>
      <c r="D4340" s="265" t="s">
        <v>10434</v>
      </c>
      <c r="E4340" s="262" t="s">
        <v>207</v>
      </c>
    </row>
    <row r="4341" spans="1:5" ht="15">
      <c r="A4341" s="261">
        <v>7098</v>
      </c>
      <c r="B4341" s="261" t="s">
        <v>8288</v>
      </c>
      <c r="C4341" s="261" t="s">
        <v>3240</v>
      </c>
      <c r="D4341" s="265" t="s">
        <v>11089</v>
      </c>
      <c r="E4341" s="262" t="s">
        <v>207</v>
      </c>
    </row>
    <row r="4342" spans="1:5" ht="15">
      <c r="A4342" s="261">
        <v>7110</v>
      </c>
      <c r="B4342" s="261" t="s">
        <v>8289</v>
      </c>
      <c r="C4342" s="261" t="s">
        <v>3240</v>
      </c>
      <c r="D4342" s="265" t="s">
        <v>20775</v>
      </c>
      <c r="E4342" s="262" t="s">
        <v>207</v>
      </c>
    </row>
    <row r="4343" spans="1:5" ht="15">
      <c r="A4343" s="261">
        <v>7123</v>
      </c>
      <c r="B4343" s="261" t="s">
        <v>8290</v>
      </c>
      <c r="C4343" s="261" t="s">
        <v>3240</v>
      </c>
      <c r="D4343" s="265" t="s">
        <v>16273</v>
      </c>
      <c r="E4343" s="262" t="s">
        <v>207</v>
      </c>
    </row>
    <row r="4344" spans="1:5" ht="30">
      <c r="A4344" s="261">
        <v>7121</v>
      </c>
      <c r="B4344" s="261" t="s">
        <v>8291</v>
      </c>
      <c r="C4344" s="261" t="s">
        <v>3240</v>
      </c>
      <c r="D4344" s="265" t="s">
        <v>10818</v>
      </c>
      <c r="E4344" s="262" t="s">
        <v>207</v>
      </c>
    </row>
    <row r="4345" spans="1:5" ht="30">
      <c r="A4345" s="261">
        <v>7137</v>
      </c>
      <c r="B4345" s="261" t="s">
        <v>8292</v>
      </c>
      <c r="C4345" s="261" t="s">
        <v>3240</v>
      </c>
      <c r="D4345" s="265" t="s">
        <v>14137</v>
      </c>
      <c r="E4345" s="262" t="s">
        <v>207</v>
      </c>
    </row>
    <row r="4346" spans="1:5" ht="30">
      <c r="A4346" s="261">
        <v>7122</v>
      </c>
      <c r="B4346" s="261" t="s">
        <v>8293</v>
      </c>
      <c r="C4346" s="261" t="s">
        <v>3240</v>
      </c>
      <c r="D4346" s="265" t="s">
        <v>14116</v>
      </c>
      <c r="E4346" s="262" t="s">
        <v>207</v>
      </c>
    </row>
    <row r="4347" spans="1:5" ht="30">
      <c r="A4347" s="261">
        <v>7114</v>
      </c>
      <c r="B4347" s="261" t="s">
        <v>8294</v>
      </c>
      <c r="C4347" s="261" t="s">
        <v>3240</v>
      </c>
      <c r="D4347" s="265" t="s">
        <v>10565</v>
      </c>
      <c r="E4347" s="262" t="s">
        <v>207</v>
      </c>
    </row>
    <row r="4348" spans="1:5" ht="30">
      <c r="A4348" s="261">
        <v>7109</v>
      </c>
      <c r="B4348" s="261" t="s">
        <v>8295</v>
      </c>
      <c r="C4348" s="261" t="s">
        <v>3240</v>
      </c>
      <c r="D4348" s="265" t="s">
        <v>9985</v>
      </c>
      <c r="E4348" s="262" t="s">
        <v>207</v>
      </c>
    </row>
    <row r="4349" spans="1:5" ht="30">
      <c r="A4349" s="261">
        <v>7135</v>
      </c>
      <c r="B4349" s="261" t="s">
        <v>8296</v>
      </c>
      <c r="C4349" s="261" t="s">
        <v>3240</v>
      </c>
      <c r="D4349" s="265" t="s">
        <v>20776</v>
      </c>
      <c r="E4349" s="262" t="s">
        <v>207</v>
      </c>
    </row>
    <row r="4350" spans="1:5" ht="30">
      <c r="A4350" s="261">
        <v>37947</v>
      </c>
      <c r="B4350" s="261" t="s">
        <v>8297</v>
      </c>
      <c r="C4350" s="261" t="s">
        <v>3240</v>
      </c>
      <c r="D4350" s="265" t="s">
        <v>20777</v>
      </c>
      <c r="E4350" s="262" t="s">
        <v>207</v>
      </c>
    </row>
    <row r="4351" spans="1:5" ht="30">
      <c r="A4351" s="261">
        <v>7103</v>
      </c>
      <c r="B4351" s="261" t="s">
        <v>8298</v>
      </c>
      <c r="C4351" s="261" t="s">
        <v>3240</v>
      </c>
      <c r="D4351" s="265" t="s">
        <v>11328</v>
      </c>
      <c r="E4351" s="262" t="s">
        <v>207</v>
      </c>
    </row>
    <row r="4352" spans="1:5" ht="15">
      <c r="A4352" s="261">
        <v>40419</v>
      </c>
      <c r="B4352" s="261" t="s">
        <v>8299</v>
      </c>
      <c r="C4352" s="261" t="s">
        <v>3240</v>
      </c>
      <c r="D4352" s="265" t="s">
        <v>20778</v>
      </c>
      <c r="E4352" s="262" t="s">
        <v>207</v>
      </c>
    </row>
    <row r="4353" spans="1:5" ht="15">
      <c r="A4353" s="261">
        <v>40420</v>
      </c>
      <c r="B4353" s="261" t="s">
        <v>8300</v>
      </c>
      <c r="C4353" s="261" t="s">
        <v>3240</v>
      </c>
      <c r="D4353" s="265" t="s">
        <v>20779</v>
      </c>
      <c r="E4353" s="262" t="s">
        <v>207</v>
      </c>
    </row>
    <row r="4354" spans="1:5" ht="15">
      <c r="A4354" s="261">
        <v>40421</v>
      </c>
      <c r="B4354" s="261" t="s">
        <v>8301</v>
      </c>
      <c r="C4354" s="261" t="s">
        <v>3240</v>
      </c>
      <c r="D4354" s="265" t="s">
        <v>20780</v>
      </c>
      <c r="E4354" s="262" t="s">
        <v>207</v>
      </c>
    </row>
    <row r="4355" spans="1:5" ht="15">
      <c r="A4355" s="261">
        <v>7126</v>
      </c>
      <c r="B4355" s="261" t="s">
        <v>8302</v>
      </c>
      <c r="C4355" s="261" t="s">
        <v>3240</v>
      </c>
      <c r="D4355" s="265" t="s">
        <v>16116</v>
      </c>
      <c r="E4355" s="262" t="s">
        <v>207</v>
      </c>
    </row>
    <row r="4356" spans="1:5" ht="30">
      <c r="A4356" s="261">
        <v>38905</v>
      </c>
      <c r="B4356" s="261" t="s">
        <v>8303</v>
      </c>
      <c r="C4356" s="261" t="s">
        <v>3240</v>
      </c>
      <c r="D4356" s="265" t="s">
        <v>11288</v>
      </c>
      <c r="E4356" s="262" t="s">
        <v>207</v>
      </c>
    </row>
    <row r="4357" spans="1:5" ht="30">
      <c r="A4357" s="261">
        <v>38907</v>
      </c>
      <c r="B4357" s="261" t="s">
        <v>8304</v>
      </c>
      <c r="C4357" s="261" t="s">
        <v>3240</v>
      </c>
      <c r="D4357" s="265" t="s">
        <v>11153</v>
      </c>
      <c r="E4357" s="262" t="s">
        <v>207</v>
      </c>
    </row>
    <row r="4358" spans="1:5" ht="30">
      <c r="A4358" s="261">
        <v>38908</v>
      </c>
      <c r="B4358" s="261" t="s">
        <v>8305</v>
      </c>
      <c r="C4358" s="261" t="s">
        <v>3240</v>
      </c>
      <c r="D4358" s="265" t="s">
        <v>12276</v>
      </c>
      <c r="E4358" s="262" t="s">
        <v>207</v>
      </c>
    </row>
    <row r="4359" spans="1:5" ht="30">
      <c r="A4359" s="261">
        <v>38909</v>
      </c>
      <c r="B4359" s="261" t="s">
        <v>8306</v>
      </c>
      <c r="C4359" s="261" t="s">
        <v>3240</v>
      </c>
      <c r="D4359" s="265" t="s">
        <v>20781</v>
      </c>
      <c r="E4359" s="262" t="s">
        <v>207</v>
      </c>
    </row>
    <row r="4360" spans="1:5" ht="30">
      <c r="A4360" s="261">
        <v>38910</v>
      </c>
      <c r="B4360" s="261" t="s">
        <v>8307</v>
      </c>
      <c r="C4360" s="261" t="s">
        <v>3240</v>
      </c>
      <c r="D4360" s="265" t="s">
        <v>20782</v>
      </c>
      <c r="E4360" s="262" t="s">
        <v>207</v>
      </c>
    </row>
    <row r="4361" spans="1:5" ht="30">
      <c r="A4361" s="261">
        <v>38897</v>
      </c>
      <c r="B4361" s="261" t="s">
        <v>8308</v>
      </c>
      <c r="C4361" s="261" t="s">
        <v>3240</v>
      </c>
      <c r="D4361" s="265" t="s">
        <v>16342</v>
      </c>
      <c r="E4361" s="262" t="s">
        <v>207</v>
      </c>
    </row>
    <row r="4362" spans="1:5" ht="30">
      <c r="A4362" s="261">
        <v>38899</v>
      </c>
      <c r="B4362" s="261" t="s">
        <v>8309</v>
      </c>
      <c r="C4362" s="261" t="s">
        <v>3240</v>
      </c>
      <c r="D4362" s="265" t="s">
        <v>20496</v>
      </c>
      <c r="E4362" s="262" t="s">
        <v>207</v>
      </c>
    </row>
    <row r="4363" spans="1:5" ht="30">
      <c r="A4363" s="261">
        <v>38900</v>
      </c>
      <c r="B4363" s="261" t="s">
        <v>8310</v>
      </c>
      <c r="C4363" s="261" t="s">
        <v>3240</v>
      </c>
      <c r="D4363" s="265" t="s">
        <v>16388</v>
      </c>
      <c r="E4363" s="262" t="s">
        <v>207</v>
      </c>
    </row>
    <row r="4364" spans="1:5" ht="30">
      <c r="A4364" s="261">
        <v>38901</v>
      </c>
      <c r="B4364" s="261" t="s">
        <v>8311</v>
      </c>
      <c r="C4364" s="261" t="s">
        <v>3240</v>
      </c>
      <c r="D4364" s="265" t="s">
        <v>20783</v>
      </c>
      <c r="E4364" s="262" t="s">
        <v>207</v>
      </c>
    </row>
    <row r="4365" spans="1:5" ht="30">
      <c r="A4365" s="261">
        <v>38904</v>
      </c>
      <c r="B4365" s="261" t="s">
        <v>8312</v>
      </c>
      <c r="C4365" s="261" t="s">
        <v>3240</v>
      </c>
      <c r="D4365" s="265" t="s">
        <v>20784</v>
      </c>
      <c r="E4365" s="262" t="s">
        <v>207</v>
      </c>
    </row>
    <row r="4366" spans="1:5" ht="30">
      <c r="A4366" s="261">
        <v>38903</v>
      </c>
      <c r="B4366" s="261" t="s">
        <v>8313</v>
      </c>
      <c r="C4366" s="261" t="s">
        <v>3240</v>
      </c>
      <c r="D4366" s="265" t="s">
        <v>20785</v>
      </c>
      <c r="E4366" s="262" t="s">
        <v>207</v>
      </c>
    </row>
    <row r="4367" spans="1:5" ht="15">
      <c r="A4367" s="261">
        <v>7091</v>
      </c>
      <c r="B4367" s="261" t="s">
        <v>8314</v>
      </c>
      <c r="C4367" s="261" t="s">
        <v>3240</v>
      </c>
      <c r="D4367" s="265" t="s">
        <v>11485</v>
      </c>
      <c r="E4367" s="262" t="s">
        <v>207</v>
      </c>
    </row>
    <row r="4368" spans="1:5" ht="15">
      <c r="A4368" s="261">
        <v>11655</v>
      </c>
      <c r="B4368" s="261" t="s">
        <v>8315</v>
      </c>
      <c r="C4368" s="261" t="s">
        <v>3240</v>
      </c>
      <c r="D4368" s="266" t="s">
        <v>10602</v>
      </c>
      <c r="E4368" s="262" t="s">
        <v>207</v>
      </c>
    </row>
    <row r="4369" spans="1:5" ht="15">
      <c r="A4369" s="261">
        <v>11656</v>
      </c>
      <c r="B4369" s="261" t="s">
        <v>8316</v>
      </c>
      <c r="C4369" s="261" t="s">
        <v>3240</v>
      </c>
      <c r="D4369" s="265" t="s">
        <v>11437</v>
      </c>
      <c r="E4369" s="262" t="s">
        <v>207</v>
      </c>
    </row>
    <row r="4370" spans="1:5" ht="15">
      <c r="A4370" s="261">
        <v>37948</v>
      </c>
      <c r="B4370" s="261" t="s">
        <v>8317</v>
      </c>
      <c r="C4370" s="261" t="s">
        <v>3240</v>
      </c>
      <c r="D4370" s="265" t="s">
        <v>11164</v>
      </c>
      <c r="E4370" s="262" t="s">
        <v>207</v>
      </c>
    </row>
    <row r="4371" spans="1:5" ht="15">
      <c r="A4371" s="261">
        <v>7097</v>
      </c>
      <c r="B4371" s="261" t="s">
        <v>8318</v>
      </c>
      <c r="C4371" s="261" t="s">
        <v>3240</v>
      </c>
      <c r="D4371" s="265" t="s">
        <v>16208</v>
      </c>
      <c r="E4371" s="262" t="s">
        <v>207</v>
      </c>
    </row>
    <row r="4372" spans="1:5" ht="15">
      <c r="A4372" s="261">
        <v>11657</v>
      </c>
      <c r="B4372" s="261" t="s">
        <v>8319</v>
      </c>
      <c r="C4372" s="261" t="s">
        <v>3240</v>
      </c>
      <c r="D4372" s="265" t="s">
        <v>10641</v>
      </c>
      <c r="E4372" s="262" t="s">
        <v>207</v>
      </c>
    </row>
    <row r="4373" spans="1:5" ht="15">
      <c r="A4373" s="261">
        <v>11658</v>
      </c>
      <c r="B4373" s="261" t="s">
        <v>8320</v>
      </c>
      <c r="C4373" s="261" t="s">
        <v>3240</v>
      </c>
      <c r="D4373" s="265" t="s">
        <v>16130</v>
      </c>
      <c r="E4373" s="262" t="s">
        <v>207</v>
      </c>
    </row>
    <row r="4374" spans="1:5" ht="15">
      <c r="A4374" s="261">
        <v>7146</v>
      </c>
      <c r="B4374" s="261" t="s">
        <v>8321</v>
      </c>
      <c r="C4374" s="261" t="s">
        <v>3240</v>
      </c>
      <c r="D4374" s="265" t="s">
        <v>15923</v>
      </c>
      <c r="E4374" s="262" t="s">
        <v>207</v>
      </c>
    </row>
    <row r="4375" spans="1:5" ht="15">
      <c r="A4375" s="261">
        <v>7138</v>
      </c>
      <c r="B4375" s="261" t="s">
        <v>8322</v>
      </c>
      <c r="C4375" s="261" t="s">
        <v>3240</v>
      </c>
      <c r="D4375" s="265" t="s">
        <v>10916</v>
      </c>
      <c r="E4375" s="262" t="s">
        <v>207</v>
      </c>
    </row>
    <row r="4376" spans="1:5" ht="15">
      <c r="A4376" s="261">
        <v>7139</v>
      </c>
      <c r="B4376" s="261" t="s">
        <v>8323</v>
      </c>
      <c r="C4376" s="261" t="s">
        <v>3240</v>
      </c>
      <c r="D4376" s="265" t="s">
        <v>10914</v>
      </c>
      <c r="E4376" s="262" t="s">
        <v>207</v>
      </c>
    </row>
    <row r="4377" spans="1:5" ht="15">
      <c r="A4377" s="261">
        <v>7140</v>
      </c>
      <c r="B4377" s="261" t="s">
        <v>8324</v>
      </c>
      <c r="C4377" s="261" t="s">
        <v>3240</v>
      </c>
      <c r="D4377" s="265" t="s">
        <v>15841</v>
      </c>
      <c r="E4377" s="262" t="s">
        <v>207</v>
      </c>
    </row>
    <row r="4378" spans="1:5" ht="15">
      <c r="A4378" s="261">
        <v>7141</v>
      </c>
      <c r="B4378" s="261" t="s">
        <v>8325</v>
      </c>
      <c r="C4378" s="261" t="s">
        <v>3240</v>
      </c>
      <c r="D4378" s="265" t="s">
        <v>10505</v>
      </c>
      <c r="E4378" s="262" t="s">
        <v>207</v>
      </c>
    </row>
    <row r="4379" spans="1:5" ht="15">
      <c r="A4379" s="261">
        <v>7143</v>
      </c>
      <c r="B4379" s="261" t="s">
        <v>8326</v>
      </c>
      <c r="C4379" s="261" t="s">
        <v>3240</v>
      </c>
      <c r="D4379" s="265" t="s">
        <v>20741</v>
      </c>
      <c r="E4379" s="262" t="s">
        <v>207</v>
      </c>
    </row>
    <row r="4380" spans="1:5" ht="15">
      <c r="A4380" s="261">
        <v>7144</v>
      </c>
      <c r="B4380" s="261" t="s">
        <v>8327</v>
      </c>
      <c r="C4380" s="261" t="s">
        <v>3240</v>
      </c>
      <c r="D4380" s="265" t="s">
        <v>20786</v>
      </c>
      <c r="E4380" s="262" t="s">
        <v>207</v>
      </c>
    </row>
    <row r="4381" spans="1:5" ht="15">
      <c r="A4381" s="261">
        <v>7145</v>
      </c>
      <c r="B4381" s="261" t="s">
        <v>8328</v>
      </c>
      <c r="C4381" s="261" t="s">
        <v>3240</v>
      </c>
      <c r="D4381" s="265" t="s">
        <v>20787</v>
      </c>
      <c r="E4381" s="262" t="s">
        <v>207</v>
      </c>
    </row>
    <row r="4382" spans="1:5" ht="15">
      <c r="A4382" s="261">
        <v>7142</v>
      </c>
      <c r="B4382" s="261" t="s">
        <v>8329</v>
      </c>
      <c r="C4382" s="261" t="s">
        <v>3240</v>
      </c>
      <c r="D4382" s="265" t="s">
        <v>10196</v>
      </c>
      <c r="E4382" s="262" t="s">
        <v>207</v>
      </c>
    </row>
    <row r="4383" spans="1:5" ht="15">
      <c r="A4383" s="261">
        <v>3593</v>
      </c>
      <c r="B4383" s="261" t="s">
        <v>8330</v>
      </c>
      <c r="C4383" s="261" t="s">
        <v>3240</v>
      </c>
      <c r="D4383" s="265" t="s">
        <v>20788</v>
      </c>
      <c r="E4383" s="262" t="s">
        <v>207</v>
      </c>
    </row>
    <row r="4384" spans="1:5" ht="15">
      <c r="A4384" s="261">
        <v>3588</v>
      </c>
      <c r="B4384" s="261" t="s">
        <v>8331</v>
      </c>
      <c r="C4384" s="261" t="s">
        <v>3240</v>
      </c>
      <c r="D4384" s="265" t="s">
        <v>20789</v>
      </c>
      <c r="E4384" s="262" t="s">
        <v>207</v>
      </c>
    </row>
    <row r="4385" spans="1:5" ht="15">
      <c r="A4385" s="261">
        <v>3585</v>
      </c>
      <c r="B4385" s="261" t="s">
        <v>8332</v>
      </c>
      <c r="C4385" s="261" t="s">
        <v>3240</v>
      </c>
      <c r="D4385" s="265" t="s">
        <v>10121</v>
      </c>
      <c r="E4385" s="262" t="s">
        <v>207</v>
      </c>
    </row>
    <row r="4386" spans="1:5" ht="15">
      <c r="A4386" s="261">
        <v>3587</v>
      </c>
      <c r="B4386" s="261" t="s">
        <v>8333</v>
      </c>
      <c r="C4386" s="261" t="s">
        <v>3240</v>
      </c>
      <c r="D4386" s="265" t="s">
        <v>20790</v>
      </c>
      <c r="E4386" s="262" t="s">
        <v>207</v>
      </c>
    </row>
    <row r="4387" spans="1:5" ht="15">
      <c r="A4387" s="261">
        <v>3590</v>
      </c>
      <c r="B4387" s="261" t="s">
        <v>8334</v>
      </c>
      <c r="C4387" s="261" t="s">
        <v>3240</v>
      </c>
      <c r="D4387" s="265" t="s">
        <v>20791</v>
      </c>
      <c r="E4387" s="262" t="s">
        <v>207</v>
      </c>
    </row>
    <row r="4388" spans="1:5" ht="15">
      <c r="A4388" s="261">
        <v>3589</v>
      </c>
      <c r="B4388" s="261" t="s">
        <v>8335</v>
      </c>
      <c r="C4388" s="261" t="s">
        <v>3240</v>
      </c>
      <c r="D4388" s="265" t="s">
        <v>20792</v>
      </c>
      <c r="E4388" s="262" t="s">
        <v>207</v>
      </c>
    </row>
    <row r="4389" spans="1:5" ht="15">
      <c r="A4389" s="261">
        <v>3586</v>
      </c>
      <c r="B4389" s="261" t="s">
        <v>8336</v>
      </c>
      <c r="C4389" s="261" t="s">
        <v>3240</v>
      </c>
      <c r="D4389" s="265" t="s">
        <v>12190</v>
      </c>
      <c r="E4389" s="262" t="s">
        <v>207</v>
      </c>
    </row>
    <row r="4390" spans="1:5" ht="15">
      <c r="A4390" s="261">
        <v>3592</v>
      </c>
      <c r="B4390" s="261" t="s">
        <v>8337</v>
      </c>
      <c r="C4390" s="261" t="s">
        <v>3240</v>
      </c>
      <c r="D4390" s="265" t="s">
        <v>20793</v>
      </c>
      <c r="E4390" s="262" t="s">
        <v>207</v>
      </c>
    </row>
    <row r="4391" spans="1:5" ht="15">
      <c r="A4391" s="261">
        <v>3591</v>
      </c>
      <c r="B4391" s="261" t="s">
        <v>8338</v>
      </c>
      <c r="C4391" s="261" t="s">
        <v>3240</v>
      </c>
      <c r="D4391" s="265" t="s">
        <v>20794</v>
      </c>
      <c r="E4391" s="262" t="s">
        <v>207</v>
      </c>
    </row>
    <row r="4392" spans="1:5" ht="15">
      <c r="A4392" s="261">
        <v>40396</v>
      </c>
      <c r="B4392" s="261" t="s">
        <v>8339</v>
      </c>
      <c r="C4392" s="261" t="s">
        <v>3240</v>
      </c>
      <c r="D4392" s="265" t="s">
        <v>20795</v>
      </c>
      <c r="E4392" s="262" t="s">
        <v>207</v>
      </c>
    </row>
    <row r="4393" spans="1:5" ht="15">
      <c r="A4393" s="261">
        <v>40395</v>
      </c>
      <c r="B4393" s="261" t="s">
        <v>8340</v>
      </c>
      <c r="C4393" s="261" t="s">
        <v>3240</v>
      </c>
      <c r="D4393" s="265" t="s">
        <v>16191</v>
      </c>
      <c r="E4393" s="262" t="s">
        <v>207</v>
      </c>
    </row>
    <row r="4394" spans="1:5" ht="15">
      <c r="A4394" s="261">
        <v>40392</v>
      </c>
      <c r="B4394" s="261" t="s">
        <v>8341</v>
      </c>
      <c r="C4394" s="261" t="s">
        <v>3240</v>
      </c>
      <c r="D4394" s="265" t="s">
        <v>20796</v>
      </c>
      <c r="E4394" s="262" t="s">
        <v>207</v>
      </c>
    </row>
    <row r="4395" spans="1:5" ht="15">
      <c r="A4395" s="261">
        <v>40394</v>
      </c>
      <c r="B4395" s="261" t="s">
        <v>8342</v>
      </c>
      <c r="C4395" s="261" t="s">
        <v>3240</v>
      </c>
      <c r="D4395" s="265" t="s">
        <v>20797</v>
      </c>
      <c r="E4395" s="262" t="s">
        <v>207</v>
      </c>
    </row>
    <row r="4396" spans="1:5" ht="15">
      <c r="A4396" s="261">
        <v>40398</v>
      </c>
      <c r="B4396" s="261" t="s">
        <v>8343</v>
      </c>
      <c r="C4396" s="261" t="s">
        <v>3240</v>
      </c>
      <c r="D4396" s="265" t="s">
        <v>20798</v>
      </c>
      <c r="E4396" s="262" t="s">
        <v>207</v>
      </c>
    </row>
    <row r="4397" spans="1:5" ht="15">
      <c r="A4397" s="261">
        <v>40397</v>
      </c>
      <c r="B4397" s="261" t="s">
        <v>8344</v>
      </c>
      <c r="C4397" s="261" t="s">
        <v>3240</v>
      </c>
      <c r="D4397" s="265" t="s">
        <v>20799</v>
      </c>
      <c r="E4397" s="262" t="s">
        <v>207</v>
      </c>
    </row>
    <row r="4398" spans="1:5" ht="15">
      <c r="A4398" s="261">
        <v>40393</v>
      </c>
      <c r="B4398" s="261" t="s">
        <v>8345</v>
      </c>
      <c r="C4398" s="261" t="s">
        <v>3240</v>
      </c>
      <c r="D4398" s="265" t="s">
        <v>12168</v>
      </c>
      <c r="E4398" s="262" t="s">
        <v>207</v>
      </c>
    </row>
    <row r="4399" spans="1:5" ht="15">
      <c r="A4399" s="261">
        <v>40399</v>
      </c>
      <c r="B4399" s="261" t="s">
        <v>8346</v>
      </c>
      <c r="C4399" s="261" t="s">
        <v>3240</v>
      </c>
      <c r="D4399" s="265" t="s">
        <v>20800</v>
      </c>
      <c r="E4399" s="262" t="s">
        <v>207</v>
      </c>
    </row>
    <row r="4400" spans="1:5" ht="15">
      <c r="A4400" s="261">
        <v>39322</v>
      </c>
      <c r="B4400" s="261" t="s">
        <v>8347</v>
      </c>
      <c r="C4400" s="261" t="s">
        <v>3240</v>
      </c>
      <c r="D4400" s="265" t="s">
        <v>20801</v>
      </c>
      <c r="E4400" s="262" t="s">
        <v>207</v>
      </c>
    </row>
    <row r="4401" spans="1:5" ht="15">
      <c r="A4401" s="261">
        <v>39289</v>
      </c>
      <c r="B4401" s="261" t="s">
        <v>8348</v>
      </c>
      <c r="C4401" s="261" t="s">
        <v>3240</v>
      </c>
      <c r="D4401" s="265" t="s">
        <v>20802</v>
      </c>
      <c r="E4401" s="262" t="s">
        <v>207</v>
      </c>
    </row>
    <row r="4402" spans="1:5" ht="15">
      <c r="A4402" s="261">
        <v>39290</v>
      </c>
      <c r="B4402" s="261" t="s">
        <v>8349</v>
      </c>
      <c r="C4402" s="261" t="s">
        <v>3240</v>
      </c>
      <c r="D4402" s="265" t="s">
        <v>20803</v>
      </c>
      <c r="E4402" s="262" t="s">
        <v>207</v>
      </c>
    </row>
    <row r="4403" spans="1:5" ht="15">
      <c r="A4403" s="261">
        <v>39291</v>
      </c>
      <c r="B4403" s="261" t="s">
        <v>8350</v>
      </c>
      <c r="C4403" s="261" t="s">
        <v>3240</v>
      </c>
      <c r="D4403" s="265" t="s">
        <v>20804</v>
      </c>
      <c r="E4403" s="262" t="s">
        <v>207</v>
      </c>
    </row>
    <row r="4404" spans="1:5" ht="15">
      <c r="A4404" s="261">
        <v>20174</v>
      </c>
      <c r="B4404" s="261" t="s">
        <v>8351</v>
      </c>
      <c r="C4404" s="261" t="s">
        <v>3240</v>
      </c>
      <c r="D4404" s="265" t="s">
        <v>19199</v>
      </c>
      <c r="E4404" s="262" t="s">
        <v>207</v>
      </c>
    </row>
    <row r="4405" spans="1:5" ht="15">
      <c r="A4405" s="261">
        <v>41892</v>
      </c>
      <c r="B4405" s="261" t="s">
        <v>8352</v>
      </c>
      <c r="C4405" s="261" t="s">
        <v>3240</v>
      </c>
      <c r="D4405" s="265" t="s">
        <v>20805</v>
      </c>
      <c r="E4405" s="262" t="s">
        <v>207</v>
      </c>
    </row>
    <row r="4406" spans="1:5" ht="15">
      <c r="A4406" s="261">
        <v>7048</v>
      </c>
      <c r="B4406" s="261" t="s">
        <v>8353</v>
      </c>
      <c r="C4406" s="261" t="s">
        <v>3240</v>
      </c>
      <c r="D4406" s="265" t="s">
        <v>16631</v>
      </c>
      <c r="E4406" s="262" t="s">
        <v>207</v>
      </c>
    </row>
    <row r="4407" spans="1:5" ht="15">
      <c r="A4407" s="261">
        <v>7088</v>
      </c>
      <c r="B4407" s="261" t="s">
        <v>8354</v>
      </c>
      <c r="C4407" s="261" t="s">
        <v>3240</v>
      </c>
      <c r="D4407" s="265" t="s">
        <v>20806</v>
      </c>
      <c r="E4407" s="262" t="s">
        <v>207</v>
      </c>
    </row>
    <row r="4408" spans="1:5" ht="15">
      <c r="A4408" s="261">
        <v>20179</v>
      </c>
      <c r="B4408" s="261" t="s">
        <v>12005</v>
      </c>
      <c r="C4408" s="261" t="s">
        <v>3240</v>
      </c>
      <c r="D4408" s="265" t="s">
        <v>20807</v>
      </c>
      <c r="E4408" s="262" t="s">
        <v>207</v>
      </c>
    </row>
    <row r="4409" spans="1:5" ht="15">
      <c r="A4409" s="261">
        <v>20178</v>
      </c>
      <c r="B4409" s="261" t="s">
        <v>12006</v>
      </c>
      <c r="C4409" s="261" t="s">
        <v>3240</v>
      </c>
      <c r="D4409" s="265" t="s">
        <v>14188</v>
      </c>
      <c r="E4409" s="262" t="s">
        <v>207</v>
      </c>
    </row>
    <row r="4410" spans="1:5" ht="15">
      <c r="A4410" s="261">
        <v>20180</v>
      </c>
      <c r="B4410" s="261" t="s">
        <v>12007</v>
      </c>
      <c r="C4410" s="261" t="s">
        <v>3240</v>
      </c>
      <c r="D4410" s="265" t="s">
        <v>20808</v>
      </c>
      <c r="E4410" s="262" t="s">
        <v>207</v>
      </c>
    </row>
    <row r="4411" spans="1:5" ht="15">
      <c r="A4411" s="261">
        <v>20181</v>
      </c>
      <c r="B4411" s="261" t="s">
        <v>12008</v>
      </c>
      <c r="C4411" s="261" t="s">
        <v>3240</v>
      </c>
      <c r="D4411" s="265" t="s">
        <v>20809</v>
      </c>
      <c r="E4411" s="262" t="s">
        <v>207</v>
      </c>
    </row>
    <row r="4412" spans="1:5" ht="15">
      <c r="A4412" s="261">
        <v>20177</v>
      </c>
      <c r="B4412" s="261" t="s">
        <v>12009</v>
      </c>
      <c r="C4412" s="261" t="s">
        <v>3240</v>
      </c>
      <c r="D4412" s="265" t="s">
        <v>16577</v>
      </c>
      <c r="E4412" s="262" t="s">
        <v>207</v>
      </c>
    </row>
    <row r="4413" spans="1:5" ht="15">
      <c r="A4413" s="261">
        <v>7082</v>
      </c>
      <c r="B4413" s="261" t="s">
        <v>8355</v>
      </c>
      <c r="C4413" s="261" t="s">
        <v>3240</v>
      </c>
      <c r="D4413" s="265" t="s">
        <v>10923</v>
      </c>
      <c r="E4413" s="262" t="s">
        <v>207</v>
      </c>
    </row>
    <row r="4414" spans="1:5" ht="30">
      <c r="A4414" s="261">
        <v>42707</v>
      </c>
      <c r="B4414" s="261" t="s">
        <v>8356</v>
      </c>
      <c r="C4414" s="261" t="s">
        <v>3240</v>
      </c>
      <c r="D4414" s="265" t="s">
        <v>16142</v>
      </c>
      <c r="E4414" s="262" t="s">
        <v>207</v>
      </c>
    </row>
    <row r="4415" spans="1:5" ht="15">
      <c r="A4415" s="261">
        <v>7069</v>
      </c>
      <c r="B4415" s="261" t="s">
        <v>8357</v>
      </c>
      <c r="C4415" s="261" t="s">
        <v>3240</v>
      </c>
      <c r="D4415" s="265" t="s">
        <v>20810</v>
      </c>
      <c r="E4415" s="262" t="s">
        <v>207</v>
      </c>
    </row>
    <row r="4416" spans="1:5" ht="30">
      <c r="A4416" s="261">
        <v>42708</v>
      </c>
      <c r="B4416" s="261" t="s">
        <v>8358</v>
      </c>
      <c r="C4416" s="261" t="s">
        <v>3240</v>
      </c>
      <c r="D4416" s="265" t="s">
        <v>20811</v>
      </c>
      <c r="E4416" s="262" t="s">
        <v>207</v>
      </c>
    </row>
    <row r="4417" spans="1:5" ht="15">
      <c r="A4417" s="261">
        <v>7070</v>
      </c>
      <c r="B4417" s="261" t="s">
        <v>8359</v>
      </c>
      <c r="C4417" s="261" t="s">
        <v>3240</v>
      </c>
      <c r="D4417" s="265" t="s">
        <v>20812</v>
      </c>
      <c r="E4417" s="262" t="s">
        <v>207</v>
      </c>
    </row>
    <row r="4418" spans="1:5" ht="30">
      <c r="A4418" s="261">
        <v>42709</v>
      </c>
      <c r="B4418" s="261" t="s">
        <v>8360</v>
      </c>
      <c r="C4418" s="261" t="s">
        <v>3240</v>
      </c>
      <c r="D4418" s="265" t="s">
        <v>20813</v>
      </c>
      <c r="E4418" s="262" t="s">
        <v>207</v>
      </c>
    </row>
    <row r="4419" spans="1:5" ht="30">
      <c r="A4419" s="261">
        <v>42710</v>
      </c>
      <c r="B4419" s="261" t="s">
        <v>8361</v>
      </c>
      <c r="C4419" s="261" t="s">
        <v>3240</v>
      </c>
      <c r="D4419" s="265" t="s">
        <v>20814</v>
      </c>
      <c r="E4419" s="262" t="s">
        <v>207</v>
      </c>
    </row>
    <row r="4420" spans="1:5" ht="30">
      <c r="A4420" s="261">
        <v>42716</v>
      </c>
      <c r="B4420" s="261" t="s">
        <v>8362</v>
      </c>
      <c r="C4420" s="261" t="s">
        <v>3240</v>
      </c>
      <c r="D4420" s="265" t="s">
        <v>20815</v>
      </c>
      <c r="E4420" s="262" t="s">
        <v>207</v>
      </c>
    </row>
    <row r="4421" spans="1:5" ht="15">
      <c r="A4421" s="261">
        <v>20172</v>
      </c>
      <c r="B4421" s="261" t="s">
        <v>8363</v>
      </c>
      <c r="C4421" s="261" t="s">
        <v>3240</v>
      </c>
      <c r="D4421" s="265" t="s">
        <v>16357</v>
      </c>
      <c r="E4421" s="262" t="s">
        <v>207</v>
      </c>
    </row>
    <row r="4422" spans="1:5" ht="15">
      <c r="A4422" s="261">
        <v>40945</v>
      </c>
      <c r="B4422" s="261" t="s">
        <v>8364</v>
      </c>
      <c r="C4422" s="261" t="s">
        <v>3239</v>
      </c>
      <c r="D4422" s="265" t="s">
        <v>20816</v>
      </c>
      <c r="E4422" s="262" t="s">
        <v>9714</v>
      </c>
    </row>
    <row r="4423" spans="1:5" ht="15">
      <c r="A4423" s="261">
        <v>40946</v>
      </c>
      <c r="B4423" s="261" t="s">
        <v>8365</v>
      </c>
      <c r="C4423" s="261" t="s">
        <v>3246</v>
      </c>
      <c r="D4423" s="265" t="s">
        <v>20817</v>
      </c>
      <c r="E4423" s="262" t="s">
        <v>9714</v>
      </c>
    </row>
    <row r="4424" spans="1:5" ht="15">
      <c r="A4424" s="261">
        <v>7153</v>
      </c>
      <c r="B4424" s="261" t="s">
        <v>8366</v>
      </c>
      <c r="C4424" s="261" t="s">
        <v>3239</v>
      </c>
      <c r="D4424" s="265" t="s">
        <v>10249</v>
      </c>
      <c r="E4424" s="262" t="s">
        <v>9714</v>
      </c>
    </row>
    <row r="4425" spans="1:5" ht="15">
      <c r="A4425" s="261">
        <v>41089</v>
      </c>
      <c r="B4425" s="261" t="s">
        <v>8367</v>
      </c>
      <c r="C4425" s="261" t="s">
        <v>3246</v>
      </c>
      <c r="D4425" s="265" t="s">
        <v>12440</v>
      </c>
      <c r="E4425" s="262" t="s">
        <v>9714</v>
      </c>
    </row>
    <row r="4426" spans="1:5" ht="15">
      <c r="A4426" s="261">
        <v>40943</v>
      </c>
      <c r="B4426" s="261" t="s">
        <v>8368</v>
      </c>
      <c r="C4426" s="261" t="s">
        <v>3239</v>
      </c>
      <c r="D4426" s="265" t="s">
        <v>12441</v>
      </c>
      <c r="E4426" s="262" t="s">
        <v>9714</v>
      </c>
    </row>
    <row r="4427" spans="1:5" ht="15">
      <c r="A4427" s="261">
        <v>40944</v>
      </c>
      <c r="B4427" s="261" t="s">
        <v>8369</v>
      </c>
      <c r="C4427" s="261" t="s">
        <v>3246</v>
      </c>
      <c r="D4427" s="265" t="s">
        <v>12442</v>
      </c>
      <c r="E4427" s="262" t="s">
        <v>9714</v>
      </c>
    </row>
    <row r="4428" spans="1:5" ht="15">
      <c r="A4428" s="261">
        <v>6175</v>
      </c>
      <c r="B4428" s="261" t="s">
        <v>8370</v>
      </c>
      <c r="C4428" s="261" t="s">
        <v>3239</v>
      </c>
      <c r="D4428" s="265" t="s">
        <v>19987</v>
      </c>
      <c r="E4428" s="262" t="s">
        <v>9714</v>
      </c>
    </row>
    <row r="4429" spans="1:5" ht="15">
      <c r="A4429" s="261">
        <v>41092</v>
      </c>
      <c r="B4429" s="261" t="s">
        <v>8371</v>
      </c>
      <c r="C4429" s="261" t="s">
        <v>3246</v>
      </c>
      <c r="D4429" s="265" t="s">
        <v>20818</v>
      </c>
      <c r="E4429" s="262" t="s">
        <v>9714</v>
      </c>
    </row>
    <row r="4430" spans="1:5" ht="30">
      <c r="A4430" s="261">
        <v>37712</v>
      </c>
      <c r="B4430" s="261" t="s">
        <v>8372</v>
      </c>
      <c r="C4430" s="261" t="s">
        <v>3242</v>
      </c>
      <c r="D4430" s="265" t="s">
        <v>20819</v>
      </c>
      <c r="E4430" s="262" t="s">
        <v>207</v>
      </c>
    </row>
    <row r="4431" spans="1:5" ht="30">
      <c r="A4431" s="261">
        <v>34547</v>
      </c>
      <c r="B4431" s="261" t="s">
        <v>8373</v>
      </c>
      <c r="C4431" s="261" t="s">
        <v>3243</v>
      </c>
      <c r="D4431" s="265" t="s">
        <v>10483</v>
      </c>
      <c r="E4431" s="262" t="s">
        <v>207</v>
      </c>
    </row>
    <row r="4432" spans="1:5" ht="30">
      <c r="A4432" s="261">
        <v>34548</v>
      </c>
      <c r="B4432" s="261" t="s">
        <v>8374</v>
      </c>
      <c r="C4432" s="261" t="s">
        <v>3243</v>
      </c>
      <c r="D4432" s="265" t="s">
        <v>12387</v>
      </c>
      <c r="E4432" s="262" t="s">
        <v>207</v>
      </c>
    </row>
    <row r="4433" spans="1:5" ht="30">
      <c r="A4433" s="261">
        <v>34558</v>
      </c>
      <c r="B4433" s="261" t="s">
        <v>8375</v>
      </c>
      <c r="C4433" s="261" t="s">
        <v>3243</v>
      </c>
      <c r="D4433" s="265" t="s">
        <v>11351</v>
      </c>
      <c r="E4433" s="262" t="s">
        <v>207</v>
      </c>
    </row>
    <row r="4434" spans="1:5" ht="30">
      <c r="A4434" s="261">
        <v>34550</v>
      </c>
      <c r="B4434" s="261" t="s">
        <v>8376</v>
      </c>
      <c r="C4434" s="261" t="s">
        <v>3243</v>
      </c>
      <c r="D4434" s="265" t="s">
        <v>16398</v>
      </c>
      <c r="E4434" s="262" t="s">
        <v>207</v>
      </c>
    </row>
    <row r="4435" spans="1:5" ht="30">
      <c r="A4435" s="261">
        <v>34557</v>
      </c>
      <c r="B4435" s="261" t="s">
        <v>8377</v>
      </c>
      <c r="C4435" s="261" t="s">
        <v>3243</v>
      </c>
      <c r="D4435" s="265" t="s">
        <v>10840</v>
      </c>
      <c r="E4435" s="262" t="s">
        <v>207</v>
      </c>
    </row>
    <row r="4436" spans="1:5" ht="30">
      <c r="A4436" s="261">
        <v>37411</v>
      </c>
      <c r="B4436" s="261" t="s">
        <v>9574</v>
      </c>
      <c r="C4436" s="261" t="s">
        <v>3242</v>
      </c>
      <c r="D4436" s="265" t="s">
        <v>10571</v>
      </c>
      <c r="E4436" s="262" t="s">
        <v>207</v>
      </c>
    </row>
    <row r="4437" spans="1:5" ht="30">
      <c r="A4437" s="261">
        <v>39508</v>
      </c>
      <c r="B4437" s="261" t="s">
        <v>9575</v>
      </c>
      <c r="C4437" s="261" t="s">
        <v>3242</v>
      </c>
      <c r="D4437" s="265" t="s">
        <v>11357</v>
      </c>
      <c r="E4437" s="262" t="s">
        <v>207</v>
      </c>
    </row>
    <row r="4438" spans="1:5" ht="30">
      <c r="A4438" s="261">
        <v>39507</v>
      </c>
      <c r="B4438" s="261" t="s">
        <v>9576</v>
      </c>
      <c r="C4438" s="261" t="s">
        <v>3242</v>
      </c>
      <c r="D4438" s="265" t="s">
        <v>11541</v>
      </c>
      <c r="E4438" s="262" t="s">
        <v>207</v>
      </c>
    </row>
    <row r="4439" spans="1:5" ht="30">
      <c r="A4439" s="261">
        <v>7155</v>
      </c>
      <c r="B4439" s="261" t="s">
        <v>9577</v>
      </c>
      <c r="C4439" s="261" t="s">
        <v>3242</v>
      </c>
      <c r="D4439" s="265" t="s">
        <v>20820</v>
      </c>
      <c r="E4439" s="262" t="s">
        <v>207</v>
      </c>
    </row>
    <row r="4440" spans="1:5" ht="30">
      <c r="A4440" s="261">
        <v>42406</v>
      </c>
      <c r="B4440" s="261" t="s">
        <v>9578</v>
      </c>
      <c r="C4440" s="261" t="s">
        <v>3242</v>
      </c>
      <c r="D4440" s="265" t="s">
        <v>20821</v>
      </c>
      <c r="E4440" s="262" t="s">
        <v>207</v>
      </c>
    </row>
    <row r="4441" spans="1:5" ht="30">
      <c r="A4441" s="261">
        <v>7156</v>
      </c>
      <c r="B4441" s="261" t="s">
        <v>9579</v>
      </c>
      <c r="C4441" s="261" t="s">
        <v>3242</v>
      </c>
      <c r="D4441" s="265" t="s">
        <v>20822</v>
      </c>
      <c r="E4441" s="262" t="s">
        <v>207</v>
      </c>
    </row>
    <row r="4442" spans="1:5" ht="45">
      <c r="A4442" s="261">
        <v>43127</v>
      </c>
      <c r="B4442" s="261" t="s">
        <v>9580</v>
      </c>
      <c r="C4442" s="261" t="s">
        <v>3242</v>
      </c>
      <c r="D4442" s="265" t="s">
        <v>20823</v>
      </c>
      <c r="E4442" s="262" t="s">
        <v>207</v>
      </c>
    </row>
    <row r="4443" spans="1:5" ht="30">
      <c r="A4443" s="261">
        <v>10917</v>
      </c>
      <c r="B4443" s="261" t="s">
        <v>9581</v>
      </c>
      <c r="C4443" s="261" t="s">
        <v>3242</v>
      </c>
      <c r="D4443" s="265" t="s">
        <v>19691</v>
      </c>
      <c r="E4443" s="262" t="s">
        <v>207</v>
      </c>
    </row>
    <row r="4444" spans="1:5" ht="45">
      <c r="A4444" s="261">
        <v>21141</v>
      </c>
      <c r="B4444" s="261" t="s">
        <v>9582</v>
      </c>
      <c r="C4444" s="261" t="s">
        <v>3242</v>
      </c>
      <c r="D4444" s="265" t="s">
        <v>19435</v>
      </c>
      <c r="E4444" s="262" t="s">
        <v>207</v>
      </c>
    </row>
    <row r="4445" spans="1:5" ht="30">
      <c r="A4445" s="261">
        <v>39509</v>
      </c>
      <c r="B4445" s="261" t="s">
        <v>9583</v>
      </c>
      <c r="C4445" s="261" t="s">
        <v>3242</v>
      </c>
      <c r="D4445" s="265" t="s">
        <v>14082</v>
      </c>
      <c r="E4445" s="262" t="s">
        <v>207</v>
      </c>
    </row>
    <row r="4446" spans="1:5" ht="15">
      <c r="A4446" s="261">
        <v>25988</v>
      </c>
      <c r="B4446" s="261" t="s">
        <v>8378</v>
      </c>
      <c r="C4446" s="261" t="s">
        <v>3242</v>
      </c>
      <c r="D4446" s="265" t="s">
        <v>10581</v>
      </c>
      <c r="E4446" s="262" t="s">
        <v>207</v>
      </c>
    </row>
    <row r="4447" spans="1:5" ht="30">
      <c r="A4447" s="261">
        <v>7167</v>
      </c>
      <c r="B4447" s="261" t="s">
        <v>9584</v>
      </c>
      <c r="C4447" s="261" t="s">
        <v>3242</v>
      </c>
      <c r="D4447" s="265" t="s">
        <v>20824</v>
      </c>
      <c r="E4447" s="262" t="s">
        <v>207</v>
      </c>
    </row>
    <row r="4448" spans="1:5" ht="30">
      <c r="A4448" s="261">
        <v>10928</v>
      </c>
      <c r="B4448" s="261" t="s">
        <v>9585</v>
      </c>
      <c r="C4448" s="261" t="s">
        <v>3242</v>
      </c>
      <c r="D4448" s="265" t="s">
        <v>11518</v>
      </c>
      <c r="E4448" s="262" t="s">
        <v>207</v>
      </c>
    </row>
    <row r="4449" spans="1:5" ht="30">
      <c r="A4449" s="261">
        <v>10933</v>
      </c>
      <c r="B4449" s="261" t="s">
        <v>9586</v>
      </c>
      <c r="C4449" s="261" t="s">
        <v>3242</v>
      </c>
      <c r="D4449" s="265" t="s">
        <v>10777</v>
      </c>
      <c r="E4449" s="262" t="s">
        <v>207</v>
      </c>
    </row>
    <row r="4450" spans="1:5" ht="30">
      <c r="A4450" s="261">
        <v>7158</v>
      </c>
      <c r="B4450" s="261" t="s">
        <v>9587</v>
      </c>
      <c r="C4450" s="261" t="s">
        <v>3242</v>
      </c>
      <c r="D4450" s="265" t="s">
        <v>20825</v>
      </c>
      <c r="E4450" s="262" t="s">
        <v>207</v>
      </c>
    </row>
    <row r="4451" spans="1:5" ht="30">
      <c r="A4451" s="261">
        <v>10927</v>
      </c>
      <c r="B4451" s="261" t="s">
        <v>9588</v>
      </c>
      <c r="C4451" s="261" t="s">
        <v>3242</v>
      </c>
      <c r="D4451" s="265" t="s">
        <v>15995</v>
      </c>
      <c r="E4451" s="262" t="s">
        <v>207</v>
      </c>
    </row>
    <row r="4452" spans="1:5" ht="30">
      <c r="A4452" s="261">
        <v>7162</v>
      </c>
      <c r="B4452" s="261" t="s">
        <v>9589</v>
      </c>
      <c r="C4452" s="261" t="s">
        <v>3242</v>
      </c>
      <c r="D4452" s="265" t="s">
        <v>20826</v>
      </c>
      <c r="E4452" s="262" t="s">
        <v>207</v>
      </c>
    </row>
    <row r="4453" spans="1:5" ht="30">
      <c r="A4453" s="261">
        <v>10932</v>
      </c>
      <c r="B4453" s="261" t="s">
        <v>9590</v>
      </c>
      <c r="C4453" s="261" t="s">
        <v>3242</v>
      </c>
      <c r="D4453" s="265" t="s">
        <v>14080</v>
      </c>
      <c r="E4453" s="262" t="s">
        <v>207</v>
      </c>
    </row>
    <row r="4454" spans="1:5" ht="30">
      <c r="A4454" s="261">
        <v>10937</v>
      </c>
      <c r="B4454" s="261" t="s">
        <v>9591</v>
      </c>
      <c r="C4454" s="261" t="s">
        <v>3242</v>
      </c>
      <c r="D4454" s="265" t="s">
        <v>10043</v>
      </c>
      <c r="E4454" s="262" t="s">
        <v>207</v>
      </c>
    </row>
    <row r="4455" spans="1:5" ht="30">
      <c r="A4455" s="261">
        <v>10935</v>
      </c>
      <c r="B4455" s="261" t="s">
        <v>9592</v>
      </c>
      <c r="C4455" s="261" t="s">
        <v>3242</v>
      </c>
      <c r="D4455" s="265" t="s">
        <v>20827</v>
      </c>
      <c r="E4455" s="262" t="s">
        <v>207</v>
      </c>
    </row>
    <row r="4456" spans="1:5" ht="30">
      <c r="A4456" s="261">
        <v>10931</v>
      </c>
      <c r="B4456" s="261" t="s">
        <v>9593</v>
      </c>
      <c r="C4456" s="261" t="s">
        <v>3242</v>
      </c>
      <c r="D4456" s="265" t="s">
        <v>12368</v>
      </c>
      <c r="E4456" s="262" t="s">
        <v>207</v>
      </c>
    </row>
    <row r="4457" spans="1:5" ht="15">
      <c r="A4457" s="261">
        <v>7164</v>
      </c>
      <c r="B4457" s="261" t="s">
        <v>8379</v>
      </c>
      <c r="C4457" s="261" t="s">
        <v>3242</v>
      </c>
      <c r="D4457" s="265" t="s">
        <v>20828</v>
      </c>
      <c r="E4457" s="262" t="s">
        <v>207</v>
      </c>
    </row>
    <row r="4458" spans="1:5" ht="15">
      <c r="A4458" s="261">
        <v>36887</v>
      </c>
      <c r="B4458" s="261" t="s">
        <v>8380</v>
      </c>
      <c r="C4458" s="261" t="s">
        <v>3242</v>
      </c>
      <c r="D4458" s="265" t="s">
        <v>11463</v>
      </c>
      <c r="E4458" s="262" t="s">
        <v>207</v>
      </c>
    </row>
    <row r="4459" spans="1:5" ht="45">
      <c r="A4459" s="261">
        <v>34630</v>
      </c>
      <c r="B4459" s="261" t="s">
        <v>8381</v>
      </c>
      <c r="C4459" s="261" t="s">
        <v>3240</v>
      </c>
      <c r="D4459" s="265" t="s">
        <v>20829</v>
      </c>
      <c r="E4459" s="262" t="s">
        <v>207</v>
      </c>
    </row>
    <row r="4460" spans="1:5" ht="15">
      <c r="A4460" s="261">
        <v>7161</v>
      </c>
      <c r="B4460" s="261" t="s">
        <v>8382</v>
      </c>
      <c r="C4460" s="261" t="s">
        <v>3242</v>
      </c>
      <c r="D4460" s="265" t="s">
        <v>18766</v>
      </c>
      <c r="E4460" s="262" t="s">
        <v>207</v>
      </c>
    </row>
    <row r="4461" spans="1:5" ht="30">
      <c r="A4461" s="261">
        <v>7170</v>
      </c>
      <c r="B4461" s="261" t="s">
        <v>8383</v>
      </c>
      <c r="C4461" s="261" t="s">
        <v>3242</v>
      </c>
      <c r="D4461" s="265" t="s">
        <v>10007</v>
      </c>
      <c r="E4461" s="262" t="s">
        <v>207</v>
      </c>
    </row>
    <row r="4462" spans="1:5" ht="30">
      <c r="A4462" s="261">
        <v>37524</v>
      </c>
      <c r="B4462" s="261" t="s">
        <v>8384</v>
      </c>
      <c r="C4462" s="261" t="s">
        <v>3243</v>
      </c>
      <c r="D4462" s="265" t="s">
        <v>11086</v>
      </c>
      <c r="E4462" s="262" t="s">
        <v>207</v>
      </c>
    </row>
    <row r="4463" spans="1:5" ht="30">
      <c r="A4463" s="261">
        <v>37525</v>
      </c>
      <c r="B4463" s="261" t="s">
        <v>8385</v>
      </c>
      <c r="C4463" s="261" t="s">
        <v>3243</v>
      </c>
      <c r="D4463" s="265" t="s">
        <v>11229</v>
      </c>
      <c r="E4463" s="262" t="s">
        <v>207</v>
      </c>
    </row>
    <row r="4464" spans="1:5" ht="30">
      <c r="A4464" s="261">
        <v>36789</v>
      </c>
      <c r="B4464" s="261" t="s">
        <v>8386</v>
      </c>
      <c r="C4464" s="261" t="s">
        <v>3240</v>
      </c>
      <c r="D4464" s="265" t="s">
        <v>11192</v>
      </c>
      <c r="E4464" s="262" t="s">
        <v>207</v>
      </c>
    </row>
    <row r="4465" spans="1:5" ht="45">
      <c r="A4465" s="261">
        <v>7173</v>
      </c>
      <c r="B4465" s="261" t="s">
        <v>8387</v>
      </c>
      <c r="C4465" s="261" t="s">
        <v>3250</v>
      </c>
      <c r="D4465" s="265" t="s">
        <v>20830</v>
      </c>
      <c r="E4465" s="262" t="s">
        <v>207</v>
      </c>
    </row>
    <row r="4466" spans="1:5" ht="45">
      <c r="A4466" s="261">
        <v>7175</v>
      </c>
      <c r="B4466" s="261" t="s">
        <v>16660</v>
      </c>
      <c r="C4466" s="261" t="s">
        <v>3240</v>
      </c>
      <c r="D4466" s="265" t="s">
        <v>19061</v>
      </c>
      <c r="E4466" s="262" t="s">
        <v>207</v>
      </c>
    </row>
    <row r="4467" spans="1:5" ht="30">
      <c r="A4467" s="261">
        <v>40741</v>
      </c>
      <c r="B4467" s="261" t="s">
        <v>12010</v>
      </c>
      <c r="C4467" s="261" t="s">
        <v>3240</v>
      </c>
      <c r="D4467" s="265" t="s">
        <v>11292</v>
      </c>
      <c r="E4467" s="262" t="s">
        <v>207</v>
      </c>
    </row>
    <row r="4468" spans="1:5" ht="15">
      <c r="A4468" s="261">
        <v>7184</v>
      </c>
      <c r="B4468" s="261" t="s">
        <v>8388</v>
      </c>
      <c r="C4468" s="261" t="s">
        <v>3242</v>
      </c>
      <c r="D4468" s="265" t="s">
        <v>16661</v>
      </c>
      <c r="E4468" s="262" t="s">
        <v>207</v>
      </c>
    </row>
    <row r="4469" spans="1:5" ht="15">
      <c r="A4469" s="261">
        <v>34458</v>
      </c>
      <c r="B4469" s="261" t="s">
        <v>8389</v>
      </c>
      <c r="C4469" s="261" t="s">
        <v>3240</v>
      </c>
      <c r="D4469" s="265" t="s">
        <v>20831</v>
      </c>
      <c r="E4469" s="262" t="s">
        <v>207</v>
      </c>
    </row>
    <row r="4470" spans="1:5" ht="15">
      <c r="A4470" s="261">
        <v>34464</v>
      </c>
      <c r="B4470" s="261" t="s">
        <v>8390</v>
      </c>
      <c r="C4470" s="261" t="s">
        <v>3240</v>
      </c>
      <c r="D4470" s="265" t="s">
        <v>20832</v>
      </c>
      <c r="E4470" s="262" t="s">
        <v>207</v>
      </c>
    </row>
    <row r="4471" spans="1:5" ht="15">
      <c r="A4471" s="261">
        <v>34468</v>
      </c>
      <c r="B4471" s="261" t="s">
        <v>8391</v>
      </c>
      <c r="C4471" s="261" t="s">
        <v>3240</v>
      </c>
      <c r="D4471" s="265" t="s">
        <v>20833</v>
      </c>
      <c r="E4471" s="262" t="s">
        <v>207</v>
      </c>
    </row>
    <row r="4472" spans="1:5" ht="15">
      <c r="A4472" s="261">
        <v>34473</v>
      </c>
      <c r="B4472" s="261" t="s">
        <v>8392</v>
      </c>
      <c r="C4472" s="261" t="s">
        <v>3240</v>
      </c>
      <c r="D4472" s="265" t="s">
        <v>20834</v>
      </c>
      <c r="E4472" s="262" t="s">
        <v>207</v>
      </c>
    </row>
    <row r="4473" spans="1:5" ht="15">
      <c r="A4473" s="261">
        <v>34480</v>
      </c>
      <c r="B4473" s="261" t="s">
        <v>8393</v>
      </c>
      <c r="C4473" s="261" t="s">
        <v>3240</v>
      </c>
      <c r="D4473" s="265" t="s">
        <v>20835</v>
      </c>
      <c r="E4473" s="262" t="s">
        <v>207</v>
      </c>
    </row>
    <row r="4474" spans="1:5" ht="15">
      <c r="A4474" s="261">
        <v>34486</v>
      </c>
      <c r="B4474" s="261" t="s">
        <v>8394</v>
      </c>
      <c r="C4474" s="261" t="s">
        <v>3240</v>
      </c>
      <c r="D4474" s="265" t="s">
        <v>16526</v>
      </c>
      <c r="E4474" s="262" t="s">
        <v>207</v>
      </c>
    </row>
    <row r="4475" spans="1:5" ht="15">
      <c r="A4475" s="261">
        <v>7202</v>
      </c>
      <c r="B4475" s="261" t="s">
        <v>8395</v>
      </c>
      <c r="C4475" s="261" t="s">
        <v>3242</v>
      </c>
      <c r="D4475" s="265" t="s">
        <v>20836</v>
      </c>
      <c r="E4475" s="262" t="s">
        <v>207</v>
      </c>
    </row>
    <row r="4476" spans="1:5" ht="15">
      <c r="A4476" s="261">
        <v>7190</v>
      </c>
      <c r="B4476" s="261" t="s">
        <v>8396</v>
      </c>
      <c r="C4476" s="261" t="s">
        <v>3240</v>
      </c>
      <c r="D4476" s="265" t="s">
        <v>19285</v>
      </c>
      <c r="E4476" s="262" t="s">
        <v>207</v>
      </c>
    </row>
    <row r="4477" spans="1:5" ht="15">
      <c r="A4477" s="261">
        <v>34417</v>
      </c>
      <c r="B4477" s="261" t="s">
        <v>8397</v>
      </c>
      <c r="C4477" s="261" t="s">
        <v>3240</v>
      </c>
      <c r="D4477" s="265" t="s">
        <v>10320</v>
      </c>
      <c r="E4477" s="262" t="s">
        <v>207</v>
      </c>
    </row>
    <row r="4478" spans="1:5" ht="15">
      <c r="A4478" s="261">
        <v>7213</v>
      </c>
      <c r="B4478" s="261" t="s">
        <v>8398</v>
      </c>
      <c r="C4478" s="261" t="s">
        <v>3242</v>
      </c>
      <c r="D4478" s="265" t="s">
        <v>19936</v>
      </c>
      <c r="E4478" s="262" t="s">
        <v>207</v>
      </c>
    </row>
    <row r="4479" spans="1:5" ht="15">
      <c r="A4479" s="261">
        <v>7195</v>
      </c>
      <c r="B4479" s="261" t="s">
        <v>8399</v>
      </c>
      <c r="C4479" s="261" t="s">
        <v>3240</v>
      </c>
      <c r="D4479" s="265" t="s">
        <v>19546</v>
      </c>
      <c r="E4479" s="262" t="s">
        <v>207</v>
      </c>
    </row>
    <row r="4480" spans="1:5" ht="15">
      <c r="A4480" s="261">
        <v>7186</v>
      </c>
      <c r="B4480" s="261" t="s">
        <v>8400</v>
      </c>
      <c r="C4480" s="261" t="s">
        <v>3240</v>
      </c>
      <c r="D4480" s="266" t="s">
        <v>20837</v>
      </c>
      <c r="E4480" s="262" t="s">
        <v>207</v>
      </c>
    </row>
    <row r="4481" spans="1:5" ht="15">
      <c r="A4481" s="261">
        <v>7194</v>
      </c>
      <c r="B4481" s="261" t="s">
        <v>8401</v>
      </c>
      <c r="C4481" s="261" t="s">
        <v>3242</v>
      </c>
      <c r="D4481" s="265" t="s">
        <v>16447</v>
      </c>
      <c r="E4481" s="262" t="s">
        <v>207</v>
      </c>
    </row>
    <row r="4482" spans="1:5" ht="15">
      <c r="A4482" s="261">
        <v>7197</v>
      </c>
      <c r="B4482" s="261" t="s">
        <v>8402</v>
      </c>
      <c r="C4482" s="261" t="s">
        <v>3240</v>
      </c>
      <c r="D4482" s="265" t="s">
        <v>20838</v>
      </c>
      <c r="E4482" s="262" t="s">
        <v>207</v>
      </c>
    </row>
    <row r="4483" spans="1:5" ht="15">
      <c r="A4483" s="261">
        <v>7192</v>
      </c>
      <c r="B4483" s="261" t="s">
        <v>8403</v>
      </c>
      <c r="C4483" s="261" t="s">
        <v>3240</v>
      </c>
      <c r="D4483" s="265" t="s">
        <v>16128</v>
      </c>
      <c r="E4483" s="262" t="s">
        <v>207</v>
      </c>
    </row>
    <row r="4484" spans="1:5" ht="15">
      <c r="A4484" s="261">
        <v>7193</v>
      </c>
      <c r="B4484" s="261" t="s">
        <v>8404</v>
      </c>
      <c r="C4484" s="261" t="s">
        <v>3240</v>
      </c>
      <c r="D4484" s="265" t="s">
        <v>14204</v>
      </c>
      <c r="E4484" s="262" t="s">
        <v>207</v>
      </c>
    </row>
    <row r="4485" spans="1:5" ht="15">
      <c r="A4485" s="261">
        <v>7189</v>
      </c>
      <c r="B4485" s="261" t="s">
        <v>8405</v>
      </c>
      <c r="C4485" s="261" t="s">
        <v>3240</v>
      </c>
      <c r="D4485" s="266" t="s">
        <v>20839</v>
      </c>
      <c r="E4485" s="262" t="s">
        <v>207</v>
      </c>
    </row>
    <row r="4486" spans="1:5" ht="15">
      <c r="A4486" s="261">
        <v>7198</v>
      </c>
      <c r="B4486" s="261" t="s">
        <v>8406</v>
      </c>
      <c r="C4486" s="261" t="s">
        <v>3242</v>
      </c>
      <c r="D4486" s="265" t="s">
        <v>20840</v>
      </c>
      <c r="E4486" s="262" t="s">
        <v>207</v>
      </c>
    </row>
    <row r="4487" spans="1:5" ht="15">
      <c r="A4487" s="261">
        <v>34402</v>
      </c>
      <c r="B4487" s="261" t="s">
        <v>8406</v>
      </c>
      <c r="C4487" s="261" t="s">
        <v>3240</v>
      </c>
      <c r="D4487" s="265" t="s">
        <v>20841</v>
      </c>
      <c r="E4487" s="262" t="s">
        <v>207</v>
      </c>
    </row>
    <row r="4488" spans="1:5" ht="15">
      <c r="A4488" s="261">
        <v>7245</v>
      </c>
      <c r="B4488" s="261" t="s">
        <v>8407</v>
      </c>
      <c r="C4488" s="261" t="s">
        <v>3240</v>
      </c>
      <c r="D4488" s="265" t="s">
        <v>20842</v>
      </c>
      <c r="E4488" s="262" t="s">
        <v>207</v>
      </c>
    </row>
    <row r="4489" spans="1:5" ht="15">
      <c r="A4489" s="261">
        <v>34425</v>
      </c>
      <c r="B4489" s="261" t="s">
        <v>8408</v>
      </c>
      <c r="C4489" s="261" t="s">
        <v>3240</v>
      </c>
      <c r="D4489" s="265" t="s">
        <v>20843</v>
      </c>
      <c r="E4489" s="262" t="s">
        <v>207</v>
      </c>
    </row>
    <row r="4490" spans="1:5" ht="15">
      <c r="A4490" s="261">
        <v>7223</v>
      </c>
      <c r="B4490" s="261" t="s">
        <v>8409</v>
      </c>
      <c r="C4490" s="261" t="s">
        <v>3240</v>
      </c>
      <c r="D4490" s="265" t="s">
        <v>20844</v>
      </c>
      <c r="E4490" s="262" t="s">
        <v>207</v>
      </c>
    </row>
    <row r="4491" spans="1:5" ht="15">
      <c r="A4491" s="261">
        <v>7234</v>
      </c>
      <c r="B4491" s="261" t="s">
        <v>8410</v>
      </c>
      <c r="C4491" s="261" t="s">
        <v>3240</v>
      </c>
      <c r="D4491" s="265" t="s">
        <v>20845</v>
      </c>
      <c r="E4491" s="262" t="s">
        <v>207</v>
      </c>
    </row>
    <row r="4492" spans="1:5" ht="15">
      <c r="A4492" s="261">
        <v>7224</v>
      </c>
      <c r="B4492" s="261" t="s">
        <v>8411</v>
      </c>
      <c r="C4492" s="261" t="s">
        <v>3240</v>
      </c>
      <c r="D4492" s="265" t="s">
        <v>14136</v>
      </c>
      <c r="E4492" s="262" t="s">
        <v>207</v>
      </c>
    </row>
    <row r="4493" spans="1:5" ht="15">
      <c r="A4493" s="261">
        <v>7221</v>
      </c>
      <c r="B4493" s="261" t="s">
        <v>8412</v>
      </c>
      <c r="C4493" s="261" t="s">
        <v>3242</v>
      </c>
      <c r="D4493" s="265" t="s">
        <v>16297</v>
      </c>
      <c r="E4493" s="262" t="s">
        <v>207</v>
      </c>
    </row>
    <row r="4494" spans="1:5" ht="15">
      <c r="A4494" s="261">
        <v>7225</v>
      </c>
      <c r="B4494" s="261" t="s">
        <v>8413</v>
      </c>
      <c r="C4494" s="261" t="s">
        <v>3240</v>
      </c>
      <c r="D4494" s="265" t="s">
        <v>20846</v>
      </c>
      <c r="E4494" s="262" t="s">
        <v>207</v>
      </c>
    </row>
    <row r="4495" spans="1:5" ht="15">
      <c r="A4495" s="261">
        <v>7226</v>
      </c>
      <c r="B4495" s="261" t="s">
        <v>8414</v>
      </c>
      <c r="C4495" s="261" t="s">
        <v>3240</v>
      </c>
      <c r="D4495" s="265" t="s">
        <v>20847</v>
      </c>
      <c r="E4495" s="262" t="s">
        <v>207</v>
      </c>
    </row>
    <row r="4496" spans="1:5" ht="15">
      <c r="A4496" s="261">
        <v>7236</v>
      </c>
      <c r="B4496" s="261" t="s">
        <v>8415</v>
      </c>
      <c r="C4496" s="261" t="s">
        <v>3240</v>
      </c>
      <c r="D4496" s="265" t="s">
        <v>16450</v>
      </c>
      <c r="E4496" s="262" t="s">
        <v>207</v>
      </c>
    </row>
    <row r="4497" spans="1:5" ht="15">
      <c r="A4497" s="261">
        <v>7227</v>
      </c>
      <c r="B4497" s="261" t="s">
        <v>8416</v>
      </c>
      <c r="C4497" s="261" t="s">
        <v>3240</v>
      </c>
      <c r="D4497" s="265" t="s">
        <v>20848</v>
      </c>
      <c r="E4497" s="262" t="s">
        <v>207</v>
      </c>
    </row>
    <row r="4498" spans="1:5" ht="15">
      <c r="A4498" s="261">
        <v>7212</v>
      </c>
      <c r="B4498" s="261" t="s">
        <v>8417</v>
      </c>
      <c r="C4498" s="261" t="s">
        <v>3240</v>
      </c>
      <c r="D4498" s="265" t="s">
        <v>20849</v>
      </c>
      <c r="E4498" s="262" t="s">
        <v>207</v>
      </c>
    </row>
    <row r="4499" spans="1:5" ht="15">
      <c r="A4499" s="261">
        <v>7229</v>
      </c>
      <c r="B4499" s="261" t="s">
        <v>8418</v>
      </c>
      <c r="C4499" s="261" t="s">
        <v>3240</v>
      </c>
      <c r="D4499" s="265" t="s">
        <v>20850</v>
      </c>
      <c r="E4499" s="262" t="s">
        <v>207</v>
      </c>
    </row>
    <row r="4500" spans="1:5" ht="15">
      <c r="A4500" s="261">
        <v>7230</v>
      </c>
      <c r="B4500" s="261" t="s">
        <v>8419</v>
      </c>
      <c r="C4500" s="261" t="s">
        <v>3240</v>
      </c>
      <c r="D4500" s="265" t="s">
        <v>20851</v>
      </c>
      <c r="E4500" s="262" t="s">
        <v>207</v>
      </c>
    </row>
    <row r="4501" spans="1:5" ht="15">
      <c r="A4501" s="261">
        <v>7231</v>
      </c>
      <c r="B4501" s="261" t="s">
        <v>8420</v>
      </c>
      <c r="C4501" s="261" t="s">
        <v>3240</v>
      </c>
      <c r="D4501" s="265" t="s">
        <v>20852</v>
      </c>
      <c r="E4501" s="262" t="s">
        <v>207</v>
      </c>
    </row>
    <row r="4502" spans="1:5" ht="15">
      <c r="A4502" s="261">
        <v>7220</v>
      </c>
      <c r="B4502" s="261" t="s">
        <v>8421</v>
      </c>
      <c r="C4502" s="261" t="s">
        <v>3240</v>
      </c>
      <c r="D4502" s="265" t="s">
        <v>20853</v>
      </c>
      <c r="E4502" s="262" t="s">
        <v>207</v>
      </c>
    </row>
    <row r="4503" spans="1:5" ht="15">
      <c r="A4503" s="261">
        <v>34447</v>
      </c>
      <c r="B4503" s="261" t="s">
        <v>8422</v>
      </c>
      <c r="C4503" s="261" t="s">
        <v>3240</v>
      </c>
      <c r="D4503" s="265" t="s">
        <v>20854</v>
      </c>
      <c r="E4503" s="262" t="s">
        <v>207</v>
      </c>
    </row>
    <row r="4504" spans="1:5" ht="15">
      <c r="A4504" s="261">
        <v>7233</v>
      </c>
      <c r="B4504" s="261" t="s">
        <v>8423</v>
      </c>
      <c r="C4504" s="261" t="s">
        <v>3240</v>
      </c>
      <c r="D4504" s="265" t="s">
        <v>20855</v>
      </c>
      <c r="E4504" s="262" t="s">
        <v>207</v>
      </c>
    </row>
    <row r="4505" spans="1:5" ht="60">
      <c r="A4505" s="261">
        <v>40740</v>
      </c>
      <c r="B4505" s="261" t="s">
        <v>11514</v>
      </c>
      <c r="C4505" s="261" t="s">
        <v>3242</v>
      </c>
      <c r="D4505" s="265" t="s">
        <v>20856</v>
      </c>
      <c r="E4505" s="262" t="s">
        <v>207</v>
      </c>
    </row>
    <row r="4506" spans="1:5" ht="30">
      <c r="A4506" s="261">
        <v>25007</v>
      </c>
      <c r="B4506" s="261" t="s">
        <v>9594</v>
      </c>
      <c r="C4506" s="261" t="s">
        <v>3242</v>
      </c>
      <c r="D4506" s="265" t="s">
        <v>20775</v>
      </c>
      <c r="E4506" s="262" t="s">
        <v>207</v>
      </c>
    </row>
    <row r="4507" spans="1:5" ht="60">
      <c r="A4507" s="261">
        <v>43071</v>
      </c>
      <c r="B4507" s="261" t="s">
        <v>12011</v>
      </c>
      <c r="C4507" s="261" t="s">
        <v>3242</v>
      </c>
      <c r="D4507" s="265" t="s">
        <v>16165</v>
      </c>
      <c r="E4507" s="262" t="s">
        <v>207</v>
      </c>
    </row>
    <row r="4508" spans="1:5" ht="60">
      <c r="A4508" s="261">
        <v>39520</v>
      </c>
      <c r="B4508" s="261" t="s">
        <v>9595</v>
      </c>
      <c r="C4508" s="261" t="s">
        <v>3242</v>
      </c>
      <c r="D4508" s="265" t="s">
        <v>20857</v>
      </c>
      <c r="E4508" s="262" t="s">
        <v>207</v>
      </c>
    </row>
    <row r="4509" spans="1:5" ht="60">
      <c r="A4509" s="261">
        <v>39521</v>
      </c>
      <c r="B4509" s="261" t="s">
        <v>9596</v>
      </c>
      <c r="C4509" s="261" t="s">
        <v>3242</v>
      </c>
      <c r="D4509" s="265" t="s">
        <v>20858</v>
      </c>
      <c r="E4509" s="262" t="s">
        <v>207</v>
      </c>
    </row>
    <row r="4510" spans="1:5" ht="60">
      <c r="A4510" s="261">
        <v>39522</v>
      </c>
      <c r="B4510" s="261" t="s">
        <v>9597</v>
      </c>
      <c r="C4510" s="261" t="s">
        <v>3242</v>
      </c>
      <c r="D4510" s="265" t="s">
        <v>20859</v>
      </c>
      <c r="E4510" s="262" t="s">
        <v>207</v>
      </c>
    </row>
    <row r="4511" spans="1:5" ht="30">
      <c r="A4511" s="261">
        <v>7243</v>
      </c>
      <c r="B4511" s="261" t="s">
        <v>9598</v>
      </c>
      <c r="C4511" s="261" t="s">
        <v>3242</v>
      </c>
      <c r="D4511" s="265" t="s">
        <v>20860</v>
      </c>
      <c r="E4511" s="262" t="s">
        <v>207</v>
      </c>
    </row>
    <row r="4512" spans="1:5" ht="30">
      <c r="A4512" s="261">
        <v>11067</v>
      </c>
      <c r="B4512" s="261" t="s">
        <v>9599</v>
      </c>
      <c r="C4512" s="261" t="s">
        <v>3240</v>
      </c>
      <c r="D4512" s="265" t="s">
        <v>15954</v>
      </c>
      <c r="E4512" s="262" t="s">
        <v>207</v>
      </c>
    </row>
    <row r="4513" spans="1:5" ht="30">
      <c r="A4513" s="261">
        <v>11068</v>
      </c>
      <c r="B4513" s="261" t="s">
        <v>9600</v>
      </c>
      <c r="C4513" s="261" t="s">
        <v>3240</v>
      </c>
      <c r="D4513" s="265" t="s">
        <v>20861</v>
      </c>
      <c r="E4513" s="262" t="s">
        <v>207</v>
      </c>
    </row>
    <row r="4514" spans="1:5" ht="15">
      <c r="A4514" s="261">
        <v>7246</v>
      </c>
      <c r="B4514" s="261" t="s">
        <v>8424</v>
      </c>
      <c r="C4514" s="261" t="s">
        <v>3240</v>
      </c>
      <c r="D4514" s="265" t="s">
        <v>20862</v>
      </c>
      <c r="E4514" s="262" t="s">
        <v>207</v>
      </c>
    </row>
    <row r="4515" spans="1:5" ht="15">
      <c r="A4515" s="261">
        <v>12869</v>
      </c>
      <c r="B4515" s="261" t="s">
        <v>8425</v>
      </c>
      <c r="C4515" s="261" t="s">
        <v>3239</v>
      </c>
      <c r="D4515" s="265" t="s">
        <v>12385</v>
      </c>
      <c r="E4515" s="262" t="s">
        <v>9714</v>
      </c>
    </row>
    <row r="4516" spans="1:5" ht="15">
      <c r="A4516" s="261">
        <v>41097</v>
      </c>
      <c r="B4516" s="261" t="s">
        <v>11515</v>
      </c>
      <c r="C4516" s="261" t="s">
        <v>3246</v>
      </c>
      <c r="D4516" s="265" t="s">
        <v>20330</v>
      </c>
      <c r="E4516" s="262" t="s">
        <v>9714</v>
      </c>
    </row>
    <row r="4517" spans="1:5" ht="30">
      <c r="A4517" s="261">
        <v>1574</v>
      </c>
      <c r="B4517" s="261" t="s">
        <v>8426</v>
      </c>
      <c r="C4517" s="261" t="s">
        <v>3240</v>
      </c>
      <c r="D4517" s="265" t="s">
        <v>12375</v>
      </c>
      <c r="E4517" s="262" t="s">
        <v>207</v>
      </c>
    </row>
    <row r="4518" spans="1:5" ht="30">
      <c r="A4518" s="261">
        <v>1581</v>
      </c>
      <c r="B4518" s="261" t="s">
        <v>8427</v>
      </c>
      <c r="C4518" s="261" t="s">
        <v>3240</v>
      </c>
      <c r="D4518" s="265" t="s">
        <v>10124</v>
      </c>
      <c r="E4518" s="262" t="s">
        <v>207</v>
      </c>
    </row>
    <row r="4519" spans="1:5" ht="30">
      <c r="A4519" s="261">
        <v>1575</v>
      </c>
      <c r="B4519" s="261" t="s">
        <v>8428</v>
      </c>
      <c r="C4519" s="261" t="s">
        <v>3240</v>
      </c>
      <c r="D4519" s="265" t="s">
        <v>11065</v>
      </c>
      <c r="E4519" s="262" t="s">
        <v>207</v>
      </c>
    </row>
    <row r="4520" spans="1:5" ht="30">
      <c r="A4520" s="261">
        <v>1570</v>
      </c>
      <c r="B4520" s="261" t="s">
        <v>8429</v>
      </c>
      <c r="C4520" s="261" t="s">
        <v>3240</v>
      </c>
      <c r="D4520" s="265" t="s">
        <v>9845</v>
      </c>
      <c r="E4520" s="262" t="s">
        <v>207</v>
      </c>
    </row>
    <row r="4521" spans="1:5" ht="30">
      <c r="A4521" s="261">
        <v>1576</v>
      </c>
      <c r="B4521" s="261" t="s">
        <v>8430</v>
      </c>
      <c r="C4521" s="261" t="s">
        <v>3240</v>
      </c>
      <c r="D4521" s="265" t="s">
        <v>11134</v>
      </c>
      <c r="E4521" s="262" t="s">
        <v>207</v>
      </c>
    </row>
    <row r="4522" spans="1:5" ht="30">
      <c r="A4522" s="261">
        <v>1577</v>
      </c>
      <c r="B4522" s="261" t="s">
        <v>8431</v>
      </c>
      <c r="C4522" s="261" t="s">
        <v>3240</v>
      </c>
      <c r="D4522" s="265" t="s">
        <v>9838</v>
      </c>
      <c r="E4522" s="262" t="s">
        <v>207</v>
      </c>
    </row>
    <row r="4523" spans="1:5" ht="30">
      <c r="A4523" s="261">
        <v>1571</v>
      </c>
      <c r="B4523" s="261" t="s">
        <v>8432</v>
      </c>
      <c r="C4523" s="261" t="s">
        <v>3240</v>
      </c>
      <c r="D4523" s="265" t="s">
        <v>11202</v>
      </c>
      <c r="E4523" s="262" t="s">
        <v>207</v>
      </c>
    </row>
    <row r="4524" spans="1:5" ht="30">
      <c r="A4524" s="261">
        <v>1578</v>
      </c>
      <c r="B4524" s="261" t="s">
        <v>8433</v>
      </c>
      <c r="C4524" s="261" t="s">
        <v>3240</v>
      </c>
      <c r="D4524" s="265" t="s">
        <v>10482</v>
      </c>
      <c r="E4524" s="262" t="s">
        <v>207</v>
      </c>
    </row>
    <row r="4525" spans="1:5" ht="30">
      <c r="A4525" s="261">
        <v>1573</v>
      </c>
      <c r="B4525" s="261" t="s">
        <v>8434</v>
      </c>
      <c r="C4525" s="261" t="s">
        <v>3240</v>
      </c>
      <c r="D4525" s="265" t="s">
        <v>11172</v>
      </c>
      <c r="E4525" s="262" t="s">
        <v>207</v>
      </c>
    </row>
    <row r="4526" spans="1:5" ht="30">
      <c r="A4526" s="261">
        <v>1579</v>
      </c>
      <c r="B4526" s="261" t="s">
        <v>8435</v>
      </c>
      <c r="C4526" s="261" t="s">
        <v>3240</v>
      </c>
      <c r="D4526" s="265" t="s">
        <v>10627</v>
      </c>
      <c r="E4526" s="262" t="s">
        <v>207</v>
      </c>
    </row>
    <row r="4527" spans="1:5" ht="30">
      <c r="A4527" s="261">
        <v>1580</v>
      </c>
      <c r="B4527" s="261" t="s">
        <v>8436</v>
      </c>
      <c r="C4527" s="261" t="s">
        <v>3240</v>
      </c>
      <c r="D4527" s="265" t="s">
        <v>10105</v>
      </c>
      <c r="E4527" s="262" t="s">
        <v>207</v>
      </c>
    </row>
    <row r="4528" spans="1:5" ht="15">
      <c r="A4528" s="261">
        <v>39321</v>
      </c>
      <c r="B4528" s="261" t="s">
        <v>8437</v>
      </c>
      <c r="C4528" s="261" t="s">
        <v>3240</v>
      </c>
      <c r="D4528" s="265" t="s">
        <v>10299</v>
      </c>
      <c r="E4528" s="262" t="s">
        <v>207</v>
      </c>
    </row>
    <row r="4529" spans="1:5" ht="15">
      <c r="A4529" s="261">
        <v>39319</v>
      </c>
      <c r="B4529" s="261" t="s">
        <v>8438</v>
      </c>
      <c r="C4529" s="261" t="s">
        <v>3240</v>
      </c>
      <c r="D4529" s="265" t="s">
        <v>11504</v>
      </c>
      <c r="E4529" s="262" t="s">
        <v>207</v>
      </c>
    </row>
    <row r="4530" spans="1:5" ht="15">
      <c r="A4530" s="261">
        <v>39320</v>
      </c>
      <c r="B4530" s="261" t="s">
        <v>8439</v>
      </c>
      <c r="C4530" s="261" t="s">
        <v>3240</v>
      </c>
      <c r="D4530" s="265" t="s">
        <v>19430</v>
      </c>
      <c r="E4530" s="262" t="s">
        <v>207</v>
      </c>
    </row>
    <row r="4531" spans="1:5" ht="15">
      <c r="A4531" s="261">
        <v>1591</v>
      </c>
      <c r="B4531" s="261" t="s">
        <v>8440</v>
      </c>
      <c r="C4531" s="261" t="s">
        <v>3240</v>
      </c>
      <c r="D4531" s="265" t="s">
        <v>11183</v>
      </c>
      <c r="E4531" s="262" t="s">
        <v>207</v>
      </c>
    </row>
    <row r="4532" spans="1:5" ht="30">
      <c r="A4532" s="261">
        <v>1547</v>
      </c>
      <c r="B4532" s="261" t="s">
        <v>8441</v>
      </c>
      <c r="C4532" s="261" t="s">
        <v>3240</v>
      </c>
      <c r="D4532" s="265" t="s">
        <v>14263</v>
      </c>
      <c r="E4532" s="262" t="s">
        <v>207</v>
      </c>
    </row>
    <row r="4533" spans="1:5" ht="15">
      <c r="A4533" s="261">
        <v>38196</v>
      </c>
      <c r="B4533" s="261" t="s">
        <v>8442</v>
      </c>
      <c r="C4533" s="261" t="s">
        <v>3240</v>
      </c>
      <c r="D4533" s="265" t="s">
        <v>20863</v>
      </c>
      <c r="E4533" s="262" t="s">
        <v>207</v>
      </c>
    </row>
    <row r="4534" spans="1:5" ht="30">
      <c r="A4534" s="261">
        <v>1543</v>
      </c>
      <c r="B4534" s="261" t="s">
        <v>8443</v>
      </c>
      <c r="C4534" s="261" t="s">
        <v>3240</v>
      </c>
      <c r="D4534" s="265" t="s">
        <v>16095</v>
      </c>
      <c r="E4534" s="262" t="s">
        <v>207</v>
      </c>
    </row>
    <row r="4535" spans="1:5" ht="15">
      <c r="A4535" s="261">
        <v>1585</v>
      </c>
      <c r="B4535" s="261" t="s">
        <v>8444</v>
      </c>
      <c r="C4535" s="261" t="s">
        <v>3240</v>
      </c>
      <c r="D4535" s="265" t="s">
        <v>10482</v>
      </c>
      <c r="E4535" s="262" t="s">
        <v>207</v>
      </c>
    </row>
    <row r="4536" spans="1:5" ht="15">
      <c r="A4536" s="261">
        <v>1593</v>
      </c>
      <c r="B4536" s="261" t="s">
        <v>8445</v>
      </c>
      <c r="C4536" s="261" t="s">
        <v>3240</v>
      </c>
      <c r="D4536" s="265" t="s">
        <v>16029</v>
      </c>
      <c r="E4536" s="262" t="s">
        <v>207</v>
      </c>
    </row>
    <row r="4537" spans="1:5" ht="15">
      <c r="A4537" s="261">
        <v>11838</v>
      </c>
      <c r="B4537" s="261" t="s">
        <v>8446</v>
      </c>
      <c r="C4537" s="261" t="s">
        <v>3240</v>
      </c>
      <c r="D4537" s="265" t="s">
        <v>15791</v>
      </c>
      <c r="E4537" s="262" t="s">
        <v>207</v>
      </c>
    </row>
    <row r="4538" spans="1:5" ht="30">
      <c r="A4538" s="261">
        <v>1594</v>
      </c>
      <c r="B4538" s="261" t="s">
        <v>8447</v>
      </c>
      <c r="C4538" s="261" t="s">
        <v>3240</v>
      </c>
      <c r="D4538" s="265" t="s">
        <v>11428</v>
      </c>
      <c r="E4538" s="262" t="s">
        <v>207</v>
      </c>
    </row>
    <row r="4539" spans="1:5" ht="15">
      <c r="A4539" s="261">
        <v>1586</v>
      </c>
      <c r="B4539" s="261" t="s">
        <v>8448</v>
      </c>
      <c r="C4539" s="261" t="s">
        <v>3240</v>
      </c>
      <c r="D4539" s="265" t="s">
        <v>10229</v>
      </c>
      <c r="E4539" s="262" t="s">
        <v>207</v>
      </c>
    </row>
    <row r="4540" spans="1:5" ht="15">
      <c r="A4540" s="261">
        <v>11839</v>
      </c>
      <c r="B4540" s="261" t="s">
        <v>8449</v>
      </c>
      <c r="C4540" s="261" t="s">
        <v>3240</v>
      </c>
      <c r="D4540" s="265" t="s">
        <v>20864</v>
      </c>
      <c r="E4540" s="262" t="s">
        <v>207</v>
      </c>
    </row>
    <row r="4541" spans="1:5" ht="15">
      <c r="A4541" s="261">
        <v>1587</v>
      </c>
      <c r="B4541" s="261" t="s">
        <v>8450</v>
      </c>
      <c r="C4541" s="261" t="s">
        <v>3240</v>
      </c>
      <c r="D4541" s="265" t="s">
        <v>9749</v>
      </c>
      <c r="E4541" s="262" t="s">
        <v>207</v>
      </c>
    </row>
    <row r="4542" spans="1:5" ht="30">
      <c r="A4542" s="261">
        <v>1545</v>
      </c>
      <c r="B4542" s="261" t="s">
        <v>8451</v>
      </c>
      <c r="C4542" s="261" t="s">
        <v>3240</v>
      </c>
      <c r="D4542" s="265" t="s">
        <v>20865</v>
      </c>
      <c r="E4542" s="262" t="s">
        <v>207</v>
      </c>
    </row>
    <row r="4543" spans="1:5" ht="15">
      <c r="A4543" s="261">
        <v>1588</v>
      </c>
      <c r="B4543" s="261" t="s">
        <v>8452</v>
      </c>
      <c r="C4543" s="261" t="s">
        <v>3240</v>
      </c>
      <c r="D4543" s="265" t="s">
        <v>12319</v>
      </c>
      <c r="E4543" s="262" t="s">
        <v>207</v>
      </c>
    </row>
    <row r="4544" spans="1:5" ht="30">
      <c r="A4544" s="261">
        <v>1535</v>
      </c>
      <c r="B4544" s="261" t="s">
        <v>8453</v>
      </c>
      <c r="C4544" s="261" t="s">
        <v>3240</v>
      </c>
      <c r="D4544" s="265" t="s">
        <v>10582</v>
      </c>
      <c r="E4544" s="262" t="s">
        <v>207</v>
      </c>
    </row>
    <row r="4545" spans="1:5" ht="15">
      <c r="A4545" s="261">
        <v>1589</v>
      </c>
      <c r="B4545" s="261" t="s">
        <v>8454</v>
      </c>
      <c r="C4545" s="261" t="s">
        <v>3240</v>
      </c>
      <c r="D4545" s="265" t="s">
        <v>11078</v>
      </c>
      <c r="E4545" s="262" t="s">
        <v>207</v>
      </c>
    </row>
    <row r="4546" spans="1:5" ht="30">
      <c r="A4546" s="261">
        <v>1546</v>
      </c>
      <c r="B4546" s="261" t="s">
        <v>8455</v>
      </c>
      <c r="C4546" s="261" t="s">
        <v>3240</v>
      </c>
      <c r="D4546" s="265" t="s">
        <v>20866</v>
      </c>
      <c r="E4546" s="262" t="s">
        <v>207</v>
      </c>
    </row>
    <row r="4547" spans="1:5" ht="15">
      <c r="A4547" s="261">
        <v>1590</v>
      </c>
      <c r="B4547" s="261" t="s">
        <v>8456</v>
      </c>
      <c r="C4547" s="261" t="s">
        <v>3240</v>
      </c>
      <c r="D4547" s="265" t="s">
        <v>16046</v>
      </c>
      <c r="E4547" s="262" t="s">
        <v>207</v>
      </c>
    </row>
    <row r="4548" spans="1:5" ht="30">
      <c r="A4548" s="261">
        <v>1542</v>
      </c>
      <c r="B4548" s="261" t="s">
        <v>8457</v>
      </c>
      <c r="C4548" s="261" t="s">
        <v>3240</v>
      </c>
      <c r="D4548" s="265" t="s">
        <v>20867</v>
      </c>
      <c r="E4548" s="262" t="s">
        <v>207</v>
      </c>
    </row>
    <row r="4549" spans="1:5" ht="30">
      <c r="A4549" s="261">
        <v>38415</v>
      </c>
      <c r="B4549" s="261" t="s">
        <v>8458</v>
      </c>
      <c r="C4549" s="261" t="s">
        <v>3240</v>
      </c>
      <c r="D4549" s="265" t="s">
        <v>20868</v>
      </c>
      <c r="E4549" s="262" t="s">
        <v>207</v>
      </c>
    </row>
    <row r="4550" spans="1:5" ht="30">
      <c r="A4550" s="261">
        <v>38414</v>
      </c>
      <c r="B4550" s="261" t="s">
        <v>8459</v>
      </c>
      <c r="C4550" s="261" t="s">
        <v>3240</v>
      </c>
      <c r="D4550" s="265" t="s">
        <v>20869</v>
      </c>
      <c r="E4550" s="262" t="s">
        <v>207</v>
      </c>
    </row>
    <row r="4551" spans="1:5" ht="15">
      <c r="A4551" s="261">
        <v>38128</v>
      </c>
      <c r="B4551" s="261" t="s">
        <v>8460</v>
      </c>
      <c r="C4551" s="261" t="s">
        <v>3244</v>
      </c>
      <c r="D4551" s="265" t="s">
        <v>9862</v>
      </c>
      <c r="E4551" s="262" t="s">
        <v>207</v>
      </c>
    </row>
    <row r="4552" spans="1:5" ht="15">
      <c r="A4552" s="261">
        <v>7253</v>
      </c>
      <c r="B4552" s="261" t="s">
        <v>8461</v>
      </c>
      <c r="C4552" s="261" t="s">
        <v>3241</v>
      </c>
      <c r="D4552" s="265" t="s">
        <v>20870</v>
      </c>
      <c r="E4552" s="262" t="s">
        <v>207</v>
      </c>
    </row>
    <row r="4553" spans="1:5" ht="15">
      <c r="A4553" s="261">
        <v>43781</v>
      </c>
      <c r="B4553" s="261" t="s">
        <v>20871</v>
      </c>
      <c r="C4553" s="261" t="s">
        <v>20872</v>
      </c>
      <c r="D4553" s="265" t="s">
        <v>18769</v>
      </c>
      <c r="E4553" s="262" t="s">
        <v>207</v>
      </c>
    </row>
    <row r="4554" spans="1:5" ht="15">
      <c r="A4554" s="261">
        <v>4806</v>
      </c>
      <c r="B4554" s="261" t="s">
        <v>8462</v>
      </c>
      <c r="C4554" s="261" t="s">
        <v>3243</v>
      </c>
      <c r="D4554" s="265" t="s">
        <v>10510</v>
      </c>
      <c r="E4554" s="262" t="s">
        <v>207</v>
      </c>
    </row>
    <row r="4555" spans="1:5" ht="15">
      <c r="A4555" s="261">
        <v>34401</v>
      </c>
      <c r="B4555" s="261" t="s">
        <v>12012</v>
      </c>
      <c r="C4555" s="261" t="s">
        <v>3240</v>
      </c>
      <c r="D4555" s="265" t="s">
        <v>11192</v>
      </c>
      <c r="E4555" s="262" t="s">
        <v>207</v>
      </c>
    </row>
    <row r="4556" spans="1:5" ht="15">
      <c r="A4556" s="261">
        <v>7260</v>
      </c>
      <c r="B4556" s="261" t="s">
        <v>12013</v>
      </c>
      <c r="C4556" s="261" t="s">
        <v>3240</v>
      </c>
      <c r="D4556" s="265" t="s">
        <v>11065</v>
      </c>
      <c r="E4556" s="262" t="s">
        <v>207</v>
      </c>
    </row>
    <row r="4557" spans="1:5" ht="15">
      <c r="A4557" s="261">
        <v>7256</v>
      </c>
      <c r="B4557" s="261" t="s">
        <v>12014</v>
      </c>
      <c r="C4557" s="261" t="s">
        <v>3240</v>
      </c>
      <c r="D4557" s="265" t="s">
        <v>10078</v>
      </c>
      <c r="E4557" s="262" t="s">
        <v>207</v>
      </c>
    </row>
    <row r="4558" spans="1:5" ht="15">
      <c r="A4558" s="261">
        <v>7258</v>
      </c>
      <c r="B4558" s="261" t="s">
        <v>12015</v>
      </c>
      <c r="C4558" s="261" t="s">
        <v>3240</v>
      </c>
      <c r="D4558" s="265" t="s">
        <v>10905</v>
      </c>
      <c r="E4558" s="262" t="s">
        <v>207</v>
      </c>
    </row>
    <row r="4559" spans="1:5" ht="15">
      <c r="A4559" s="261">
        <v>34400</v>
      </c>
      <c r="B4559" s="261" t="s">
        <v>12016</v>
      </c>
      <c r="C4559" s="261" t="s">
        <v>3240</v>
      </c>
      <c r="D4559" s="265" t="s">
        <v>16516</v>
      </c>
      <c r="E4559" s="262" t="s">
        <v>207</v>
      </c>
    </row>
    <row r="4560" spans="1:5" ht="15">
      <c r="A4560" s="261">
        <v>10617</v>
      </c>
      <c r="B4560" s="261" t="s">
        <v>12017</v>
      </c>
      <c r="C4560" s="261" t="s">
        <v>3240</v>
      </c>
      <c r="D4560" s="265" t="s">
        <v>11176</v>
      </c>
      <c r="E4560" s="262" t="s">
        <v>207</v>
      </c>
    </row>
    <row r="4561" spans="1:5" ht="30">
      <c r="A4561" s="261">
        <v>7274</v>
      </c>
      <c r="B4561" s="261" t="s">
        <v>8463</v>
      </c>
      <c r="C4561" s="261" t="s">
        <v>3240</v>
      </c>
      <c r="D4561" s="265" t="s">
        <v>20873</v>
      </c>
      <c r="E4561" s="262" t="s">
        <v>207</v>
      </c>
    </row>
    <row r="4562" spans="1:5" ht="30">
      <c r="A4562" s="261">
        <v>11663</v>
      </c>
      <c r="B4562" s="261" t="s">
        <v>8464</v>
      </c>
      <c r="C4562" s="261" t="s">
        <v>3240</v>
      </c>
      <c r="D4562" s="265" t="s">
        <v>20874</v>
      </c>
      <c r="E4562" s="262" t="s">
        <v>207</v>
      </c>
    </row>
    <row r="4563" spans="1:5" ht="15">
      <c r="A4563" s="261">
        <v>154</v>
      </c>
      <c r="B4563" s="261" t="s">
        <v>9601</v>
      </c>
      <c r="C4563" s="261" t="s">
        <v>3245</v>
      </c>
      <c r="D4563" s="265" t="s">
        <v>19723</v>
      </c>
      <c r="E4563" s="262" t="s">
        <v>207</v>
      </c>
    </row>
    <row r="4564" spans="1:5" ht="30">
      <c r="A4564" s="261">
        <v>38121</v>
      </c>
      <c r="B4564" s="261" t="s">
        <v>8465</v>
      </c>
      <c r="C4564" s="261" t="s">
        <v>3245</v>
      </c>
      <c r="D4564" s="266" t="s">
        <v>10438</v>
      </c>
      <c r="E4564" s="262" t="s">
        <v>207</v>
      </c>
    </row>
    <row r="4565" spans="1:5" ht="30">
      <c r="A4565" s="261">
        <v>7343</v>
      </c>
      <c r="B4565" s="261" t="s">
        <v>8466</v>
      </c>
      <c r="C4565" s="261" t="s">
        <v>3245</v>
      </c>
      <c r="D4565" s="266" t="s">
        <v>11296</v>
      </c>
      <c r="E4565" s="262" t="s">
        <v>207</v>
      </c>
    </row>
    <row r="4566" spans="1:5" ht="15">
      <c r="A4566" s="261">
        <v>43776</v>
      </c>
      <c r="B4566" s="261" t="s">
        <v>12018</v>
      </c>
      <c r="C4566" s="261" t="s">
        <v>3245</v>
      </c>
      <c r="D4566" s="266" t="s">
        <v>10579</v>
      </c>
      <c r="E4566" s="262" t="s">
        <v>207</v>
      </c>
    </row>
    <row r="4567" spans="1:5" ht="15">
      <c r="A4567" s="261">
        <v>7350</v>
      </c>
      <c r="B4567" s="261" t="s">
        <v>8467</v>
      </c>
      <c r="C4567" s="261" t="s">
        <v>3245</v>
      </c>
      <c r="D4567" s="266" t="s">
        <v>11511</v>
      </c>
      <c r="E4567" s="262" t="s">
        <v>207</v>
      </c>
    </row>
    <row r="4568" spans="1:5" ht="15">
      <c r="A4568" s="261">
        <v>7348</v>
      </c>
      <c r="B4568" s="261" t="s">
        <v>8468</v>
      </c>
      <c r="C4568" s="261" t="s">
        <v>3245</v>
      </c>
      <c r="D4568" s="266" t="s">
        <v>10558</v>
      </c>
      <c r="E4568" s="262" t="s">
        <v>207</v>
      </c>
    </row>
    <row r="4569" spans="1:5" ht="15">
      <c r="A4569" s="261">
        <v>7356</v>
      </c>
      <c r="B4569" s="261" t="s">
        <v>8469</v>
      </c>
      <c r="C4569" s="261" t="s">
        <v>3245</v>
      </c>
      <c r="D4569" s="266" t="s">
        <v>10652</v>
      </c>
      <c r="E4569" s="262" t="s">
        <v>207</v>
      </c>
    </row>
    <row r="4570" spans="1:5" ht="30">
      <c r="A4570" s="261">
        <v>7313</v>
      </c>
      <c r="B4570" s="261" t="s">
        <v>8470</v>
      </c>
      <c r="C4570" s="261" t="s">
        <v>3245</v>
      </c>
      <c r="D4570" s="266" t="s">
        <v>10661</v>
      </c>
      <c r="E4570" s="262" t="s">
        <v>207</v>
      </c>
    </row>
    <row r="4571" spans="1:5" ht="30">
      <c r="A4571" s="261">
        <v>7319</v>
      </c>
      <c r="B4571" s="261" t="s">
        <v>8471</v>
      </c>
      <c r="C4571" s="261" t="s">
        <v>3245</v>
      </c>
      <c r="D4571" s="266" t="s">
        <v>20875</v>
      </c>
      <c r="E4571" s="262" t="s">
        <v>207</v>
      </c>
    </row>
    <row r="4572" spans="1:5" ht="15">
      <c r="A4572" s="261">
        <v>38119</v>
      </c>
      <c r="B4572" s="261" t="s">
        <v>8472</v>
      </c>
      <c r="C4572" s="261" t="s">
        <v>3245</v>
      </c>
      <c r="D4572" s="266" t="s">
        <v>20876</v>
      </c>
      <c r="E4572" s="262" t="s">
        <v>207</v>
      </c>
    </row>
    <row r="4573" spans="1:5" ht="15">
      <c r="A4573" s="261">
        <v>7314</v>
      </c>
      <c r="B4573" s="261" t="s">
        <v>8473</v>
      </c>
      <c r="C4573" s="261" t="s">
        <v>3245</v>
      </c>
      <c r="D4573" s="266" t="s">
        <v>14174</v>
      </c>
      <c r="E4573" s="262" t="s">
        <v>207</v>
      </c>
    </row>
    <row r="4574" spans="1:5" ht="15">
      <c r="A4574" s="261">
        <v>38131</v>
      </c>
      <c r="B4574" s="261" t="s">
        <v>8474</v>
      </c>
      <c r="C4574" s="261" t="s">
        <v>3245</v>
      </c>
      <c r="D4574" s="266" t="s">
        <v>19964</v>
      </c>
      <c r="E4574" s="262" t="s">
        <v>207</v>
      </c>
    </row>
    <row r="4575" spans="1:5" ht="15">
      <c r="A4575" s="261">
        <v>7304</v>
      </c>
      <c r="B4575" s="261" t="s">
        <v>12019</v>
      </c>
      <c r="C4575" s="261" t="s">
        <v>3245</v>
      </c>
      <c r="D4575" s="266" t="s">
        <v>16017</v>
      </c>
      <c r="E4575" s="262" t="s">
        <v>207</v>
      </c>
    </row>
    <row r="4576" spans="1:5" ht="15">
      <c r="A4576" s="261">
        <v>43649</v>
      </c>
      <c r="B4576" s="261" t="s">
        <v>12020</v>
      </c>
      <c r="C4576" s="261" t="s">
        <v>3245</v>
      </c>
      <c r="D4576" s="266" t="s">
        <v>20802</v>
      </c>
      <c r="E4576" s="262" t="s">
        <v>207</v>
      </c>
    </row>
    <row r="4577" spans="1:5" ht="15">
      <c r="A4577" s="261">
        <v>43650</v>
      </c>
      <c r="B4577" s="261" t="s">
        <v>12021</v>
      </c>
      <c r="C4577" s="261" t="s">
        <v>3245</v>
      </c>
      <c r="D4577" s="266" t="s">
        <v>20877</v>
      </c>
      <c r="E4577" s="262" t="s">
        <v>207</v>
      </c>
    </row>
    <row r="4578" spans="1:5" ht="15">
      <c r="A4578" s="261">
        <v>7311</v>
      </c>
      <c r="B4578" s="261" t="s">
        <v>8475</v>
      </c>
      <c r="C4578" s="261" t="s">
        <v>3245</v>
      </c>
      <c r="D4578" s="266" t="s">
        <v>14314</v>
      </c>
      <c r="E4578" s="262" t="s">
        <v>207</v>
      </c>
    </row>
    <row r="4579" spans="1:5" ht="15">
      <c r="A4579" s="261">
        <v>7292</v>
      </c>
      <c r="B4579" s="261" t="s">
        <v>8476</v>
      </c>
      <c r="C4579" s="261" t="s">
        <v>3245</v>
      </c>
      <c r="D4579" s="266" t="s">
        <v>12391</v>
      </c>
      <c r="E4579" s="262" t="s">
        <v>207</v>
      </c>
    </row>
    <row r="4580" spans="1:5" ht="30">
      <c r="A4580" s="261">
        <v>7293</v>
      </c>
      <c r="B4580" s="261" t="s">
        <v>12022</v>
      </c>
      <c r="C4580" s="261" t="s">
        <v>3245</v>
      </c>
      <c r="D4580" s="266" t="s">
        <v>20878</v>
      </c>
      <c r="E4580" s="262" t="s">
        <v>207</v>
      </c>
    </row>
    <row r="4581" spans="1:5" ht="30">
      <c r="A4581" s="261">
        <v>7306</v>
      </c>
      <c r="B4581" s="261" t="s">
        <v>12023</v>
      </c>
      <c r="C4581" s="261" t="s">
        <v>3245</v>
      </c>
      <c r="D4581" s="266" t="s">
        <v>20879</v>
      </c>
      <c r="E4581" s="262" t="s">
        <v>207</v>
      </c>
    </row>
    <row r="4582" spans="1:5" ht="15">
      <c r="A4582" s="261">
        <v>7288</v>
      </c>
      <c r="B4582" s="261" t="s">
        <v>8477</v>
      </c>
      <c r="C4582" s="261" t="s">
        <v>3245</v>
      </c>
      <c r="D4582" s="266" t="s">
        <v>20335</v>
      </c>
      <c r="E4582" s="262" t="s">
        <v>207</v>
      </c>
    </row>
    <row r="4583" spans="1:5" ht="15">
      <c r="A4583" s="261">
        <v>43625</v>
      </c>
      <c r="B4583" s="261" t="s">
        <v>12024</v>
      </c>
      <c r="C4583" s="261" t="s">
        <v>3245</v>
      </c>
      <c r="D4583" s="266" t="s">
        <v>19987</v>
      </c>
      <c r="E4583" s="262" t="s">
        <v>207</v>
      </c>
    </row>
    <row r="4584" spans="1:5" ht="15">
      <c r="A4584" s="261">
        <v>43647</v>
      </c>
      <c r="B4584" s="261" t="s">
        <v>12025</v>
      </c>
      <c r="C4584" s="261" t="s">
        <v>3245</v>
      </c>
      <c r="D4584" s="266" t="s">
        <v>20880</v>
      </c>
      <c r="E4584" s="262" t="s">
        <v>207</v>
      </c>
    </row>
    <row r="4585" spans="1:5" ht="15">
      <c r="A4585" s="261">
        <v>43648</v>
      </c>
      <c r="B4585" s="261" t="s">
        <v>12026</v>
      </c>
      <c r="C4585" s="261" t="s">
        <v>3245</v>
      </c>
      <c r="D4585" s="266" t="s">
        <v>16154</v>
      </c>
      <c r="E4585" s="262" t="s">
        <v>207</v>
      </c>
    </row>
    <row r="4586" spans="1:5" ht="15">
      <c r="A4586" s="261">
        <v>35693</v>
      </c>
      <c r="B4586" s="261" t="s">
        <v>8478</v>
      </c>
      <c r="C4586" s="261" t="s">
        <v>3245</v>
      </c>
      <c r="D4586" s="266" t="s">
        <v>10309</v>
      </c>
      <c r="E4586" s="262" t="s">
        <v>207</v>
      </c>
    </row>
    <row r="4587" spans="1:5" ht="15">
      <c r="A4587" s="261">
        <v>35692</v>
      </c>
      <c r="B4587" s="261" t="s">
        <v>8479</v>
      </c>
      <c r="C4587" s="261" t="s">
        <v>3245</v>
      </c>
      <c r="D4587" s="266" t="s">
        <v>20881</v>
      </c>
      <c r="E4587" s="262" t="s">
        <v>207</v>
      </c>
    </row>
    <row r="4588" spans="1:5" ht="15">
      <c r="A4588" s="261">
        <v>7342</v>
      </c>
      <c r="B4588" s="261" t="s">
        <v>8480</v>
      </c>
      <c r="C4588" s="261" t="s">
        <v>3244</v>
      </c>
      <c r="D4588" s="266" t="s">
        <v>9949</v>
      </c>
      <c r="E4588" s="262" t="s">
        <v>207</v>
      </c>
    </row>
    <row r="4589" spans="1:5" ht="30">
      <c r="A4589" s="261">
        <v>39574</v>
      </c>
      <c r="B4589" s="261" t="s">
        <v>8481</v>
      </c>
      <c r="C4589" s="261" t="s">
        <v>3240</v>
      </c>
      <c r="D4589" s="266" t="s">
        <v>9755</v>
      </c>
      <c r="E4589" s="262" t="s">
        <v>207</v>
      </c>
    </row>
    <row r="4590" spans="1:5" ht="30">
      <c r="A4590" s="261">
        <v>11060</v>
      </c>
      <c r="B4590" s="261" t="s">
        <v>8482</v>
      </c>
      <c r="C4590" s="261" t="s">
        <v>3240</v>
      </c>
      <c r="D4590" s="266" t="s">
        <v>16651</v>
      </c>
      <c r="E4590" s="262" t="s">
        <v>207</v>
      </c>
    </row>
    <row r="4591" spans="1:5" ht="15">
      <c r="A4591" s="261">
        <v>37401</v>
      </c>
      <c r="B4591" s="261" t="s">
        <v>8483</v>
      </c>
      <c r="C4591" s="261" t="s">
        <v>3240</v>
      </c>
      <c r="D4591" s="265" t="s">
        <v>20312</v>
      </c>
      <c r="E4591" s="262" t="s">
        <v>207</v>
      </c>
    </row>
    <row r="4592" spans="1:5" ht="15">
      <c r="A4592" s="261">
        <v>7525</v>
      </c>
      <c r="B4592" s="261" t="s">
        <v>8484</v>
      </c>
      <c r="C4592" s="261" t="s">
        <v>3240</v>
      </c>
      <c r="D4592" s="265" t="s">
        <v>16358</v>
      </c>
      <c r="E4592" s="262" t="s">
        <v>207</v>
      </c>
    </row>
    <row r="4593" spans="1:5" ht="15">
      <c r="A4593" s="261">
        <v>7524</v>
      </c>
      <c r="B4593" s="261" t="s">
        <v>8485</v>
      </c>
      <c r="C4593" s="261" t="s">
        <v>3240</v>
      </c>
      <c r="D4593" s="265" t="s">
        <v>16078</v>
      </c>
      <c r="E4593" s="262" t="s">
        <v>207</v>
      </c>
    </row>
    <row r="4594" spans="1:5" ht="15">
      <c r="A4594" s="261">
        <v>38105</v>
      </c>
      <c r="B4594" s="261" t="s">
        <v>8486</v>
      </c>
      <c r="C4594" s="261" t="s">
        <v>3240</v>
      </c>
      <c r="D4594" s="265" t="s">
        <v>10674</v>
      </c>
      <c r="E4594" s="262" t="s">
        <v>207</v>
      </c>
    </row>
    <row r="4595" spans="1:5" ht="30">
      <c r="A4595" s="261">
        <v>38084</v>
      </c>
      <c r="B4595" s="261" t="s">
        <v>8487</v>
      </c>
      <c r="C4595" s="261" t="s">
        <v>3240</v>
      </c>
      <c r="D4595" s="265" t="s">
        <v>18849</v>
      </c>
      <c r="E4595" s="262" t="s">
        <v>207</v>
      </c>
    </row>
    <row r="4596" spans="1:5" ht="15">
      <c r="A4596" s="261">
        <v>38103</v>
      </c>
      <c r="B4596" s="261" t="s">
        <v>8488</v>
      </c>
      <c r="C4596" s="261" t="s">
        <v>3240</v>
      </c>
      <c r="D4596" s="265" t="s">
        <v>10617</v>
      </c>
      <c r="E4596" s="262" t="s">
        <v>207</v>
      </c>
    </row>
    <row r="4597" spans="1:5" ht="30">
      <c r="A4597" s="261">
        <v>38082</v>
      </c>
      <c r="B4597" s="261" t="s">
        <v>8489</v>
      </c>
      <c r="C4597" s="261" t="s">
        <v>3240</v>
      </c>
      <c r="D4597" s="265" t="s">
        <v>10186</v>
      </c>
      <c r="E4597" s="262" t="s">
        <v>207</v>
      </c>
    </row>
    <row r="4598" spans="1:5" ht="15">
      <c r="A4598" s="261">
        <v>38104</v>
      </c>
      <c r="B4598" s="261" t="s">
        <v>8490</v>
      </c>
      <c r="C4598" s="261" t="s">
        <v>3240</v>
      </c>
      <c r="D4598" s="265" t="s">
        <v>16099</v>
      </c>
      <c r="E4598" s="262" t="s">
        <v>207</v>
      </c>
    </row>
    <row r="4599" spans="1:5" ht="30">
      <c r="A4599" s="261">
        <v>38083</v>
      </c>
      <c r="B4599" s="261" t="s">
        <v>8491</v>
      </c>
      <c r="C4599" s="261" t="s">
        <v>3240</v>
      </c>
      <c r="D4599" s="265" t="s">
        <v>16618</v>
      </c>
      <c r="E4599" s="262" t="s">
        <v>207</v>
      </c>
    </row>
    <row r="4600" spans="1:5" ht="15">
      <c r="A4600" s="261">
        <v>38101</v>
      </c>
      <c r="B4600" s="261" t="s">
        <v>8492</v>
      </c>
      <c r="C4600" s="261" t="s">
        <v>3240</v>
      </c>
      <c r="D4600" s="265" t="s">
        <v>10512</v>
      </c>
      <c r="E4600" s="262" t="s">
        <v>207</v>
      </c>
    </row>
    <row r="4601" spans="1:5" ht="30">
      <c r="A4601" s="261">
        <v>7528</v>
      </c>
      <c r="B4601" s="261" t="s">
        <v>8493</v>
      </c>
      <c r="C4601" s="261" t="s">
        <v>3240</v>
      </c>
      <c r="D4601" s="265" t="s">
        <v>16401</v>
      </c>
      <c r="E4601" s="262" t="s">
        <v>207</v>
      </c>
    </row>
    <row r="4602" spans="1:5" ht="30">
      <c r="A4602" s="261">
        <v>12147</v>
      </c>
      <c r="B4602" s="261" t="s">
        <v>8494</v>
      </c>
      <c r="C4602" s="261" t="s">
        <v>3240</v>
      </c>
      <c r="D4602" s="265" t="s">
        <v>14045</v>
      </c>
      <c r="E4602" s="262" t="s">
        <v>207</v>
      </c>
    </row>
    <row r="4603" spans="1:5" ht="30">
      <c r="A4603" s="261">
        <v>38075</v>
      </c>
      <c r="B4603" s="261" t="s">
        <v>8495</v>
      </c>
      <c r="C4603" s="261" t="s">
        <v>3240</v>
      </c>
      <c r="D4603" s="265" t="s">
        <v>10290</v>
      </c>
      <c r="E4603" s="262" t="s">
        <v>207</v>
      </c>
    </row>
    <row r="4604" spans="1:5" ht="15">
      <c r="A4604" s="261">
        <v>38102</v>
      </c>
      <c r="B4604" s="261" t="s">
        <v>8496</v>
      </c>
      <c r="C4604" s="261" t="s">
        <v>3240</v>
      </c>
      <c r="D4604" s="265" t="s">
        <v>10521</v>
      </c>
      <c r="E4604" s="262" t="s">
        <v>207</v>
      </c>
    </row>
    <row r="4605" spans="1:5" ht="30">
      <c r="A4605" s="261">
        <v>38076</v>
      </c>
      <c r="B4605" s="261" t="s">
        <v>8497</v>
      </c>
      <c r="C4605" s="261" t="s">
        <v>3240</v>
      </c>
      <c r="D4605" s="265" t="s">
        <v>12213</v>
      </c>
      <c r="E4605" s="262" t="s">
        <v>207</v>
      </c>
    </row>
    <row r="4606" spans="1:5" ht="15">
      <c r="A4606" s="261">
        <v>7592</v>
      </c>
      <c r="B4606" s="261" t="s">
        <v>8498</v>
      </c>
      <c r="C4606" s="261" t="s">
        <v>3239</v>
      </c>
      <c r="D4606" s="265" t="s">
        <v>11524</v>
      </c>
      <c r="E4606" s="262" t="s">
        <v>9714</v>
      </c>
    </row>
    <row r="4607" spans="1:5" ht="15">
      <c r="A4607" s="261">
        <v>40820</v>
      </c>
      <c r="B4607" s="261" t="s">
        <v>8499</v>
      </c>
      <c r="C4607" s="261" t="s">
        <v>3246</v>
      </c>
      <c r="D4607" s="265" t="s">
        <v>18936</v>
      </c>
      <c r="E4607" s="262" t="s">
        <v>9714</v>
      </c>
    </row>
    <row r="4608" spans="1:5" ht="15">
      <c r="A4608" s="261">
        <v>11762</v>
      </c>
      <c r="B4608" s="261" t="s">
        <v>8500</v>
      </c>
      <c r="C4608" s="261" t="s">
        <v>3240</v>
      </c>
      <c r="D4608" s="265" t="s">
        <v>12236</v>
      </c>
      <c r="E4608" s="262" t="s">
        <v>207</v>
      </c>
    </row>
    <row r="4609" spans="1:5" ht="15">
      <c r="A4609" s="261">
        <v>13984</v>
      </c>
      <c r="B4609" s="261" t="s">
        <v>8501</v>
      </c>
      <c r="C4609" s="261" t="s">
        <v>3240</v>
      </c>
      <c r="D4609" s="265" t="s">
        <v>10103</v>
      </c>
      <c r="E4609" s="262" t="s">
        <v>207</v>
      </c>
    </row>
    <row r="4610" spans="1:5" ht="30">
      <c r="A4610" s="261">
        <v>11772</v>
      </c>
      <c r="B4610" s="261" t="s">
        <v>8502</v>
      </c>
      <c r="C4610" s="261" t="s">
        <v>3240</v>
      </c>
      <c r="D4610" s="265" t="s">
        <v>20882</v>
      </c>
      <c r="E4610" s="262" t="s">
        <v>207</v>
      </c>
    </row>
    <row r="4611" spans="1:5" ht="15">
      <c r="A4611" s="261">
        <v>36795</v>
      </c>
      <c r="B4611" s="261" t="s">
        <v>8503</v>
      </c>
      <c r="C4611" s="261" t="s">
        <v>3240</v>
      </c>
      <c r="D4611" s="265" t="s">
        <v>20883</v>
      </c>
      <c r="E4611" s="262" t="s">
        <v>207</v>
      </c>
    </row>
    <row r="4612" spans="1:5" ht="30">
      <c r="A4612" s="261">
        <v>36796</v>
      </c>
      <c r="B4612" s="261" t="s">
        <v>8504</v>
      </c>
      <c r="C4612" s="261" t="s">
        <v>3240</v>
      </c>
      <c r="D4612" s="265" t="s">
        <v>20884</v>
      </c>
      <c r="E4612" s="262" t="s">
        <v>207</v>
      </c>
    </row>
    <row r="4613" spans="1:5" ht="15">
      <c r="A4613" s="261">
        <v>36791</v>
      </c>
      <c r="B4613" s="261" t="s">
        <v>8505</v>
      </c>
      <c r="C4613" s="261" t="s">
        <v>3240</v>
      </c>
      <c r="D4613" s="265" t="s">
        <v>20885</v>
      </c>
      <c r="E4613" s="262" t="s">
        <v>207</v>
      </c>
    </row>
    <row r="4614" spans="1:5" ht="30">
      <c r="A4614" s="261">
        <v>13415</v>
      </c>
      <c r="B4614" s="261" t="s">
        <v>8506</v>
      </c>
      <c r="C4614" s="261" t="s">
        <v>3240</v>
      </c>
      <c r="D4614" s="265" t="s">
        <v>16469</v>
      </c>
      <c r="E4614" s="262" t="s">
        <v>207</v>
      </c>
    </row>
    <row r="4615" spans="1:5" ht="15">
      <c r="A4615" s="261">
        <v>36792</v>
      </c>
      <c r="B4615" s="261" t="s">
        <v>8507</v>
      </c>
      <c r="C4615" s="261" t="s">
        <v>3240</v>
      </c>
      <c r="D4615" s="265" t="s">
        <v>20886</v>
      </c>
      <c r="E4615" s="262" t="s">
        <v>207</v>
      </c>
    </row>
    <row r="4616" spans="1:5" ht="30">
      <c r="A4616" s="261">
        <v>11773</v>
      </c>
      <c r="B4616" s="261" t="s">
        <v>8508</v>
      </c>
      <c r="C4616" s="261" t="s">
        <v>3240</v>
      </c>
      <c r="D4616" s="265" t="s">
        <v>20887</v>
      </c>
      <c r="E4616" s="262" t="s">
        <v>207</v>
      </c>
    </row>
    <row r="4617" spans="1:5" ht="30">
      <c r="A4617" s="261">
        <v>13983</v>
      </c>
      <c r="B4617" s="261" t="s">
        <v>8509</v>
      </c>
      <c r="C4617" s="261" t="s">
        <v>3240</v>
      </c>
      <c r="D4617" s="265" t="s">
        <v>20888</v>
      </c>
      <c r="E4617" s="262" t="s">
        <v>207</v>
      </c>
    </row>
    <row r="4618" spans="1:5" ht="30">
      <c r="A4618" s="261">
        <v>13416</v>
      </c>
      <c r="B4618" s="261" t="s">
        <v>8510</v>
      </c>
      <c r="C4618" s="261" t="s">
        <v>3240</v>
      </c>
      <c r="D4618" s="265" t="s">
        <v>20889</v>
      </c>
      <c r="E4618" s="262" t="s">
        <v>207</v>
      </c>
    </row>
    <row r="4619" spans="1:5" ht="15">
      <c r="A4619" s="261">
        <v>13417</v>
      </c>
      <c r="B4619" s="261" t="s">
        <v>8511</v>
      </c>
      <c r="C4619" s="261" t="s">
        <v>3240</v>
      </c>
      <c r="D4619" s="265" t="s">
        <v>11049</v>
      </c>
      <c r="E4619" s="262" t="s">
        <v>207</v>
      </c>
    </row>
    <row r="4620" spans="1:5" ht="30">
      <c r="A4620" s="261">
        <v>7604</v>
      </c>
      <c r="B4620" s="261" t="s">
        <v>8512</v>
      </c>
      <c r="C4620" s="261" t="s">
        <v>3240</v>
      </c>
      <c r="D4620" s="265" t="s">
        <v>10241</v>
      </c>
      <c r="E4620" s="262" t="s">
        <v>207</v>
      </c>
    </row>
    <row r="4621" spans="1:5" ht="30">
      <c r="A4621" s="261">
        <v>11763</v>
      </c>
      <c r="B4621" s="261" t="s">
        <v>8513</v>
      </c>
      <c r="C4621" s="261" t="s">
        <v>3240</v>
      </c>
      <c r="D4621" s="265" t="s">
        <v>20890</v>
      </c>
      <c r="E4621" s="262" t="s">
        <v>207</v>
      </c>
    </row>
    <row r="4622" spans="1:5" ht="30">
      <c r="A4622" s="261">
        <v>11764</v>
      </c>
      <c r="B4622" s="261" t="s">
        <v>8514</v>
      </c>
      <c r="C4622" s="261" t="s">
        <v>3240</v>
      </c>
      <c r="D4622" s="265" t="s">
        <v>20891</v>
      </c>
      <c r="E4622" s="262" t="s">
        <v>207</v>
      </c>
    </row>
    <row r="4623" spans="1:5" ht="30">
      <c r="A4623" s="261">
        <v>11829</v>
      </c>
      <c r="B4623" s="261" t="s">
        <v>8515</v>
      </c>
      <c r="C4623" s="261" t="s">
        <v>3240</v>
      </c>
      <c r="D4623" s="265" t="s">
        <v>20892</v>
      </c>
      <c r="E4623" s="262" t="s">
        <v>207</v>
      </c>
    </row>
    <row r="4624" spans="1:5" ht="30">
      <c r="A4624" s="261">
        <v>11825</v>
      </c>
      <c r="B4624" s="261" t="s">
        <v>8516</v>
      </c>
      <c r="C4624" s="261" t="s">
        <v>3240</v>
      </c>
      <c r="D4624" s="265" t="s">
        <v>20893</v>
      </c>
      <c r="E4624" s="262" t="s">
        <v>207</v>
      </c>
    </row>
    <row r="4625" spans="1:5" ht="30">
      <c r="A4625" s="261">
        <v>11767</v>
      </c>
      <c r="B4625" s="261" t="s">
        <v>8517</v>
      </c>
      <c r="C4625" s="261" t="s">
        <v>3240</v>
      </c>
      <c r="D4625" s="265" t="s">
        <v>20894</v>
      </c>
      <c r="E4625" s="262" t="s">
        <v>207</v>
      </c>
    </row>
    <row r="4626" spans="1:5" ht="30">
      <c r="A4626" s="261">
        <v>11830</v>
      </c>
      <c r="B4626" s="261" t="s">
        <v>8518</v>
      </c>
      <c r="C4626" s="261" t="s">
        <v>3240</v>
      </c>
      <c r="D4626" s="265" t="s">
        <v>16019</v>
      </c>
      <c r="E4626" s="262" t="s">
        <v>207</v>
      </c>
    </row>
    <row r="4627" spans="1:5" ht="30">
      <c r="A4627" s="261">
        <v>11766</v>
      </c>
      <c r="B4627" s="261" t="s">
        <v>8519</v>
      </c>
      <c r="C4627" s="261" t="s">
        <v>3240</v>
      </c>
      <c r="D4627" s="265" t="s">
        <v>20895</v>
      </c>
      <c r="E4627" s="262" t="s">
        <v>207</v>
      </c>
    </row>
    <row r="4628" spans="1:5" ht="30">
      <c r="A4628" s="261">
        <v>11765</v>
      </c>
      <c r="B4628" s="261" t="s">
        <v>8520</v>
      </c>
      <c r="C4628" s="261" t="s">
        <v>3240</v>
      </c>
      <c r="D4628" s="265" t="s">
        <v>20896</v>
      </c>
      <c r="E4628" s="262" t="s">
        <v>207</v>
      </c>
    </row>
    <row r="4629" spans="1:5" ht="30">
      <c r="A4629" s="261">
        <v>11824</v>
      </c>
      <c r="B4629" s="261" t="s">
        <v>8521</v>
      </c>
      <c r="C4629" s="261" t="s">
        <v>3240</v>
      </c>
      <c r="D4629" s="265" t="s">
        <v>20897</v>
      </c>
      <c r="E4629" s="262" t="s">
        <v>207</v>
      </c>
    </row>
    <row r="4630" spans="1:5" ht="15">
      <c r="A4630" s="261">
        <v>11777</v>
      </c>
      <c r="B4630" s="261" t="s">
        <v>8522</v>
      </c>
      <c r="C4630" s="261" t="s">
        <v>3240</v>
      </c>
      <c r="D4630" s="265" t="s">
        <v>20898</v>
      </c>
      <c r="E4630" s="262" t="s">
        <v>207</v>
      </c>
    </row>
    <row r="4631" spans="1:5" ht="30">
      <c r="A4631" s="261">
        <v>7602</v>
      </c>
      <c r="B4631" s="261" t="s">
        <v>8523</v>
      </c>
      <c r="C4631" s="261" t="s">
        <v>3240</v>
      </c>
      <c r="D4631" s="266" t="s">
        <v>10533</v>
      </c>
      <c r="E4631" s="262" t="s">
        <v>207</v>
      </c>
    </row>
    <row r="4632" spans="1:5" ht="30">
      <c r="A4632" s="261">
        <v>7603</v>
      </c>
      <c r="B4632" s="261" t="s">
        <v>8524</v>
      </c>
      <c r="C4632" s="261" t="s">
        <v>3240</v>
      </c>
      <c r="D4632" s="265" t="s">
        <v>10659</v>
      </c>
      <c r="E4632" s="262" t="s">
        <v>207</v>
      </c>
    </row>
    <row r="4633" spans="1:5" ht="30">
      <c r="A4633" s="261">
        <v>11826</v>
      </c>
      <c r="B4633" s="261" t="s">
        <v>8525</v>
      </c>
      <c r="C4633" s="261" t="s">
        <v>3240</v>
      </c>
      <c r="D4633" s="265" t="s">
        <v>20899</v>
      </c>
      <c r="E4633" s="262" t="s">
        <v>207</v>
      </c>
    </row>
    <row r="4634" spans="1:5" ht="30">
      <c r="A4634" s="261">
        <v>7606</v>
      </c>
      <c r="B4634" s="261" t="s">
        <v>8526</v>
      </c>
      <c r="C4634" s="261" t="s">
        <v>3240</v>
      </c>
      <c r="D4634" s="265" t="s">
        <v>20900</v>
      </c>
      <c r="E4634" s="262" t="s">
        <v>207</v>
      </c>
    </row>
    <row r="4635" spans="1:5" ht="30">
      <c r="A4635" s="261">
        <v>40329</v>
      </c>
      <c r="B4635" s="261" t="s">
        <v>8527</v>
      </c>
      <c r="C4635" s="261" t="s">
        <v>3240</v>
      </c>
      <c r="D4635" s="265" t="s">
        <v>16034</v>
      </c>
      <c r="E4635" s="262" t="s">
        <v>207</v>
      </c>
    </row>
    <row r="4636" spans="1:5" ht="30">
      <c r="A4636" s="261">
        <v>11823</v>
      </c>
      <c r="B4636" s="261" t="s">
        <v>8528</v>
      </c>
      <c r="C4636" s="261" t="s">
        <v>3240</v>
      </c>
      <c r="D4636" s="265" t="s">
        <v>10549</v>
      </c>
      <c r="E4636" s="262" t="s">
        <v>207</v>
      </c>
    </row>
    <row r="4637" spans="1:5" ht="15">
      <c r="A4637" s="261">
        <v>11822</v>
      </c>
      <c r="B4637" s="261" t="s">
        <v>8529</v>
      </c>
      <c r="C4637" s="261" t="s">
        <v>3240</v>
      </c>
      <c r="D4637" s="265" t="s">
        <v>14217</v>
      </c>
      <c r="E4637" s="262" t="s">
        <v>207</v>
      </c>
    </row>
    <row r="4638" spans="1:5" ht="15">
      <c r="A4638" s="261">
        <v>11831</v>
      </c>
      <c r="B4638" s="261" t="s">
        <v>8530</v>
      </c>
      <c r="C4638" s="261" t="s">
        <v>3240</v>
      </c>
      <c r="D4638" s="265" t="s">
        <v>9991</v>
      </c>
      <c r="E4638" s="262" t="s">
        <v>207</v>
      </c>
    </row>
    <row r="4639" spans="1:5" ht="45">
      <c r="A4639" s="261">
        <v>7613</v>
      </c>
      <c r="B4639" s="261" t="s">
        <v>8531</v>
      </c>
      <c r="C4639" s="261" t="s">
        <v>3240</v>
      </c>
      <c r="D4639" s="265" t="s">
        <v>20901</v>
      </c>
      <c r="E4639" s="262" t="s">
        <v>8987</v>
      </c>
    </row>
    <row r="4640" spans="1:5" ht="45">
      <c r="A4640" s="261">
        <v>7619</v>
      </c>
      <c r="B4640" s="261" t="s">
        <v>8532</v>
      </c>
      <c r="C4640" s="261" t="s">
        <v>3240</v>
      </c>
      <c r="D4640" s="265" t="s">
        <v>20902</v>
      </c>
      <c r="E4640" s="262" t="s">
        <v>8987</v>
      </c>
    </row>
    <row r="4641" spans="1:5" ht="45">
      <c r="A4641" s="261">
        <v>12076</v>
      </c>
      <c r="B4641" s="261" t="s">
        <v>8533</v>
      </c>
      <c r="C4641" s="261" t="s">
        <v>3240</v>
      </c>
      <c r="D4641" s="265" t="s">
        <v>20903</v>
      </c>
      <c r="E4641" s="262" t="s">
        <v>8987</v>
      </c>
    </row>
    <row r="4642" spans="1:5" ht="45">
      <c r="A4642" s="261">
        <v>7614</v>
      </c>
      <c r="B4642" s="261" t="s">
        <v>8534</v>
      </c>
      <c r="C4642" s="261" t="s">
        <v>3240</v>
      </c>
      <c r="D4642" s="265" t="s">
        <v>20904</v>
      </c>
      <c r="E4642" s="262" t="s">
        <v>8987</v>
      </c>
    </row>
    <row r="4643" spans="1:5" ht="45">
      <c r="A4643" s="261">
        <v>7618</v>
      </c>
      <c r="B4643" s="261" t="s">
        <v>8535</v>
      </c>
      <c r="C4643" s="261" t="s">
        <v>3240</v>
      </c>
      <c r="D4643" s="265" t="s">
        <v>20905</v>
      </c>
      <c r="E4643" s="262" t="s">
        <v>8987</v>
      </c>
    </row>
    <row r="4644" spans="1:5" ht="45">
      <c r="A4644" s="261">
        <v>7620</v>
      </c>
      <c r="B4644" s="261" t="s">
        <v>8536</v>
      </c>
      <c r="C4644" s="261" t="s">
        <v>3240</v>
      </c>
      <c r="D4644" s="265" t="s">
        <v>20906</v>
      </c>
      <c r="E4644" s="262" t="s">
        <v>8987</v>
      </c>
    </row>
    <row r="4645" spans="1:5" ht="45">
      <c r="A4645" s="261">
        <v>7610</v>
      </c>
      <c r="B4645" s="261" t="s">
        <v>8537</v>
      </c>
      <c r="C4645" s="261" t="s">
        <v>3240</v>
      </c>
      <c r="D4645" s="265" t="s">
        <v>20907</v>
      </c>
      <c r="E4645" s="262" t="s">
        <v>8987</v>
      </c>
    </row>
    <row r="4646" spans="1:5" ht="45">
      <c r="A4646" s="261">
        <v>7615</v>
      </c>
      <c r="B4646" s="261" t="s">
        <v>8538</v>
      </c>
      <c r="C4646" s="261" t="s">
        <v>3240</v>
      </c>
      <c r="D4646" s="265" t="s">
        <v>20908</v>
      </c>
      <c r="E4646" s="262" t="s">
        <v>8987</v>
      </c>
    </row>
    <row r="4647" spans="1:5" ht="45">
      <c r="A4647" s="261">
        <v>7617</v>
      </c>
      <c r="B4647" s="261" t="s">
        <v>8539</v>
      </c>
      <c r="C4647" s="261" t="s">
        <v>3240</v>
      </c>
      <c r="D4647" s="265" t="s">
        <v>20909</v>
      </c>
      <c r="E4647" s="262" t="s">
        <v>8987</v>
      </c>
    </row>
    <row r="4648" spans="1:5" ht="45">
      <c r="A4648" s="261">
        <v>7616</v>
      </c>
      <c r="B4648" s="261" t="s">
        <v>8540</v>
      </c>
      <c r="C4648" s="261" t="s">
        <v>3240</v>
      </c>
      <c r="D4648" s="265" t="s">
        <v>20910</v>
      </c>
      <c r="E4648" s="262" t="s">
        <v>8987</v>
      </c>
    </row>
    <row r="4649" spans="1:5" ht="45">
      <c r="A4649" s="261">
        <v>7611</v>
      </c>
      <c r="B4649" s="261" t="s">
        <v>8541</v>
      </c>
      <c r="C4649" s="261" t="s">
        <v>3240</v>
      </c>
      <c r="D4649" s="265" t="s">
        <v>20911</v>
      </c>
      <c r="E4649" s="262" t="s">
        <v>8987</v>
      </c>
    </row>
    <row r="4650" spans="1:5" ht="45">
      <c r="A4650" s="261">
        <v>7612</v>
      </c>
      <c r="B4650" s="261" t="s">
        <v>8542</v>
      </c>
      <c r="C4650" s="261" t="s">
        <v>3240</v>
      </c>
      <c r="D4650" s="265" t="s">
        <v>20912</v>
      </c>
      <c r="E4650" s="262" t="s">
        <v>8987</v>
      </c>
    </row>
    <row r="4651" spans="1:5" ht="15">
      <c r="A4651" s="261">
        <v>37371</v>
      </c>
      <c r="B4651" s="261" t="s">
        <v>8543</v>
      </c>
      <c r="C4651" s="261" t="s">
        <v>3239</v>
      </c>
      <c r="D4651" s="265" t="s">
        <v>9903</v>
      </c>
      <c r="E4651" s="262" t="s">
        <v>9714</v>
      </c>
    </row>
    <row r="4652" spans="1:5" ht="15">
      <c r="A4652" s="261">
        <v>40861</v>
      </c>
      <c r="B4652" s="261" t="s">
        <v>8544</v>
      </c>
      <c r="C4652" s="261" t="s">
        <v>3246</v>
      </c>
      <c r="D4652" s="265" t="s">
        <v>11525</v>
      </c>
      <c r="E4652" s="262" t="s">
        <v>9714</v>
      </c>
    </row>
    <row r="4653" spans="1:5" ht="30">
      <c r="A4653" s="261">
        <v>36510</v>
      </c>
      <c r="B4653" s="261" t="s">
        <v>8545</v>
      </c>
      <c r="C4653" s="261" t="s">
        <v>3240</v>
      </c>
      <c r="D4653" s="265" t="s">
        <v>20913</v>
      </c>
      <c r="E4653" s="262" t="s">
        <v>8987</v>
      </c>
    </row>
    <row r="4654" spans="1:5" ht="30">
      <c r="A4654" s="261">
        <v>25020</v>
      </c>
      <c r="B4654" s="261" t="s">
        <v>8546</v>
      </c>
      <c r="C4654" s="261" t="s">
        <v>3240</v>
      </c>
      <c r="D4654" s="265" t="s">
        <v>20914</v>
      </c>
      <c r="E4654" s="262" t="s">
        <v>8987</v>
      </c>
    </row>
    <row r="4655" spans="1:5" ht="30">
      <c r="A4655" s="261">
        <v>7622</v>
      </c>
      <c r="B4655" s="261" t="s">
        <v>8547</v>
      </c>
      <c r="C4655" s="261" t="s">
        <v>3240</v>
      </c>
      <c r="D4655" s="265" t="s">
        <v>20915</v>
      </c>
      <c r="E4655" s="262" t="s">
        <v>8987</v>
      </c>
    </row>
    <row r="4656" spans="1:5" ht="30">
      <c r="A4656" s="261">
        <v>7624</v>
      </c>
      <c r="B4656" s="261" t="s">
        <v>8548</v>
      </c>
      <c r="C4656" s="261" t="s">
        <v>3240</v>
      </c>
      <c r="D4656" s="265" t="s">
        <v>20916</v>
      </c>
      <c r="E4656" s="262" t="s">
        <v>8987</v>
      </c>
    </row>
    <row r="4657" spans="1:5" ht="30">
      <c r="A4657" s="261">
        <v>7625</v>
      </c>
      <c r="B4657" s="261" t="s">
        <v>8549</v>
      </c>
      <c r="C4657" s="261" t="s">
        <v>3240</v>
      </c>
      <c r="D4657" s="265" t="s">
        <v>20917</v>
      </c>
      <c r="E4657" s="262" t="s">
        <v>8987</v>
      </c>
    </row>
    <row r="4658" spans="1:5" ht="30">
      <c r="A4658" s="261">
        <v>7623</v>
      </c>
      <c r="B4658" s="261" t="s">
        <v>8550</v>
      </c>
      <c r="C4658" s="261" t="s">
        <v>3240</v>
      </c>
      <c r="D4658" s="265" t="s">
        <v>20914</v>
      </c>
      <c r="E4658" s="262" t="s">
        <v>8987</v>
      </c>
    </row>
    <row r="4659" spans="1:5" ht="30">
      <c r="A4659" s="261">
        <v>36508</v>
      </c>
      <c r="B4659" s="261" t="s">
        <v>8551</v>
      </c>
      <c r="C4659" s="261" t="s">
        <v>3240</v>
      </c>
      <c r="D4659" s="265" t="s">
        <v>20918</v>
      </c>
      <c r="E4659" s="262" t="s">
        <v>8987</v>
      </c>
    </row>
    <row r="4660" spans="1:5" ht="30">
      <c r="A4660" s="261">
        <v>36509</v>
      </c>
      <c r="B4660" s="261" t="s">
        <v>8552</v>
      </c>
      <c r="C4660" s="261" t="s">
        <v>3240</v>
      </c>
      <c r="D4660" s="265" t="s">
        <v>20919</v>
      </c>
      <c r="E4660" s="262" t="s">
        <v>8987</v>
      </c>
    </row>
    <row r="4661" spans="1:5" ht="30">
      <c r="A4661" s="261">
        <v>13238</v>
      </c>
      <c r="B4661" s="261" t="s">
        <v>8553</v>
      </c>
      <c r="C4661" s="261" t="s">
        <v>3240</v>
      </c>
      <c r="D4661" s="265" t="s">
        <v>20920</v>
      </c>
      <c r="E4661" s="262" t="s">
        <v>8987</v>
      </c>
    </row>
    <row r="4662" spans="1:5" ht="30">
      <c r="A4662" s="261">
        <v>36511</v>
      </c>
      <c r="B4662" s="261" t="s">
        <v>8554</v>
      </c>
      <c r="C4662" s="261" t="s">
        <v>3240</v>
      </c>
      <c r="D4662" s="265" t="s">
        <v>20921</v>
      </c>
      <c r="E4662" s="262" t="s">
        <v>8987</v>
      </c>
    </row>
    <row r="4663" spans="1:5" ht="15">
      <c r="A4663" s="261">
        <v>36515</v>
      </c>
      <c r="B4663" s="261" t="s">
        <v>8555</v>
      </c>
      <c r="C4663" s="261" t="s">
        <v>3240</v>
      </c>
      <c r="D4663" s="265" t="s">
        <v>20922</v>
      </c>
      <c r="E4663" s="262" t="s">
        <v>8987</v>
      </c>
    </row>
    <row r="4664" spans="1:5" ht="30">
      <c r="A4664" s="261">
        <v>10598</v>
      </c>
      <c r="B4664" s="261" t="s">
        <v>8556</v>
      </c>
      <c r="C4664" s="261" t="s">
        <v>3240</v>
      </c>
      <c r="D4664" s="265" t="s">
        <v>20923</v>
      </c>
      <c r="E4664" s="262" t="s">
        <v>8987</v>
      </c>
    </row>
    <row r="4665" spans="1:5" ht="30">
      <c r="A4665" s="261">
        <v>7640</v>
      </c>
      <c r="B4665" s="261" t="s">
        <v>8557</v>
      </c>
      <c r="C4665" s="261" t="s">
        <v>3240</v>
      </c>
      <c r="D4665" s="265" t="s">
        <v>20924</v>
      </c>
      <c r="E4665" s="262" t="s">
        <v>8987</v>
      </c>
    </row>
    <row r="4666" spans="1:5" ht="15">
      <c r="A4666" s="261">
        <v>36513</v>
      </c>
      <c r="B4666" s="261" t="s">
        <v>8558</v>
      </c>
      <c r="C4666" s="261" t="s">
        <v>3240</v>
      </c>
      <c r="D4666" s="265" t="s">
        <v>20925</v>
      </c>
      <c r="E4666" s="262" t="s">
        <v>8987</v>
      </c>
    </row>
    <row r="4667" spans="1:5" ht="15">
      <c r="A4667" s="261">
        <v>36514</v>
      </c>
      <c r="B4667" s="261" t="s">
        <v>8559</v>
      </c>
      <c r="C4667" s="261" t="s">
        <v>3240</v>
      </c>
      <c r="D4667" s="265" t="s">
        <v>20926</v>
      </c>
      <c r="E4667" s="262" t="s">
        <v>8987</v>
      </c>
    </row>
    <row r="4668" spans="1:5" ht="15">
      <c r="A4668" s="261">
        <v>11572</v>
      </c>
      <c r="B4668" s="261" t="s">
        <v>12027</v>
      </c>
      <c r="C4668" s="261" t="s">
        <v>3240</v>
      </c>
      <c r="D4668" s="265" t="s">
        <v>11541</v>
      </c>
      <c r="E4668" s="262" t="s">
        <v>207</v>
      </c>
    </row>
    <row r="4669" spans="1:5" ht="30">
      <c r="A4669" s="261">
        <v>36149</v>
      </c>
      <c r="B4669" s="261" t="s">
        <v>8560</v>
      </c>
      <c r="C4669" s="261" t="s">
        <v>3240</v>
      </c>
      <c r="D4669" s="265" t="s">
        <v>14141</v>
      </c>
      <c r="E4669" s="262" t="s">
        <v>207</v>
      </c>
    </row>
    <row r="4670" spans="1:5" ht="30">
      <c r="A4670" s="261">
        <v>42407</v>
      </c>
      <c r="B4670" s="261" t="s">
        <v>9602</v>
      </c>
      <c r="C4670" s="261" t="s">
        <v>3243</v>
      </c>
      <c r="D4670" s="265" t="s">
        <v>16615</v>
      </c>
      <c r="E4670" s="262" t="s">
        <v>207</v>
      </c>
    </row>
    <row r="4671" spans="1:5" ht="30">
      <c r="A4671" s="261">
        <v>11581</v>
      </c>
      <c r="B4671" s="261" t="s">
        <v>12028</v>
      </c>
      <c r="C4671" s="261" t="s">
        <v>3243</v>
      </c>
      <c r="D4671" s="265" t="s">
        <v>12376</v>
      </c>
      <c r="E4671" s="262" t="s">
        <v>207</v>
      </c>
    </row>
    <row r="4672" spans="1:5" ht="30">
      <c r="A4672" s="261">
        <v>43605</v>
      </c>
      <c r="B4672" s="261" t="s">
        <v>12029</v>
      </c>
      <c r="C4672" s="261" t="s">
        <v>3240</v>
      </c>
      <c r="D4672" s="265" t="s">
        <v>9735</v>
      </c>
      <c r="E4672" s="262" t="s">
        <v>207</v>
      </c>
    </row>
    <row r="4673" spans="1:5" ht="30">
      <c r="A4673" s="261">
        <v>11580</v>
      </c>
      <c r="B4673" s="261" t="s">
        <v>12030</v>
      </c>
      <c r="C4673" s="261" t="s">
        <v>3243</v>
      </c>
      <c r="D4673" s="265" t="s">
        <v>16479</v>
      </c>
      <c r="E4673" s="262" t="s">
        <v>207</v>
      </c>
    </row>
    <row r="4674" spans="1:5" ht="15">
      <c r="A4674" s="261">
        <v>10743</v>
      </c>
      <c r="B4674" s="261" t="s">
        <v>8561</v>
      </c>
      <c r="C4674" s="261" t="s">
        <v>3240</v>
      </c>
      <c r="D4674" s="265" t="s">
        <v>16673</v>
      </c>
      <c r="E4674" s="262" t="s">
        <v>207</v>
      </c>
    </row>
    <row r="4675" spans="1:5" ht="30">
      <c r="A4675" s="261">
        <v>39848</v>
      </c>
      <c r="B4675" s="261" t="s">
        <v>8562</v>
      </c>
      <c r="C4675" s="261" t="s">
        <v>3243</v>
      </c>
      <c r="D4675" s="265" t="s">
        <v>9899</v>
      </c>
      <c r="E4675" s="262" t="s">
        <v>207</v>
      </c>
    </row>
    <row r="4676" spans="1:5" ht="30">
      <c r="A4676" s="261">
        <v>20999</v>
      </c>
      <c r="B4676" s="261" t="s">
        <v>8563</v>
      </c>
      <c r="C4676" s="261" t="s">
        <v>3243</v>
      </c>
      <c r="D4676" s="265" t="s">
        <v>10969</v>
      </c>
      <c r="E4676" s="262" t="s">
        <v>207</v>
      </c>
    </row>
    <row r="4677" spans="1:5" ht="30">
      <c r="A4677" s="261">
        <v>21001</v>
      </c>
      <c r="B4677" s="261" t="s">
        <v>8564</v>
      </c>
      <c r="C4677" s="261" t="s">
        <v>3243</v>
      </c>
      <c r="D4677" s="265" t="s">
        <v>20927</v>
      </c>
      <c r="E4677" s="262" t="s">
        <v>207</v>
      </c>
    </row>
    <row r="4678" spans="1:5" ht="30">
      <c r="A4678" s="261">
        <v>21003</v>
      </c>
      <c r="B4678" s="261" t="s">
        <v>8565</v>
      </c>
      <c r="C4678" s="261" t="s">
        <v>3243</v>
      </c>
      <c r="D4678" s="265" t="s">
        <v>20928</v>
      </c>
      <c r="E4678" s="262" t="s">
        <v>207</v>
      </c>
    </row>
    <row r="4679" spans="1:5" ht="30">
      <c r="A4679" s="261">
        <v>21006</v>
      </c>
      <c r="B4679" s="261" t="s">
        <v>8566</v>
      </c>
      <c r="C4679" s="261" t="s">
        <v>3243</v>
      </c>
      <c r="D4679" s="265" t="s">
        <v>20929</v>
      </c>
      <c r="E4679" s="262" t="s">
        <v>207</v>
      </c>
    </row>
    <row r="4680" spans="1:5" ht="30">
      <c r="A4680" s="261">
        <v>21019</v>
      </c>
      <c r="B4680" s="261" t="s">
        <v>8567</v>
      </c>
      <c r="C4680" s="261" t="s">
        <v>3243</v>
      </c>
      <c r="D4680" s="265" t="s">
        <v>15797</v>
      </c>
      <c r="E4680" s="262" t="s">
        <v>207</v>
      </c>
    </row>
    <row r="4681" spans="1:5" ht="30">
      <c r="A4681" s="261">
        <v>21021</v>
      </c>
      <c r="B4681" s="261" t="s">
        <v>8568</v>
      </c>
      <c r="C4681" s="261" t="s">
        <v>3243</v>
      </c>
      <c r="D4681" s="266" t="s">
        <v>20930</v>
      </c>
      <c r="E4681" s="262" t="s">
        <v>207</v>
      </c>
    </row>
    <row r="4682" spans="1:5" ht="30">
      <c r="A4682" s="261">
        <v>21024</v>
      </c>
      <c r="B4682" s="261" t="s">
        <v>8569</v>
      </c>
      <c r="C4682" s="261" t="s">
        <v>3243</v>
      </c>
      <c r="D4682" s="265" t="s">
        <v>20931</v>
      </c>
      <c r="E4682" s="262" t="s">
        <v>207</v>
      </c>
    </row>
    <row r="4683" spans="1:5" ht="15">
      <c r="A4683" s="261">
        <v>40624</v>
      </c>
      <c r="B4683" s="261" t="s">
        <v>8570</v>
      </c>
      <c r="C4683" s="261" t="s">
        <v>3243</v>
      </c>
      <c r="D4683" s="265" t="s">
        <v>20932</v>
      </c>
      <c r="E4683" s="262" t="s">
        <v>207</v>
      </c>
    </row>
    <row r="4684" spans="1:5" ht="15">
      <c r="A4684" s="261">
        <v>42575</v>
      </c>
      <c r="B4684" s="261" t="s">
        <v>12031</v>
      </c>
      <c r="C4684" s="261" t="s">
        <v>3243</v>
      </c>
      <c r="D4684" s="265" t="s">
        <v>16649</v>
      </c>
      <c r="E4684" s="262" t="s">
        <v>207</v>
      </c>
    </row>
    <row r="4685" spans="1:5" ht="15">
      <c r="A4685" s="261">
        <v>13127</v>
      </c>
      <c r="B4685" s="261" t="s">
        <v>8571</v>
      </c>
      <c r="C4685" s="261" t="s">
        <v>3243</v>
      </c>
      <c r="D4685" s="265" t="s">
        <v>11434</v>
      </c>
      <c r="E4685" s="262" t="s">
        <v>207</v>
      </c>
    </row>
    <row r="4686" spans="1:5" ht="15">
      <c r="A4686" s="261">
        <v>13137</v>
      </c>
      <c r="B4686" s="261" t="s">
        <v>8572</v>
      </c>
      <c r="C4686" s="261" t="s">
        <v>3243</v>
      </c>
      <c r="D4686" s="265" t="s">
        <v>15863</v>
      </c>
      <c r="E4686" s="262" t="s">
        <v>207</v>
      </c>
    </row>
    <row r="4687" spans="1:5" ht="15">
      <c r="A4687" s="261">
        <v>42574</v>
      </c>
      <c r="B4687" s="261" t="s">
        <v>12032</v>
      </c>
      <c r="C4687" s="261" t="s">
        <v>3243</v>
      </c>
      <c r="D4687" s="265" t="s">
        <v>20933</v>
      </c>
      <c r="E4687" s="262" t="s">
        <v>207</v>
      </c>
    </row>
    <row r="4688" spans="1:5" ht="15">
      <c r="A4688" s="261">
        <v>20989</v>
      </c>
      <c r="B4688" s="261" t="s">
        <v>8573</v>
      </c>
      <c r="C4688" s="261" t="s">
        <v>3243</v>
      </c>
      <c r="D4688" s="265" t="s">
        <v>20934</v>
      </c>
      <c r="E4688" s="262" t="s">
        <v>207</v>
      </c>
    </row>
    <row r="4689" spans="1:5" ht="15">
      <c r="A4689" s="261">
        <v>21147</v>
      </c>
      <c r="B4689" s="261" t="s">
        <v>8574</v>
      </c>
      <c r="C4689" s="261" t="s">
        <v>3243</v>
      </c>
      <c r="D4689" s="265" t="s">
        <v>19570</v>
      </c>
      <c r="E4689" s="262" t="s">
        <v>207</v>
      </c>
    </row>
    <row r="4690" spans="1:5" ht="15">
      <c r="A4690" s="261">
        <v>21148</v>
      </c>
      <c r="B4690" s="261" t="s">
        <v>8575</v>
      </c>
      <c r="C4690" s="261" t="s">
        <v>3243</v>
      </c>
      <c r="D4690" s="265" t="s">
        <v>20935</v>
      </c>
      <c r="E4690" s="262" t="s">
        <v>207</v>
      </c>
    </row>
    <row r="4691" spans="1:5" ht="15">
      <c r="A4691" s="261">
        <v>20984</v>
      </c>
      <c r="B4691" s="261" t="s">
        <v>8576</v>
      </c>
      <c r="C4691" s="261" t="s">
        <v>3243</v>
      </c>
      <c r="D4691" s="265" t="s">
        <v>20936</v>
      </c>
      <c r="E4691" s="262" t="s">
        <v>207</v>
      </c>
    </row>
    <row r="4692" spans="1:5" ht="15">
      <c r="A4692" s="261">
        <v>13042</v>
      </c>
      <c r="B4692" s="261" t="s">
        <v>8577</v>
      </c>
      <c r="C4692" s="261" t="s">
        <v>3243</v>
      </c>
      <c r="D4692" s="265" t="s">
        <v>20937</v>
      </c>
      <c r="E4692" s="262" t="s">
        <v>207</v>
      </c>
    </row>
    <row r="4693" spans="1:5" ht="15">
      <c r="A4693" s="261">
        <v>21150</v>
      </c>
      <c r="B4693" s="261" t="s">
        <v>8578</v>
      </c>
      <c r="C4693" s="261" t="s">
        <v>3243</v>
      </c>
      <c r="D4693" s="265" t="s">
        <v>20938</v>
      </c>
      <c r="E4693" s="262" t="s">
        <v>207</v>
      </c>
    </row>
    <row r="4694" spans="1:5" ht="15">
      <c r="A4694" s="261">
        <v>13141</v>
      </c>
      <c r="B4694" s="261" t="s">
        <v>8579</v>
      </c>
      <c r="C4694" s="261" t="s">
        <v>3243</v>
      </c>
      <c r="D4694" s="265" t="s">
        <v>20939</v>
      </c>
      <c r="E4694" s="262" t="s">
        <v>207</v>
      </c>
    </row>
    <row r="4695" spans="1:5" ht="15">
      <c r="A4695" s="261">
        <v>42576</v>
      </c>
      <c r="B4695" s="261" t="s">
        <v>12033</v>
      </c>
      <c r="C4695" s="261" t="s">
        <v>3243</v>
      </c>
      <c r="D4695" s="265" t="s">
        <v>20940</v>
      </c>
      <c r="E4695" s="262" t="s">
        <v>207</v>
      </c>
    </row>
    <row r="4696" spans="1:5" ht="15">
      <c r="A4696" s="261">
        <v>21151</v>
      </c>
      <c r="B4696" s="261" t="s">
        <v>8580</v>
      </c>
      <c r="C4696" s="261" t="s">
        <v>3243</v>
      </c>
      <c r="D4696" s="265" t="s">
        <v>20941</v>
      </c>
      <c r="E4696" s="262" t="s">
        <v>207</v>
      </c>
    </row>
    <row r="4697" spans="1:5" ht="15">
      <c r="A4697" s="261">
        <v>13142</v>
      </c>
      <c r="B4697" s="261" t="s">
        <v>8581</v>
      </c>
      <c r="C4697" s="261" t="s">
        <v>3243</v>
      </c>
      <c r="D4697" s="265" t="s">
        <v>20942</v>
      </c>
      <c r="E4697" s="262" t="s">
        <v>207</v>
      </c>
    </row>
    <row r="4698" spans="1:5" ht="15">
      <c r="A4698" s="261">
        <v>42577</v>
      </c>
      <c r="B4698" s="261" t="s">
        <v>12034</v>
      </c>
      <c r="C4698" s="261" t="s">
        <v>3243</v>
      </c>
      <c r="D4698" s="265" t="s">
        <v>20943</v>
      </c>
      <c r="E4698" s="262" t="s">
        <v>207</v>
      </c>
    </row>
    <row r="4699" spans="1:5" ht="15">
      <c r="A4699" s="261">
        <v>20994</v>
      </c>
      <c r="B4699" s="261" t="s">
        <v>8582</v>
      </c>
      <c r="C4699" s="261" t="s">
        <v>3243</v>
      </c>
      <c r="D4699" s="265" t="s">
        <v>20944</v>
      </c>
      <c r="E4699" s="262" t="s">
        <v>207</v>
      </c>
    </row>
    <row r="4700" spans="1:5" ht="15">
      <c r="A4700" s="261">
        <v>7672</v>
      </c>
      <c r="B4700" s="261" t="s">
        <v>8583</v>
      </c>
      <c r="C4700" s="261" t="s">
        <v>3243</v>
      </c>
      <c r="D4700" s="265" t="s">
        <v>20945</v>
      </c>
      <c r="E4700" s="262" t="s">
        <v>207</v>
      </c>
    </row>
    <row r="4701" spans="1:5" ht="15">
      <c r="A4701" s="261">
        <v>20995</v>
      </c>
      <c r="B4701" s="261" t="s">
        <v>8584</v>
      </c>
      <c r="C4701" s="261" t="s">
        <v>3243</v>
      </c>
      <c r="D4701" s="265" t="s">
        <v>20946</v>
      </c>
      <c r="E4701" s="262" t="s">
        <v>207</v>
      </c>
    </row>
    <row r="4702" spans="1:5" ht="15">
      <c r="A4702" s="261">
        <v>7690</v>
      </c>
      <c r="B4702" s="261" t="s">
        <v>8585</v>
      </c>
      <c r="C4702" s="261" t="s">
        <v>3243</v>
      </c>
      <c r="D4702" s="266" t="s">
        <v>20947</v>
      </c>
      <c r="E4702" s="262" t="s">
        <v>207</v>
      </c>
    </row>
    <row r="4703" spans="1:5" ht="15">
      <c r="A4703" s="261">
        <v>20980</v>
      </c>
      <c r="B4703" s="261" t="s">
        <v>8586</v>
      </c>
      <c r="C4703" s="261" t="s">
        <v>3243</v>
      </c>
      <c r="D4703" s="265" t="s">
        <v>20948</v>
      </c>
      <c r="E4703" s="262" t="s">
        <v>207</v>
      </c>
    </row>
    <row r="4704" spans="1:5" ht="15">
      <c r="A4704" s="261">
        <v>7661</v>
      </c>
      <c r="B4704" s="261" t="s">
        <v>8587</v>
      </c>
      <c r="C4704" s="261" t="s">
        <v>3243</v>
      </c>
      <c r="D4704" s="265" t="s">
        <v>20949</v>
      </c>
      <c r="E4704" s="262" t="s">
        <v>207</v>
      </c>
    </row>
    <row r="4705" spans="1:5" ht="30">
      <c r="A4705" s="261">
        <v>21016</v>
      </c>
      <c r="B4705" s="261" t="s">
        <v>8588</v>
      </c>
      <c r="C4705" s="261" t="s">
        <v>3243</v>
      </c>
      <c r="D4705" s="265" t="s">
        <v>20950</v>
      </c>
      <c r="E4705" s="262" t="s">
        <v>207</v>
      </c>
    </row>
    <row r="4706" spans="1:5" ht="30">
      <c r="A4706" s="261">
        <v>21008</v>
      </c>
      <c r="B4706" s="261" t="s">
        <v>8589</v>
      </c>
      <c r="C4706" s="261" t="s">
        <v>3243</v>
      </c>
      <c r="D4706" s="265" t="s">
        <v>10349</v>
      </c>
      <c r="E4706" s="262" t="s">
        <v>207</v>
      </c>
    </row>
    <row r="4707" spans="1:5" ht="30">
      <c r="A4707" s="261">
        <v>21009</v>
      </c>
      <c r="B4707" s="261" t="s">
        <v>8590</v>
      </c>
      <c r="C4707" s="261" t="s">
        <v>3243</v>
      </c>
      <c r="D4707" s="265" t="s">
        <v>11052</v>
      </c>
      <c r="E4707" s="262" t="s">
        <v>207</v>
      </c>
    </row>
    <row r="4708" spans="1:5" ht="30">
      <c r="A4708" s="261">
        <v>21010</v>
      </c>
      <c r="B4708" s="261" t="s">
        <v>8591</v>
      </c>
      <c r="C4708" s="261" t="s">
        <v>3243</v>
      </c>
      <c r="D4708" s="265" t="s">
        <v>20951</v>
      </c>
      <c r="E4708" s="262" t="s">
        <v>207</v>
      </c>
    </row>
    <row r="4709" spans="1:5" ht="30">
      <c r="A4709" s="261">
        <v>21011</v>
      </c>
      <c r="B4709" s="261" t="s">
        <v>8592</v>
      </c>
      <c r="C4709" s="261" t="s">
        <v>3243</v>
      </c>
      <c r="D4709" s="265" t="s">
        <v>20952</v>
      </c>
      <c r="E4709" s="262" t="s">
        <v>207</v>
      </c>
    </row>
    <row r="4710" spans="1:5" ht="30">
      <c r="A4710" s="261">
        <v>21012</v>
      </c>
      <c r="B4710" s="261" t="s">
        <v>8593</v>
      </c>
      <c r="C4710" s="261" t="s">
        <v>3243</v>
      </c>
      <c r="D4710" s="265" t="s">
        <v>15891</v>
      </c>
      <c r="E4710" s="262" t="s">
        <v>207</v>
      </c>
    </row>
    <row r="4711" spans="1:5" ht="30">
      <c r="A4711" s="261">
        <v>21013</v>
      </c>
      <c r="B4711" s="261" t="s">
        <v>8594</v>
      </c>
      <c r="C4711" s="261" t="s">
        <v>3243</v>
      </c>
      <c r="D4711" s="265" t="s">
        <v>20953</v>
      </c>
      <c r="E4711" s="262" t="s">
        <v>207</v>
      </c>
    </row>
    <row r="4712" spans="1:5" ht="30">
      <c r="A4712" s="261">
        <v>21014</v>
      </c>
      <c r="B4712" s="261" t="s">
        <v>8595</v>
      </c>
      <c r="C4712" s="261" t="s">
        <v>3243</v>
      </c>
      <c r="D4712" s="265" t="s">
        <v>20954</v>
      </c>
      <c r="E4712" s="262" t="s">
        <v>207</v>
      </c>
    </row>
    <row r="4713" spans="1:5" ht="30">
      <c r="A4713" s="261">
        <v>21015</v>
      </c>
      <c r="B4713" s="261" t="s">
        <v>8596</v>
      </c>
      <c r="C4713" s="261" t="s">
        <v>3243</v>
      </c>
      <c r="D4713" s="265" t="s">
        <v>20955</v>
      </c>
      <c r="E4713" s="262" t="s">
        <v>207</v>
      </c>
    </row>
    <row r="4714" spans="1:5" ht="30">
      <c r="A4714" s="261">
        <v>7697</v>
      </c>
      <c r="B4714" s="261" t="s">
        <v>8597</v>
      </c>
      <c r="C4714" s="261" t="s">
        <v>3243</v>
      </c>
      <c r="D4714" s="265" t="s">
        <v>20956</v>
      </c>
      <c r="E4714" s="262" t="s">
        <v>207</v>
      </c>
    </row>
    <row r="4715" spans="1:5" ht="30">
      <c r="A4715" s="261">
        <v>7698</v>
      </c>
      <c r="B4715" s="261" t="s">
        <v>8598</v>
      </c>
      <c r="C4715" s="261" t="s">
        <v>3243</v>
      </c>
      <c r="D4715" s="265" t="s">
        <v>16060</v>
      </c>
      <c r="E4715" s="262" t="s">
        <v>207</v>
      </c>
    </row>
    <row r="4716" spans="1:5" ht="30">
      <c r="A4716" s="261">
        <v>7691</v>
      </c>
      <c r="B4716" s="261" t="s">
        <v>8599</v>
      </c>
      <c r="C4716" s="261" t="s">
        <v>3243</v>
      </c>
      <c r="D4716" s="265" t="s">
        <v>19692</v>
      </c>
      <c r="E4716" s="262" t="s">
        <v>207</v>
      </c>
    </row>
    <row r="4717" spans="1:5" ht="30">
      <c r="A4717" s="261">
        <v>40626</v>
      </c>
      <c r="B4717" s="261" t="s">
        <v>8600</v>
      </c>
      <c r="C4717" s="261" t="s">
        <v>3243</v>
      </c>
      <c r="D4717" s="265" t="s">
        <v>20957</v>
      </c>
      <c r="E4717" s="262" t="s">
        <v>207</v>
      </c>
    </row>
    <row r="4718" spans="1:5" ht="30">
      <c r="A4718" s="261">
        <v>7701</v>
      </c>
      <c r="B4718" s="261" t="s">
        <v>8601</v>
      </c>
      <c r="C4718" s="261" t="s">
        <v>3243</v>
      </c>
      <c r="D4718" s="265" t="s">
        <v>20958</v>
      </c>
      <c r="E4718" s="262" t="s">
        <v>207</v>
      </c>
    </row>
    <row r="4719" spans="1:5" ht="30">
      <c r="A4719" s="261">
        <v>7696</v>
      </c>
      <c r="B4719" s="261" t="s">
        <v>8602</v>
      </c>
      <c r="C4719" s="261" t="s">
        <v>3243</v>
      </c>
      <c r="D4719" s="265" t="s">
        <v>20959</v>
      </c>
      <c r="E4719" s="262" t="s">
        <v>207</v>
      </c>
    </row>
    <row r="4720" spans="1:5" ht="30">
      <c r="A4720" s="261">
        <v>7700</v>
      </c>
      <c r="B4720" s="261" t="s">
        <v>8603</v>
      </c>
      <c r="C4720" s="261" t="s">
        <v>3243</v>
      </c>
      <c r="D4720" s="265" t="s">
        <v>16065</v>
      </c>
      <c r="E4720" s="262" t="s">
        <v>207</v>
      </c>
    </row>
    <row r="4721" spans="1:5" ht="30">
      <c r="A4721" s="261">
        <v>7694</v>
      </c>
      <c r="B4721" s="261" t="s">
        <v>8604</v>
      </c>
      <c r="C4721" s="261" t="s">
        <v>3243</v>
      </c>
      <c r="D4721" s="265" t="s">
        <v>20960</v>
      </c>
      <c r="E4721" s="262" t="s">
        <v>207</v>
      </c>
    </row>
    <row r="4722" spans="1:5" ht="30">
      <c r="A4722" s="261">
        <v>7693</v>
      </c>
      <c r="B4722" s="261" t="s">
        <v>8605</v>
      </c>
      <c r="C4722" s="261" t="s">
        <v>3243</v>
      </c>
      <c r="D4722" s="265" t="s">
        <v>20961</v>
      </c>
      <c r="E4722" s="262" t="s">
        <v>207</v>
      </c>
    </row>
    <row r="4723" spans="1:5" ht="30">
      <c r="A4723" s="261">
        <v>7692</v>
      </c>
      <c r="B4723" s="261" t="s">
        <v>8606</v>
      </c>
      <c r="C4723" s="261" t="s">
        <v>3243</v>
      </c>
      <c r="D4723" s="265" t="s">
        <v>20962</v>
      </c>
      <c r="E4723" s="262" t="s">
        <v>207</v>
      </c>
    </row>
    <row r="4724" spans="1:5" ht="30">
      <c r="A4724" s="261">
        <v>7695</v>
      </c>
      <c r="B4724" s="261" t="s">
        <v>8607</v>
      </c>
      <c r="C4724" s="261" t="s">
        <v>3243</v>
      </c>
      <c r="D4724" s="265" t="s">
        <v>20963</v>
      </c>
      <c r="E4724" s="262" t="s">
        <v>207</v>
      </c>
    </row>
    <row r="4725" spans="1:5" ht="15">
      <c r="A4725" s="261">
        <v>13356</v>
      </c>
      <c r="B4725" s="261" t="s">
        <v>8608</v>
      </c>
      <c r="C4725" s="261" t="s">
        <v>3243</v>
      </c>
      <c r="D4725" s="265" t="s">
        <v>11361</v>
      </c>
      <c r="E4725" s="262" t="s">
        <v>207</v>
      </c>
    </row>
    <row r="4726" spans="1:5" ht="15">
      <c r="A4726" s="261">
        <v>36365</v>
      </c>
      <c r="B4726" s="261" t="s">
        <v>8609</v>
      </c>
      <c r="C4726" s="261" t="s">
        <v>3243</v>
      </c>
      <c r="D4726" s="265" t="s">
        <v>20964</v>
      </c>
      <c r="E4726" s="262" t="s">
        <v>207</v>
      </c>
    </row>
    <row r="4727" spans="1:5" ht="15">
      <c r="A4727" s="261">
        <v>41930</v>
      </c>
      <c r="B4727" s="261" t="s">
        <v>8610</v>
      </c>
      <c r="C4727" s="261" t="s">
        <v>3243</v>
      </c>
      <c r="D4727" s="265" t="s">
        <v>20965</v>
      </c>
      <c r="E4727" s="262" t="s">
        <v>207</v>
      </c>
    </row>
    <row r="4728" spans="1:5" ht="15">
      <c r="A4728" s="261">
        <v>41931</v>
      </c>
      <c r="B4728" s="261" t="s">
        <v>8611</v>
      </c>
      <c r="C4728" s="261" t="s">
        <v>3243</v>
      </c>
      <c r="D4728" s="265" t="s">
        <v>20966</v>
      </c>
      <c r="E4728" s="262" t="s">
        <v>207</v>
      </c>
    </row>
    <row r="4729" spans="1:5" ht="15">
      <c r="A4729" s="261">
        <v>41932</v>
      </c>
      <c r="B4729" s="261" t="s">
        <v>8612</v>
      </c>
      <c r="C4729" s="261" t="s">
        <v>3243</v>
      </c>
      <c r="D4729" s="265" t="s">
        <v>20967</v>
      </c>
      <c r="E4729" s="262" t="s">
        <v>207</v>
      </c>
    </row>
    <row r="4730" spans="1:5" ht="15">
      <c r="A4730" s="261">
        <v>41933</v>
      </c>
      <c r="B4730" s="261" t="s">
        <v>8613</v>
      </c>
      <c r="C4730" s="261" t="s">
        <v>3243</v>
      </c>
      <c r="D4730" s="265" t="s">
        <v>16387</v>
      </c>
      <c r="E4730" s="262" t="s">
        <v>207</v>
      </c>
    </row>
    <row r="4731" spans="1:5" ht="15">
      <c r="A4731" s="261">
        <v>41934</v>
      </c>
      <c r="B4731" s="261" t="s">
        <v>8614</v>
      </c>
      <c r="C4731" s="261" t="s">
        <v>3243</v>
      </c>
      <c r="D4731" s="265" t="s">
        <v>20968</v>
      </c>
      <c r="E4731" s="262" t="s">
        <v>207</v>
      </c>
    </row>
    <row r="4732" spans="1:5" ht="15">
      <c r="A4732" s="261">
        <v>41936</v>
      </c>
      <c r="B4732" s="261" t="s">
        <v>8615</v>
      </c>
      <c r="C4732" s="261" t="s">
        <v>3243</v>
      </c>
      <c r="D4732" s="265" t="s">
        <v>20969</v>
      </c>
      <c r="E4732" s="262" t="s">
        <v>207</v>
      </c>
    </row>
    <row r="4733" spans="1:5" ht="30">
      <c r="A4733" s="261">
        <v>41785</v>
      </c>
      <c r="B4733" s="261" t="s">
        <v>8616</v>
      </c>
      <c r="C4733" s="261" t="s">
        <v>3243</v>
      </c>
      <c r="D4733" s="265" t="s">
        <v>20970</v>
      </c>
      <c r="E4733" s="262" t="s">
        <v>207</v>
      </c>
    </row>
    <row r="4734" spans="1:5" ht="30">
      <c r="A4734" s="261">
        <v>41781</v>
      </c>
      <c r="B4734" s="261" t="s">
        <v>8617</v>
      </c>
      <c r="C4734" s="261" t="s">
        <v>3243</v>
      </c>
      <c r="D4734" s="265" t="s">
        <v>20971</v>
      </c>
      <c r="E4734" s="262" t="s">
        <v>207</v>
      </c>
    </row>
    <row r="4735" spans="1:5" ht="30">
      <c r="A4735" s="261">
        <v>41783</v>
      </c>
      <c r="B4735" s="261" t="s">
        <v>8618</v>
      </c>
      <c r="C4735" s="261" t="s">
        <v>3243</v>
      </c>
      <c r="D4735" s="265" t="s">
        <v>20972</v>
      </c>
      <c r="E4735" s="262" t="s">
        <v>207</v>
      </c>
    </row>
    <row r="4736" spans="1:5" ht="30">
      <c r="A4736" s="261">
        <v>41786</v>
      </c>
      <c r="B4736" s="261" t="s">
        <v>8619</v>
      </c>
      <c r="C4736" s="261" t="s">
        <v>3243</v>
      </c>
      <c r="D4736" s="265" t="s">
        <v>20973</v>
      </c>
      <c r="E4736" s="262" t="s">
        <v>207</v>
      </c>
    </row>
    <row r="4737" spans="1:5" ht="30">
      <c r="A4737" s="261">
        <v>41779</v>
      </c>
      <c r="B4737" s="261" t="s">
        <v>8620</v>
      </c>
      <c r="C4737" s="261" t="s">
        <v>3243</v>
      </c>
      <c r="D4737" s="265" t="s">
        <v>20974</v>
      </c>
      <c r="E4737" s="262" t="s">
        <v>207</v>
      </c>
    </row>
    <row r="4738" spans="1:5" ht="30">
      <c r="A4738" s="261">
        <v>41780</v>
      </c>
      <c r="B4738" s="261" t="s">
        <v>8621</v>
      </c>
      <c r="C4738" s="261" t="s">
        <v>3243</v>
      </c>
      <c r="D4738" s="265" t="s">
        <v>20975</v>
      </c>
      <c r="E4738" s="262" t="s">
        <v>207</v>
      </c>
    </row>
    <row r="4739" spans="1:5" ht="30">
      <c r="A4739" s="261">
        <v>41782</v>
      </c>
      <c r="B4739" s="261" t="s">
        <v>8622</v>
      </c>
      <c r="C4739" s="261" t="s">
        <v>3243</v>
      </c>
      <c r="D4739" s="265" t="s">
        <v>20976</v>
      </c>
      <c r="E4739" s="262" t="s">
        <v>207</v>
      </c>
    </row>
    <row r="4740" spans="1:5" ht="15">
      <c r="A4740" s="261">
        <v>38130</v>
      </c>
      <c r="B4740" s="261" t="s">
        <v>8623</v>
      </c>
      <c r="C4740" s="261" t="s">
        <v>3243</v>
      </c>
      <c r="D4740" s="265" t="s">
        <v>16507</v>
      </c>
      <c r="E4740" s="262" t="s">
        <v>207</v>
      </c>
    </row>
    <row r="4741" spans="1:5" ht="15">
      <c r="A4741" s="261">
        <v>21123</v>
      </c>
      <c r="B4741" s="261" t="s">
        <v>8624</v>
      </c>
      <c r="C4741" s="261" t="s">
        <v>3243</v>
      </c>
      <c r="D4741" s="265" t="s">
        <v>10244</v>
      </c>
      <c r="E4741" s="262" t="s">
        <v>207</v>
      </c>
    </row>
    <row r="4742" spans="1:5" ht="15">
      <c r="A4742" s="261">
        <v>21124</v>
      </c>
      <c r="B4742" s="261" t="s">
        <v>8625</v>
      </c>
      <c r="C4742" s="261" t="s">
        <v>3243</v>
      </c>
      <c r="D4742" s="265" t="s">
        <v>20977</v>
      </c>
      <c r="E4742" s="262" t="s">
        <v>207</v>
      </c>
    </row>
    <row r="4743" spans="1:5" ht="15">
      <c r="A4743" s="261">
        <v>21125</v>
      </c>
      <c r="B4743" s="261" t="s">
        <v>8626</v>
      </c>
      <c r="C4743" s="261" t="s">
        <v>3243</v>
      </c>
      <c r="D4743" s="265" t="s">
        <v>11301</v>
      </c>
      <c r="E4743" s="262" t="s">
        <v>207</v>
      </c>
    </row>
    <row r="4744" spans="1:5" ht="15">
      <c r="A4744" s="261">
        <v>38028</v>
      </c>
      <c r="B4744" s="261" t="s">
        <v>8627</v>
      </c>
      <c r="C4744" s="261" t="s">
        <v>3243</v>
      </c>
      <c r="D4744" s="265" t="s">
        <v>10341</v>
      </c>
      <c r="E4744" s="262" t="s">
        <v>207</v>
      </c>
    </row>
    <row r="4745" spans="1:5" ht="15">
      <c r="A4745" s="261">
        <v>38029</v>
      </c>
      <c r="B4745" s="261" t="s">
        <v>8628</v>
      </c>
      <c r="C4745" s="261" t="s">
        <v>3243</v>
      </c>
      <c r="D4745" s="265" t="s">
        <v>20978</v>
      </c>
      <c r="E4745" s="262" t="s">
        <v>207</v>
      </c>
    </row>
    <row r="4746" spans="1:5" ht="15">
      <c r="A4746" s="261">
        <v>38030</v>
      </c>
      <c r="B4746" s="261" t="s">
        <v>8629</v>
      </c>
      <c r="C4746" s="261" t="s">
        <v>3243</v>
      </c>
      <c r="D4746" s="265" t="s">
        <v>20979</v>
      </c>
      <c r="E4746" s="262" t="s">
        <v>207</v>
      </c>
    </row>
    <row r="4747" spans="1:5" ht="15">
      <c r="A4747" s="261">
        <v>38031</v>
      </c>
      <c r="B4747" s="261" t="s">
        <v>8630</v>
      </c>
      <c r="C4747" s="261" t="s">
        <v>3243</v>
      </c>
      <c r="D4747" s="265" t="s">
        <v>20980</v>
      </c>
      <c r="E4747" s="262" t="s">
        <v>207</v>
      </c>
    </row>
    <row r="4748" spans="1:5" ht="45">
      <c r="A4748" s="261">
        <v>39735</v>
      </c>
      <c r="B4748" s="261" t="s">
        <v>8631</v>
      </c>
      <c r="C4748" s="261" t="s">
        <v>3243</v>
      </c>
      <c r="D4748" s="265" t="s">
        <v>20981</v>
      </c>
      <c r="E4748" s="262" t="s">
        <v>207</v>
      </c>
    </row>
    <row r="4749" spans="1:5" ht="45">
      <c r="A4749" s="261">
        <v>39734</v>
      </c>
      <c r="B4749" s="261" t="s">
        <v>8632</v>
      </c>
      <c r="C4749" s="261" t="s">
        <v>3243</v>
      </c>
      <c r="D4749" s="265" t="s">
        <v>20982</v>
      </c>
      <c r="E4749" s="262" t="s">
        <v>207</v>
      </c>
    </row>
    <row r="4750" spans="1:5" ht="45">
      <c r="A4750" s="261">
        <v>39736</v>
      </c>
      <c r="B4750" s="261" t="s">
        <v>8633</v>
      </c>
      <c r="C4750" s="261" t="s">
        <v>3243</v>
      </c>
      <c r="D4750" s="265" t="s">
        <v>20983</v>
      </c>
      <c r="E4750" s="262" t="s">
        <v>207</v>
      </c>
    </row>
    <row r="4751" spans="1:5" ht="45">
      <c r="A4751" s="261">
        <v>39737</v>
      </c>
      <c r="B4751" s="261" t="s">
        <v>8634</v>
      </c>
      <c r="C4751" s="261" t="s">
        <v>3243</v>
      </c>
      <c r="D4751" s="265" t="s">
        <v>10601</v>
      </c>
      <c r="E4751" s="262" t="s">
        <v>207</v>
      </c>
    </row>
    <row r="4752" spans="1:5" ht="45">
      <c r="A4752" s="261">
        <v>39738</v>
      </c>
      <c r="B4752" s="261" t="s">
        <v>8635</v>
      </c>
      <c r="C4752" s="261" t="s">
        <v>3243</v>
      </c>
      <c r="D4752" s="265" t="s">
        <v>9729</v>
      </c>
      <c r="E4752" s="262" t="s">
        <v>207</v>
      </c>
    </row>
    <row r="4753" spans="1:5" ht="45">
      <c r="A4753" s="261">
        <v>39739</v>
      </c>
      <c r="B4753" s="261" t="s">
        <v>8636</v>
      </c>
      <c r="C4753" s="261" t="s">
        <v>3243</v>
      </c>
      <c r="D4753" s="265" t="s">
        <v>20984</v>
      </c>
      <c r="E4753" s="262" t="s">
        <v>207</v>
      </c>
    </row>
    <row r="4754" spans="1:5" ht="45">
      <c r="A4754" s="261">
        <v>39733</v>
      </c>
      <c r="B4754" s="261" t="s">
        <v>8637</v>
      </c>
      <c r="C4754" s="261" t="s">
        <v>3243</v>
      </c>
      <c r="D4754" s="265" t="s">
        <v>19291</v>
      </c>
      <c r="E4754" s="262" t="s">
        <v>207</v>
      </c>
    </row>
    <row r="4755" spans="1:5" ht="45">
      <c r="A4755" s="261">
        <v>39854</v>
      </c>
      <c r="B4755" s="261" t="s">
        <v>8638</v>
      </c>
      <c r="C4755" s="261" t="s">
        <v>3243</v>
      </c>
      <c r="D4755" s="265" t="s">
        <v>20985</v>
      </c>
      <c r="E4755" s="262" t="s">
        <v>207</v>
      </c>
    </row>
    <row r="4756" spans="1:5" ht="45">
      <c r="A4756" s="261">
        <v>39740</v>
      </c>
      <c r="B4756" s="261" t="s">
        <v>8639</v>
      </c>
      <c r="C4756" s="261" t="s">
        <v>3243</v>
      </c>
      <c r="D4756" s="265" t="s">
        <v>16163</v>
      </c>
      <c r="E4756" s="262" t="s">
        <v>207</v>
      </c>
    </row>
    <row r="4757" spans="1:5" ht="45">
      <c r="A4757" s="261">
        <v>39741</v>
      </c>
      <c r="B4757" s="261" t="s">
        <v>8640</v>
      </c>
      <c r="C4757" s="261" t="s">
        <v>3243</v>
      </c>
      <c r="D4757" s="265" t="s">
        <v>11562</v>
      </c>
      <c r="E4757" s="262" t="s">
        <v>207</v>
      </c>
    </row>
    <row r="4758" spans="1:5" ht="45">
      <c r="A4758" s="261">
        <v>39853</v>
      </c>
      <c r="B4758" s="261" t="s">
        <v>8641</v>
      </c>
      <c r="C4758" s="261" t="s">
        <v>3243</v>
      </c>
      <c r="D4758" s="265" t="s">
        <v>15840</v>
      </c>
      <c r="E4758" s="262" t="s">
        <v>207</v>
      </c>
    </row>
    <row r="4759" spans="1:5" ht="45">
      <c r="A4759" s="261">
        <v>39742</v>
      </c>
      <c r="B4759" s="261" t="s">
        <v>8642</v>
      </c>
      <c r="C4759" s="261" t="s">
        <v>3243</v>
      </c>
      <c r="D4759" s="265" t="s">
        <v>20784</v>
      </c>
      <c r="E4759" s="262" t="s">
        <v>207</v>
      </c>
    </row>
    <row r="4760" spans="1:5" ht="30">
      <c r="A4760" s="261">
        <v>39749</v>
      </c>
      <c r="B4760" s="261" t="s">
        <v>8643</v>
      </c>
      <c r="C4760" s="261" t="s">
        <v>3243</v>
      </c>
      <c r="D4760" s="265" t="s">
        <v>20986</v>
      </c>
      <c r="E4760" s="262" t="s">
        <v>207</v>
      </c>
    </row>
    <row r="4761" spans="1:5" ht="30">
      <c r="A4761" s="261">
        <v>39751</v>
      </c>
      <c r="B4761" s="261" t="s">
        <v>8644</v>
      </c>
      <c r="C4761" s="261" t="s">
        <v>3243</v>
      </c>
      <c r="D4761" s="265" t="s">
        <v>16642</v>
      </c>
      <c r="E4761" s="262" t="s">
        <v>207</v>
      </c>
    </row>
    <row r="4762" spans="1:5" ht="30">
      <c r="A4762" s="261">
        <v>39750</v>
      </c>
      <c r="B4762" s="261" t="s">
        <v>8645</v>
      </c>
      <c r="C4762" s="261" t="s">
        <v>3243</v>
      </c>
      <c r="D4762" s="265" t="s">
        <v>20987</v>
      </c>
      <c r="E4762" s="262" t="s">
        <v>207</v>
      </c>
    </row>
    <row r="4763" spans="1:5" ht="30">
      <c r="A4763" s="261">
        <v>39747</v>
      </c>
      <c r="B4763" s="261" t="s">
        <v>8646</v>
      </c>
      <c r="C4763" s="261" t="s">
        <v>3243</v>
      </c>
      <c r="D4763" s="265" t="s">
        <v>20988</v>
      </c>
      <c r="E4763" s="262" t="s">
        <v>207</v>
      </c>
    </row>
    <row r="4764" spans="1:5" ht="30">
      <c r="A4764" s="261">
        <v>39753</v>
      </c>
      <c r="B4764" s="261" t="s">
        <v>8647</v>
      </c>
      <c r="C4764" s="261" t="s">
        <v>3243</v>
      </c>
      <c r="D4764" s="265" t="s">
        <v>20989</v>
      </c>
      <c r="E4764" s="262" t="s">
        <v>207</v>
      </c>
    </row>
    <row r="4765" spans="1:5" ht="30">
      <c r="A4765" s="261">
        <v>39754</v>
      </c>
      <c r="B4765" s="261" t="s">
        <v>8648</v>
      </c>
      <c r="C4765" s="261" t="s">
        <v>3243</v>
      </c>
      <c r="D4765" s="265" t="s">
        <v>20990</v>
      </c>
      <c r="E4765" s="262" t="s">
        <v>207</v>
      </c>
    </row>
    <row r="4766" spans="1:5" ht="30">
      <c r="A4766" s="261">
        <v>39748</v>
      </c>
      <c r="B4766" s="261" t="s">
        <v>8649</v>
      </c>
      <c r="C4766" s="261" t="s">
        <v>3243</v>
      </c>
      <c r="D4766" s="265" t="s">
        <v>20991</v>
      </c>
      <c r="E4766" s="262" t="s">
        <v>207</v>
      </c>
    </row>
    <row r="4767" spans="1:5" ht="30">
      <c r="A4767" s="261">
        <v>39755</v>
      </c>
      <c r="B4767" s="261" t="s">
        <v>8650</v>
      </c>
      <c r="C4767" s="261" t="s">
        <v>3243</v>
      </c>
      <c r="D4767" s="265" t="s">
        <v>20992</v>
      </c>
      <c r="E4767" s="262" t="s">
        <v>207</v>
      </c>
    </row>
    <row r="4768" spans="1:5" ht="15">
      <c r="A4768" s="261">
        <v>12742</v>
      </c>
      <c r="B4768" s="261" t="s">
        <v>8651</v>
      </c>
      <c r="C4768" s="261" t="s">
        <v>3243</v>
      </c>
      <c r="D4768" s="265" t="s">
        <v>20993</v>
      </c>
      <c r="E4768" s="262" t="s">
        <v>207</v>
      </c>
    </row>
    <row r="4769" spans="1:5" ht="15">
      <c r="A4769" s="261">
        <v>12713</v>
      </c>
      <c r="B4769" s="261" t="s">
        <v>8652</v>
      </c>
      <c r="C4769" s="261" t="s">
        <v>3243</v>
      </c>
      <c r="D4769" s="265" t="s">
        <v>20994</v>
      </c>
      <c r="E4769" s="262" t="s">
        <v>207</v>
      </c>
    </row>
    <row r="4770" spans="1:5" ht="15">
      <c r="A4770" s="261">
        <v>12743</v>
      </c>
      <c r="B4770" s="261" t="s">
        <v>8653</v>
      </c>
      <c r="C4770" s="261" t="s">
        <v>3243</v>
      </c>
      <c r="D4770" s="265" t="s">
        <v>12251</v>
      </c>
      <c r="E4770" s="262" t="s">
        <v>207</v>
      </c>
    </row>
    <row r="4771" spans="1:5" ht="15">
      <c r="A4771" s="261">
        <v>12744</v>
      </c>
      <c r="B4771" s="261" t="s">
        <v>8654</v>
      </c>
      <c r="C4771" s="261" t="s">
        <v>3243</v>
      </c>
      <c r="D4771" s="265" t="s">
        <v>20995</v>
      </c>
      <c r="E4771" s="262" t="s">
        <v>207</v>
      </c>
    </row>
    <row r="4772" spans="1:5" ht="15">
      <c r="A4772" s="261">
        <v>12745</v>
      </c>
      <c r="B4772" s="261" t="s">
        <v>8655</v>
      </c>
      <c r="C4772" s="261" t="s">
        <v>3243</v>
      </c>
      <c r="D4772" s="266" t="s">
        <v>20839</v>
      </c>
      <c r="E4772" s="262" t="s">
        <v>207</v>
      </c>
    </row>
    <row r="4773" spans="1:5" ht="15">
      <c r="A4773" s="261">
        <v>12746</v>
      </c>
      <c r="B4773" s="261" t="s">
        <v>8656</v>
      </c>
      <c r="C4773" s="261" t="s">
        <v>3243</v>
      </c>
      <c r="D4773" s="265" t="s">
        <v>15811</v>
      </c>
      <c r="E4773" s="262" t="s">
        <v>207</v>
      </c>
    </row>
    <row r="4774" spans="1:5" ht="15">
      <c r="A4774" s="261">
        <v>12747</v>
      </c>
      <c r="B4774" s="261" t="s">
        <v>8657</v>
      </c>
      <c r="C4774" s="261" t="s">
        <v>3243</v>
      </c>
      <c r="D4774" s="266" t="s">
        <v>20996</v>
      </c>
      <c r="E4774" s="262" t="s">
        <v>207</v>
      </c>
    </row>
    <row r="4775" spans="1:5" ht="15">
      <c r="A4775" s="261">
        <v>12748</v>
      </c>
      <c r="B4775" s="261" t="s">
        <v>8658</v>
      </c>
      <c r="C4775" s="261" t="s">
        <v>3243</v>
      </c>
      <c r="D4775" s="266" t="s">
        <v>20997</v>
      </c>
      <c r="E4775" s="262" t="s">
        <v>207</v>
      </c>
    </row>
    <row r="4776" spans="1:5" ht="15">
      <c r="A4776" s="261">
        <v>12749</v>
      </c>
      <c r="B4776" s="261" t="s">
        <v>8659</v>
      </c>
      <c r="C4776" s="261" t="s">
        <v>3243</v>
      </c>
      <c r="D4776" s="265" t="s">
        <v>20998</v>
      </c>
      <c r="E4776" s="262" t="s">
        <v>207</v>
      </c>
    </row>
    <row r="4777" spans="1:5" ht="30">
      <c r="A4777" s="261">
        <v>39726</v>
      </c>
      <c r="B4777" s="261" t="s">
        <v>8660</v>
      </c>
      <c r="C4777" s="261" t="s">
        <v>3243</v>
      </c>
      <c r="D4777" s="266" t="s">
        <v>20999</v>
      </c>
      <c r="E4777" s="262" t="s">
        <v>207</v>
      </c>
    </row>
    <row r="4778" spans="1:5" ht="30">
      <c r="A4778" s="261">
        <v>39728</v>
      </c>
      <c r="B4778" s="261" t="s">
        <v>8661</v>
      </c>
      <c r="C4778" s="261" t="s">
        <v>3243</v>
      </c>
      <c r="D4778" s="266" t="s">
        <v>21000</v>
      </c>
      <c r="E4778" s="262" t="s">
        <v>207</v>
      </c>
    </row>
    <row r="4779" spans="1:5" ht="30">
      <c r="A4779" s="261">
        <v>39727</v>
      </c>
      <c r="B4779" s="261" t="s">
        <v>8662</v>
      </c>
      <c r="C4779" s="261" t="s">
        <v>3243</v>
      </c>
      <c r="D4779" s="265" t="s">
        <v>21001</v>
      </c>
      <c r="E4779" s="262" t="s">
        <v>207</v>
      </c>
    </row>
    <row r="4780" spans="1:5" ht="30">
      <c r="A4780" s="261">
        <v>39724</v>
      </c>
      <c r="B4780" s="261" t="s">
        <v>8663</v>
      </c>
      <c r="C4780" s="261" t="s">
        <v>3243</v>
      </c>
      <c r="D4780" s="265" t="s">
        <v>20649</v>
      </c>
      <c r="E4780" s="262" t="s">
        <v>207</v>
      </c>
    </row>
    <row r="4781" spans="1:5" ht="30">
      <c r="A4781" s="261">
        <v>39729</v>
      </c>
      <c r="B4781" s="261" t="s">
        <v>8664</v>
      </c>
      <c r="C4781" s="261" t="s">
        <v>3243</v>
      </c>
      <c r="D4781" s="265" t="s">
        <v>21002</v>
      </c>
      <c r="E4781" s="262" t="s">
        <v>207</v>
      </c>
    </row>
    <row r="4782" spans="1:5" ht="30">
      <c r="A4782" s="261">
        <v>39730</v>
      </c>
      <c r="B4782" s="261" t="s">
        <v>8665</v>
      </c>
      <c r="C4782" s="261" t="s">
        <v>3243</v>
      </c>
      <c r="D4782" s="265" t="s">
        <v>21003</v>
      </c>
      <c r="E4782" s="262" t="s">
        <v>207</v>
      </c>
    </row>
    <row r="4783" spans="1:5" ht="30">
      <c r="A4783" s="261">
        <v>39731</v>
      </c>
      <c r="B4783" s="261" t="s">
        <v>8666</v>
      </c>
      <c r="C4783" s="261" t="s">
        <v>3243</v>
      </c>
      <c r="D4783" s="266" t="s">
        <v>21004</v>
      </c>
      <c r="E4783" s="262" t="s">
        <v>207</v>
      </c>
    </row>
    <row r="4784" spans="1:5" ht="30">
      <c r="A4784" s="261">
        <v>39725</v>
      </c>
      <c r="B4784" s="261" t="s">
        <v>8667</v>
      </c>
      <c r="C4784" s="261" t="s">
        <v>3243</v>
      </c>
      <c r="D4784" s="266" t="s">
        <v>21005</v>
      </c>
      <c r="E4784" s="262" t="s">
        <v>207</v>
      </c>
    </row>
    <row r="4785" spans="1:5" ht="30">
      <c r="A4785" s="261">
        <v>39732</v>
      </c>
      <c r="B4785" s="261" t="s">
        <v>8668</v>
      </c>
      <c r="C4785" s="261" t="s">
        <v>3243</v>
      </c>
      <c r="D4785" s="266" t="s">
        <v>21006</v>
      </c>
      <c r="E4785" s="262" t="s">
        <v>207</v>
      </c>
    </row>
    <row r="4786" spans="1:5" ht="30">
      <c r="A4786" s="261">
        <v>39660</v>
      </c>
      <c r="B4786" s="261" t="s">
        <v>8669</v>
      </c>
      <c r="C4786" s="261" t="s">
        <v>3243</v>
      </c>
      <c r="D4786" s="265" t="s">
        <v>21007</v>
      </c>
      <c r="E4786" s="262" t="s">
        <v>207</v>
      </c>
    </row>
    <row r="4787" spans="1:5" ht="30">
      <c r="A4787" s="261">
        <v>39662</v>
      </c>
      <c r="B4787" s="261" t="s">
        <v>8670</v>
      </c>
      <c r="C4787" s="261" t="s">
        <v>3243</v>
      </c>
      <c r="D4787" s="266" t="s">
        <v>14132</v>
      </c>
      <c r="E4787" s="262" t="s">
        <v>207</v>
      </c>
    </row>
    <row r="4788" spans="1:5" ht="30">
      <c r="A4788" s="261">
        <v>39661</v>
      </c>
      <c r="B4788" s="261" t="s">
        <v>8671</v>
      </c>
      <c r="C4788" s="261" t="s">
        <v>3243</v>
      </c>
      <c r="D4788" s="265" t="s">
        <v>10330</v>
      </c>
      <c r="E4788" s="262" t="s">
        <v>207</v>
      </c>
    </row>
    <row r="4789" spans="1:5" ht="30">
      <c r="A4789" s="261">
        <v>39666</v>
      </c>
      <c r="B4789" s="261" t="s">
        <v>8672</v>
      </c>
      <c r="C4789" s="261" t="s">
        <v>3243</v>
      </c>
      <c r="D4789" s="265" t="s">
        <v>21008</v>
      </c>
      <c r="E4789" s="262" t="s">
        <v>207</v>
      </c>
    </row>
    <row r="4790" spans="1:5" ht="30">
      <c r="A4790" s="261">
        <v>39664</v>
      </c>
      <c r="B4790" s="261" t="s">
        <v>8673</v>
      </c>
      <c r="C4790" s="261" t="s">
        <v>3243</v>
      </c>
      <c r="D4790" s="265" t="s">
        <v>16477</v>
      </c>
      <c r="E4790" s="262" t="s">
        <v>207</v>
      </c>
    </row>
    <row r="4791" spans="1:5" ht="30">
      <c r="A4791" s="261">
        <v>39663</v>
      </c>
      <c r="B4791" s="261" t="s">
        <v>8674</v>
      </c>
      <c r="C4791" s="261" t="s">
        <v>3243</v>
      </c>
      <c r="D4791" s="265" t="s">
        <v>14144</v>
      </c>
      <c r="E4791" s="262" t="s">
        <v>207</v>
      </c>
    </row>
    <row r="4792" spans="1:5" ht="30">
      <c r="A4792" s="261">
        <v>39665</v>
      </c>
      <c r="B4792" s="261" t="s">
        <v>8675</v>
      </c>
      <c r="C4792" s="261" t="s">
        <v>3243</v>
      </c>
      <c r="D4792" s="265" t="s">
        <v>12390</v>
      </c>
      <c r="E4792" s="262" t="s">
        <v>207</v>
      </c>
    </row>
    <row r="4793" spans="1:5" ht="30">
      <c r="A4793" s="261">
        <v>39752</v>
      </c>
      <c r="B4793" s="261" t="s">
        <v>8676</v>
      </c>
      <c r="C4793" s="261" t="s">
        <v>3243</v>
      </c>
      <c r="D4793" s="266" t="s">
        <v>21009</v>
      </c>
      <c r="E4793" s="262" t="s">
        <v>207</v>
      </c>
    </row>
    <row r="4794" spans="1:5" ht="30">
      <c r="A4794" s="261">
        <v>7725</v>
      </c>
      <c r="B4794" s="261" t="s">
        <v>12035</v>
      </c>
      <c r="C4794" s="261" t="s">
        <v>3243</v>
      </c>
      <c r="D4794" s="266" t="s">
        <v>21010</v>
      </c>
      <c r="E4794" s="262" t="s">
        <v>207</v>
      </c>
    </row>
    <row r="4795" spans="1:5" ht="30">
      <c r="A4795" s="261">
        <v>7753</v>
      </c>
      <c r="B4795" s="261" t="s">
        <v>12036</v>
      </c>
      <c r="C4795" s="261" t="s">
        <v>3243</v>
      </c>
      <c r="D4795" s="266" t="s">
        <v>21011</v>
      </c>
      <c r="E4795" s="262" t="s">
        <v>207</v>
      </c>
    </row>
    <row r="4796" spans="1:5" ht="30">
      <c r="A4796" s="261">
        <v>13256</v>
      </c>
      <c r="B4796" s="261" t="s">
        <v>12037</v>
      </c>
      <c r="C4796" s="261" t="s">
        <v>3243</v>
      </c>
      <c r="D4796" s="265" t="s">
        <v>21012</v>
      </c>
      <c r="E4796" s="262" t="s">
        <v>207</v>
      </c>
    </row>
    <row r="4797" spans="1:5" ht="30">
      <c r="A4797" s="261">
        <v>7757</v>
      </c>
      <c r="B4797" s="261" t="s">
        <v>12038</v>
      </c>
      <c r="C4797" s="261" t="s">
        <v>3243</v>
      </c>
      <c r="D4797" s="265" t="s">
        <v>21013</v>
      </c>
      <c r="E4797" s="262" t="s">
        <v>207</v>
      </c>
    </row>
    <row r="4798" spans="1:5" ht="30">
      <c r="A4798" s="261">
        <v>7758</v>
      </c>
      <c r="B4798" s="261" t="s">
        <v>12039</v>
      </c>
      <c r="C4798" s="261" t="s">
        <v>3243</v>
      </c>
      <c r="D4798" s="265" t="s">
        <v>21014</v>
      </c>
      <c r="E4798" s="262" t="s">
        <v>207</v>
      </c>
    </row>
    <row r="4799" spans="1:5" ht="30">
      <c r="A4799" s="261">
        <v>7759</v>
      </c>
      <c r="B4799" s="261" t="s">
        <v>12040</v>
      </c>
      <c r="C4799" s="261" t="s">
        <v>3243</v>
      </c>
      <c r="D4799" s="265" t="s">
        <v>21015</v>
      </c>
      <c r="E4799" s="262" t="s">
        <v>207</v>
      </c>
    </row>
    <row r="4800" spans="1:5" ht="30">
      <c r="A4800" s="261">
        <v>40334</v>
      </c>
      <c r="B4800" s="261" t="s">
        <v>12041</v>
      </c>
      <c r="C4800" s="261" t="s">
        <v>3243</v>
      </c>
      <c r="D4800" s="265" t="s">
        <v>21016</v>
      </c>
      <c r="E4800" s="262" t="s">
        <v>207</v>
      </c>
    </row>
    <row r="4801" spans="1:5" ht="30">
      <c r="A4801" s="261">
        <v>7745</v>
      </c>
      <c r="B4801" s="261" t="s">
        <v>12042</v>
      </c>
      <c r="C4801" s="261" t="s">
        <v>3243</v>
      </c>
      <c r="D4801" s="265" t="s">
        <v>21017</v>
      </c>
      <c r="E4801" s="262" t="s">
        <v>207</v>
      </c>
    </row>
    <row r="4802" spans="1:5" ht="30">
      <c r="A4802" s="261">
        <v>7714</v>
      </c>
      <c r="B4802" s="261" t="s">
        <v>12043</v>
      </c>
      <c r="C4802" s="261" t="s">
        <v>3243</v>
      </c>
      <c r="D4802" s="265" t="s">
        <v>16192</v>
      </c>
      <c r="E4802" s="262" t="s">
        <v>207</v>
      </c>
    </row>
    <row r="4803" spans="1:5" ht="30">
      <c r="A4803" s="261">
        <v>7742</v>
      </c>
      <c r="B4803" s="261" t="s">
        <v>12044</v>
      </c>
      <c r="C4803" s="261" t="s">
        <v>3243</v>
      </c>
      <c r="D4803" s="265" t="s">
        <v>21018</v>
      </c>
      <c r="E4803" s="262" t="s">
        <v>207</v>
      </c>
    </row>
    <row r="4804" spans="1:5" ht="30">
      <c r="A4804" s="261">
        <v>7750</v>
      </c>
      <c r="B4804" s="261" t="s">
        <v>12045</v>
      </c>
      <c r="C4804" s="261" t="s">
        <v>3243</v>
      </c>
      <c r="D4804" s="265" t="s">
        <v>21019</v>
      </c>
      <c r="E4804" s="262" t="s">
        <v>207</v>
      </c>
    </row>
    <row r="4805" spans="1:5" ht="30">
      <c r="A4805" s="261">
        <v>7756</v>
      </c>
      <c r="B4805" s="261" t="s">
        <v>12046</v>
      </c>
      <c r="C4805" s="261" t="s">
        <v>3243</v>
      </c>
      <c r="D4805" s="265" t="s">
        <v>21020</v>
      </c>
      <c r="E4805" s="262" t="s">
        <v>207</v>
      </c>
    </row>
    <row r="4806" spans="1:5" ht="30">
      <c r="A4806" s="261">
        <v>7765</v>
      </c>
      <c r="B4806" s="261" t="s">
        <v>12047</v>
      </c>
      <c r="C4806" s="261" t="s">
        <v>3243</v>
      </c>
      <c r="D4806" s="265" t="s">
        <v>21021</v>
      </c>
      <c r="E4806" s="262" t="s">
        <v>207</v>
      </c>
    </row>
    <row r="4807" spans="1:5" ht="30">
      <c r="A4807" s="261">
        <v>12569</v>
      </c>
      <c r="B4807" s="261" t="s">
        <v>12048</v>
      </c>
      <c r="C4807" s="261" t="s">
        <v>3243</v>
      </c>
      <c r="D4807" s="265" t="s">
        <v>21022</v>
      </c>
      <c r="E4807" s="262" t="s">
        <v>207</v>
      </c>
    </row>
    <row r="4808" spans="1:5" ht="30">
      <c r="A4808" s="261">
        <v>7766</v>
      </c>
      <c r="B4808" s="261" t="s">
        <v>12049</v>
      </c>
      <c r="C4808" s="261" t="s">
        <v>3243</v>
      </c>
      <c r="D4808" s="265" t="s">
        <v>21023</v>
      </c>
      <c r="E4808" s="262" t="s">
        <v>207</v>
      </c>
    </row>
    <row r="4809" spans="1:5" ht="30">
      <c r="A4809" s="261">
        <v>7767</v>
      </c>
      <c r="B4809" s="261" t="s">
        <v>12050</v>
      </c>
      <c r="C4809" s="261" t="s">
        <v>3243</v>
      </c>
      <c r="D4809" s="265" t="s">
        <v>21024</v>
      </c>
      <c r="E4809" s="262" t="s">
        <v>207</v>
      </c>
    </row>
    <row r="4810" spans="1:5" ht="30">
      <c r="A4810" s="261">
        <v>7727</v>
      </c>
      <c r="B4810" s="261" t="s">
        <v>12051</v>
      </c>
      <c r="C4810" s="261" t="s">
        <v>3243</v>
      </c>
      <c r="D4810" s="265" t="s">
        <v>21025</v>
      </c>
      <c r="E4810" s="262" t="s">
        <v>207</v>
      </c>
    </row>
    <row r="4811" spans="1:5" ht="30">
      <c r="A4811" s="261">
        <v>7760</v>
      </c>
      <c r="B4811" s="261" t="s">
        <v>12052</v>
      </c>
      <c r="C4811" s="261" t="s">
        <v>3243</v>
      </c>
      <c r="D4811" s="265" t="s">
        <v>14224</v>
      </c>
      <c r="E4811" s="262" t="s">
        <v>207</v>
      </c>
    </row>
    <row r="4812" spans="1:5" ht="30">
      <c r="A4812" s="261">
        <v>7761</v>
      </c>
      <c r="B4812" s="261" t="s">
        <v>12053</v>
      </c>
      <c r="C4812" s="261" t="s">
        <v>3243</v>
      </c>
      <c r="D4812" s="265" t="s">
        <v>21026</v>
      </c>
      <c r="E4812" s="262" t="s">
        <v>207</v>
      </c>
    </row>
    <row r="4813" spans="1:5" ht="30">
      <c r="A4813" s="261">
        <v>7752</v>
      </c>
      <c r="B4813" s="261" t="s">
        <v>12054</v>
      </c>
      <c r="C4813" s="261" t="s">
        <v>3243</v>
      </c>
      <c r="D4813" s="265" t="s">
        <v>20675</v>
      </c>
      <c r="E4813" s="262" t="s">
        <v>207</v>
      </c>
    </row>
    <row r="4814" spans="1:5" ht="30">
      <c r="A4814" s="261">
        <v>7762</v>
      </c>
      <c r="B4814" s="261" t="s">
        <v>12055</v>
      </c>
      <c r="C4814" s="261" t="s">
        <v>3243</v>
      </c>
      <c r="D4814" s="265" t="s">
        <v>16639</v>
      </c>
      <c r="E4814" s="262" t="s">
        <v>207</v>
      </c>
    </row>
    <row r="4815" spans="1:5" ht="30">
      <c r="A4815" s="261">
        <v>7722</v>
      </c>
      <c r="B4815" s="261" t="s">
        <v>12056</v>
      </c>
      <c r="C4815" s="261" t="s">
        <v>3243</v>
      </c>
      <c r="D4815" s="265" t="s">
        <v>21027</v>
      </c>
      <c r="E4815" s="262" t="s">
        <v>207</v>
      </c>
    </row>
    <row r="4816" spans="1:5" ht="30">
      <c r="A4816" s="261">
        <v>7763</v>
      </c>
      <c r="B4816" s="261" t="s">
        <v>12057</v>
      </c>
      <c r="C4816" s="261" t="s">
        <v>3243</v>
      </c>
      <c r="D4816" s="265" t="s">
        <v>19187</v>
      </c>
      <c r="E4816" s="262" t="s">
        <v>207</v>
      </c>
    </row>
    <row r="4817" spans="1:5" ht="30">
      <c r="A4817" s="261">
        <v>7764</v>
      </c>
      <c r="B4817" s="261" t="s">
        <v>12058</v>
      </c>
      <c r="C4817" s="261" t="s">
        <v>3243</v>
      </c>
      <c r="D4817" s="265" t="s">
        <v>15887</v>
      </c>
      <c r="E4817" s="262" t="s">
        <v>207</v>
      </c>
    </row>
    <row r="4818" spans="1:5" ht="30">
      <c r="A4818" s="261">
        <v>12572</v>
      </c>
      <c r="B4818" s="261" t="s">
        <v>12059</v>
      </c>
      <c r="C4818" s="261" t="s">
        <v>3243</v>
      </c>
      <c r="D4818" s="265" t="s">
        <v>21012</v>
      </c>
      <c r="E4818" s="262" t="s">
        <v>207</v>
      </c>
    </row>
    <row r="4819" spans="1:5" ht="30">
      <c r="A4819" s="261">
        <v>12573</v>
      </c>
      <c r="B4819" s="261" t="s">
        <v>12060</v>
      </c>
      <c r="C4819" s="261" t="s">
        <v>3243</v>
      </c>
      <c r="D4819" s="265" t="s">
        <v>21028</v>
      </c>
      <c r="E4819" s="262" t="s">
        <v>207</v>
      </c>
    </row>
    <row r="4820" spans="1:5" ht="30">
      <c r="A4820" s="261">
        <v>12574</v>
      </c>
      <c r="B4820" s="261" t="s">
        <v>12061</v>
      </c>
      <c r="C4820" s="261" t="s">
        <v>3243</v>
      </c>
      <c r="D4820" s="265" t="s">
        <v>21029</v>
      </c>
      <c r="E4820" s="262" t="s">
        <v>207</v>
      </c>
    </row>
    <row r="4821" spans="1:5" ht="30">
      <c r="A4821" s="261">
        <v>12575</v>
      </c>
      <c r="B4821" s="261" t="s">
        <v>12062</v>
      </c>
      <c r="C4821" s="261" t="s">
        <v>3243</v>
      </c>
      <c r="D4821" s="265" t="s">
        <v>21030</v>
      </c>
      <c r="E4821" s="262" t="s">
        <v>207</v>
      </c>
    </row>
    <row r="4822" spans="1:5" ht="30">
      <c r="A4822" s="261">
        <v>12576</v>
      </c>
      <c r="B4822" s="261" t="s">
        <v>12063</v>
      </c>
      <c r="C4822" s="261" t="s">
        <v>3243</v>
      </c>
      <c r="D4822" s="265" t="s">
        <v>21031</v>
      </c>
      <c r="E4822" s="262" t="s">
        <v>207</v>
      </c>
    </row>
    <row r="4823" spans="1:5" ht="30">
      <c r="A4823" s="261">
        <v>12577</v>
      </c>
      <c r="B4823" s="261" t="s">
        <v>12064</v>
      </c>
      <c r="C4823" s="261" t="s">
        <v>3243</v>
      </c>
      <c r="D4823" s="265" t="s">
        <v>21032</v>
      </c>
      <c r="E4823" s="262" t="s">
        <v>207</v>
      </c>
    </row>
    <row r="4824" spans="1:5" ht="30">
      <c r="A4824" s="261">
        <v>12578</v>
      </c>
      <c r="B4824" s="261" t="s">
        <v>12065</v>
      </c>
      <c r="C4824" s="261" t="s">
        <v>3243</v>
      </c>
      <c r="D4824" s="265" t="s">
        <v>21033</v>
      </c>
      <c r="E4824" s="262" t="s">
        <v>207</v>
      </c>
    </row>
    <row r="4825" spans="1:5" ht="30">
      <c r="A4825" s="261">
        <v>12579</v>
      </c>
      <c r="B4825" s="261" t="s">
        <v>12066</v>
      </c>
      <c r="C4825" s="261" t="s">
        <v>3243</v>
      </c>
      <c r="D4825" s="265" t="s">
        <v>21034</v>
      </c>
      <c r="E4825" s="262" t="s">
        <v>207</v>
      </c>
    </row>
    <row r="4826" spans="1:5" ht="30">
      <c r="A4826" s="261">
        <v>12580</v>
      </c>
      <c r="B4826" s="261" t="s">
        <v>12067</v>
      </c>
      <c r="C4826" s="261" t="s">
        <v>3243</v>
      </c>
      <c r="D4826" s="265" t="s">
        <v>21035</v>
      </c>
      <c r="E4826" s="262" t="s">
        <v>207</v>
      </c>
    </row>
    <row r="4827" spans="1:5" ht="30">
      <c r="A4827" s="261">
        <v>12581</v>
      </c>
      <c r="B4827" s="261" t="s">
        <v>12068</v>
      </c>
      <c r="C4827" s="261" t="s">
        <v>3243</v>
      </c>
      <c r="D4827" s="265" t="s">
        <v>21036</v>
      </c>
      <c r="E4827" s="262" t="s">
        <v>207</v>
      </c>
    </row>
    <row r="4828" spans="1:5" ht="30">
      <c r="A4828" s="261">
        <v>7720</v>
      </c>
      <c r="B4828" s="261" t="s">
        <v>12069</v>
      </c>
      <c r="C4828" s="261" t="s">
        <v>3243</v>
      </c>
      <c r="D4828" s="265" t="s">
        <v>21037</v>
      </c>
      <c r="E4828" s="262" t="s">
        <v>207</v>
      </c>
    </row>
    <row r="4829" spans="1:5" ht="30">
      <c r="A4829" s="261">
        <v>40335</v>
      </c>
      <c r="B4829" s="261" t="s">
        <v>12070</v>
      </c>
      <c r="C4829" s="261" t="s">
        <v>3243</v>
      </c>
      <c r="D4829" s="265" t="s">
        <v>21038</v>
      </c>
      <c r="E4829" s="262" t="s">
        <v>207</v>
      </c>
    </row>
    <row r="4830" spans="1:5" ht="30">
      <c r="A4830" s="261">
        <v>7740</v>
      </c>
      <c r="B4830" s="261" t="s">
        <v>12071</v>
      </c>
      <c r="C4830" s="261" t="s">
        <v>3243</v>
      </c>
      <c r="D4830" s="265" t="s">
        <v>21039</v>
      </c>
      <c r="E4830" s="262" t="s">
        <v>207</v>
      </c>
    </row>
    <row r="4831" spans="1:5" ht="30">
      <c r="A4831" s="261">
        <v>7741</v>
      </c>
      <c r="B4831" s="261" t="s">
        <v>12072</v>
      </c>
      <c r="C4831" s="261" t="s">
        <v>3243</v>
      </c>
      <c r="D4831" s="265" t="s">
        <v>21040</v>
      </c>
      <c r="E4831" s="262" t="s">
        <v>207</v>
      </c>
    </row>
    <row r="4832" spans="1:5" ht="30">
      <c r="A4832" s="261">
        <v>7774</v>
      </c>
      <c r="B4832" s="261" t="s">
        <v>12073</v>
      </c>
      <c r="C4832" s="261" t="s">
        <v>3243</v>
      </c>
      <c r="D4832" s="265" t="s">
        <v>21041</v>
      </c>
      <c r="E4832" s="262" t="s">
        <v>207</v>
      </c>
    </row>
    <row r="4833" spans="1:5" ht="30">
      <c r="A4833" s="261">
        <v>7744</v>
      </c>
      <c r="B4833" s="261" t="s">
        <v>12074</v>
      </c>
      <c r="C4833" s="261" t="s">
        <v>3243</v>
      </c>
      <c r="D4833" s="265" t="s">
        <v>21042</v>
      </c>
      <c r="E4833" s="262" t="s">
        <v>207</v>
      </c>
    </row>
    <row r="4834" spans="1:5" ht="30">
      <c r="A4834" s="261">
        <v>7773</v>
      </c>
      <c r="B4834" s="261" t="s">
        <v>12075</v>
      </c>
      <c r="C4834" s="261" t="s">
        <v>3243</v>
      </c>
      <c r="D4834" s="265" t="s">
        <v>21043</v>
      </c>
      <c r="E4834" s="262" t="s">
        <v>207</v>
      </c>
    </row>
    <row r="4835" spans="1:5" ht="30">
      <c r="A4835" s="261">
        <v>7754</v>
      </c>
      <c r="B4835" s="261" t="s">
        <v>12076</v>
      </c>
      <c r="C4835" s="261" t="s">
        <v>3243</v>
      </c>
      <c r="D4835" s="265" t="s">
        <v>21044</v>
      </c>
      <c r="E4835" s="262" t="s">
        <v>207</v>
      </c>
    </row>
    <row r="4836" spans="1:5" ht="30">
      <c r="A4836" s="261">
        <v>7735</v>
      </c>
      <c r="B4836" s="261" t="s">
        <v>12077</v>
      </c>
      <c r="C4836" s="261" t="s">
        <v>3243</v>
      </c>
      <c r="D4836" s="265" t="s">
        <v>21045</v>
      </c>
      <c r="E4836" s="262" t="s">
        <v>207</v>
      </c>
    </row>
    <row r="4837" spans="1:5" ht="30">
      <c r="A4837" s="261">
        <v>7755</v>
      </c>
      <c r="B4837" s="261" t="s">
        <v>12078</v>
      </c>
      <c r="C4837" s="261" t="s">
        <v>3243</v>
      </c>
      <c r="D4837" s="265" t="s">
        <v>21046</v>
      </c>
      <c r="E4837" s="262" t="s">
        <v>207</v>
      </c>
    </row>
    <row r="4838" spans="1:5" ht="30">
      <c r="A4838" s="261">
        <v>7776</v>
      </c>
      <c r="B4838" s="261" t="s">
        <v>12079</v>
      </c>
      <c r="C4838" s="261" t="s">
        <v>3243</v>
      </c>
      <c r="D4838" s="265" t="s">
        <v>21047</v>
      </c>
      <c r="E4838" s="262" t="s">
        <v>207</v>
      </c>
    </row>
    <row r="4839" spans="1:5" ht="30">
      <c r="A4839" s="261">
        <v>7743</v>
      </c>
      <c r="B4839" s="261" t="s">
        <v>12080</v>
      </c>
      <c r="C4839" s="261" t="s">
        <v>3243</v>
      </c>
      <c r="D4839" s="265" t="s">
        <v>21048</v>
      </c>
      <c r="E4839" s="262" t="s">
        <v>207</v>
      </c>
    </row>
    <row r="4840" spans="1:5" ht="30">
      <c r="A4840" s="261">
        <v>7733</v>
      </c>
      <c r="B4840" s="261" t="s">
        <v>12081</v>
      </c>
      <c r="C4840" s="261" t="s">
        <v>3243</v>
      </c>
      <c r="D4840" s="265" t="s">
        <v>21049</v>
      </c>
      <c r="E4840" s="262" t="s">
        <v>207</v>
      </c>
    </row>
    <row r="4841" spans="1:5" ht="30">
      <c r="A4841" s="261">
        <v>7775</v>
      </c>
      <c r="B4841" s="261" t="s">
        <v>12082</v>
      </c>
      <c r="C4841" s="261" t="s">
        <v>3243</v>
      </c>
      <c r="D4841" s="265" t="s">
        <v>21050</v>
      </c>
      <c r="E4841" s="262" t="s">
        <v>207</v>
      </c>
    </row>
    <row r="4842" spans="1:5" ht="30">
      <c r="A4842" s="261">
        <v>7734</v>
      </c>
      <c r="B4842" s="261" t="s">
        <v>12083</v>
      </c>
      <c r="C4842" s="261" t="s">
        <v>3243</v>
      </c>
      <c r="D4842" s="265" t="s">
        <v>21051</v>
      </c>
      <c r="E4842" s="262" t="s">
        <v>207</v>
      </c>
    </row>
    <row r="4843" spans="1:5" ht="30">
      <c r="A4843" s="261">
        <v>37449</v>
      </c>
      <c r="B4843" s="261" t="s">
        <v>12084</v>
      </c>
      <c r="C4843" s="261" t="s">
        <v>3243</v>
      </c>
      <c r="D4843" s="265" t="s">
        <v>21052</v>
      </c>
      <c r="E4843" s="262" t="s">
        <v>207</v>
      </c>
    </row>
    <row r="4844" spans="1:5" ht="30">
      <c r="A4844" s="261">
        <v>37450</v>
      </c>
      <c r="B4844" s="261" t="s">
        <v>12085</v>
      </c>
      <c r="C4844" s="261" t="s">
        <v>3243</v>
      </c>
      <c r="D4844" s="265" t="s">
        <v>10360</v>
      </c>
      <c r="E4844" s="262" t="s">
        <v>207</v>
      </c>
    </row>
    <row r="4845" spans="1:5" ht="30">
      <c r="A4845" s="261">
        <v>37451</v>
      </c>
      <c r="B4845" s="261" t="s">
        <v>12086</v>
      </c>
      <c r="C4845" s="261" t="s">
        <v>3243</v>
      </c>
      <c r="D4845" s="265" t="s">
        <v>14171</v>
      </c>
      <c r="E4845" s="262" t="s">
        <v>207</v>
      </c>
    </row>
    <row r="4846" spans="1:5" ht="30">
      <c r="A4846" s="261">
        <v>37452</v>
      </c>
      <c r="B4846" s="261" t="s">
        <v>12087</v>
      </c>
      <c r="C4846" s="261" t="s">
        <v>3243</v>
      </c>
      <c r="D4846" s="265" t="s">
        <v>21053</v>
      </c>
      <c r="E4846" s="262" t="s">
        <v>207</v>
      </c>
    </row>
    <row r="4847" spans="1:5" ht="30">
      <c r="A4847" s="261">
        <v>37453</v>
      </c>
      <c r="B4847" s="261" t="s">
        <v>12088</v>
      </c>
      <c r="C4847" s="261" t="s">
        <v>3243</v>
      </c>
      <c r="D4847" s="265" t="s">
        <v>21054</v>
      </c>
      <c r="E4847" s="262" t="s">
        <v>207</v>
      </c>
    </row>
    <row r="4848" spans="1:5" ht="30">
      <c r="A4848" s="261">
        <v>7778</v>
      </c>
      <c r="B4848" s="261" t="s">
        <v>12089</v>
      </c>
      <c r="C4848" s="261" t="s">
        <v>3243</v>
      </c>
      <c r="D4848" s="265" t="s">
        <v>21055</v>
      </c>
      <c r="E4848" s="262" t="s">
        <v>207</v>
      </c>
    </row>
    <row r="4849" spans="1:5" ht="30">
      <c r="A4849" s="261">
        <v>7796</v>
      </c>
      <c r="B4849" s="261" t="s">
        <v>12090</v>
      </c>
      <c r="C4849" s="261" t="s">
        <v>3243</v>
      </c>
      <c r="D4849" s="265" t="s">
        <v>21056</v>
      </c>
      <c r="E4849" s="262" t="s">
        <v>207</v>
      </c>
    </row>
    <row r="4850" spans="1:5" ht="30">
      <c r="A4850" s="261">
        <v>7781</v>
      </c>
      <c r="B4850" s="261" t="s">
        <v>12091</v>
      </c>
      <c r="C4850" s="261" t="s">
        <v>3243</v>
      </c>
      <c r="D4850" s="265" t="s">
        <v>15911</v>
      </c>
      <c r="E4850" s="262" t="s">
        <v>207</v>
      </c>
    </row>
    <row r="4851" spans="1:5" ht="30">
      <c r="A4851" s="261">
        <v>7795</v>
      </c>
      <c r="B4851" s="261" t="s">
        <v>12092</v>
      </c>
      <c r="C4851" s="261" t="s">
        <v>3243</v>
      </c>
      <c r="D4851" s="265" t="s">
        <v>16422</v>
      </c>
      <c r="E4851" s="262" t="s">
        <v>207</v>
      </c>
    </row>
    <row r="4852" spans="1:5" ht="30">
      <c r="A4852" s="261">
        <v>7791</v>
      </c>
      <c r="B4852" s="261" t="s">
        <v>12093</v>
      </c>
      <c r="C4852" s="261" t="s">
        <v>3243</v>
      </c>
      <c r="D4852" s="265" t="s">
        <v>16696</v>
      </c>
      <c r="E4852" s="262" t="s">
        <v>207</v>
      </c>
    </row>
    <row r="4853" spans="1:5" ht="30">
      <c r="A4853" s="261">
        <v>7783</v>
      </c>
      <c r="B4853" s="261" t="s">
        <v>12094</v>
      </c>
      <c r="C4853" s="261" t="s">
        <v>3243</v>
      </c>
      <c r="D4853" s="265" t="s">
        <v>15853</v>
      </c>
      <c r="E4853" s="262" t="s">
        <v>207</v>
      </c>
    </row>
    <row r="4854" spans="1:5" ht="30">
      <c r="A4854" s="261">
        <v>7790</v>
      </c>
      <c r="B4854" s="261" t="s">
        <v>12095</v>
      </c>
      <c r="C4854" s="261" t="s">
        <v>3243</v>
      </c>
      <c r="D4854" s="265" t="s">
        <v>14164</v>
      </c>
      <c r="E4854" s="262" t="s">
        <v>207</v>
      </c>
    </row>
    <row r="4855" spans="1:5" ht="30">
      <c r="A4855" s="261">
        <v>7785</v>
      </c>
      <c r="B4855" s="261" t="s">
        <v>12096</v>
      </c>
      <c r="C4855" s="261" t="s">
        <v>3243</v>
      </c>
      <c r="D4855" s="265" t="s">
        <v>21057</v>
      </c>
      <c r="E4855" s="262" t="s">
        <v>207</v>
      </c>
    </row>
    <row r="4856" spans="1:5" ht="30">
      <c r="A4856" s="261">
        <v>7792</v>
      </c>
      <c r="B4856" s="261" t="s">
        <v>12097</v>
      </c>
      <c r="C4856" s="261" t="s">
        <v>3243</v>
      </c>
      <c r="D4856" s="265" t="s">
        <v>16360</v>
      </c>
      <c r="E4856" s="262" t="s">
        <v>207</v>
      </c>
    </row>
    <row r="4857" spans="1:5" ht="30">
      <c r="A4857" s="261">
        <v>7793</v>
      </c>
      <c r="B4857" s="261" t="s">
        <v>12098</v>
      </c>
      <c r="C4857" s="261" t="s">
        <v>3243</v>
      </c>
      <c r="D4857" s="265" t="s">
        <v>21058</v>
      </c>
      <c r="E4857" s="262" t="s">
        <v>207</v>
      </c>
    </row>
    <row r="4858" spans="1:5" ht="30">
      <c r="A4858" s="261">
        <v>13159</v>
      </c>
      <c r="B4858" s="261" t="s">
        <v>12099</v>
      </c>
      <c r="C4858" s="261" t="s">
        <v>3243</v>
      </c>
      <c r="D4858" s="265" t="s">
        <v>21059</v>
      </c>
      <c r="E4858" s="262" t="s">
        <v>207</v>
      </c>
    </row>
    <row r="4859" spans="1:5" ht="30">
      <c r="A4859" s="261">
        <v>13168</v>
      </c>
      <c r="B4859" s="261" t="s">
        <v>12100</v>
      </c>
      <c r="C4859" s="261" t="s">
        <v>3243</v>
      </c>
      <c r="D4859" s="265" t="s">
        <v>16306</v>
      </c>
      <c r="E4859" s="262" t="s">
        <v>207</v>
      </c>
    </row>
    <row r="4860" spans="1:5" ht="30">
      <c r="A4860" s="261">
        <v>13173</v>
      </c>
      <c r="B4860" s="261" t="s">
        <v>12101</v>
      </c>
      <c r="C4860" s="261" t="s">
        <v>3243</v>
      </c>
      <c r="D4860" s="265" t="s">
        <v>21060</v>
      </c>
      <c r="E4860" s="262" t="s">
        <v>207</v>
      </c>
    </row>
    <row r="4861" spans="1:5" ht="30">
      <c r="A4861" s="261">
        <v>12583</v>
      </c>
      <c r="B4861" s="261" t="s">
        <v>12102</v>
      </c>
      <c r="C4861" s="261" t="s">
        <v>3243</v>
      </c>
      <c r="D4861" s="265" t="s">
        <v>10523</v>
      </c>
      <c r="E4861" s="262" t="s">
        <v>207</v>
      </c>
    </row>
    <row r="4862" spans="1:5" ht="30">
      <c r="A4862" s="261">
        <v>12584</v>
      </c>
      <c r="B4862" s="261" t="s">
        <v>12103</v>
      </c>
      <c r="C4862" s="261" t="s">
        <v>3243</v>
      </c>
      <c r="D4862" s="265" t="s">
        <v>16077</v>
      </c>
      <c r="E4862" s="262" t="s">
        <v>207</v>
      </c>
    </row>
    <row r="4863" spans="1:5" ht="30">
      <c r="A4863" s="261">
        <v>12613</v>
      </c>
      <c r="B4863" s="261" t="s">
        <v>8677</v>
      </c>
      <c r="C4863" s="261" t="s">
        <v>3240</v>
      </c>
      <c r="D4863" s="265" t="s">
        <v>21061</v>
      </c>
      <c r="E4863" s="262" t="s">
        <v>207</v>
      </c>
    </row>
    <row r="4864" spans="1:5" ht="30">
      <c r="A4864" s="261">
        <v>1031</v>
      </c>
      <c r="B4864" s="261" t="s">
        <v>8678</v>
      </c>
      <c r="C4864" s="261" t="s">
        <v>3240</v>
      </c>
      <c r="D4864" s="265" t="s">
        <v>16615</v>
      </c>
      <c r="E4864" s="262" t="s">
        <v>207</v>
      </c>
    </row>
    <row r="4865" spans="1:5" ht="30">
      <c r="A4865" s="261">
        <v>39707</v>
      </c>
      <c r="B4865" s="261" t="s">
        <v>8679</v>
      </c>
      <c r="C4865" s="261" t="s">
        <v>3243</v>
      </c>
      <c r="D4865" s="265" t="s">
        <v>11339</v>
      </c>
      <c r="E4865" s="262" t="s">
        <v>207</v>
      </c>
    </row>
    <row r="4866" spans="1:5" ht="30">
      <c r="A4866" s="261">
        <v>39708</v>
      </c>
      <c r="B4866" s="261" t="s">
        <v>8680</v>
      </c>
      <c r="C4866" s="261" t="s">
        <v>3243</v>
      </c>
      <c r="D4866" s="265" t="s">
        <v>10055</v>
      </c>
      <c r="E4866" s="262" t="s">
        <v>207</v>
      </c>
    </row>
    <row r="4867" spans="1:5" ht="30">
      <c r="A4867" s="261">
        <v>39710</v>
      </c>
      <c r="B4867" s="261" t="s">
        <v>8681</v>
      </c>
      <c r="C4867" s="261" t="s">
        <v>3243</v>
      </c>
      <c r="D4867" s="265" t="s">
        <v>15838</v>
      </c>
      <c r="E4867" s="262" t="s">
        <v>207</v>
      </c>
    </row>
    <row r="4868" spans="1:5" ht="30">
      <c r="A4868" s="261">
        <v>39709</v>
      </c>
      <c r="B4868" s="261" t="s">
        <v>8682</v>
      </c>
      <c r="C4868" s="261" t="s">
        <v>3243</v>
      </c>
      <c r="D4868" s="265" t="s">
        <v>9743</v>
      </c>
      <c r="E4868" s="262" t="s">
        <v>207</v>
      </c>
    </row>
    <row r="4869" spans="1:5" ht="30">
      <c r="A4869" s="261">
        <v>39711</v>
      </c>
      <c r="B4869" s="261" t="s">
        <v>8683</v>
      </c>
      <c r="C4869" s="261" t="s">
        <v>3243</v>
      </c>
      <c r="D4869" s="265" t="s">
        <v>12130</v>
      </c>
      <c r="E4869" s="262" t="s">
        <v>207</v>
      </c>
    </row>
    <row r="4870" spans="1:5" ht="30">
      <c r="A4870" s="261">
        <v>39712</v>
      </c>
      <c r="B4870" s="261" t="s">
        <v>8684</v>
      </c>
      <c r="C4870" s="261" t="s">
        <v>3243</v>
      </c>
      <c r="D4870" s="265" t="s">
        <v>9851</v>
      </c>
      <c r="E4870" s="262" t="s">
        <v>207</v>
      </c>
    </row>
    <row r="4871" spans="1:5" ht="30">
      <c r="A4871" s="261">
        <v>39713</v>
      </c>
      <c r="B4871" s="261" t="s">
        <v>8685</v>
      </c>
      <c r="C4871" s="261" t="s">
        <v>3243</v>
      </c>
      <c r="D4871" s="265" t="s">
        <v>10013</v>
      </c>
      <c r="E4871" s="262" t="s">
        <v>207</v>
      </c>
    </row>
    <row r="4872" spans="1:5" ht="30">
      <c r="A4872" s="261">
        <v>39714</v>
      </c>
      <c r="B4872" s="261" t="s">
        <v>8686</v>
      </c>
      <c r="C4872" s="261" t="s">
        <v>3243</v>
      </c>
      <c r="D4872" s="265" t="s">
        <v>10800</v>
      </c>
      <c r="E4872" s="262" t="s">
        <v>207</v>
      </c>
    </row>
    <row r="4873" spans="1:5" ht="30">
      <c r="A4873" s="261">
        <v>39715</v>
      </c>
      <c r="B4873" s="261" t="s">
        <v>8687</v>
      </c>
      <c r="C4873" s="261" t="s">
        <v>3243</v>
      </c>
      <c r="D4873" s="265" t="s">
        <v>9808</v>
      </c>
      <c r="E4873" s="262" t="s">
        <v>207</v>
      </c>
    </row>
    <row r="4874" spans="1:5" ht="30">
      <c r="A4874" s="261">
        <v>39716</v>
      </c>
      <c r="B4874" s="261" t="s">
        <v>8688</v>
      </c>
      <c r="C4874" s="261" t="s">
        <v>3243</v>
      </c>
      <c r="D4874" s="265" t="s">
        <v>10430</v>
      </c>
      <c r="E4874" s="262" t="s">
        <v>207</v>
      </c>
    </row>
    <row r="4875" spans="1:5" ht="30">
      <c r="A4875" s="261">
        <v>39718</v>
      </c>
      <c r="B4875" s="261" t="s">
        <v>8689</v>
      </c>
      <c r="C4875" s="261" t="s">
        <v>3243</v>
      </c>
      <c r="D4875" s="265" t="s">
        <v>11502</v>
      </c>
      <c r="E4875" s="262" t="s">
        <v>207</v>
      </c>
    </row>
    <row r="4876" spans="1:5" ht="30">
      <c r="A4876" s="261">
        <v>9813</v>
      </c>
      <c r="B4876" s="261" t="s">
        <v>8690</v>
      </c>
      <c r="C4876" s="261" t="s">
        <v>3243</v>
      </c>
      <c r="D4876" s="265" t="s">
        <v>11184</v>
      </c>
      <c r="E4876" s="262" t="s">
        <v>207</v>
      </c>
    </row>
    <row r="4877" spans="1:5" ht="30">
      <c r="A4877" s="261">
        <v>9815</v>
      </c>
      <c r="B4877" s="261" t="s">
        <v>8691</v>
      </c>
      <c r="C4877" s="261" t="s">
        <v>3243</v>
      </c>
      <c r="D4877" s="265" t="s">
        <v>12237</v>
      </c>
      <c r="E4877" s="262" t="s">
        <v>207</v>
      </c>
    </row>
    <row r="4878" spans="1:5" ht="30">
      <c r="A4878" s="261">
        <v>25876</v>
      </c>
      <c r="B4878" s="261" t="s">
        <v>8692</v>
      </c>
      <c r="C4878" s="261" t="s">
        <v>3243</v>
      </c>
      <c r="D4878" s="265" t="s">
        <v>21062</v>
      </c>
      <c r="E4878" s="262" t="s">
        <v>207</v>
      </c>
    </row>
    <row r="4879" spans="1:5" ht="30">
      <c r="A4879" s="261">
        <v>25888</v>
      </c>
      <c r="B4879" s="261" t="s">
        <v>8693</v>
      </c>
      <c r="C4879" s="261" t="s">
        <v>3243</v>
      </c>
      <c r="D4879" s="265" t="s">
        <v>21063</v>
      </c>
      <c r="E4879" s="262" t="s">
        <v>207</v>
      </c>
    </row>
    <row r="4880" spans="1:5" ht="30">
      <c r="A4880" s="261">
        <v>25874</v>
      </c>
      <c r="B4880" s="261" t="s">
        <v>8694</v>
      </c>
      <c r="C4880" s="261" t="s">
        <v>3243</v>
      </c>
      <c r="D4880" s="265" t="s">
        <v>21064</v>
      </c>
      <c r="E4880" s="262" t="s">
        <v>207</v>
      </c>
    </row>
    <row r="4881" spans="1:5" ht="30">
      <c r="A4881" s="261">
        <v>25877</v>
      </c>
      <c r="B4881" s="261" t="s">
        <v>8695</v>
      </c>
      <c r="C4881" s="261" t="s">
        <v>3243</v>
      </c>
      <c r="D4881" s="265" t="s">
        <v>21065</v>
      </c>
      <c r="E4881" s="262" t="s">
        <v>207</v>
      </c>
    </row>
    <row r="4882" spans="1:5" ht="30">
      <c r="A4882" s="261">
        <v>25878</v>
      </c>
      <c r="B4882" s="261" t="s">
        <v>8696</v>
      </c>
      <c r="C4882" s="261" t="s">
        <v>3243</v>
      </c>
      <c r="D4882" s="265" t="s">
        <v>21066</v>
      </c>
      <c r="E4882" s="262" t="s">
        <v>207</v>
      </c>
    </row>
    <row r="4883" spans="1:5" ht="30">
      <c r="A4883" s="261">
        <v>25879</v>
      </c>
      <c r="B4883" s="261" t="s">
        <v>8697</v>
      </c>
      <c r="C4883" s="261" t="s">
        <v>3243</v>
      </c>
      <c r="D4883" s="265" t="s">
        <v>21067</v>
      </c>
      <c r="E4883" s="262" t="s">
        <v>207</v>
      </c>
    </row>
    <row r="4884" spans="1:5" ht="30">
      <c r="A4884" s="261">
        <v>25887</v>
      </c>
      <c r="B4884" s="261" t="s">
        <v>8698</v>
      </c>
      <c r="C4884" s="261" t="s">
        <v>3243</v>
      </c>
      <c r="D4884" s="265" t="s">
        <v>21068</v>
      </c>
      <c r="E4884" s="262" t="s">
        <v>207</v>
      </c>
    </row>
    <row r="4885" spans="1:5" ht="30">
      <c r="A4885" s="261">
        <v>25880</v>
      </c>
      <c r="B4885" s="261" t="s">
        <v>8699</v>
      </c>
      <c r="C4885" s="261" t="s">
        <v>3243</v>
      </c>
      <c r="D4885" s="265" t="s">
        <v>21069</v>
      </c>
      <c r="E4885" s="262" t="s">
        <v>207</v>
      </c>
    </row>
    <row r="4886" spans="1:5" ht="30">
      <c r="A4886" s="261">
        <v>25881</v>
      </c>
      <c r="B4886" s="261" t="s">
        <v>8700</v>
      </c>
      <c r="C4886" s="261" t="s">
        <v>3243</v>
      </c>
      <c r="D4886" s="265" t="s">
        <v>21070</v>
      </c>
      <c r="E4886" s="262" t="s">
        <v>207</v>
      </c>
    </row>
    <row r="4887" spans="1:5" ht="30">
      <c r="A4887" s="261">
        <v>25882</v>
      </c>
      <c r="B4887" s="261" t="s">
        <v>8701</v>
      </c>
      <c r="C4887" s="261" t="s">
        <v>3243</v>
      </c>
      <c r="D4887" s="265" t="s">
        <v>21071</v>
      </c>
      <c r="E4887" s="262" t="s">
        <v>207</v>
      </c>
    </row>
    <row r="4888" spans="1:5" ht="30">
      <c r="A4888" s="261">
        <v>25883</v>
      </c>
      <c r="B4888" s="261" t="s">
        <v>8702</v>
      </c>
      <c r="C4888" s="261" t="s">
        <v>3243</v>
      </c>
      <c r="D4888" s="265" t="s">
        <v>11429</v>
      </c>
      <c r="E4888" s="262" t="s">
        <v>207</v>
      </c>
    </row>
    <row r="4889" spans="1:5" ht="30">
      <c r="A4889" s="261">
        <v>25884</v>
      </c>
      <c r="B4889" s="261" t="s">
        <v>8703</v>
      </c>
      <c r="C4889" s="261" t="s">
        <v>3243</v>
      </c>
      <c r="D4889" s="266" t="s">
        <v>21072</v>
      </c>
      <c r="E4889" s="262" t="s">
        <v>207</v>
      </c>
    </row>
    <row r="4890" spans="1:5" ht="30">
      <c r="A4890" s="261">
        <v>25885</v>
      </c>
      <c r="B4890" s="261" t="s">
        <v>8704</v>
      </c>
      <c r="C4890" s="261" t="s">
        <v>3243</v>
      </c>
      <c r="D4890" s="266" t="s">
        <v>21073</v>
      </c>
      <c r="E4890" s="262" t="s">
        <v>207</v>
      </c>
    </row>
    <row r="4891" spans="1:5" ht="30">
      <c r="A4891" s="261">
        <v>25889</v>
      </c>
      <c r="B4891" s="261" t="s">
        <v>8705</v>
      </c>
      <c r="C4891" s="261" t="s">
        <v>3243</v>
      </c>
      <c r="D4891" s="266" t="s">
        <v>21074</v>
      </c>
      <c r="E4891" s="262" t="s">
        <v>207</v>
      </c>
    </row>
    <row r="4892" spans="1:5" ht="30">
      <c r="A4892" s="261">
        <v>25886</v>
      </c>
      <c r="B4892" s="261" t="s">
        <v>8706</v>
      </c>
      <c r="C4892" s="261" t="s">
        <v>3243</v>
      </c>
      <c r="D4892" s="265" t="s">
        <v>11494</v>
      </c>
      <c r="E4892" s="262" t="s">
        <v>207</v>
      </c>
    </row>
    <row r="4893" spans="1:5" ht="30">
      <c r="A4893" s="261">
        <v>25875</v>
      </c>
      <c r="B4893" s="261" t="s">
        <v>8707</v>
      </c>
      <c r="C4893" s="261" t="s">
        <v>3243</v>
      </c>
      <c r="D4893" s="265" t="s">
        <v>21075</v>
      </c>
      <c r="E4893" s="262" t="s">
        <v>207</v>
      </c>
    </row>
    <row r="4894" spans="1:5" ht="15">
      <c r="A4894" s="261">
        <v>9876</v>
      </c>
      <c r="B4894" s="261" t="s">
        <v>8708</v>
      </c>
      <c r="C4894" s="261" t="s">
        <v>3243</v>
      </c>
      <c r="D4894" s="265" t="s">
        <v>21076</v>
      </c>
      <c r="E4894" s="262" t="s">
        <v>207</v>
      </c>
    </row>
    <row r="4895" spans="1:5" ht="15">
      <c r="A4895" s="261">
        <v>9877</v>
      </c>
      <c r="B4895" s="261" t="s">
        <v>8709</v>
      </c>
      <c r="C4895" s="261" t="s">
        <v>3243</v>
      </c>
      <c r="D4895" s="265" t="s">
        <v>21077</v>
      </c>
      <c r="E4895" s="262" t="s">
        <v>207</v>
      </c>
    </row>
    <row r="4896" spans="1:5" ht="15">
      <c r="A4896" s="261">
        <v>9878</v>
      </c>
      <c r="B4896" s="261" t="s">
        <v>8710</v>
      </c>
      <c r="C4896" s="261" t="s">
        <v>3243</v>
      </c>
      <c r="D4896" s="265" t="s">
        <v>21078</v>
      </c>
      <c r="E4896" s="262" t="s">
        <v>207</v>
      </c>
    </row>
    <row r="4897" spans="1:5" ht="15">
      <c r="A4897" s="261">
        <v>9879</v>
      </c>
      <c r="B4897" s="261" t="s">
        <v>8711</v>
      </c>
      <c r="C4897" s="261" t="s">
        <v>3243</v>
      </c>
      <c r="D4897" s="265" t="s">
        <v>21079</v>
      </c>
      <c r="E4897" s="262" t="s">
        <v>207</v>
      </c>
    </row>
    <row r="4898" spans="1:5" ht="30">
      <c r="A4898" s="261">
        <v>41986</v>
      </c>
      <c r="B4898" s="261" t="s">
        <v>12104</v>
      </c>
      <c r="C4898" s="261" t="s">
        <v>3243</v>
      </c>
      <c r="D4898" s="265" t="s">
        <v>21080</v>
      </c>
      <c r="E4898" s="262" t="s">
        <v>207</v>
      </c>
    </row>
    <row r="4899" spans="1:5" ht="30">
      <c r="A4899" s="261">
        <v>43422</v>
      </c>
      <c r="B4899" s="261" t="s">
        <v>12105</v>
      </c>
      <c r="C4899" s="261" t="s">
        <v>3243</v>
      </c>
      <c r="D4899" s="265" t="s">
        <v>21081</v>
      </c>
      <c r="E4899" s="262" t="s">
        <v>207</v>
      </c>
    </row>
    <row r="4900" spans="1:5" ht="30">
      <c r="A4900" s="261">
        <v>41987</v>
      </c>
      <c r="B4900" s="261" t="s">
        <v>12106</v>
      </c>
      <c r="C4900" s="261" t="s">
        <v>3243</v>
      </c>
      <c r="D4900" s="265" t="s">
        <v>21082</v>
      </c>
      <c r="E4900" s="262" t="s">
        <v>207</v>
      </c>
    </row>
    <row r="4901" spans="1:5" ht="30">
      <c r="A4901" s="261">
        <v>41988</v>
      </c>
      <c r="B4901" s="261" t="s">
        <v>12107</v>
      </c>
      <c r="C4901" s="261" t="s">
        <v>3243</v>
      </c>
      <c r="D4901" s="265" t="s">
        <v>21083</v>
      </c>
      <c r="E4901" s="262" t="s">
        <v>207</v>
      </c>
    </row>
    <row r="4902" spans="1:5" ht="30">
      <c r="A4902" s="261">
        <v>41697</v>
      </c>
      <c r="B4902" s="261" t="s">
        <v>12108</v>
      </c>
      <c r="C4902" s="261" t="s">
        <v>3243</v>
      </c>
      <c r="D4902" s="265" t="s">
        <v>21084</v>
      </c>
      <c r="E4902" s="262" t="s">
        <v>207</v>
      </c>
    </row>
    <row r="4903" spans="1:5" ht="30">
      <c r="A4903" s="261">
        <v>41985</v>
      </c>
      <c r="B4903" s="261" t="s">
        <v>12109</v>
      </c>
      <c r="C4903" s="261" t="s">
        <v>3243</v>
      </c>
      <c r="D4903" s="265" t="s">
        <v>21085</v>
      </c>
      <c r="E4903" s="262" t="s">
        <v>207</v>
      </c>
    </row>
    <row r="4904" spans="1:5" ht="30">
      <c r="A4904" s="261">
        <v>41699</v>
      </c>
      <c r="B4904" s="261" t="s">
        <v>12110</v>
      </c>
      <c r="C4904" s="261" t="s">
        <v>3243</v>
      </c>
      <c r="D4904" s="265" t="s">
        <v>21086</v>
      </c>
      <c r="E4904" s="262" t="s">
        <v>207</v>
      </c>
    </row>
    <row r="4905" spans="1:5" ht="45">
      <c r="A4905" s="261">
        <v>38053</v>
      </c>
      <c r="B4905" s="261" t="s">
        <v>8712</v>
      </c>
      <c r="C4905" s="261" t="s">
        <v>3243</v>
      </c>
      <c r="D4905" s="265" t="s">
        <v>11438</v>
      </c>
      <c r="E4905" s="262" t="s">
        <v>207</v>
      </c>
    </row>
    <row r="4906" spans="1:5" ht="45">
      <c r="A4906" s="261">
        <v>38054</v>
      </c>
      <c r="B4906" s="261" t="s">
        <v>8713</v>
      </c>
      <c r="C4906" s="261" t="s">
        <v>3243</v>
      </c>
      <c r="D4906" s="265" t="s">
        <v>16170</v>
      </c>
      <c r="E4906" s="262" t="s">
        <v>207</v>
      </c>
    </row>
    <row r="4907" spans="1:5" ht="45">
      <c r="A4907" s="261">
        <v>38052</v>
      </c>
      <c r="B4907" s="261" t="s">
        <v>8714</v>
      </c>
      <c r="C4907" s="261" t="s">
        <v>3243</v>
      </c>
      <c r="D4907" s="265" t="s">
        <v>10328</v>
      </c>
      <c r="E4907" s="262" t="s">
        <v>207</v>
      </c>
    </row>
    <row r="4908" spans="1:5" ht="45">
      <c r="A4908" s="261">
        <v>38051</v>
      </c>
      <c r="B4908" s="261" t="s">
        <v>8715</v>
      </c>
      <c r="C4908" s="261" t="s">
        <v>3243</v>
      </c>
      <c r="D4908" s="265" t="s">
        <v>11479</v>
      </c>
      <c r="E4908" s="262" t="s">
        <v>207</v>
      </c>
    </row>
    <row r="4909" spans="1:5" ht="15">
      <c r="A4909" s="261">
        <v>38787</v>
      </c>
      <c r="B4909" s="261" t="s">
        <v>8716</v>
      </c>
      <c r="C4909" s="261" t="s">
        <v>3243</v>
      </c>
      <c r="D4909" s="265" t="s">
        <v>9983</v>
      </c>
      <c r="E4909" s="262" t="s">
        <v>207</v>
      </c>
    </row>
    <row r="4910" spans="1:5" ht="15">
      <c r="A4910" s="261">
        <v>38825</v>
      </c>
      <c r="B4910" s="261" t="s">
        <v>8717</v>
      </c>
      <c r="C4910" s="261" t="s">
        <v>3243</v>
      </c>
      <c r="D4910" s="265" t="s">
        <v>19785</v>
      </c>
      <c r="E4910" s="262" t="s">
        <v>207</v>
      </c>
    </row>
    <row r="4911" spans="1:5" ht="15">
      <c r="A4911" s="261">
        <v>38826</v>
      </c>
      <c r="B4911" s="261" t="s">
        <v>8718</v>
      </c>
      <c r="C4911" s="261" t="s">
        <v>3243</v>
      </c>
      <c r="D4911" s="265" t="s">
        <v>10289</v>
      </c>
      <c r="E4911" s="262" t="s">
        <v>207</v>
      </c>
    </row>
    <row r="4912" spans="1:5" ht="15">
      <c r="A4912" s="261">
        <v>38827</v>
      </c>
      <c r="B4912" s="261" t="s">
        <v>8719</v>
      </c>
      <c r="C4912" s="261" t="s">
        <v>3243</v>
      </c>
      <c r="D4912" s="265" t="s">
        <v>21087</v>
      </c>
      <c r="E4912" s="262" t="s">
        <v>207</v>
      </c>
    </row>
    <row r="4913" spans="1:5" ht="15">
      <c r="A4913" s="261">
        <v>38830</v>
      </c>
      <c r="B4913" s="261" t="s">
        <v>8720</v>
      </c>
      <c r="C4913" s="261" t="s">
        <v>3243</v>
      </c>
      <c r="D4913" s="265" t="s">
        <v>21088</v>
      </c>
      <c r="E4913" s="262" t="s">
        <v>207</v>
      </c>
    </row>
    <row r="4914" spans="1:5" ht="15">
      <c r="A4914" s="261">
        <v>38828</v>
      </c>
      <c r="B4914" s="261" t="s">
        <v>8721</v>
      </c>
      <c r="C4914" s="261" t="s">
        <v>3243</v>
      </c>
      <c r="D4914" s="265" t="s">
        <v>15963</v>
      </c>
      <c r="E4914" s="262" t="s">
        <v>207</v>
      </c>
    </row>
    <row r="4915" spans="1:5" ht="15">
      <c r="A4915" s="261">
        <v>38829</v>
      </c>
      <c r="B4915" s="261" t="s">
        <v>8722</v>
      </c>
      <c r="C4915" s="261" t="s">
        <v>3243</v>
      </c>
      <c r="D4915" s="265" t="s">
        <v>9771</v>
      </c>
      <c r="E4915" s="262" t="s">
        <v>207</v>
      </c>
    </row>
    <row r="4916" spans="1:5" ht="15">
      <c r="A4916" s="261">
        <v>38831</v>
      </c>
      <c r="B4916" s="261" t="s">
        <v>8723</v>
      </c>
      <c r="C4916" s="261" t="s">
        <v>3243</v>
      </c>
      <c r="D4916" s="265" t="s">
        <v>16428</v>
      </c>
      <c r="E4916" s="262" t="s">
        <v>207</v>
      </c>
    </row>
    <row r="4917" spans="1:5" ht="15">
      <c r="A4917" s="261">
        <v>36274</v>
      </c>
      <c r="B4917" s="261" t="s">
        <v>8724</v>
      </c>
      <c r="C4917" s="261" t="s">
        <v>3243</v>
      </c>
      <c r="D4917" s="265" t="s">
        <v>10238</v>
      </c>
      <c r="E4917" s="262" t="s">
        <v>207</v>
      </c>
    </row>
    <row r="4918" spans="1:5" ht="15">
      <c r="A4918" s="261">
        <v>36278</v>
      </c>
      <c r="B4918" s="261" t="s">
        <v>8725</v>
      </c>
      <c r="C4918" s="261" t="s">
        <v>3243</v>
      </c>
      <c r="D4918" s="265" t="s">
        <v>10564</v>
      </c>
      <c r="E4918" s="262" t="s">
        <v>207</v>
      </c>
    </row>
    <row r="4919" spans="1:5" ht="15">
      <c r="A4919" s="261">
        <v>38977</v>
      </c>
      <c r="B4919" s="261" t="s">
        <v>8726</v>
      </c>
      <c r="C4919" s="261" t="s">
        <v>3243</v>
      </c>
      <c r="D4919" s="265" t="s">
        <v>21089</v>
      </c>
      <c r="E4919" s="262" t="s">
        <v>207</v>
      </c>
    </row>
    <row r="4920" spans="1:5" ht="15">
      <c r="A4920" s="261">
        <v>38971</v>
      </c>
      <c r="B4920" s="261" t="s">
        <v>8727</v>
      </c>
      <c r="C4920" s="261" t="s">
        <v>3243</v>
      </c>
      <c r="D4920" s="265" t="s">
        <v>15950</v>
      </c>
      <c r="E4920" s="262" t="s">
        <v>207</v>
      </c>
    </row>
    <row r="4921" spans="1:5" ht="15">
      <c r="A4921" s="261">
        <v>38972</v>
      </c>
      <c r="B4921" s="261" t="s">
        <v>8728</v>
      </c>
      <c r="C4921" s="261" t="s">
        <v>3243</v>
      </c>
      <c r="D4921" s="265" t="s">
        <v>11206</v>
      </c>
      <c r="E4921" s="262" t="s">
        <v>207</v>
      </c>
    </row>
    <row r="4922" spans="1:5" ht="15">
      <c r="A4922" s="261">
        <v>38973</v>
      </c>
      <c r="B4922" s="261" t="s">
        <v>8729</v>
      </c>
      <c r="C4922" s="261" t="s">
        <v>3243</v>
      </c>
      <c r="D4922" s="265" t="s">
        <v>10069</v>
      </c>
      <c r="E4922" s="262" t="s">
        <v>207</v>
      </c>
    </row>
    <row r="4923" spans="1:5" ht="15">
      <c r="A4923" s="261">
        <v>38974</v>
      </c>
      <c r="B4923" s="261" t="s">
        <v>8730</v>
      </c>
      <c r="C4923" s="261" t="s">
        <v>3243</v>
      </c>
      <c r="D4923" s="265" t="s">
        <v>21090</v>
      </c>
      <c r="E4923" s="262" t="s">
        <v>207</v>
      </c>
    </row>
    <row r="4924" spans="1:5" ht="15">
      <c r="A4924" s="261">
        <v>38975</v>
      </c>
      <c r="B4924" s="261" t="s">
        <v>8731</v>
      </c>
      <c r="C4924" s="261" t="s">
        <v>3243</v>
      </c>
      <c r="D4924" s="265" t="s">
        <v>16362</v>
      </c>
      <c r="E4924" s="262" t="s">
        <v>207</v>
      </c>
    </row>
    <row r="4925" spans="1:5" ht="15">
      <c r="A4925" s="261">
        <v>38976</v>
      </c>
      <c r="B4925" s="261" t="s">
        <v>8732</v>
      </c>
      <c r="C4925" s="261" t="s">
        <v>3243</v>
      </c>
      <c r="D4925" s="265" t="s">
        <v>21091</v>
      </c>
      <c r="E4925" s="262" t="s">
        <v>207</v>
      </c>
    </row>
    <row r="4926" spans="1:5" ht="15">
      <c r="A4926" s="261">
        <v>38986</v>
      </c>
      <c r="B4926" s="261" t="s">
        <v>8733</v>
      </c>
      <c r="C4926" s="261" t="s">
        <v>3243</v>
      </c>
      <c r="D4926" s="265" t="s">
        <v>21092</v>
      </c>
      <c r="E4926" s="262" t="s">
        <v>207</v>
      </c>
    </row>
    <row r="4927" spans="1:5" ht="15">
      <c r="A4927" s="261">
        <v>38978</v>
      </c>
      <c r="B4927" s="261" t="s">
        <v>8734</v>
      </c>
      <c r="C4927" s="261" t="s">
        <v>3243</v>
      </c>
      <c r="D4927" s="265" t="s">
        <v>10238</v>
      </c>
      <c r="E4927" s="262" t="s">
        <v>207</v>
      </c>
    </row>
    <row r="4928" spans="1:5" ht="15">
      <c r="A4928" s="261">
        <v>38979</v>
      </c>
      <c r="B4928" s="261" t="s">
        <v>8735</v>
      </c>
      <c r="C4928" s="261" t="s">
        <v>3243</v>
      </c>
      <c r="D4928" s="265" t="s">
        <v>10564</v>
      </c>
      <c r="E4928" s="262" t="s">
        <v>207</v>
      </c>
    </row>
    <row r="4929" spans="1:5" ht="15">
      <c r="A4929" s="261">
        <v>38980</v>
      </c>
      <c r="B4929" s="261" t="s">
        <v>8736</v>
      </c>
      <c r="C4929" s="261" t="s">
        <v>3243</v>
      </c>
      <c r="D4929" s="265" t="s">
        <v>15790</v>
      </c>
      <c r="E4929" s="262" t="s">
        <v>207</v>
      </c>
    </row>
    <row r="4930" spans="1:5" ht="15">
      <c r="A4930" s="261">
        <v>38981</v>
      </c>
      <c r="B4930" s="261" t="s">
        <v>8737</v>
      </c>
      <c r="C4930" s="261" t="s">
        <v>3243</v>
      </c>
      <c r="D4930" s="265" t="s">
        <v>16545</v>
      </c>
      <c r="E4930" s="262" t="s">
        <v>207</v>
      </c>
    </row>
    <row r="4931" spans="1:5" ht="15">
      <c r="A4931" s="261">
        <v>38982</v>
      </c>
      <c r="B4931" s="261" t="s">
        <v>8738</v>
      </c>
      <c r="C4931" s="261" t="s">
        <v>3243</v>
      </c>
      <c r="D4931" s="265" t="s">
        <v>21093</v>
      </c>
      <c r="E4931" s="262" t="s">
        <v>207</v>
      </c>
    </row>
    <row r="4932" spans="1:5" ht="15">
      <c r="A4932" s="261">
        <v>38983</v>
      </c>
      <c r="B4932" s="261" t="s">
        <v>8739</v>
      </c>
      <c r="C4932" s="261" t="s">
        <v>3243</v>
      </c>
      <c r="D4932" s="265" t="s">
        <v>21094</v>
      </c>
      <c r="E4932" s="262" t="s">
        <v>207</v>
      </c>
    </row>
    <row r="4933" spans="1:5" ht="15">
      <c r="A4933" s="261">
        <v>38984</v>
      </c>
      <c r="B4933" s="261" t="s">
        <v>8740</v>
      </c>
      <c r="C4933" s="261" t="s">
        <v>3243</v>
      </c>
      <c r="D4933" s="265" t="s">
        <v>21095</v>
      </c>
      <c r="E4933" s="262" t="s">
        <v>207</v>
      </c>
    </row>
    <row r="4934" spans="1:5" ht="15">
      <c r="A4934" s="261">
        <v>38985</v>
      </c>
      <c r="B4934" s="261" t="s">
        <v>8741</v>
      </c>
      <c r="C4934" s="261" t="s">
        <v>3243</v>
      </c>
      <c r="D4934" s="265" t="s">
        <v>21096</v>
      </c>
      <c r="E4934" s="262" t="s">
        <v>207</v>
      </c>
    </row>
    <row r="4935" spans="1:5" ht="15">
      <c r="A4935" s="261">
        <v>9836</v>
      </c>
      <c r="B4935" s="261" t="s">
        <v>8742</v>
      </c>
      <c r="C4935" s="261" t="s">
        <v>3243</v>
      </c>
      <c r="D4935" s="265" t="s">
        <v>21097</v>
      </c>
      <c r="E4935" s="262" t="s">
        <v>207</v>
      </c>
    </row>
    <row r="4936" spans="1:5" ht="15">
      <c r="A4936" s="261">
        <v>20065</v>
      </c>
      <c r="B4936" s="261" t="s">
        <v>8743</v>
      </c>
      <c r="C4936" s="261" t="s">
        <v>3243</v>
      </c>
      <c r="D4936" s="265" t="s">
        <v>21098</v>
      </c>
      <c r="E4936" s="262" t="s">
        <v>207</v>
      </c>
    </row>
    <row r="4937" spans="1:5" ht="15">
      <c r="A4937" s="261">
        <v>9835</v>
      </c>
      <c r="B4937" s="261" t="s">
        <v>8744</v>
      </c>
      <c r="C4937" s="261" t="s">
        <v>3243</v>
      </c>
      <c r="D4937" s="265" t="s">
        <v>11169</v>
      </c>
      <c r="E4937" s="262" t="s">
        <v>207</v>
      </c>
    </row>
    <row r="4938" spans="1:5" ht="15">
      <c r="A4938" s="261">
        <v>38032</v>
      </c>
      <c r="B4938" s="261" t="s">
        <v>8745</v>
      </c>
      <c r="C4938" s="261" t="s">
        <v>3243</v>
      </c>
      <c r="D4938" s="265" t="s">
        <v>21099</v>
      </c>
      <c r="E4938" s="262" t="s">
        <v>207</v>
      </c>
    </row>
    <row r="4939" spans="1:5" ht="15">
      <c r="A4939" s="261">
        <v>38033</v>
      </c>
      <c r="B4939" s="261" t="s">
        <v>8746</v>
      </c>
      <c r="C4939" s="261" t="s">
        <v>3243</v>
      </c>
      <c r="D4939" s="265" t="s">
        <v>21100</v>
      </c>
      <c r="E4939" s="262" t="s">
        <v>207</v>
      </c>
    </row>
    <row r="4940" spans="1:5" ht="15">
      <c r="A4940" s="261">
        <v>38034</v>
      </c>
      <c r="B4940" s="261" t="s">
        <v>8747</v>
      </c>
      <c r="C4940" s="261" t="s">
        <v>3243</v>
      </c>
      <c r="D4940" s="265" t="s">
        <v>21101</v>
      </c>
      <c r="E4940" s="262" t="s">
        <v>207</v>
      </c>
    </row>
    <row r="4941" spans="1:5" ht="15">
      <c r="A4941" s="261">
        <v>38035</v>
      </c>
      <c r="B4941" s="261" t="s">
        <v>8748</v>
      </c>
      <c r="C4941" s="261" t="s">
        <v>3243</v>
      </c>
      <c r="D4941" s="265" t="s">
        <v>21102</v>
      </c>
      <c r="E4941" s="262" t="s">
        <v>207</v>
      </c>
    </row>
    <row r="4942" spans="1:5" ht="15">
      <c r="A4942" s="261">
        <v>38036</v>
      </c>
      <c r="B4942" s="261" t="s">
        <v>8749</v>
      </c>
      <c r="C4942" s="261" t="s">
        <v>3243</v>
      </c>
      <c r="D4942" s="265" t="s">
        <v>21103</v>
      </c>
      <c r="E4942" s="262" t="s">
        <v>207</v>
      </c>
    </row>
    <row r="4943" spans="1:5" ht="15">
      <c r="A4943" s="261">
        <v>38037</v>
      </c>
      <c r="B4943" s="261" t="s">
        <v>8750</v>
      </c>
      <c r="C4943" s="261" t="s">
        <v>3243</v>
      </c>
      <c r="D4943" s="265" t="s">
        <v>21104</v>
      </c>
      <c r="E4943" s="262" t="s">
        <v>207</v>
      </c>
    </row>
    <row r="4944" spans="1:5" ht="30">
      <c r="A4944" s="261">
        <v>9850</v>
      </c>
      <c r="B4944" s="261" t="s">
        <v>8751</v>
      </c>
      <c r="C4944" s="261" t="s">
        <v>3243</v>
      </c>
      <c r="D4944" s="265" t="s">
        <v>21105</v>
      </c>
      <c r="E4944" s="262" t="s">
        <v>207</v>
      </c>
    </row>
    <row r="4945" spans="1:5" ht="30">
      <c r="A4945" s="261">
        <v>9853</v>
      </c>
      <c r="B4945" s="261" t="s">
        <v>8752</v>
      </c>
      <c r="C4945" s="261" t="s">
        <v>3243</v>
      </c>
      <c r="D4945" s="265" t="s">
        <v>21106</v>
      </c>
      <c r="E4945" s="262" t="s">
        <v>207</v>
      </c>
    </row>
    <row r="4946" spans="1:5" ht="30">
      <c r="A4946" s="261">
        <v>9854</v>
      </c>
      <c r="B4946" s="261" t="s">
        <v>8753</v>
      </c>
      <c r="C4946" s="261" t="s">
        <v>3243</v>
      </c>
      <c r="D4946" s="265" t="s">
        <v>21107</v>
      </c>
      <c r="E4946" s="262" t="s">
        <v>207</v>
      </c>
    </row>
    <row r="4947" spans="1:5" ht="30">
      <c r="A4947" s="261">
        <v>9851</v>
      </c>
      <c r="B4947" s="261" t="s">
        <v>8754</v>
      </c>
      <c r="C4947" s="261" t="s">
        <v>3243</v>
      </c>
      <c r="D4947" s="265" t="s">
        <v>21108</v>
      </c>
      <c r="E4947" s="262" t="s">
        <v>207</v>
      </c>
    </row>
    <row r="4948" spans="1:5" ht="30">
      <c r="A4948" s="261">
        <v>9855</v>
      </c>
      <c r="B4948" s="261" t="s">
        <v>8755</v>
      </c>
      <c r="C4948" s="261" t="s">
        <v>3243</v>
      </c>
      <c r="D4948" s="265" t="s">
        <v>21109</v>
      </c>
      <c r="E4948" s="262" t="s">
        <v>207</v>
      </c>
    </row>
    <row r="4949" spans="1:5" ht="15">
      <c r="A4949" s="261">
        <v>9825</v>
      </c>
      <c r="B4949" s="261" t="s">
        <v>8756</v>
      </c>
      <c r="C4949" s="261" t="s">
        <v>3243</v>
      </c>
      <c r="D4949" s="265" t="s">
        <v>16659</v>
      </c>
      <c r="E4949" s="262" t="s">
        <v>207</v>
      </c>
    </row>
    <row r="4950" spans="1:5" ht="15">
      <c r="A4950" s="261">
        <v>9828</v>
      </c>
      <c r="B4950" s="261" t="s">
        <v>8757</v>
      </c>
      <c r="C4950" s="261" t="s">
        <v>3243</v>
      </c>
      <c r="D4950" s="265" t="s">
        <v>20058</v>
      </c>
      <c r="E4950" s="262" t="s">
        <v>207</v>
      </c>
    </row>
    <row r="4951" spans="1:5" ht="15">
      <c r="A4951" s="261">
        <v>9829</v>
      </c>
      <c r="B4951" s="261" t="s">
        <v>8758</v>
      </c>
      <c r="C4951" s="261" t="s">
        <v>3243</v>
      </c>
      <c r="D4951" s="265" t="s">
        <v>16376</v>
      </c>
      <c r="E4951" s="262" t="s">
        <v>207</v>
      </c>
    </row>
    <row r="4952" spans="1:5" ht="15">
      <c r="A4952" s="261">
        <v>9826</v>
      </c>
      <c r="B4952" s="261" t="s">
        <v>8759</v>
      </c>
      <c r="C4952" s="261" t="s">
        <v>3243</v>
      </c>
      <c r="D4952" s="265" t="s">
        <v>21110</v>
      </c>
      <c r="E4952" s="262" t="s">
        <v>207</v>
      </c>
    </row>
    <row r="4953" spans="1:5" ht="15">
      <c r="A4953" s="261">
        <v>9827</v>
      </c>
      <c r="B4953" s="261" t="s">
        <v>8760</v>
      </c>
      <c r="C4953" s="261" t="s">
        <v>3243</v>
      </c>
      <c r="D4953" s="265" t="s">
        <v>21111</v>
      </c>
      <c r="E4953" s="262" t="s">
        <v>207</v>
      </c>
    </row>
    <row r="4954" spans="1:5" ht="15">
      <c r="A4954" s="261">
        <v>36374</v>
      </c>
      <c r="B4954" s="261" t="s">
        <v>8761</v>
      </c>
      <c r="C4954" s="261" t="s">
        <v>3243</v>
      </c>
      <c r="D4954" s="265" t="s">
        <v>21112</v>
      </c>
      <c r="E4954" s="262" t="s">
        <v>207</v>
      </c>
    </row>
    <row r="4955" spans="1:5" ht="15">
      <c r="A4955" s="261">
        <v>36084</v>
      </c>
      <c r="B4955" s="261" t="s">
        <v>8762</v>
      </c>
      <c r="C4955" s="261" t="s">
        <v>3243</v>
      </c>
      <c r="D4955" s="265" t="s">
        <v>12333</v>
      </c>
      <c r="E4955" s="262" t="s">
        <v>207</v>
      </c>
    </row>
    <row r="4956" spans="1:5" ht="15">
      <c r="A4956" s="261">
        <v>36373</v>
      </c>
      <c r="B4956" s="261" t="s">
        <v>8763</v>
      </c>
      <c r="C4956" s="261" t="s">
        <v>3243</v>
      </c>
      <c r="D4956" s="265" t="s">
        <v>14262</v>
      </c>
      <c r="E4956" s="262" t="s">
        <v>207</v>
      </c>
    </row>
    <row r="4957" spans="1:5" ht="15">
      <c r="A4957" s="261">
        <v>36377</v>
      </c>
      <c r="B4957" s="261" t="s">
        <v>8764</v>
      </c>
      <c r="C4957" s="261" t="s">
        <v>3243</v>
      </c>
      <c r="D4957" s="265" t="s">
        <v>19337</v>
      </c>
      <c r="E4957" s="262" t="s">
        <v>207</v>
      </c>
    </row>
    <row r="4958" spans="1:5" ht="15">
      <c r="A4958" s="261">
        <v>36375</v>
      </c>
      <c r="B4958" s="261" t="s">
        <v>8765</v>
      </c>
      <c r="C4958" s="261" t="s">
        <v>3243</v>
      </c>
      <c r="D4958" s="266" t="s">
        <v>21113</v>
      </c>
      <c r="E4958" s="262" t="s">
        <v>207</v>
      </c>
    </row>
    <row r="4959" spans="1:5" ht="15">
      <c r="A4959" s="261">
        <v>36376</v>
      </c>
      <c r="B4959" s="261" t="s">
        <v>8766</v>
      </c>
      <c r="C4959" s="261" t="s">
        <v>3243</v>
      </c>
      <c r="D4959" s="266" t="s">
        <v>21114</v>
      </c>
      <c r="E4959" s="262" t="s">
        <v>207</v>
      </c>
    </row>
    <row r="4960" spans="1:5" ht="15">
      <c r="A4960" s="261">
        <v>36380</v>
      </c>
      <c r="B4960" s="261" t="s">
        <v>8767</v>
      </c>
      <c r="C4960" s="261" t="s">
        <v>3243</v>
      </c>
      <c r="D4960" s="266" t="s">
        <v>16441</v>
      </c>
      <c r="E4960" s="262" t="s">
        <v>207</v>
      </c>
    </row>
    <row r="4961" spans="1:5" ht="15">
      <c r="A4961" s="261">
        <v>36378</v>
      </c>
      <c r="B4961" s="261" t="s">
        <v>8768</v>
      </c>
      <c r="C4961" s="261" t="s">
        <v>3243</v>
      </c>
      <c r="D4961" s="266" t="s">
        <v>10181</v>
      </c>
      <c r="E4961" s="262" t="s">
        <v>207</v>
      </c>
    </row>
    <row r="4962" spans="1:5" ht="15">
      <c r="A4962" s="261">
        <v>36379</v>
      </c>
      <c r="B4962" s="261" t="s">
        <v>8769</v>
      </c>
      <c r="C4962" s="261" t="s">
        <v>3243</v>
      </c>
      <c r="D4962" s="266" t="s">
        <v>21115</v>
      </c>
      <c r="E4962" s="262" t="s">
        <v>207</v>
      </c>
    </row>
    <row r="4963" spans="1:5" ht="15">
      <c r="A4963" s="261">
        <v>9859</v>
      </c>
      <c r="B4963" s="261" t="s">
        <v>8770</v>
      </c>
      <c r="C4963" s="261" t="s">
        <v>3243</v>
      </c>
      <c r="D4963" s="266" t="s">
        <v>14115</v>
      </c>
      <c r="E4963" s="262" t="s">
        <v>207</v>
      </c>
    </row>
    <row r="4964" spans="1:5" ht="15">
      <c r="A4964" s="261">
        <v>9838</v>
      </c>
      <c r="B4964" s="261" t="s">
        <v>8771</v>
      </c>
      <c r="C4964" s="261" t="s">
        <v>3243</v>
      </c>
      <c r="D4964" s="266" t="s">
        <v>10051</v>
      </c>
      <c r="E4964" s="262" t="s">
        <v>207</v>
      </c>
    </row>
    <row r="4965" spans="1:5" ht="15">
      <c r="A4965" s="261">
        <v>9837</v>
      </c>
      <c r="B4965" s="261" t="s">
        <v>8772</v>
      </c>
      <c r="C4965" s="261" t="s">
        <v>3243</v>
      </c>
      <c r="D4965" s="266" t="s">
        <v>12256</v>
      </c>
      <c r="E4965" s="262" t="s">
        <v>207</v>
      </c>
    </row>
    <row r="4966" spans="1:5" ht="30">
      <c r="A4966" s="261">
        <v>9833</v>
      </c>
      <c r="B4966" s="261" t="s">
        <v>8773</v>
      </c>
      <c r="C4966" s="261" t="s">
        <v>3243</v>
      </c>
      <c r="D4966" s="266" t="s">
        <v>11334</v>
      </c>
      <c r="E4966" s="262" t="s">
        <v>207</v>
      </c>
    </row>
    <row r="4967" spans="1:5" ht="30">
      <c r="A4967" s="261">
        <v>9830</v>
      </c>
      <c r="B4967" s="261" t="s">
        <v>8774</v>
      </c>
      <c r="C4967" s="261" t="s">
        <v>3243</v>
      </c>
      <c r="D4967" s="266" t="s">
        <v>11176</v>
      </c>
      <c r="E4967" s="262" t="s">
        <v>207</v>
      </c>
    </row>
    <row r="4968" spans="1:5" ht="30">
      <c r="A4968" s="261">
        <v>9834</v>
      </c>
      <c r="B4968" s="261" t="s">
        <v>8775</v>
      </c>
      <c r="C4968" s="261" t="s">
        <v>3243</v>
      </c>
      <c r="D4968" s="266" t="s">
        <v>21116</v>
      </c>
      <c r="E4968" s="262" t="s">
        <v>207</v>
      </c>
    </row>
    <row r="4969" spans="1:5" ht="15">
      <c r="A4969" s="261">
        <v>9863</v>
      </c>
      <c r="B4969" s="261" t="s">
        <v>8776</v>
      </c>
      <c r="C4969" s="261" t="s">
        <v>3243</v>
      </c>
      <c r="D4969" s="265" t="s">
        <v>16147</v>
      </c>
      <c r="E4969" s="262" t="s">
        <v>207</v>
      </c>
    </row>
    <row r="4970" spans="1:5" ht="15">
      <c r="A4970" s="261">
        <v>9860</v>
      </c>
      <c r="B4970" s="261" t="s">
        <v>8777</v>
      </c>
      <c r="C4970" s="261" t="s">
        <v>3243</v>
      </c>
      <c r="D4970" s="265" t="s">
        <v>12200</v>
      </c>
      <c r="E4970" s="262" t="s">
        <v>207</v>
      </c>
    </row>
    <row r="4971" spans="1:5" ht="15">
      <c r="A4971" s="261">
        <v>9862</v>
      </c>
      <c r="B4971" s="261" t="s">
        <v>8778</v>
      </c>
      <c r="C4971" s="261" t="s">
        <v>3243</v>
      </c>
      <c r="D4971" s="265" t="s">
        <v>21117</v>
      </c>
      <c r="E4971" s="262" t="s">
        <v>207</v>
      </c>
    </row>
    <row r="4972" spans="1:5" ht="15">
      <c r="A4972" s="261">
        <v>9861</v>
      </c>
      <c r="B4972" s="261" t="s">
        <v>8779</v>
      </c>
      <c r="C4972" s="261" t="s">
        <v>3243</v>
      </c>
      <c r="D4972" s="265" t="s">
        <v>21118</v>
      </c>
      <c r="E4972" s="262" t="s">
        <v>207</v>
      </c>
    </row>
    <row r="4973" spans="1:5" ht="15">
      <c r="A4973" s="261">
        <v>9856</v>
      </c>
      <c r="B4973" s="261" t="s">
        <v>8780</v>
      </c>
      <c r="C4973" s="261" t="s">
        <v>3243</v>
      </c>
      <c r="D4973" s="265" t="s">
        <v>19837</v>
      </c>
      <c r="E4973" s="262" t="s">
        <v>207</v>
      </c>
    </row>
    <row r="4974" spans="1:5" ht="15">
      <c r="A4974" s="261">
        <v>9866</v>
      </c>
      <c r="B4974" s="261" t="s">
        <v>8781</v>
      </c>
      <c r="C4974" s="261" t="s">
        <v>3243</v>
      </c>
      <c r="D4974" s="265" t="s">
        <v>21119</v>
      </c>
      <c r="E4974" s="262" t="s">
        <v>207</v>
      </c>
    </row>
    <row r="4975" spans="1:5" ht="15">
      <c r="A4975" s="261">
        <v>9857</v>
      </c>
      <c r="B4975" s="261" t="s">
        <v>8782</v>
      </c>
      <c r="C4975" s="261" t="s">
        <v>3243</v>
      </c>
      <c r="D4975" s="265" t="s">
        <v>21120</v>
      </c>
      <c r="E4975" s="262" t="s">
        <v>207</v>
      </c>
    </row>
    <row r="4976" spans="1:5" ht="15">
      <c r="A4976" s="261">
        <v>9864</v>
      </c>
      <c r="B4976" s="261" t="s">
        <v>8783</v>
      </c>
      <c r="C4976" s="261" t="s">
        <v>3243</v>
      </c>
      <c r="D4976" s="265" t="s">
        <v>21121</v>
      </c>
      <c r="E4976" s="262" t="s">
        <v>207</v>
      </c>
    </row>
    <row r="4977" spans="1:5" ht="15">
      <c r="A4977" s="261">
        <v>9865</v>
      </c>
      <c r="B4977" s="261" t="s">
        <v>8784</v>
      </c>
      <c r="C4977" s="261" t="s">
        <v>3243</v>
      </c>
      <c r="D4977" s="265" t="s">
        <v>21122</v>
      </c>
      <c r="E4977" s="262" t="s">
        <v>207</v>
      </c>
    </row>
    <row r="4978" spans="1:5" ht="15">
      <c r="A4978" s="261">
        <v>9858</v>
      </c>
      <c r="B4978" s="261" t="s">
        <v>8785</v>
      </c>
      <c r="C4978" s="261" t="s">
        <v>3243</v>
      </c>
      <c r="D4978" s="265" t="s">
        <v>21123</v>
      </c>
      <c r="E4978" s="262" t="s">
        <v>207</v>
      </c>
    </row>
    <row r="4979" spans="1:5" ht="30">
      <c r="A4979" s="261">
        <v>9841</v>
      </c>
      <c r="B4979" s="261" t="s">
        <v>12111</v>
      </c>
      <c r="C4979" s="261" t="s">
        <v>3243</v>
      </c>
      <c r="D4979" s="265" t="s">
        <v>12446</v>
      </c>
      <c r="E4979" s="262" t="s">
        <v>207</v>
      </c>
    </row>
    <row r="4980" spans="1:5" ht="30">
      <c r="A4980" s="261">
        <v>9840</v>
      </c>
      <c r="B4980" s="261" t="s">
        <v>12112</v>
      </c>
      <c r="C4980" s="261" t="s">
        <v>3243</v>
      </c>
      <c r="D4980" s="265" t="s">
        <v>16109</v>
      </c>
      <c r="E4980" s="262" t="s">
        <v>207</v>
      </c>
    </row>
    <row r="4981" spans="1:5" ht="30">
      <c r="A4981" s="261">
        <v>20067</v>
      </c>
      <c r="B4981" s="261" t="s">
        <v>12113</v>
      </c>
      <c r="C4981" s="261" t="s">
        <v>3243</v>
      </c>
      <c r="D4981" s="265" t="s">
        <v>10061</v>
      </c>
      <c r="E4981" s="262" t="s">
        <v>207</v>
      </c>
    </row>
    <row r="4982" spans="1:5" ht="30">
      <c r="A4982" s="261">
        <v>20068</v>
      </c>
      <c r="B4982" s="261" t="s">
        <v>12114</v>
      </c>
      <c r="C4982" s="261" t="s">
        <v>3243</v>
      </c>
      <c r="D4982" s="265" t="s">
        <v>19965</v>
      </c>
      <c r="E4982" s="262" t="s">
        <v>207</v>
      </c>
    </row>
    <row r="4983" spans="1:5" ht="30">
      <c r="A4983" s="261">
        <v>9839</v>
      </c>
      <c r="B4983" s="261" t="s">
        <v>12115</v>
      </c>
      <c r="C4983" s="261" t="s">
        <v>3243</v>
      </c>
      <c r="D4983" s="265" t="s">
        <v>12331</v>
      </c>
      <c r="E4983" s="262" t="s">
        <v>207</v>
      </c>
    </row>
    <row r="4984" spans="1:5" ht="15">
      <c r="A4984" s="261">
        <v>9870</v>
      </c>
      <c r="B4984" s="261" t="s">
        <v>8786</v>
      </c>
      <c r="C4984" s="261" t="s">
        <v>3243</v>
      </c>
      <c r="D4984" s="265" t="s">
        <v>21124</v>
      </c>
      <c r="E4984" s="262" t="s">
        <v>207</v>
      </c>
    </row>
    <row r="4985" spans="1:5" ht="15">
      <c r="A4985" s="261">
        <v>9867</v>
      </c>
      <c r="B4985" s="261" t="s">
        <v>8787</v>
      </c>
      <c r="C4985" s="261" t="s">
        <v>3243</v>
      </c>
      <c r="D4985" s="265" t="s">
        <v>11265</v>
      </c>
      <c r="E4985" s="262" t="s">
        <v>207</v>
      </c>
    </row>
    <row r="4986" spans="1:5" ht="15">
      <c r="A4986" s="261">
        <v>9868</v>
      </c>
      <c r="B4986" s="261" t="s">
        <v>8788</v>
      </c>
      <c r="C4986" s="261" t="s">
        <v>3243</v>
      </c>
      <c r="D4986" s="265" t="s">
        <v>9954</v>
      </c>
      <c r="E4986" s="262" t="s">
        <v>207</v>
      </c>
    </row>
    <row r="4987" spans="1:5" ht="15">
      <c r="A4987" s="261">
        <v>9869</v>
      </c>
      <c r="B4987" s="261" t="s">
        <v>8789</v>
      </c>
      <c r="C4987" s="261" t="s">
        <v>3243</v>
      </c>
      <c r="D4987" s="265" t="s">
        <v>21125</v>
      </c>
      <c r="E4987" s="262" t="s">
        <v>207</v>
      </c>
    </row>
    <row r="4988" spans="1:5" ht="15">
      <c r="A4988" s="261">
        <v>9874</v>
      </c>
      <c r="B4988" s="261" t="s">
        <v>8790</v>
      </c>
      <c r="C4988" s="261" t="s">
        <v>3243</v>
      </c>
      <c r="D4988" s="265" t="s">
        <v>11268</v>
      </c>
      <c r="E4988" s="262" t="s">
        <v>207</v>
      </c>
    </row>
    <row r="4989" spans="1:5" ht="15">
      <c r="A4989" s="261">
        <v>9875</v>
      </c>
      <c r="B4989" s="261" t="s">
        <v>8791</v>
      </c>
      <c r="C4989" s="261" t="s">
        <v>3243</v>
      </c>
      <c r="D4989" s="265" t="s">
        <v>11271</v>
      </c>
      <c r="E4989" s="262" t="s">
        <v>207</v>
      </c>
    </row>
    <row r="4990" spans="1:5" ht="15">
      <c r="A4990" s="261">
        <v>9873</v>
      </c>
      <c r="B4990" s="261" t="s">
        <v>8792</v>
      </c>
      <c r="C4990" s="261" t="s">
        <v>3243</v>
      </c>
      <c r="D4990" s="265" t="s">
        <v>12196</v>
      </c>
      <c r="E4990" s="262" t="s">
        <v>207</v>
      </c>
    </row>
    <row r="4991" spans="1:5" ht="15">
      <c r="A4991" s="261">
        <v>9871</v>
      </c>
      <c r="B4991" s="261" t="s">
        <v>8793</v>
      </c>
      <c r="C4991" s="261" t="s">
        <v>3243</v>
      </c>
      <c r="D4991" s="265" t="s">
        <v>16084</v>
      </c>
      <c r="E4991" s="262" t="s">
        <v>207</v>
      </c>
    </row>
    <row r="4992" spans="1:5" ht="15">
      <c r="A4992" s="261">
        <v>9872</v>
      </c>
      <c r="B4992" s="261" t="s">
        <v>8794</v>
      </c>
      <c r="C4992" s="261" t="s">
        <v>3243</v>
      </c>
      <c r="D4992" s="265" t="s">
        <v>21126</v>
      </c>
      <c r="E4992" s="262" t="s">
        <v>207</v>
      </c>
    </row>
    <row r="4993" spans="1:5" ht="15">
      <c r="A4993" s="261">
        <v>7667</v>
      </c>
      <c r="B4993" s="261" t="s">
        <v>8795</v>
      </c>
      <c r="C4993" s="261" t="s">
        <v>3243</v>
      </c>
      <c r="D4993" s="265" t="s">
        <v>21127</v>
      </c>
      <c r="E4993" s="262" t="s">
        <v>207</v>
      </c>
    </row>
    <row r="4994" spans="1:5" ht="15">
      <c r="A4994" s="261">
        <v>7660</v>
      </c>
      <c r="B4994" s="261" t="s">
        <v>8796</v>
      </c>
      <c r="C4994" s="261" t="s">
        <v>3243</v>
      </c>
      <c r="D4994" s="265" t="s">
        <v>21128</v>
      </c>
      <c r="E4994" s="262" t="s">
        <v>207</v>
      </c>
    </row>
    <row r="4995" spans="1:5" ht="15">
      <c r="A4995" s="261">
        <v>7676</v>
      </c>
      <c r="B4995" s="261" t="s">
        <v>8797</v>
      </c>
      <c r="C4995" s="261" t="s">
        <v>3243</v>
      </c>
      <c r="D4995" s="265" t="s">
        <v>21129</v>
      </c>
      <c r="E4995" s="262" t="s">
        <v>207</v>
      </c>
    </row>
    <row r="4996" spans="1:5" ht="15">
      <c r="A4996" s="261">
        <v>12426</v>
      </c>
      <c r="B4996" s="261" t="s">
        <v>8798</v>
      </c>
      <c r="C4996" s="261" t="s">
        <v>3240</v>
      </c>
      <c r="D4996" s="265" t="s">
        <v>11282</v>
      </c>
      <c r="E4996" s="262" t="s">
        <v>207</v>
      </c>
    </row>
    <row r="4997" spans="1:5" ht="15">
      <c r="A4997" s="261">
        <v>12425</v>
      </c>
      <c r="B4997" s="261" t="s">
        <v>8799</v>
      </c>
      <c r="C4997" s="261" t="s">
        <v>3240</v>
      </c>
      <c r="D4997" s="265" t="s">
        <v>16669</v>
      </c>
      <c r="E4997" s="262" t="s">
        <v>207</v>
      </c>
    </row>
    <row r="4998" spans="1:5" ht="15">
      <c r="A4998" s="261">
        <v>12427</v>
      </c>
      <c r="B4998" s="261" t="s">
        <v>8800</v>
      </c>
      <c r="C4998" s="261" t="s">
        <v>3240</v>
      </c>
      <c r="D4998" s="265" t="s">
        <v>21130</v>
      </c>
      <c r="E4998" s="262" t="s">
        <v>207</v>
      </c>
    </row>
    <row r="4999" spans="1:5" ht="15">
      <c r="A4999" s="261">
        <v>12428</v>
      </c>
      <c r="B4999" s="261" t="s">
        <v>8801</v>
      </c>
      <c r="C4999" s="261" t="s">
        <v>3240</v>
      </c>
      <c r="D4999" s="265" t="s">
        <v>21131</v>
      </c>
      <c r="E4999" s="262" t="s">
        <v>207</v>
      </c>
    </row>
    <row r="5000" spans="1:5" ht="15">
      <c r="A5000" s="261">
        <v>12430</v>
      </c>
      <c r="B5000" s="261" t="s">
        <v>8802</v>
      </c>
      <c r="C5000" s="261" t="s">
        <v>3240</v>
      </c>
      <c r="D5000" s="265" t="s">
        <v>19694</v>
      </c>
      <c r="E5000" s="262" t="s">
        <v>207</v>
      </c>
    </row>
    <row r="5001" spans="1:5" ht="15">
      <c r="A5001" s="261">
        <v>12429</v>
      </c>
      <c r="B5001" s="261" t="s">
        <v>8803</v>
      </c>
      <c r="C5001" s="261" t="s">
        <v>3240</v>
      </c>
      <c r="D5001" s="265" t="s">
        <v>21132</v>
      </c>
      <c r="E5001" s="262" t="s">
        <v>207</v>
      </c>
    </row>
    <row r="5002" spans="1:5" ht="15">
      <c r="A5002" s="261">
        <v>12431</v>
      </c>
      <c r="B5002" s="261" t="s">
        <v>8804</v>
      </c>
      <c r="C5002" s="261" t="s">
        <v>3240</v>
      </c>
      <c r="D5002" s="265" t="s">
        <v>21133</v>
      </c>
      <c r="E5002" s="262" t="s">
        <v>207</v>
      </c>
    </row>
    <row r="5003" spans="1:5" ht="15">
      <c r="A5003" s="261">
        <v>12432</v>
      </c>
      <c r="B5003" s="261" t="s">
        <v>8805</v>
      </c>
      <c r="C5003" s="261" t="s">
        <v>3240</v>
      </c>
      <c r="D5003" s="265" t="s">
        <v>16441</v>
      </c>
      <c r="E5003" s="262" t="s">
        <v>207</v>
      </c>
    </row>
    <row r="5004" spans="1:5" ht="15">
      <c r="A5004" s="261">
        <v>12434</v>
      </c>
      <c r="B5004" s="261" t="s">
        <v>8806</v>
      </c>
      <c r="C5004" s="261" t="s">
        <v>3240</v>
      </c>
      <c r="D5004" s="265" t="s">
        <v>16549</v>
      </c>
      <c r="E5004" s="262" t="s">
        <v>207</v>
      </c>
    </row>
    <row r="5005" spans="1:5" ht="15">
      <c r="A5005" s="261">
        <v>12433</v>
      </c>
      <c r="B5005" s="261" t="s">
        <v>8807</v>
      </c>
      <c r="C5005" s="261" t="s">
        <v>3240</v>
      </c>
      <c r="D5005" s="265" t="s">
        <v>20930</v>
      </c>
      <c r="E5005" s="262" t="s">
        <v>207</v>
      </c>
    </row>
    <row r="5006" spans="1:5" ht="15">
      <c r="A5006" s="261">
        <v>12435</v>
      </c>
      <c r="B5006" s="261" t="s">
        <v>8808</v>
      </c>
      <c r="C5006" s="261" t="s">
        <v>3240</v>
      </c>
      <c r="D5006" s="265" t="s">
        <v>21134</v>
      </c>
      <c r="E5006" s="262" t="s">
        <v>207</v>
      </c>
    </row>
    <row r="5007" spans="1:5" ht="15">
      <c r="A5007" s="261">
        <v>12437</v>
      </c>
      <c r="B5007" s="261" t="s">
        <v>8809</v>
      </c>
      <c r="C5007" s="261" t="s">
        <v>3240</v>
      </c>
      <c r="D5007" s="265" t="s">
        <v>15810</v>
      </c>
      <c r="E5007" s="262" t="s">
        <v>207</v>
      </c>
    </row>
    <row r="5008" spans="1:5" ht="15">
      <c r="A5008" s="261">
        <v>12439</v>
      </c>
      <c r="B5008" s="261" t="s">
        <v>8810</v>
      </c>
      <c r="C5008" s="261" t="s">
        <v>3240</v>
      </c>
      <c r="D5008" s="265" t="s">
        <v>15998</v>
      </c>
      <c r="E5008" s="262" t="s">
        <v>207</v>
      </c>
    </row>
    <row r="5009" spans="1:5" ht="15">
      <c r="A5009" s="261">
        <v>12438</v>
      </c>
      <c r="B5009" s="261" t="s">
        <v>8811</v>
      </c>
      <c r="C5009" s="261" t="s">
        <v>3240</v>
      </c>
      <c r="D5009" s="265" t="s">
        <v>21135</v>
      </c>
      <c r="E5009" s="262" t="s">
        <v>207</v>
      </c>
    </row>
    <row r="5010" spans="1:5" ht="15">
      <c r="A5010" s="261">
        <v>12436</v>
      </c>
      <c r="B5010" s="261" t="s">
        <v>8812</v>
      </c>
      <c r="C5010" s="261" t="s">
        <v>3240</v>
      </c>
      <c r="D5010" s="265" t="s">
        <v>21136</v>
      </c>
      <c r="E5010" s="262" t="s">
        <v>207</v>
      </c>
    </row>
    <row r="5011" spans="1:5" ht="15">
      <c r="A5011" s="261">
        <v>36357</v>
      </c>
      <c r="B5011" s="261" t="s">
        <v>8813</v>
      </c>
      <c r="C5011" s="261" t="s">
        <v>3240</v>
      </c>
      <c r="D5011" s="265" t="s">
        <v>16544</v>
      </c>
      <c r="E5011" s="262" t="s">
        <v>207</v>
      </c>
    </row>
    <row r="5012" spans="1:5" ht="15">
      <c r="A5012" s="261">
        <v>12424</v>
      </c>
      <c r="B5012" s="261" t="s">
        <v>8814</v>
      </c>
      <c r="C5012" s="261" t="s">
        <v>3240</v>
      </c>
      <c r="D5012" s="265" t="s">
        <v>21137</v>
      </c>
      <c r="E5012" s="262" t="s">
        <v>207</v>
      </c>
    </row>
    <row r="5013" spans="1:5" ht="15">
      <c r="A5013" s="261">
        <v>12440</v>
      </c>
      <c r="B5013" s="261" t="s">
        <v>8815</v>
      </c>
      <c r="C5013" s="261" t="s">
        <v>3240</v>
      </c>
      <c r="D5013" s="265" t="s">
        <v>12455</v>
      </c>
      <c r="E5013" s="262" t="s">
        <v>207</v>
      </c>
    </row>
    <row r="5014" spans="1:5" ht="15">
      <c r="A5014" s="261">
        <v>9884</v>
      </c>
      <c r="B5014" s="261" t="s">
        <v>8816</v>
      </c>
      <c r="C5014" s="261" t="s">
        <v>3240</v>
      </c>
      <c r="D5014" s="265" t="s">
        <v>21138</v>
      </c>
      <c r="E5014" s="262" t="s">
        <v>207</v>
      </c>
    </row>
    <row r="5015" spans="1:5" ht="15">
      <c r="A5015" s="261">
        <v>9888</v>
      </c>
      <c r="B5015" s="261" t="s">
        <v>8817</v>
      </c>
      <c r="C5015" s="261" t="s">
        <v>3240</v>
      </c>
      <c r="D5015" s="265" t="s">
        <v>16438</v>
      </c>
      <c r="E5015" s="262" t="s">
        <v>207</v>
      </c>
    </row>
    <row r="5016" spans="1:5" ht="15">
      <c r="A5016" s="261">
        <v>9883</v>
      </c>
      <c r="B5016" s="261" t="s">
        <v>8818</v>
      </c>
      <c r="C5016" s="261" t="s">
        <v>3240</v>
      </c>
      <c r="D5016" s="265" t="s">
        <v>11127</v>
      </c>
      <c r="E5016" s="262" t="s">
        <v>207</v>
      </c>
    </row>
    <row r="5017" spans="1:5" ht="15">
      <c r="A5017" s="261">
        <v>9886</v>
      </c>
      <c r="B5017" s="261" t="s">
        <v>8819</v>
      </c>
      <c r="C5017" s="261" t="s">
        <v>3240</v>
      </c>
      <c r="D5017" s="265" t="s">
        <v>21139</v>
      </c>
      <c r="E5017" s="262" t="s">
        <v>207</v>
      </c>
    </row>
    <row r="5018" spans="1:5" ht="15">
      <c r="A5018" s="261">
        <v>9889</v>
      </c>
      <c r="B5018" s="261" t="s">
        <v>8820</v>
      </c>
      <c r="C5018" s="261" t="s">
        <v>3240</v>
      </c>
      <c r="D5018" s="265" t="s">
        <v>21140</v>
      </c>
      <c r="E5018" s="262" t="s">
        <v>207</v>
      </c>
    </row>
    <row r="5019" spans="1:5" ht="15">
      <c r="A5019" s="261">
        <v>9887</v>
      </c>
      <c r="B5019" s="261" t="s">
        <v>8821</v>
      </c>
      <c r="C5019" s="261" t="s">
        <v>3240</v>
      </c>
      <c r="D5019" s="265" t="s">
        <v>21141</v>
      </c>
      <c r="E5019" s="262" t="s">
        <v>207</v>
      </c>
    </row>
    <row r="5020" spans="1:5" ht="15">
      <c r="A5020" s="261">
        <v>9885</v>
      </c>
      <c r="B5020" s="261" t="s">
        <v>8822</v>
      </c>
      <c r="C5020" s="261" t="s">
        <v>3240</v>
      </c>
      <c r="D5020" s="265" t="s">
        <v>21142</v>
      </c>
      <c r="E5020" s="262" t="s">
        <v>207</v>
      </c>
    </row>
    <row r="5021" spans="1:5" ht="15">
      <c r="A5021" s="261">
        <v>9890</v>
      </c>
      <c r="B5021" s="261" t="s">
        <v>8823</v>
      </c>
      <c r="C5021" s="261" t="s">
        <v>3240</v>
      </c>
      <c r="D5021" s="265" t="s">
        <v>21143</v>
      </c>
      <c r="E5021" s="262" t="s">
        <v>207</v>
      </c>
    </row>
    <row r="5022" spans="1:5" ht="15">
      <c r="A5022" s="261">
        <v>9891</v>
      </c>
      <c r="B5022" s="261" t="s">
        <v>8824</v>
      </c>
      <c r="C5022" s="261" t="s">
        <v>3240</v>
      </c>
      <c r="D5022" s="265" t="s">
        <v>21144</v>
      </c>
      <c r="E5022" s="262" t="s">
        <v>207</v>
      </c>
    </row>
    <row r="5023" spans="1:5" ht="30">
      <c r="A5023" s="261">
        <v>39292</v>
      </c>
      <c r="B5023" s="261" t="s">
        <v>8825</v>
      </c>
      <c r="C5023" s="261" t="s">
        <v>3240</v>
      </c>
      <c r="D5023" s="265" t="s">
        <v>16326</v>
      </c>
      <c r="E5023" s="262" t="s">
        <v>207</v>
      </c>
    </row>
    <row r="5024" spans="1:5" ht="30">
      <c r="A5024" s="261">
        <v>39293</v>
      </c>
      <c r="B5024" s="261" t="s">
        <v>8826</v>
      </c>
      <c r="C5024" s="261" t="s">
        <v>3240</v>
      </c>
      <c r="D5024" s="265" t="s">
        <v>14132</v>
      </c>
      <c r="E5024" s="262" t="s">
        <v>207</v>
      </c>
    </row>
    <row r="5025" spans="1:5" ht="30">
      <c r="A5025" s="261">
        <v>39294</v>
      </c>
      <c r="B5025" s="261" t="s">
        <v>8827</v>
      </c>
      <c r="C5025" s="261" t="s">
        <v>3240</v>
      </c>
      <c r="D5025" s="266" t="s">
        <v>14132</v>
      </c>
      <c r="E5025" s="262" t="s">
        <v>207</v>
      </c>
    </row>
    <row r="5026" spans="1:5" ht="30">
      <c r="A5026" s="261">
        <v>39295</v>
      </c>
      <c r="B5026" s="261" t="s">
        <v>8828</v>
      </c>
      <c r="C5026" s="261" t="s">
        <v>3240</v>
      </c>
      <c r="D5026" s="265" t="s">
        <v>21145</v>
      </c>
      <c r="E5026" s="262" t="s">
        <v>207</v>
      </c>
    </row>
    <row r="5027" spans="1:5" ht="15">
      <c r="A5027" s="261">
        <v>36313</v>
      </c>
      <c r="B5027" s="261" t="s">
        <v>8829</v>
      </c>
      <c r="C5027" s="261" t="s">
        <v>3240</v>
      </c>
      <c r="D5027" s="265" t="s">
        <v>21146</v>
      </c>
      <c r="E5027" s="262" t="s">
        <v>207</v>
      </c>
    </row>
    <row r="5028" spans="1:5" ht="15">
      <c r="A5028" s="261">
        <v>36316</v>
      </c>
      <c r="B5028" s="261" t="s">
        <v>8830</v>
      </c>
      <c r="C5028" s="261" t="s">
        <v>3240</v>
      </c>
      <c r="D5028" s="265" t="s">
        <v>21147</v>
      </c>
      <c r="E5028" s="262" t="s">
        <v>207</v>
      </c>
    </row>
    <row r="5029" spans="1:5" ht="30">
      <c r="A5029" s="261">
        <v>64</v>
      </c>
      <c r="B5029" s="261" t="s">
        <v>8831</v>
      </c>
      <c r="C5029" s="261" t="s">
        <v>3240</v>
      </c>
      <c r="D5029" s="266" t="s">
        <v>12194</v>
      </c>
      <c r="E5029" s="262" t="s">
        <v>207</v>
      </c>
    </row>
    <row r="5030" spans="1:5" ht="30">
      <c r="A5030" s="261">
        <v>37423</v>
      </c>
      <c r="B5030" s="261" t="s">
        <v>8832</v>
      </c>
      <c r="C5030" s="261" t="s">
        <v>3240</v>
      </c>
      <c r="D5030" s="266" t="s">
        <v>10314</v>
      </c>
      <c r="E5030" s="262" t="s">
        <v>207</v>
      </c>
    </row>
    <row r="5031" spans="1:5" ht="15">
      <c r="A5031" s="261">
        <v>39296</v>
      </c>
      <c r="B5031" s="261" t="s">
        <v>8833</v>
      </c>
      <c r="C5031" s="261" t="s">
        <v>3240</v>
      </c>
      <c r="D5031" s="266" t="s">
        <v>9860</v>
      </c>
      <c r="E5031" s="262" t="s">
        <v>207</v>
      </c>
    </row>
    <row r="5032" spans="1:5" ht="15">
      <c r="A5032" s="261">
        <v>39297</v>
      </c>
      <c r="B5032" s="261" t="s">
        <v>8834</v>
      </c>
      <c r="C5032" s="261" t="s">
        <v>3240</v>
      </c>
      <c r="D5032" s="265" t="s">
        <v>10016</v>
      </c>
      <c r="E5032" s="262" t="s">
        <v>207</v>
      </c>
    </row>
    <row r="5033" spans="1:5" ht="15">
      <c r="A5033" s="261">
        <v>39298</v>
      </c>
      <c r="B5033" s="261" t="s">
        <v>8835</v>
      </c>
      <c r="C5033" s="261" t="s">
        <v>3240</v>
      </c>
      <c r="D5033" s="265" t="s">
        <v>10651</v>
      </c>
      <c r="E5033" s="262" t="s">
        <v>207</v>
      </c>
    </row>
    <row r="5034" spans="1:5" ht="15">
      <c r="A5034" s="261">
        <v>39299</v>
      </c>
      <c r="B5034" s="261" t="s">
        <v>8836</v>
      </c>
      <c r="C5034" s="261" t="s">
        <v>3240</v>
      </c>
      <c r="D5034" s="265" t="s">
        <v>20720</v>
      </c>
      <c r="E5034" s="262" t="s">
        <v>207</v>
      </c>
    </row>
    <row r="5035" spans="1:5" ht="15">
      <c r="A5035" s="261">
        <v>9892</v>
      </c>
      <c r="B5035" s="261" t="s">
        <v>8837</v>
      </c>
      <c r="C5035" s="261" t="s">
        <v>3240</v>
      </c>
      <c r="D5035" s="265" t="s">
        <v>9813</v>
      </c>
      <c r="E5035" s="262" t="s">
        <v>207</v>
      </c>
    </row>
    <row r="5036" spans="1:5" ht="15">
      <c r="A5036" s="261">
        <v>9893</v>
      </c>
      <c r="B5036" s="261" t="s">
        <v>8838</v>
      </c>
      <c r="C5036" s="261" t="s">
        <v>3240</v>
      </c>
      <c r="D5036" s="265" t="s">
        <v>15806</v>
      </c>
      <c r="E5036" s="262" t="s">
        <v>207</v>
      </c>
    </row>
    <row r="5037" spans="1:5" ht="15">
      <c r="A5037" s="261">
        <v>9901</v>
      </c>
      <c r="B5037" s="261" t="s">
        <v>8839</v>
      </c>
      <c r="C5037" s="261" t="s">
        <v>3240</v>
      </c>
      <c r="D5037" s="265" t="s">
        <v>16669</v>
      </c>
      <c r="E5037" s="262" t="s">
        <v>207</v>
      </c>
    </row>
    <row r="5038" spans="1:5" ht="15">
      <c r="A5038" s="261">
        <v>9896</v>
      </c>
      <c r="B5038" s="261" t="s">
        <v>8840</v>
      </c>
      <c r="C5038" s="261" t="s">
        <v>3240</v>
      </c>
      <c r="D5038" s="265" t="s">
        <v>19099</v>
      </c>
      <c r="E5038" s="262" t="s">
        <v>207</v>
      </c>
    </row>
    <row r="5039" spans="1:5" ht="15">
      <c r="A5039" s="261">
        <v>9900</v>
      </c>
      <c r="B5039" s="261" t="s">
        <v>8841</v>
      </c>
      <c r="C5039" s="261" t="s">
        <v>3240</v>
      </c>
      <c r="D5039" s="265" t="s">
        <v>10595</v>
      </c>
      <c r="E5039" s="262" t="s">
        <v>207</v>
      </c>
    </row>
    <row r="5040" spans="1:5" ht="15">
      <c r="A5040" s="261">
        <v>9898</v>
      </c>
      <c r="B5040" s="261" t="s">
        <v>8842</v>
      </c>
      <c r="C5040" s="261" t="s">
        <v>3240</v>
      </c>
      <c r="D5040" s="265" t="s">
        <v>16104</v>
      </c>
      <c r="E5040" s="262" t="s">
        <v>207</v>
      </c>
    </row>
    <row r="5041" spans="1:5" ht="15">
      <c r="A5041" s="261">
        <v>9899</v>
      </c>
      <c r="B5041" s="261" t="s">
        <v>8843</v>
      </c>
      <c r="C5041" s="261" t="s">
        <v>3240</v>
      </c>
      <c r="D5041" s="265" t="s">
        <v>11358</v>
      </c>
      <c r="E5041" s="262" t="s">
        <v>207</v>
      </c>
    </row>
    <row r="5042" spans="1:5" ht="15">
      <c r="A5042" s="261">
        <v>9902</v>
      </c>
      <c r="B5042" s="261" t="s">
        <v>8844</v>
      </c>
      <c r="C5042" s="261" t="s">
        <v>3240</v>
      </c>
      <c r="D5042" s="266" t="s">
        <v>21148</v>
      </c>
      <c r="E5042" s="262" t="s">
        <v>207</v>
      </c>
    </row>
    <row r="5043" spans="1:5" ht="15">
      <c r="A5043" s="261">
        <v>9908</v>
      </c>
      <c r="B5043" s="261" t="s">
        <v>8845</v>
      </c>
      <c r="C5043" s="261" t="s">
        <v>3240</v>
      </c>
      <c r="D5043" s="266" t="s">
        <v>21149</v>
      </c>
      <c r="E5043" s="262" t="s">
        <v>207</v>
      </c>
    </row>
    <row r="5044" spans="1:5" ht="15">
      <c r="A5044" s="261">
        <v>9905</v>
      </c>
      <c r="B5044" s="261" t="s">
        <v>8846</v>
      </c>
      <c r="C5044" s="261" t="s">
        <v>3240</v>
      </c>
      <c r="D5044" s="266" t="s">
        <v>9719</v>
      </c>
      <c r="E5044" s="262" t="s">
        <v>207</v>
      </c>
    </row>
    <row r="5045" spans="1:5" ht="15">
      <c r="A5045" s="261">
        <v>9906</v>
      </c>
      <c r="B5045" s="261" t="s">
        <v>8847</v>
      </c>
      <c r="C5045" s="261" t="s">
        <v>3240</v>
      </c>
      <c r="D5045" s="266" t="s">
        <v>19429</v>
      </c>
      <c r="E5045" s="262" t="s">
        <v>207</v>
      </c>
    </row>
    <row r="5046" spans="1:5" ht="15">
      <c r="A5046" s="261">
        <v>9895</v>
      </c>
      <c r="B5046" s="261" t="s">
        <v>8848</v>
      </c>
      <c r="C5046" s="261" t="s">
        <v>3240</v>
      </c>
      <c r="D5046" s="266" t="s">
        <v>15789</v>
      </c>
      <c r="E5046" s="262" t="s">
        <v>207</v>
      </c>
    </row>
    <row r="5047" spans="1:5" ht="15">
      <c r="A5047" s="261">
        <v>9894</v>
      </c>
      <c r="B5047" s="261" t="s">
        <v>8849</v>
      </c>
      <c r="C5047" s="261" t="s">
        <v>3240</v>
      </c>
      <c r="D5047" s="266" t="s">
        <v>21150</v>
      </c>
      <c r="E5047" s="262" t="s">
        <v>207</v>
      </c>
    </row>
    <row r="5048" spans="1:5" ht="15">
      <c r="A5048" s="261">
        <v>9897</v>
      </c>
      <c r="B5048" s="261" t="s">
        <v>8850</v>
      </c>
      <c r="C5048" s="261" t="s">
        <v>3240</v>
      </c>
      <c r="D5048" s="266" t="s">
        <v>10462</v>
      </c>
      <c r="E5048" s="262" t="s">
        <v>207</v>
      </c>
    </row>
    <row r="5049" spans="1:5" ht="15">
      <c r="A5049" s="261">
        <v>9910</v>
      </c>
      <c r="B5049" s="261" t="s">
        <v>8851</v>
      </c>
      <c r="C5049" s="261" t="s">
        <v>3240</v>
      </c>
      <c r="D5049" s="266" t="s">
        <v>21151</v>
      </c>
      <c r="E5049" s="262" t="s">
        <v>207</v>
      </c>
    </row>
    <row r="5050" spans="1:5" ht="15">
      <c r="A5050" s="261">
        <v>9909</v>
      </c>
      <c r="B5050" s="261" t="s">
        <v>8852</v>
      </c>
      <c r="C5050" s="261" t="s">
        <v>3240</v>
      </c>
      <c r="D5050" s="265" t="s">
        <v>15898</v>
      </c>
      <c r="E5050" s="262" t="s">
        <v>207</v>
      </c>
    </row>
    <row r="5051" spans="1:5" ht="15">
      <c r="A5051" s="261">
        <v>9907</v>
      </c>
      <c r="B5051" s="261" t="s">
        <v>8853</v>
      </c>
      <c r="C5051" s="261" t="s">
        <v>3240</v>
      </c>
      <c r="D5051" s="265" t="s">
        <v>21152</v>
      </c>
      <c r="E5051" s="262" t="s">
        <v>207</v>
      </c>
    </row>
    <row r="5052" spans="1:5" ht="30">
      <c r="A5052" s="261">
        <v>20973</v>
      </c>
      <c r="B5052" s="261" t="s">
        <v>8854</v>
      </c>
      <c r="C5052" s="261" t="s">
        <v>3240</v>
      </c>
      <c r="D5052" s="266" t="s">
        <v>21153</v>
      </c>
      <c r="E5052" s="262" t="s">
        <v>207</v>
      </c>
    </row>
    <row r="5053" spans="1:5" ht="30">
      <c r="A5053" s="261">
        <v>20974</v>
      </c>
      <c r="B5053" s="261" t="s">
        <v>8855</v>
      </c>
      <c r="C5053" s="261" t="s">
        <v>3240</v>
      </c>
      <c r="D5053" s="266" t="s">
        <v>21154</v>
      </c>
      <c r="E5053" s="262" t="s">
        <v>207</v>
      </c>
    </row>
    <row r="5054" spans="1:5" ht="15">
      <c r="A5054" s="261">
        <v>37989</v>
      </c>
      <c r="B5054" s="261" t="s">
        <v>8856</v>
      </c>
      <c r="C5054" s="261" t="s">
        <v>3240</v>
      </c>
      <c r="D5054" s="265" t="s">
        <v>9814</v>
      </c>
      <c r="E5054" s="262" t="s">
        <v>207</v>
      </c>
    </row>
    <row r="5055" spans="1:5" ht="15">
      <c r="A5055" s="261">
        <v>37990</v>
      </c>
      <c r="B5055" s="261" t="s">
        <v>8857</v>
      </c>
      <c r="C5055" s="261" t="s">
        <v>3240</v>
      </c>
      <c r="D5055" s="265" t="s">
        <v>15982</v>
      </c>
      <c r="E5055" s="262" t="s">
        <v>207</v>
      </c>
    </row>
    <row r="5056" spans="1:5" ht="15">
      <c r="A5056" s="261">
        <v>37991</v>
      </c>
      <c r="B5056" s="261" t="s">
        <v>8858</v>
      </c>
      <c r="C5056" s="261" t="s">
        <v>3240</v>
      </c>
      <c r="D5056" s="265" t="s">
        <v>21155</v>
      </c>
      <c r="E5056" s="262" t="s">
        <v>207</v>
      </c>
    </row>
    <row r="5057" spans="1:5" ht="15">
      <c r="A5057" s="261">
        <v>37992</v>
      </c>
      <c r="B5057" s="261" t="s">
        <v>8859</v>
      </c>
      <c r="C5057" s="261" t="s">
        <v>3240</v>
      </c>
      <c r="D5057" s="265" t="s">
        <v>16110</v>
      </c>
      <c r="E5057" s="262" t="s">
        <v>207</v>
      </c>
    </row>
    <row r="5058" spans="1:5" ht="15">
      <c r="A5058" s="261">
        <v>37993</v>
      </c>
      <c r="B5058" s="261" t="s">
        <v>8860</v>
      </c>
      <c r="C5058" s="261" t="s">
        <v>3240</v>
      </c>
      <c r="D5058" s="265" t="s">
        <v>12311</v>
      </c>
      <c r="E5058" s="262" t="s">
        <v>207</v>
      </c>
    </row>
    <row r="5059" spans="1:5" ht="15">
      <c r="A5059" s="261">
        <v>37994</v>
      </c>
      <c r="B5059" s="261" t="s">
        <v>8861</v>
      </c>
      <c r="C5059" s="261" t="s">
        <v>3240</v>
      </c>
      <c r="D5059" s="265" t="s">
        <v>21156</v>
      </c>
      <c r="E5059" s="262" t="s">
        <v>207</v>
      </c>
    </row>
    <row r="5060" spans="1:5" ht="15">
      <c r="A5060" s="261">
        <v>37995</v>
      </c>
      <c r="B5060" s="261" t="s">
        <v>8862</v>
      </c>
      <c r="C5060" s="261" t="s">
        <v>3240</v>
      </c>
      <c r="D5060" s="265" t="s">
        <v>21157</v>
      </c>
      <c r="E5060" s="262" t="s">
        <v>207</v>
      </c>
    </row>
    <row r="5061" spans="1:5" ht="15">
      <c r="A5061" s="261">
        <v>37996</v>
      </c>
      <c r="B5061" s="261" t="s">
        <v>8863</v>
      </c>
      <c r="C5061" s="261" t="s">
        <v>3240</v>
      </c>
      <c r="D5061" s="265" t="s">
        <v>21158</v>
      </c>
      <c r="E5061" s="262" t="s">
        <v>207</v>
      </c>
    </row>
    <row r="5062" spans="1:5" ht="30">
      <c r="A5062" s="261">
        <v>13883</v>
      </c>
      <c r="B5062" s="261" t="s">
        <v>8864</v>
      </c>
      <c r="C5062" s="261" t="s">
        <v>3240</v>
      </c>
      <c r="D5062" s="265" t="s">
        <v>21159</v>
      </c>
      <c r="E5062" s="262" t="s">
        <v>8987</v>
      </c>
    </row>
    <row r="5063" spans="1:5" ht="30">
      <c r="A5063" s="261">
        <v>38604</v>
      </c>
      <c r="B5063" s="261" t="s">
        <v>8865</v>
      </c>
      <c r="C5063" s="261" t="s">
        <v>3240</v>
      </c>
      <c r="D5063" s="265" t="s">
        <v>21160</v>
      </c>
      <c r="E5063" s="262" t="s">
        <v>8987</v>
      </c>
    </row>
    <row r="5064" spans="1:5" ht="30">
      <c r="A5064" s="261">
        <v>10601</v>
      </c>
      <c r="B5064" s="261" t="s">
        <v>8866</v>
      </c>
      <c r="C5064" s="261" t="s">
        <v>3240</v>
      </c>
      <c r="D5064" s="265" t="s">
        <v>21161</v>
      </c>
      <c r="E5064" s="262" t="s">
        <v>8987</v>
      </c>
    </row>
    <row r="5065" spans="1:5" ht="15">
      <c r="A5065" s="261">
        <v>26034</v>
      </c>
      <c r="B5065" s="261" t="s">
        <v>8867</v>
      </c>
      <c r="C5065" s="261" t="s">
        <v>3240</v>
      </c>
      <c r="D5065" s="265" t="s">
        <v>21162</v>
      </c>
      <c r="E5065" s="262" t="s">
        <v>8987</v>
      </c>
    </row>
    <row r="5066" spans="1:5" ht="15">
      <c r="A5066" s="261">
        <v>13894</v>
      </c>
      <c r="B5066" s="261" t="s">
        <v>8868</v>
      </c>
      <c r="C5066" s="261" t="s">
        <v>3240</v>
      </c>
      <c r="D5066" s="265" t="s">
        <v>11555</v>
      </c>
      <c r="E5066" s="262" t="s">
        <v>8987</v>
      </c>
    </row>
    <row r="5067" spans="1:5" ht="15">
      <c r="A5067" s="261">
        <v>13895</v>
      </c>
      <c r="B5067" s="261" t="s">
        <v>8869</v>
      </c>
      <c r="C5067" s="261" t="s">
        <v>3240</v>
      </c>
      <c r="D5067" s="265" t="s">
        <v>11556</v>
      </c>
      <c r="E5067" s="262" t="s">
        <v>8987</v>
      </c>
    </row>
    <row r="5068" spans="1:5" ht="15">
      <c r="A5068" s="261">
        <v>13892</v>
      </c>
      <c r="B5068" s="261" t="s">
        <v>8870</v>
      </c>
      <c r="C5068" s="261" t="s">
        <v>3240</v>
      </c>
      <c r="D5068" s="265" t="s">
        <v>11557</v>
      </c>
      <c r="E5068" s="262" t="s">
        <v>8987</v>
      </c>
    </row>
    <row r="5069" spans="1:5" ht="15">
      <c r="A5069" s="261">
        <v>9914</v>
      </c>
      <c r="B5069" s="261" t="s">
        <v>8871</v>
      </c>
      <c r="C5069" s="261" t="s">
        <v>3240</v>
      </c>
      <c r="D5069" s="265" t="s">
        <v>11558</v>
      </c>
      <c r="E5069" s="262" t="s">
        <v>8987</v>
      </c>
    </row>
    <row r="5070" spans="1:5" ht="45">
      <c r="A5070" s="261">
        <v>36485</v>
      </c>
      <c r="B5070" s="261" t="s">
        <v>8872</v>
      </c>
      <c r="C5070" s="261" t="s">
        <v>3240</v>
      </c>
      <c r="D5070" s="265" t="s">
        <v>21163</v>
      </c>
      <c r="E5070" s="262" t="s">
        <v>8987</v>
      </c>
    </row>
    <row r="5071" spans="1:5" ht="30">
      <c r="A5071" s="261">
        <v>9912</v>
      </c>
      <c r="B5071" s="261" t="s">
        <v>8873</v>
      </c>
      <c r="C5071" s="261" t="s">
        <v>3240</v>
      </c>
      <c r="D5071" s="265" t="s">
        <v>21164</v>
      </c>
      <c r="E5071" s="262" t="s">
        <v>8987</v>
      </c>
    </row>
    <row r="5072" spans="1:5" ht="30">
      <c r="A5072" s="261">
        <v>9921</v>
      </c>
      <c r="B5072" s="261" t="s">
        <v>8874</v>
      </c>
      <c r="C5072" s="261" t="s">
        <v>3240</v>
      </c>
      <c r="D5072" s="265" t="s">
        <v>21165</v>
      </c>
      <c r="E5072" s="262" t="s">
        <v>8987</v>
      </c>
    </row>
    <row r="5073" spans="1:5" ht="30">
      <c r="A5073" s="261">
        <v>21112</v>
      </c>
      <c r="B5073" s="261" t="s">
        <v>8875</v>
      </c>
      <c r="C5073" s="261" t="s">
        <v>3240</v>
      </c>
      <c r="D5073" s="265" t="s">
        <v>15808</v>
      </c>
      <c r="E5073" s="262" t="s">
        <v>207</v>
      </c>
    </row>
    <row r="5074" spans="1:5" ht="30">
      <c r="A5074" s="261">
        <v>10228</v>
      </c>
      <c r="B5074" s="261" t="s">
        <v>8876</v>
      </c>
      <c r="C5074" s="261" t="s">
        <v>3240</v>
      </c>
      <c r="D5074" s="265" t="s">
        <v>21166</v>
      </c>
      <c r="E5074" s="262" t="s">
        <v>207</v>
      </c>
    </row>
    <row r="5075" spans="1:5" ht="30">
      <c r="A5075" s="261">
        <v>11781</v>
      </c>
      <c r="B5075" s="261" t="s">
        <v>8877</v>
      </c>
      <c r="C5075" s="261" t="s">
        <v>3240</v>
      </c>
      <c r="D5075" s="265" t="s">
        <v>21167</v>
      </c>
      <c r="E5075" s="262" t="s">
        <v>207</v>
      </c>
    </row>
    <row r="5076" spans="1:5" ht="15">
      <c r="A5076" s="261">
        <v>11746</v>
      </c>
      <c r="B5076" s="261" t="s">
        <v>8878</v>
      </c>
      <c r="C5076" s="261" t="s">
        <v>3240</v>
      </c>
      <c r="D5076" s="265" t="s">
        <v>12198</v>
      </c>
      <c r="E5076" s="262" t="s">
        <v>207</v>
      </c>
    </row>
    <row r="5077" spans="1:5" ht="15">
      <c r="A5077" s="261">
        <v>11751</v>
      </c>
      <c r="B5077" s="261" t="s">
        <v>8879</v>
      </c>
      <c r="C5077" s="261" t="s">
        <v>3240</v>
      </c>
      <c r="D5077" s="265" t="s">
        <v>14096</v>
      </c>
      <c r="E5077" s="262" t="s">
        <v>207</v>
      </c>
    </row>
    <row r="5078" spans="1:5" ht="15">
      <c r="A5078" s="261">
        <v>11750</v>
      </c>
      <c r="B5078" s="261" t="s">
        <v>8880</v>
      </c>
      <c r="C5078" s="261" t="s">
        <v>3240</v>
      </c>
      <c r="D5078" s="265" t="s">
        <v>16014</v>
      </c>
      <c r="E5078" s="262" t="s">
        <v>207</v>
      </c>
    </row>
    <row r="5079" spans="1:5" ht="15">
      <c r="A5079" s="261">
        <v>11748</v>
      </c>
      <c r="B5079" s="261" t="s">
        <v>8881</v>
      </c>
      <c r="C5079" s="261" t="s">
        <v>3240</v>
      </c>
      <c r="D5079" s="265" t="s">
        <v>21168</v>
      </c>
      <c r="E5079" s="262" t="s">
        <v>207</v>
      </c>
    </row>
    <row r="5080" spans="1:5" ht="15">
      <c r="A5080" s="261">
        <v>11747</v>
      </c>
      <c r="B5080" s="261" t="s">
        <v>8882</v>
      </c>
      <c r="C5080" s="261" t="s">
        <v>3240</v>
      </c>
      <c r="D5080" s="265" t="s">
        <v>21169</v>
      </c>
      <c r="E5080" s="262" t="s">
        <v>207</v>
      </c>
    </row>
    <row r="5081" spans="1:5" ht="15">
      <c r="A5081" s="261">
        <v>11749</v>
      </c>
      <c r="B5081" s="261" t="s">
        <v>8883</v>
      </c>
      <c r="C5081" s="261" t="s">
        <v>3240</v>
      </c>
      <c r="D5081" s="265" t="s">
        <v>21170</v>
      </c>
      <c r="E5081" s="262" t="s">
        <v>207</v>
      </c>
    </row>
    <row r="5082" spans="1:5" ht="30">
      <c r="A5082" s="261">
        <v>10236</v>
      </c>
      <c r="B5082" s="261" t="s">
        <v>8884</v>
      </c>
      <c r="C5082" s="261" t="s">
        <v>3240</v>
      </c>
      <c r="D5082" s="265" t="s">
        <v>16107</v>
      </c>
      <c r="E5082" s="262" t="s">
        <v>207</v>
      </c>
    </row>
    <row r="5083" spans="1:5" ht="30">
      <c r="A5083" s="261">
        <v>10233</v>
      </c>
      <c r="B5083" s="261" t="s">
        <v>8885</v>
      </c>
      <c r="C5083" s="261" t="s">
        <v>3240</v>
      </c>
      <c r="D5083" s="265" t="s">
        <v>21171</v>
      </c>
      <c r="E5083" s="262" t="s">
        <v>207</v>
      </c>
    </row>
    <row r="5084" spans="1:5" ht="30">
      <c r="A5084" s="261">
        <v>10234</v>
      </c>
      <c r="B5084" s="261" t="s">
        <v>8886</v>
      </c>
      <c r="C5084" s="261" t="s">
        <v>3240</v>
      </c>
      <c r="D5084" s="265" t="s">
        <v>21172</v>
      </c>
      <c r="E5084" s="262" t="s">
        <v>207</v>
      </c>
    </row>
    <row r="5085" spans="1:5" ht="30">
      <c r="A5085" s="261">
        <v>10231</v>
      </c>
      <c r="B5085" s="261" t="s">
        <v>8887</v>
      </c>
      <c r="C5085" s="261" t="s">
        <v>3240</v>
      </c>
      <c r="D5085" s="265" t="s">
        <v>21173</v>
      </c>
      <c r="E5085" s="262" t="s">
        <v>207</v>
      </c>
    </row>
    <row r="5086" spans="1:5" ht="30">
      <c r="A5086" s="261">
        <v>10232</v>
      </c>
      <c r="B5086" s="261" t="s">
        <v>8888</v>
      </c>
      <c r="C5086" s="261" t="s">
        <v>3240</v>
      </c>
      <c r="D5086" s="261" t="s">
        <v>21174</v>
      </c>
      <c r="E5086" s="261" t="s">
        <v>207</v>
      </c>
    </row>
    <row r="5087" spans="1:5" ht="30">
      <c r="A5087" s="261">
        <v>10229</v>
      </c>
      <c r="B5087" s="261" t="s">
        <v>8889</v>
      </c>
      <c r="C5087" s="261" t="s">
        <v>3240</v>
      </c>
      <c r="D5087" s="261" t="s">
        <v>16134</v>
      </c>
      <c r="E5087" s="261" t="s">
        <v>207</v>
      </c>
    </row>
    <row r="5088" spans="1:5" ht="30">
      <c r="A5088" s="261">
        <v>10235</v>
      </c>
      <c r="B5088" s="261" t="s">
        <v>8890</v>
      </c>
      <c r="C5088" s="261" t="s">
        <v>3240</v>
      </c>
      <c r="D5088" s="261" t="s">
        <v>21175</v>
      </c>
      <c r="E5088" s="261" t="s">
        <v>207</v>
      </c>
    </row>
    <row r="5089" spans="1:5" ht="30">
      <c r="A5089" s="261">
        <v>10230</v>
      </c>
      <c r="B5089" s="261" t="s">
        <v>8891</v>
      </c>
      <c r="C5089" s="261" t="s">
        <v>3240</v>
      </c>
      <c r="D5089" s="261" t="s">
        <v>21176</v>
      </c>
      <c r="E5089" s="261" t="s">
        <v>207</v>
      </c>
    </row>
    <row r="5090" spans="1:5" ht="25.5">
      <c r="A5090" s="263">
        <v>10409</v>
      </c>
      <c r="B5090" s="263" t="s">
        <v>8892</v>
      </c>
      <c r="C5090" s="263" t="s">
        <v>3240</v>
      </c>
      <c r="D5090" s="267" t="s">
        <v>21177</v>
      </c>
      <c r="E5090" s="263" t="s">
        <v>207</v>
      </c>
    </row>
    <row r="5091" spans="1:5" ht="25.5">
      <c r="A5091" s="263">
        <v>10411</v>
      </c>
      <c r="B5091" s="263" t="s">
        <v>8893</v>
      </c>
      <c r="C5091" s="263" t="s">
        <v>3240</v>
      </c>
      <c r="D5091" s="267" t="s">
        <v>21178</v>
      </c>
      <c r="E5091" s="263" t="s">
        <v>207</v>
      </c>
    </row>
    <row r="5092" spans="1:5" ht="25.5">
      <c r="A5092" s="263">
        <v>10404</v>
      </c>
      <c r="B5092" s="263" t="s">
        <v>8894</v>
      </c>
      <c r="C5092" s="263" t="s">
        <v>3240</v>
      </c>
      <c r="D5092" s="267" t="s">
        <v>21179</v>
      </c>
      <c r="E5092" s="263" t="s">
        <v>207</v>
      </c>
    </row>
    <row r="5093" spans="1:5" ht="25.5">
      <c r="A5093" s="263">
        <v>10410</v>
      </c>
      <c r="B5093" s="263" t="s">
        <v>8895</v>
      </c>
      <c r="C5093" s="263" t="s">
        <v>3240</v>
      </c>
      <c r="D5093" s="267" t="s">
        <v>21180</v>
      </c>
      <c r="E5093" s="263" t="s">
        <v>207</v>
      </c>
    </row>
    <row r="5094" spans="1:5" ht="25.5">
      <c r="A5094" s="263">
        <v>10405</v>
      </c>
      <c r="B5094" s="263" t="s">
        <v>8896</v>
      </c>
      <c r="C5094" s="263" t="s">
        <v>3240</v>
      </c>
      <c r="D5094" s="267" t="s">
        <v>21181</v>
      </c>
      <c r="E5094" s="263" t="s">
        <v>207</v>
      </c>
    </row>
    <row r="5095" spans="1:5" ht="25.5">
      <c r="A5095" s="263">
        <v>10408</v>
      </c>
      <c r="B5095" s="263" t="s">
        <v>8897</v>
      </c>
      <c r="C5095" s="263" t="s">
        <v>3240</v>
      </c>
      <c r="D5095" s="267" t="s">
        <v>21182</v>
      </c>
      <c r="E5095" s="263" t="s">
        <v>207</v>
      </c>
    </row>
    <row r="5096" spans="1:5" ht="25.5">
      <c r="A5096" s="263">
        <v>10412</v>
      </c>
      <c r="B5096" s="263" t="s">
        <v>8898</v>
      </c>
      <c r="C5096" s="263" t="s">
        <v>3240</v>
      </c>
      <c r="D5096" s="267" t="s">
        <v>21183</v>
      </c>
      <c r="E5096" s="263" t="s">
        <v>207</v>
      </c>
    </row>
    <row r="5097" spans="1:5" ht="25.5">
      <c r="A5097" s="263">
        <v>10406</v>
      </c>
      <c r="B5097" s="263" t="s">
        <v>8899</v>
      </c>
      <c r="C5097" s="263" t="s">
        <v>3240</v>
      </c>
      <c r="D5097" s="267" t="s">
        <v>21184</v>
      </c>
      <c r="E5097" s="263" t="s">
        <v>207</v>
      </c>
    </row>
    <row r="5098" spans="1:5" ht="25.5">
      <c r="A5098" s="263">
        <v>10407</v>
      </c>
      <c r="B5098" s="263" t="s">
        <v>8900</v>
      </c>
      <c r="C5098" s="263" t="s">
        <v>3240</v>
      </c>
      <c r="D5098" s="267" t="s">
        <v>21185</v>
      </c>
      <c r="E5098" s="263" t="s">
        <v>207</v>
      </c>
    </row>
    <row r="5099" spans="1:5" ht="25.5">
      <c r="A5099" s="263">
        <v>10416</v>
      </c>
      <c r="B5099" s="263" t="s">
        <v>8901</v>
      </c>
      <c r="C5099" s="263" t="s">
        <v>3240</v>
      </c>
      <c r="D5099" s="267" t="s">
        <v>21186</v>
      </c>
      <c r="E5099" s="263" t="s">
        <v>207</v>
      </c>
    </row>
    <row r="5100" spans="1:5" ht="25.5">
      <c r="A5100" s="263">
        <v>10419</v>
      </c>
      <c r="B5100" s="263" t="s">
        <v>8902</v>
      </c>
      <c r="C5100" s="263" t="s">
        <v>3240</v>
      </c>
      <c r="D5100" s="267" t="s">
        <v>21187</v>
      </c>
      <c r="E5100" s="263" t="s">
        <v>207</v>
      </c>
    </row>
    <row r="5101" spans="1:5" ht="25.5">
      <c r="A5101" s="263">
        <v>21092</v>
      </c>
      <c r="B5101" s="263" t="s">
        <v>8903</v>
      </c>
      <c r="C5101" s="263" t="s">
        <v>3240</v>
      </c>
      <c r="D5101" s="267" t="s">
        <v>16137</v>
      </c>
      <c r="E5101" s="263" t="s">
        <v>207</v>
      </c>
    </row>
    <row r="5102" spans="1:5" ht="25.5">
      <c r="A5102" s="263">
        <v>10418</v>
      </c>
      <c r="B5102" s="263" t="s">
        <v>8904</v>
      </c>
      <c r="C5102" s="263" t="s">
        <v>3240</v>
      </c>
      <c r="D5102" s="267" t="s">
        <v>21188</v>
      </c>
      <c r="E5102" s="263" t="s">
        <v>207</v>
      </c>
    </row>
    <row r="5103" spans="1:5" ht="25.5">
      <c r="A5103" s="263">
        <v>12657</v>
      </c>
      <c r="B5103" s="263" t="s">
        <v>8905</v>
      </c>
      <c r="C5103" s="263" t="s">
        <v>3240</v>
      </c>
      <c r="D5103" s="267" t="s">
        <v>21189</v>
      </c>
      <c r="E5103" s="263" t="s">
        <v>207</v>
      </c>
    </row>
    <row r="5104" spans="1:5" ht="25.5">
      <c r="A5104" s="263">
        <v>10417</v>
      </c>
      <c r="B5104" s="263" t="s">
        <v>8906</v>
      </c>
      <c r="C5104" s="263" t="s">
        <v>3240</v>
      </c>
      <c r="D5104" s="267" t="s">
        <v>21190</v>
      </c>
      <c r="E5104" s="263" t="s">
        <v>207</v>
      </c>
    </row>
    <row r="5105" spans="1:5" ht="25.5">
      <c r="A5105" s="263">
        <v>10413</v>
      </c>
      <c r="B5105" s="263" t="s">
        <v>8907</v>
      </c>
      <c r="C5105" s="263" t="s">
        <v>3240</v>
      </c>
      <c r="D5105" s="267" t="s">
        <v>21191</v>
      </c>
      <c r="E5105" s="263" t="s">
        <v>207</v>
      </c>
    </row>
    <row r="5106" spans="1:5" ht="25.5">
      <c r="A5106" s="263">
        <v>10414</v>
      </c>
      <c r="B5106" s="263" t="s">
        <v>8908</v>
      </c>
      <c r="C5106" s="263" t="s">
        <v>3240</v>
      </c>
      <c r="D5106" s="267" t="s">
        <v>16473</v>
      </c>
      <c r="E5106" s="263" t="s">
        <v>207</v>
      </c>
    </row>
    <row r="5107" spans="1:5" ht="25.5">
      <c r="A5107" s="263">
        <v>10415</v>
      </c>
      <c r="B5107" s="263" t="s">
        <v>8909</v>
      </c>
      <c r="C5107" s="263" t="s">
        <v>3240</v>
      </c>
      <c r="D5107" s="267" t="s">
        <v>21192</v>
      </c>
      <c r="E5107" s="263" t="s">
        <v>207</v>
      </c>
    </row>
    <row r="5108" spans="1:5">
      <c r="A5108" s="263">
        <v>38643</v>
      </c>
      <c r="B5108" s="263" t="s">
        <v>8910</v>
      </c>
      <c r="C5108" s="263" t="s">
        <v>3240</v>
      </c>
      <c r="D5108" s="267" t="s">
        <v>9739</v>
      </c>
      <c r="E5108" s="263" t="s">
        <v>207</v>
      </c>
    </row>
    <row r="5109" spans="1:5">
      <c r="A5109" s="263">
        <v>6157</v>
      </c>
      <c r="B5109" s="263" t="s">
        <v>8911</v>
      </c>
      <c r="C5109" s="263" t="s">
        <v>3240</v>
      </c>
      <c r="D5109" s="267" t="s">
        <v>21193</v>
      </c>
      <c r="E5109" s="263" t="s">
        <v>207</v>
      </c>
    </row>
    <row r="5110" spans="1:5">
      <c r="A5110" s="263">
        <v>37588</v>
      </c>
      <c r="B5110" s="263" t="s">
        <v>8912</v>
      </c>
      <c r="C5110" s="263" t="s">
        <v>3240</v>
      </c>
      <c r="D5110" s="267" t="s">
        <v>16436</v>
      </c>
      <c r="E5110" s="263" t="s">
        <v>207</v>
      </c>
    </row>
    <row r="5111" spans="1:5">
      <c r="A5111" s="263">
        <v>6152</v>
      </c>
      <c r="B5111" s="263" t="s">
        <v>8913</v>
      </c>
      <c r="C5111" s="263" t="s">
        <v>3240</v>
      </c>
      <c r="D5111" s="267" t="s">
        <v>9985</v>
      </c>
      <c r="E5111" s="263" t="s">
        <v>207</v>
      </c>
    </row>
    <row r="5112" spans="1:5">
      <c r="A5112" s="263">
        <v>6158</v>
      </c>
      <c r="B5112" s="263" t="s">
        <v>8914</v>
      </c>
      <c r="C5112" s="263" t="s">
        <v>3240</v>
      </c>
      <c r="D5112" s="267" t="s">
        <v>9909</v>
      </c>
      <c r="E5112" s="263" t="s">
        <v>207</v>
      </c>
    </row>
    <row r="5113" spans="1:5" ht="25.5">
      <c r="A5113" s="263">
        <v>6153</v>
      </c>
      <c r="B5113" s="263" t="s">
        <v>8915</v>
      </c>
      <c r="C5113" s="263" t="s">
        <v>3240</v>
      </c>
      <c r="D5113" s="267" t="s">
        <v>9896</v>
      </c>
      <c r="E5113" s="263" t="s">
        <v>207</v>
      </c>
    </row>
    <row r="5114" spans="1:5" ht="25.5">
      <c r="A5114" s="263">
        <v>6156</v>
      </c>
      <c r="B5114" s="263" t="s">
        <v>8916</v>
      </c>
      <c r="C5114" s="263" t="s">
        <v>3240</v>
      </c>
      <c r="D5114" s="267" t="s">
        <v>21194</v>
      </c>
      <c r="E5114" s="263" t="s">
        <v>207</v>
      </c>
    </row>
    <row r="5115" spans="1:5" ht="25.5">
      <c r="A5115" s="263">
        <v>6154</v>
      </c>
      <c r="B5115" s="263" t="s">
        <v>8917</v>
      </c>
      <c r="C5115" s="263" t="s">
        <v>3240</v>
      </c>
      <c r="D5115" s="267" t="s">
        <v>10587</v>
      </c>
      <c r="E5115" s="263" t="s">
        <v>207</v>
      </c>
    </row>
    <row r="5116" spans="1:5" ht="25.5">
      <c r="A5116" s="263">
        <v>6155</v>
      </c>
      <c r="B5116" s="263" t="s">
        <v>8918</v>
      </c>
      <c r="C5116" s="263" t="s">
        <v>3240</v>
      </c>
      <c r="D5116" s="267" t="s">
        <v>10292</v>
      </c>
      <c r="E5116" s="263" t="s">
        <v>207</v>
      </c>
    </row>
    <row r="5117" spans="1:5" ht="25.5">
      <c r="A5117" s="263">
        <v>43595</v>
      </c>
      <c r="B5117" s="263" t="s">
        <v>12116</v>
      </c>
      <c r="C5117" s="263" t="s">
        <v>3240</v>
      </c>
      <c r="D5117" s="267" t="s">
        <v>11501</v>
      </c>
      <c r="E5117" s="263" t="s">
        <v>207</v>
      </c>
    </row>
    <row r="5118" spans="1:5" ht="25.5">
      <c r="A5118" s="263">
        <v>43596</v>
      </c>
      <c r="B5118" s="263" t="s">
        <v>12117</v>
      </c>
      <c r="C5118" s="263" t="s">
        <v>3240</v>
      </c>
      <c r="D5118" s="267" t="s">
        <v>18788</v>
      </c>
      <c r="E5118" s="263" t="s">
        <v>207</v>
      </c>
    </row>
    <row r="5119" spans="1:5" ht="25.5">
      <c r="A5119" s="263">
        <v>38108</v>
      </c>
      <c r="B5119" s="263" t="s">
        <v>8919</v>
      </c>
      <c r="C5119" s="263" t="s">
        <v>3240</v>
      </c>
      <c r="D5119" s="267" t="s">
        <v>21195</v>
      </c>
      <c r="E5119" s="263" t="s">
        <v>207</v>
      </c>
    </row>
    <row r="5120" spans="1:5" ht="25.5">
      <c r="A5120" s="263">
        <v>38087</v>
      </c>
      <c r="B5120" s="263" t="s">
        <v>8920</v>
      </c>
      <c r="C5120" s="263" t="s">
        <v>3240</v>
      </c>
      <c r="D5120" s="267" t="s">
        <v>21170</v>
      </c>
      <c r="E5120" s="263" t="s">
        <v>207</v>
      </c>
    </row>
    <row r="5121" spans="1:5" ht="25.5">
      <c r="A5121" s="263">
        <v>38109</v>
      </c>
      <c r="B5121" s="263" t="s">
        <v>8921</v>
      </c>
      <c r="C5121" s="263" t="s">
        <v>3240</v>
      </c>
      <c r="D5121" s="267" t="s">
        <v>16068</v>
      </c>
      <c r="E5121" s="263" t="s">
        <v>207</v>
      </c>
    </row>
    <row r="5122" spans="1:5" ht="25.5">
      <c r="A5122" s="263">
        <v>38088</v>
      </c>
      <c r="B5122" s="263" t="s">
        <v>8922</v>
      </c>
      <c r="C5122" s="263" t="s">
        <v>3240</v>
      </c>
      <c r="D5122" s="267" t="s">
        <v>21196</v>
      </c>
      <c r="E5122" s="263" t="s">
        <v>207</v>
      </c>
    </row>
    <row r="5123" spans="1:5">
      <c r="A5123" s="263">
        <v>38110</v>
      </c>
      <c r="B5123" s="263" t="s">
        <v>8923</v>
      </c>
      <c r="C5123" s="263" t="s">
        <v>3240</v>
      </c>
      <c r="D5123" s="267" t="s">
        <v>11531</v>
      </c>
      <c r="E5123" s="263" t="s">
        <v>207</v>
      </c>
    </row>
    <row r="5124" spans="1:5" ht="38.25">
      <c r="A5124" s="263">
        <v>38089</v>
      </c>
      <c r="B5124" s="263" t="s">
        <v>8924</v>
      </c>
      <c r="C5124" s="263" t="s">
        <v>3240</v>
      </c>
      <c r="D5124" s="267" t="s">
        <v>21197</v>
      </c>
      <c r="E5124" s="263" t="s">
        <v>207</v>
      </c>
    </row>
    <row r="5125" spans="1:5">
      <c r="A5125" s="263">
        <v>38111</v>
      </c>
      <c r="B5125" s="263" t="s">
        <v>8925</v>
      </c>
      <c r="C5125" s="263" t="s">
        <v>3240</v>
      </c>
      <c r="D5125" s="267" t="s">
        <v>16505</v>
      </c>
      <c r="E5125" s="263" t="s">
        <v>207</v>
      </c>
    </row>
    <row r="5126" spans="1:5" ht="38.25">
      <c r="A5126" s="263">
        <v>38090</v>
      </c>
      <c r="B5126" s="263" t="s">
        <v>8926</v>
      </c>
      <c r="C5126" s="263" t="s">
        <v>3240</v>
      </c>
      <c r="D5126" s="267" t="s">
        <v>21198</v>
      </c>
      <c r="E5126" s="263" t="s">
        <v>207</v>
      </c>
    </row>
    <row r="5127" spans="1:5">
      <c r="A5127" s="263">
        <v>11786</v>
      </c>
      <c r="B5127" s="263" t="s">
        <v>8927</v>
      </c>
      <c r="C5127" s="263" t="s">
        <v>3240</v>
      </c>
      <c r="D5127" s="267" t="s">
        <v>21199</v>
      </c>
      <c r="E5127" s="263" t="s">
        <v>207</v>
      </c>
    </row>
    <row r="5128" spans="1:5" ht="25.5">
      <c r="A5128" s="263">
        <v>13726</v>
      </c>
      <c r="B5128" s="263" t="s">
        <v>8928</v>
      </c>
      <c r="C5128" s="263" t="s">
        <v>3240</v>
      </c>
      <c r="D5128" s="267" t="s">
        <v>21200</v>
      </c>
      <c r="E5128" s="263" t="s">
        <v>8987</v>
      </c>
    </row>
    <row r="5129" spans="1:5">
      <c r="A5129" s="263">
        <v>38400</v>
      </c>
      <c r="B5129" s="263" t="s">
        <v>8929</v>
      </c>
      <c r="C5129" s="263" t="s">
        <v>3240</v>
      </c>
      <c r="D5129" s="267" t="s">
        <v>20143</v>
      </c>
      <c r="E5129" s="263" t="s">
        <v>207</v>
      </c>
    </row>
    <row r="5130" spans="1:5" ht="25.5">
      <c r="A5130" s="263">
        <v>12627</v>
      </c>
      <c r="B5130" s="263" t="s">
        <v>8930</v>
      </c>
      <c r="C5130" s="263" t="s">
        <v>3240</v>
      </c>
      <c r="D5130" s="267" t="s">
        <v>10066</v>
      </c>
      <c r="E5130" s="263" t="s">
        <v>207</v>
      </c>
    </row>
    <row r="5131" spans="1:5">
      <c r="A5131" s="263">
        <v>6138</v>
      </c>
      <c r="B5131" s="263" t="s">
        <v>8931</v>
      </c>
      <c r="C5131" s="263" t="s">
        <v>3240</v>
      </c>
      <c r="D5131" s="267" t="s">
        <v>9987</v>
      </c>
      <c r="E5131" s="263" t="s">
        <v>207</v>
      </c>
    </row>
    <row r="5132" spans="1:5">
      <c r="A5132" s="263">
        <v>39996</v>
      </c>
      <c r="B5132" s="263" t="s">
        <v>8932</v>
      </c>
      <c r="C5132" s="263" t="s">
        <v>3243</v>
      </c>
      <c r="D5132" s="267" t="s">
        <v>10073</v>
      </c>
      <c r="E5132" s="263" t="s">
        <v>207</v>
      </c>
    </row>
    <row r="5133" spans="1:5" ht="25.5">
      <c r="A5133" s="263">
        <v>10478</v>
      </c>
      <c r="B5133" s="263" t="s">
        <v>8933</v>
      </c>
      <c r="C5133" s="263" t="s">
        <v>3245</v>
      </c>
      <c r="D5133" s="267" t="s">
        <v>21201</v>
      </c>
      <c r="E5133" s="263" t="s">
        <v>207</v>
      </c>
    </row>
    <row r="5134" spans="1:5">
      <c r="A5134" s="263">
        <v>10475</v>
      </c>
      <c r="B5134" s="263" t="s">
        <v>8934</v>
      </c>
      <c r="C5134" s="263" t="s">
        <v>3245</v>
      </c>
      <c r="D5134" s="267" t="s">
        <v>12443</v>
      </c>
      <c r="E5134" s="263" t="s">
        <v>207</v>
      </c>
    </row>
    <row r="5135" spans="1:5" ht="25.5">
      <c r="A5135" s="263">
        <v>10481</v>
      </c>
      <c r="B5135" s="263" t="s">
        <v>8935</v>
      </c>
      <c r="C5135" s="263" t="s">
        <v>3245</v>
      </c>
      <c r="D5135" s="267" t="s">
        <v>15799</v>
      </c>
      <c r="E5135" s="263" t="s">
        <v>207</v>
      </c>
    </row>
    <row r="5136" spans="1:5">
      <c r="A5136" s="263">
        <v>4031</v>
      </c>
      <c r="B5136" s="263" t="s">
        <v>8936</v>
      </c>
      <c r="C5136" s="263" t="s">
        <v>3242</v>
      </c>
      <c r="D5136" s="267" t="s">
        <v>14194</v>
      </c>
      <c r="E5136" s="263" t="s">
        <v>207</v>
      </c>
    </row>
    <row r="5137" spans="1:5">
      <c r="A5137" s="263">
        <v>4030</v>
      </c>
      <c r="B5137" s="263" t="s">
        <v>8937</v>
      </c>
      <c r="C5137" s="263" t="s">
        <v>3242</v>
      </c>
      <c r="D5137" s="267" t="s">
        <v>11166</v>
      </c>
      <c r="E5137" s="263" t="s">
        <v>207</v>
      </c>
    </row>
    <row r="5138" spans="1:5" ht="25.5">
      <c r="A5138" s="263">
        <v>39399</v>
      </c>
      <c r="B5138" s="263" t="s">
        <v>8938</v>
      </c>
      <c r="C5138" s="263" t="s">
        <v>3240</v>
      </c>
      <c r="D5138" s="267" t="s">
        <v>21202</v>
      </c>
      <c r="E5138" s="263" t="s">
        <v>8987</v>
      </c>
    </row>
    <row r="5139" spans="1:5" ht="25.5">
      <c r="A5139" s="263">
        <v>39400</v>
      </c>
      <c r="B5139" s="263" t="s">
        <v>8939</v>
      </c>
      <c r="C5139" s="263" t="s">
        <v>3240</v>
      </c>
      <c r="D5139" s="267" t="s">
        <v>21203</v>
      </c>
      <c r="E5139" s="263" t="s">
        <v>8987</v>
      </c>
    </row>
    <row r="5140" spans="1:5" ht="25.5">
      <c r="A5140" s="263">
        <v>39401</v>
      </c>
      <c r="B5140" s="263" t="s">
        <v>8940</v>
      </c>
      <c r="C5140" s="263" t="s">
        <v>3240</v>
      </c>
      <c r="D5140" s="267" t="s">
        <v>21204</v>
      </c>
      <c r="E5140" s="263" t="s">
        <v>8987</v>
      </c>
    </row>
    <row r="5141" spans="1:5" ht="25.5">
      <c r="A5141" s="263">
        <v>11652</v>
      </c>
      <c r="B5141" s="263" t="s">
        <v>8941</v>
      </c>
      <c r="C5141" s="263" t="s">
        <v>3240</v>
      </c>
      <c r="D5141" s="267" t="s">
        <v>21205</v>
      </c>
      <c r="E5141" s="263" t="s">
        <v>8987</v>
      </c>
    </row>
    <row r="5142" spans="1:5" ht="25.5">
      <c r="A5142" s="263">
        <v>13896</v>
      </c>
      <c r="B5142" s="263" t="s">
        <v>8942</v>
      </c>
      <c r="C5142" s="263" t="s">
        <v>3240</v>
      </c>
      <c r="D5142" s="267" t="s">
        <v>21206</v>
      </c>
      <c r="E5142" s="263" t="s">
        <v>8987</v>
      </c>
    </row>
    <row r="5143" spans="1:5" ht="25.5">
      <c r="A5143" s="263">
        <v>13475</v>
      </c>
      <c r="B5143" s="263" t="s">
        <v>8943</v>
      </c>
      <c r="C5143" s="263" t="s">
        <v>3240</v>
      </c>
      <c r="D5143" s="267" t="s">
        <v>21207</v>
      </c>
      <c r="E5143" s="263" t="s">
        <v>8987</v>
      </c>
    </row>
    <row r="5144" spans="1:5" ht="25.5">
      <c r="A5144" s="263">
        <v>25971</v>
      </c>
      <c r="B5144" s="263" t="s">
        <v>8944</v>
      </c>
      <c r="C5144" s="263" t="s">
        <v>3240</v>
      </c>
      <c r="D5144" s="267" t="s">
        <v>21208</v>
      </c>
      <c r="E5144" s="263" t="s">
        <v>8987</v>
      </c>
    </row>
    <row r="5145" spans="1:5" ht="25.5">
      <c r="A5145" s="263">
        <v>25970</v>
      </c>
      <c r="B5145" s="263" t="s">
        <v>8945</v>
      </c>
      <c r="C5145" s="263" t="s">
        <v>3240</v>
      </c>
      <c r="D5145" s="267" t="s">
        <v>21209</v>
      </c>
      <c r="E5145" s="263" t="s">
        <v>8987</v>
      </c>
    </row>
    <row r="5146" spans="1:5" ht="25.5">
      <c r="A5146" s="263">
        <v>13476</v>
      </c>
      <c r="B5146" s="263" t="s">
        <v>8946</v>
      </c>
      <c r="C5146" s="263" t="s">
        <v>3240</v>
      </c>
      <c r="D5146" s="267" t="s">
        <v>21210</v>
      </c>
      <c r="E5146" s="263" t="s">
        <v>8987</v>
      </c>
    </row>
    <row r="5147" spans="1:5" ht="25.5">
      <c r="A5147" s="263">
        <v>10488</v>
      </c>
      <c r="B5147" s="263" t="s">
        <v>8947</v>
      </c>
      <c r="C5147" s="263" t="s">
        <v>3240</v>
      </c>
      <c r="D5147" s="267" t="s">
        <v>21211</v>
      </c>
      <c r="E5147" s="263" t="s">
        <v>8987</v>
      </c>
    </row>
    <row r="5148" spans="1:5" ht="25.5">
      <c r="A5148" s="263">
        <v>13606</v>
      </c>
      <c r="B5148" s="263" t="s">
        <v>8948</v>
      </c>
      <c r="C5148" s="263" t="s">
        <v>3240</v>
      </c>
      <c r="D5148" s="267" t="s">
        <v>21212</v>
      </c>
      <c r="E5148" s="263" t="s">
        <v>8987</v>
      </c>
    </row>
    <row r="5149" spans="1:5">
      <c r="A5149" s="263">
        <v>10489</v>
      </c>
      <c r="B5149" s="263" t="s">
        <v>8949</v>
      </c>
      <c r="C5149" s="263" t="s">
        <v>3239</v>
      </c>
      <c r="D5149" s="267" t="s">
        <v>12425</v>
      </c>
      <c r="E5149" s="263" t="s">
        <v>9714</v>
      </c>
    </row>
    <row r="5150" spans="1:5">
      <c r="A5150" s="263">
        <v>41073</v>
      </c>
      <c r="B5150" s="263" t="s">
        <v>8950</v>
      </c>
      <c r="C5150" s="263" t="s">
        <v>3246</v>
      </c>
      <c r="D5150" s="267" t="s">
        <v>21213</v>
      </c>
      <c r="E5150" s="263" t="s">
        <v>9714</v>
      </c>
    </row>
    <row r="5151" spans="1:5" ht="25.5">
      <c r="A5151" s="263">
        <v>34391</v>
      </c>
      <c r="B5151" s="263" t="s">
        <v>8951</v>
      </c>
      <c r="C5151" s="263" t="s">
        <v>3242</v>
      </c>
      <c r="D5151" s="267" t="s">
        <v>21214</v>
      </c>
      <c r="E5151" s="263" t="s">
        <v>207</v>
      </c>
    </row>
    <row r="5152" spans="1:5" ht="25.5">
      <c r="A5152" s="263">
        <v>10496</v>
      </c>
      <c r="B5152" s="263" t="s">
        <v>8952</v>
      </c>
      <c r="C5152" s="263" t="s">
        <v>3242</v>
      </c>
      <c r="D5152" s="267" t="s">
        <v>21215</v>
      </c>
      <c r="E5152" s="263" t="s">
        <v>207</v>
      </c>
    </row>
    <row r="5153" spans="1:5" ht="25.5">
      <c r="A5153" s="263">
        <v>10497</v>
      </c>
      <c r="B5153" s="263" t="s">
        <v>8953</v>
      </c>
      <c r="C5153" s="263" t="s">
        <v>3242</v>
      </c>
      <c r="D5153" s="267" t="s">
        <v>21216</v>
      </c>
      <c r="E5153" s="263" t="s">
        <v>207</v>
      </c>
    </row>
    <row r="5154" spans="1:5" ht="25.5">
      <c r="A5154" s="263">
        <v>10504</v>
      </c>
      <c r="B5154" s="263" t="s">
        <v>8954</v>
      </c>
      <c r="C5154" s="263" t="s">
        <v>3242</v>
      </c>
      <c r="D5154" s="267" t="s">
        <v>21217</v>
      </c>
      <c r="E5154" s="263" t="s">
        <v>207</v>
      </c>
    </row>
    <row r="5155" spans="1:5">
      <c r="A5155" s="263">
        <v>34390</v>
      </c>
      <c r="B5155" s="263" t="s">
        <v>8955</v>
      </c>
      <c r="C5155" s="263" t="s">
        <v>3242</v>
      </c>
      <c r="D5155" s="267" t="s">
        <v>21218</v>
      </c>
      <c r="E5155" s="263" t="s">
        <v>207</v>
      </c>
    </row>
    <row r="5156" spans="1:5">
      <c r="A5156" s="263">
        <v>34389</v>
      </c>
      <c r="B5156" s="263" t="s">
        <v>8956</v>
      </c>
      <c r="C5156" s="263" t="s">
        <v>3242</v>
      </c>
      <c r="D5156" s="267" t="s">
        <v>21219</v>
      </c>
      <c r="E5156" s="263" t="s">
        <v>207</v>
      </c>
    </row>
    <row r="5157" spans="1:5">
      <c r="A5157" s="263">
        <v>34388</v>
      </c>
      <c r="B5157" s="263" t="s">
        <v>8957</v>
      </c>
      <c r="C5157" s="263" t="s">
        <v>3242</v>
      </c>
      <c r="D5157" s="267" t="s">
        <v>10179</v>
      </c>
      <c r="E5157" s="263" t="s">
        <v>207</v>
      </c>
    </row>
    <row r="5158" spans="1:5">
      <c r="A5158" s="263">
        <v>34387</v>
      </c>
      <c r="B5158" s="263" t="s">
        <v>8958</v>
      </c>
      <c r="C5158" s="263" t="s">
        <v>3242</v>
      </c>
      <c r="D5158" s="267" t="s">
        <v>21220</v>
      </c>
      <c r="E5158" s="263" t="s">
        <v>207</v>
      </c>
    </row>
    <row r="5159" spans="1:5">
      <c r="A5159" s="263">
        <v>11188</v>
      </c>
      <c r="B5159" s="263" t="s">
        <v>8959</v>
      </c>
      <c r="C5159" s="263" t="s">
        <v>3242</v>
      </c>
      <c r="D5159" s="267" t="s">
        <v>21221</v>
      </c>
      <c r="E5159" s="263" t="s">
        <v>207</v>
      </c>
    </row>
    <row r="5160" spans="1:5">
      <c r="A5160" s="263">
        <v>11189</v>
      </c>
      <c r="B5160" s="263" t="s">
        <v>8960</v>
      </c>
      <c r="C5160" s="263" t="s">
        <v>3242</v>
      </c>
      <c r="D5160" s="267" t="s">
        <v>21222</v>
      </c>
      <c r="E5160" s="263" t="s">
        <v>207</v>
      </c>
    </row>
    <row r="5161" spans="1:5">
      <c r="A5161" s="263">
        <v>21107</v>
      </c>
      <c r="B5161" s="263" t="s">
        <v>8961</v>
      </c>
      <c r="C5161" s="263" t="s">
        <v>3242</v>
      </c>
      <c r="D5161" s="267" t="s">
        <v>21223</v>
      </c>
      <c r="E5161" s="263" t="s">
        <v>207</v>
      </c>
    </row>
    <row r="5162" spans="1:5">
      <c r="A5162" s="263">
        <v>34386</v>
      </c>
      <c r="B5162" s="263" t="s">
        <v>8962</v>
      </c>
      <c r="C5162" s="263" t="s">
        <v>3242</v>
      </c>
      <c r="D5162" s="267" t="s">
        <v>21224</v>
      </c>
      <c r="E5162" s="263" t="s">
        <v>207</v>
      </c>
    </row>
    <row r="5163" spans="1:5">
      <c r="A5163" s="263">
        <v>10490</v>
      </c>
      <c r="B5163" s="263" t="s">
        <v>8963</v>
      </c>
      <c r="C5163" s="263" t="s">
        <v>3242</v>
      </c>
      <c r="D5163" s="267" t="s">
        <v>21225</v>
      </c>
      <c r="E5163" s="263" t="s">
        <v>207</v>
      </c>
    </row>
    <row r="5164" spans="1:5">
      <c r="A5164" s="263">
        <v>10492</v>
      </c>
      <c r="B5164" s="263" t="s">
        <v>8964</v>
      </c>
      <c r="C5164" s="263" t="s">
        <v>3242</v>
      </c>
      <c r="D5164" s="267" t="s">
        <v>16302</v>
      </c>
      <c r="E5164" s="263" t="s">
        <v>207</v>
      </c>
    </row>
    <row r="5165" spans="1:5">
      <c r="A5165" s="263">
        <v>10493</v>
      </c>
      <c r="B5165" s="263" t="s">
        <v>8965</v>
      </c>
      <c r="C5165" s="263" t="s">
        <v>3242</v>
      </c>
      <c r="D5165" s="267" t="s">
        <v>21219</v>
      </c>
      <c r="E5165" s="263" t="s">
        <v>207</v>
      </c>
    </row>
    <row r="5166" spans="1:5">
      <c r="A5166" s="263">
        <v>10491</v>
      </c>
      <c r="B5166" s="263" t="s">
        <v>8966</v>
      </c>
      <c r="C5166" s="263" t="s">
        <v>3242</v>
      </c>
      <c r="D5166" s="267" t="s">
        <v>21226</v>
      </c>
      <c r="E5166" s="263" t="s">
        <v>207</v>
      </c>
    </row>
    <row r="5167" spans="1:5">
      <c r="A5167" s="263">
        <v>34385</v>
      </c>
      <c r="B5167" s="263" t="s">
        <v>8967</v>
      </c>
      <c r="C5167" s="263" t="s">
        <v>3242</v>
      </c>
      <c r="D5167" s="267" t="s">
        <v>21227</v>
      </c>
      <c r="E5167" s="263" t="s">
        <v>207</v>
      </c>
    </row>
    <row r="5168" spans="1:5">
      <c r="A5168" s="263">
        <v>10499</v>
      </c>
      <c r="B5168" s="263" t="s">
        <v>8968</v>
      </c>
      <c r="C5168" s="263" t="s">
        <v>3242</v>
      </c>
      <c r="D5168" s="267" t="s">
        <v>14088</v>
      </c>
      <c r="E5168" s="263" t="s">
        <v>207</v>
      </c>
    </row>
    <row r="5169" spans="1:5">
      <c r="A5169" s="263">
        <v>34384</v>
      </c>
      <c r="B5169" s="263" t="s">
        <v>8969</v>
      </c>
      <c r="C5169" s="263" t="s">
        <v>3242</v>
      </c>
      <c r="D5169" s="267" t="s">
        <v>21224</v>
      </c>
      <c r="E5169" s="263" t="s">
        <v>207</v>
      </c>
    </row>
    <row r="5170" spans="1:5">
      <c r="A5170" s="263">
        <v>11185</v>
      </c>
      <c r="B5170" s="263" t="s">
        <v>8970</v>
      </c>
      <c r="C5170" s="263" t="s">
        <v>3242</v>
      </c>
      <c r="D5170" s="267" t="s">
        <v>16443</v>
      </c>
      <c r="E5170" s="263" t="s">
        <v>207</v>
      </c>
    </row>
    <row r="5171" spans="1:5">
      <c r="A5171" s="263">
        <v>10507</v>
      </c>
      <c r="B5171" s="263" t="s">
        <v>8971</v>
      </c>
      <c r="C5171" s="263" t="s">
        <v>3242</v>
      </c>
      <c r="D5171" s="267" t="s">
        <v>21228</v>
      </c>
      <c r="E5171" s="263" t="s">
        <v>207</v>
      </c>
    </row>
    <row r="5172" spans="1:5">
      <c r="A5172" s="263">
        <v>10505</v>
      </c>
      <c r="B5172" s="263" t="s">
        <v>8972</v>
      </c>
      <c r="C5172" s="263" t="s">
        <v>3242</v>
      </c>
      <c r="D5172" s="267" t="s">
        <v>21229</v>
      </c>
      <c r="E5172" s="263" t="s">
        <v>207</v>
      </c>
    </row>
    <row r="5173" spans="1:5">
      <c r="A5173" s="263">
        <v>10506</v>
      </c>
      <c r="B5173" s="263" t="s">
        <v>8973</v>
      </c>
      <c r="C5173" s="263" t="s">
        <v>3242</v>
      </c>
      <c r="D5173" s="267" t="s">
        <v>21230</v>
      </c>
      <c r="E5173" s="263" t="s">
        <v>207</v>
      </c>
    </row>
    <row r="5174" spans="1:5" ht="25.5">
      <c r="A5174" s="263">
        <v>5031</v>
      </c>
      <c r="B5174" s="263" t="s">
        <v>8974</v>
      </c>
      <c r="C5174" s="263" t="s">
        <v>3242</v>
      </c>
      <c r="D5174" s="267" t="s">
        <v>21231</v>
      </c>
      <c r="E5174" s="263" t="s">
        <v>207</v>
      </c>
    </row>
    <row r="5175" spans="1:5">
      <c r="A5175" s="263">
        <v>10502</v>
      </c>
      <c r="B5175" s="263" t="s">
        <v>8975</v>
      </c>
      <c r="C5175" s="263" t="s">
        <v>3242</v>
      </c>
      <c r="D5175" s="267" t="s">
        <v>21232</v>
      </c>
      <c r="E5175" s="263" t="s">
        <v>207</v>
      </c>
    </row>
    <row r="5176" spans="1:5">
      <c r="A5176" s="263">
        <v>10501</v>
      </c>
      <c r="B5176" s="263" t="s">
        <v>8976</v>
      </c>
      <c r="C5176" s="263" t="s">
        <v>3242</v>
      </c>
      <c r="D5176" s="267" t="s">
        <v>21233</v>
      </c>
      <c r="E5176" s="263" t="s">
        <v>207</v>
      </c>
    </row>
    <row r="5177" spans="1:5">
      <c r="A5177" s="263">
        <v>10503</v>
      </c>
      <c r="B5177" s="263" t="s">
        <v>8977</v>
      </c>
      <c r="C5177" s="263" t="s">
        <v>3242</v>
      </c>
      <c r="D5177" s="267" t="s">
        <v>21234</v>
      </c>
      <c r="E5177" s="263" t="s">
        <v>207</v>
      </c>
    </row>
    <row r="5178" spans="1:5">
      <c r="A5178" s="263">
        <v>4500</v>
      </c>
      <c r="B5178" s="263" t="s">
        <v>12118</v>
      </c>
      <c r="C5178" s="263" t="s">
        <v>3243</v>
      </c>
      <c r="D5178" s="267" t="s">
        <v>10632</v>
      </c>
      <c r="E5178" s="263" t="s">
        <v>207</v>
      </c>
    </row>
    <row r="5179" spans="1:5">
      <c r="A5179" s="263">
        <v>4448</v>
      </c>
      <c r="B5179" s="263" t="s">
        <v>12119</v>
      </c>
      <c r="C5179" s="263" t="s">
        <v>3243</v>
      </c>
      <c r="D5179" s="267" t="s">
        <v>11396</v>
      </c>
      <c r="E5179" s="263" t="s">
        <v>207</v>
      </c>
    </row>
    <row r="5180" spans="1:5" ht="25.5">
      <c r="A5180" s="263">
        <v>20213</v>
      </c>
      <c r="B5180" s="263" t="s">
        <v>12120</v>
      </c>
      <c r="C5180" s="263" t="s">
        <v>3243</v>
      </c>
      <c r="D5180" s="267" t="s">
        <v>16532</v>
      </c>
      <c r="E5180" s="263" t="s">
        <v>207</v>
      </c>
    </row>
    <row r="5181" spans="1:5" ht="25.5">
      <c r="A5181" s="263">
        <v>20211</v>
      </c>
      <c r="B5181" s="263" t="s">
        <v>12121</v>
      </c>
      <c r="C5181" s="263" t="s">
        <v>3243</v>
      </c>
      <c r="D5181" s="267" t="s">
        <v>15973</v>
      </c>
      <c r="E5181" s="263" t="s">
        <v>207</v>
      </c>
    </row>
    <row r="5182" spans="1:5" ht="25.5">
      <c r="A5182" s="263">
        <v>40270</v>
      </c>
      <c r="B5182" s="263" t="s">
        <v>8978</v>
      </c>
      <c r="C5182" s="263" t="s">
        <v>3243</v>
      </c>
      <c r="D5182" s="267" t="s">
        <v>21235</v>
      </c>
      <c r="E5182" s="263" t="s">
        <v>207</v>
      </c>
    </row>
    <row r="5183" spans="1:5" ht="25.5">
      <c r="A5183" s="263">
        <v>4425</v>
      </c>
      <c r="B5183" s="263" t="s">
        <v>12122</v>
      </c>
      <c r="C5183" s="263" t="s">
        <v>3243</v>
      </c>
      <c r="D5183" s="267" t="s">
        <v>11553</v>
      </c>
      <c r="E5183" s="263" t="s">
        <v>207</v>
      </c>
    </row>
    <row r="5184" spans="1:5" ht="25.5">
      <c r="A5184" s="263">
        <v>4472</v>
      </c>
      <c r="B5184" s="263" t="s">
        <v>12123</v>
      </c>
      <c r="C5184" s="263" t="s">
        <v>3243</v>
      </c>
      <c r="D5184" s="267" t="s">
        <v>14192</v>
      </c>
      <c r="E5184" s="263" t="s">
        <v>207</v>
      </c>
    </row>
    <row r="5185" spans="1:5" ht="25.5">
      <c r="A5185" s="263">
        <v>35272</v>
      </c>
      <c r="B5185" s="263" t="s">
        <v>12124</v>
      </c>
      <c r="C5185" s="263" t="s">
        <v>3243</v>
      </c>
      <c r="D5185" s="267" t="s">
        <v>21195</v>
      </c>
      <c r="E5185" s="263" t="s">
        <v>207</v>
      </c>
    </row>
    <row r="5186" spans="1:5" ht="25.5">
      <c r="A5186" s="263">
        <v>4481</v>
      </c>
      <c r="B5186" s="263" t="s">
        <v>12125</v>
      </c>
      <c r="C5186" s="263" t="s">
        <v>3243</v>
      </c>
      <c r="D5186" s="267" t="s">
        <v>21236</v>
      </c>
      <c r="E5186" s="263" t="s">
        <v>207</v>
      </c>
    </row>
    <row r="5187" spans="1:5">
      <c r="A5187" s="263">
        <v>34345</v>
      </c>
      <c r="B5187" s="263" t="s">
        <v>8979</v>
      </c>
      <c r="C5187" s="263" t="s">
        <v>3239</v>
      </c>
      <c r="D5187" s="267" t="s">
        <v>10537</v>
      </c>
      <c r="E5187" s="263" t="s">
        <v>9714</v>
      </c>
    </row>
    <row r="5188" spans="1:5">
      <c r="A5188" s="263">
        <v>41096</v>
      </c>
      <c r="B5188" s="263" t="s">
        <v>8980</v>
      </c>
      <c r="C5188" s="263" t="s">
        <v>3246</v>
      </c>
      <c r="D5188" s="267" t="s">
        <v>21237</v>
      </c>
      <c r="E5188" s="263" t="s">
        <v>9714</v>
      </c>
    </row>
    <row r="5189" spans="1:5" ht="25.5">
      <c r="A5189" s="263">
        <v>41776</v>
      </c>
      <c r="B5189" s="263" t="s">
        <v>8981</v>
      </c>
      <c r="C5189" s="263" t="s">
        <v>3239</v>
      </c>
      <c r="D5189" s="267" t="s">
        <v>12339</v>
      </c>
      <c r="E5189" s="263" t="s">
        <v>9714</v>
      </c>
    </row>
    <row r="5190" spans="1:5">
      <c r="A5190" s="263" t="s">
        <v>199</v>
      </c>
      <c r="D5190" s="267"/>
    </row>
    <row r="5191" spans="1:5" ht="38.25">
      <c r="A5191" s="263" t="s">
        <v>21238</v>
      </c>
      <c r="D5191" s="267"/>
    </row>
    <row r="5192" spans="1:5">
      <c r="A5192" s="263" t="s">
        <v>199</v>
      </c>
      <c r="D5192" s="267"/>
    </row>
    <row r="5193" spans="1:5">
      <c r="A5193" s="263" t="s">
        <v>199</v>
      </c>
      <c r="D5193" s="267"/>
    </row>
    <row r="5194" spans="1:5">
      <c r="D5194" s="267"/>
    </row>
    <row r="5195" spans="1:5">
      <c r="A5195" s="299"/>
      <c r="B5195" s="300" t="s">
        <v>17109</v>
      </c>
      <c r="C5195" s="299"/>
      <c r="D5195" s="301"/>
      <c r="E5195" s="299"/>
    </row>
    <row r="5196" spans="1:5" ht="25.5">
      <c r="A5196" s="269" t="s">
        <v>14514</v>
      </c>
      <c r="B5196" s="269" t="s">
        <v>14515</v>
      </c>
      <c r="C5196" s="269" t="s">
        <v>3240</v>
      </c>
      <c r="D5196" s="267">
        <v>22.6</v>
      </c>
      <c r="E5196" s="263" t="s">
        <v>207</v>
      </c>
    </row>
    <row r="5197" spans="1:5" ht="25.5">
      <c r="A5197" s="269" t="s">
        <v>14519</v>
      </c>
      <c r="B5197" s="269" t="s">
        <v>14518</v>
      </c>
      <c r="C5197" s="269" t="s">
        <v>3240</v>
      </c>
      <c r="D5197" s="302"/>
      <c r="E5197" s="263" t="s">
        <v>207</v>
      </c>
    </row>
    <row r="5198" spans="1:5" ht="25.5">
      <c r="A5198" s="269" t="s">
        <v>17284</v>
      </c>
      <c r="B5198" s="269" t="s">
        <v>17283</v>
      </c>
      <c r="C5198" s="269" t="s">
        <v>3240</v>
      </c>
      <c r="D5198" s="267">
        <v>3.44</v>
      </c>
      <c r="E5198" s="263" t="s">
        <v>207</v>
      </c>
    </row>
    <row r="5199" spans="1:5" ht="25.5">
      <c r="A5199" s="269" t="s">
        <v>18734</v>
      </c>
      <c r="B5199" s="269" t="s">
        <v>18733</v>
      </c>
      <c r="C5199" s="269" t="s">
        <v>206</v>
      </c>
      <c r="D5199" s="267">
        <v>2.72</v>
      </c>
      <c r="E5199" s="269" t="s">
        <v>8987</v>
      </c>
    </row>
    <row r="5200" spans="1:5" ht="25.5">
      <c r="A5200" s="269" t="s">
        <v>18735</v>
      </c>
      <c r="B5200" s="269" t="s">
        <v>18736</v>
      </c>
      <c r="C5200" s="269" t="s">
        <v>206</v>
      </c>
      <c r="D5200" s="267">
        <v>0.34</v>
      </c>
      <c r="E5200" s="269" t="s">
        <v>8987</v>
      </c>
    </row>
    <row r="5201" spans="1:5" ht="25.5">
      <c r="A5201" s="269" t="s">
        <v>18737</v>
      </c>
      <c r="B5201" s="269" t="s">
        <v>18738</v>
      </c>
      <c r="C5201" s="269" t="s">
        <v>3240</v>
      </c>
      <c r="D5201" s="302">
        <v>32.9</v>
      </c>
      <c r="E5201" s="263" t="s">
        <v>207</v>
      </c>
    </row>
    <row r="5202" spans="1:5">
      <c r="D5202" s="267"/>
    </row>
    <row r="5203" spans="1:5">
      <c r="D5203" s="267"/>
    </row>
    <row r="5204" spans="1:5" s="502" customFormat="1" ht="13.5">
      <c r="A5204" s="854" t="s">
        <v>18145</v>
      </c>
      <c r="B5204" s="854"/>
      <c r="C5204" s="854"/>
      <c r="D5204" s="854"/>
      <c r="E5204" s="854"/>
    </row>
    <row r="5205" spans="1:5" s="503" customFormat="1">
      <c r="A5205" s="495" t="s">
        <v>9639</v>
      </c>
      <c r="B5205" s="495" t="s">
        <v>9640</v>
      </c>
      <c r="C5205" s="495" t="s">
        <v>108</v>
      </c>
      <c r="D5205" s="496">
        <v>4.8585000000000003</v>
      </c>
      <c r="E5205" s="495" t="s">
        <v>207</v>
      </c>
    </row>
    <row r="5206" spans="1:5" s="503" customFormat="1">
      <c r="A5206" s="495" t="s">
        <v>8994</v>
      </c>
      <c r="B5206" s="497" t="s">
        <v>9644</v>
      </c>
      <c r="C5206" s="497" t="s">
        <v>108</v>
      </c>
      <c r="D5206" s="496">
        <v>4.88</v>
      </c>
      <c r="E5206" s="497" t="s">
        <v>207</v>
      </c>
    </row>
    <row r="5207" spans="1:5" s="503" customFormat="1">
      <c r="A5207" s="495" t="s">
        <v>15412</v>
      </c>
      <c r="B5207" s="495" t="s">
        <v>15413</v>
      </c>
      <c r="C5207" s="495" t="s">
        <v>193</v>
      </c>
      <c r="D5207" s="496">
        <v>35.152200000000001</v>
      </c>
      <c r="E5207" s="495" t="s">
        <v>207</v>
      </c>
    </row>
    <row r="5208" spans="1:5" s="503" customFormat="1" ht="25.5">
      <c r="A5208" s="497" t="s">
        <v>8988</v>
      </c>
      <c r="B5208" s="497" t="s">
        <v>9667</v>
      </c>
      <c r="C5208" s="497" t="s">
        <v>108</v>
      </c>
      <c r="D5208" s="496">
        <v>11.432499999999999</v>
      </c>
      <c r="E5208" s="497" t="s">
        <v>207</v>
      </c>
    </row>
    <row r="5209" spans="1:5" s="503" customFormat="1">
      <c r="A5209" s="497" t="s">
        <v>8989</v>
      </c>
      <c r="B5209" s="497" t="s">
        <v>9668</v>
      </c>
      <c r="C5209" s="497" t="s">
        <v>108</v>
      </c>
      <c r="D5209" s="496">
        <v>15.737500000000001</v>
      </c>
      <c r="E5209" s="497" t="s">
        <v>207</v>
      </c>
    </row>
    <row r="5210" spans="1:5" s="503" customFormat="1">
      <c r="A5210" s="497" t="s">
        <v>8991</v>
      </c>
      <c r="B5210" s="497" t="s">
        <v>9669</v>
      </c>
      <c r="C5210" s="497" t="s">
        <v>3242</v>
      </c>
      <c r="D5210" s="496">
        <v>106.2435</v>
      </c>
      <c r="E5210" s="497" t="s">
        <v>207</v>
      </c>
    </row>
    <row r="5211" spans="1:5" s="503" customFormat="1">
      <c r="A5211" s="497" t="s">
        <v>8990</v>
      </c>
      <c r="B5211" s="497" t="s">
        <v>9670</v>
      </c>
      <c r="C5211" s="497" t="s">
        <v>3242</v>
      </c>
      <c r="D5211" s="496">
        <v>165.7663</v>
      </c>
      <c r="E5211" s="497" t="s">
        <v>207</v>
      </c>
    </row>
    <row r="5212" spans="1:5" s="503" customFormat="1">
      <c r="A5212" s="497" t="s">
        <v>8992</v>
      </c>
      <c r="B5212" s="497" t="s">
        <v>9671</v>
      </c>
      <c r="C5212" s="497" t="s">
        <v>108</v>
      </c>
      <c r="D5212" s="496">
        <v>43.514800000000001</v>
      </c>
      <c r="E5212" s="497" t="s">
        <v>207</v>
      </c>
    </row>
    <row r="5213" spans="1:5" s="503" customFormat="1">
      <c r="A5213" s="495" t="s">
        <v>9029</v>
      </c>
      <c r="B5213" s="495" t="s">
        <v>9672</v>
      </c>
      <c r="C5213" s="495" t="s">
        <v>108</v>
      </c>
      <c r="D5213" s="496">
        <v>6.6420000000000003</v>
      </c>
      <c r="E5213" s="495" t="s">
        <v>207</v>
      </c>
    </row>
    <row r="5214" spans="1:5" s="503" customFormat="1">
      <c r="A5214" s="495" t="s">
        <v>9681</v>
      </c>
      <c r="B5214" s="495" t="s">
        <v>9682</v>
      </c>
      <c r="C5214" s="504" t="s">
        <v>3240</v>
      </c>
      <c r="D5214" s="496">
        <v>449.10250000000002</v>
      </c>
      <c r="E5214" s="495" t="s">
        <v>207</v>
      </c>
    </row>
    <row r="5215" spans="1:5" s="181" customFormat="1">
      <c r="A5215" s="495" t="s">
        <v>9639</v>
      </c>
      <c r="B5215" s="495" t="s">
        <v>9640</v>
      </c>
      <c r="C5215" s="495" t="s">
        <v>108</v>
      </c>
      <c r="D5215" s="496">
        <v>4.8585000000000003</v>
      </c>
      <c r="E5215" s="495" t="s">
        <v>207</v>
      </c>
    </row>
    <row r="5216" spans="1:5" s="181" customFormat="1">
      <c r="A5216" s="264" t="s">
        <v>16826</v>
      </c>
      <c r="B5216" s="262" t="s">
        <v>16829</v>
      </c>
      <c r="C5216" s="262" t="s">
        <v>3240</v>
      </c>
      <c r="D5216" s="659">
        <v>1688.7977000000001</v>
      </c>
      <c r="E5216" s="264" t="s">
        <v>207</v>
      </c>
    </row>
    <row r="5217" spans="1:8" s="181" customFormat="1">
      <c r="A5217" s="264" t="s">
        <v>18146</v>
      </c>
      <c r="B5217" s="262" t="s">
        <v>16830</v>
      </c>
      <c r="C5217" s="262" t="s">
        <v>212</v>
      </c>
      <c r="D5217" s="268">
        <v>1.9467000000000001</v>
      </c>
      <c r="E5217" s="264" t="s">
        <v>8987</v>
      </c>
    </row>
    <row r="5218" spans="1:8" s="181" customFormat="1">
      <c r="A5218" s="264" t="s">
        <v>18147</v>
      </c>
      <c r="B5218" s="262" t="s">
        <v>16830</v>
      </c>
      <c r="C5218" s="262" t="s">
        <v>215</v>
      </c>
      <c r="D5218" s="268">
        <v>1.0161</v>
      </c>
      <c r="E5218" s="264" t="s">
        <v>8987</v>
      </c>
    </row>
    <row r="5219" spans="1:8" s="181" customFormat="1">
      <c r="A5219" s="264" t="s">
        <v>18148</v>
      </c>
      <c r="B5219" s="264" t="s">
        <v>18150</v>
      </c>
      <c r="C5219" s="264" t="s">
        <v>4</v>
      </c>
      <c r="D5219" s="268">
        <v>95.073499999999996</v>
      </c>
      <c r="E5219" s="264" t="s">
        <v>207</v>
      </c>
      <c r="F5219" s="660" t="str">
        <f>UPPER(B5219)</f>
        <v>TINTA ESMALTE POLIURETANO DE DOIS COMPONENTES</v>
      </c>
    </row>
    <row r="5220" spans="1:8" s="181" customFormat="1">
      <c r="A5220" s="264" t="s">
        <v>18149</v>
      </c>
      <c r="B5220" s="264" t="s">
        <v>18151</v>
      </c>
      <c r="C5220" s="264" t="s">
        <v>4</v>
      </c>
      <c r="D5220" s="268">
        <v>47.476599999999998</v>
      </c>
      <c r="E5220" s="264" t="s">
        <v>207</v>
      </c>
      <c r="F5220" s="660" t="str">
        <f>UPPER(B5220)</f>
        <v>DILUENTE PARA ESMALTE POLIURETANO DE DOIS COMPONENTES</v>
      </c>
    </row>
    <row r="5221" spans="1:8" s="714" customFormat="1">
      <c r="A5221" s="713" t="s">
        <v>18725</v>
      </c>
      <c r="B5221" s="713" t="s">
        <v>18730</v>
      </c>
      <c r="C5221" s="713" t="s">
        <v>4</v>
      </c>
      <c r="D5221" s="716">
        <v>25.971299999999999</v>
      </c>
      <c r="E5221" s="713" t="s">
        <v>207</v>
      </c>
      <c r="H5221" s="715"/>
    </row>
    <row r="5222" spans="1:8" s="181" customFormat="1">
      <c r="A5222" s="262"/>
      <c r="B5222" s="262"/>
      <c r="C5222" s="262"/>
      <c r="D5222" s="268"/>
      <c r="E5222" s="262"/>
    </row>
    <row r="5223" spans="1:8" s="181" customFormat="1">
      <c r="A5223" s="262"/>
      <c r="B5223" s="262"/>
      <c r="C5223" s="262"/>
      <c r="D5223" s="268"/>
      <c r="E5223" s="264"/>
    </row>
    <row r="5224" spans="1:8" s="181" customFormat="1">
      <c r="A5224" s="262"/>
      <c r="B5224" s="262"/>
      <c r="C5224" s="262"/>
      <c r="D5224" s="268"/>
      <c r="E5224" s="264"/>
    </row>
    <row r="5225" spans="1:8" s="181" customFormat="1">
      <c r="A5225" s="262"/>
      <c r="B5225" s="262"/>
      <c r="C5225" s="262"/>
      <c r="D5225" s="268"/>
      <c r="E5225" s="264"/>
    </row>
    <row r="5226" spans="1:8" s="181" customFormat="1">
      <c r="A5226" s="262"/>
      <c r="B5226" s="262"/>
      <c r="C5226" s="262"/>
      <c r="D5226" s="268"/>
      <c r="E5226" s="264"/>
    </row>
    <row r="5227" spans="1:8" s="181" customFormat="1">
      <c r="A5227" s="262"/>
      <c r="B5227" s="262"/>
      <c r="C5227" s="262"/>
      <c r="D5227" s="268"/>
      <c r="E5227" s="264"/>
    </row>
    <row r="5228" spans="1:8" s="181" customFormat="1">
      <c r="A5228" s="262"/>
      <c r="B5228" s="262"/>
      <c r="C5228" s="262"/>
      <c r="D5228" s="268"/>
      <c r="E5228" s="264"/>
    </row>
    <row r="5229" spans="1:8" s="181" customFormat="1">
      <c r="A5229" s="262"/>
      <c r="B5229" s="262"/>
      <c r="C5229" s="262"/>
      <c r="D5229" s="268"/>
      <c r="E5229" s="262"/>
    </row>
    <row r="5230" spans="1:8" s="181" customFormat="1">
      <c r="A5230" s="262"/>
      <c r="B5230" s="262"/>
      <c r="C5230" s="262"/>
      <c r="D5230" s="268"/>
      <c r="E5230" s="262"/>
    </row>
    <row r="5231" spans="1:8" s="181" customFormat="1">
      <c r="A5231" s="262"/>
      <c r="B5231" s="262"/>
      <c r="C5231" s="262"/>
      <c r="D5231" s="268"/>
      <c r="E5231" s="262"/>
    </row>
    <row r="5232" spans="1:8" s="181" customFormat="1">
      <c r="A5232" s="262"/>
      <c r="B5232" s="262"/>
      <c r="C5232" s="262"/>
      <c r="D5232" s="268"/>
      <c r="E5232" s="262"/>
    </row>
    <row r="5233" spans="1:5" s="181" customFormat="1">
      <c r="A5233" s="262"/>
      <c r="B5233" s="262"/>
      <c r="C5233" s="262"/>
      <c r="D5233" s="268"/>
      <c r="E5233" s="262"/>
    </row>
    <row r="5234" spans="1:5">
      <c r="D5234" s="267"/>
    </row>
    <row r="5235" spans="1:5">
      <c r="D5235" s="267"/>
    </row>
    <row r="5236" spans="1:5">
      <c r="D5236" s="267"/>
    </row>
    <row r="5237" spans="1:5">
      <c r="D5237" s="267"/>
    </row>
    <row r="5238" spans="1:5">
      <c r="D5238" s="267"/>
    </row>
    <row r="5239" spans="1:5">
      <c r="D5239" s="267"/>
    </row>
    <row r="5240" spans="1:5">
      <c r="D5240" s="267"/>
    </row>
    <row r="5241" spans="1:5">
      <c r="D5241" s="267"/>
    </row>
    <row r="5242" spans="1:5">
      <c r="B5242" s="269" t="s">
        <v>11614</v>
      </c>
      <c r="D5242" s="267"/>
    </row>
    <row r="5243" spans="1:5">
      <c r="D5243" s="267"/>
    </row>
    <row r="5244" spans="1:5">
      <c r="A5244" s="270"/>
      <c r="D5244" s="267"/>
    </row>
  </sheetData>
  <autoFilter ref="C1:C5244"/>
  <mergeCells count="1">
    <mergeCell ref="A5204:E5204"/>
  </mergeCells>
  <pageMargins left="0.78740157499999996" right="0.78740157499999996" top="0.984251969" bottom="0.984251969" header="0.5" footer="0.5"/>
  <pageSetup orientation="portrait" r:id="rId1"/>
  <headerFooter alignWithMargins="0"/>
</worksheet>
</file>

<file path=xl/worksheets/sheet14.xml><?xml version="1.0" encoding="utf-8"?>
<worksheet xmlns="http://schemas.openxmlformats.org/spreadsheetml/2006/main" xmlns:r="http://schemas.openxmlformats.org/officeDocument/2006/relationships">
  <sheetPr>
    <tabColor rgb="FFFF0000"/>
  </sheetPr>
  <dimension ref="A1:IV52"/>
  <sheetViews>
    <sheetView view="pageBreakPreview" topLeftCell="A37" zoomScaleNormal="100" zoomScaleSheetLayoutView="100" workbookViewId="0">
      <selection activeCell="A50" sqref="A50:H50"/>
    </sheetView>
  </sheetViews>
  <sheetFormatPr defaultRowHeight="15"/>
  <cols>
    <col min="1" max="1" width="10.42578125" style="194" customWidth="1"/>
    <col min="2" max="6" width="20" style="194" customWidth="1"/>
    <col min="7" max="7" width="16.42578125" style="194" customWidth="1"/>
    <col min="8" max="8" width="16.85546875" style="194" customWidth="1"/>
    <col min="9" max="255" width="9.140625" style="194"/>
    <col min="256" max="256" width="14.140625" style="194" customWidth="1"/>
    <col min="257" max="258" width="9.140625" style="194"/>
    <col min="259" max="259" width="9.5703125" style="194" customWidth="1"/>
    <col min="260" max="260" width="17" style="194" customWidth="1"/>
    <col min="261" max="261" width="15.85546875" style="194" bestFit="1" customWidth="1"/>
    <col min="262" max="262" width="14.28515625" style="194" bestFit="1" customWidth="1"/>
    <col min="263" max="263" width="14.28515625" style="194" customWidth="1"/>
    <col min="264" max="511" width="9.140625" style="194"/>
    <col min="512" max="512" width="14.140625" style="194" customWidth="1"/>
    <col min="513" max="514" width="9.140625" style="194"/>
    <col min="515" max="515" width="9.5703125" style="194" customWidth="1"/>
    <col min="516" max="516" width="17" style="194" customWidth="1"/>
    <col min="517" max="517" width="15.85546875" style="194" bestFit="1" customWidth="1"/>
    <col min="518" max="518" width="14.28515625" style="194" bestFit="1" customWidth="1"/>
    <col min="519" max="519" width="14.28515625" style="194" customWidth="1"/>
    <col min="520" max="767" width="9.140625" style="194"/>
    <col min="768" max="768" width="14.140625" style="194" customWidth="1"/>
    <col min="769" max="770" width="9.140625" style="194"/>
    <col min="771" max="771" width="9.5703125" style="194" customWidth="1"/>
    <col min="772" max="772" width="17" style="194" customWidth="1"/>
    <col min="773" max="773" width="15.85546875" style="194" bestFit="1" customWidth="1"/>
    <col min="774" max="774" width="14.28515625" style="194" bestFit="1" customWidth="1"/>
    <col min="775" max="775" width="14.28515625" style="194" customWidth="1"/>
    <col min="776" max="1023" width="9.140625" style="194"/>
    <col min="1024" max="1024" width="14.140625" style="194" customWidth="1"/>
    <col min="1025" max="1026" width="9.140625" style="194"/>
    <col min="1027" max="1027" width="9.5703125" style="194" customWidth="1"/>
    <col min="1028" max="1028" width="17" style="194" customWidth="1"/>
    <col min="1029" max="1029" width="15.85546875" style="194" bestFit="1" customWidth="1"/>
    <col min="1030" max="1030" width="14.28515625" style="194" bestFit="1" customWidth="1"/>
    <col min="1031" max="1031" width="14.28515625" style="194" customWidth="1"/>
    <col min="1032" max="1279" width="9.140625" style="194"/>
    <col min="1280" max="1280" width="14.140625" style="194" customWidth="1"/>
    <col min="1281" max="1282" width="9.140625" style="194"/>
    <col min="1283" max="1283" width="9.5703125" style="194" customWidth="1"/>
    <col min="1284" max="1284" width="17" style="194" customWidth="1"/>
    <col min="1285" max="1285" width="15.85546875" style="194" bestFit="1" customWidth="1"/>
    <col min="1286" max="1286" width="14.28515625" style="194" bestFit="1" customWidth="1"/>
    <col min="1287" max="1287" width="14.28515625" style="194" customWidth="1"/>
    <col min="1288" max="1535" width="9.140625" style="194"/>
    <col min="1536" max="1536" width="14.140625" style="194" customWidth="1"/>
    <col min="1537" max="1538" width="9.140625" style="194"/>
    <col min="1539" max="1539" width="9.5703125" style="194" customWidth="1"/>
    <col min="1540" max="1540" width="17" style="194" customWidth="1"/>
    <col min="1541" max="1541" width="15.85546875" style="194" bestFit="1" customWidth="1"/>
    <col min="1542" max="1542" width="14.28515625" style="194" bestFit="1" customWidth="1"/>
    <col min="1543" max="1543" width="14.28515625" style="194" customWidth="1"/>
    <col min="1544" max="1791" width="9.140625" style="194"/>
    <col min="1792" max="1792" width="14.140625" style="194" customWidth="1"/>
    <col min="1793" max="1794" width="9.140625" style="194"/>
    <col min="1795" max="1795" width="9.5703125" style="194" customWidth="1"/>
    <col min="1796" max="1796" width="17" style="194" customWidth="1"/>
    <col min="1797" max="1797" width="15.85546875" style="194" bestFit="1" customWidth="1"/>
    <col min="1798" max="1798" width="14.28515625" style="194" bestFit="1" customWidth="1"/>
    <col min="1799" max="1799" width="14.28515625" style="194" customWidth="1"/>
    <col min="1800" max="2047" width="9.140625" style="194"/>
    <col min="2048" max="2048" width="14.140625" style="194" customWidth="1"/>
    <col min="2049" max="2050" width="9.140625" style="194"/>
    <col min="2051" max="2051" width="9.5703125" style="194" customWidth="1"/>
    <col min="2052" max="2052" width="17" style="194" customWidth="1"/>
    <col min="2053" max="2053" width="15.85546875" style="194" bestFit="1" customWidth="1"/>
    <col min="2054" max="2054" width="14.28515625" style="194" bestFit="1" customWidth="1"/>
    <col min="2055" max="2055" width="14.28515625" style="194" customWidth="1"/>
    <col min="2056" max="2303" width="9.140625" style="194"/>
    <col min="2304" max="2304" width="14.140625" style="194" customWidth="1"/>
    <col min="2305" max="2306" width="9.140625" style="194"/>
    <col min="2307" max="2307" width="9.5703125" style="194" customWidth="1"/>
    <col min="2308" max="2308" width="17" style="194" customWidth="1"/>
    <col min="2309" max="2309" width="15.85546875" style="194" bestFit="1" customWidth="1"/>
    <col min="2310" max="2310" width="14.28515625" style="194" bestFit="1" customWidth="1"/>
    <col min="2311" max="2311" width="14.28515625" style="194" customWidth="1"/>
    <col min="2312" max="2559" width="9.140625" style="194"/>
    <col min="2560" max="2560" width="14.140625" style="194" customWidth="1"/>
    <col min="2561" max="2562" width="9.140625" style="194"/>
    <col min="2563" max="2563" width="9.5703125" style="194" customWidth="1"/>
    <col min="2564" max="2564" width="17" style="194" customWidth="1"/>
    <col min="2565" max="2565" width="15.85546875" style="194" bestFit="1" customWidth="1"/>
    <col min="2566" max="2566" width="14.28515625" style="194" bestFit="1" customWidth="1"/>
    <col min="2567" max="2567" width="14.28515625" style="194" customWidth="1"/>
    <col min="2568" max="2815" width="9.140625" style="194"/>
    <col min="2816" max="2816" width="14.140625" style="194" customWidth="1"/>
    <col min="2817" max="2818" width="9.140625" style="194"/>
    <col min="2819" max="2819" width="9.5703125" style="194" customWidth="1"/>
    <col min="2820" max="2820" width="17" style="194" customWidth="1"/>
    <col min="2821" max="2821" width="15.85546875" style="194" bestFit="1" customWidth="1"/>
    <col min="2822" max="2822" width="14.28515625" style="194" bestFit="1" customWidth="1"/>
    <col min="2823" max="2823" width="14.28515625" style="194" customWidth="1"/>
    <col min="2824" max="3071" width="9.140625" style="194"/>
    <col min="3072" max="3072" width="14.140625" style="194" customWidth="1"/>
    <col min="3073" max="3074" width="9.140625" style="194"/>
    <col min="3075" max="3075" width="9.5703125" style="194" customWidth="1"/>
    <col min="3076" max="3076" width="17" style="194" customWidth="1"/>
    <col min="3077" max="3077" width="15.85546875" style="194" bestFit="1" customWidth="1"/>
    <col min="3078" max="3078" width="14.28515625" style="194" bestFit="1" customWidth="1"/>
    <col min="3079" max="3079" width="14.28515625" style="194" customWidth="1"/>
    <col min="3080" max="3327" width="9.140625" style="194"/>
    <col min="3328" max="3328" width="14.140625" style="194" customWidth="1"/>
    <col min="3329" max="3330" width="9.140625" style="194"/>
    <col min="3331" max="3331" width="9.5703125" style="194" customWidth="1"/>
    <col min="3332" max="3332" width="17" style="194" customWidth="1"/>
    <col min="3333" max="3333" width="15.85546875" style="194" bestFit="1" customWidth="1"/>
    <col min="3334" max="3334" width="14.28515625" style="194" bestFit="1" customWidth="1"/>
    <col min="3335" max="3335" width="14.28515625" style="194" customWidth="1"/>
    <col min="3336" max="3583" width="9.140625" style="194"/>
    <col min="3584" max="3584" width="14.140625" style="194" customWidth="1"/>
    <col min="3585" max="3586" width="9.140625" style="194"/>
    <col min="3587" max="3587" width="9.5703125" style="194" customWidth="1"/>
    <col min="3588" max="3588" width="17" style="194" customWidth="1"/>
    <col min="3589" max="3589" width="15.85546875" style="194" bestFit="1" customWidth="1"/>
    <col min="3590" max="3590" width="14.28515625" style="194" bestFit="1" customWidth="1"/>
    <col min="3591" max="3591" width="14.28515625" style="194" customWidth="1"/>
    <col min="3592" max="3839" width="9.140625" style="194"/>
    <col min="3840" max="3840" width="14.140625" style="194" customWidth="1"/>
    <col min="3841" max="3842" width="9.140625" style="194"/>
    <col min="3843" max="3843" width="9.5703125" style="194" customWidth="1"/>
    <col min="3844" max="3844" width="17" style="194" customWidth="1"/>
    <col min="3845" max="3845" width="15.85546875" style="194" bestFit="1" customWidth="1"/>
    <col min="3846" max="3846" width="14.28515625" style="194" bestFit="1" customWidth="1"/>
    <col min="3847" max="3847" width="14.28515625" style="194" customWidth="1"/>
    <col min="3848" max="4095" width="9.140625" style="194"/>
    <col min="4096" max="4096" width="14.140625" style="194" customWidth="1"/>
    <col min="4097" max="4098" width="9.140625" style="194"/>
    <col min="4099" max="4099" width="9.5703125" style="194" customWidth="1"/>
    <col min="4100" max="4100" width="17" style="194" customWidth="1"/>
    <col min="4101" max="4101" width="15.85546875" style="194" bestFit="1" customWidth="1"/>
    <col min="4102" max="4102" width="14.28515625" style="194" bestFit="1" customWidth="1"/>
    <col min="4103" max="4103" width="14.28515625" style="194" customWidth="1"/>
    <col min="4104" max="4351" width="9.140625" style="194"/>
    <col min="4352" max="4352" width="14.140625" style="194" customWidth="1"/>
    <col min="4353" max="4354" width="9.140625" style="194"/>
    <col min="4355" max="4355" width="9.5703125" style="194" customWidth="1"/>
    <col min="4356" max="4356" width="17" style="194" customWidth="1"/>
    <col min="4357" max="4357" width="15.85546875" style="194" bestFit="1" customWidth="1"/>
    <col min="4358" max="4358" width="14.28515625" style="194" bestFit="1" customWidth="1"/>
    <col min="4359" max="4359" width="14.28515625" style="194" customWidth="1"/>
    <col min="4360" max="4607" width="9.140625" style="194"/>
    <col min="4608" max="4608" width="14.140625" style="194" customWidth="1"/>
    <col min="4609" max="4610" width="9.140625" style="194"/>
    <col min="4611" max="4611" width="9.5703125" style="194" customWidth="1"/>
    <col min="4612" max="4612" width="17" style="194" customWidth="1"/>
    <col min="4613" max="4613" width="15.85546875" style="194" bestFit="1" customWidth="1"/>
    <col min="4614" max="4614" width="14.28515625" style="194" bestFit="1" customWidth="1"/>
    <col min="4615" max="4615" width="14.28515625" style="194" customWidth="1"/>
    <col min="4616" max="4863" width="9.140625" style="194"/>
    <col min="4864" max="4864" width="14.140625" style="194" customWidth="1"/>
    <col min="4865" max="4866" width="9.140625" style="194"/>
    <col min="4867" max="4867" width="9.5703125" style="194" customWidth="1"/>
    <col min="4868" max="4868" width="17" style="194" customWidth="1"/>
    <col min="4869" max="4869" width="15.85546875" style="194" bestFit="1" customWidth="1"/>
    <col min="4870" max="4870" width="14.28515625" style="194" bestFit="1" customWidth="1"/>
    <col min="4871" max="4871" width="14.28515625" style="194" customWidth="1"/>
    <col min="4872" max="5119" width="9.140625" style="194"/>
    <col min="5120" max="5120" width="14.140625" style="194" customWidth="1"/>
    <col min="5121" max="5122" width="9.140625" style="194"/>
    <col min="5123" max="5123" width="9.5703125" style="194" customWidth="1"/>
    <col min="5124" max="5124" width="17" style="194" customWidth="1"/>
    <col min="5125" max="5125" width="15.85546875" style="194" bestFit="1" customWidth="1"/>
    <col min="5126" max="5126" width="14.28515625" style="194" bestFit="1" customWidth="1"/>
    <col min="5127" max="5127" width="14.28515625" style="194" customWidth="1"/>
    <col min="5128" max="5375" width="9.140625" style="194"/>
    <col min="5376" max="5376" width="14.140625" style="194" customWidth="1"/>
    <col min="5377" max="5378" width="9.140625" style="194"/>
    <col min="5379" max="5379" width="9.5703125" style="194" customWidth="1"/>
    <col min="5380" max="5380" width="17" style="194" customWidth="1"/>
    <col min="5381" max="5381" width="15.85546875" style="194" bestFit="1" customWidth="1"/>
    <col min="5382" max="5382" width="14.28515625" style="194" bestFit="1" customWidth="1"/>
    <col min="5383" max="5383" width="14.28515625" style="194" customWidth="1"/>
    <col min="5384" max="5631" width="9.140625" style="194"/>
    <col min="5632" max="5632" width="14.140625" style="194" customWidth="1"/>
    <col min="5633" max="5634" width="9.140625" style="194"/>
    <col min="5635" max="5635" width="9.5703125" style="194" customWidth="1"/>
    <col min="5636" max="5636" width="17" style="194" customWidth="1"/>
    <col min="5637" max="5637" width="15.85546875" style="194" bestFit="1" customWidth="1"/>
    <col min="5638" max="5638" width="14.28515625" style="194" bestFit="1" customWidth="1"/>
    <col min="5639" max="5639" width="14.28515625" style="194" customWidth="1"/>
    <col min="5640" max="5887" width="9.140625" style="194"/>
    <col min="5888" max="5888" width="14.140625" style="194" customWidth="1"/>
    <col min="5889" max="5890" width="9.140625" style="194"/>
    <col min="5891" max="5891" width="9.5703125" style="194" customWidth="1"/>
    <col min="5892" max="5892" width="17" style="194" customWidth="1"/>
    <col min="5893" max="5893" width="15.85546875" style="194" bestFit="1" customWidth="1"/>
    <col min="5894" max="5894" width="14.28515625" style="194" bestFit="1" customWidth="1"/>
    <col min="5895" max="5895" width="14.28515625" style="194" customWidth="1"/>
    <col min="5896" max="6143" width="9.140625" style="194"/>
    <col min="6144" max="6144" width="14.140625" style="194" customWidth="1"/>
    <col min="6145" max="6146" width="9.140625" style="194"/>
    <col min="6147" max="6147" width="9.5703125" style="194" customWidth="1"/>
    <col min="6148" max="6148" width="17" style="194" customWidth="1"/>
    <col min="6149" max="6149" width="15.85546875" style="194" bestFit="1" customWidth="1"/>
    <col min="6150" max="6150" width="14.28515625" style="194" bestFit="1" customWidth="1"/>
    <col min="6151" max="6151" width="14.28515625" style="194" customWidth="1"/>
    <col min="6152" max="6399" width="9.140625" style="194"/>
    <col min="6400" max="6400" width="14.140625" style="194" customWidth="1"/>
    <col min="6401" max="6402" width="9.140625" style="194"/>
    <col min="6403" max="6403" width="9.5703125" style="194" customWidth="1"/>
    <col min="6404" max="6404" width="17" style="194" customWidth="1"/>
    <col min="6405" max="6405" width="15.85546875" style="194" bestFit="1" customWidth="1"/>
    <col min="6406" max="6406" width="14.28515625" style="194" bestFit="1" customWidth="1"/>
    <col min="6407" max="6407" width="14.28515625" style="194" customWidth="1"/>
    <col min="6408" max="6655" width="9.140625" style="194"/>
    <col min="6656" max="6656" width="14.140625" style="194" customWidth="1"/>
    <col min="6657" max="6658" width="9.140625" style="194"/>
    <col min="6659" max="6659" width="9.5703125" style="194" customWidth="1"/>
    <col min="6660" max="6660" width="17" style="194" customWidth="1"/>
    <col min="6661" max="6661" width="15.85546875" style="194" bestFit="1" customWidth="1"/>
    <col min="6662" max="6662" width="14.28515625" style="194" bestFit="1" customWidth="1"/>
    <col min="6663" max="6663" width="14.28515625" style="194" customWidth="1"/>
    <col min="6664" max="6911" width="9.140625" style="194"/>
    <col min="6912" max="6912" width="14.140625" style="194" customWidth="1"/>
    <col min="6913" max="6914" width="9.140625" style="194"/>
    <col min="6915" max="6915" width="9.5703125" style="194" customWidth="1"/>
    <col min="6916" max="6916" width="17" style="194" customWidth="1"/>
    <col min="6917" max="6917" width="15.85546875" style="194" bestFit="1" customWidth="1"/>
    <col min="6918" max="6918" width="14.28515625" style="194" bestFit="1" customWidth="1"/>
    <col min="6919" max="6919" width="14.28515625" style="194" customWidth="1"/>
    <col min="6920" max="7167" width="9.140625" style="194"/>
    <col min="7168" max="7168" width="14.140625" style="194" customWidth="1"/>
    <col min="7169" max="7170" width="9.140625" style="194"/>
    <col min="7171" max="7171" width="9.5703125" style="194" customWidth="1"/>
    <col min="7172" max="7172" width="17" style="194" customWidth="1"/>
    <col min="7173" max="7173" width="15.85546875" style="194" bestFit="1" customWidth="1"/>
    <col min="7174" max="7174" width="14.28515625" style="194" bestFit="1" customWidth="1"/>
    <col min="7175" max="7175" width="14.28515625" style="194" customWidth="1"/>
    <col min="7176" max="7423" width="9.140625" style="194"/>
    <col min="7424" max="7424" width="14.140625" style="194" customWidth="1"/>
    <col min="7425" max="7426" width="9.140625" style="194"/>
    <col min="7427" max="7427" width="9.5703125" style="194" customWidth="1"/>
    <col min="7428" max="7428" width="17" style="194" customWidth="1"/>
    <col min="7429" max="7429" width="15.85546875" style="194" bestFit="1" customWidth="1"/>
    <col min="7430" max="7430" width="14.28515625" style="194" bestFit="1" customWidth="1"/>
    <col min="7431" max="7431" width="14.28515625" style="194" customWidth="1"/>
    <col min="7432" max="7679" width="9.140625" style="194"/>
    <col min="7680" max="7680" width="14.140625" style="194" customWidth="1"/>
    <col min="7681" max="7682" width="9.140625" style="194"/>
    <col min="7683" max="7683" width="9.5703125" style="194" customWidth="1"/>
    <col min="7684" max="7684" width="17" style="194" customWidth="1"/>
    <col min="7685" max="7685" width="15.85546875" style="194" bestFit="1" customWidth="1"/>
    <col min="7686" max="7686" width="14.28515625" style="194" bestFit="1" customWidth="1"/>
    <col min="7687" max="7687" width="14.28515625" style="194" customWidth="1"/>
    <col min="7688" max="7935" width="9.140625" style="194"/>
    <col min="7936" max="7936" width="14.140625" style="194" customWidth="1"/>
    <col min="7937" max="7938" width="9.140625" style="194"/>
    <col min="7939" max="7939" width="9.5703125" style="194" customWidth="1"/>
    <col min="7940" max="7940" width="17" style="194" customWidth="1"/>
    <col min="7941" max="7941" width="15.85546875" style="194" bestFit="1" customWidth="1"/>
    <col min="7942" max="7942" width="14.28515625" style="194" bestFit="1" customWidth="1"/>
    <col min="7943" max="7943" width="14.28515625" style="194" customWidth="1"/>
    <col min="7944" max="8191" width="9.140625" style="194"/>
    <col min="8192" max="8192" width="14.140625" style="194" customWidth="1"/>
    <col min="8193" max="8194" width="9.140625" style="194"/>
    <col min="8195" max="8195" width="9.5703125" style="194" customWidth="1"/>
    <col min="8196" max="8196" width="17" style="194" customWidth="1"/>
    <col min="8197" max="8197" width="15.85546875" style="194" bestFit="1" customWidth="1"/>
    <col min="8198" max="8198" width="14.28515625" style="194" bestFit="1" customWidth="1"/>
    <col min="8199" max="8199" width="14.28515625" style="194" customWidth="1"/>
    <col min="8200" max="8447" width="9.140625" style="194"/>
    <col min="8448" max="8448" width="14.140625" style="194" customWidth="1"/>
    <col min="8449" max="8450" width="9.140625" style="194"/>
    <col min="8451" max="8451" width="9.5703125" style="194" customWidth="1"/>
    <col min="8452" max="8452" width="17" style="194" customWidth="1"/>
    <col min="8453" max="8453" width="15.85546875" style="194" bestFit="1" customWidth="1"/>
    <col min="8454" max="8454" width="14.28515625" style="194" bestFit="1" customWidth="1"/>
    <col min="8455" max="8455" width="14.28515625" style="194" customWidth="1"/>
    <col min="8456" max="8703" width="9.140625" style="194"/>
    <col min="8704" max="8704" width="14.140625" style="194" customWidth="1"/>
    <col min="8705" max="8706" width="9.140625" style="194"/>
    <col min="8707" max="8707" width="9.5703125" style="194" customWidth="1"/>
    <col min="8708" max="8708" width="17" style="194" customWidth="1"/>
    <col min="8709" max="8709" width="15.85546875" style="194" bestFit="1" customWidth="1"/>
    <col min="8710" max="8710" width="14.28515625" style="194" bestFit="1" customWidth="1"/>
    <col min="8711" max="8711" width="14.28515625" style="194" customWidth="1"/>
    <col min="8712" max="8959" width="9.140625" style="194"/>
    <col min="8960" max="8960" width="14.140625" style="194" customWidth="1"/>
    <col min="8961" max="8962" width="9.140625" style="194"/>
    <col min="8963" max="8963" width="9.5703125" style="194" customWidth="1"/>
    <col min="8964" max="8964" width="17" style="194" customWidth="1"/>
    <col min="8965" max="8965" width="15.85546875" style="194" bestFit="1" customWidth="1"/>
    <col min="8966" max="8966" width="14.28515625" style="194" bestFit="1" customWidth="1"/>
    <col min="8967" max="8967" width="14.28515625" style="194" customWidth="1"/>
    <col min="8968" max="9215" width="9.140625" style="194"/>
    <col min="9216" max="9216" width="14.140625" style="194" customWidth="1"/>
    <col min="9217" max="9218" width="9.140625" style="194"/>
    <col min="9219" max="9219" width="9.5703125" style="194" customWidth="1"/>
    <col min="9220" max="9220" width="17" style="194" customWidth="1"/>
    <col min="9221" max="9221" width="15.85546875" style="194" bestFit="1" customWidth="1"/>
    <col min="9222" max="9222" width="14.28515625" style="194" bestFit="1" customWidth="1"/>
    <col min="9223" max="9223" width="14.28515625" style="194" customWidth="1"/>
    <col min="9224" max="9471" width="9.140625" style="194"/>
    <col min="9472" max="9472" width="14.140625" style="194" customWidth="1"/>
    <col min="9473" max="9474" width="9.140625" style="194"/>
    <col min="9475" max="9475" width="9.5703125" style="194" customWidth="1"/>
    <col min="9476" max="9476" width="17" style="194" customWidth="1"/>
    <col min="9477" max="9477" width="15.85546875" style="194" bestFit="1" customWidth="1"/>
    <col min="9478" max="9478" width="14.28515625" style="194" bestFit="1" customWidth="1"/>
    <col min="9479" max="9479" width="14.28515625" style="194" customWidth="1"/>
    <col min="9480" max="9727" width="9.140625" style="194"/>
    <col min="9728" max="9728" width="14.140625" style="194" customWidth="1"/>
    <col min="9729" max="9730" width="9.140625" style="194"/>
    <col min="9731" max="9731" width="9.5703125" style="194" customWidth="1"/>
    <col min="9732" max="9732" width="17" style="194" customWidth="1"/>
    <col min="9733" max="9733" width="15.85546875" style="194" bestFit="1" customWidth="1"/>
    <col min="9734" max="9734" width="14.28515625" style="194" bestFit="1" customWidth="1"/>
    <col min="9735" max="9735" width="14.28515625" style="194" customWidth="1"/>
    <col min="9736" max="9983" width="9.140625" style="194"/>
    <col min="9984" max="9984" width="14.140625" style="194" customWidth="1"/>
    <col min="9985" max="9986" width="9.140625" style="194"/>
    <col min="9987" max="9987" width="9.5703125" style="194" customWidth="1"/>
    <col min="9988" max="9988" width="17" style="194" customWidth="1"/>
    <col min="9989" max="9989" width="15.85546875" style="194" bestFit="1" customWidth="1"/>
    <col min="9990" max="9990" width="14.28515625" style="194" bestFit="1" customWidth="1"/>
    <col min="9991" max="9991" width="14.28515625" style="194" customWidth="1"/>
    <col min="9992" max="10239" width="9.140625" style="194"/>
    <col min="10240" max="10240" width="14.140625" style="194" customWidth="1"/>
    <col min="10241" max="10242" width="9.140625" style="194"/>
    <col min="10243" max="10243" width="9.5703125" style="194" customWidth="1"/>
    <col min="10244" max="10244" width="17" style="194" customWidth="1"/>
    <col min="10245" max="10245" width="15.85546875" style="194" bestFit="1" customWidth="1"/>
    <col min="10246" max="10246" width="14.28515625" style="194" bestFit="1" customWidth="1"/>
    <col min="10247" max="10247" width="14.28515625" style="194" customWidth="1"/>
    <col min="10248" max="10495" width="9.140625" style="194"/>
    <col min="10496" max="10496" width="14.140625" style="194" customWidth="1"/>
    <col min="10497" max="10498" width="9.140625" style="194"/>
    <col min="10499" max="10499" width="9.5703125" style="194" customWidth="1"/>
    <col min="10500" max="10500" width="17" style="194" customWidth="1"/>
    <col min="10501" max="10501" width="15.85546875" style="194" bestFit="1" customWidth="1"/>
    <col min="10502" max="10502" width="14.28515625" style="194" bestFit="1" customWidth="1"/>
    <col min="10503" max="10503" width="14.28515625" style="194" customWidth="1"/>
    <col min="10504" max="10751" width="9.140625" style="194"/>
    <col min="10752" max="10752" width="14.140625" style="194" customWidth="1"/>
    <col min="10753" max="10754" width="9.140625" style="194"/>
    <col min="10755" max="10755" width="9.5703125" style="194" customWidth="1"/>
    <col min="10756" max="10756" width="17" style="194" customWidth="1"/>
    <col min="10757" max="10757" width="15.85546875" style="194" bestFit="1" customWidth="1"/>
    <col min="10758" max="10758" width="14.28515625" style="194" bestFit="1" customWidth="1"/>
    <col min="10759" max="10759" width="14.28515625" style="194" customWidth="1"/>
    <col min="10760" max="11007" width="9.140625" style="194"/>
    <col min="11008" max="11008" width="14.140625" style="194" customWidth="1"/>
    <col min="11009" max="11010" width="9.140625" style="194"/>
    <col min="11011" max="11011" width="9.5703125" style="194" customWidth="1"/>
    <col min="11012" max="11012" width="17" style="194" customWidth="1"/>
    <col min="11013" max="11013" width="15.85546875" style="194" bestFit="1" customWidth="1"/>
    <col min="11014" max="11014" width="14.28515625" style="194" bestFit="1" customWidth="1"/>
    <col min="11015" max="11015" width="14.28515625" style="194" customWidth="1"/>
    <col min="11016" max="11263" width="9.140625" style="194"/>
    <col min="11264" max="11264" width="14.140625" style="194" customWidth="1"/>
    <col min="11265" max="11266" width="9.140625" style="194"/>
    <col min="11267" max="11267" width="9.5703125" style="194" customWidth="1"/>
    <col min="11268" max="11268" width="17" style="194" customWidth="1"/>
    <col min="11269" max="11269" width="15.85546875" style="194" bestFit="1" customWidth="1"/>
    <col min="11270" max="11270" width="14.28515625" style="194" bestFit="1" customWidth="1"/>
    <col min="11271" max="11271" width="14.28515625" style="194" customWidth="1"/>
    <col min="11272" max="11519" width="9.140625" style="194"/>
    <col min="11520" max="11520" width="14.140625" style="194" customWidth="1"/>
    <col min="11521" max="11522" width="9.140625" style="194"/>
    <col min="11523" max="11523" width="9.5703125" style="194" customWidth="1"/>
    <col min="11524" max="11524" width="17" style="194" customWidth="1"/>
    <col min="11525" max="11525" width="15.85546875" style="194" bestFit="1" customWidth="1"/>
    <col min="11526" max="11526" width="14.28515625" style="194" bestFit="1" customWidth="1"/>
    <col min="11527" max="11527" width="14.28515625" style="194" customWidth="1"/>
    <col min="11528" max="11775" width="9.140625" style="194"/>
    <col min="11776" max="11776" width="14.140625" style="194" customWidth="1"/>
    <col min="11777" max="11778" width="9.140625" style="194"/>
    <col min="11779" max="11779" width="9.5703125" style="194" customWidth="1"/>
    <col min="11780" max="11780" width="17" style="194" customWidth="1"/>
    <col min="11781" max="11781" width="15.85546875" style="194" bestFit="1" customWidth="1"/>
    <col min="11782" max="11782" width="14.28515625" style="194" bestFit="1" customWidth="1"/>
    <col min="11783" max="11783" width="14.28515625" style="194" customWidth="1"/>
    <col min="11784" max="12031" width="9.140625" style="194"/>
    <col min="12032" max="12032" width="14.140625" style="194" customWidth="1"/>
    <col min="12033" max="12034" width="9.140625" style="194"/>
    <col min="12035" max="12035" width="9.5703125" style="194" customWidth="1"/>
    <col min="12036" max="12036" width="17" style="194" customWidth="1"/>
    <col min="12037" max="12037" width="15.85546875" style="194" bestFit="1" customWidth="1"/>
    <col min="12038" max="12038" width="14.28515625" style="194" bestFit="1" customWidth="1"/>
    <col min="12039" max="12039" width="14.28515625" style="194" customWidth="1"/>
    <col min="12040" max="12287" width="9.140625" style="194"/>
    <col min="12288" max="12288" width="14.140625" style="194" customWidth="1"/>
    <col min="12289" max="12290" width="9.140625" style="194"/>
    <col min="12291" max="12291" width="9.5703125" style="194" customWidth="1"/>
    <col min="12292" max="12292" width="17" style="194" customWidth="1"/>
    <col min="12293" max="12293" width="15.85546875" style="194" bestFit="1" customWidth="1"/>
    <col min="12294" max="12294" width="14.28515625" style="194" bestFit="1" customWidth="1"/>
    <col min="12295" max="12295" width="14.28515625" style="194" customWidth="1"/>
    <col min="12296" max="12543" width="9.140625" style="194"/>
    <col min="12544" max="12544" width="14.140625" style="194" customWidth="1"/>
    <col min="12545" max="12546" width="9.140625" style="194"/>
    <col min="12547" max="12547" width="9.5703125" style="194" customWidth="1"/>
    <col min="12548" max="12548" width="17" style="194" customWidth="1"/>
    <col min="12549" max="12549" width="15.85546875" style="194" bestFit="1" customWidth="1"/>
    <col min="12550" max="12550" width="14.28515625" style="194" bestFit="1" customWidth="1"/>
    <col min="12551" max="12551" width="14.28515625" style="194" customWidth="1"/>
    <col min="12552" max="12799" width="9.140625" style="194"/>
    <col min="12800" max="12800" width="14.140625" style="194" customWidth="1"/>
    <col min="12801" max="12802" width="9.140625" style="194"/>
    <col min="12803" max="12803" width="9.5703125" style="194" customWidth="1"/>
    <col min="12804" max="12804" width="17" style="194" customWidth="1"/>
    <col min="12805" max="12805" width="15.85546875" style="194" bestFit="1" customWidth="1"/>
    <col min="12806" max="12806" width="14.28515625" style="194" bestFit="1" customWidth="1"/>
    <col min="12807" max="12807" width="14.28515625" style="194" customWidth="1"/>
    <col min="12808" max="13055" width="9.140625" style="194"/>
    <col min="13056" max="13056" width="14.140625" style="194" customWidth="1"/>
    <col min="13057" max="13058" width="9.140625" style="194"/>
    <col min="13059" max="13059" width="9.5703125" style="194" customWidth="1"/>
    <col min="13060" max="13060" width="17" style="194" customWidth="1"/>
    <col min="13061" max="13061" width="15.85546875" style="194" bestFit="1" customWidth="1"/>
    <col min="13062" max="13062" width="14.28515625" style="194" bestFit="1" customWidth="1"/>
    <col min="13063" max="13063" width="14.28515625" style="194" customWidth="1"/>
    <col min="13064" max="13311" width="9.140625" style="194"/>
    <col min="13312" max="13312" width="14.140625" style="194" customWidth="1"/>
    <col min="13313" max="13314" width="9.140625" style="194"/>
    <col min="13315" max="13315" width="9.5703125" style="194" customWidth="1"/>
    <col min="13316" max="13316" width="17" style="194" customWidth="1"/>
    <col min="13317" max="13317" width="15.85546875" style="194" bestFit="1" customWidth="1"/>
    <col min="13318" max="13318" width="14.28515625" style="194" bestFit="1" customWidth="1"/>
    <col min="13319" max="13319" width="14.28515625" style="194" customWidth="1"/>
    <col min="13320" max="13567" width="9.140625" style="194"/>
    <col min="13568" max="13568" width="14.140625" style="194" customWidth="1"/>
    <col min="13569" max="13570" width="9.140625" style="194"/>
    <col min="13571" max="13571" width="9.5703125" style="194" customWidth="1"/>
    <col min="13572" max="13572" width="17" style="194" customWidth="1"/>
    <col min="13573" max="13573" width="15.85546875" style="194" bestFit="1" customWidth="1"/>
    <col min="13574" max="13574" width="14.28515625" style="194" bestFit="1" customWidth="1"/>
    <col min="13575" max="13575" width="14.28515625" style="194" customWidth="1"/>
    <col min="13576" max="13823" width="9.140625" style="194"/>
    <col min="13824" max="13824" width="14.140625" style="194" customWidth="1"/>
    <col min="13825" max="13826" width="9.140625" style="194"/>
    <col min="13827" max="13827" width="9.5703125" style="194" customWidth="1"/>
    <col min="13828" max="13828" width="17" style="194" customWidth="1"/>
    <col min="13829" max="13829" width="15.85546875" style="194" bestFit="1" customWidth="1"/>
    <col min="13830" max="13830" width="14.28515625" style="194" bestFit="1" customWidth="1"/>
    <col min="13831" max="13831" width="14.28515625" style="194" customWidth="1"/>
    <col min="13832" max="14079" width="9.140625" style="194"/>
    <col min="14080" max="14080" width="14.140625" style="194" customWidth="1"/>
    <col min="14081" max="14082" width="9.140625" style="194"/>
    <col min="14083" max="14083" width="9.5703125" style="194" customWidth="1"/>
    <col min="14084" max="14084" width="17" style="194" customWidth="1"/>
    <col min="14085" max="14085" width="15.85546875" style="194" bestFit="1" customWidth="1"/>
    <col min="14086" max="14086" width="14.28515625" style="194" bestFit="1" customWidth="1"/>
    <col min="14087" max="14087" width="14.28515625" style="194" customWidth="1"/>
    <col min="14088" max="14335" width="9.140625" style="194"/>
    <col min="14336" max="14336" width="14.140625" style="194" customWidth="1"/>
    <col min="14337" max="14338" width="9.140625" style="194"/>
    <col min="14339" max="14339" width="9.5703125" style="194" customWidth="1"/>
    <col min="14340" max="14340" width="17" style="194" customWidth="1"/>
    <col min="14341" max="14341" width="15.85546875" style="194" bestFit="1" customWidth="1"/>
    <col min="14342" max="14342" width="14.28515625" style="194" bestFit="1" customWidth="1"/>
    <col min="14343" max="14343" width="14.28515625" style="194" customWidth="1"/>
    <col min="14344" max="14591" width="9.140625" style="194"/>
    <col min="14592" max="14592" width="14.140625" style="194" customWidth="1"/>
    <col min="14593" max="14594" width="9.140625" style="194"/>
    <col min="14595" max="14595" width="9.5703125" style="194" customWidth="1"/>
    <col min="14596" max="14596" width="17" style="194" customWidth="1"/>
    <col min="14597" max="14597" width="15.85546875" style="194" bestFit="1" customWidth="1"/>
    <col min="14598" max="14598" width="14.28515625" style="194" bestFit="1" customWidth="1"/>
    <col min="14599" max="14599" width="14.28515625" style="194" customWidth="1"/>
    <col min="14600" max="14847" width="9.140625" style="194"/>
    <col min="14848" max="14848" width="14.140625" style="194" customWidth="1"/>
    <col min="14849" max="14850" width="9.140625" style="194"/>
    <col min="14851" max="14851" width="9.5703125" style="194" customWidth="1"/>
    <col min="14852" max="14852" width="17" style="194" customWidth="1"/>
    <col min="14853" max="14853" width="15.85546875" style="194" bestFit="1" customWidth="1"/>
    <col min="14854" max="14854" width="14.28515625" style="194" bestFit="1" customWidth="1"/>
    <col min="14855" max="14855" width="14.28515625" style="194" customWidth="1"/>
    <col min="14856" max="15103" width="9.140625" style="194"/>
    <col min="15104" max="15104" width="14.140625" style="194" customWidth="1"/>
    <col min="15105" max="15106" width="9.140625" style="194"/>
    <col min="15107" max="15107" width="9.5703125" style="194" customWidth="1"/>
    <col min="15108" max="15108" width="17" style="194" customWidth="1"/>
    <col min="15109" max="15109" width="15.85546875" style="194" bestFit="1" customWidth="1"/>
    <col min="15110" max="15110" width="14.28515625" style="194" bestFit="1" customWidth="1"/>
    <col min="15111" max="15111" width="14.28515625" style="194" customWidth="1"/>
    <col min="15112" max="15359" width="9.140625" style="194"/>
    <col min="15360" max="15360" width="14.140625" style="194" customWidth="1"/>
    <col min="15361" max="15362" width="9.140625" style="194"/>
    <col min="15363" max="15363" width="9.5703125" style="194" customWidth="1"/>
    <col min="15364" max="15364" width="17" style="194" customWidth="1"/>
    <col min="15365" max="15365" width="15.85546875" style="194" bestFit="1" customWidth="1"/>
    <col min="15366" max="15366" width="14.28515625" style="194" bestFit="1" customWidth="1"/>
    <col min="15367" max="15367" width="14.28515625" style="194" customWidth="1"/>
    <col min="15368" max="15615" width="9.140625" style="194"/>
    <col min="15616" max="15616" width="14.140625" style="194" customWidth="1"/>
    <col min="15617" max="15618" width="9.140625" style="194"/>
    <col min="15619" max="15619" width="9.5703125" style="194" customWidth="1"/>
    <col min="15620" max="15620" width="17" style="194" customWidth="1"/>
    <col min="15621" max="15621" width="15.85546875" style="194" bestFit="1" customWidth="1"/>
    <col min="15622" max="15622" width="14.28515625" style="194" bestFit="1" customWidth="1"/>
    <col min="15623" max="15623" width="14.28515625" style="194" customWidth="1"/>
    <col min="15624" max="15871" width="9.140625" style="194"/>
    <col min="15872" max="15872" width="14.140625" style="194" customWidth="1"/>
    <col min="15873" max="15874" width="9.140625" style="194"/>
    <col min="15875" max="15875" width="9.5703125" style="194" customWidth="1"/>
    <col min="15876" max="15876" width="17" style="194" customWidth="1"/>
    <col min="15877" max="15877" width="15.85546875" style="194" bestFit="1" customWidth="1"/>
    <col min="15878" max="15878" width="14.28515625" style="194" bestFit="1" customWidth="1"/>
    <col min="15879" max="15879" width="14.28515625" style="194" customWidth="1"/>
    <col min="15880" max="16127" width="9.140625" style="194"/>
    <col min="16128" max="16128" width="14.140625" style="194" customWidth="1"/>
    <col min="16129" max="16130" width="9.140625" style="194"/>
    <col min="16131" max="16131" width="9.5703125" style="194" customWidth="1"/>
    <col min="16132" max="16132" width="17" style="194" customWidth="1"/>
    <col min="16133" max="16133" width="15.85546875" style="194" bestFit="1" customWidth="1"/>
    <col min="16134" max="16134" width="14.28515625" style="194" bestFit="1" customWidth="1"/>
    <col min="16135" max="16135" width="14.28515625" style="194" customWidth="1"/>
    <col min="16136" max="16384" width="9.140625" style="194"/>
  </cols>
  <sheetData>
    <row r="1" spans="1:256" ht="18.75">
      <c r="A1" s="860" t="s">
        <v>9686</v>
      </c>
      <c r="B1" s="860"/>
      <c r="C1" s="860"/>
      <c r="D1" s="860"/>
      <c r="E1" s="860"/>
      <c r="F1" s="860"/>
      <c r="G1" s="860"/>
      <c r="H1" s="860"/>
    </row>
    <row r="2" spans="1:256" ht="15.75" thickBot="1">
      <c r="A2" s="861"/>
      <c r="B2" s="861"/>
      <c r="C2" s="861"/>
      <c r="D2" s="861"/>
      <c r="E2" s="861"/>
      <c r="F2" s="861"/>
    </row>
    <row r="3" spans="1:256" ht="15.75" thickBot="1">
      <c r="A3" s="195"/>
      <c r="B3" s="215" t="s">
        <v>9687</v>
      </c>
      <c r="C3" s="217"/>
      <c r="D3" s="219"/>
      <c r="E3" s="221"/>
      <c r="F3" s="196"/>
      <c r="G3" s="222"/>
      <c r="H3" s="196"/>
    </row>
    <row r="4" spans="1:256" ht="9" customHeight="1">
      <c r="A4" s="214"/>
      <c r="B4" s="216" t="s">
        <v>9688</v>
      </c>
      <c r="C4" s="218" t="s">
        <v>9689</v>
      </c>
      <c r="D4" s="220"/>
      <c r="E4" s="197"/>
      <c r="F4" s="199" t="s">
        <v>9690</v>
      </c>
      <c r="G4" s="223"/>
      <c r="H4" s="199" t="s">
        <v>9691</v>
      </c>
    </row>
    <row r="5" spans="1:256">
      <c r="A5" s="240"/>
      <c r="B5" s="241" t="s">
        <v>9692</v>
      </c>
      <c r="C5" s="242" t="s">
        <v>9693</v>
      </c>
      <c r="D5" s="243" t="s">
        <v>9694</v>
      </c>
      <c r="E5" s="244" t="s">
        <v>9695</v>
      </c>
      <c r="F5" s="245" t="s">
        <v>9696</v>
      </c>
      <c r="G5" s="244" t="s">
        <v>9695</v>
      </c>
      <c r="H5" s="245" t="s">
        <v>9697</v>
      </c>
    </row>
    <row r="6" spans="1:256" s="246" customFormat="1">
      <c r="A6" s="200" t="s">
        <v>9698</v>
      </c>
      <c r="B6" s="202">
        <v>926.03800000000001</v>
      </c>
      <c r="C6" s="198">
        <v>563.11199999999997</v>
      </c>
      <c r="D6" s="198"/>
      <c r="E6" s="198"/>
      <c r="F6" s="198">
        <v>720.79600000000005</v>
      </c>
      <c r="G6" s="198"/>
      <c r="H6" s="201">
        <v>779.76599999999996</v>
      </c>
      <c r="I6" s="194"/>
      <c r="J6" s="194"/>
      <c r="K6" s="194"/>
      <c r="L6" s="194"/>
      <c r="M6" s="194"/>
      <c r="N6" s="194"/>
      <c r="O6" s="194"/>
      <c r="P6" s="194"/>
      <c r="Q6" s="194"/>
      <c r="R6" s="194"/>
      <c r="S6" s="194"/>
      <c r="T6" s="194"/>
      <c r="U6" s="194"/>
      <c r="V6" s="194"/>
      <c r="W6" s="194"/>
      <c r="X6" s="194"/>
      <c r="Y6" s="194"/>
      <c r="Z6" s="194"/>
      <c r="AA6" s="194"/>
      <c r="AB6" s="194"/>
      <c r="AC6" s="194"/>
      <c r="AD6" s="194"/>
      <c r="AE6" s="194"/>
      <c r="AF6" s="194"/>
      <c r="AG6" s="194"/>
      <c r="AH6" s="194"/>
      <c r="AI6" s="194"/>
      <c r="AJ6" s="194"/>
      <c r="AK6" s="194"/>
      <c r="AL6" s="194"/>
      <c r="AM6" s="194"/>
      <c r="AN6" s="194"/>
      <c r="AO6" s="194"/>
      <c r="AP6" s="194"/>
      <c r="AQ6" s="194"/>
      <c r="AR6" s="194"/>
      <c r="AS6" s="194"/>
      <c r="AT6" s="194"/>
      <c r="AU6" s="194"/>
      <c r="AV6" s="194"/>
      <c r="AW6" s="194"/>
      <c r="AX6" s="194"/>
      <c r="AY6" s="194"/>
      <c r="AZ6" s="194"/>
      <c r="BA6" s="194"/>
      <c r="BB6" s="194"/>
      <c r="BC6" s="194"/>
      <c r="BD6" s="194"/>
      <c r="BE6" s="194"/>
      <c r="BF6" s="194"/>
      <c r="BG6" s="194"/>
      <c r="BH6" s="194"/>
      <c r="BI6" s="194"/>
      <c r="BJ6" s="194"/>
      <c r="BK6" s="194"/>
      <c r="BL6" s="194"/>
      <c r="BM6" s="194"/>
      <c r="BN6" s="194"/>
      <c r="BO6" s="194"/>
      <c r="BP6" s="194"/>
      <c r="BQ6" s="194"/>
      <c r="BR6" s="194"/>
      <c r="BS6" s="194"/>
      <c r="BT6" s="194"/>
      <c r="BU6" s="194"/>
      <c r="BV6" s="194"/>
      <c r="BW6" s="194"/>
      <c r="BX6" s="194"/>
      <c r="BY6" s="194"/>
      <c r="BZ6" s="194"/>
      <c r="CA6" s="194"/>
      <c r="CB6" s="194"/>
      <c r="CC6" s="194"/>
      <c r="CD6" s="194"/>
      <c r="CE6" s="194"/>
      <c r="CF6" s="194"/>
      <c r="CG6" s="194"/>
      <c r="CH6" s="194"/>
      <c r="CI6" s="194"/>
      <c r="CJ6" s="194"/>
      <c r="CK6" s="194"/>
      <c r="CL6" s="194"/>
      <c r="CM6" s="194"/>
      <c r="CN6" s="194"/>
      <c r="CO6" s="194"/>
      <c r="CP6" s="194"/>
      <c r="CQ6" s="194"/>
      <c r="CR6" s="194"/>
      <c r="CS6" s="194"/>
      <c r="CT6" s="194"/>
      <c r="CU6" s="194"/>
      <c r="CV6" s="194"/>
      <c r="CW6" s="194"/>
      <c r="CX6" s="194"/>
      <c r="CY6" s="194"/>
      <c r="CZ6" s="194"/>
      <c r="DA6" s="194"/>
      <c r="DB6" s="194"/>
      <c r="DC6" s="194"/>
      <c r="DD6" s="194"/>
      <c r="DE6" s="194"/>
      <c r="DF6" s="194"/>
      <c r="DG6" s="194"/>
      <c r="DH6" s="194"/>
      <c r="DI6" s="194"/>
      <c r="DJ6" s="194"/>
      <c r="DK6" s="194"/>
      <c r="DL6" s="194"/>
      <c r="DM6" s="194"/>
      <c r="DN6" s="194"/>
      <c r="DO6" s="194"/>
      <c r="DP6" s="194"/>
      <c r="DQ6" s="194"/>
      <c r="DR6" s="194"/>
      <c r="DS6" s="194"/>
      <c r="DT6" s="194"/>
      <c r="DU6" s="194"/>
      <c r="DV6" s="194"/>
      <c r="DW6" s="194"/>
      <c r="DX6" s="194"/>
      <c r="DY6" s="194"/>
      <c r="DZ6" s="194"/>
      <c r="EA6" s="194"/>
      <c r="EB6" s="194"/>
      <c r="EC6" s="194"/>
      <c r="ED6" s="194"/>
      <c r="EE6" s="194"/>
      <c r="EF6" s="194"/>
      <c r="EG6" s="194"/>
      <c r="EH6" s="194"/>
      <c r="EI6" s="194"/>
      <c r="EJ6" s="194"/>
      <c r="EK6" s="194"/>
      <c r="EL6" s="194"/>
      <c r="EM6" s="194"/>
      <c r="EN6" s="194"/>
      <c r="EO6" s="194"/>
      <c r="EP6" s="194"/>
      <c r="EQ6" s="194"/>
      <c r="ER6" s="194"/>
      <c r="ES6" s="194"/>
      <c r="ET6" s="194"/>
      <c r="EU6" s="194"/>
      <c r="EV6" s="194"/>
      <c r="EW6" s="194"/>
      <c r="EX6" s="194"/>
      <c r="EY6" s="194"/>
      <c r="EZ6" s="194"/>
      <c r="FA6" s="194"/>
      <c r="FB6" s="194"/>
      <c r="FC6" s="194"/>
      <c r="FD6" s="194"/>
      <c r="FE6" s="194"/>
      <c r="FF6" s="194"/>
      <c r="FG6" s="194"/>
      <c r="FH6" s="194"/>
      <c r="FI6" s="194"/>
      <c r="FJ6" s="194"/>
      <c r="FK6" s="194"/>
      <c r="FL6" s="194"/>
      <c r="FM6" s="194"/>
      <c r="FN6" s="194"/>
      <c r="FO6" s="194"/>
      <c r="FP6" s="194"/>
      <c r="FQ6" s="194"/>
      <c r="FR6" s="194"/>
      <c r="FS6" s="194"/>
      <c r="FT6" s="194"/>
      <c r="FU6" s="194"/>
      <c r="FV6" s="194"/>
      <c r="FW6" s="194"/>
      <c r="FX6" s="194"/>
      <c r="FY6" s="194"/>
      <c r="FZ6" s="194"/>
      <c r="GA6" s="194"/>
      <c r="GB6" s="194"/>
      <c r="GC6" s="194"/>
      <c r="GD6" s="194"/>
      <c r="GE6" s="194"/>
      <c r="GF6" s="194"/>
      <c r="GG6" s="194"/>
      <c r="GH6" s="194"/>
      <c r="GI6" s="194"/>
      <c r="GJ6" s="194"/>
      <c r="GK6" s="194"/>
      <c r="GL6" s="194"/>
      <c r="GM6" s="194"/>
      <c r="GN6" s="194"/>
      <c r="GO6" s="194"/>
      <c r="GP6" s="194"/>
      <c r="GQ6" s="194"/>
      <c r="GR6" s="194"/>
      <c r="GS6" s="194"/>
      <c r="GT6" s="194"/>
      <c r="GU6" s="194"/>
      <c r="GV6" s="194"/>
      <c r="GW6" s="194"/>
      <c r="GX6" s="194"/>
      <c r="GY6" s="194"/>
      <c r="GZ6" s="194"/>
      <c r="HA6" s="194"/>
      <c r="HB6" s="194"/>
      <c r="HC6" s="194"/>
      <c r="HD6" s="194"/>
      <c r="HE6" s="194"/>
      <c r="HF6" s="194"/>
      <c r="HG6" s="194"/>
      <c r="HH6" s="194"/>
      <c r="HI6" s="194"/>
      <c r="HJ6" s="194"/>
      <c r="HK6" s="194"/>
      <c r="HL6" s="194"/>
      <c r="HM6" s="194"/>
      <c r="HN6" s="194"/>
      <c r="HO6" s="194"/>
      <c r="HP6" s="194"/>
      <c r="HQ6" s="194"/>
      <c r="HR6" s="194"/>
      <c r="HS6" s="194"/>
      <c r="HT6" s="194"/>
      <c r="HU6" s="194"/>
      <c r="HV6" s="194"/>
      <c r="HW6" s="194"/>
      <c r="HX6" s="194"/>
      <c r="HY6" s="194"/>
      <c r="HZ6" s="194"/>
      <c r="IA6" s="194"/>
      <c r="IB6" s="194"/>
      <c r="IC6" s="194"/>
      <c r="ID6" s="194"/>
      <c r="IE6" s="194"/>
      <c r="IF6" s="194"/>
      <c r="IG6" s="194"/>
      <c r="IH6" s="194"/>
      <c r="II6" s="194"/>
      <c r="IJ6" s="194"/>
      <c r="IK6" s="194"/>
      <c r="IL6" s="194"/>
      <c r="IM6" s="194"/>
      <c r="IN6" s="194"/>
      <c r="IO6" s="194"/>
      <c r="IP6" s="194"/>
      <c r="IQ6" s="194"/>
      <c r="IR6" s="194"/>
      <c r="IS6" s="194"/>
      <c r="IT6" s="194"/>
      <c r="IU6" s="194"/>
      <c r="IV6" s="194"/>
    </row>
    <row r="7" spans="1:256" s="246" customFormat="1">
      <c r="A7" s="200" t="s">
        <v>9699</v>
      </c>
      <c r="B7" s="202">
        <v>926.03800000000001</v>
      </c>
      <c r="C7" s="198">
        <v>566.81299999999999</v>
      </c>
      <c r="D7" s="198">
        <f t="shared" ref="D7:D14" si="0">C7/C6</f>
        <v>1.0065724047791558</v>
      </c>
      <c r="E7" s="198">
        <f t="shared" ref="E7:E14" si="1">F7/F6</f>
        <v>1.0029994617062248</v>
      </c>
      <c r="F7" s="198">
        <v>722.95799999999997</v>
      </c>
      <c r="G7" s="198">
        <f t="shared" ref="G7:G14" si="2">H7/H6</f>
        <v>1.0032958605530378</v>
      </c>
      <c r="H7" s="201">
        <v>782.33600000000001</v>
      </c>
      <c r="I7" s="194"/>
      <c r="J7" s="194"/>
      <c r="K7" s="194"/>
      <c r="L7" s="194"/>
      <c r="M7" s="194"/>
      <c r="N7" s="194"/>
      <c r="O7" s="194"/>
      <c r="P7" s="194"/>
      <c r="Q7" s="194"/>
      <c r="R7" s="194"/>
      <c r="S7" s="194"/>
      <c r="T7" s="194"/>
      <c r="U7" s="194"/>
      <c r="V7" s="194"/>
      <c r="W7" s="194"/>
      <c r="X7" s="194"/>
      <c r="Y7" s="194"/>
      <c r="Z7" s="194"/>
      <c r="AA7" s="194"/>
      <c r="AB7" s="194"/>
      <c r="AC7" s="194"/>
      <c r="AD7" s="194"/>
      <c r="AE7" s="194"/>
      <c r="AF7" s="194"/>
      <c r="AG7" s="194"/>
      <c r="AH7" s="194"/>
      <c r="AI7" s="194"/>
      <c r="AJ7" s="194"/>
      <c r="AK7" s="194"/>
      <c r="AL7" s="194"/>
      <c r="AM7" s="194"/>
      <c r="AN7" s="194"/>
      <c r="AO7" s="194"/>
      <c r="AP7" s="194"/>
      <c r="AQ7" s="194"/>
      <c r="AR7" s="194"/>
      <c r="AS7" s="194"/>
      <c r="AT7" s="194"/>
      <c r="AU7" s="194"/>
      <c r="AV7" s="194"/>
      <c r="AW7" s="194"/>
      <c r="AX7" s="194"/>
      <c r="AY7" s="194"/>
      <c r="AZ7" s="194"/>
      <c r="BA7" s="194"/>
      <c r="BB7" s="194"/>
      <c r="BC7" s="194"/>
      <c r="BD7" s="194"/>
      <c r="BE7" s="194"/>
      <c r="BF7" s="194"/>
      <c r="BG7" s="194"/>
      <c r="BH7" s="194"/>
      <c r="BI7" s="194"/>
      <c r="BJ7" s="194"/>
      <c r="BK7" s="194"/>
      <c r="BL7" s="194"/>
      <c r="BM7" s="194"/>
      <c r="BN7" s="194"/>
      <c r="BO7" s="194"/>
      <c r="BP7" s="194"/>
      <c r="BQ7" s="194"/>
      <c r="BR7" s="194"/>
      <c r="BS7" s="194"/>
      <c r="BT7" s="194"/>
      <c r="BU7" s="194"/>
      <c r="BV7" s="194"/>
      <c r="BW7" s="194"/>
      <c r="BX7" s="194"/>
      <c r="BY7" s="194"/>
      <c r="BZ7" s="194"/>
      <c r="CA7" s="194"/>
      <c r="CB7" s="194"/>
      <c r="CC7" s="194"/>
      <c r="CD7" s="194"/>
      <c r="CE7" s="194"/>
      <c r="CF7" s="194"/>
      <c r="CG7" s="194"/>
      <c r="CH7" s="194"/>
      <c r="CI7" s="194"/>
      <c r="CJ7" s="194"/>
      <c r="CK7" s="194"/>
      <c r="CL7" s="194"/>
      <c r="CM7" s="194"/>
      <c r="CN7" s="194"/>
      <c r="CO7" s="194"/>
      <c r="CP7" s="194"/>
      <c r="CQ7" s="194"/>
      <c r="CR7" s="194"/>
      <c r="CS7" s="194"/>
      <c r="CT7" s="194"/>
      <c r="CU7" s="194"/>
      <c r="CV7" s="194"/>
      <c r="CW7" s="194"/>
      <c r="CX7" s="194"/>
      <c r="CY7" s="194"/>
      <c r="CZ7" s="194"/>
      <c r="DA7" s="194"/>
      <c r="DB7" s="194"/>
      <c r="DC7" s="194"/>
      <c r="DD7" s="194"/>
      <c r="DE7" s="194"/>
      <c r="DF7" s="194"/>
      <c r="DG7" s="194"/>
      <c r="DH7" s="194"/>
      <c r="DI7" s="194"/>
      <c r="DJ7" s="194"/>
      <c r="DK7" s="194"/>
      <c r="DL7" s="194"/>
      <c r="DM7" s="194"/>
      <c r="DN7" s="194"/>
      <c r="DO7" s="194"/>
      <c r="DP7" s="194"/>
      <c r="DQ7" s="194"/>
      <c r="DR7" s="194"/>
      <c r="DS7" s="194"/>
      <c r="DT7" s="194"/>
      <c r="DU7" s="194"/>
      <c r="DV7" s="194"/>
      <c r="DW7" s="194"/>
      <c r="DX7" s="194"/>
      <c r="DY7" s="194"/>
      <c r="DZ7" s="194"/>
      <c r="EA7" s="194"/>
      <c r="EB7" s="194"/>
      <c r="EC7" s="194"/>
      <c r="ED7" s="194"/>
      <c r="EE7" s="194"/>
      <c r="EF7" s="194"/>
      <c r="EG7" s="194"/>
      <c r="EH7" s="194"/>
      <c r="EI7" s="194"/>
      <c r="EJ7" s="194"/>
      <c r="EK7" s="194"/>
      <c r="EL7" s="194"/>
      <c r="EM7" s="194"/>
      <c r="EN7" s="194"/>
      <c r="EO7" s="194"/>
      <c r="EP7" s="194"/>
      <c r="EQ7" s="194"/>
      <c r="ER7" s="194"/>
      <c r="ES7" s="194"/>
      <c r="ET7" s="194"/>
      <c r="EU7" s="194"/>
      <c r="EV7" s="194"/>
      <c r="EW7" s="194"/>
      <c r="EX7" s="194"/>
      <c r="EY7" s="194"/>
      <c r="EZ7" s="194"/>
      <c r="FA7" s="194"/>
      <c r="FB7" s="194"/>
      <c r="FC7" s="194"/>
      <c r="FD7" s="194"/>
      <c r="FE7" s="194"/>
      <c r="FF7" s="194"/>
      <c r="FG7" s="194"/>
      <c r="FH7" s="194"/>
      <c r="FI7" s="194"/>
      <c r="FJ7" s="194"/>
      <c r="FK7" s="194"/>
      <c r="FL7" s="194"/>
      <c r="FM7" s="194"/>
      <c r="FN7" s="194"/>
      <c r="FO7" s="194"/>
      <c r="FP7" s="194"/>
      <c r="FQ7" s="194"/>
      <c r="FR7" s="194"/>
      <c r="FS7" s="194"/>
      <c r="FT7" s="194"/>
      <c r="FU7" s="194"/>
      <c r="FV7" s="194"/>
      <c r="FW7" s="194"/>
      <c r="FX7" s="194"/>
      <c r="FY7" s="194"/>
      <c r="FZ7" s="194"/>
      <c r="GA7" s="194"/>
      <c r="GB7" s="194"/>
      <c r="GC7" s="194"/>
      <c r="GD7" s="194"/>
      <c r="GE7" s="194"/>
      <c r="GF7" s="194"/>
      <c r="GG7" s="194"/>
      <c r="GH7" s="194"/>
      <c r="GI7" s="194"/>
      <c r="GJ7" s="194"/>
      <c r="GK7" s="194"/>
      <c r="GL7" s="194"/>
      <c r="GM7" s="194"/>
      <c r="GN7" s="194"/>
      <c r="GO7" s="194"/>
      <c r="GP7" s="194"/>
      <c r="GQ7" s="194"/>
      <c r="GR7" s="194"/>
      <c r="GS7" s="194"/>
      <c r="GT7" s="194"/>
      <c r="GU7" s="194"/>
      <c r="GV7" s="194"/>
      <c r="GW7" s="194"/>
      <c r="GX7" s="194"/>
      <c r="GY7" s="194"/>
      <c r="GZ7" s="194"/>
      <c r="HA7" s="194"/>
      <c r="HB7" s="194"/>
      <c r="HC7" s="194"/>
      <c r="HD7" s="194"/>
      <c r="HE7" s="194"/>
      <c r="HF7" s="194"/>
      <c r="HG7" s="194"/>
      <c r="HH7" s="194"/>
      <c r="HI7" s="194"/>
      <c r="HJ7" s="194"/>
      <c r="HK7" s="194"/>
      <c r="HL7" s="194"/>
      <c r="HM7" s="194"/>
      <c r="HN7" s="194"/>
      <c r="HO7" s="194"/>
      <c r="HP7" s="194"/>
      <c r="HQ7" s="194"/>
      <c r="HR7" s="194"/>
      <c r="HS7" s="194"/>
      <c r="HT7" s="194"/>
      <c r="HU7" s="194"/>
      <c r="HV7" s="194"/>
      <c r="HW7" s="194"/>
      <c r="HX7" s="194"/>
      <c r="HY7" s="194"/>
      <c r="HZ7" s="194"/>
      <c r="IA7" s="194"/>
      <c r="IB7" s="194"/>
      <c r="IC7" s="194"/>
      <c r="ID7" s="194"/>
      <c r="IE7" s="194"/>
      <c r="IF7" s="194"/>
      <c r="IG7" s="194"/>
      <c r="IH7" s="194"/>
      <c r="II7" s="194"/>
      <c r="IJ7" s="194"/>
      <c r="IK7" s="194"/>
      <c r="IL7" s="194"/>
      <c r="IM7" s="194"/>
      <c r="IN7" s="194"/>
      <c r="IO7" s="194"/>
      <c r="IP7" s="194"/>
      <c r="IQ7" s="194"/>
      <c r="IR7" s="194"/>
      <c r="IS7" s="194"/>
      <c r="IT7" s="194"/>
      <c r="IU7" s="194"/>
      <c r="IV7" s="194"/>
    </row>
    <row r="8" spans="1:256" s="246" customFormat="1">
      <c r="A8" s="200" t="s">
        <v>9700</v>
      </c>
      <c r="B8" s="202">
        <v>926.03800000000001</v>
      </c>
      <c r="C8" s="198">
        <v>568.76700000000005</v>
      </c>
      <c r="D8" s="198">
        <f t="shared" si="0"/>
        <v>1.0034473450679502</v>
      </c>
      <c r="E8" s="198">
        <f t="shared" si="1"/>
        <v>1.0015782382932343</v>
      </c>
      <c r="F8" s="198">
        <v>724.09900000000005</v>
      </c>
      <c r="G8" s="198">
        <f t="shared" si="2"/>
        <v>1.0025590027814135</v>
      </c>
      <c r="H8" s="201">
        <v>784.33799999999997</v>
      </c>
      <c r="I8" s="194"/>
      <c r="J8" s="194"/>
      <c r="K8" s="194"/>
      <c r="L8" s="194"/>
      <c r="M8" s="194"/>
      <c r="N8" s="194"/>
      <c r="O8" s="194"/>
      <c r="P8" s="194"/>
      <c r="Q8" s="194"/>
      <c r="R8" s="194"/>
      <c r="S8" s="194"/>
      <c r="T8" s="194"/>
      <c r="U8" s="194"/>
      <c r="V8" s="194"/>
      <c r="W8" s="194"/>
      <c r="X8" s="194"/>
      <c r="Y8" s="194"/>
      <c r="Z8" s="194"/>
      <c r="AA8" s="194"/>
      <c r="AB8" s="194"/>
      <c r="AC8" s="194"/>
      <c r="AD8" s="194"/>
      <c r="AE8" s="194"/>
      <c r="AF8" s="194"/>
      <c r="AG8" s="194"/>
      <c r="AH8" s="194"/>
      <c r="AI8" s="194"/>
      <c r="AJ8" s="194"/>
      <c r="AK8" s="194"/>
      <c r="AL8" s="194"/>
      <c r="AM8" s="194"/>
      <c r="AN8" s="194"/>
      <c r="AO8" s="194"/>
      <c r="AP8" s="194"/>
      <c r="AQ8" s="194"/>
      <c r="AR8" s="194"/>
      <c r="AS8" s="194"/>
      <c r="AT8" s="194"/>
      <c r="AU8" s="194"/>
      <c r="AV8" s="194"/>
      <c r="AW8" s="194"/>
      <c r="AX8" s="194"/>
      <c r="AY8" s="194"/>
      <c r="AZ8" s="194"/>
      <c r="BA8" s="194"/>
      <c r="BB8" s="194"/>
      <c r="BC8" s="194"/>
      <c r="BD8" s="194"/>
      <c r="BE8" s="194"/>
      <c r="BF8" s="194"/>
      <c r="BG8" s="194"/>
      <c r="BH8" s="194"/>
      <c r="BI8" s="194"/>
      <c r="BJ8" s="194"/>
      <c r="BK8" s="194"/>
      <c r="BL8" s="194"/>
      <c r="BM8" s="194"/>
      <c r="BN8" s="194"/>
      <c r="BO8" s="194"/>
      <c r="BP8" s="194"/>
      <c r="BQ8" s="194"/>
      <c r="BR8" s="194"/>
      <c r="BS8" s="194"/>
      <c r="BT8" s="194"/>
      <c r="BU8" s="194"/>
      <c r="BV8" s="194"/>
      <c r="BW8" s="194"/>
      <c r="BX8" s="194"/>
      <c r="BY8" s="194"/>
      <c r="BZ8" s="194"/>
      <c r="CA8" s="194"/>
      <c r="CB8" s="194"/>
      <c r="CC8" s="194"/>
      <c r="CD8" s="194"/>
      <c r="CE8" s="194"/>
      <c r="CF8" s="194"/>
      <c r="CG8" s="194"/>
      <c r="CH8" s="194"/>
      <c r="CI8" s="194"/>
      <c r="CJ8" s="194"/>
      <c r="CK8" s="194"/>
      <c r="CL8" s="194"/>
      <c r="CM8" s="194"/>
      <c r="CN8" s="194"/>
      <c r="CO8" s="194"/>
      <c r="CP8" s="194"/>
      <c r="CQ8" s="194"/>
      <c r="CR8" s="194"/>
      <c r="CS8" s="194"/>
      <c r="CT8" s="194"/>
      <c r="CU8" s="194"/>
      <c r="CV8" s="194"/>
      <c r="CW8" s="194"/>
      <c r="CX8" s="194"/>
      <c r="CY8" s="194"/>
      <c r="CZ8" s="194"/>
      <c r="DA8" s="194"/>
      <c r="DB8" s="194"/>
      <c r="DC8" s="194"/>
      <c r="DD8" s="194"/>
      <c r="DE8" s="194"/>
      <c r="DF8" s="194"/>
      <c r="DG8" s="194"/>
      <c r="DH8" s="194"/>
      <c r="DI8" s="194"/>
      <c r="DJ8" s="194"/>
      <c r="DK8" s="194"/>
      <c r="DL8" s="194"/>
      <c r="DM8" s="194"/>
      <c r="DN8" s="194"/>
      <c r="DO8" s="194"/>
      <c r="DP8" s="194"/>
      <c r="DQ8" s="194"/>
      <c r="DR8" s="194"/>
      <c r="DS8" s="194"/>
      <c r="DT8" s="194"/>
      <c r="DU8" s="194"/>
      <c r="DV8" s="194"/>
      <c r="DW8" s="194"/>
      <c r="DX8" s="194"/>
      <c r="DY8" s="194"/>
      <c r="DZ8" s="194"/>
      <c r="EA8" s="194"/>
      <c r="EB8" s="194"/>
      <c r="EC8" s="194"/>
      <c r="ED8" s="194"/>
      <c r="EE8" s="194"/>
      <c r="EF8" s="194"/>
      <c r="EG8" s="194"/>
      <c r="EH8" s="194"/>
      <c r="EI8" s="194"/>
      <c r="EJ8" s="194"/>
      <c r="EK8" s="194"/>
      <c r="EL8" s="194"/>
      <c r="EM8" s="194"/>
      <c r="EN8" s="194"/>
      <c r="EO8" s="194"/>
      <c r="EP8" s="194"/>
      <c r="EQ8" s="194"/>
      <c r="ER8" s="194"/>
      <c r="ES8" s="194"/>
      <c r="ET8" s="194"/>
      <c r="EU8" s="194"/>
      <c r="EV8" s="194"/>
      <c r="EW8" s="194"/>
      <c r="EX8" s="194"/>
      <c r="EY8" s="194"/>
      <c r="EZ8" s="194"/>
      <c r="FA8" s="194"/>
      <c r="FB8" s="194"/>
      <c r="FC8" s="194"/>
      <c r="FD8" s="194"/>
      <c r="FE8" s="194"/>
      <c r="FF8" s="194"/>
      <c r="FG8" s="194"/>
      <c r="FH8" s="194"/>
      <c r="FI8" s="194"/>
      <c r="FJ8" s="194"/>
      <c r="FK8" s="194"/>
      <c r="FL8" s="194"/>
      <c r="FM8" s="194"/>
      <c r="FN8" s="194"/>
      <c r="FO8" s="194"/>
      <c r="FP8" s="194"/>
      <c r="FQ8" s="194"/>
      <c r="FR8" s="194"/>
      <c r="FS8" s="194"/>
      <c r="FT8" s="194"/>
      <c r="FU8" s="194"/>
      <c r="FV8" s="194"/>
      <c r="FW8" s="194"/>
      <c r="FX8" s="194"/>
      <c r="FY8" s="194"/>
      <c r="FZ8" s="194"/>
      <c r="GA8" s="194"/>
      <c r="GB8" s="194"/>
      <c r="GC8" s="194"/>
      <c r="GD8" s="194"/>
      <c r="GE8" s="194"/>
      <c r="GF8" s="194"/>
      <c r="GG8" s="194"/>
      <c r="GH8" s="194"/>
      <c r="GI8" s="194"/>
      <c r="GJ8" s="194"/>
      <c r="GK8" s="194"/>
      <c r="GL8" s="194"/>
      <c r="GM8" s="194"/>
      <c r="GN8" s="194"/>
      <c r="GO8" s="194"/>
      <c r="GP8" s="194"/>
      <c r="GQ8" s="194"/>
      <c r="GR8" s="194"/>
      <c r="GS8" s="194"/>
      <c r="GT8" s="194"/>
      <c r="GU8" s="194"/>
      <c r="GV8" s="194"/>
      <c r="GW8" s="194"/>
      <c r="GX8" s="194"/>
      <c r="GY8" s="194"/>
      <c r="GZ8" s="194"/>
      <c r="HA8" s="194"/>
      <c r="HB8" s="194"/>
      <c r="HC8" s="194"/>
      <c r="HD8" s="194"/>
      <c r="HE8" s="194"/>
      <c r="HF8" s="194"/>
      <c r="HG8" s="194"/>
      <c r="HH8" s="194"/>
      <c r="HI8" s="194"/>
      <c r="HJ8" s="194"/>
      <c r="HK8" s="194"/>
      <c r="HL8" s="194"/>
      <c r="HM8" s="194"/>
      <c r="HN8" s="194"/>
      <c r="HO8" s="194"/>
      <c r="HP8" s="194"/>
      <c r="HQ8" s="194"/>
      <c r="HR8" s="194"/>
      <c r="HS8" s="194"/>
      <c r="HT8" s="194"/>
      <c r="HU8" s="194"/>
      <c r="HV8" s="194"/>
      <c r="HW8" s="194"/>
      <c r="HX8" s="194"/>
      <c r="HY8" s="194"/>
      <c r="HZ8" s="194"/>
      <c r="IA8" s="194"/>
      <c r="IB8" s="194"/>
      <c r="IC8" s="194"/>
      <c r="ID8" s="194"/>
      <c r="IE8" s="194"/>
      <c r="IF8" s="194"/>
      <c r="IG8" s="194"/>
      <c r="IH8" s="194"/>
      <c r="II8" s="194"/>
      <c r="IJ8" s="194"/>
      <c r="IK8" s="194"/>
      <c r="IL8" s="194"/>
      <c r="IM8" s="194"/>
      <c r="IN8" s="194"/>
      <c r="IO8" s="194"/>
      <c r="IP8" s="194"/>
      <c r="IQ8" s="194"/>
      <c r="IR8" s="194"/>
      <c r="IS8" s="194"/>
      <c r="IT8" s="194"/>
      <c r="IU8" s="194"/>
      <c r="IV8" s="194"/>
    </row>
    <row r="9" spans="1:256" s="246" customFormat="1">
      <c r="A9" s="200" t="s">
        <v>9701</v>
      </c>
      <c r="B9" s="202">
        <v>926.03800000000001</v>
      </c>
      <c r="C9" s="198">
        <v>570.08600000000001</v>
      </c>
      <c r="D9" s="198">
        <f t="shared" si="0"/>
        <v>1.0023190515624147</v>
      </c>
      <c r="E9" s="198">
        <f t="shared" si="1"/>
        <v>1.0010647715298597</v>
      </c>
      <c r="F9" s="198">
        <v>724.87</v>
      </c>
      <c r="G9" s="198">
        <f t="shared" si="2"/>
        <v>1.0022082316552303</v>
      </c>
      <c r="H9" s="201">
        <v>786.07</v>
      </c>
      <c r="I9" s="194"/>
      <c r="J9" s="194"/>
      <c r="K9" s="194"/>
      <c r="L9" s="194"/>
      <c r="M9" s="194"/>
      <c r="N9" s="194"/>
      <c r="O9" s="194"/>
      <c r="P9" s="194"/>
      <c r="Q9" s="194"/>
      <c r="R9" s="194"/>
      <c r="S9" s="194"/>
      <c r="T9" s="194"/>
      <c r="U9" s="194"/>
      <c r="V9" s="194"/>
      <c r="W9" s="194"/>
      <c r="X9" s="194"/>
      <c r="Y9" s="194"/>
      <c r="Z9" s="194"/>
      <c r="AA9" s="194"/>
      <c r="AB9" s="194"/>
      <c r="AC9" s="194"/>
      <c r="AD9" s="194"/>
      <c r="AE9" s="194"/>
      <c r="AF9" s="194"/>
      <c r="AG9" s="194"/>
      <c r="AH9" s="194"/>
      <c r="AI9" s="194"/>
      <c r="AJ9" s="194"/>
      <c r="AK9" s="194"/>
      <c r="AL9" s="194"/>
      <c r="AM9" s="194"/>
      <c r="AN9" s="194"/>
      <c r="AO9" s="194"/>
      <c r="AP9" s="194"/>
      <c r="AQ9" s="194"/>
      <c r="AR9" s="194"/>
      <c r="AS9" s="194"/>
      <c r="AT9" s="194"/>
      <c r="AU9" s="194"/>
      <c r="AV9" s="194"/>
      <c r="AW9" s="194"/>
      <c r="AX9" s="194"/>
      <c r="AY9" s="194"/>
      <c r="AZ9" s="194"/>
      <c r="BA9" s="194"/>
      <c r="BB9" s="194"/>
      <c r="BC9" s="194"/>
      <c r="BD9" s="194"/>
      <c r="BE9" s="194"/>
      <c r="BF9" s="194"/>
      <c r="BG9" s="194"/>
      <c r="BH9" s="194"/>
      <c r="BI9" s="194"/>
      <c r="BJ9" s="194"/>
      <c r="BK9" s="194"/>
      <c r="BL9" s="194"/>
      <c r="BM9" s="194"/>
      <c r="BN9" s="194"/>
      <c r="BO9" s="194"/>
      <c r="BP9" s="194"/>
      <c r="BQ9" s="194"/>
      <c r="BR9" s="194"/>
      <c r="BS9" s="194"/>
      <c r="BT9" s="194"/>
      <c r="BU9" s="194"/>
      <c r="BV9" s="194"/>
      <c r="BW9" s="194"/>
      <c r="BX9" s="194"/>
      <c r="BY9" s="194"/>
      <c r="BZ9" s="194"/>
      <c r="CA9" s="194"/>
      <c r="CB9" s="194"/>
      <c r="CC9" s="194"/>
      <c r="CD9" s="194"/>
      <c r="CE9" s="194"/>
      <c r="CF9" s="194"/>
      <c r="CG9" s="194"/>
      <c r="CH9" s="194"/>
      <c r="CI9" s="194"/>
      <c r="CJ9" s="194"/>
      <c r="CK9" s="194"/>
      <c r="CL9" s="194"/>
      <c r="CM9" s="194"/>
      <c r="CN9" s="194"/>
      <c r="CO9" s="194"/>
      <c r="CP9" s="194"/>
      <c r="CQ9" s="194"/>
      <c r="CR9" s="194"/>
      <c r="CS9" s="194"/>
      <c r="CT9" s="194"/>
      <c r="CU9" s="194"/>
      <c r="CV9" s="194"/>
      <c r="CW9" s="194"/>
      <c r="CX9" s="194"/>
      <c r="CY9" s="194"/>
      <c r="CZ9" s="194"/>
      <c r="DA9" s="194"/>
      <c r="DB9" s="194"/>
      <c r="DC9" s="194"/>
      <c r="DD9" s="194"/>
      <c r="DE9" s="194"/>
      <c r="DF9" s="194"/>
      <c r="DG9" s="194"/>
      <c r="DH9" s="194"/>
      <c r="DI9" s="194"/>
      <c r="DJ9" s="194"/>
      <c r="DK9" s="194"/>
      <c r="DL9" s="194"/>
      <c r="DM9" s="194"/>
      <c r="DN9" s="194"/>
      <c r="DO9" s="194"/>
      <c r="DP9" s="194"/>
      <c r="DQ9" s="194"/>
      <c r="DR9" s="194"/>
      <c r="DS9" s="194"/>
      <c r="DT9" s="194"/>
      <c r="DU9" s="194"/>
      <c r="DV9" s="194"/>
      <c r="DW9" s="194"/>
      <c r="DX9" s="194"/>
      <c r="DY9" s="194"/>
      <c r="DZ9" s="194"/>
      <c r="EA9" s="194"/>
      <c r="EB9" s="194"/>
      <c r="EC9" s="194"/>
      <c r="ED9" s="194"/>
      <c r="EE9" s="194"/>
      <c r="EF9" s="194"/>
      <c r="EG9" s="194"/>
      <c r="EH9" s="194"/>
      <c r="EI9" s="194"/>
      <c r="EJ9" s="194"/>
      <c r="EK9" s="194"/>
      <c r="EL9" s="194"/>
      <c r="EM9" s="194"/>
      <c r="EN9" s="194"/>
      <c r="EO9" s="194"/>
      <c r="EP9" s="194"/>
      <c r="EQ9" s="194"/>
      <c r="ER9" s="194"/>
      <c r="ES9" s="194"/>
      <c r="ET9" s="194"/>
      <c r="EU9" s="194"/>
      <c r="EV9" s="194"/>
      <c r="EW9" s="194"/>
      <c r="EX9" s="194"/>
      <c r="EY9" s="194"/>
      <c r="EZ9" s="194"/>
      <c r="FA9" s="194"/>
      <c r="FB9" s="194"/>
      <c r="FC9" s="194"/>
      <c r="FD9" s="194"/>
      <c r="FE9" s="194"/>
      <c r="FF9" s="194"/>
      <c r="FG9" s="194"/>
      <c r="FH9" s="194"/>
      <c r="FI9" s="194"/>
      <c r="FJ9" s="194"/>
      <c r="FK9" s="194"/>
      <c r="FL9" s="194"/>
      <c r="FM9" s="194"/>
      <c r="FN9" s="194"/>
      <c r="FO9" s="194"/>
      <c r="FP9" s="194"/>
      <c r="FQ9" s="194"/>
      <c r="FR9" s="194"/>
      <c r="FS9" s="194"/>
      <c r="FT9" s="194"/>
      <c r="FU9" s="194"/>
      <c r="FV9" s="194"/>
      <c r="FW9" s="194"/>
      <c r="FX9" s="194"/>
      <c r="FY9" s="194"/>
      <c r="FZ9" s="194"/>
      <c r="GA9" s="194"/>
      <c r="GB9" s="194"/>
      <c r="GC9" s="194"/>
      <c r="GD9" s="194"/>
      <c r="GE9" s="194"/>
      <c r="GF9" s="194"/>
      <c r="GG9" s="194"/>
      <c r="GH9" s="194"/>
      <c r="GI9" s="194"/>
      <c r="GJ9" s="194"/>
      <c r="GK9" s="194"/>
      <c r="GL9" s="194"/>
      <c r="GM9" s="194"/>
      <c r="GN9" s="194"/>
      <c r="GO9" s="194"/>
      <c r="GP9" s="194"/>
      <c r="GQ9" s="194"/>
      <c r="GR9" s="194"/>
      <c r="GS9" s="194"/>
      <c r="GT9" s="194"/>
      <c r="GU9" s="194"/>
      <c r="GV9" s="194"/>
      <c r="GW9" s="194"/>
      <c r="GX9" s="194"/>
      <c r="GY9" s="194"/>
      <c r="GZ9" s="194"/>
      <c r="HA9" s="194"/>
      <c r="HB9" s="194"/>
      <c r="HC9" s="194"/>
      <c r="HD9" s="194"/>
      <c r="HE9" s="194"/>
      <c r="HF9" s="194"/>
      <c r="HG9" s="194"/>
      <c r="HH9" s="194"/>
      <c r="HI9" s="194"/>
      <c r="HJ9" s="194"/>
      <c r="HK9" s="194"/>
      <c r="HL9" s="194"/>
      <c r="HM9" s="194"/>
      <c r="HN9" s="194"/>
      <c r="HO9" s="194"/>
      <c r="HP9" s="194"/>
      <c r="HQ9" s="194"/>
      <c r="HR9" s="194"/>
      <c r="HS9" s="194"/>
      <c r="HT9" s="194"/>
      <c r="HU9" s="194"/>
      <c r="HV9" s="194"/>
      <c r="HW9" s="194"/>
      <c r="HX9" s="194"/>
      <c r="HY9" s="194"/>
      <c r="HZ9" s="194"/>
      <c r="IA9" s="194"/>
      <c r="IB9" s="194"/>
      <c r="IC9" s="194"/>
      <c r="ID9" s="194"/>
      <c r="IE9" s="194"/>
      <c r="IF9" s="194"/>
      <c r="IG9" s="194"/>
      <c r="IH9" s="194"/>
      <c r="II9" s="194"/>
      <c r="IJ9" s="194"/>
      <c r="IK9" s="194"/>
      <c r="IL9" s="194"/>
      <c r="IM9" s="194"/>
      <c r="IN9" s="194"/>
      <c r="IO9" s="194"/>
      <c r="IP9" s="194"/>
      <c r="IQ9" s="194"/>
      <c r="IR9" s="194"/>
      <c r="IS9" s="194"/>
      <c r="IT9" s="194"/>
      <c r="IU9" s="194"/>
      <c r="IV9" s="194"/>
    </row>
    <row r="10" spans="1:256" s="246" customFormat="1">
      <c r="A10" s="200" t="s">
        <v>9702</v>
      </c>
      <c r="B10" s="202">
        <v>926.03800000000001</v>
      </c>
      <c r="C10" s="198">
        <v>571.46900000000005</v>
      </c>
      <c r="D10" s="198">
        <f t="shared" si="0"/>
        <v>1.0024259497689822</v>
      </c>
      <c r="E10" s="198">
        <f t="shared" si="1"/>
        <v>1.0011146826327479</v>
      </c>
      <c r="F10" s="198">
        <v>725.678</v>
      </c>
      <c r="G10" s="198">
        <f t="shared" si="2"/>
        <v>1.0020303535308561</v>
      </c>
      <c r="H10" s="201">
        <v>787.66600000000005</v>
      </c>
      <c r="I10" s="194"/>
      <c r="J10" s="194"/>
      <c r="K10" s="194"/>
      <c r="L10" s="194"/>
      <c r="M10" s="194"/>
      <c r="N10" s="194"/>
      <c r="O10" s="194"/>
      <c r="P10" s="194"/>
      <c r="Q10" s="194"/>
      <c r="R10" s="194"/>
      <c r="S10" s="194"/>
      <c r="T10" s="194"/>
      <c r="U10" s="194"/>
      <c r="V10" s="194"/>
      <c r="W10" s="194"/>
      <c r="X10" s="194"/>
      <c r="Y10" s="194"/>
      <c r="Z10" s="194"/>
      <c r="AA10" s="194"/>
      <c r="AB10" s="194"/>
      <c r="AC10" s="194"/>
      <c r="AD10" s="194"/>
      <c r="AE10" s="194"/>
      <c r="AF10" s="194"/>
      <c r="AG10" s="194"/>
      <c r="AH10" s="194"/>
      <c r="AI10" s="194"/>
      <c r="AJ10" s="194"/>
      <c r="AK10" s="194"/>
      <c r="AL10" s="194"/>
      <c r="AM10" s="194"/>
      <c r="AN10" s="194"/>
      <c r="AO10" s="194"/>
      <c r="AP10" s="194"/>
      <c r="AQ10" s="194"/>
      <c r="AR10" s="194"/>
      <c r="AS10" s="194"/>
      <c r="AT10" s="194"/>
      <c r="AU10" s="194"/>
      <c r="AV10" s="194"/>
      <c r="AW10" s="194"/>
      <c r="AX10" s="194"/>
      <c r="AY10" s="194"/>
      <c r="AZ10" s="194"/>
      <c r="BA10" s="194"/>
      <c r="BB10" s="194"/>
      <c r="BC10" s="194"/>
      <c r="BD10" s="194"/>
      <c r="BE10" s="194"/>
      <c r="BF10" s="194"/>
      <c r="BG10" s="194"/>
      <c r="BH10" s="194"/>
      <c r="BI10" s="194"/>
      <c r="BJ10" s="194"/>
      <c r="BK10" s="194"/>
      <c r="BL10" s="194"/>
      <c r="BM10" s="194"/>
      <c r="BN10" s="194"/>
      <c r="BO10" s="194"/>
      <c r="BP10" s="194"/>
      <c r="BQ10" s="194"/>
      <c r="BR10" s="194"/>
      <c r="BS10" s="194"/>
      <c r="BT10" s="194"/>
      <c r="BU10" s="194"/>
      <c r="BV10" s="194"/>
      <c r="BW10" s="194"/>
      <c r="BX10" s="194"/>
      <c r="BY10" s="194"/>
      <c r="BZ10" s="194"/>
      <c r="CA10" s="194"/>
      <c r="CB10" s="194"/>
      <c r="CC10" s="194"/>
      <c r="CD10" s="194"/>
      <c r="CE10" s="194"/>
      <c r="CF10" s="194"/>
      <c r="CG10" s="194"/>
      <c r="CH10" s="194"/>
      <c r="CI10" s="194"/>
      <c r="CJ10" s="194"/>
      <c r="CK10" s="194"/>
      <c r="CL10" s="194"/>
      <c r="CM10" s="194"/>
      <c r="CN10" s="194"/>
      <c r="CO10" s="194"/>
      <c r="CP10" s="194"/>
      <c r="CQ10" s="194"/>
      <c r="CR10" s="194"/>
      <c r="CS10" s="194"/>
      <c r="CT10" s="194"/>
      <c r="CU10" s="194"/>
      <c r="CV10" s="194"/>
      <c r="CW10" s="194"/>
      <c r="CX10" s="194"/>
      <c r="CY10" s="194"/>
      <c r="CZ10" s="194"/>
      <c r="DA10" s="194"/>
      <c r="DB10" s="194"/>
      <c r="DC10" s="194"/>
      <c r="DD10" s="194"/>
      <c r="DE10" s="194"/>
      <c r="DF10" s="194"/>
      <c r="DG10" s="194"/>
      <c r="DH10" s="194"/>
      <c r="DI10" s="194"/>
      <c r="DJ10" s="194"/>
      <c r="DK10" s="194"/>
      <c r="DL10" s="194"/>
      <c r="DM10" s="194"/>
      <c r="DN10" s="194"/>
      <c r="DO10" s="194"/>
      <c r="DP10" s="194"/>
      <c r="DQ10" s="194"/>
      <c r="DR10" s="194"/>
      <c r="DS10" s="194"/>
      <c r="DT10" s="194"/>
      <c r="DU10" s="194"/>
      <c r="DV10" s="194"/>
      <c r="DW10" s="194"/>
      <c r="DX10" s="194"/>
      <c r="DY10" s="194"/>
      <c r="DZ10" s="194"/>
      <c r="EA10" s="194"/>
      <c r="EB10" s="194"/>
      <c r="EC10" s="194"/>
      <c r="ED10" s="194"/>
      <c r="EE10" s="194"/>
      <c r="EF10" s="194"/>
      <c r="EG10" s="194"/>
      <c r="EH10" s="194"/>
      <c r="EI10" s="194"/>
      <c r="EJ10" s="194"/>
      <c r="EK10" s="194"/>
      <c r="EL10" s="194"/>
      <c r="EM10" s="194"/>
      <c r="EN10" s="194"/>
      <c r="EO10" s="194"/>
      <c r="EP10" s="194"/>
      <c r="EQ10" s="194"/>
      <c r="ER10" s="194"/>
      <c r="ES10" s="194"/>
      <c r="ET10" s="194"/>
      <c r="EU10" s="194"/>
      <c r="EV10" s="194"/>
      <c r="EW10" s="194"/>
      <c r="EX10" s="194"/>
      <c r="EY10" s="194"/>
      <c r="EZ10" s="194"/>
      <c r="FA10" s="194"/>
      <c r="FB10" s="194"/>
      <c r="FC10" s="194"/>
      <c r="FD10" s="194"/>
      <c r="FE10" s="194"/>
      <c r="FF10" s="194"/>
      <c r="FG10" s="194"/>
      <c r="FH10" s="194"/>
      <c r="FI10" s="194"/>
      <c r="FJ10" s="194"/>
      <c r="FK10" s="194"/>
      <c r="FL10" s="194"/>
      <c r="FM10" s="194"/>
      <c r="FN10" s="194"/>
      <c r="FO10" s="194"/>
      <c r="FP10" s="194"/>
      <c r="FQ10" s="194"/>
      <c r="FR10" s="194"/>
      <c r="FS10" s="194"/>
      <c r="FT10" s="194"/>
      <c r="FU10" s="194"/>
      <c r="FV10" s="194"/>
      <c r="FW10" s="194"/>
      <c r="FX10" s="194"/>
      <c r="FY10" s="194"/>
      <c r="FZ10" s="194"/>
      <c r="GA10" s="194"/>
      <c r="GB10" s="194"/>
      <c r="GC10" s="194"/>
      <c r="GD10" s="194"/>
      <c r="GE10" s="194"/>
      <c r="GF10" s="194"/>
      <c r="GG10" s="194"/>
      <c r="GH10" s="194"/>
      <c r="GI10" s="194"/>
      <c r="GJ10" s="194"/>
      <c r="GK10" s="194"/>
      <c r="GL10" s="194"/>
      <c r="GM10" s="194"/>
      <c r="GN10" s="194"/>
      <c r="GO10" s="194"/>
      <c r="GP10" s="194"/>
      <c r="GQ10" s="194"/>
      <c r="GR10" s="194"/>
      <c r="GS10" s="194"/>
      <c r="GT10" s="194"/>
      <c r="GU10" s="194"/>
      <c r="GV10" s="194"/>
      <c r="GW10" s="194"/>
      <c r="GX10" s="194"/>
      <c r="GY10" s="194"/>
      <c r="GZ10" s="194"/>
      <c r="HA10" s="194"/>
      <c r="HB10" s="194"/>
      <c r="HC10" s="194"/>
      <c r="HD10" s="194"/>
      <c r="HE10" s="194"/>
      <c r="HF10" s="194"/>
      <c r="HG10" s="194"/>
      <c r="HH10" s="194"/>
      <c r="HI10" s="194"/>
      <c r="HJ10" s="194"/>
      <c r="HK10" s="194"/>
      <c r="HL10" s="194"/>
      <c r="HM10" s="194"/>
      <c r="HN10" s="194"/>
      <c r="HO10" s="194"/>
      <c r="HP10" s="194"/>
      <c r="HQ10" s="194"/>
      <c r="HR10" s="194"/>
      <c r="HS10" s="194"/>
      <c r="HT10" s="194"/>
      <c r="HU10" s="194"/>
      <c r="HV10" s="194"/>
      <c r="HW10" s="194"/>
      <c r="HX10" s="194"/>
      <c r="HY10" s="194"/>
      <c r="HZ10" s="194"/>
      <c r="IA10" s="194"/>
      <c r="IB10" s="194"/>
      <c r="IC10" s="194"/>
      <c r="ID10" s="194"/>
      <c r="IE10" s="194"/>
      <c r="IF10" s="194"/>
      <c r="IG10" s="194"/>
      <c r="IH10" s="194"/>
      <c r="II10" s="194"/>
      <c r="IJ10" s="194"/>
      <c r="IK10" s="194"/>
      <c r="IL10" s="194"/>
      <c r="IM10" s="194"/>
      <c r="IN10" s="194"/>
      <c r="IO10" s="194"/>
      <c r="IP10" s="194"/>
      <c r="IQ10" s="194"/>
      <c r="IR10" s="194"/>
      <c r="IS10" s="194"/>
      <c r="IT10" s="194"/>
      <c r="IU10" s="194"/>
      <c r="IV10" s="194"/>
    </row>
    <row r="11" spans="1:256" s="246" customFormat="1">
      <c r="A11" s="200" t="s">
        <v>9703</v>
      </c>
      <c r="B11" s="202">
        <v>926.03800000000001</v>
      </c>
      <c r="C11" s="198">
        <v>575.28899999999999</v>
      </c>
      <c r="D11" s="198">
        <f t="shared" si="0"/>
        <v>1.0066845270697098</v>
      </c>
      <c r="E11" s="198">
        <f t="shared" si="1"/>
        <v>1.003075744338398</v>
      </c>
      <c r="F11" s="198">
        <v>727.91</v>
      </c>
      <c r="G11" s="198">
        <f t="shared" si="2"/>
        <v>1.0033834137819837</v>
      </c>
      <c r="H11" s="201">
        <v>790.33100000000002</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194"/>
      <c r="CM11" s="194"/>
      <c r="CN11" s="194"/>
      <c r="CO11" s="194"/>
      <c r="CP11" s="194"/>
      <c r="CQ11" s="194"/>
      <c r="CR11" s="194"/>
      <c r="CS11" s="194"/>
      <c r="CT11" s="194"/>
      <c r="CU11" s="194"/>
      <c r="CV11" s="194"/>
      <c r="CW11" s="194"/>
      <c r="CX11" s="194"/>
      <c r="CY11" s="194"/>
      <c r="CZ11" s="194"/>
      <c r="DA11" s="194"/>
      <c r="DB11" s="194"/>
      <c r="DC11" s="194"/>
      <c r="DD11" s="194"/>
      <c r="DE11" s="194"/>
      <c r="DF11" s="194"/>
      <c r="DG11" s="194"/>
      <c r="DH11" s="194"/>
      <c r="DI11" s="194"/>
      <c r="DJ11" s="194"/>
      <c r="DK11" s="194"/>
      <c r="DL11" s="194"/>
      <c r="DM11" s="194"/>
      <c r="DN11" s="194"/>
      <c r="DO11" s="194"/>
      <c r="DP11" s="194"/>
      <c r="DQ11" s="194"/>
      <c r="DR11" s="194"/>
      <c r="DS11" s="194"/>
      <c r="DT11" s="194"/>
      <c r="DU11" s="194"/>
      <c r="DV11" s="194"/>
      <c r="DW11" s="194"/>
      <c r="DX11" s="194"/>
      <c r="DY11" s="194"/>
      <c r="DZ11" s="194"/>
      <c r="EA11" s="194"/>
      <c r="EB11" s="194"/>
      <c r="EC11" s="194"/>
      <c r="ED11" s="194"/>
      <c r="EE11" s="194"/>
      <c r="EF11" s="194"/>
      <c r="EG11" s="194"/>
      <c r="EH11" s="194"/>
      <c r="EI11" s="194"/>
      <c r="EJ11" s="194"/>
      <c r="EK11" s="194"/>
      <c r="EL11" s="194"/>
      <c r="EM11" s="194"/>
      <c r="EN11" s="194"/>
      <c r="EO11" s="194"/>
      <c r="EP11" s="194"/>
      <c r="EQ11" s="194"/>
      <c r="ER11" s="194"/>
      <c r="ES11" s="194"/>
      <c r="ET11" s="194"/>
      <c r="EU11" s="194"/>
      <c r="EV11" s="194"/>
      <c r="EW11" s="194"/>
      <c r="EX11" s="194"/>
      <c r="EY11" s="194"/>
      <c r="EZ11" s="194"/>
      <c r="FA11" s="194"/>
      <c r="FB11" s="194"/>
      <c r="FC11" s="194"/>
      <c r="FD11" s="194"/>
      <c r="FE11" s="194"/>
      <c r="FF11" s="194"/>
      <c r="FG11" s="194"/>
      <c r="FH11" s="194"/>
      <c r="FI11" s="194"/>
      <c r="FJ11" s="194"/>
      <c r="FK11" s="194"/>
      <c r="FL11" s="194"/>
      <c r="FM11" s="194"/>
      <c r="FN11" s="194"/>
      <c r="FO11" s="194"/>
      <c r="FP11" s="194"/>
      <c r="FQ11" s="194"/>
      <c r="FR11" s="194"/>
      <c r="FS11" s="194"/>
      <c r="FT11" s="194"/>
      <c r="FU11" s="194"/>
      <c r="FV11" s="194"/>
      <c r="FW11" s="194"/>
      <c r="FX11" s="194"/>
      <c r="FY11" s="194"/>
      <c r="FZ11" s="194"/>
      <c r="GA11" s="194"/>
      <c r="GB11" s="194"/>
      <c r="GC11" s="194"/>
      <c r="GD11" s="194"/>
      <c r="GE11" s="194"/>
      <c r="GF11" s="194"/>
      <c r="GG11" s="194"/>
      <c r="GH11" s="194"/>
      <c r="GI11" s="194"/>
      <c r="GJ11" s="194"/>
      <c r="GK11" s="194"/>
      <c r="GL11" s="194"/>
      <c r="GM11" s="194"/>
      <c r="GN11" s="194"/>
      <c r="GO11" s="194"/>
      <c r="GP11" s="194"/>
      <c r="GQ11" s="194"/>
      <c r="GR11" s="194"/>
      <c r="GS11" s="194"/>
      <c r="GT11" s="194"/>
      <c r="GU11" s="194"/>
      <c r="GV11" s="194"/>
      <c r="GW11" s="194"/>
      <c r="GX11" s="194"/>
      <c r="GY11" s="194"/>
      <c r="GZ11" s="194"/>
      <c r="HA11" s="194"/>
      <c r="HB11" s="194"/>
      <c r="HC11" s="194"/>
      <c r="HD11" s="194"/>
      <c r="HE11" s="194"/>
      <c r="HF11" s="194"/>
      <c r="HG11" s="194"/>
      <c r="HH11" s="194"/>
      <c r="HI11" s="194"/>
      <c r="HJ11" s="194"/>
      <c r="HK11" s="194"/>
      <c r="HL11" s="194"/>
      <c r="HM11" s="194"/>
      <c r="HN11" s="194"/>
      <c r="HO11" s="194"/>
      <c r="HP11" s="194"/>
      <c r="HQ11" s="194"/>
      <c r="HR11" s="194"/>
      <c r="HS11" s="194"/>
      <c r="HT11" s="194"/>
      <c r="HU11" s="194"/>
      <c r="HV11" s="194"/>
      <c r="HW11" s="194"/>
      <c r="HX11" s="194"/>
      <c r="HY11" s="194"/>
      <c r="HZ11" s="194"/>
      <c r="IA11" s="194"/>
      <c r="IB11" s="194"/>
      <c r="IC11" s="194"/>
      <c r="ID11" s="194"/>
      <c r="IE11" s="194"/>
      <c r="IF11" s="194"/>
      <c r="IG11" s="194"/>
      <c r="IH11" s="194"/>
      <c r="II11" s="194"/>
      <c r="IJ11" s="194"/>
      <c r="IK11" s="194"/>
      <c r="IL11" s="194"/>
      <c r="IM11" s="194"/>
      <c r="IN11" s="194"/>
      <c r="IO11" s="194"/>
      <c r="IP11" s="194"/>
      <c r="IQ11" s="194"/>
      <c r="IR11" s="194"/>
      <c r="IS11" s="194"/>
      <c r="IT11" s="194"/>
      <c r="IU11" s="194"/>
      <c r="IV11" s="194"/>
    </row>
    <row r="12" spans="1:256" s="246" customFormat="1">
      <c r="A12" s="200" t="s">
        <v>9716</v>
      </c>
      <c r="B12" s="202">
        <v>926.03800000000001</v>
      </c>
      <c r="C12" s="198">
        <v>579.78399999999999</v>
      </c>
      <c r="D12" s="198">
        <f t="shared" si="0"/>
        <v>1.0078134641893031</v>
      </c>
      <c r="E12" s="198">
        <f t="shared" si="1"/>
        <v>1.00360758885027</v>
      </c>
      <c r="F12" s="198">
        <v>730.53599999999994</v>
      </c>
      <c r="G12" s="198">
        <f t="shared" si="2"/>
        <v>1.0117140792908288</v>
      </c>
      <c r="H12" s="201">
        <v>799.58900000000006</v>
      </c>
      <c r="I12" s="194"/>
      <c r="J12" s="194"/>
      <c r="K12" s="194"/>
      <c r="L12" s="194"/>
      <c r="M12" s="194"/>
      <c r="N12" s="194"/>
      <c r="O12" s="194"/>
      <c r="P12" s="194"/>
      <c r="Q12" s="194"/>
      <c r="R12" s="194"/>
      <c r="S12" s="194"/>
      <c r="T12" s="194"/>
      <c r="U12" s="194"/>
      <c r="V12" s="194"/>
      <c r="W12" s="194"/>
      <c r="X12" s="194"/>
      <c r="Y12" s="194"/>
      <c r="Z12" s="194"/>
      <c r="AA12" s="194"/>
      <c r="AB12" s="194"/>
      <c r="AC12" s="194"/>
      <c r="AD12" s="194"/>
      <c r="AE12" s="194"/>
      <c r="AF12" s="194"/>
      <c r="AG12" s="194"/>
      <c r="AH12" s="194"/>
      <c r="AI12" s="194"/>
      <c r="AJ12" s="194"/>
      <c r="AK12" s="194"/>
      <c r="AL12" s="194"/>
      <c r="AM12" s="194"/>
      <c r="AN12" s="194"/>
      <c r="AO12" s="194"/>
      <c r="AP12" s="194"/>
      <c r="AQ12" s="194"/>
      <c r="AR12" s="194"/>
      <c r="AS12" s="194"/>
      <c r="AT12" s="194"/>
      <c r="AU12" s="194"/>
      <c r="AV12" s="194"/>
      <c r="AW12" s="194"/>
      <c r="AX12" s="194"/>
      <c r="AY12" s="194"/>
      <c r="AZ12" s="194"/>
      <c r="BA12" s="194"/>
      <c r="BB12" s="194"/>
      <c r="BC12" s="194"/>
      <c r="BD12" s="194"/>
      <c r="BE12" s="194"/>
      <c r="BF12" s="194"/>
      <c r="BG12" s="194"/>
      <c r="BH12" s="194"/>
      <c r="BI12" s="194"/>
      <c r="BJ12" s="194"/>
      <c r="BK12" s="194"/>
      <c r="BL12" s="194"/>
      <c r="BM12" s="194"/>
      <c r="BN12" s="194"/>
      <c r="BO12" s="194"/>
      <c r="BP12" s="194"/>
      <c r="BQ12" s="194"/>
      <c r="BR12" s="194"/>
      <c r="BS12" s="194"/>
      <c r="BT12" s="194"/>
      <c r="BU12" s="194"/>
      <c r="BV12" s="194"/>
      <c r="BW12" s="194"/>
      <c r="BX12" s="194"/>
      <c r="BY12" s="194"/>
      <c r="BZ12" s="194"/>
      <c r="CA12" s="194"/>
      <c r="CB12" s="194"/>
      <c r="CC12" s="194"/>
      <c r="CD12" s="194"/>
      <c r="CE12" s="194"/>
      <c r="CF12" s="194"/>
      <c r="CG12" s="194"/>
      <c r="CH12" s="194"/>
      <c r="CI12" s="194"/>
      <c r="CJ12" s="194"/>
      <c r="CK12" s="194"/>
      <c r="CL12" s="194"/>
      <c r="CM12" s="194"/>
      <c r="CN12" s="194"/>
      <c r="CO12" s="194"/>
      <c r="CP12" s="194"/>
      <c r="CQ12" s="194"/>
      <c r="CR12" s="194"/>
      <c r="CS12" s="194"/>
      <c r="CT12" s="194"/>
      <c r="CU12" s="194"/>
      <c r="CV12" s="194"/>
      <c r="CW12" s="194"/>
      <c r="CX12" s="194"/>
      <c r="CY12" s="194"/>
      <c r="CZ12" s="194"/>
      <c r="DA12" s="194"/>
      <c r="DB12" s="194"/>
      <c r="DC12" s="194"/>
      <c r="DD12" s="194"/>
      <c r="DE12" s="194"/>
      <c r="DF12" s="194"/>
      <c r="DG12" s="194"/>
      <c r="DH12" s="194"/>
      <c r="DI12" s="194"/>
      <c r="DJ12" s="194"/>
      <c r="DK12" s="194"/>
      <c r="DL12" s="194"/>
      <c r="DM12" s="194"/>
      <c r="DN12" s="194"/>
      <c r="DO12" s="194"/>
      <c r="DP12" s="194"/>
      <c r="DQ12" s="194"/>
      <c r="DR12" s="194"/>
      <c r="DS12" s="194"/>
      <c r="DT12" s="194"/>
      <c r="DU12" s="194"/>
      <c r="DV12" s="194"/>
      <c r="DW12" s="194"/>
      <c r="DX12" s="194"/>
      <c r="DY12" s="194"/>
      <c r="DZ12" s="194"/>
      <c r="EA12" s="194"/>
      <c r="EB12" s="194"/>
      <c r="EC12" s="194"/>
      <c r="ED12" s="194"/>
      <c r="EE12" s="194"/>
      <c r="EF12" s="194"/>
      <c r="EG12" s="194"/>
      <c r="EH12" s="194"/>
      <c r="EI12" s="194"/>
      <c r="EJ12" s="194"/>
      <c r="EK12" s="194"/>
      <c r="EL12" s="194"/>
      <c r="EM12" s="194"/>
      <c r="EN12" s="194"/>
      <c r="EO12" s="194"/>
      <c r="EP12" s="194"/>
      <c r="EQ12" s="194"/>
      <c r="ER12" s="194"/>
      <c r="ES12" s="194"/>
      <c r="ET12" s="194"/>
      <c r="EU12" s="194"/>
      <c r="EV12" s="194"/>
      <c r="EW12" s="194"/>
      <c r="EX12" s="194"/>
      <c r="EY12" s="194"/>
      <c r="EZ12" s="194"/>
      <c r="FA12" s="194"/>
      <c r="FB12" s="194"/>
      <c r="FC12" s="194"/>
      <c r="FD12" s="194"/>
      <c r="FE12" s="194"/>
      <c r="FF12" s="194"/>
      <c r="FG12" s="194"/>
      <c r="FH12" s="194"/>
      <c r="FI12" s="194"/>
      <c r="FJ12" s="194"/>
      <c r="FK12" s="194"/>
      <c r="FL12" s="194"/>
      <c r="FM12" s="194"/>
      <c r="FN12" s="194"/>
      <c r="FO12" s="194"/>
      <c r="FP12" s="194"/>
      <c r="FQ12" s="194"/>
      <c r="FR12" s="194"/>
      <c r="FS12" s="194"/>
      <c r="FT12" s="194"/>
      <c r="FU12" s="194"/>
      <c r="FV12" s="194"/>
      <c r="FW12" s="194"/>
      <c r="FX12" s="194"/>
      <c r="FY12" s="194"/>
      <c r="FZ12" s="194"/>
      <c r="GA12" s="194"/>
      <c r="GB12" s="194"/>
      <c r="GC12" s="194"/>
      <c r="GD12" s="194"/>
      <c r="GE12" s="194"/>
      <c r="GF12" s="194"/>
      <c r="GG12" s="194"/>
      <c r="GH12" s="194"/>
      <c r="GI12" s="194"/>
      <c r="GJ12" s="194"/>
      <c r="GK12" s="194"/>
      <c r="GL12" s="194"/>
      <c r="GM12" s="194"/>
      <c r="GN12" s="194"/>
      <c r="GO12" s="194"/>
      <c r="GP12" s="194"/>
      <c r="GQ12" s="194"/>
      <c r="GR12" s="194"/>
      <c r="GS12" s="194"/>
      <c r="GT12" s="194"/>
      <c r="GU12" s="194"/>
      <c r="GV12" s="194"/>
      <c r="GW12" s="194"/>
      <c r="GX12" s="194"/>
      <c r="GY12" s="194"/>
      <c r="GZ12" s="194"/>
      <c r="HA12" s="194"/>
      <c r="HB12" s="194"/>
      <c r="HC12" s="194"/>
      <c r="HD12" s="194"/>
      <c r="HE12" s="194"/>
      <c r="HF12" s="194"/>
      <c r="HG12" s="194"/>
      <c r="HH12" s="194"/>
      <c r="HI12" s="194"/>
      <c r="HJ12" s="194"/>
      <c r="HK12" s="194"/>
      <c r="HL12" s="194"/>
      <c r="HM12" s="194"/>
      <c r="HN12" s="194"/>
      <c r="HO12" s="194"/>
      <c r="HP12" s="194"/>
      <c r="HQ12" s="194"/>
      <c r="HR12" s="194"/>
      <c r="HS12" s="194"/>
      <c r="HT12" s="194"/>
      <c r="HU12" s="194"/>
      <c r="HV12" s="194"/>
      <c r="HW12" s="194"/>
      <c r="HX12" s="194"/>
      <c r="HY12" s="194"/>
      <c r="HZ12" s="194"/>
      <c r="IA12" s="194"/>
      <c r="IB12" s="194"/>
      <c r="IC12" s="194"/>
      <c r="ID12" s="194"/>
      <c r="IE12" s="194"/>
      <c r="IF12" s="194"/>
      <c r="IG12" s="194"/>
      <c r="IH12" s="194"/>
      <c r="II12" s="194"/>
      <c r="IJ12" s="194"/>
      <c r="IK12" s="194"/>
      <c r="IL12" s="194"/>
      <c r="IM12" s="194"/>
      <c r="IN12" s="194"/>
      <c r="IO12" s="194"/>
      <c r="IP12" s="194"/>
      <c r="IQ12" s="194"/>
      <c r="IR12" s="194"/>
      <c r="IS12" s="194"/>
      <c r="IT12" s="194"/>
      <c r="IU12" s="194"/>
      <c r="IV12" s="194"/>
    </row>
    <row r="13" spans="1:256" s="247" customFormat="1">
      <c r="A13" s="200" t="s">
        <v>11579</v>
      </c>
      <c r="B13" s="202">
        <v>926.03800000000001</v>
      </c>
      <c r="C13" s="198">
        <v>588.21100000000001</v>
      </c>
      <c r="D13" s="198">
        <f t="shared" si="0"/>
        <v>1.0145347232762547</v>
      </c>
      <c r="E13" s="198">
        <f t="shared" si="1"/>
        <v>1.0067402564692227</v>
      </c>
      <c r="F13" s="198">
        <v>735.46</v>
      </c>
      <c r="G13" s="198">
        <f t="shared" si="2"/>
        <v>1.0072124553989612</v>
      </c>
      <c r="H13" s="201">
        <v>805.35599999999999</v>
      </c>
      <c r="I13" s="194"/>
      <c r="J13" s="194"/>
      <c r="K13" s="194"/>
      <c r="L13" s="194"/>
      <c r="M13" s="194"/>
      <c r="N13" s="194"/>
      <c r="O13" s="194"/>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N13" s="194"/>
      <c r="AO13" s="194"/>
      <c r="AP13" s="194"/>
      <c r="AQ13" s="194"/>
      <c r="AR13" s="194"/>
      <c r="AS13" s="194"/>
      <c r="AT13" s="194"/>
      <c r="AU13" s="194"/>
      <c r="AV13" s="194"/>
      <c r="AW13" s="194"/>
      <c r="AX13" s="194"/>
      <c r="AY13" s="194"/>
      <c r="AZ13" s="194"/>
      <c r="BA13" s="194"/>
      <c r="BB13" s="194"/>
      <c r="BC13" s="194"/>
      <c r="BD13" s="194"/>
      <c r="BE13" s="194"/>
      <c r="BF13" s="194"/>
      <c r="BG13" s="194"/>
      <c r="BH13" s="194"/>
      <c r="BI13" s="194"/>
      <c r="BJ13" s="194"/>
      <c r="BK13" s="194"/>
      <c r="BL13" s="194"/>
      <c r="BM13" s="194"/>
      <c r="BN13" s="194"/>
      <c r="BO13" s="194"/>
      <c r="BP13" s="194"/>
      <c r="BQ13" s="194"/>
      <c r="BR13" s="194"/>
      <c r="BS13" s="194"/>
      <c r="BT13" s="194"/>
      <c r="BU13" s="194"/>
      <c r="BV13" s="194"/>
      <c r="BW13" s="194"/>
      <c r="BX13" s="194"/>
      <c r="BY13" s="194"/>
      <c r="BZ13" s="194"/>
      <c r="CA13" s="194"/>
      <c r="CB13" s="194"/>
      <c r="CC13" s="194"/>
      <c r="CD13" s="194"/>
      <c r="CE13" s="194"/>
      <c r="CF13" s="194"/>
      <c r="CG13" s="194"/>
      <c r="CH13" s="194"/>
      <c r="CI13" s="194"/>
      <c r="CJ13" s="194"/>
      <c r="CK13" s="194"/>
      <c r="CL13" s="194"/>
      <c r="CM13" s="194"/>
      <c r="CN13" s="194"/>
      <c r="CO13" s="194"/>
      <c r="CP13" s="194"/>
      <c r="CQ13" s="194"/>
      <c r="CR13" s="194"/>
      <c r="CS13" s="194"/>
      <c r="CT13" s="194"/>
      <c r="CU13" s="194"/>
      <c r="CV13" s="194"/>
      <c r="CW13" s="194"/>
      <c r="CX13" s="194"/>
      <c r="CY13" s="194"/>
      <c r="CZ13" s="194"/>
      <c r="DA13" s="194"/>
      <c r="DB13" s="194"/>
      <c r="DC13" s="194"/>
      <c r="DD13" s="194"/>
      <c r="DE13" s="194"/>
      <c r="DF13" s="194"/>
      <c r="DG13" s="194"/>
      <c r="DH13" s="194"/>
      <c r="DI13" s="194"/>
      <c r="DJ13" s="194"/>
      <c r="DK13" s="194"/>
      <c r="DL13" s="194"/>
      <c r="DM13" s="194"/>
      <c r="DN13" s="194"/>
      <c r="DO13" s="194"/>
      <c r="DP13" s="194"/>
      <c r="DQ13" s="194"/>
      <c r="DR13" s="194"/>
      <c r="DS13" s="194"/>
      <c r="DT13" s="194"/>
      <c r="DU13" s="194"/>
      <c r="DV13" s="194"/>
      <c r="DW13" s="194"/>
      <c r="DX13" s="194"/>
      <c r="DY13" s="194"/>
      <c r="DZ13" s="194"/>
      <c r="EA13" s="194"/>
      <c r="EB13" s="194"/>
      <c r="EC13" s="194"/>
      <c r="ED13" s="194"/>
      <c r="EE13" s="194"/>
      <c r="EF13" s="194"/>
      <c r="EG13" s="194"/>
      <c r="EH13" s="194"/>
      <c r="EI13" s="194"/>
      <c r="EJ13" s="194"/>
      <c r="EK13" s="194"/>
      <c r="EL13" s="194"/>
      <c r="EM13" s="194"/>
      <c r="EN13" s="194"/>
      <c r="EO13" s="194"/>
      <c r="EP13" s="194"/>
      <c r="EQ13" s="194"/>
      <c r="ER13" s="194"/>
      <c r="ES13" s="194"/>
      <c r="ET13" s="194"/>
      <c r="EU13" s="194"/>
      <c r="EV13" s="194"/>
      <c r="EW13" s="194"/>
      <c r="EX13" s="194"/>
      <c r="EY13" s="194"/>
      <c r="EZ13" s="194"/>
      <c r="FA13" s="194"/>
      <c r="FB13" s="194"/>
      <c r="FC13" s="194"/>
      <c r="FD13" s="194"/>
      <c r="FE13" s="194"/>
      <c r="FF13" s="194"/>
      <c r="FG13" s="194"/>
      <c r="FH13" s="194"/>
      <c r="FI13" s="194"/>
      <c r="FJ13" s="194"/>
      <c r="FK13" s="194"/>
      <c r="FL13" s="194"/>
      <c r="FM13" s="194"/>
      <c r="FN13" s="194"/>
      <c r="FO13" s="194"/>
      <c r="FP13" s="194"/>
      <c r="FQ13" s="194"/>
      <c r="FR13" s="194"/>
      <c r="FS13" s="194"/>
      <c r="FT13" s="194"/>
      <c r="FU13" s="194"/>
      <c r="FV13" s="194"/>
      <c r="FW13" s="194"/>
      <c r="FX13" s="194"/>
      <c r="FY13" s="194"/>
      <c r="FZ13" s="194"/>
      <c r="GA13" s="194"/>
      <c r="GB13" s="194"/>
      <c r="GC13" s="194"/>
      <c r="GD13" s="194"/>
      <c r="GE13" s="194"/>
      <c r="GF13" s="194"/>
      <c r="GG13" s="194"/>
      <c r="GH13" s="194"/>
      <c r="GI13" s="194"/>
      <c r="GJ13" s="194"/>
      <c r="GK13" s="194"/>
      <c r="GL13" s="194"/>
      <c r="GM13" s="194"/>
      <c r="GN13" s="194"/>
      <c r="GO13" s="194"/>
      <c r="GP13" s="194"/>
      <c r="GQ13" s="194"/>
      <c r="GR13" s="194"/>
      <c r="GS13" s="194"/>
      <c r="GT13" s="194"/>
      <c r="GU13" s="194"/>
      <c r="GV13" s="194"/>
      <c r="GW13" s="194"/>
      <c r="GX13" s="194"/>
      <c r="GY13" s="194"/>
      <c r="GZ13" s="194"/>
      <c r="HA13" s="194"/>
      <c r="HB13" s="194"/>
      <c r="HC13" s="194"/>
      <c r="HD13" s="194"/>
      <c r="HE13" s="194"/>
      <c r="HF13" s="194"/>
      <c r="HG13" s="194"/>
      <c r="HH13" s="194"/>
      <c r="HI13" s="194"/>
      <c r="HJ13" s="194"/>
      <c r="HK13" s="194"/>
      <c r="HL13" s="194"/>
      <c r="HM13" s="194"/>
      <c r="HN13" s="194"/>
      <c r="HO13" s="194"/>
      <c r="HP13" s="194"/>
      <c r="HQ13" s="194"/>
      <c r="HR13" s="194"/>
      <c r="HS13" s="194"/>
      <c r="HT13" s="194"/>
      <c r="HU13" s="194"/>
      <c r="HV13" s="194"/>
      <c r="HW13" s="194"/>
      <c r="HX13" s="194"/>
      <c r="HY13" s="194"/>
      <c r="HZ13" s="194"/>
      <c r="IA13" s="194"/>
      <c r="IB13" s="194"/>
      <c r="IC13" s="194"/>
      <c r="ID13" s="194"/>
      <c r="IE13" s="194"/>
      <c r="IF13" s="194"/>
      <c r="IG13" s="194"/>
      <c r="IH13" s="194"/>
      <c r="II13" s="194"/>
      <c r="IJ13" s="194"/>
      <c r="IK13" s="194"/>
      <c r="IL13" s="194"/>
      <c r="IM13" s="194"/>
      <c r="IN13" s="194"/>
      <c r="IO13" s="194"/>
      <c r="IP13" s="194"/>
      <c r="IQ13" s="194"/>
      <c r="IR13" s="194"/>
      <c r="IS13" s="194"/>
      <c r="IT13" s="194"/>
      <c r="IU13" s="194"/>
      <c r="IV13" s="194"/>
    </row>
    <row r="14" spans="1:256" s="249" customFormat="1" ht="15.75" thickBot="1">
      <c r="A14" s="250" t="s">
        <v>11580</v>
      </c>
      <c r="B14" s="251">
        <v>926.03800000000001</v>
      </c>
      <c r="C14" s="252">
        <v>599.20699999999999</v>
      </c>
      <c r="D14" s="252">
        <f t="shared" si="0"/>
        <v>1.0186939720610462</v>
      </c>
      <c r="E14" s="252">
        <f t="shared" si="1"/>
        <v>1.0087346694585702</v>
      </c>
      <c r="F14" s="252">
        <v>741.88400000000001</v>
      </c>
      <c r="G14" s="252">
        <f t="shared" si="2"/>
        <v>1.0116035641380954</v>
      </c>
      <c r="H14" s="253">
        <v>814.70100000000002</v>
      </c>
      <c r="I14" s="194"/>
      <c r="J14" s="194"/>
      <c r="K14" s="194"/>
      <c r="L14" s="194"/>
      <c r="M14" s="194"/>
      <c r="N14" s="194"/>
      <c r="O14" s="194"/>
      <c r="P14" s="194"/>
      <c r="Q14" s="194"/>
      <c r="R14" s="194"/>
      <c r="S14" s="194"/>
      <c r="T14" s="194"/>
      <c r="U14" s="194"/>
      <c r="V14" s="194"/>
      <c r="W14" s="194"/>
      <c r="X14" s="194"/>
      <c r="Y14" s="194"/>
      <c r="Z14" s="194"/>
      <c r="AA14" s="194"/>
      <c r="AB14" s="194"/>
      <c r="AC14" s="194"/>
      <c r="AD14" s="194"/>
      <c r="AE14" s="194"/>
      <c r="AF14" s="194"/>
      <c r="AG14" s="194"/>
      <c r="AH14" s="194"/>
      <c r="AI14" s="194"/>
      <c r="AJ14" s="194"/>
      <c r="AK14" s="194"/>
      <c r="AL14" s="194"/>
      <c r="AM14" s="194"/>
      <c r="AN14" s="194"/>
      <c r="AO14" s="194"/>
      <c r="AP14" s="194"/>
      <c r="AQ14" s="194"/>
      <c r="AR14" s="194"/>
      <c r="AS14" s="194"/>
      <c r="AT14" s="194"/>
      <c r="AU14" s="194"/>
      <c r="AV14" s="194"/>
      <c r="AW14" s="194"/>
      <c r="AX14" s="194"/>
      <c r="AY14" s="194"/>
      <c r="AZ14" s="194"/>
      <c r="BA14" s="194"/>
      <c r="BB14" s="194"/>
      <c r="BC14" s="194"/>
      <c r="BD14" s="194"/>
      <c r="BE14" s="194"/>
      <c r="BF14" s="194"/>
      <c r="BG14" s="194"/>
      <c r="BH14" s="194"/>
      <c r="BI14" s="194"/>
      <c r="BJ14" s="194"/>
      <c r="BK14" s="194"/>
      <c r="BL14" s="194"/>
      <c r="BM14" s="194"/>
      <c r="BN14" s="194"/>
      <c r="BO14" s="194"/>
      <c r="BP14" s="194"/>
      <c r="BQ14" s="194"/>
      <c r="BR14" s="194"/>
      <c r="BS14" s="194"/>
      <c r="BT14" s="194"/>
      <c r="BU14" s="194"/>
      <c r="BV14" s="194"/>
      <c r="BW14" s="194"/>
      <c r="BX14" s="194"/>
      <c r="BY14" s="194"/>
      <c r="BZ14" s="194"/>
      <c r="CA14" s="194"/>
      <c r="CB14" s="194"/>
      <c r="CC14" s="194"/>
      <c r="CD14" s="194"/>
      <c r="CE14" s="194"/>
      <c r="CF14" s="194"/>
      <c r="CG14" s="194"/>
      <c r="CH14" s="194"/>
      <c r="CI14" s="194"/>
      <c r="CJ14" s="194"/>
      <c r="CK14" s="194"/>
      <c r="CL14" s="194"/>
      <c r="CM14" s="194"/>
      <c r="CN14" s="194"/>
      <c r="CO14" s="194"/>
      <c r="CP14" s="194"/>
      <c r="CQ14" s="194"/>
      <c r="CR14" s="194"/>
      <c r="CS14" s="194"/>
      <c r="CT14" s="194"/>
      <c r="CU14" s="194"/>
      <c r="CV14" s="194"/>
      <c r="CW14" s="194"/>
      <c r="CX14" s="194"/>
      <c r="CY14" s="194"/>
      <c r="CZ14" s="194"/>
      <c r="DA14" s="194"/>
      <c r="DB14" s="194"/>
      <c r="DC14" s="194"/>
      <c r="DD14" s="194"/>
      <c r="DE14" s="194"/>
      <c r="DF14" s="194"/>
      <c r="DG14" s="194"/>
      <c r="DH14" s="194"/>
      <c r="DI14" s="194"/>
      <c r="DJ14" s="194"/>
      <c r="DK14" s="194"/>
      <c r="DL14" s="194"/>
      <c r="DM14" s="194"/>
      <c r="DN14" s="194"/>
      <c r="DO14" s="194"/>
      <c r="DP14" s="194"/>
      <c r="DQ14" s="194"/>
      <c r="DR14" s="194"/>
      <c r="DS14" s="194"/>
      <c r="DT14" s="194"/>
      <c r="DU14" s="194"/>
      <c r="DV14" s="194"/>
      <c r="DW14" s="194"/>
      <c r="DX14" s="194"/>
      <c r="DY14" s="194"/>
      <c r="DZ14" s="194"/>
      <c r="EA14" s="194"/>
      <c r="EB14" s="194"/>
      <c r="EC14" s="194"/>
      <c r="ED14" s="194"/>
      <c r="EE14" s="194"/>
      <c r="EF14" s="194"/>
      <c r="EG14" s="194"/>
      <c r="EH14" s="194"/>
      <c r="EI14" s="194"/>
      <c r="EJ14" s="194"/>
      <c r="EK14" s="194"/>
      <c r="EL14" s="194"/>
      <c r="EM14" s="194"/>
      <c r="EN14" s="194"/>
      <c r="EO14" s="194"/>
      <c r="EP14" s="194"/>
      <c r="EQ14" s="194"/>
      <c r="ER14" s="194"/>
      <c r="ES14" s="194"/>
      <c r="ET14" s="194"/>
      <c r="EU14" s="194"/>
      <c r="EV14" s="194"/>
      <c r="EW14" s="194"/>
      <c r="EX14" s="194"/>
      <c r="EY14" s="194"/>
      <c r="EZ14" s="194"/>
      <c r="FA14" s="194"/>
      <c r="FB14" s="194"/>
      <c r="FC14" s="194"/>
      <c r="FD14" s="194"/>
      <c r="FE14" s="194"/>
      <c r="FF14" s="194"/>
      <c r="FG14" s="194"/>
      <c r="FH14" s="194"/>
      <c r="FI14" s="194"/>
      <c r="FJ14" s="194"/>
      <c r="FK14" s="194"/>
      <c r="FL14" s="194"/>
      <c r="FM14" s="194"/>
      <c r="FN14" s="194"/>
      <c r="FO14" s="194"/>
      <c r="FP14" s="194"/>
      <c r="FQ14" s="194"/>
      <c r="FR14" s="194"/>
      <c r="FS14" s="194"/>
      <c r="FT14" s="194"/>
      <c r="FU14" s="194"/>
      <c r="FV14" s="194"/>
      <c r="FW14" s="194"/>
      <c r="FX14" s="194"/>
      <c r="FY14" s="194"/>
      <c r="FZ14" s="194"/>
      <c r="GA14" s="194"/>
      <c r="GB14" s="194"/>
      <c r="GC14" s="194"/>
      <c r="GD14" s="194"/>
      <c r="GE14" s="194"/>
      <c r="GF14" s="194"/>
      <c r="GG14" s="194"/>
      <c r="GH14" s="194"/>
      <c r="GI14" s="194"/>
      <c r="GJ14" s="194"/>
      <c r="GK14" s="194"/>
      <c r="GL14" s="194"/>
      <c r="GM14" s="194"/>
      <c r="GN14" s="194"/>
      <c r="GO14" s="194"/>
      <c r="GP14" s="194"/>
      <c r="GQ14" s="194"/>
      <c r="GR14" s="194"/>
      <c r="GS14" s="194"/>
      <c r="GT14" s="194"/>
      <c r="GU14" s="194"/>
      <c r="GV14" s="194"/>
      <c r="GW14" s="194"/>
      <c r="GX14" s="194"/>
      <c r="GY14" s="194"/>
      <c r="GZ14" s="194"/>
      <c r="HA14" s="194"/>
      <c r="HB14" s="194"/>
      <c r="HC14" s="194"/>
      <c r="HD14" s="194"/>
      <c r="HE14" s="194"/>
      <c r="HF14" s="194"/>
      <c r="HG14" s="194"/>
      <c r="HH14" s="194"/>
      <c r="HI14" s="194"/>
      <c r="HJ14" s="194"/>
      <c r="HK14" s="194"/>
      <c r="HL14" s="194"/>
      <c r="HM14" s="194"/>
      <c r="HN14" s="194"/>
      <c r="HO14" s="194"/>
      <c r="HP14" s="194"/>
      <c r="HQ14" s="194"/>
      <c r="HR14" s="194"/>
      <c r="HS14" s="194"/>
      <c r="HT14" s="194"/>
      <c r="HU14" s="194"/>
      <c r="HV14" s="194"/>
      <c r="HW14" s="194"/>
      <c r="HX14" s="194"/>
      <c r="HY14" s="194"/>
      <c r="HZ14" s="194"/>
      <c r="IA14" s="194"/>
      <c r="IB14" s="194"/>
      <c r="IC14" s="194"/>
      <c r="ID14" s="194"/>
      <c r="IE14" s="194"/>
      <c r="IF14" s="194"/>
      <c r="IG14" s="194"/>
      <c r="IH14" s="194"/>
      <c r="II14" s="194"/>
      <c r="IJ14" s="194"/>
      <c r="IK14" s="194"/>
      <c r="IL14" s="194"/>
      <c r="IM14" s="194"/>
      <c r="IN14" s="194"/>
      <c r="IO14" s="194"/>
      <c r="IP14" s="194"/>
      <c r="IQ14" s="194"/>
      <c r="IR14" s="194"/>
      <c r="IS14" s="194"/>
      <c r="IT14" s="194"/>
      <c r="IU14" s="194"/>
      <c r="IV14" s="194"/>
    </row>
    <row r="15" spans="1:256" ht="15.75" thickBot="1">
      <c r="A15" s="203"/>
      <c r="B15" s="203"/>
      <c r="C15" s="203"/>
      <c r="D15" s="203"/>
      <c r="E15" s="203"/>
      <c r="F15" s="203"/>
      <c r="G15" s="203"/>
    </row>
    <row r="16" spans="1:256" ht="15.75" thickBot="1">
      <c r="A16" s="858" t="s">
        <v>9704</v>
      </c>
      <c r="B16" s="859"/>
      <c r="C16" s="858" t="s">
        <v>11</v>
      </c>
      <c r="D16" s="859"/>
      <c r="E16" s="858" t="s">
        <v>3259</v>
      </c>
      <c r="F16" s="859"/>
      <c r="G16" s="858" t="s">
        <v>9705</v>
      </c>
      <c r="H16" s="859"/>
    </row>
    <row r="17" spans="1:10" ht="28.5">
      <c r="A17" s="204" t="s">
        <v>9706</v>
      </c>
      <c r="B17" s="205" t="s">
        <v>9707</v>
      </c>
      <c r="C17" s="204" t="s">
        <v>9706</v>
      </c>
      <c r="D17" s="205" t="s">
        <v>9707</v>
      </c>
      <c r="E17" s="204" t="s">
        <v>9706</v>
      </c>
      <c r="F17" s="205" t="s">
        <v>9707</v>
      </c>
      <c r="G17" s="204" t="s">
        <v>9706</v>
      </c>
      <c r="H17" s="205" t="s">
        <v>9707</v>
      </c>
    </row>
    <row r="18" spans="1:10">
      <c r="A18" s="206"/>
      <c r="B18" s="207"/>
      <c r="C18" s="206">
        <f>PRODUCT(D11)</f>
        <v>1.0066845270697098</v>
      </c>
      <c r="D18" s="207"/>
      <c r="E18" s="208">
        <f>PRODUCT(E11)</f>
        <v>1.003075744338398</v>
      </c>
      <c r="F18" s="207"/>
      <c r="G18" s="208">
        <f>PRODUCT(G11)</f>
        <v>1.0033834137819837</v>
      </c>
      <c r="H18" s="207"/>
    </row>
    <row r="19" spans="1:10">
      <c r="A19" s="206"/>
      <c r="B19" s="207"/>
      <c r="C19" s="206"/>
      <c r="D19" s="207"/>
      <c r="E19" s="206"/>
      <c r="F19" s="207"/>
      <c r="G19" s="206"/>
      <c r="H19" s="207"/>
    </row>
    <row r="20" spans="1:10" ht="28.5">
      <c r="A20" s="209" t="s">
        <v>9708</v>
      </c>
      <c r="B20" s="205" t="s">
        <v>9709</v>
      </c>
      <c r="C20" s="209" t="s">
        <v>9708</v>
      </c>
      <c r="D20" s="205" t="s">
        <v>9709</v>
      </c>
      <c r="E20" s="209" t="s">
        <v>9708</v>
      </c>
      <c r="F20" s="205" t="s">
        <v>9709</v>
      </c>
      <c r="G20" s="209" t="s">
        <v>9708</v>
      </c>
      <c r="H20" s="205" t="s">
        <v>9709</v>
      </c>
      <c r="I20" s="210"/>
    </row>
    <row r="21" spans="1:10">
      <c r="A21" s="211">
        <f>B11/B10</f>
        <v>1</v>
      </c>
      <c r="B21" s="248" t="s">
        <v>11582</v>
      </c>
      <c r="C21" s="211">
        <f>C11/C10</f>
        <v>1.0066845270697098</v>
      </c>
      <c r="D21" s="248" t="s">
        <v>11582</v>
      </c>
      <c r="E21" s="211">
        <f>F11/F10</f>
        <v>1.003075744338398</v>
      </c>
      <c r="F21" s="248" t="s">
        <v>11582</v>
      </c>
      <c r="G21" s="211">
        <f>H11/H10</f>
        <v>1.0033834137819837</v>
      </c>
      <c r="H21" s="248" t="s">
        <v>11582</v>
      </c>
      <c r="J21" s="210"/>
    </row>
    <row r="22" spans="1:10" ht="15.75" thickBot="1">
      <c r="A22" s="855" t="s">
        <v>9710</v>
      </c>
      <c r="B22" s="856"/>
      <c r="C22" s="855" t="s">
        <v>9711</v>
      </c>
      <c r="D22" s="856"/>
      <c r="E22" s="855" t="s">
        <v>9712</v>
      </c>
      <c r="F22" s="856"/>
      <c r="G22" s="855" t="s">
        <v>9713</v>
      </c>
      <c r="H22" s="856"/>
      <c r="J22" s="210"/>
    </row>
    <row r="23" spans="1:10" ht="15.75" thickBot="1">
      <c r="A23" s="203"/>
      <c r="B23" s="203"/>
      <c r="C23" s="203"/>
      <c r="D23" s="203"/>
      <c r="E23" s="203"/>
      <c r="F23" s="203"/>
      <c r="G23" s="203"/>
    </row>
    <row r="24" spans="1:10" ht="15.75" thickBot="1">
      <c r="A24" s="858" t="s">
        <v>9704</v>
      </c>
      <c r="B24" s="859"/>
      <c r="C24" s="858" t="s">
        <v>11</v>
      </c>
      <c r="D24" s="859"/>
      <c r="E24" s="858" t="s">
        <v>3259</v>
      </c>
      <c r="F24" s="859"/>
      <c r="G24" s="858" t="s">
        <v>9705</v>
      </c>
      <c r="H24" s="859"/>
    </row>
    <row r="25" spans="1:10" ht="28.5">
      <c r="A25" s="204" t="s">
        <v>9706</v>
      </c>
      <c r="B25" s="205" t="s">
        <v>9707</v>
      </c>
      <c r="C25" s="204" t="s">
        <v>9706</v>
      </c>
      <c r="D25" s="205" t="s">
        <v>9707</v>
      </c>
      <c r="E25" s="204" t="s">
        <v>9706</v>
      </c>
      <c r="F25" s="205" t="s">
        <v>9707</v>
      </c>
      <c r="G25" s="204" t="s">
        <v>9706</v>
      </c>
      <c r="H25" s="205" t="s">
        <v>9707</v>
      </c>
    </row>
    <row r="26" spans="1:10">
      <c r="A26" s="206"/>
      <c r="B26" s="207"/>
      <c r="C26" s="206">
        <f>PRODUCT(D11:D12)</f>
        <v>1.0145502205718944</v>
      </c>
      <c r="D26" s="207"/>
      <c r="E26" s="208">
        <f>PRODUCT(E11:E12)</f>
        <v>1.0066944292096496</v>
      </c>
      <c r="F26" s="207"/>
      <c r="G26" s="208">
        <f>PRODUCT(G11:G12)</f>
        <v>1.0151371266501283</v>
      </c>
      <c r="H26" s="207"/>
    </row>
    <row r="27" spans="1:10">
      <c r="A27" s="206"/>
      <c r="B27" s="207"/>
      <c r="C27" s="206"/>
      <c r="D27" s="207"/>
      <c r="E27" s="206"/>
      <c r="F27" s="207"/>
      <c r="G27" s="206"/>
      <c r="H27" s="207"/>
    </row>
    <row r="28" spans="1:10" ht="28.5">
      <c r="A28" s="209" t="s">
        <v>9708</v>
      </c>
      <c r="B28" s="205" t="s">
        <v>9709</v>
      </c>
      <c r="C28" s="209" t="s">
        <v>9708</v>
      </c>
      <c r="D28" s="205" t="s">
        <v>9709</v>
      </c>
      <c r="E28" s="209" t="s">
        <v>9708</v>
      </c>
      <c r="F28" s="205" t="s">
        <v>9709</v>
      </c>
      <c r="G28" s="209" t="s">
        <v>9708</v>
      </c>
      <c r="H28" s="205" t="s">
        <v>9709</v>
      </c>
      <c r="I28" s="210"/>
    </row>
    <row r="29" spans="1:10">
      <c r="A29" s="211">
        <f>B12/B10</f>
        <v>1</v>
      </c>
      <c r="B29" s="248" t="s">
        <v>11583</v>
      </c>
      <c r="C29" s="211">
        <f>C12/C10</f>
        <v>1.0145502205718944</v>
      </c>
      <c r="D29" s="248" t="s">
        <v>11583</v>
      </c>
      <c r="E29" s="211">
        <f>F12/F10</f>
        <v>1.0066944292096494</v>
      </c>
      <c r="F29" s="248" t="s">
        <v>11583</v>
      </c>
      <c r="G29" s="211">
        <f>H12/H10</f>
        <v>1.0151371266501283</v>
      </c>
      <c r="H29" s="248" t="s">
        <v>11583</v>
      </c>
      <c r="J29" s="210"/>
    </row>
    <row r="30" spans="1:10" ht="15.75" thickBot="1">
      <c r="A30" s="855" t="s">
        <v>9710</v>
      </c>
      <c r="B30" s="856"/>
      <c r="C30" s="855" t="s">
        <v>9711</v>
      </c>
      <c r="D30" s="856"/>
      <c r="E30" s="855" t="s">
        <v>9712</v>
      </c>
      <c r="F30" s="856"/>
      <c r="G30" s="855" t="s">
        <v>9713</v>
      </c>
      <c r="H30" s="856"/>
      <c r="J30" s="210"/>
    </row>
    <row r="31" spans="1:10" ht="15.75" thickBot="1">
      <c r="A31" s="203"/>
      <c r="B31" s="203"/>
      <c r="C31" s="203"/>
      <c r="D31" s="203"/>
      <c r="E31" s="203"/>
      <c r="F31" s="203"/>
      <c r="G31" s="203"/>
    </row>
    <row r="32" spans="1:10" ht="15.75" thickBot="1">
      <c r="A32" s="858" t="s">
        <v>9704</v>
      </c>
      <c r="B32" s="859"/>
      <c r="C32" s="858" t="s">
        <v>11</v>
      </c>
      <c r="D32" s="859"/>
      <c r="E32" s="858" t="s">
        <v>3259</v>
      </c>
      <c r="F32" s="859"/>
      <c r="G32" s="858" t="s">
        <v>9705</v>
      </c>
      <c r="H32" s="859"/>
    </row>
    <row r="33" spans="1:10" ht="28.5">
      <c r="A33" s="204" t="s">
        <v>9706</v>
      </c>
      <c r="B33" s="205" t="s">
        <v>9707</v>
      </c>
      <c r="C33" s="204" t="s">
        <v>9706</v>
      </c>
      <c r="D33" s="205" t="s">
        <v>9707</v>
      </c>
      <c r="E33" s="204" t="s">
        <v>9706</v>
      </c>
      <c r="F33" s="205" t="s">
        <v>9707</v>
      </c>
      <c r="G33" s="204" t="s">
        <v>9706</v>
      </c>
      <c r="H33" s="205" t="s">
        <v>9707</v>
      </c>
    </row>
    <row r="34" spans="1:10">
      <c r="A34" s="206"/>
      <c r="B34" s="207"/>
      <c r="C34" s="206">
        <f>PRODUCT(D11:D13)</f>
        <v>1.02929642727777</v>
      </c>
      <c r="D34" s="207"/>
      <c r="E34" s="208">
        <f>PRODUCT(E11:E13)</f>
        <v>1.0134798078486604</v>
      </c>
      <c r="F34" s="207"/>
      <c r="G34" s="208">
        <f>PRODUCT(G11:G13)</f>
        <v>1.022458757899922</v>
      </c>
      <c r="H34" s="207"/>
    </row>
    <row r="35" spans="1:10">
      <c r="A35" s="206"/>
      <c r="B35" s="207"/>
      <c r="C35" s="206"/>
      <c r="D35" s="207"/>
      <c r="E35" s="206"/>
      <c r="F35" s="207"/>
      <c r="G35" s="206"/>
      <c r="H35" s="207"/>
    </row>
    <row r="36" spans="1:10" ht="28.5">
      <c r="A36" s="209" t="s">
        <v>9708</v>
      </c>
      <c r="B36" s="205" t="s">
        <v>9709</v>
      </c>
      <c r="C36" s="209" t="s">
        <v>9708</v>
      </c>
      <c r="D36" s="205" t="s">
        <v>9709</v>
      </c>
      <c r="E36" s="209" t="s">
        <v>9708</v>
      </c>
      <c r="F36" s="205" t="s">
        <v>9709</v>
      </c>
      <c r="G36" s="209" t="s">
        <v>9708</v>
      </c>
      <c r="H36" s="205" t="s">
        <v>9709</v>
      </c>
      <c r="I36" s="210"/>
    </row>
    <row r="37" spans="1:10">
      <c r="A37" s="211">
        <f>B13/B10</f>
        <v>1</v>
      </c>
      <c r="B37" s="248" t="s">
        <v>11584</v>
      </c>
      <c r="C37" s="211">
        <f>C13/C10</f>
        <v>1.02929642727777</v>
      </c>
      <c r="D37" s="248" t="s">
        <v>11584</v>
      </c>
      <c r="E37" s="211">
        <f>F13/F10</f>
        <v>1.0134798078486602</v>
      </c>
      <c r="F37" s="248" t="s">
        <v>11584</v>
      </c>
      <c r="G37" s="211">
        <f>H13/H10</f>
        <v>1.022458757899922</v>
      </c>
      <c r="H37" s="248" t="s">
        <v>11584</v>
      </c>
      <c r="J37" s="210"/>
    </row>
    <row r="38" spans="1:10" ht="15.75" thickBot="1">
      <c r="A38" s="855" t="s">
        <v>9710</v>
      </c>
      <c r="B38" s="856"/>
      <c r="C38" s="855" t="s">
        <v>9711</v>
      </c>
      <c r="D38" s="856"/>
      <c r="E38" s="855" t="s">
        <v>9712</v>
      </c>
      <c r="F38" s="856"/>
      <c r="G38" s="855" t="s">
        <v>9713</v>
      </c>
      <c r="H38" s="856"/>
      <c r="J38" s="210"/>
    </row>
    <row r="39" spans="1:10" ht="15.75" thickBot="1">
      <c r="A39" s="203"/>
      <c r="B39" s="203"/>
      <c r="C39" s="203"/>
      <c r="D39" s="203"/>
      <c r="E39" s="203"/>
      <c r="F39" s="203"/>
      <c r="G39" s="203"/>
    </row>
    <row r="40" spans="1:10" ht="15.75" thickBot="1">
      <c r="A40" s="858" t="s">
        <v>9704</v>
      </c>
      <c r="B40" s="859"/>
      <c r="C40" s="858" t="s">
        <v>11</v>
      </c>
      <c r="D40" s="859"/>
      <c r="E40" s="858" t="s">
        <v>3259</v>
      </c>
      <c r="F40" s="859"/>
      <c r="G40" s="858" t="s">
        <v>9705</v>
      </c>
      <c r="H40" s="859"/>
    </row>
    <row r="41" spans="1:10" ht="28.5">
      <c r="A41" s="204" t="s">
        <v>9706</v>
      </c>
      <c r="B41" s="205" t="s">
        <v>9707</v>
      </c>
      <c r="C41" s="204" t="s">
        <v>9706</v>
      </c>
      <c r="D41" s="205" t="s">
        <v>9707</v>
      </c>
      <c r="E41" s="204" t="s">
        <v>9706</v>
      </c>
      <c r="F41" s="205" t="s">
        <v>9707</v>
      </c>
      <c r="G41" s="204" t="s">
        <v>9706</v>
      </c>
      <c r="H41" s="205" t="s">
        <v>9707</v>
      </c>
    </row>
    <row r="42" spans="1:10">
      <c r="A42" s="206"/>
      <c r="B42" s="207"/>
      <c r="C42" s="206">
        <f>PRODUCT(D11:D14)</f>
        <v>1.0485380659318353</v>
      </c>
      <c r="D42" s="207"/>
      <c r="E42" s="208">
        <f>PRODUCT(E11:E14)</f>
        <v>1.0223322189731536</v>
      </c>
      <c r="F42" s="207"/>
      <c r="G42" s="208">
        <f>PRODUCT(G11:G14)</f>
        <v>1.0343229236757712</v>
      </c>
      <c r="H42" s="207"/>
    </row>
    <row r="43" spans="1:10">
      <c r="A43" s="206"/>
      <c r="B43" s="207"/>
      <c r="C43" s="206"/>
      <c r="D43" s="207"/>
      <c r="E43" s="206"/>
      <c r="F43" s="207"/>
      <c r="G43" s="206"/>
      <c r="H43" s="207"/>
    </row>
    <row r="44" spans="1:10" ht="28.5">
      <c r="A44" s="209" t="s">
        <v>9708</v>
      </c>
      <c r="B44" s="205" t="s">
        <v>9709</v>
      </c>
      <c r="C44" s="209" t="s">
        <v>9708</v>
      </c>
      <c r="D44" s="205" t="s">
        <v>9709</v>
      </c>
      <c r="E44" s="209" t="s">
        <v>9708</v>
      </c>
      <c r="F44" s="205" t="s">
        <v>9709</v>
      </c>
      <c r="G44" s="209" t="s">
        <v>9708</v>
      </c>
      <c r="H44" s="205" t="s">
        <v>9709</v>
      </c>
      <c r="I44" s="210"/>
    </row>
    <row r="45" spans="1:10">
      <c r="A45" s="211">
        <f>B14/B10</f>
        <v>1</v>
      </c>
      <c r="B45" s="248" t="s">
        <v>11581</v>
      </c>
      <c r="C45" s="211">
        <f>C14/C10</f>
        <v>1.0485380659318353</v>
      </c>
      <c r="D45" s="248" t="s">
        <v>11581</v>
      </c>
      <c r="E45" s="211">
        <f>F14/F10</f>
        <v>1.0223322189731534</v>
      </c>
      <c r="F45" s="248" t="s">
        <v>11581</v>
      </c>
      <c r="G45" s="211">
        <f>H14/H10</f>
        <v>1.0343229236757712</v>
      </c>
      <c r="H45" s="248" t="s">
        <v>11581</v>
      </c>
      <c r="J45" s="210"/>
    </row>
    <row r="46" spans="1:10" ht="15.75" thickBot="1">
      <c r="A46" s="855" t="s">
        <v>9710</v>
      </c>
      <c r="B46" s="856"/>
      <c r="C46" s="855" t="s">
        <v>9711</v>
      </c>
      <c r="D46" s="856"/>
      <c r="E46" s="855" t="s">
        <v>9712</v>
      </c>
      <c r="F46" s="856"/>
      <c r="G46" s="855" t="s">
        <v>9713</v>
      </c>
      <c r="H46" s="856"/>
      <c r="J46" s="210"/>
    </row>
    <row r="47" spans="1:10">
      <c r="A47" s="213"/>
      <c r="B47" s="213"/>
      <c r="C47" s="213"/>
      <c r="D47" s="213"/>
      <c r="E47" s="213"/>
      <c r="F47" s="213"/>
      <c r="G47" s="213"/>
      <c r="H47" s="213"/>
      <c r="J47" s="210"/>
    </row>
    <row r="48" spans="1:10">
      <c r="A48" s="213"/>
      <c r="B48" s="213"/>
      <c r="C48" s="213"/>
      <c r="D48" s="213"/>
      <c r="E48" s="213"/>
      <c r="F48" s="213"/>
      <c r="G48" s="213"/>
      <c r="H48" s="213"/>
      <c r="J48" s="210"/>
    </row>
    <row r="49" spans="1:10">
      <c r="A49" s="213"/>
      <c r="B49" s="213"/>
      <c r="C49" s="213"/>
      <c r="D49" s="213"/>
      <c r="E49" s="213"/>
      <c r="F49" s="213"/>
      <c r="G49" s="213"/>
      <c r="H49" s="213"/>
      <c r="J49" s="210"/>
    </row>
    <row r="50" spans="1:10" s="70" customFormat="1" ht="58.5" customHeight="1">
      <c r="A50" s="857" t="e">
        <f>'018-21-CAPA'!#REF!</f>
        <v>#REF!</v>
      </c>
      <c r="B50" s="857"/>
      <c r="C50" s="857"/>
      <c r="D50" s="857"/>
      <c r="E50" s="857"/>
      <c r="F50" s="857"/>
      <c r="G50" s="857"/>
      <c r="H50" s="857"/>
    </row>
    <row r="51" spans="1:10">
      <c r="A51" s="213"/>
      <c r="B51" s="213"/>
      <c r="C51" s="213"/>
      <c r="D51" s="213"/>
      <c r="E51" s="213"/>
      <c r="F51" s="213"/>
      <c r="G51" s="213"/>
      <c r="H51" s="213"/>
      <c r="J51" s="210"/>
    </row>
    <row r="52" spans="1:10">
      <c r="D52" s="212"/>
      <c r="H52" s="210"/>
    </row>
  </sheetData>
  <mergeCells count="35">
    <mergeCell ref="A16:B16"/>
    <mergeCell ref="C16:D16"/>
    <mergeCell ref="E16:F16"/>
    <mergeCell ref="G16:H16"/>
    <mergeCell ref="A1:H1"/>
    <mergeCell ref="A2:F2"/>
    <mergeCell ref="A22:B22"/>
    <mergeCell ref="C22:D22"/>
    <mergeCell ref="E22:F22"/>
    <mergeCell ref="G22:H22"/>
    <mergeCell ref="A24:B24"/>
    <mergeCell ref="C24:D24"/>
    <mergeCell ref="E24:F24"/>
    <mergeCell ref="G24:H24"/>
    <mergeCell ref="A30:B30"/>
    <mergeCell ref="C30:D30"/>
    <mergeCell ref="E30:F30"/>
    <mergeCell ref="G30:H30"/>
    <mergeCell ref="A32:B32"/>
    <mergeCell ref="C32:D32"/>
    <mergeCell ref="E32:F32"/>
    <mergeCell ref="G32:H32"/>
    <mergeCell ref="A38:B38"/>
    <mergeCell ref="C38:D38"/>
    <mergeCell ref="E38:F38"/>
    <mergeCell ref="G38:H38"/>
    <mergeCell ref="A50:H50"/>
    <mergeCell ref="A40:B40"/>
    <mergeCell ref="C40:D40"/>
    <mergeCell ref="E40:F40"/>
    <mergeCell ref="G40:H40"/>
    <mergeCell ref="A46:B46"/>
    <mergeCell ref="C46:D46"/>
    <mergeCell ref="E46:F46"/>
    <mergeCell ref="G46:H46"/>
  </mergeCells>
  <pageMargins left="0.51181102362204722" right="0.51181102362204722" top="0.78740157480314965" bottom="0.78740157480314965" header="0.31496062992125984" footer="0.31496062992125984"/>
  <pageSetup paperSize="9" scale="63" orientation="portrait" r:id="rId1"/>
  <headerFooter>
    <oddHeader>&amp;F</oddHeader>
    <oddFooter>Página &amp;P de &amp;N</oddFooter>
  </headerFooter>
  <legacyDrawing r:id="rId2"/>
</worksheet>
</file>

<file path=xl/worksheets/sheet15.xml><?xml version="1.0" encoding="utf-8"?>
<worksheet xmlns="http://schemas.openxmlformats.org/spreadsheetml/2006/main" xmlns:r="http://schemas.openxmlformats.org/officeDocument/2006/relationships">
  <sheetPr>
    <tabColor rgb="FFFF0000"/>
  </sheetPr>
  <dimension ref="A1:IL522"/>
  <sheetViews>
    <sheetView view="pageBreakPreview" topLeftCell="A13" zoomScaleNormal="100" zoomScaleSheetLayoutView="100" workbookViewId="0">
      <selection activeCell="L48" sqref="L48"/>
    </sheetView>
  </sheetViews>
  <sheetFormatPr defaultRowHeight="11.25"/>
  <cols>
    <col min="1" max="1" width="16.7109375" style="309" customWidth="1"/>
    <col min="2" max="2" width="62.140625" style="309" customWidth="1"/>
    <col min="3" max="3" width="20.28515625" style="309" customWidth="1"/>
    <col min="4" max="11" width="12.7109375" style="337" customWidth="1"/>
    <col min="12" max="12" width="14.28515625" style="102" customWidth="1"/>
    <col min="13" max="13" width="15.140625" style="102" customWidth="1"/>
    <col min="14" max="14" width="16.28515625" style="102" customWidth="1"/>
    <col min="15" max="248" width="9.140625" style="102"/>
    <col min="249" max="249" width="8.85546875" style="102" customWidth="1"/>
    <col min="250" max="250" width="34.140625" style="102" customWidth="1"/>
    <col min="251" max="251" width="17.7109375" style="102" bestFit="1" customWidth="1"/>
    <col min="252" max="252" width="12.28515625" style="102" customWidth="1"/>
    <col min="253" max="254" width="13" style="102" customWidth="1"/>
    <col min="255" max="255" width="12.28515625" style="102" customWidth="1"/>
    <col min="256" max="256" width="13.28515625" style="102" customWidth="1"/>
    <col min="257" max="257" width="12.28515625" style="102" customWidth="1"/>
    <col min="258" max="258" width="13.28515625" style="102" customWidth="1"/>
    <col min="259" max="259" width="12.28515625" style="102" customWidth="1"/>
    <col min="260" max="260" width="13.28515625" style="102" customWidth="1"/>
    <col min="261" max="261" width="12.28515625" style="102" customWidth="1"/>
    <col min="262" max="262" width="13.28515625" style="102" customWidth="1"/>
    <col min="263" max="263" width="12.28515625" style="102" customWidth="1"/>
    <col min="264" max="264" width="13.28515625" style="102" customWidth="1"/>
    <col min="265" max="265" width="12.28515625" style="102" customWidth="1"/>
    <col min="266" max="266" width="13.28515625" style="102" customWidth="1"/>
    <col min="267" max="267" width="12.28515625" style="102" customWidth="1"/>
    <col min="268" max="268" width="14.28515625" style="102" customWidth="1"/>
    <col min="269" max="269" width="15.140625" style="102" customWidth="1"/>
    <col min="270" max="504" width="9.140625" style="102"/>
    <col min="505" max="505" width="8.85546875" style="102" customWidth="1"/>
    <col min="506" max="506" width="34.140625" style="102" customWidth="1"/>
    <col min="507" max="507" width="17.7109375" style="102" bestFit="1" customWidth="1"/>
    <col min="508" max="508" width="12.28515625" style="102" customWidth="1"/>
    <col min="509" max="510" width="13" style="102" customWidth="1"/>
    <col min="511" max="511" width="12.28515625" style="102" customWidth="1"/>
    <col min="512" max="512" width="13.28515625" style="102" customWidth="1"/>
    <col min="513" max="513" width="12.28515625" style="102" customWidth="1"/>
    <col min="514" max="514" width="13.28515625" style="102" customWidth="1"/>
    <col min="515" max="515" width="12.28515625" style="102" customWidth="1"/>
    <col min="516" max="516" width="13.28515625" style="102" customWidth="1"/>
    <col min="517" max="517" width="12.28515625" style="102" customWidth="1"/>
    <col min="518" max="518" width="13.28515625" style="102" customWidth="1"/>
    <col min="519" max="519" width="12.28515625" style="102" customWidth="1"/>
    <col min="520" max="520" width="13.28515625" style="102" customWidth="1"/>
    <col min="521" max="521" width="12.28515625" style="102" customWidth="1"/>
    <col min="522" max="522" width="13.28515625" style="102" customWidth="1"/>
    <col min="523" max="523" width="12.28515625" style="102" customWidth="1"/>
    <col min="524" max="524" width="14.28515625" style="102" customWidth="1"/>
    <col min="525" max="525" width="15.140625" style="102" customWidth="1"/>
    <col min="526" max="760" width="9.140625" style="102"/>
    <col min="761" max="761" width="8.85546875" style="102" customWidth="1"/>
    <col min="762" max="762" width="34.140625" style="102" customWidth="1"/>
    <col min="763" max="763" width="17.7109375" style="102" bestFit="1" customWidth="1"/>
    <col min="764" max="764" width="12.28515625" style="102" customWidth="1"/>
    <col min="765" max="766" width="13" style="102" customWidth="1"/>
    <col min="767" max="767" width="12.28515625" style="102" customWidth="1"/>
    <col min="768" max="768" width="13.28515625" style="102" customWidth="1"/>
    <col min="769" max="769" width="12.28515625" style="102" customWidth="1"/>
    <col min="770" max="770" width="13.28515625" style="102" customWidth="1"/>
    <col min="771" max="771" width="12.28515625" style="102" customWidth="1"/>
    <col min="772" max="772" width="13.28515625" style="102" customWidth="1"/>
    <col min="773" max="773" width="12.28515625" style="102" customWidth="1"/>
    <col min="774" max="774" width="13.28515625" style="102" customWidth="1"/>
    <col min="775" max="775" width="12.28515625" style="102" customWidth="1"/>
    <col min="776" max="776" width="13.28515625" style="102" customWidth="1"/>
    <col min="777" max="777" width="12.28515625" style="102" customWidth="1"/>
    <col min="778" max="778" width="13.28515625" style="102" customWidth="1"/>
    <col min="779" max="779" width="12.28515625" style="102" customWidth="1"/>
    <col min="780" max="780" width="14.28515625" style="102" customWidth="1"/>
    <col min="781" max="781" width="15.140625" style="102" customWidth="1"/>
    <col min="782" max="1016" width="9.140625" style="102"/>
    <col min="1017" max="1017" width="8.85546875" style="102" customWidth="1"/>
    <col min="1018" max="1018" width="34.140625" style="102" customWidth="1"/>
    <col min="1019" max="1019" width="17.7109375" style="102" bestFit="1" customWidth="1"/>
    <col min="1020" max="1020" width="12.28515625" style="102" customWidth="1"/>
    <col min="1021" max="1022" width="13" style="102" customWidth="1"/>
    <col min="1023" max="1023" width="12.28515625" style="102" customWidth="1"/>
    <col min="1024" max="1024" width="13.28515625" style="102" customWidth="1"/>
    <col min="1025" max="1025" width="12.28515625" style="102" customWidth="1"/>
    <col min="1026" max="1026" width="13.28515625" style="102" customWidth="1"/>
    <col min="1027" max="1027" width="12.28515625" style="102" customWidth="1"/>
    <col min="1028" max="1028" width="13.28515625" style="102" customWidth="1"/>
    <col min="1029" max="1029" width="12.28515625" style="102" customWidth="1"/>
    <col min="1030" max="1030" width="13.28515625" style="102" customWidth="1"/>
    <col min="1031" max="1031" width="12.28515625" style="102" customWidth="1"/>
    <col min="1032" max="1032" width="13.28515625" style="102" customWidth="1"/>
    <col min="1033" max="1033" width="12.28515625" style="102" customWidth="1"/>
    <col min="1034" max="1034" width="13.28515625" style="102" customWidth="1"/>
    <col min="1035" max="1035" width="12.28515625" style="102" customWidth="1"/>
    <col min="1036" max="1036" width="14.28515625" style="102" customWidth="1"/>
    <col min="1037" max="1037" width="15.140625" style="102" customWidth="1"/>
    <col min="1038" max="1272" width="9.140625" style="102"/>
    <col min="1273" max="1273" width="8.85546875" style="102" customWidth="1"/>
    <col min="1274" max="1274" width="34.140625" style="102" customWidth="1"/>
    <col min="1275" max="1275" width="17.7109375" style="102" bestFit="1" customWidth="1"/>
    <col min="1276" max="1276" width="12.28515625" style="102" customWidth="1"/>
    <col min="1277" max="1278" width="13" style="102" customWidth="1"/>
    <col min="1279" max="1279" width="12.28515625" style="102" customWidth="1"/>
    <col min="1280" max="1280" width="13.28515625" style="102" customWidth="1"/>
    <col min="1281" max="1281" width="12.28515625" style="102" customWidth="1"/>
    <col min="1282" max="1282" width="13.28515625" style="102" customWidth="1"/>
    <col min="1283" max="1283" width="12.28515625" style="102" customWidth="1"/>
    <col min="1284" max="1284" width="13.28515625" style="102" customWidth="1"/>
    <col min="1285" max="1285" width="12.28515625" style="102" customWidth="1"/>
    <col min="1286" max="1286" width="13.28515625" style="102" customWidth="1"/>
    <col min="1287" max="1287" width="12.28515625" style="102" customWidth="1"/>
    <col min="1288" max="1288" width="13.28515625" style="102" customWidth="1"/>
    <col min="1289" max="1289" width="12.28515625" style="102" customWidth="1"/>
    <col min="1290" max="1290" width="13.28515625" style="102" customWidth="1"/>
    <col min="1291" max="1291" width="12.28515625" style="102" customWidth="1"/>
    <col min="1292" max="1292" width="14.28515625" style="102" customWidth="1"/>
    <col min="1293" max="1293" width="15.140625" style="102" customWidth="1"/>
    <col min="1294" max="1528" width="9.140625" style="102"/>
    <col min="1529" max="1529" width="8.85546875" style="102" customWidth="1"/>
    <col min="1530" max="1530" width="34.140625" style="102" customWidth="1"/>
    <col min="1531" max="1531" width="17.7109375" style="102" bestFit="1" customWidth="1"/>
    <col min="1532" max="1532" width="12.28515625" style="102" customWidth="1"/>
    <col min="1533" max="1534" width="13" style="102" customWidth="1"/>
    <col min="1535" max="1535" width="12.28515625" style="102" customWidth="1"/>
    <col min="1536" max="1536" width="13.28515625" style="102" customWidth="1"/>
    <col min="1537" max="1537" width="12.28515625" style="102" customWidth="1"/>
    <col min="1538" max="1538" width="13.28515625" style="102" customWidth="1"/>
    <col min="1539" max="1539" width="12.28515625" style="102" customWidth="1"/>
    <col min="1540" max="1540" width="13.28515625" style="102" customWidth="1"/>
    <col min="1541" max="1541" width="12.28515625" style="102" customWidth="1"/>
    <col min="1542" max="1542" width="13.28515625" style="102" customWidth="1"/>
    <col min="1543" max="1543" width="12.28515625" style="102" customWidth="1"/>
    <col min="1544" max="1544" width="13.28515625" style="102" customWidth="1"/>
    <col min="1545" max="1545" width="12.28515625" style="102" customWidth="1"/>
    <col min="1546" max="1546" width="13.28515625" style="102" customWidth="1"/>
    <col min="1547" max="1547" width="12.28515625" style="102" customWidth="1"/>
    <col min="1548" max="1548" width="14.28515625" style="102" customWidth="1"/>
    <col min="1549" max="1549" width="15.140625" style="102" customWidth="1"/>
    <col min="1550" max="1784" width="9.140625" style="102"/>
    <col min="1785" max="1785" width="8.85546875" style="102" customWidth="1"/>
    <col min="1786" max="1786" width="34.140625" style="102" customWidth="1"/>
    <col min="1787" max="1787" width="17.7109375" style="102" bestFit="1" customWidth="1"/>
    <col min="1788" max="1788" width="12.28515625" style="102" customWidth="1"/>
    <col min="1789" max="1790" width="13" style="102" customWidth="1"/>
    <col min="1791" max="1791" width="12.28515625" style="102" customWidth="1"/>
    <col min="1792" max="1792" width="13.28515625" style="102" customWidth="1"/>
    <col min="1793" max="1793" width="12.28515625" style="102" customWidth="1"/>
    <col min="1794" max="1794" width="13.28515625" style="102" customWidth="1"/>
    <col min="1795" max="1795" width="12.28515625" style="102" customWidth="1"/>
    <col min="1796" max="1796" width="13.28515625" style="102" customWidth="1"/>
    <col min="1797" max="1797" width="12.28515625" style="102" customWidth="1"/>
    <col min="1798" max="1798" width="13.28515625" style="102" customWidth="1"/>
    <col min="1799" max="1799" width="12.28515625" style="102" customWidth="1"/>
    <col min="1800" max="1800" width="13.28515625" style="102" customWidth="1"/>
    <col min="1801" max="1801" width="12.28515625" style="102" customWidth="1"/>
    <col min="1802" max="1802" width="13.28515625" style="102" customWidth="1"/>
    <col min="1803" max="1803" width="12.28515625" style="102" customWidth="1"/>
    <col min="1804" max="1804" width="14.28515625" style="102" customWidth="1"/>
    <col min="1805" max="1805" width="15.140625" style="102" customWidth="1"/>
    <col min="1806" max="2040" width="9.140625" style="102"/>
    <col min="2041" max="2041" width="8.85546875" style="102" customWidth="1"/>
    <col min="2042" max="2042" width="34.140625" style="102" customWidth="1"/>
    <col min="2043" max="2043" width="17.7109375" style="102" bestFit="1" customWidth="1"/>
    <col min="2044" max="2044" width="12.28515625" style="102" customWidth="1"/>
    <col min="2045" max="2046" width="13" style="102" customWidth="1"/>
    <col min="2047" max="2047" width="12.28515625" style="102" customWidth="1"/>
    <col min="2048" max="2048" width="13.28515625" style="102" customWidth="1"/>
    <col min="2049" max="2049" width="12.28515625" style="102" customWidth="1"/>
    <col min="2050" max="2050" width="13.28515625" style="102" customWidth="1"/>
    <col min="2051" max="2051" width="12.28515625" style="102" customWidth="1"/>
    <col min="2052" max="2052" width="13.28515625" style="102" customWidth="1"/>
    <col min="2053" max="2053" width="12.28515625" style="102" customWidth="1"/>
    <col min="2054" max="2054" width="13.28515625" style="102" customWidth="1"/>
    <col min="2055" max="2055" width="12.28515625" style="102" customWidth="1"/>
    <col min="2056" max="2056" width="13.28515625" style="102" customWidth="1"/>
    <col min="2057" max="2057" width="12.28515625" style="102" customWidth="1"/>
    <col min="2058" max="2058" width="13.28515625" style="102" customWidth="1"/>
    <col min="2059" max="2059" width="12.28515625" style="102" customWidth="1"/>
    <col min="2060" max="2060" width="14.28515625" style="102" customWidth="1"/>
    <col min="2061" max="2061" width="15.140625" style="102" customWidth="1"/>
    <col min="2062" max="2296" width="9.140625" style="102"/>
    <col min="2297" max="2297" width="8.85546875" style="102" customWidth="1"/>
    <col min="2298" max="2298" width="34.140625" style="102" customWidth="1"/>
    <col min="2299" max="2299" width="17.7109375" style="102" bestFit="1" customWidth="1"/>
    <col min="2300" max="2300" width="12.28515625" style="102" customWidth="1"/>
    <col min="2301" max="2302" width="13" style="102" customWidth="1"/>
    <col min="2303" max="2303" width="12.28515625" style="102" customWidth="1"/>
    <col min="2304" max="2304" width="13.28515625" style="102" customWidth="1"/>
    <col min="2305" max="2305" width="12.28515625" style="102" customWidth="1"/>
    <col min="2306" max="2306" width="13.28515625" style="102" customWidth="1"/>
    <col min="2307" max="2307" width="12.28515625" style="102" customWidth="1"/>
    <col min="2308" max="2308" width="13.28515625" style="102" customWidth="1"/>
    <col min="2309" max="2309" width="12.28515625" style="102" customWidth="1"/>
    <col min="2310" max="2310" width="13.28515625" style="102" customWidth="1"/>
    <col min="2311" max="2311" width="12.28515625" style="102" customWidth="1"/>
    <col min="2312" max="2312" width="13.28515625" style="102" customWidth="1"/>
    <col min="2313" max="2313" width="12.28515625" style="102" customWidth="1"/>
    <col min="2314" max="2314" width="13.28515625" style="102" customWidth="1"/>
    <col min="2315" max="2315" width="12.28515625" style="102" customWidth="1"/>
    <col min="2316" max="2316" width="14.28515625" style="102" customWidth="1"/>
    <col min="2317" max="2317" width="15.140625" style="102" customWidth="1"/>
    <col min="2318" max="2552" width="9.140625" style="102"/>
    <col min="2553" max="2553" width="8.85546875" style="102" customWidth="1"/>
    <col min="2554" max="2554" width="34.140625" style="102" customWidth="1"/>
    <col min="2555" max="2555" width="17.7109375" style="102" bestFit="1" customWidth="1"/>
    <col min="2556" max="2556" width="12.28515625" style="102" customWidth="1"/>
    <col min="2557" max="2558" width="13" style="102" customWidth="1"/>
    <col min="2559" max="2559" width="12.28515625" style="102" customWidth="1"/>
    <col min="2560" max="2560" width="13.28515625" style="102" customWidth="1"/>
    <col min="2561" max="2561" width="12.28515625" style="102" customWidth="1"/>
    <col min="2562" max="2562" width="13.28515625" style="102" customWidth="1"/>
    <col min="2563" max="2563" width="12.28515625" style="102" customWidth="1"/>
    <col min="2564" max="2564" width="13.28515625" style="102" customWidth="1"/>
    <col min="2565" max="2565" width="12.28515625" style="102" customWidth="1"/>
    <col min="2566" max="2566" width="13.28515625" style="102" customWidth="1"/>
    <col min="2567" max="2567" width="12.28515625" style="102" customWidth="1"/>
    <col min="2568" max="2568" width="13.28515625" style="102" customWidth="1"/>
    <col min="2569" max="2569" width="12.28515625" style="102" customWidth="1"/>
    <col min="2570" max="2570" width="13.28515625" style="102" customWidth="1"/>
    <col min="2571" max="2571" width="12.28515625" style="102" customWidth="1"/>
    <col min="2572" max="2572" width="14.28515625" style="102" customWidth="1"/>
    <col min="2573" max="2573" width="15.140625" style="102" customWidth="1"/>
    <col min="2574" max="2808" width="9.140625" style="102"/>
    <col min="2809" max="2809" width="8.85546875" style="102" customWidth="1"/>
    <col min="2810" max="2810" width="34.140625" style="102" customWidth="1"/>
    <col min="2811" max="2811" width="17.7109375" style="102" bestFit="1" customWidth="1"/>
    <col min="2812" max="2812" width="12.28515625" style="102" customWidth="1"/>
    <col min="2813" max="2814" width="13" style="102" customWidth="1"/>
    <col min="2815" max="2815" width="12.28515625" style="102" customWidth="1"/>
    <col min="2816" max="2816" width="13.28515625" style="102" customWidth="1"/>
    <col min="2817" max="2817" width="12.28515625" style="102" customWidth="1"/>
    <col min="2818" max="2818" width="13.28515625" style="102" customWidth="1"/>
    <col min="2819" max="2819" width="12.28515625" style="102" customWidth="1"/>
    <col min="2820" max="2820" width="13.28515625" style="102" customWidth="1"/>
    <col min="2821" max="2821" width="12.28515625" style="102" customWidth="1"/>
    <col min="2822" max="2822" width="13.28515625" style="102" customWidth="1"/>
    <col min="2823" max="2823" width="12.28515625" style="102" customWidth="1"/>
    <col min="2824" max="2824" width="13.28515625" style="102" customWidth="1"/>
    <col min="2825" max="2825" width="12.28515625" style="102" customWidth="1"/>
    <col min="2826" max="2826" width="13.28515625" style="102" customWidth="1"/>
    <col min="2827" max="2827" width="12.28515625" style="102" customWidth="1"/>
    <col min="2828" max="2828" width="14.28515625" style="102" customWidth="1"/>
    <col min="2829" max="2829" width="15.140625" style="102" customWidth="1"/>
    <col min="2830" max="3064" width="9.140625" style="102"/>
    <col min="3065" max="3065" width="8.85546875" style="102" customWidth="1"/>
    <col min="3066" max="3066" width="34.140625" style="102" customWidth="1"/>
    <col min="3067" max="3067" width="17.7109375" style="102" bestFit="1" customWidth="1"/>
    <col min="3068" max="3068" width="12.28515625" style="102" customWidth="1"/>
    <col min="3069" max="3070" width="13" style="102" customWidth="1"/>
    <col min="3071" max="3071" width="12.28515625" style="102" customWidth="1"/>
    <col min="3072" max="3072" width="13.28515625" style="102" customWidth="1"/>
    <col min="3073" max="3073" width="12.28515625" style="102" customWidth="1"/>
    <col min="3074" max="3074" width="13.28515625" style="102" customWidth="1"/>
    <col min="3075" max="3075" width="12.28515625" style="102" customWidth="1"/>
    <col min="3076" max="3076" width="13.28515625" style="102" customWidth="1"/>
    <col min="3077" max="3077" width="12.28515625" style="102" customWidth="1"/>
    <col min="3078" max="3078" width="13.28515625" style="102" customWidth="1"/>
    <col min="3079" max="3079" width="12.28515625" style="102" customWidth="1"/>
    <col min="3080" max="3080" width="13.28515625" style="102" customWidth="1"/>
    <col min="3081" max="3081" width="12.28515625" style="102" customWidth="1"/>
    <col min="3082" max="3082" width="13.28515625" style="102" customWidth="1"/>
    <col min="3083" max="3083" width="12.28515625" style="102" customWidth="1"/>
    <col min="3084" max="3084" width="14.28515625" style="102" customWidth="1"/>
    <col min="3085" max="3085" width="15.140625" style="102" customWidth="1"/>
    <col min="3086" max="3320" width="9.140625" style="102"/>
    <col min="3321" max="3321" width="8.85546875" style="102" customWidth="1"/>
    <col min="3322" max="3322" width="34.140625" style="102" customWidth="1"/>
    <col min="3323" max="3323" width="17.7109375" style="102" bestFit="1" customWidth="1"/>
    <col min="3324" max="3324" width="12.28515625" style="102" customWidth="1"/>
    <col min="3325" max="3326" width="13" style="102" customWidth="1"/>
    <col min="3327" max="3327" width="12.28515625" style="102" customWidth="1"/>
    <col min="3328" max="3328" width="13.28515625" style="102" customWidth="1"/>
    <col min="3329" max="3329" width="12.28515625" style="102" customWidth="1"/>
    <col min="3330" max="3330" width="13.28515625" style="102" customWidth="1"/>
    <col min="3331" max="3331" width="12.28515625" style="102" customWidth="1"/>
    <col min="3332" max="3332" width="13.28515625" style="102" customWidth="1"/>
    <col min="3333" max="3333" width="12.28515625" style="102" customWidth="1"/>
    <col min="3334" max="3334" width="13.28515625" style="102" customWidth="1"/>
    <col min="3335" max="3335" width="12.28515625" style="102" customWidth="1"/>
    <col min="3336" max="3336" width="13.28515625" style="102" customWidth="1"/>
    <col min="3337" max="3337" width="12.28515625" style="102" customWidth="1"/>
    <col min="3338" max="3338" width="13.28515625" style="102" customWidth="1"/>
    <col min="3339" max="3339" width="12.28515625" style="102" customWidth="1"/>
    <col min="3340" max="3340" width="14.28515625" style="102" customWidth="1"/>
    <col min="3341" max="3341" width="15.140625" style="102" customWidth="1"/>
    <col min="3342" max="3576" width="9.140625" style="102"/>
    <col min="3577" max="3577" width="8.85546875" style="102" customWidth="1"/>
    <col min="3578" max="3578" width="34.140625" style="102" customWidth="1"/>
    <col min="3579" max="3579" width="17.7109375" style="102" bestFit="1" customWidth="1"/>
    <col min="3580" max="3580" width="12.28515625" style="102" customWidth="1"/>
    <col min="3581" max="3582" width="13" style="102" customWidth="1"/>
    <col min="3583" max="3583" width="12.28515625" style="102" customWidth="1"/>
    <col min="3584" max="3584" width="13.28515625" style="102" customWidth="1"/>
    <col min="3585" max="3585" width="12.28515625" style="102" customWidth="1"/>
    <col min="3586" max="3586" width="13.28515625" style="102" customWidth="1"/>
    <col min="3587" max="3587" width="12.28515625" style="102" customWidth="1"/>
    <col min="3588" max="3588" width="13.28515625" style="102" customWidth="1"/>
    <col min="3589" max="3589" width="12.28515625" style="102" customWidth="1"/>
    <col min="3590" max="3590" width="13.28515625" style="102" customWidth="1"/>
    <col min="3591" max="3591" width="12.28515625" style="102" customWidth="1"/>
    <col min="3592" max="3592" width="13.28515625" style="102" customWidth="1"/>
    <col min="3593" max="3593" width="12.28515625" style="102" customWidth="1"/>
    <col min="3594" max="3594" width="13.28515625" style="102" customWidth="1"/>
    <col min="3595" max="3595" width="12.28515625" style="102" customWidth="1"/>
    <col min="3596" max="3596" width="14.28515625" style="102" customWidth="1"/>
    <col min="3597" max="3597" width="15.140625" style="102" customWidth="1"/>
    <col min="3598" max="3832" width="9.140625" style="102"/>
    <col min="3833" max="3833" width="8.85546875" style="102" customWidth="1"/>
    <col min="3834" max="3834" width="34.140625" style="102" customWidth="1"/>
    <col min="3835" max="3835" width="17.7109375" style="102" bestFit="1" customWidth="1"/>
    <col min="3836" max="3836" width="12.28515625" style="102" customWidth="1"/>
    <col min="3837" max="3838" width="13" style="102" customWidth="1"/>
    <col min="3839" max="3839" width="12.28515625" style="102" customWidth="1"/>
    <col min="3840" max="3840" width="13.28515625" style="102" customWidth="1"/>
    <col min="3841" max="3841" width="12.28515625" style="102" customWidth="1"/>
    <col min="3842" max="3842" width="13.28515625" style="102" customWidth="1"/>
    <col min="3843" max="3843" width="12.28515625" style="102" customWidth="1"/>
    <col min="3844" max="3844" width="13.28515625" style="102" customWidth="1"/>
    <col min="3845" max="3845" width="12.28515625" style="102" customWidth="1"/>
    <col min="3846" max="3846" width="13.28515625" style="102" customWidth="1"/>
    <col min="3847" max="3847" width="12.28515625" style="102" customWidth="1"/>
    <col min="3848" max="3848" width="13.28515625" style="102" customWidth="1"/>
    <col min="3849" max="3849" width="12.28515625" style="102" customWidth="1"/>
    <col min="3850" max="3850" width="13.28515625" style="102" customWidth="1"/>
    <col min="3851" max="3851" width="12.28515625" style="102" customWidth="1"/>
    <col min="3852" max="3852" width="14.28515625" style="102" customWidth="1"/>
    <col min="3853" max="3853" width="15.140625" style="102" customWidth="1"/>
    <col min="3854" max="4088" width="9.140625" style="102"/>
    <col min="4089" max="4089" width="8.85546875" style="102" customWidth="1"/>
    <col min="4090" max="4090" width="34.140625" style="102" customWidth="1"/>
    <col min="4091" max="4091" width="17.7109375" style="102" bestFit="1" customWidth="1"/>
    <col min="4092" max="4092" width="12.28515625" style="102" customWidth="1"/>
    <col min="4093" max="4094" width="13" style="102" customWidth="1"/>
    <col min="4095" max="4095" width="12.28515625" style="102" customWidth="1"/>
    <col min="4096" max="4096" width="13.28515625" style="102" customWidth="1"/>
    <col min="4097" max="4097" width="12.28515625" style="102" customWidth="1"/>
    <col min="4098" max="4098" width="13.28515625" style="102" customWidth="1"/>
    <col min="4099" max="4099" width="12.28515625" style="102" customWidth="1"/>
    <col min="4100" max="4100" width="13.28515625" style="102" customWidth="1"/>
    <col min="4101" max="4101" width="12.28515625" style="102" customWidth="1"/>
    <col min="4102" max="4102" width="13.28515625" style="102" customWidth="1"/>
    <col min="4103" max="4103" width="12.28515625" style="102" customWidth="1"/>
    <col min="4104" max="4104" width="13.28515625" style="102" customWidth="1"/>
    <col min="4105" max="4105" width="12.28515625" style="102" customWidth="1"/>
    <col min="4106" max="4106" width="13.28515625" style="102" customWidth="1"/>
    <col min="4107" max="4107" width="12.28515625" style="102" customWidth="1"/>
    <col min="4108" max="4108" width="14.28515625" style="102" customWidth="1"/>
    <col min="4109" max="4109" width="15.140625" style="102" customWidth="1"/>
    <col min="4110" max="4344" width="9.140625" style="102"/>
    <col min="4345" max="4345" width="8.85546875" style="102" customWidth="1"/>
    <col min="4346" max="4346" width="34.140625" style="102" customWidth="1"/>
    <col min="4347" max="4347" width="17.7109375" style="102" bestFit="1" customWidth="1"/>
    <col min="4348" max="4348" width="12.28515625" style="102" customWidth="1"/>
    <col min="4349" max="4350" width="13" style="102" customWidth="1"/>
    <col min="4351" max="4351" width="12.28515625" style="102" customWidth="1"/>
    <col min="4352" max="4352" width="13.28515625" style="102" customWidth="1"/>
    <col min="4353" max="4353" width="12.28515625" style="102" customWidth="1"/>
    <col min="4354" max="4354" width="13.28515625" style="102" customWidth="1"/>
    <col min="4355" max="4355" width="12.28515625" style="102" customWidth="1"/>
    <col min="4356" max="4356" width="13.28515625" style="102" customWidth="1"/>
    <col min="4357" max="4357" width="12.28515625" style="102" customWidth="1"/>
    <col min="4358" max="4358" width="13.28515625" style="102" customWidth="1"/>
    <col min="4359" max="4359" width="12.28515625" style="102" customWidth="1"/>
    <col min="4360" max="4360" width="13.28515625" style="102" customWidth="1"/>
    <col min="4361" max="4361" width="12.28515625" style="102" customWidth="1"/>
    <col min="4362" max="4362" width="13.28515625" style="102" customWidth="1"/>
    <col min="4363" max="4363" width="12.28515625" style="102" customWidth="1"/>
    <col min="4364" max="4364" width="14.28515625" style="102" customWidth="1"/>
    <col min="4365" max="4365" width="15.140625" style="102" customWidth="1"/>
    <col min="4366" max="4600" width="9.140625" style="102"/>
    <col min="4601" max="4601" width="8.85546875" style="102" customWidth="1"/>
    <col min="4602" max="4602" width="34.140625" style="102" customWidth="1"/>
    <col min="4603" max="4603" width="17.7109375" style="102" bestFit="1" customWidth="1"/>
    <col min="4604" max="4604" width="12.28515625" style="102" customWidth="1"/>
    <col min="4605" max="4606" width="13" style="102" customWidth="1"/>
    <col min="4607" max="4607" width="12.28515625" style="102" customWidth="1"/>
    <col min="4608" max="4608" width="13.28515625" style="102" customWidth="1"/>
    <col min="4609" max="4609" width="12.28515625" style="102" customWidth="1"/>
    <col min="4610" max="4610" width="13.28515625" style="102" customWidth="1"/>
    <col min="4611" max="4611" width="12.28515625" style="102" customWidth="1"/>
    <col min="4612" max="4612" width="13.28515625" style="102" customWidth="1"/>
    <col min="4613" max="4613" width="12.28515625" style="102" customWidth="1"/>
    <col min="4614" max="4614" width="13.28515625" style="102" customWidth="1"/>
    <col min="4615" max="4615" width="12.28515625" style="102" customWidth="1"/>
    <col min="4616" max="4616" width="13.28515625" style="102" customWidth="1"/>
    <col min="4617" max="4617" width="12.28515625" style="102" customWidth="1"/>
    <col min="4618" max="4618" width="13.28515625" style="102" customWidth="1"/>
    <col min="4619" max="4619" width="12.28515625" style="102" customWidth="1"/>
    <col min="4620" max="4620" width="14.28515625" style="102" customWidth="1"/>
    <col min="4621" max="4621" width="15.140625" style="102" customWidth="1"/>
    <col min="4622" max="4856" width="9.140625" style="102"/>
    <col min="4857" max="4857" width="8.85546875" style="102" customWidth="1"/>
    <col min="4858" max="4858" width="34.140625" style="102" customWidth="1"/>
    <col min="4859" max="4859" width="17.7109375" style="102" bestFit="1" customWidth="1"/>
    <col min="4860" max="4860" width="12.28515625" style="102" customWidth="1"/>
    <col min="4861" max="4862" width="13" style="102" customWidth="1"/>
    <col min="4863" max="4863" width="12.28515625" style="102" customWidth="1"/>
    <col min="4864" max="4864" width="13.28515625" style="102" customWidth="1"/>
    <col min="4865" max="4865" width="12.28515625" style="102" customWidth="1"/>
    <col min="4866" max="4866" width="13.28515625" style="102" customWidth="1"/>
    <col min="4867" max="4867" width="12.28515625" style="102" customWidth="1"/>
    <col min="4868" max="4868" width="13.28515625" style="102" customWidth="1"/>
    <col min="4869" max="4869" width="12.28515625" style="102" customWidth="1"/>
    <col min="4870" max="4870" width="13.28515625" style="102" customWidth="1"/>
    <col min="4871" max="4871" width="12.28515625" style="102" customWidth="1"/>
    <col min="4872" max="4872" width="13.28515625" style="102" customWidth="1"/>
    <col min="4873" max="4873" width="12.28515625" style="102" customWidth="1"/>
    <col min="4874" max="4874" width="13.28515625" style="102" customWidth="1"/>
    <col min="4875" max="4875" width="12.28515625" style="102" customWidth="1"/>
    <col min="4876" max="4876" width="14.28515625" style="102" customWidth="1"/>
    <col min="4877" max="4877" width="15.140625" style="102" customWidth="1"/>
    <col min="4878" max="5112" width="9.140625" style="102"/>
    <col min="5113" max="5113" width="8.85546875" style="102" customWidth="1"/>
    <col min="5114" max="5114" width="34.140625" style="102" customWidth="1"/>
    <col min="5115" max="5115" width="17.7109375" style="102" bestFit="1" customWidth="1"/>
    <col min="5116" max="5116" width="12.28515625" style="102" customWidth="1"/>
    <col min="5117" max="5118" width="13" style="102" customWidth="1"/>
    <col min="5119" max="5119" width="12.28515625" style="102" customWidth="1"/>
    <col min="5120" max="5120" width="13.28515625" style="102" customWidth="1"/>
    <col min="5121" max="5121" width="12.28515625" style="102" customWidth="1"/>
    <col min="5122" max="5122" width="13.28515625" style="102" customWidth="1"/>
    <col min="5123" max="5123" width="12.28515625" style="102" customWidth="1"/>
    <col min="5124" max="5124" width="13.28515625" style="102" customWidth="1"/>
    <col min="5125" max="5125" width="12.28515625" style="102" customWidth="1"/>
    <col min="5126" max="5126" width="13.28515625" style="102" customWidth="1"/>
    <col min="5127" max="5127" width="12.28515625" style="102" customWidth="1"/>
    <col min="5128" max="5128" width="13.28515625" style="102" customWidth="1"/>
    <col min="5129" max="5129" width="12.28515625" style="102" customWidth="1"/>
    <col min="5130" max="5130" width="13.28515625" style="102" customWidth="1"/>
    <col min="5131" max="5131" width="12.28515625" style="102" customWidth="1"/>
    <col min="5132" max="5132" width="14.28515625" style="102" customWidth="1"/>
    <col min="5133" max="5133" width="15.140625" style="102" customWidth="1"/>
    <col min="5134" max="5368" width="9.140625" style="102"/>
    <col min="5369" max="5369" width="8.85546875" style="102" customWidth="1"/>
    <col min="5370" max="5370" width="34.140625" style="102" customWidth="1"/>
    <col min="5371" max="5371" width="17.7109375" style="102" bestFit="1" customWidth="1"/>
    <col min="5372" max="5372" width="12.28515625" style="102" customWidth="1"/>
    <col min="5373" max="5374" width="13" style="102" customWidth="1"/>
    <col min="5375" max="5375" width="12.28515625" style="102" customWidth="1"/>
    <col min="5376" max="5376" width="13.28515625" style="102" customWidth="1"/>
    <col min="5377" max="5377" width="12.28515625" style="102" customWidth="1"/>
    <col min="5378" max="5378" width="13.28515625" style="102" customWidth="1"/>
    <col min="5379" max="5379" width="12.28515625" style="102" customWidth="1"/>
    <col min="5380" max="5380" width="13.28515625" style="102" customWidth="1"/>
    <col min="5381" max="5381" width="12.28515625" style="102" customWidth="1"/>
    <col min="5382" max="5382" width="13.28515625" style="102" customWidth="1"/>
    <col min="5383" max="5383" width="12.28515625" style="102" customWidth="1"/>
    <col min="5384" max="5384" width="13.28515625" style="102" customWidth="1"/>
    <col min="5385" max="5385" width="12.28515625" style="102" customWidth="1"/>
    <col min="5386" max="5386" width="13.28515625" style="102" customWidth="1"/>
    <col min="5387" max="5387" width="12.28515625" style="102" customWidth="1"/>
    <col min="5388" max="5388" width="14.28515625" style="102" customWidth="1"/>
    <col min="5389" max="5389" width="15.140625" style="102" customWidth="1"/>
    <col min="5390" max="5624" width="9.140625" style="102"/>
    <col min="5625" max="5625" width="8.85546875" style="102" customWidth="1"/>
    <col min="5626" max="5626" width="34.140625" style="102" customWidth="1"/>
    <col min="5627" max="5627" width="17.7109375" style="102" bestFit="1" customWidth="1"/>
    <col min="5628" max="5628" width="12.28515625" style="102" customWidth="1"/>
    <col min="5629" max="5630" width="13" style="102" customWidth="1"/>
    <col min="5631" max="5631" width="12.28515625" style="102" customWidth="1"/>
    <col min="5632" max="5632" width="13.28515625" style="102" customWidth="1"/>
    <col min="5633" max="5633" width="12.28515625" style="102" customWidth="1"/>
    <col min="5634" max="5634" width="13.28515625" style="102" customWidth="1"/>
    <col min="5635" max="5635" width="12.28515625" style="102" customWidth="1"/>
    <col min="5636" max="5636" width="13.28515625" style="102" customWidth="1"/>
    <col min="5637" max="5637" width="12.28515625" style="102" customWidth="1"/>
    <col min="5638" max="5638" width="13.28515625" style="102" customWidth="1"/>
    <col min="5639" max="5639" width="12.28515625" style="102" customWidth="1"/>
    <col min="5640" max="5640" width="13.28515625" style="102" customWidth="1"/>
    <col min="5641" max="5641" width="12.28515625" style="102" customWidth="1"/>
    <col min="5642" max="5642" width="13.28515625" style="102" customWidth="1"/>
    <col min="5643" max="5643" width="12.28515625" style="102" customWidth="1"/>
    <col min="5644" max="5644" width="14.28515625" style="102" customWidth="1"/>
    <col min="5645" max="5645" width="15.140625" style="102" customWidth="1"/>
    <col min="5646" max="5880" width="9.140625" style="102"/>
    <col min="5881" max="5881" width="8.85546875" style="102" customWidth="1"/>
    <col min="5882" max="5882" width="34.140625" style="102" customWidth="1"/>
    <col min="5883" max="5883" width="17.7109375" style="102" bestFit="1" customWidth="1"/>
    <col min="5884" max="5884" width="12.28515625" style="102" customWidth="1"/>
    <col min="5885" max="5886" width="13" style="102" customWidth="1"/>
    <col min="5887" max="5887" width="12.28515625" style="102" customWidth="1"/>
    <col min="5888" max="5888" width="13.28515625" style="102" customWidth="1"/>
    <col min="5889" max="5889" width="12.28515625" style="102" customWidth="1"/>
    <col min="5890" max="5890" width="13.28515625" style="102" customWidth="1"/>
    <col min="5891" max="5891" width="12.28515625" style="102" customWidth="1"/>
    <col min="5892" max="5892" width="13.28515625" style="102" customWidth="1"/>
    <col min="5893" max="5893" width="12.28515625" style="102" customWidth="1"/>
    <col min="5894" max="5894" width="13.28515625" style="102" customWidth="1"/>
    <col min="5895" max="5895" width="12.28515625" style="102" customWidth="1"/>
    <col min="5896" max="5896" width="13.28515625" style="102" customWidth="1"/>
    <col min="5897" max="5897" width="12.28515625" style="102" customWidth="1"/>
    <col min="5898" max="5898" width="13.28515625" style="102" customWidth="1"/>
    <col min="5899" max="5899" width="12.28515625" style="102" customWidth="1"/>
    <col min="5900" max="5900" width="14.28515625" style="102" customWidth="1"/>
    <col min="5901" max="5901" width="15.140625" style="102" customWidth="1"/>
    <col min="5902" max="6136" width="9.140625" style="102"/>
    <col min="6137" max="6137" width="8.85546875" style="102" customWidth="1"/>
    <col min="6138" max="6138" width="34.140625" style="102" customWidth="1"/>
    <col min="6139" max="6139" width="17.7109375" style="102" bestFit="1" customWidth="1"/>
    <col min="6140" max="6140" width="12.28515625" style="102" customWidth="1"/>
    <col min="6141" max="6142" width="13" style="102" customWidth="1"/>
    <col min="6143" max="6143" width="12.28515625" style="102" customWidth="1"/>
    <col min="6144" max="6144" width="13.28515625" style="102" customWidth="1"/>
    <col min="6145" max="6145" width="12.28515625" style="102" customWidth="1"/>
    <col min="6146" max="6146" width="13.28515625" style="102" customWidth="1"/>
    <col min="6147" max="6147" width="12.28515625" style="102" customWidth="1"/>
    <col min="6148" max="6148" width="13.28515625" style="102" customWidth="1"/>
    <col min="6149" max="6149" width="12.28515625" style="102" customWidth="1"/>
    <col min="6150" max="6150" width="13.28515625" style="102" customWidth="1"/>
    <col min="6151" max="6151" width="12.28515625" style="102" customWidth="1"/>
    <col min="6152" max="6152" width="13.28515625" style="102" customWidth="1"/>
    <col min="6153" max="6153" width="12.28515625" style="102" customWidth="1"/>
    <col min="6154" max="6154" width="13.28515625" style="102" customWidth="1"/>
    <col min="6155" max="6155" width="12.28515625" style="102" customWidth="1"/>
    <col min="6156" max="6156" width="14.28515625" style="102" customWidth="1"/>
    <col min="6157" max="6157" width="15.140625" style="102" customWidth="1"/>
    <col min="6158" max="6392" width="9.140625" style="102"/>
    <col min="6393" max="6393" width="8.85546875" style="102" customWidth="1"/>
    <col min="6394" max="6394" width="34.140625" style="102" customWidth="1"/>
    <col min="6395" max="6395" width="17.7109375" style="102" bestFit="1" customWidth="1"/>
    <col min="6396" max="6396" width="12.28515625" style="102" customWidth="1"/>
    <col min="6397" max="6398" width="13" style="102" customWidth="1"/>
    <col min="6399" max="6399" width="12.28515625" style="102" customWidth="1"/>
    <col min="6400" max="6400" width="13.28515625" style="102" customWidth="1"/>
    <col min="6401" max="6401" width="12.28515625" style="102" customWidth="1"/>
    <col min="6402" max="6402" width="13.28515625" style="102" customWidth="1"/>
    <col min="6403" max="6403" width="12.28515625" style="102" customWidth="1"/>
    <col min="6404" max="6404" width="13.28515625" style="102" customWidth="1"/>
    <col min="6405" max="6405" width="12.28515625" style="102" customWidth="1"/>
    <col min="6406" max="6406" width="13.28515625" style="102" customWidth="1"/>
    <col min="6407" max="6407" width="12.28515625" style="102" customWidth="1"/>
    <col min="6408" max="6408" width="13.28515625" style="102" customWidth="1"/>
    <col min="6409" max="6409" width="12.28515625" style="102" customWidth="1"/>
    <col min="6410" max="6410" width="13.28515625" style="102" customWidth="1"/>
    <col min="6411" max="6411" width="12.28515625" style="102" customWidth="1"/>
    <col min="6412" max="6412" width="14.28515625" style="102" customWidth="1"/>
    <col min="6413" max="6413" width="15.140625" style="102" customWidth="1"/>
    <col min="6414" max="6648" width="9.140625" style="102"/>
    <col min="6649" max="6649" width="8.85546875" style="102" customWidth="1"/>
    <col min="6650" max="6650" width="34.140625" style="102" customWidth="1"/>
    <col min="6651" max="6651" width="17.7109375" style="102" bestFit="1" customWidth="1"/>
    <col min="6652" max="6652" width="12.28515625" style="102" customWidth="1"/>
    <col min="6653" max="6654" width="13" style="102" customWidth="1"/>
    <col min="6655" max="6655" width="12.28515625" style="102" customWidth="1"/>
    <col min="6656" max="6656" width="13.28515625" style="102" customWidth="1"/>
    <col min="6657" max="6657" width="12.28515625" style="102" customWidth="1"/>
    <col min="6658" max="6658" width="13.28515625" style="102" customWidth="1"/>
    <col min="6659" max="6659" width="12.28515625" style="102" customWidth="1"/>
    <col min="6660" max="6660" width="13.28515625" style="102" customWidth="1"/>
    <col min="6661" max="6661" width="12.28515625" style="102" customWidth="1"/>
    <col min="6662" max="6662" width="13.28515625" style="102" customWidth="1"/>
    <col min="6663" max="6663" width="12.28515625" style="102" customWidth="1"/>
    <col min="6664" max="6664" width="13.28515625" style="102" customWidth="1"/>
    <col min="6665" max="6665" width="12.28515625" style="102" customWidth="1"/>
    <col min="6666" max="6666" width="13.28515625" style="102" customWidth="1"/>
    <col min="6667" max="6667" width="12.28515625" style="102" customWidth="1"/>
    <col min="6668" max="6668" width="14.28515625" style="102" customWidth="1"/>
    <col min="6669" max="6669" width="15.140625" style="102" customWidth="1"/>
    <col min="6670" max="6904" width="9.140625" style="102"/>
    <col min="6905" max="6905" width="8.85546875" style="102" customWidth="1"/>
    <col min="6906" max="6906" width="34.140625" style="102" customWidth="1"/>
    <col min="6907" max="6907" width="17.7109375" style="102" bestFit="1" customWidth="1"/>
    <col min="6908" max="6908" width="12.28515625" style="102" customWidth="1"/>
    <col min="6909" max="6910" width="13" style="102" customWidth="1"/>
    <col min="6911" max="6911" width="12.28515625" style="102" customWidth="1"/>
    <col min="6912" max="6912" width="13.28515625" style="102" customWidth="1"/>
    <col min="6913" max="6913" width="12.28515625" style="102" customWidth="1"/>
    <col min="6914" max="6914" width="13.28515625" style="102" customWidth="1"/>
    <col min="6915" max="6915" width="12.28515625" style="102" customWidth="1"/>
    <col min="6916" max="6916" width="13.28515625" style="102" customWidth="1"/>
    <col min="6917" max="6917" width="12.28515625" style="102" customWidth="1"/>
    <col min="6918" max="6918" width="13.28515625" style="102" customWidth="1"/>
    <col min="6919" max="6919" width="12.28515625" style="102" customWidth="1"/>
    <col min="6920" max="6920" width="13.28515625" style="102" customWidth="1"/>
    <col min="6921" max="6921" width="12.28515625" style="102" customWidth="1"/>
    <col min="6922" max="6922" width="13.28515625" style="102" customWidth="1"/>
    <col min="6923" max="6923" width="12.28515625" style="102" customWidth="1"/>
    <col min="6924" max="6924" width="14.28515625" style="102" customWidth="1"/>
    <col min="6925" max="6925" width="15.140625" style="102" customWidth="1"/>
    <col min="6926" max="7160" width="9.140625" style="102"/>
    <col min="7161" max="7161" width="8.85546875" style="102" customWidth="1"/>
    <col min="7162" max="7162" width="34.140625" style="102" customWidth="1"/>
    <col min="7163" max="7163" width="17.7109375" style="102" bestFit="1" customWidth="1"/>
    <col min="7164" max="7164" width="12.28515625" style="102" customWidth="1"/>
    <col min="7165" max="7166" width="13" style="102" customWidth="1"/>
    <col min="7167" max="7167" width="12.28515625" style="102" customWidth="1"/>
    <col min="7168" max="7168" width="13.28515625" style="102" customWidth="1"/>
    <col min="7169" max="7169" width="12.28515625" style="102" customWidth="1"/>
    <col min="7170" max="7170" width="13.28515625" style="102" customWidth="1"/>
    <col min="7171" max="7171" width="12.28515625" style="102" customWidth="1"/>
    <col min="7172" max="7172" width="13.28515625" style="102" customWidth="1"/>
    <col min="7173" max="7173" width="12.28515625" style="102" customWidth="1"/>
    <col min="7174" max="7174" width="13.28515625" style="102" customWidth="1"/>
    <col min="7175" max="7175" width="12.28515625" style="102" customWidth="1"/>
    <col min="7176" max="7176" width="13.28515625" style="102" customWidth="1"/>
    <col min="7177" max="7177" width="12.28515625" style="102" customWidth="1"/>
    <col min="7178" max="7178" width="13.28515625" style="102" customWidth="1"/>
    <col min="7179" max="7179" width="12.28515625" style="102" customWidth="1"/>
    <col min="7180" max="7180" width="14.28515625" style="102" customWidth="1"/>
    <col min="7181" max="7181" width="15.140625" style="102" customWidth="1"/>
    <col min="7182" max="7416" width="9.140625" style="102"/>
    <col min="7417" max="7417" width="8.85546875" style="102" customWidth="1"/>
    <col min="7418" max="7418" width="34.140625" style="102" customWidth="1"/>
    <col min="7419" max="7419" width="17.7109375" style="102" bestFit="1" customWidth="1"/>
    <col min="7420" max="7420" width="12.28515625" style="102" customWidth="1"/>
    <col min="7421" max="7422" width="13" style="102" customWidth="1"/>
    <col min="7423" max="7423" width="12.28515625" style="102" customWidth="1"/>
    <col min="7424" max="7424" width="13.28515625" style="102" customWidth="1"/>
    <col min="7425" max="7425" width="12.28515625" style="102" customWidth="1"/>
    <col min="7426" max="7426" width="13.28515625" style="102" customWidth="1"/>
    <col min="7427" max="7427" width="12.28515625" style="102" customWidth="1"/>
    <col min="7428" max="7428" width="13.28515625" style="102" customWidth="1"/>
    <col min="7429" max="7429" width="12.28515625" style="102" customWidth="1"/>
    <col min="7430" max="7430" width="13.28515625" style="102" customWidth="1"/>
    <col min="7431" max="7431" width="12.28515625" style="102" customWidth="1"/>
    <col min="7432" max="7432" width="13.28515625" style="102" customWidth="1"/>
    <col min="7433" max="7433" width="12.28515625" style="102" customWidth="1"/>
    <col min="7434" max="7434" width="13.28515625" style="102" customWidth="1"/>
    <col min="7435" max="7435" width="12.28515625" style="102" customWidth="1"/>
    <col min="7436" max="7436" width="14.28515625" style="102" customWidth="1"/>
    <col min="7437" max="7437" width="15.140625" style="102" customWidth="1"/>
    <col min="7438" max="7672" width="9.140625" style="102"/>
    <col min="7673" max="7673" width="8.85546875" style="102" customWidth="1"/>
    <col min="7674" max="7674" width="34.140625" style="102" customWidth="1"/>
    <col min="7675" max="7675" width="17.7109375" style="102" bestFit="1" customWidth="1"/>
    <col min="7676" max="7676" width="12.28515625" style="102" customWidth="1"/>
    <col min="7677" max="7678" width="13" style="102" customWidth="1"/>
    <col min="7679" max="7679" width="12.28515625" style="102" customWidth="1"/>
    <col min="7680" max="7680" width="13.28515625" style="102" customWidth="1"/>
    <col min="7681" max="7681" width="12.28515625" style="102" customWidth="1"/>
    <col min="7682" max="7682" width="13.28515625" style="102" customWidth="1"/>
    <col min="7683" max="7683" width="12.28515625" style="102" customWidth="1"/>
    <col min="7684" max="7684" width="13.28515625" style="102" customWidth="1"/>
    <col min="7685" max="7685" width="12.28515625" style="102" customWidth="1"/>
    <col min="7686" max="7686" width="13.28515625" style="102" customWidth="1"/>
    <col min="7687" max="7687" width="12.28515625" style="102" customWidth="1"/>
    <col min="7688" max="7688" width="13.28515625" style="102" customWidth="1"/>
    <col min="7689" max="7689" width="12.28515625" style="102" customWidth="1"/>
    <col min="7690" max="7690" width="13.28515625" style="102" customWidth="1"/>
    <col min="7691" max="7691" width="12.28515625" style="102" customWidth="1"/>
    <col min="7692" max="7692" width="14.28515625" style="102" customWidth="1"/>
    <col min="7693" max="7693" width="15.140625" style="102" customWidth="1"/>
    <col min="7694" max="7928" width="9.140625" style="102"/>
    <col min="7929" max="7929" width="8.85546875" style="102" customWidth="1"/>
    <col min="7930" max="7930" width="34.140625" style="102" customWidth="1"/>
    <col min="7931" max="7931" width="17.7109375" style="102" bestFit="1" customWidth="1"/>
    <col min="7932" max="7932" width="12.28515625" style="102" customWidth="1"/>
    <col min="7933" max="7934" width="13" style="102" customWidth="1"/>
    <col min="7935" max="7935" width="12.28515625" style="102" customWidth="1"/>
    <col min="7936" max="7936" width="13.28515625" style="102" customWidth="1"/>
    <col min="7937" max="7937" width="12.28515625" style="102" customWidth="1"/>
    <col min="7938" max="7938" width="13.28515625" style="102" customWidth="1"/>
    <col min="7939" max="7939" width="12.28515625" style="102" customWidth="1"/>
    <col min="7940" max="7940" width="13.28515625" style="102" customWidth="1"/>
    <col min="7941" max="7941" width="12.28515625" style="102" customWidth="1"/>
    <col min="7942" max="7942" width="13.28515625" style="102" customWidth="1"/>
    <col min="7943" max="7943" width="12.28515625" style="102" customWidth="1"/>
    <col min="7944" max="7944" width="13.28515625" style="102" customWidth="1"/>
    <col min="7945" max="7945" width="12.28515625" style="102" customWidth="1"/>
    <col min="7946" max="7946" width="13.28515625" style="102" customWidth="1"/>
    <col min="7947" max="7947" width="12.28515625" style="102" customWidth="1"/>
    <col min="7948" max="7948" width="14.28515625" style="102" customWidth="1"/>
    <col min="7949" max="7949" width="15.140625" style="102" customWidth="1"/>
    <col min="7950" max="8184" width="9.140625" style="102"/>
    <col min="8185" max="8185" width="8.85546875" style="102" customWidth="1"/>
    <col min="8186" max="8186" width="34.140625" style="102" customWidth="1"/>
    <col min="8187" max="8187" width="17.7109375" style="102" bestFit="1" customWidth="1"/>
    <col min="8188" max="8188" width="12.28515625" style="102" customWidth="1"/>
    <col min="8189" max="8190" width="13" style="102" customWidth="1"/>
    <col min="8191" max="8191" width="12.28515625" style="102" customWidth="1"/>
    <col min="8192" max="8192" width="13.28515625" style="102" customWidth="1"/>
    <col min="8193" max="8193" width="12.28515625" style="102" customWidth="1"/>
    <col min="8194" max="8194" width="13.28515625" style="102" customWidth="1"/>
    <col min="8195" max="8195" width="12.28515625" style="102" customWidth="1"/>
    <col min="8196" max="8196" width="13.28515625" style="102" customWidth="1"/>
    <col min="8197" max="8197" width="12.28515625" style="102" customWidth="1"/>
    <col min="8198" max="8198" width="13.28515625" style="102" customWidth="1"/>
    <col min="8199" max="8199" width="12.28515625" style="102" customWidth="1"/>
    <col min="8200" max="8200" width="13.28515625" style="102" customWidth="1"/>
    <col min="8201" max="8201" width="12.28515625" style="102" customWidth="1"/>
    <col min="8202" max="8202" width="13.28515625" style="102" customWidth="1"/>
    <col min="8203" max="8203" width="12.28515625" style="102" customWidth="1"/>
    <col min="8204" max="8204" width="14.28515625" style="102" customWidth="1"/>
    <col min="8205" max="8205" width="15.140625" style="102" customWidth="1"/>
    <col min="8206" max="8440" width="9.140625" style="102"/>
    <col min="8441" max="8441" width="8.85546875" style="102" customWidth="1"/>
    <col min="8442" max="8442" width="34.140625" style="102" customWidth="1"/>
    <col min="8443" max="8443" width="17.7109375" style="102" bestFit="1" customWidth="1"/>
    <col min="8444" max="8444" width="12.28515625" style="102" customWidth="1"/>
    <col min="8445" max="8446" width="13" style="102" customWidth="1"/>
    <col min="8447" max="8447" width="12.28515625" style="102" customWidth="1"/>
    <col min="8448" max="8448" width="13.28515625" style="102" customWidth="1"/>
    <col min="8449" max="8449" width="12.28515625" style="102" customWidth="1"/>
    <col min="8450" max="8450" width="13.28515625" style="102" customWidth="1"/>
    <col min="8451" max="8451" width="12.28515625" style="102" customWidth="1"/>
    <col min="8452" max="8452" width="13.28515625" style="102" customWidth="1"/>
    <col min="8453" max="8453" width="12.28515625" style="102" customWidth="1"/>
    <col min="8454" max="8454" width="13.28515625" style="102" customWidth="1"/>
    <col min="8455" max="8455" width="12.28515625" style="102" customWidth="1"/>
    <col min="8456" max="8456" width="13.28515625" style="102" customWidth="1"/>
    <col min="8457" max="8457" width="12.28515625" style="102" customWidth="1"/>
    <col min="8458" max="8458" width="13.28515625" style="102" customWidth="1"/>
    <col min="8459" max="8459" width="12.28515625" style="102" customWidth="1"/>
    <col min="8460" max="8460" width="14.28515625" style="102" customWidth="1"/>
    <col min="8461" max="8461" width="15.140625" style="102" customWidth="1"/>
    <col min="8462" max="8696" width="9.140625" style="102"/>
    <col min="8697" max="8697" width="8.85546875" style="102" customWidth="1"/>
    <col min="8698" max="8698" width="34.140625" style="102" customWidth="1"/>
    <col min="8699" max="8699" width="17.7109375" style="102" bestFit="1" customWidth="1"/>
    <col min="8700" max="8700" width="12.28515625" style="102" customWidth="1"/>
    <col min="8701" max="8702" width="13" style="102" customWidth="1"/>
    <col min="8703" max="8703" width="12.28515625" style="102" customWidth="1"/>
    <col min="8704" max="8704" width="13.28515625" style="102" customWidth="1"/>
    <col min="8705" max="8705" width="12.28515625" style="102" customWidth="1"/>
    <col min="8706" max="8706" width="13.28515625" style="102" customWidth="1"/>
    <col min="8707" max="8707" width="12.28515625" style="102" customWidth="1"/>
    <col min="8708" max="8708" width="13.28515625" style="102" customWidth="1"/>
    <col min="8709" max="8709" width="12.28515625" style="102" customWidth="1"/>
    <col min="8710" max="8710" width="13.28515625" style="102" customWidth="1"/>
    <col min="8711" max="8711" width="12.28515625" style="102" customWidth="1"/>
    <col min="8712" max="8712" width="13.28515625" style="102" customWidth="1"/>
    <col min="8713" max="8713" width="12.28515625" style="102" customWidth="1"/>
    <col min="8714" max="8714" width="13.28515625" style="102" customWidth="1"/>
    <col min="8715" max="8715" width="12.28515625" style="102" customWidth="1"/>
    <col min="8716" max="8716" width="14.28515625" style="102" customWidth="1"/>
    <col min="8717" max="8717" width="15.140625" style="102" customWidth="1"/>
    <col min="8718" max="8952" width="9.140625" style="102"/>
    <col min="8953" max="8953" width="8.85546875" style="102" customWidth="1"/>
    <col min="8954" max="8954" width="34.140625" style="102" customWidth="1"/>
    <col min="8955" max="8955" width="17.7109375" style="102" bestFit="1" customWidth="1"/>
    <col min="8956" max="8956" width="12.28515625" style="102" customWidth="1"/>
    <col min="8957" max="8958" width="13" style="102" customWidth="1"/>
    <col min="8959" max="8959" width="12.28515625" style="102" customWidth="1"/>
    <col min="8960" max="8960" width="13.28515625" style="102" customWidth="1"/>
    <col min="8961" max="8961" width="12.28515625" style="102" customWidth="1"/>
    <col min="8962" max="8962" width="13.28515625" style="102" customWidth="1"/>
    <col min="8963" max="8963" width="12.28515625" style="102" customWidth="1"/>
    <col min="8964" max="8964" width="13.28515625" style="102" customWidth="1"/>
    <col min="8965" max="8965" width="12.28515625" style="102" customWidth="1"/>
    <col min="8966" max="8966" width="13.28515625" style="102" customWidth="1"/>
    <col min="8967" max="8967" width="12.28515625" style="102" customWidth="1"/>
    <col min="8968" max="8968" width="13.28515625" style="102" customWidth="1"/>
    <col min="8969" max="8969" width="12.28515625" style="102" customWidth="1"/>
    <col min="8970" max="8970" width="13.28515625" style="102" customWidth="1"/>
    <col min="8971" max="8971" width="12.28515625" style="102" customWidth="1"/>
    <col min="8972" max="8972" width="14.28515625" style="102" customWidth="1"/>
    <col min="8973" max="8973" width="15.140625" style="102" customWidth="1"/>
    <col min="8974" max="9208" width="9.140625" style="102"/>
    <col min="9209" max="9209" width="8.85546875" style="102" customWidth="1"/>
    <col min="9210" max="9210" width="34.140625" style="102" customWidth="1"/>
    <col min="9211" max="9211" width="17.7109375" style="102" bestFit="1" customWidth="1"/>
    <col min="9212" max="9212" width="12.28515625" style="102" customWidth="1"/>
    <col min="9213" max="9214" width="13" style="102" customWidth="1"/>
    <col min="9215" max="9215" width="12.28515625" style="102" customWidth="1"/>
    <col min="9216" max="9216" width="13.28515625" style="102" customWidth="1"/>
    <col min="9217" max="9217" width="12.28515625" style="102" customWidth="1"/>
    <col min="9218" max="9218" width="13.28515625" style="102" customWidth="1"/>
    <col min="9219" max="9219" width="12.28515625" style="102" customWidth="1"/>
    <col min="9220" max="9220" width="13.28515625" style="102" customWidth="1"/>
    <col min="9221" max="9221" width="12.28515625" style="102" customWidth="1"/>
    <col min="9222" max="9222" width="13.28515625" style="102" customWidth="1"/>
    <col min="9223" max="9223" width="12.28515625" style="102" customWidth="1"/>
    <col min="9224" max="9224" width="13.28515625" style="102" customWidth="1"/>
    <col min="9225" max="9225" width="12.28515625" style="102" customWidth="1"/>
    <col min="9226" max="9226" width="13.28515625" style="102" customWidth="1"/>
    <col min="9227" max="9227" width="12.28515625" style="102" customWidth="1"/>
    <col min="9228" max="9228" width="14.28515625" style="102" customWidth="1"/>
    <col min="9229" max="9229" width="15.140625" style="102" customWidth="1"/>
    <col min="9230" max="9464" width="9.140625" style="102"/>
    <col min="9465" max="9465" width="8.85546875" style="102" customWidth="1"/>
    <col min="9466" max="9466" width="34.140625" style="102" customWidth="1"/>
    <col min="9467" max="9467" width="17.7109375" style="102" bestFit="1" customWidth="1"/>
    <col min="9468" max="9468" width="12.28515625" style="102" customWidth="1"/>
    <col min="9469" max="9470" width="13" style="102" customWidth="1"/>
    <col min="9471" max="9471" width="12.28515625" style="102" customWidth="1"/>
    <col min="9472" max="9472" width="13.28515625" style="102" customWidth="1"/>
    <col min="9473" max="9473" width="12.28515625" style="102" customWidth="1"/>
    <col min="9474" max="9474" width="13.28515625" style="102" customWidth="1"/>
    <col min="9475" max="9475" width="12.28515625" style="102" customWidth="1"/>
    <col min="9476" max="9476" width="13.28515625" style="102" customWidth="1"/>
    <col min="9477" max="9477" width="12.28515625" style="102" customWidth="1"/>
    <col min="9478" max="9478" width="13.28515625" style="102" customWidth="1"/>
    <col min="9479" max="9479" width="12.28515625" style="102" customWidth="1"/>
    <col min="9480" max="9480" width="13.28515625" style="102" customWidth="1"/>
    <col min="9481" max="9481" width="12.28515625" style="102" customWidth="1"/>
    <col min="9482" max="9482" width="13.28515625" style="102" customWidth="1"/>
    <col min="9483" max="9483" width="12.28515625" style="102" customWidth="1"/>
    <col min="9484" max="9484" width="14.28515625" style="102" customWidth="1"/>
    <col min="9485" max="9485" width="15.140625" style="102" customWidth="1"/>
    <col min="9486" max="9720" width="9.140625" style="102"/>
    <col min="9721" max="9721" width="8.85546875" style="102" customWidth="1"/>
    <col min="9722" max="9722" width="34.140625" style="102" customWidth="1"/>
    <col min="9723" max="9723" width="17.7109375" style="102" bestFit="1" customWidth="1"/>
    <col min="9724" max="9724" width="12.28515625" style="102" customWidth="1"/>
    <col min="9725" max="9726" width="13" style="102" customWidth="1"/>
    <col min="9727" max="9727" width="12.28515625" style="102" customWidth="1"/>
    <col min="9728" max="9728" width="13.28515625" style="102" customWidth="1"/>
    <col min="9729" max="9729" width="12.28515625" style="102" customWidth="1"/>
    <col min="9730" max="9730" width="13.28515625" style="102" customWidth="1"/>
    <col min="9731" max="9731" width="12.28515625" style="102" customWidth="1"/>
    <col min="9732" max="9732" width="13.28515625" style="102" customWidth="1"/>
    <col min="9733" max="9733" width="12.28515625" style="102" customWidth="1"/>
    <col min="9734" max="9734" width="13.28515625" style="102" customWidth="1"/>
    <col min="9735" max="9735" width="12.28515625" style="102" customWidth="1"/>
    <col min="9736" max="9736" width="13.28515625" style="102" customWidth="1"/>
    <col min="9737" max="9737" width="12.28515625" style="102" customWidth="1"/>
    <col min="9738" max="9738" width="13.28515625" style="102" customWidth="1"/>
    <col min="9739" max="9739" width="12.28515625" style="102" customWidth="1"/>
    <col min="9740" max="9740" width="14.28515625" style="102" customWidth="1"/>
    <col min="9741" max="9741" width="15.140625" style="102" customWidth="1"/>
    <col min="9742" max="9976" width="9.140625" style="102"/>
    <col min="9977" max="9977" width="8.85546875" style="102" customWidth="1"/>
    <col min="9978" max="9978" width="34.140625" style="102" customWidth="1"/>
    <col min="9979" max="9979" width="17.7109375" style="102" bestFit="1" customWidth="1"/>
    <col min="9980" max="9980" width="12.28515625" style="102" customWidth="1"/>
    <col min="9981" max="9982" width="13" style="102" customWidth="1"/>
    <col min="9983" max="9983" width="12.28515625" style="102" customWidth="1"/>
    <col min="9984" max="9984" width="13.28515625" style="102" customWidth="1"/>
    <col min="9985" max="9985" width="12.28515625" style="102" customWidth="1"/>
    <col min="9986" max="9986" width="13.28515625" style="102" customWidth="1"/>
    <col min="9987" max="9987" width="12.28515625" style="102" customWidth="1"/>
    <col min="9988" max="9988" width="13.28515625" style="102" customWidth="1"/>
    <col min="9989" max="9989" width="12.28515625" style="102" customWidth="1"/>
    <col min="9990" max="9990" width="13.28515625" style="102" customWidth="1"/>
    <col min="9991" max="9991" width="12.28515625" style="102" customWidth="1"/>
    <col min="9992" max="9992" width="13.28515625" style="102" customWidth="1"/>
    <col min="9993" max="9993" width="12.28515625" style="102" customWidth="1"/>
    <col min="9994" max="9994" width="13.28515625" style="102" customWidth="1"/>
    <col min="9995" max="9995" width="12.28515625" style="102" customWidth="1"/>
    <col min="9996" max="9996" width="14.28515625" style="102" customWidth="1"/>
    <col min="9997" max="9997" width="15.140625" style="102" customWidth="1"/>
    <col min="9998" max="10232" width="9.140625" style="102"/>
    <col min="10233" max="10233" width="8.85546875" style="102" customWidth="1"/>
    <col min="10234" max="10234" width="34.140625" style="102" customWidth="1"/>
    <col min="10235" max="10235" width="17.7109375" style="102" bestFit="1" customWidth="1"/>
    <col min="10236" max="10236" width="12.28515625" style="102" customWidth="1"/>
    <col min="10237" max="10238" width="13" style="102" customWidth="1"/>
    <col min="10239" max="10239" width="12.28515625" style="102" customWidth="1"/>
    <col min="10240" max="10240" width="13.28515625" style="102" customWidth="1"/>
    <col min="10241" max="10241" width="12.28515625" style="102" customWidth="1"/>
    <col min="10242" max="10242" width="13.28515625" style="102" customWidth="1"/>
    <col min="10243" max="10243" width="12.28515625" style="102" customWidth="1"/>
    <col min="10244" max="10244" width="13.28515625" style="102" customWidth="1"/>
    <col min="10245" max="10245" width="12.28515625" style="102" customWidth="1"/>
    <col min="10246" max="10246" width="13.28515625" style="102" customWidth="1"/>
    <col min="10247" max="10247" width="12.28515625" style="102" customWidth="1"/>
    <col min="10248" max="10248" width="13.28515625" style="102" customWidth="1"/>
    <col min="10249" max="10249" width="12.28515625" style="102" customWidth="1"/>
    <col min="10250" max="10250" width="13.28515625" style="102" customWidth="1"/>
    <col min="10251" max="10251" width="12.28515625" style="102" customWidth="1"/>
    <col min="10252" max="10252" width="14.28515625" style="102" customWidth="1"/>
    <col min="10253" max="10253" width="15.140625" style="102" customWidth="1"/>
    <col min="10254" max="10488" width="9.140625" style="102"/>
    <col min="10489" max="10489" width="8.85546875" style="102" customWidth="1"/>
    <col min="10490" max="10490" width="34.140625" style="102" customWidth="1"/>
    <col min="10491" max="10491" width="17.7109375" style="102" bestFit="1" customWidth="1"/>
    <col min="10492" max="10492" width="12.28515625" style="102" customWidth="1"/>
    <col min="10493" max="10494" width="13" style="102" customWidth="1"/>
    <col min="10495" max="10495" width="12.28515625" style="102" customWidth="1"/>
    <col min="10496" max="10496" width="13.28515625" style="102" customWidth="1"/>
    <col min="10497" max="10497" width="12.28515625" style="102" customWidth="1"/>
    <col min="10498" max="10498" width="13.28515625" style="102" customWidth="1"/>
    <col min="10499" max="10499" width="12.28515625" style="102" customWidth="1"/>
    <col min="10500" max="10500" width="13.28515625" style="102" customWidth="1"/>
    <col min="10501" max="10501" width="12.28515625" style="102" customWidth="1"/>
    <col min="10502" max="10502" width="13.28515625" style="102" customWidth="1"/>
    <col min="10503" max="10503" width="12.28515625" style="102" customWidth="1"/>
    <col min="10504" max="10504" width="13.28515625" style="102" customWidth="1"/>
    <col min="10505" max="10505" width="12.28515625" style="102" customWidth="1"/>
    <col min="10506" max="10506" width="13.28515625" style="102" customWidth="1"/>
    <col min="10507" max="10507" width="12.28515625" style="102" customWidth="1"/>
    <col min="10508" max="10508" width="14.28515625" style="102" customWidth="1"/>
    <col min="10509" max="10509" width="15.140625" style="102" customWidth="1"/>
    <col min="10510" max="10744" width="9.140625" style="102"/>
    <col min="10745" max="10745" width="8.85546875" style="102" customWidth="1"/>
    <col min="10746" max="10746" width="34.140625" style="102" customWidth="1"/>
    <col min="10747" max="10747" width="17.7109375" style="102" bestFit="1" customWidth="1"/>
    <col min="10748" max="10748" width="12.28515625" style="102" customWidth="1"/>
    <col min="10749" max="10750" width="13" style="102" customWidth="1"/>
    <col min="10751" max="10751" width="12.28515625" style="102" customWidth="1"/>
    <col min="10752" max="10752" width="13.28515625" style="102" customWidth="1"/>
    <col min="10753" max="10753" width="12.28515625" style="102" customWidth="1"/>
    <col min="10754" max="10754" width="13.28515625" style="102" customWidth="1"/>
    <col min="10755" max="10755" width="12.28515625" style="102" customWidth="1"/>
    <col min="10756" max="10756" width="13.28515625" style="102" customWidth="1"/>
    <col min="10757" max="10757" width="12.28515625" style="102" customWidth="1"/>
    <col min="10758" max="10758" width="13.28515625" style="102" customWidth="1"/>
    <col min="10759" max="10759" width="12.28515625" style="102" customWidth="1"/>
    <col min="10760" max="10760" width="13.28515625" style="102" customWidth="1"/>
    <col min="10761" max="10761" width="12.28515625" style="102" customWidth="1"/>
    <col min="10762" max="10762" width="13.28515625" style="102" customWidth="1"/>
    <col min="10763" max="10763" width="12.28515625" style="102" customWidth="1"/>
    <col min="10764" max="10764" width="14.28515625" style="102" customWidth="1"/>
    <col min="10765" max="10765" width="15.140625" style="102" customWidth="1"/>
    <col min="10766" max="11000" width="9.140625" style="102"/>
    <col min="11001" max="11001" width="8.85546875" style="102" customWidth="1"/>
    <col min="11002" max="11002" width="34.140625" style="102" customWidth="1"/>
    <col min="11003" max="11003" width="17.7109375" style="102" bestFit="1" customWidth="1"/>
    <col min="11004" max="11004" width="12.28515625" style="102" customWidth="1"/>
    <col min="11005" max="11006" width="13" style="102" customWidth="1"/>
    <col min="11007" max="11007" width="12.28515625" style="102" customWidth="1"/>
    <col min="11008" max="11008" width="13.28515625" style="102" customWidth="1"/>
    <col min="11009" max="11009" width="12.28515625" style="102" customWidth="1"/>
    <col min="11010" max="11010" width="13.28515625" style="102" customWidth="1"/>
    <col min="11011" max="11011" width="12.28515625" style="102" customWidth="1"/>
    <col min="11012" max="11012" width="13.28515625" style="102" customWidth="1"/>
    <col min="11013" max="11013" width="12.28515625" style="102" customWidth="1"/>
    <col min="11014" max="11014" width="13.28515625" style="102" customWidth="1"/>
    <col min="11015" max="11015" width="12.28515625" style="102" customWidth="1"/>
    <col min="11016" max="11016" width="13.28515625" style="102" customWidth="1"/>
    <col min="11017" max="11017" width="12.28515625" style="102" customWidth="1"/>
    <col min="11018" max="11018" width="13.28515625" style="102" customWidth="1"/>
    <col min="11019" max="11019" width="12.28515625" style="102" customWidth="1"/>
    <col min="11020" max="11020" width="14.28515625" style="102" customWidth="1"/>
    <col min="11021" max="11021" width="15.140625" style="102" customWidth="1"/>
    <col min="11022" max="11256" width="9.140625" style="102"/>
    <col min="11257" max="11257" width="8.85546875" style="102" customWidth="1"/>
    <col min="11258" max="11258" width="34.140625" style="102" customWidth="1"/>
    <col min="11259" max="11259" width="17.7109375" style="102" bestFit="1" customWidth="1"/>
    <col min="11260" max="11260" width="12.28515625" style="102" customWidth="1"/>
    <col min="11261" max="11262" width="13" style="102" customWidth="1"/>
    <col min="11263" max="11263" width="12.28515625" style="102" customWidth="1"/>
    <col min="11264" max="11264" width="13.28515625" style="102" customWidth="1"/>
    <col min="11265" max="11265" width="12.28515625" style="102" customWidth="1"/>
    <col min="11266" max="11266" width="13.28515625" style="102" customWidth="1"/>
    <col min="11267" max="11267" width="12.28515625" style="102" customWidth="1"/>
    <col min="11268" max="11268" width="13.28515625" style="102" customWidth="1"/>
    <col min="11269" max="11269" width="12.28515625" style="102" customWidth="1"/>
    <col min="11270" max="11270" width="13.28515625" style="102" customWidth="1"/>
    <col min="11271" max="11271" width="12.28515625" style="102" customWidth="1"/>
    <col min="11272" max="11272" width="13.28515625" style="102" customWidth="1"/>
    <col min="11273" max="11273" width="12.28515625" style="102" customWidth="1"/>
    <col min="11274" max="11274" width="13.28515625" style="102" customWidth="1"/>
    <col min="11275" max="11275" width="12.28515625" style="102" customWidth="1"/>
    <col min="11276" max="11276" width="14.28515625" style="102" customWidth="1"/>
    <col min="11277" max="11277" width="15.140625" style="102" customWidth="1"/>
    <col min="11278" max="11512" width="9.140625" style="102"/>
    <col min="11513" max="11513" width="8.85546875" style="102" customWidth="1"/>
    <col min="11514" max="11514" width="34.140625" style="102" customWidth="1"/>
    <col min="11515" max="11515" width="17.7109375" style="102" bestFit="1" customWidth="1"/>
    <col min="11516" max="11516" width="12.28515625" style="102" customWidth="1"/>
    <col min="11517" max="11518" width="13" style="102" customWidth="1"/>
    <col min="11519" max="11519" width="12.28515625" style="102" customWidth="1"/>
    <col min="11520" max="11520" width="13.28515625" style="102" customWidth="1"/>
    <col min="11521" max="11521" width="12.28515625" style="102" customWidth="1"/>
    <col min="11522" max="11522" width="13.28515625" style="102" customWidth="1"/>
    <col min="11523" max="11523" width="12.28515625" style="102" customWidth="1"/>
    <col min="11524" max="11524" width="13.28515625" style="102" customWidth="1"/>
    <col min="11525" max="11525" width="12.28515625" style="102" customWidth="1"/>
    <col min="11526" max="11526" width="13.28515625" style="102" customWidth="1"/>
    <col min="11527" max="11527" width="12.28515625" style="102" customWidth="1"/>
    <col min="11528" max="11528" width="13.28515625" style="102" customWidth="1"/>
    <col min="11529" max="11529" width="12.28515625" style="102" customWidth="1"/>
    <col min="11530" max="11530" width="13.28515625" style="102" customWidth="1"/>
    <col min="11531" max="11531" width="12.28515625" style="102" customWidth="1"/>
    <col min="11532" max="11532" width="14.28515625" style="102" customWidth="1"/>
    <col min="11533" max="11533" width="15.140625" style="102" customWidth="1"/>
    <col min="11534" max="11768" width="9.140625" style="102"/>
    <col min="11769" max="11769" width="8.85546875" style="102" customWidth="1"/>
    <col min="11770" max="11770" width="34.140625" style="102" customWidth="1"/>
    <col min="11771" max="11771" width="17.7109375" style="102" bestFit="1" customWidth="1"/>
    <col min="11772" max="11772" width="12.28515625" style="102" customWidth="1"/>
    <col min="11773" max="11774" width="13" style="102" customWidth="1"/>
    <col min="11775" max="11775" width="12.28515625" style="102" customWidth="1"/>
    <col min="11776" max="11776" width="13.28515625" style="102" customWidth="1"/>
    <col min="11777" max="11777" width="12.28515625" style="102" customWidth="1"/>
    <col min="11778" max="11778" width="13.28515625" style="102" customWidth="1"/>
    <col min="11779" max="11779" width="12.28515625" style="102" customWidth="1"/>
    <col min="11780" max="11780" width="13.28515625" style="102" customWidth="1"/>
    <col min="11781" max="11781" width="12.28515625" style="102" customWidth="1"/>
    <col min="11782" max="11782" width="13.28515625" style="102" customWidth="1"/>
    <col min="11783" max="11783" width="12.28515625" style="102" customWidth="1"/>
    <col min="11784" max="11784" width="13.28515625" style="102" customWidth="1"/>
    <col min="11785" max="11785" width="12.28515625" style="102" customWidth="1"/>
    <col min="11786" max="11786" width="13.28515625" style="102" customWidth="1"/>
    <col min="11787" max="11787" width="12.28515625" style="102" customWidth="1"/>
    <col min="11788" max="11788" width="14.28515625" style="102" customWidth="1"/>
    <col min="11789" max="11789" width="15.140625" style="102" customWidth="1"/>
    <col min="11790" max="12024" width="9.140625" style="102"/>
    <col min="12025" max="12025" width="8.85546875" style="102" customWidth="1"/>
    <col min="12026" max="12026" width="34.140625" style="102" customWidth="1"/>
    <col min="12027" max="12027" width="17.7109375" style="102" bestFit="1" customWidth="1"/>
    <col min="12028" max="12028" width="12.28515625" style="102" customWidth="1"/>
    <col min="12029" max="12030" width="13" style="102" customWidth="1"/>
    <col min="12031" max="12031" width="12.28515625" style="102" customWidth="1"/>
    <col min="12032" max="12032" width="13.28515625" style="102" customWidth="1"/>
    <col min="12033" max="12033" width="12.28515625" style="102" customWidth="1"/>
    <col min="12034" max="12034" width="13.28515625" style="102" customWidth="1"/>
    <col min="12035" max="12035" width="12.28515625" style="102" customWidth="1"/>
    <col min="12036" max="12036" width="13.28515625" style="102" customWidth="1"/>
    <col min="12037" max="12037" width="12.28515625" style="102" customWidth="1"/>
    <col min="12038" max="12038" width="13.28515625" style="102" customWidth="1"/>
    <col min="12039" max="12039" width="12.28515625" style="102" customWidth="1"/>
    <col min="12040" max="12040" width="13.28515625" style="102" customWidth="1"/>
    <col min="12041" max="12041" width="12.28515625" style="102" customWidth="1"/>
    <col min="12042" max="12042" width="13.28515625" style="102" customWidth="1"/>
    <col min="12043" max="12043" width="12.28515625" style="102" customWidth="1"/>
    <col min="12044" max="12044" width="14.28515625" style="102" customWidth="1"/>
    <col min="12045" max="12045" width="15.140625" style="102" customWidth="1"/>
    <col min="12046" max="12280" width="9.140625" style="102"/>
    <col min="12281" max="12281" width="8.85546875" style="102" customWidth="1"/>
    <col min="12282" max="12282" width="34.140625" style="102" customWidth="1"/>
    <col min="12283" max="12283" width="17.7109375" style="102" bestFit="1" customWidth="1"/>
    <col min="12284" max="12284" width="12.28515625" style="102" customWidth="1"/>
    <col min="12285" max="12286" width="13" style="102" customWidth="1"/>
    <col min="12287" max="12287" width="12.28515625" style="102" customWidth="1"/>
    <col min="12288" max="12288" width="13.28515625" style="102" customWidth="1"/>
    <col min="12289" max="12289" width="12.28515625" style="102" customWidth="1"/>
    <col min="12290" max="12290" width="13.28515625" style="102" customWidth="1"/>
    <col min="12291" max="12291" width="12.28515625" style="102" customWidth="1"/>
    <col min="12292" max="12292" width="13.28515625" style="102" customWidth="1"/>
    <col min="12293" max="12293" width="12.28515625" style="102" customWidth="1"/>
    <col min="12294" max="12294" width="13.28515625" style="102" customWidth="1"/>
    <col min="12295" max="12295" width="12.28515625" style="102" customWidth="1"/>
    <col min="12296" max="12296" width="13.28515625" style="102" customWidth="1"/>
    <col min="12297" max="12297" width="12.28515625" style="102" customWidth="1"/>
    <col min="12298" max="12298" width="13.28515625" style="102" customWidth="1"/>
    <col min="12299" max="12299" width="12.28515625" style="102" customWidth="1"/>
    <col min="12300" max="12300" width="14.28515625" style="102" customWidth="1"/>
    <col min="12301" max="12301" width="15.140625" style="102" customWidth="1"/>
    <col min="12302" max="12536" width="9.140625" style="102"/>
    <col min="12537" max="12537" width="8.85546875" style="102" customWidth="1"/>
    <col min="12538" max="12538" width="34.140625" style="102" customWidth="1"/>
    <col min="12539" max="12539" width="17.7109375" style="102" bestFit="1" customWidth="1"/>
    <col min="12540" max="12540" width="12.28515625" style="102" customWidth="1"/>
    <col min="12541" max="12542" width="13" style="102" customWidth="1"/>
    <col min="12543" max="12543" width="12.28515625" style="102" customWidth="1"/>
    <col min="12544" max="12544" width="13.28515625" style="102" customWidth="1"/>
    <col min="12545" max="12545" width="12.28515625" style="102" customWidth="1"/>
    <col min="12546" max="12546" width="13.28515625" style="102" customWidth="1"/>
    <col min="12547" max="12547" width="12.28515625" style="102" customWidth="1"/>
    <col min="12548" max="12548" width="13.28515625" style="102" customWidth="1"/>
    <col min="12549" max="12549" width="12.28515625" style="102" customWidth="1"/>
    <col min="12550" max="12550" width="13.28515625" style="102" customWidth="1"/>
    <col min="12551" max="12551" width="12.28515625" style="102" customWidth="1"/>
    <col min="12552" max="12552" width="13.28515625" style="102" customWidth="1"/>
    <col min="12553" max="12553" width="12.28515625" style="102" customWidth="1"/>
    <col min="12554" max="12554" width="13.28515625" style="102" customWidth="1"/>
    <col min="12555" max="12555" width="12.28515625" style="102" customWidth="1"/>
    <col min="12556" max="12556" width="14.28515625" style="102" customWidth="1"/>
    <col min="12557" max="12557" width="15.140625" style="102" customWidth="1"/>
    <col min="12558" max="12792" width="9.140625" style="102"/>
    <col min="12793" max="12793" width="8.85546875" style="102" customWidth="1"/>
    <col min="12794" max="12794" width="34.140625" style="102" customWidth="1"/>
    <col min="12795" max="12795" width="17.7109375" style="102" bestFit="1" customWidth="1"/>
    <col min="12796" max="12796" width="12.28515625" style="102" customWidth="1"/>
    <col min="12797" max="12798" width="13" style="102" customWidth="1"/>
    <col min="12799" max="12799" width="12.28515625" style="102" customWidth="1"/>
    <col min="12800" max="12800" width="13.28515625" style="102" customWidth="1"/>
    <col min="12801" max="12801" width="12.28515625" style="102" customWidth="1"/>
    <col min="12802" max="12802" width="13.28515625" style="102" customWidth="1"/>
    <col min="12803" max="12803" width="12.28515625" style="102" customWidth="1"/>
    <col min="12804" max="12804" width="13.28515625" style="102" customWidth="1"/>
    <col min="12805" max="12805" width="12.28515625" style="102" customWidth="1"/>
    <col min="12806" max="12806" width="13.28515625" style="102" customWidth="1"/>
    <col min="12807" max="12807" width="12.28515625" style="102" customWidth="1"/>
    <col min="12808" max="12808" width="13.28515625" style="102" customWidth="1"/>
    <col min="12809" max="12809" width="12.28515625" style="102" customWidth="1"/>
    <col min="12810" max="12810" width="13.28515625" style="102" customWidth="1"/>
    <col min="12811" max="12811" width="12.28515625" style="102" customWidth="1"/>
    <col min="12812" max="12812" width="14.28515625" style="102" customWidth="1"/>
    <col min="12813" max="12813" width="15.140625" style="102" customWidth="1"/>
    <col min="12814" max="13048" width="9.140625" style="102"/>
    <col min="13049" max="13049" width="8.85546875" style="102" customWidth="1"/>
    <col min="13050" max="13050" width="34.140625" style="102" customWidth="1"/>
    <col min="13051" max="13051" width="17.7109375" style="102" bestFit="1" customWidth="1"/>
    <col min="13052" max="13052" width="12.28515625" style="102" customWidth="1"/>
    <col min="13053" max="13054" width="13" style="102" customWidth="1"/>
    <col min="13055" max="13055" width="12.28515625" style="102" customWidth="1"/>
    <col min="13056" max="13056" width="13.28515625" style="102" customWidth="1"/>
    <col min="13057" max="13057" width="12.28515625" style="102" customWidth="1"/>
    <col min="13058" max="13058" width="13.28515625" style="102" customWidth="1"/>
    <col min="13059" max="13059" width="12.28515625" style="102" customWidth="1"/>
    <col min="13060" max="13060" width="13.28515625" style="102" customWidth="1"/>
    <col min="13061" max="13061" width="12.28515625" style="102" customWidth="1"/>
    <col min="13062" max="13062" width="13.28515625" style="102" customWidth="1"/>
    <col min="13063" max="13063" width="12.28515625" style="102" customWidth="1"/>
    <col min="13064" max="13064" width="13.28515625" style="102" customWidth="1"/>
    <col min="13065" max="13065" width="12.28515625" style="102" customWidth="1"/>
    <col min="13066" max="13066" width="13.28515625" style="102" customWidth="1"/>
    <col min="13067" max="13067" width="12.28515625" style="102" customWidth="1"/>
    <col min="13068" max="13068" width="14.28515625" style="102" customWidth="1"/>
    <col min="13069" max="13069" width="15.140625" style="102" customWidth="1"/>
    <col min="13070" max="13304" width="9.140625" style="102"/>
    <col min="13305" max="13305" width="8.85546875" style="102" customWidth="1"/>
    <col min="13306" max="13306" width="34.140625" style="102" customWidth="1"/>
    <col min="13307" max="13307" width="17.7109375" style="102" bestFit="1" customWidth="1"/>
    <col min="13308" max="13308" width="12.28515625" style="102" customWidth="1"/>
    <col min="13309" max="13310" width="13" style="102" customWidth="1"/>
    <col min="13311" max="13311" width="12.28515625" style="102" customWidth="1"/>
    <col min="13312" max="13312" width="13.28515625" style="102" customWidth="1"/>
    <col min="13313" max="13313" width="12.28515625" style="102" customWidth="1"/>
    <col min="13314" max="13314" width="13.28515625" style="102" customWidth="1"/>
    <col min="13315" max="13315" width="12.28515625" style="102" customWidth="1"/>
    <col min="13316" max="13316" width="13.28515625" style="102" customWidth="1"/>
    <col min="13317" max="13317" width="12.28515625" style="102" customWidth="1"/>
    <col min="13318" max="13318" width="13.28515625" style="102" customWidth="1"/>
    <col min="13319" max="13319" width="12.28515625" style="102" customWidth="1"/>
    <col min="13320" max="13320" width="13.28515625" style="102" customWidth="1"/>
    <col min="13321" max="13321" width="12.28515625" style="102" customWidth="1"/>
    <col min="13322" max="13322" width="13.28515625" style="102" customWidth="1"/>
    <col min="13323" max="13323" width="12.28515625" style="102" customWidth="1"/>
    <col min="13324" max="13324" width="14.28515625" style="102" customWidth="1"/>
    <col min="13325" max="13325" width="15.140625" style="102" customWidth="1"/>
    <col min="13326" max="13560" width="9.140625" style="102"/>
    <col min="13561" max="13561" width="8.85546875" style="102" customWidth="1"/>
    <col min="13562" max="13562" width="34.140625" style="102" customWidth="1"/>
    <col min="13563" max="13563" width="17.7109375" style="102" bestFit="1" customWidth="1"/>
    <col min="13564" max="13564" width="12.28515625" style="102" customWidth="1"/>
    <col min="13565" max="13566" width="13" style="102" customWidth="1"/>
    <col min="13567" max="13567" width="12.28515625" style="102" customWidth="1"/>
    <col min="13568" max="13568" width="13.28515625" style="102" customWidth="1"/>
    <col min="13569" max="13569" width="12.28515625" style="102" customWidth="1"/>
    <col min="13570" max="13570" width="13.28515625" style="102" customWidth="1"/>
    <col min="13571" max="13571" width="12.28515625" style="102" customWidth="1"/>
    <col min="13572" max="13572" width="13.28515625" style="102" customWidth="1"/>
    <col min="13573" max="13573" width="12.28515625" style="102" customWidth="1"/>
    <col min="13574" max="13574" width="13.28515625" style="102" customWidth="1"/>
    <col min="13575" max="13575" width="12.28515625" style="102" customWidth="1"/>
    <col min="13576" max="13576" width="13.28515625" style="102" customWidth="1"/>
    <col min="13577" max="13577" width="12.28515625" style="102" customWidth="1"/>
    <col min="13578" max="13578" width="13.28515625" style="102" customWidth="1"/>
    <col min="13579" max="13579" width="12.28515625" style="102" customWidth="1"/>
    <col min="13580" max="13580" width="14.28515625" style="102" customWidth="1"/>
    <col min="13581" max="13581" width="15.140625" style="102" customWidth="1"/>
    <col min="13582" max="13816" width="9.140625" style="102"/>
    <col min="13817" max="13817" width="8.85546875" style="102" customWidth="1"/>
    <col min="13818" max="13818" width="34.140625" style="102" customWidth="1"/>
    <col min="13819" max="13819" width="17.7109375" style="102" bestFit="1" customWidth="1"/>
    <col min="13820" max="13820" width="12.28515625" style="102" customWidth="1"/>
    <col min="13821" max="13822" width="13" style="102" customWidth="1"/>
    <col min="13823" max="13823" width="12.28515625" style="102" customWidth="1"/>
    <col min="13824" max="13824" width="13.28515625" style="102" customWidth="1"/>
    <col min="13825" max="13825" width="12.28515625" style="102" customWidth="1"/>
    <col min="13826" max="13826" width="13.28515625" style="102" customWidth="1"/>
    <col min="13827" max="13827" width="12.28515625" style="102" customWidth="1"/>
    <col min="13828" max="13828" width="13.28515625" style="102" customWidth="1"/>
    <col min="13829" max="13829" width="12.28515625" style="102" customWidth="1"/>
    <col min="13830" max="13830" width="13.28515625" style="102" customWidth="1"/>
    <col min="13831" max="13831" width="12.28515625" style="102" customWidth="1"/>
    <col min="13832" max="13832" width="13.28515625" style="102" customWidth="1"/>
    <col min="13833" max="13833" width="12.28515625" style="102" customWidth="1"/>
    <col min="13834" max="13834" width="13.28515625" style="102" customWidth="1"/>
    <col min="13835" max="13835" width="12.28515625" style="102" customWidth="1"/>
    <col min="13836" max="13836" width="14.28515625" style="102" customWidth="1"/>
    <col min="13837" max="13837" width="15.140625" style="102" customWidth="1"/>
    <col min="13838" max="14072" width="9.140625" style="102"/>
    <col min="14073" max="14073" width="8.85546875" style="102" customWidth="1"/>
    <col min="14074" max="14074" width="34.140625" style="102" customWidth="1"/>
    <col min="14075" max="14075" width="17.7109375" style="102" bestFit="1" customWidth="1"/>
    <col min="14076" max="14076" width="12.28515625" style="102" customWidth="1"/>
    <col min="14077" max="14078" width="13" style="102" customWidth="1"/>
    <col min="14079" max="14079" width="12.28515625" style="102" customWidth="1"/>
    <col min="14080" max="14080" width="13.28515625" style="102" customWidth="1"/>
    <col min="14081" max="14081" width="12.28515625" style="102" customWidth="1"/>
    <col min="14082" max="14082" width="13.28515625" style="102" customWidth="1"/>
    <col min="14083" max="14083" width="12.28515625" style="102" customWidth="1"/>
    <col min="14084" max="14084" width="13.28515625" style="102" customWidth="1"/>
    <col min="14085" max="14085" width="12.28515625" style="102" customWidth="1"/>
    <col min="14086" max="14086" width="13.28515625" style="102" customWidth="1"/>
    <col min="14087" max="14087" width="12.28515625" style="102" customWidth="1"/>
    <col min="14088" max="14088" width="13.28515625" style="102" customWidth="1"/>
    <col min="14089" max="14089" width="12.28515625" style="102" customWidth="1"/>
    <col min="14090" max="14090" width="13.28515625" style="102" customWidth="1"/>
    <col min="14091" max="14091" width="12.28515625" style="102" customWidth="1"/>
    <col min="14092" max="14092" width="14.28515625" style="102" customWidth="1"/>
    <col min="14093" max="14093" width="15.140625" style="102" customWidth="1"/>
    <col min="14094" max="14328" width="9.140625" style="102"/>
    <col min="14329" max="14329" width="8.85546875" style="102" customWidth="1"/>
    <col min="14330" max="14330" width="34.140625" style="102" customWidth="1"/>
    <col min="14331" max="14331" width="17.7109375" style="102" bestFit="1" customWidth="1"/>
    <col min="14332" max="14332" width="12.28515625" style="102" customWidth="1"/>
    <col min="14333" max="14334" width="13" style="102" customWidth="1"/>
    <col min="14335" max="14335" width="12.28515625" style="102" customWidth="1"/>
    <col min="14336" max="14336" width="13.28515625" style="102" customWidth="1"/>
    <col min="14337" max="14337" width="12.28515625" style="102" customWidth="1"/>
    <col min="14338" max="14338" width="13.28515625" style="102" customWidth="1"/>
    <col min="14339" max="14339" width="12.28515625" style="102" customWidth="1"/>
    <col min="14340" max="14340" width="13.28515625" style="102" customWidth="1"/>
    <col min="14341" max="14341" width="12.28515625" style="102" customWidth="1"/>
    <col min="14342" max="14342" width="13.28515625" style="102" customWidth="1"/>
    <col min="14343" max="14343" width="12.28515625" style="102" customWidth="1"/>
    <col min="14344" max="14344" width="13.28515625" style="102" customWidth="1"/>
    <col min="14345" max="14345" width="12.28515625" style="102" customWidth="1"/>
    <col min="14346" max="14346" width="13.28515625" style="102" customWidth="1"/>
    <col min="14347" max="14347" width="12.28515625" style="102" customWidth="1"/>
    <col min="14348" max="14348" width="14.28515625" style="102" customWidth="1"/>
    <col min="14349" max="14349" width="15.140625" style="102" customWidth="1"/>
    <col min="14350" max="14584" width="9.140625" style="102"/>
    <col min="14585" max="14585" width="8.85546875" style="102" customWidth="1"/>
    <col min="14586" max="14586" width="34.140625" style="102" customWidth="1"/>
    <col min="14587" max="14587" width="17.7109375" style="102" bestFit="1" customWidth="1"/>
    <col min="14588" max="14588" width="12.28515625" style="102" customWidth="1"/>
    <col min="14589" max="14590" width="13" style="102" customWidth="1"/>
    <col min="14591" max="14591" width="12.28515625" style="102" customWidth="1"/>
    <col min="14592" max="14592" width="13.28515625" style="102" customWidth="1"/>
    <col min="14593" max="14593" width="12.28515625" style="102" customWidth="1"/>
    <col min="14594" max="14594" width="13.28515625" style="102" customWidth="1"/>
    <col min="14595" max="14595" width="12.28515625" style="102" customWidth="1"/>
    <col min="14596" max="14596" width="13.28515625" style="102" customWidth="1"/>
    <col min="14597" max="14597" width="12.28515625" style="102" customWidth="1"/>
    <col min="14598" max="14598" width="13.28515625" style="102" customWidth="1"/>
    <col min="14599" max="14599" width="12.28515625" style="102" customWidth="1"/>
    <col min="14600" max="14600" width="13.28515625" style="102" customWidth="1"/>
    <col min="14601" max="14601" width="12.28515625" style="102" customWidth="1"/>
    <col min="14602" max="14602" width="13.28515625" style="102" customWidth="1"/>
    <col min="14603" max="14603" width="12.28515625" style="102" customWidth="1"/>
    <col min="14604" max="14604" width="14.28515625" style="102" customWidth="1"/>
    <col min="14605" max="14605" width="15.140625" style="102" customWidth="1"/>
    <col min="14606" max="14840" width="9.140625" style="102"/>
    <col min="14841" max="14841" width="8.85546875" style="102" customWidth="1"/>
    <col min="14842" max="14842" width="34.140625" style="102" customWidth="1"/>
    <col min="14843" max="14843" width="17.7109375" style="102" bestFit="1" customWidth="1"/>
    <col min="14844" max="14844" width="12.28515625" style="102" customWidth="1"/>
    <col min="14845" max="14846" width="13" style="102" customWidth="1"/>
    <col min="14847" max="14847" width="12.28515625" style="102" customWidth="1"/>
    <col min="14848" max="14848" width="13.28515625" style="102" customWidth="1"/>
    <col min="14849" max="14849" width="12.28515625" style="102" customWidth="1"/>
    <col min="14850" max="14850" width="13.28515625" style="102" customWidth="1"/>
    <col min="14851" max="14851" width="12.28515625" style="102" customWidth="1"/>
    <col min="14852" max="14852" width="13.28515625" style="102" customWidth="1"/>
    <col min="14853" max="14853" width="12.28515625" style="102" customWidth="1"/>
    <col min="14854" max="14854" width="13.28515625" style="102" customWidth="1"/>
    <col min="14855" max="14855" width="12.28515625" style="102" customWidth="1"/>
    <col min="14856" max="14856" width="13.28515625" style="102" customWidth="1"/>
    <col min="14857" max="14857" width="12.28515625" style="102" customWidth="1"/>
    <col min="14858" max="14858" width="13.28515625" style="102" customWidth="1"/>
    <col min="14859" max="14859" width="12.28515625" style="102" customWidth="1"/>
    <col min="14860" max="14860" width="14.28515625" style="102" customWidth="1"/>
    <col min="14861" max="14861" width="15.140625" style="102" customWidth="1"/>
    <col min="14862" max="15096" width="9.140625" style="102"/>
    <col min="15097" max="15097" width="8.85546875" style="102" customWidth="1"/>
    <col min="15098" max="15098" width="34.140625" style="102" customWidth="1"/>
    <col min="15099" max="15099" width="17.7109375" style="102" bestFit="1" customWidth="1"/>
    <col min="15100" max="15100" width="12.28515625" style="102" customWidth="1"/>
    <col min="15101" max="15102" width="13" style="102" customWidth="1"/>
    <col min="15103" max="15103" width="12.28515625" style="102" customWidth="1"/>
    <col min="15104" max="15104" width="13.28515625" style="102" customWidth="1"/>
    <col min="15105" max="15105" width="12.28515625" style="102" customWidth="1"/>
    <col min="15106" max="15106" width="13.28515625" style="102" customWidth="1"/>
    <col min="15107" max="15107" width="12.28515625" style="102" customWidth="1"/>
    <col min="15108" max="15108" width="13.28515625" style="102" customWidth="1"/>
    <col min="15109" max="15109" width="12.28515625" style="102" customWidth="1"/>
    <col min="15110" max="15110" width="13.28515625" style="102" customWidth="1"/>
    <col min="15111" max="15111" width="12.28515625" style="102" customWidth="1"/>
    <col min="15112" max="15112" width="13.28515625" style="102" customWidth="1"/>
    <col min="15113" max="15113" width="12.28515625" style="102" customWidth="1"/>
    <col min="15114" max="15114" width="13.28515625" style="102" customWidth="1"/>
    <col min="15115" max="15115" width="12.28515625" style="102" customWidth="1"/>
    <col min="15116" max="15116" width="14.28515625" style="102" customWidth="1"/>
    <col min="15117" max="15117" width="15.140625" style="102" customWidth="1"/>
    <col min="15118" max="15352" width="9.140625" style="102"/>
    <col min="15353" max="15353" width="8.85546875" style="102" customWidth="1"/>
    <col min="15354" max="15354" width="34.140625" style="102" customWidth="1"/>
    <col min="15355" max="15355" width="17.7109375" style="102" bestFit="1" customWidth="1"/>
    <col min="15356" max="15356" width="12.28515625" style="102" customWidth="1"/>
    <col min="15357" max="15358" width="13" style="102" customWidth="1"/>
    <col min="15359" max="15359" width="12.28515625" style="102" customWidth="1"/>
    <col min="15360" max="15360" width="13.28515625" style="102" customWidth="1"/>
    <col min="15361" max="15361" width="12.28515625" style="102" customWidth="1"/>
    <col min="15362" max="15362" width="13.28515625" style="102" customWidth="1"/>
    <col min="15363" max="15363" width="12.28515625" style="102" customWidth="1"/>
    <col min="15364" max="15364" width="13.28515625" style="102" customWidth="1"/>
    <col min="15365" max="15365" width="12.28515625" style="102" customWidth="1"/>
    <col min="15366" max="15366" width="13.28515625" style="102" customWidth="1"/>
    <col min="15367" max="15367" width="12.28515625" style="102" customWidth="1"/>
    <col min="15368" max="15368" width="13.28515625" style="102" customWidth="1"/>
    <col min="15369" max="15369" width="12.28515625" style="102" customWidth="1"/>
    <col min="15370" max="15370" width="13.28515625" style="102" customWidth="1"/>
    <col min="15371" max="15371" width="12.28515625" style="102" customWidth="1"/>
    <col min="15372" max="15372" width="14.28515625" style="102" customWidth="1"/>
    <col min="15373" max="15373" width="15.140625" style="102" customWidth="1"/>
    <col min="15374" max="15608" width="9.140625" style="102"/>
    <col min="15609" max="15609" width="8.85546875" style="102" customWidth="1"/>
    <col min="15610" max="15610" width="34.140625" style="102" customWidth="1"/>
    <col min="15611" max="15611" width="17.7109375" style="102" bestFit="1" customWidth="1"/>
    <col min="15612" max="15612" width="12.28515625" style="102" customWidth="1"/>
    <col min="15613" max="15614" width="13" style="102" customWidth="1"/>
    <col min="15615" max="15615" width="12.28515625" style="102" customWidth="1"/>
    <col min="15616" max="15616" width="13.28515625" style="102" customWidth="1"/>
    <col min="15617" max="15617" width="12.28515625" style="102" customWidth="1"/>
    <col min="15618" max="15618" width="13.28515625" style="102" customWidth="1"/>
    <col min="15619" max="15619" width="12.28515625" style="102" customWidth="1"/>
    <col min="15620" max="15620" width="13.28515625" style="102" customWidth="1"/>
    <col min="15621" max="15621" width="12.28515625" style="102" customWidth="1"/>
    <col min="15622" max="15622" width="13.28515625" style="102" customWidth="1"/>
    <col min="15623" max="15623" width="12.28515625" style="102" customWidth="1"/>
    <col min="15624" max="15624" width="13.28515625" style="102" customWidth="1"/>
    <col min="15625" max="15625" width="12.28515625" style="102" customWidth="1"/>
    <col min="15626" max="15626" width="13.28515625" style="102" customWidth="1"/>
    <col min="15627" max="15627" width="12.28515625" style="102" customWidth="1"/>
    <col min="15628" max="15628" width="14.28515625" style="102" customWidth="1"/>
    <col min="15629" max="15629" width="15.140625" style="102" customWidth="1"/>
    <col min="15630" max="15864" width="9.140625" style="102"/>
    <col min="15865" max="15865" width="8.85546875" style="102" customWidth="1"/>
    <col min="15866" max="15866" width="34.140625" style="102" customWidth="1"/>
    <col min="15867" max="15867" width="17.7109375" style="102" bestFit="1" customWidth="1"/>
    <col min="15868" max="15868" width="12.28515625" style="102" customWidth="1"/>
    <col min="15869" max="15870" width="13" style="102" customWidth="1"/>
    <col min="15871" max="15871" width="12.28515625" style="102" customWidth="1"/>
    <col min="15872" max="15872" width="13.28515625" style="102" customWidth="1"/>
    <col min="15873" max="15873" width="12.28515625" style="102" customWidth="1"/>
    <col min="15874" max="15874" width="13.28515625" style="102" customWidth="1"/>
    <col min="15875" max="15875" width="12.28515625" style="102" customWidth="1"/>
    <col min="15876" max="15876" width="13.28515625" style="102" customWidth="1"/>
    <col min="15877" max="15877" width="12.28515625" style="102" customWidth="1"/>
    <col min="15878" max="15878" width="13.28515625" style="102" customWidth="1"/>
    <col min="15879" max="15879" width="12.28515625" style="102" customWidth="1"/>
    <col min="15880" max="15880" width="13.28515625" style="102" customWidth="1"/>
    <col min="15881" max="15881" width="12.28515625" style="102" customWidth="1"/>
    <col min="15882" max="15882" width="13.28515625" style="102" customWidth="1"/>
    <col min="15883" max="15883" width="12.28515625" style="102" customWidth="1"/>
    <col min="15884" max="15884" width="14.28515625" style="102" customWidth="1"/>
    <col min="15885" max="15885" width="15.140625" style="102" customWidth="1"/>
    <col min="15886" max="16120" width="9.140625" style="102"/>
    <col min="16121" max="16121" width="8.85546875" style="102" customWidth="1"/>
    <col min="16122" max="16122" width="34.140625" style="102" customWidth="1"/>
    <col min="16123" max="16123" width="17.7109375" style="102" bestFit="1" customWidth="1"/>
    <col min="16124" max="16124" width="12.28515625" style="102" customWidth="1"/>
    <col min="16125" max="16126" width="13" style="102" customWidth="1"/>
    <col min="16127" max="16127" width="12.28515625" style="102" customWidth="1"/>
    <col min="16128" max="16128" width="13.28515625" style="102" customWidth="1"/>
    <col min="16129" max="16129" width="12.28515625" style="102" customWidth="1"/>
    <col min="16130" max="16130" width="13.28515625" style="102" customWidth="1"/>
    <col min="16131" max="16131" width="12.28515625" style="102" customWidth="1"/>
    <col min="16132" max="16132" width="13.28515625" style="102" customWidth="1"/>
    <col min="16133" max="16133" width="12.28515625" style="102" customWidth="1"/>
    <col min="16134" max="16134" width="13.28515625" style="102" customWidth="1"/>
    <col min="16135" max="16135" width="12.28515625" style="102" customWidth="1"/>
    <col min="16136" max="16136" width="13.28515625" style="102" customWidth="1"/>
    <col min="16137" max="16137" width="12.28515625" style="102" customWidth="1"/>
    <col min="16138" max="16138" width="13.28515625" style="102" customWidth="1"/>
    <col min="16139" max="16139" width="12.28515625" style="102" customWidth="1"/>
    <col min="16140" max="16140" width="14.28515625" style="102" customWidth="1"/>
    <col min="16141" max="16141" width="15.140625" style="102" customWidth="1"/>
    <col min="16142" max="16384" width="9.140625" style="102"/>
  </cols>
  <sheetData>
    <row r="1" spans="1:246" s="107" customFormat="1" ht="12.75">
      <c r="A1" s="304"/>
      <c r="B1" s="304"/>
      <c r="C1" s="304"/>
      <c r="D1" s="304"/>
      <c r="E1" s="304"/>
      <c r="F1" s="304"/>
      <c r="G1" s="304"/>
      <c r="H1" s="304"/>
      <c r="I1" s="304"/>
      <c r="J1" s="304"/>
      <c r="K1" s="304"/>
    </row>
    <row r="2" spans="1:246" s="74" customFormat="1" ht="18.75">
      <c r="A2" s="831" t="s">
        <v>3765</v>
      </c>
      <c r="B2" s="831"/>
      <c r="C2" s="831"/>
      <c r="D2" s="831"/>
      <c r="E2" s="831"/>
      <c r="F2" s="831"/>
      <c r="G2" s="831"/>
      <c r="H2" s="831"/>
      <c r="I2" s="831"/>
      <c r="J2" s="831"/>
      <c r="K2" s="831"/>
      <c r="L2" s="72"/>
      <c r="M2" s="72"/>
      <c r="N2" s="72"/>
      <c r="O2" s="72"/>
      <c r="P2" s="72"/>
      <c r="Q2" s="72"/>
    </row>
    <row r="3" spans="1:246" s="74" customFormat="1" ht="18.75">
      <c r="A3" s="831" t="s">
        <v>3766</v>
      </c>
      <c r="B3" s="831"/>
      <c r="C3" s="831"/>
      <c r="D3" s="831"/>
      <c r="E3" s="831"/>
      <c r="F3" s="831"/>
      <c r="G3" s="831"/>
      <c r="H3" s="831"/>
      <c r="I3" s="831"/>
      <c r="J3" s="831"/>
      <c r="K3" s="831"/>
      <c r="L3" s="72"/>
      <c r="M3" s="72"/>
      <c r="N3" s="72"/>
      <c r="O3" s="72"/>
      <c r="P3" s="72"/>
      <c r="Q3" s="72"/>
    </row>
    <row r="4" spans="1:246" s="74" customFormat="1" ht="18.75">
      <c r="A4" s="831" t="s">
        <v>3768</v>
      </c>
      <c r="B4" s="831"/>
      <c r="C4" s="831"/>
      <c r="D4" s="831"/>
      <c r="E4" s="831"/>
      <c r="F4" s="831"/>
      <c r="G4" s="831"/>
      <c r="H4" s="831"/>
      <c r="I4" s="831"/>
      <c r="J4" s="831"/>
      <c r="K4" s="831"/>
      <c r="L4" s="72"/>
      <c r="M4" s="72"/>
      <c r="N4" s="72"/>
      <c r="O4" s="72"/>
      <c r="P4" s="72"/>
      <c r="Q4" s="72"/>
    </row>
    <row r="5" spans="1:246" s="74" customFormat="1" ht="18.75">
      <c r="A5" s="831" t="s">
        <v>197</v>
      </c>
      <c r="B5" s="831"/>
      <c r="C5" s="831"/>
      <c r="D5" s="831"/>
      <c r="E5" s="831"/>
      <c r="F5" s="831"/>
      <c r="G5" s="831"/>
      <c r="H5" s="831"/>
      <c r="I5" s="831"/>
      <c r="J5" s="831"/>
      <c r="K5" s="831"/>
      <c r="L5" s="72"/>
      <c r="M5" s="72"/>
      <c r="N5" s="72"/>
      <c r="O5" s="72"/>
      <c r="P5" s="72"/>
      <c r="Q5" s="72"/>
      <c r="R5" s="72"/>
    </row>
    <row r="6" spans="1:246" s="67" customFormat="1" ht="25.5">
      <c r="A6" s="311" t="s">
        <v>101</v>
      </c>
      <c r="B6" s="743" t="str">
        <f>'018-21-CCU''s AUX'!C6</f>
        <v>018/2021-SEORÇA-SDS</v>
      </c>
      <c r="C6" s="130"/>
      <c r="D6" s="130"/>
      <c r="E6" s="130"/>
      <c r="F6" s="130"/>
      <c r="G6" s="130"/>
      <c r="I6" s="327" t="s">
        <v>61</v>
      </c>
      <c r="J6" s="880">
        <f>'018-21-CAPA'!E20</f>
        <v>44389</v>
      </c>
      <c r="K6" s="880"/>
      <c r="L6" s="66"/>
    </row>
    <row r="7" spans="1:246" s="67" customFormat="1" ht="15.75" customHeight="1">
      <c r="A7" s="311" t="s">
        <v>13</v>
      </c>
      <c r="B7" s="743" t="str">
        <f>'018-21-CCU''s AUX'!C7</f>
        <v>ORÇ. REFORMA DO RESTAURANTE COMUNITÁRIO DE ARNIQUEIRAS</v>
      </c>
      <c r="C7" s="311" t="s">
        <v>16</v>
      </c>
      <c r="D7" s="329" t="str">
        <f>'018-21-CCU''s'!H7</f>
        <v>PROJ-DE-045-20</v>
      </c>
      <c r="E7" s="330"/>
      <c r="F7" s="330"/>
      <c r="G7" s="330"/>
      <c r="I7" s="327" t="s">
        <v>14477</v>
      </c>
      <c r="J7" s="881" t="str">
        <f>'018-21-CCU''s'!H8</f>
        <v>SINAPI MAIO 2021</v>
      </c>
      <c r="K7" s="881"/>
      <c r="L7" s="66"/>
    </row>
    <row r="8" spans="1:246" s="67" customFormat="1" ht="25.5">
      <c r="A8" s="311" t="s">
        <v>102</v>
      </c>
      <c r="B8" s="310" t="str">
        <f>'018-21-CCU''s'!C8</f>
        <v>horista=113,69% / mensalista=73,06%</v>
      </c>
      <c r="C8" s="331"/>
      <c r="D8" s="130"/>
      <c r="E8" s="130"/>
      <c r="F8" s="331" t="s">
        <v>14479</v>
      </c>
      <c r="G8" s="130"/>
      <c r="H8" s="331" t="s">
        <v>14478</v>
      </c>
      <c r="I8" s="331"/>
      <c r="J8" s="331"/>
      <c r="K8" s="331"/>
      <c r="L8" s="66"/>
    </row>
    <row r="9" spans="1:246" s="109" customFormat="1" ht="12.75" thickBot="1">
      <c r="A9" s="303"/>
      <c r="B9" s="303"/>
      <c r="C9" s="108"/>
      <c r="D9" s="108"/>
      <c r="E9" s="108"/>
      <c r="F9" s="108"/>
      <c r="G9" s="108"/>
      <c r="H9" s="108"/>
      <c r="I9" s="108"/>
      <c r="J9" s="108"/>
      <c r="K9" s="108"/>
    </row>
    <row r="10" spans="1:246" ht="22.5">
      <c r="A10" s="224" t="s">
        <v>0</v>
      </c>
      <c r="B10" s="225" t="s">
        <v>176</v>
      </c>
      <c r="C10" s="225" t="s">
        <v>177</v>
      </c>
      <c r="D10" s="226" t="s">
        <v>9603</v>
      </c>
      <c r="E10" s="226" t="s">
        <v>9604</v>
      </c>
      <c r="F10" s="226" t="s">
        <v>9605</v>
      </c>
      <c r="G10" s="226" t="s">
        <v>14472</v>
      </c>
      <c r="H10" s="226" t="s">
        <v>14473</v>
      </c>
      <c r="I10" s="226" t="s">
        <v>14475</v>
      </c>
      <c r="J10" s="226" t="s">
        <v>14476</v>
      </c>
      <c r="K10" s="227" t="s">
        <v>14474</v>
      </c>
      <c r="L10" s="101"/>
      <c r="M10" s="101"/>
      <c r="N10" s="101"/>
      <c r="O10" s="101"/>
      <c r="P10" s="101"/>
      <c r="Q10" s="101"/>
      <c r="R10" s="101"/>
      <c r="S10" s="101"/>
      <c r="T10" s="101"/>
      <c r="U10" s="101"/>
      <c r="V10" s="101"/>
      <c r="W10" s="101"/>
      <c r="X10" s="101"/>
      <c r="Y10" s="101"/>
      <c r="Z10" s="101"/>
      <c r="AA10" s="101"/>
      <c r="AB10" s="101"/>
      <c r="AC10" s="101"/>
      <c r="AD10" s="101"/>
      <c r="AE10" s="101"/>
      <c r="AF10" s="101"/>
      <c r="AG10" s="101"/>
      <c r="AH10" s="101"/>
      <c r="AI10" s="101"/>
      <c r="AJ10" s="101"/>
      <c r="AK10" s="101"/>
      <c r="AL10" s="101"/>
      <c r="AM10" s="101"/>
      <c r="AN10" s="101"/>
      <c r="AO10" s="101"/>
      <c r="AP10" s="101"/>
      <c r="AQ10" s="101"/>
      <c r="AR10" s="101"/>
      <c r="AS10" s="101"/>
      <c r="AT10" s="101"/>
      <c r="AU10" s="101"/>
      <c r="AV10" s="101"/>
      <c r="AW10" s="101"/>
      <c r="AX10" s="101"/>
      <c r="AY10" s="101"/>
      <c r="AZ10" s="101"/>
      <c r="BA10" s="101"/>
      <c r="BB10" s="101"/>
      <c r="BC10" s="101"/>
      <c r="BD10" s="101"/>
      <c r="BE10" s="101"/>
      <c r="BF10" s="101"/>
      <c r="BG10" s="101"/>
      <c r="BH10" s="101"/>
      <c r="BI10" s="101"/>
      <c r="BJ10" s="101"/>
      <c r="BK10" s="101"/>
      <c r="BL10" s="101"/>
      <c r="BM10" s="101"/>
      <c r="BN10" s="101"/>
      <c r="BO10" s="101"/>
      <c r="BP10" s="101"/>
      <c r="BQ10" s="101"/>
      <c r="BR10" s="101"/>
      <c r="BS10" s="101"/>
      <c r="BT10" s="101"/>
      <c r="BU10" s="101"/>
      <c r="BV10" s="101"/>
      <c r="BW10" s="101"/>
      <c r="BX10" s="101"/>
      <c r="BY10" s="101"/>
      <c r="BZ10" s="101"/>
      <c r="CA10" s="101"/>
      <c r="CB10" s="101"/>
      <c r="CC10" s="101"/>
      <c r="CD10" s="101"/>
      <c r="CE10" s="101"/>
      <c r="CF10" s="101"/>
      <c r="CG10" s="101"/>
      <c r="CH10" s="101"/>
      <c r="CI10" s="101"/>
      <c r="CJ10" s="101"/>
      <c r="CK10" s="101"/>
      <c r="CL10" s="101"/>
      <c r="CM10" s="101"/>
      <c r="CN10" s="101"/>
      <c r="CO10" s="101"/>
      <c r="CP10" s="101"/>
      <c r="CQ10" s="101"/>
      <c r="CR10" s="101"/>
      <c r="CS10" s="101"/>
      <c r="CT10" s="101"/>
      <c r="CU10" s="101"/>
      <c r="CV10" s="101"/>
      <c r="CW10" s="101"/>
      <c r="CX10" s="101"/>
      <c r="CY10" s="101"/>
      <c r="CZ10" s="101"/>
      <c r="DA10" s="101"/>
      <c r="DB10" s="101"/>
      <c r="DC10" s="101"/>
      <c r="DD10" s="101"/>
      <c r="DE10" s="101"/>
      <c r="DF10" s="101"/>
      <c r="DG10" s="101"/>
      <c r="DH10" s="101"/>
      <c r="DI10" s="101"/>
      <c r="DJ10" s="101"/>
      <c r="DK10" s="101"/>
      <c r="DL10" s="101"/>
      <c r="DM10" s="101"/>
      <c r="DN10" s="101"/>
      <c r="DO10" s="101"/>
      <c r="DP10" s="101"/>
      <c r="DQ10" s="101"/>
      <c r="DR10" s="101"/>
      <c r="DS10" s="101"/>
      <c r="DT10" s="101"/>
      <c r="DU10" s="101"/>
      <c r="DV10" s="101"/>
      <c r="DW10" s="101"/>
      <c r="DX10" s="101"/>
      <c r="DY10" s="101"/>
      <c r="DZ10" s="101"/>
      <c r="EA10" s="101"/>
      <c r="EB10" s="101"/>
      <c r="EC10" s="101"/>
      <c r="ED10" s="101"/>
      <c r="EE10" s="101"/>
      <c r="EF10" s="101"/>
      <c r="EG10" s="101"/>
      <c r="EH10" s="101"/>
      <c r="EI10" s="101"/>
      <c r="EJ10" s="101"/>
      <c r="EK10" s="101"/>
      <c r="EL10" s="101"/>
      <c r="EM10" s="101"/>
      <c r="EN10" s="101"/>
      <c r="EO10" s="101"/>
      <c r="EP10" s="101"/>
      <c r="EQ10" s="101"/>
      <c r="ER10" s="101"/>
      <c r="ES10" s="101"/>
      <c r="ET10" s="101"/>
      <c r="EU10" s="101"/>
      <c r="EV10" s="101"/>
      <c r="EW10" s="101"/>
      <c r="EX10" s="101"/>
      <c r="EY10" s="101"/>
      <c r="EZ10" s="101"/>
      <c r="FA10" s="101"/>
      <c r="FB10" s="101"/>
      <c r="FC10" s="101"/>
      <c r="FD10" s="101"/>
      <c r="FE10" s="101"/>
      <c r="FF10" s="101"/>
      <c r="FG10" s="101"/>
      <c r="FH10" s="101"/>
      <c r="FI10" s="101"/>
      <c r="FJ10" s="101"/>
      <c r="FK10" s="101"/>
      <c r="FL10" s="101"/>
      <c r="FM10" s="101"/>
      <c r="FN10" s="101"/>
      <c r="FO10" s="101"/>
      <c r="FP10" s="101"/>
      <c r="FQ10" s="101"/>
      <c r="FR10" s="101"/>
      <c r="FS10" s="101"/>
      <c r="FT10" s="101"/>
      <c r="FU10" s="101"/>
      <c r="FV10" s="101"/>
      <c r="FW10" s="101"/>
      <c r="FX10" s="101"/>
      <c r="FY10" s="101"/>
      <c r="FZ10" s="101"/>
      <c r="GA10" s="101"/>
      <c r="GB10" s="101"/>
      <c r="GC10" s="101"/>
      <c r="GD10" s="101"/>
      <c r="GE10" s="101"/>
      <c r="GF10" s="101"/>
      <c r="GG10" s="101"/>
      <c r="GH10" s="101"/>
      <c r="GI10" s="101"/>
      <c r="GJ10" s="101"/>
      <c r="GK10" s="101"/>
      <c r="GL10" s="101"/>
      <c r="GM10" s="101"/>
      <c r="GN10" s="101"/>
      <c r="GO10" s="101"/>
      <c r="GP10" s="101"/>
      <c r="GQ10" s="101"/>
      <c r="GR10" s="101"/>
      <c r="GS10" s="101"/>
      <c r="GT10" s="101"/>
      <c r="GU10" s="101"/>
      <c r="GV10" s="101"/>
      <c r="GW10" s="101"/>
      <c r="GX10" s="101"/>
      <c r="GY10" s="101"/>
      <c r="GZ10" s="101"/>
      <c r="HA10" s="101"/>
      <c r="HB10" s="101"/>
      <c r="HC10" s="101"/>
      <c r="HD10" s="101"/>
      <c r="HE10" s="101"/>
      <c r="HF10" s="101"/>
      <c r="HG10" s="101"/>
      <c r="HH10" s="101"/>
      <c r="HI10" s="101"/>
      <c r="HJ10" s="101"/>
      <c r="HK10" s="101"/>
      <c r="HL10" s="101"/>
      <c r="HM10" s="101"/>
      <c r="HN10" s="101"/>
      <c r="HO10" s="101"/>
      <c r="HP10" s="101"/>
      <c r="HQ10" s="101"/>
      <c r="HR10" s="101"/>
      <c r="HS10" s="101"/>
      <c r="HT10" s="101"/>
      <c r="HU10" s="101"/>
      <c r="HV10" s="101"/>
      <c r="HW10" s="101"/>
      <c r="HX10" s="101"/>
      <c r="HY10" s="101"/>
      <c r="HZ10" s="101"/>
      <c r="IA10" s="101"/>
      <c r="IB10" s="101"/>
      <c r="IC10" s="101"/>
      <c r="ID10" s="101"/>
      <c r="IE10" s="101"/>
      <c r="IF10" s="101"/>
      <c r="IG10" s="101"/>
      <c r="IH10" s="101"/>
      <c r="II10" s="101"/>
      <c r="IJ10" s="101"/>
      <c r="IK10" s="101"/>
      <c r="IL10" s="101"/>
    </row>
    <row r="11" spans="1:246" ht="12.75">
      <c r="A11" s="865" t="s">
        <v>72</v>
      </c>
      <c r="B11" s="868" t="s">
        <v>178</v>
      </c>
      <c r="C11" s="871">
        <f>'018.01-21-ADM OBRA'!J21</f>
        <v>15064.977708000002</v>
      </c>
      <c r="D11" s="315">
        <v>1</v>
      </c>
      <c r="E11" s="315"/>
      <c r="F11" s="315"/>
      <c r="G11" s="315"/>
      <c r="H11" s="315"/>
      <c r="I11" s="656"/>
      <c r="J11" s="316"/>
      <c r="K11" s="318"/>
      <c r="L11" s="103"/>
      <c r="M11" s="658">
        <f>SUM(D11:K11)</f>
        <v>1</v>
      </c>
      <c r="N11" s="104"/>
    </row>
    <row r="12" spans="1:246" ht="12.75">
      <c r="A12" s="866"/>
      <c r="B12" s="869"/>
      <c r="C12" s="872"/>
      <c r="D12" s="332"/>
      <c r="E12" s="333"/>
      <c r="F12" s="333"/>
      <c r="G12" s="333"/>
      <c r="H12" s="333"/>
      <c r="I12" s="333"/>
      <c r="J12" s="333"/>
      <c r="K12" s="334"/>
      <c r="L12" s="676">
        <f>C11/$C$41</f>
        <v>3.0285870470081119E-3</v>
      </c>
      <c r="M12" s="658"/>
    </row>
    <row r="13" spans="1:246" ht="12.75">
      <c r="A13" s="867"/>
      <c r="B13" s="870"/>
      <c r="C13" s="873"/>
      <c r="D13" s="652">
        <f>$C$11*D11</f>
        <v>15064.977708000002</v>
      </c>
      <c r="E13" s="652"/>
      <c r="F13" s="652"/>
      <c r="G13" s="652"/>
      <c r="H13" s="652"/>
      <c r="I13" s="652"/>
      <c r="J13" s="652"/>
      <c r="K13" s="653"/>
      <c r="M13" s="658">
        <f>SUM(D13:K13)</f>
        <v>15064.977708000002</v>
      </c>
      <c r="N13" s="182">
        <f>M13-C11</f>
        <v>0</v>
      </c>
    </row>
    <row r="14" spans="1:246" ht="12.75">
      <c r="A14" s="874" t="s">
        <v>78</v>
      </c>
      <c r="B14" s="876" t="s">
        <v>3</v>
      </c>
      <c r="C14" s="878">
        <f>'018.02-21-IMPLANTAÇÃO'!J90+'018.04-21-LIXEIRA'!J17+'018.05-21-GLP'!J17+'018.06-21-BOMBAS'!J17+'018.07-21-CALDEIRA'!J17+'018.01-21-ADM OBRA'!J28</f>
        <v>302074.96566519875</v>
      </c>
      <c r="D14" s="319">
        <f>1-E14-F14-G14-H14-I14-J14-K14</f>
        <v>0.93655480000000035</v>
      </c>
      <c r="E14" s="656">
        <v>9.0635999999999998E-3</v>
      </c>
      <c r="F14" s="656">
        <v>9.0635999999999998E-3</v>
      </c>
      <c r="G14" s="656">
        <v>9.0635999999999998E-3</v>
      </c>
      <c r="H14" s="656">
        <v>9.0635999999999998E-3</v>
      </c>
      <c r="I14" s="656">
        <v>9.0635999999999998E-3</v>
      </c>
      <c r="J14" s="656">
        <v>9.0635999999999998E-3</v>
      </c>
      <c r="K14" s="656">
        <v>9.0635999999999998E-3</v>
      </c>
      <c r="L14" s="103"/>
      <c r="M14" s="658">
        <f>SUM(D14:K14)</f>
        <v>1</v>
      </c>
      <c r="N14" s="182"/>
    </row>
    <row r="15" spans="1:246" ht="12.75">
      <c r="A15" s="866"/>
      <c r="B15" s="869"/>
      <c r="C15" s="872"/>
      <c r="D15" s="332"/>
      <c r="E15" s="332"/>
      <c r="F15" s="332"/>
      <c r="G15" s="332"/>
      <c r="H15" s="332"/>
      <c r="I15" s="332"/>
      <c r="J15" s="332"/>
      <c r="K15" s="332"/>
      <c r="L15" s="676">
        <f>C14/$C$41</f>
        <v>6.0727625753685642E-2</v>
      </c>
      <c r="M15" s="658"/>
      <c r="N15" s="182"/>
    </row>
    <row r="16" spans="1:246" ht="12.75">
      <c r="A16" s="875"/>
      <c r="B16" s="877"/>
      <c r="C16" s="879"/>
      <c r="D16" s="654">
        <f>$C$14*D14</f>
        <v>282909.7590535772</v>
      </c>
      <c r="E16" s="654">
        <f>$C$14*E14</f>
        <v>2737.8866588030951</v>
      </c>
      <c r="F16" s="654">
        <f t="shared" ref="F16:K16" si="0">$C$14*F14</f>
        <v>2737.8866588030951</v>
      </c>
      <c r="G16" s="654">
        <f t="shared" si="0"/>
        <v>2737.8866588030951</v>
      </c>
      <c r="H16" s="654">
        <f t="shared" si="0"/>
        <v>2737.8866588030951</v>
      </c>
      <c r="I16" s="654">
        <f t="shared" si="0"/>
        <v>2737.8866588030951</v>
      </c>
      <c r="J16" s="654">
        <f t="shared" si="0"/>
        <v>2737.8866588030951</v>
      </c>
      <c r="K16" s="654">
        <f t="shared" si="0"/>
        <v>2737.8866588030951</v>
      </c>
      <c r="M16" s="658">
        <f>SUM(D16:K16)</f>
        <v>302074.96566519886</v>
      </c>
      <c r="N16" s="182">
        <f>M16-C14</f>
        <v>0</v>
      </c>
    </row>
    <row r="17" spans="1:14" ht="12.75">
      <c r="A17" s="865" t="s">
        <v>179</v>
      </c>
      <c r="B17" s="868" t="s">
        <v>180</v>
      </c>
      <c r="C17" s="871">
        <f>'018.02-21-IMPLANTAÇÃO'!J128+'018.03-21-ED. PRINCIPAL'!J150+'018.04-21-LIXEIRA'!J93+'018.05-21-GLP'!J93+'018.06-21-BOMBAS'!J93+'018.07-21-CALDEIRA'!J93</f>
        <v>758289.50542519556</v>
      </c>
      <c r="D17" s="317">
        <v>0.1</v>
      </c>
      <c r="E17" s="317">
        <v>0.6</v>
      </c>
      <c r="F17" s="317">
        <v>0.3</v>
      </c>
      <c r="G17" s="317"/>
      <c r="H17" s="317"/>
      <c r="I17" s="316"/>
      <c r="J17" s="656"/>
      <c r="K17" s="318"/>
      <c r="L17" s="103"/>
      <c r="M17" s="658">
        <f>SUM(D17:K17)</f>
        <v>1</v>
      </c>
      <c r="N17" s="182"/>
    </row>
    <row r="18" spans="1:14" ht="12.75">
      <c r="A18" s="866"/>
      <c r="B18" s="869"/>
      <c r="C18" s="872"/>
      <c r="D18" s="332"/>
      <c r="E18" s="332"/>
      <c r="F18" s="332"/>
      <c r="G18" s="333"/>
      <c r="H18" s="333"/>
      <c r="I18" s="333"/>
      <c r="J18" s="333"/>
      <c r="K18" s="334"/>
      <c r="L18" s="676">
        <f>C17/$C$41</f>
        <v>0.15244269314739131</v>
      </c>
      <c r="M18" s="658"/>
      <c r="N18" s="182"/>
    </row>
    <row r="19" spans="1:14" ht="12.75">
      <c r="A19" s="867"/>
      <c r="B19" s="870"/>
      <c r="C19" s="873"/>
      <c r="D19" s="652">
        <f t="shared" ref="D19" si="1">$C$17*D17</f>
        <v>75828.950542519553</v>
      </c>
      <c r="E19" s="652">
        <f t="shared" ref="E19:F19" si="2">$C$17*E17</f>
        <v>454973.70325511735</v>
      </c>
      <c r="F19" s="652">
        <f t="shared" si="2"/>
        <v>227486.85162755867</v>
      </c>
      <c r="G19" s="652"/>
      <c r="H19" s="652"/>
      <c r="I19" s="652"/>
      <c r="J19" s="652"/>
      <c r="K19" s="653"/>
      <c r="M19" s="658">
        <f>SUM(D19:K19)</f>
        <v>758289.50542519556</v>
      </c>
      <c r="N19" s="182">
        <f>M19-C17</f>
        <v>0</v>
      </c>
    </row>
    <row r="20" spans="1:14" ht="12.75">
      <c r="A20" s="874" t="s">
        <v>181</v>
      </c>
      <c r="B20" s="876" t="s">
        <v>182</v>
      </c>
      <c r="C20" s="878">
        <f>'018.02-21-IMPLANTAÇÃO'!J172+'018.03-21-ED. PRINCIPAL'!J353+'018.04-21-LIXEIRA'!J138+'018.05-21-GLP'!J141+'018.06-21-BOMBAS'!J138+'018.07-21-CALDEIRA'!J142</f>
        <v>2007785.6352778047</v>
      </c>
      <c r="D20" s="317"/>
      <c r="E20" s="317"/>
      <c r="F20" s="317">
        <v>0.1</v>
      </c>
      <c r="G20" s="317">
        <v>0.25</v>
      </c>
      <c r="H20" s="317">
        <v>0.2</v>
      </c>
      <c r="I20" s="317">
        <v>0.2</v>
      </c>
      <c r="J20" s="317">
        <v>0.15</v>
      </c>
      <c r="K20" s="321">
        <v>0.1</v>
      </c>
      <c r="L20" s="103"/>
      <c r="M20" s="658">
        <f>SUM(D20:K20)</f>
        <v>1</v>
      </c>
      <c r="N20" s="182"/>
    </row>
    <row r="21" spans="1:14" ht="12.75">
      <c r="A21" s="866" t="s">
        <v>183</v>
      </c>
      <c r="B21" s="869"/>
      <c r="C21" s="872"/>
      <c r="D21" s="333"/>
      <c r="E21" s="333"/>
      <c r="F21" s="332"/>
      <c r="G21" s="332"/>
      <c r="H21" s="332"/>
      <c r="I21" s="332"/>
      <c r="J21" s="332"/>
      <c r="K21" s="335"/>
      <c r="L21" s="676">
        <f>C20/$C$41</f>
        <v>0.40363508569562839</v>
      </c>
      <c r="M21" s="658"/>
      <c r="N21" s="182"/>
    </row>
    <row r="22" spans="1:14" ht="12.75">
      <c r="A22" s="875"/>
      <c r="B22" s="877"/>
      <c r="C22" s="879"/>
      <c r="D22" s="652"/>
      <c r="E22" s="652"/>
      <c r="F22" s="652">
        <f t="shared" ref="F22:K22" si="3">$C$20*F20</f>
        <v>200778.56352778047</v>
      </c>
      <c r="G22" s="652">
        <f t="shared" si="3"/>
        <v>501946.40881945117</v>
      </c>
      <c r="H22" s="652">
        <f t="shared" si="3"/>
        <v>401557.12705556094</v>
      </c>
      <c r="I22" s="652">
        <f t="shared" si="3"/>
        <v>401557.12705556094</v>
      </c>
      <c r="J22" s="652">
        <f t="shared" si="3"/>
        <v>301167.8452916707</v>
      </c>
      <c r="K22" s="653">
        <f t="shared" si="3"/>
        <v>200778.56352778047</v>
      </c>
      <c r="M22" s="658">
        <f>SUM(D22:K22)</f>
        <v>2007785.6352778045</v>
      </c>
      <c r="N22" s="182">
        <f>M22-C20</f>
        <v>0</v>
      </c>
    </row>
    <row r="23" spans="1:14" ht="12.75">
      <c r="A23" s="865" t="s">
        <v>184</v>
      </c>
      <c r="B23" s="868" t="s">
        <v>185</v>
      </c>
      <c r="C23" s="871">
        <f>'018.02-21-IMPLANTAÇÃO'!J285+'018.03-21-ED. PRINCIPAL'!J548+'018.04-21-LIXEIRA'!J159+'018.06-21-BOMBAS'!J146+'018.07-21-CALDEIRA'!J168</f>
        <v>521223.06535646803</v>
      </c>
      <c r="D23" s="317"/>
      <c r="E23" s="656"/>
      <c r="F23" s="317">
        <v>0.15</v>
      </c>
      <c r="G23" s="317">
        <v>0.25</v>
      </c>
      <c r="H23" s="317">
        <v>0.3</v>
      </c>
      <c r="I23" s="317">
        <v>0.25</v>
      </c>
      <c r="J23" s="317">
        <v>0.05</v>
      </c>
      <c r="K23" s="321"/>
      <c r="L23" s="103"/>
      <c r="M23" s="658">
        <f>SUM(D23:K23)</f>
        <v>1</v>
      </c>
      <c r="N23" s="182"/>
    </row>
    <row r="24" spans="1:14" ht="12.75">
      <c r="A24" s="866"/>
      <c r="B24" s="869"/>
      <c r="C24" s="872"/>
      <c r="D24" s="333"/>
      <c r="E24" s="333"/>
      <c r="F24" s="332"/>
      <c r="G24" s="332"/>
      <c r="H24" s="332"/>
      <c r="I24" s="332"/>
      <c r="J24" s="332"/>
      <c r="K24" s="334"/>
      <c r="L24" s="676">
        <f>C23/$C$41</f>
        <v>0.10478405311560395</v>
      </c>
      <c r="M24" s="658"/>
      <c r="N24" s="182"/>
    </row>
    <row r="25" spans="1:14" ht="12.75">
      <c r="A25" s="867"/>
      <c r="B25" s="870"/>
      <c r="C25" s="873"/>
      <c r="D25" s="652"/>
      <c r="E25" s="652"/>
      <c r="F25" s="652">
        <f t="shared" ref="F25:H25" si="4">$C$23*F23</f>
        <v>78183.459803470207</v>
      </c>
      <c r="G25" s="652">
        <f t="shared" si="4"/>
        <v>130305.76633911701</v>
      </c>
      <c r="H25" s="652">
        <f t="shared" si="4"/>
        <v>156366.91960694041</v>
      </c>
      <c r="I25" s="652">
        <f t="shared" ref="I25" si="5">$C$23*I23</f>
        <v>130305.76633911701</v>
      </c>
      <c r="J25" s="652">
        <f>$C$23*J23</f>
        <v>26061.153267823403</v>
      </c>
      <c r="K25" s="653"/>
      <c r="M25" s="658">
        <f>SUM(D25:K25)</f>
        <v>521223.06535646803</v>
      </c>
      <c r="N25" s="182">
        <f>M25-C23</f>
        <v>0</v>
      </c>
    </row>
    <row r="26" spans="1:14" ht="12.75">
      <c r="A26" s="874" t="s">
        <v>113</v>
      </c>
      <c r="B26" s="876" t="s">
        <v>186</v>
      </c>
      <c r="C26" s="878">
        <f>'018.02-21-IMPLANTAÇÃO'!J382+'018.03-21-ED. PRINCIPAL'!J717+'018.04-21-LIXEIRA'!J188+'018.06-21-BOMBAS'!J178+'018.07-21-CALDEIRA'!J204</f>
        <v>651063.77606149972</v>
      </c>
      <c r="D26" s="317"/>
      <c r="E26" s="656"/>
      <c r="F26" s="317">
        <v>0.1</v>
      </c>
      <c r="G26" s="317">
        <v>0.15</v>
      </c>
      <c r="H26" s="317">
        <v>0.25</v>
      </c>
      <c r="I26" s="317">
        <v>0.2</v>
      </c>
      <c r="J26" s="317">
        <v>0.2</v>
      </c>
      <c r="K26" s="321">
        <v>0.1</v>
      </c>
      <c r="L26" s="103"/>
      <c r="M26" s="658">
        <f>SUM(D26:K26)</f>
        <v>0.99999999999999989</v>
      </c>
      <c r="N26" s="182"/>
    </row>
    <row r="27" spans="1:14" ht="12.75">
      <c r="A27" s="866"/>
      <c r="B27" s="869"/>
      <c r="C27" s="872"/>
      <c r="D27" s="333"/>
      <c r="E27" s="333"/>
      <c r="F27" s="332"/>
      <c r="G27" s="332"/>
      <c r="H27" s="332"/>
      <c r="I27" s="332"/>
      <c r="J27" s="332"/>
      <c r="K27" s="335"/>
      <c r="L27" s="676">
        <f>C26/$C$41</f>
        <v>0.13088657395815165</v>
      </c>
      <c r="M27" s="658"/>
      <c r="N27" s="182"/>
    </row>
    <row r="28" spans="1:14" ht="12.75">
      <c r="A28" s="875"/>
      <c r="B28" s="877"/>
      <c r="C28" s="879"/>
      <c r="D28" s="652"/>
      <c r="E28" s="654"/>
      <c r="F28" s="652">
        <f t="shared" ref="F28:K28" si="6">$C$26*F26</f>
        <v>65106.377606149974</v>
      </c>
      <c r="G28" s="652">
        <f t="shared" si="6"/>
        <v>97659.56640922495</v>
      </c>
      <c r="H28" s="652">
        <f t="shared" si="6"/>
        <v>162765.94401537493</v>
      </c>
      <c r="I28" s="652">
        <f t="shared" si="6"/>
        <v>130212.75521229995</v>
      </c>
      <c r="J28" s="652">
        <f t="shared" si="6"/>
        <v>130212.75521229995</v>
      </c>
      <c r="K28" s="653">
        <f t="shared" si="6"/>
        <v>65106.377606149974</v>
      </c>
      <c r="M28" s="658">
        <f t="shared" ref="M28:M40" si="7">SUM(D28:K28)</f>
        <v>651063.77606149972</v>
      </c>
      <c r="N28" s="182">
        <f>M28-C26</f>
        <v>0</v>
      </c>
    </row>
    <row r="29" spans="1:14" ht="12.75">
      <c r="A29" s="865" t="s">
        <v>139</v>
      </c>
      <c r="B29" s="868" t="s">
        <v>140</v>
      </c>
      <c r="C29" s="871">
        <f>'018.02-21-IMPLANTAÇÃO'!J404+'018.03-21-ED. PRINCIPAL'!J826+'018.05-21-GLP'!J175+'018.07-21-CALDEIRA'!J233</f>
        <v>322420.00018545002</v>
      </c>
      <c r="D29" s="317"/>
      <c r="E29" s="316"/>
      <c r="F29" s="656"/>
      <c r="G29" s="317">
        <v>0.1</v>
      </c>
      <c r="H29" s="317">
        <v>0.25</v>
      </c>
      <c r="I29" s="317">
        <v>0.3</v>
      </c>
      <c r="J29" s="317">
        <v>0.3</v>
      </c>
      <c r="K29" s="321">
        <v>0.05</v>
      </c>
      <c r="L29" s="103"/>
      <c r="M29" s="658">
        <f t="shared" si="7"/>
        <v>1</v>
      </c>
      <c r="N29" s="182"/>
    </row>
    <row r="30" spans="1:14" ht="12.75">
      <c r="A30" s="866"/>
      <c r="B30" s="869"/>
      <c r="C30" s="872"/>
      <c r="D30" s="333"/>
      <c r="E30" s="333"/>
      <c r="F30" s="333"/>
      <c r="G30" s="332"/>
      <c r="H30" s="332"/>
      <c r="I30" s="332"/>
      <c r="J30" s="332"/>
      <c r="K30" s="332"/>
      <c r="L30" s="676">
        <f>C29/$C$41</f>
        <v>6.4817688760300335E-2</v>
      </c>
      <c r="M30" s="658">
        <f t="shared" si="7"/>
        <v>0</v>
      </c>
      <c r="N30" s="182"/>
    </row>
    <row r="31" spans="1:14" ht="12.75">
      <c r="A31" s="867"/>
      <c r="B31" s="870"/>
      <c r="C31" s="873"/>
      <c r="D31" s="652"/>
      <c r="E31" s="655"/>
      <c r="F31" s="652"/>
      <c r="G31" s="652">
        <f>$C$29*G29</f>
        <v>32242.000018545004</v>
      </c>
      <c r="H31" s="652">
        <f t="shared" ref="H31" si="8">$C$29*H29</f>
        <v>80605.000046362504</v>
      </c>
      <c r="I31" s="652">
        <f t="shared" ref="I31" si="9">$C$29*I29</f>
        <v>96726.000055634999</v>
      </c>
      <c r="J31" s="652">
        <f t="shared" ref="J31:K31" si="10">$C$29*J29</f>
        <v>96726.000055634999</v>
      </c>
      <c r="K31" s="652">
        <f t="shared" si="10"/>
        <v>16121.000009272502</v>
      </c>
      <c r="M31" s="658">
        <f t="shared" si="7"/>
        <v>322420.00018544996</v>
      </c>
      <c r="N31" s="182">
        <f>M31-C29</f>
        <v>0</v>
      </c>
    </row>
    <row r="32" spans="1:14" ht="12.75">
      <c r="A32" s="874" t="s">
        <v>141</v>
      </c>
      <c r="B32" s="876" t="s">
        <v>187</v>
      </c>
      <c r="C32" s="878">
        <f>'018.02-21-IMPLANTAÇÃO'!J436+'018.03-21-ED. PRINCIPAL'!J862+'018.05-21-GLP'!J183+'018.06-21-BOMBAS'!J211+'018.07-21-CALDEIRA'!J240</f>
        <v>53626.050752500007</v>
      </c>
      <c r="D32" s="317"/>
      <c r="E32" s="320"/>
      <c r="F32" s="320"/>
      <c r="G32" s="320"/>
      <c r="H32" s="320"/>
      <c r="I32" s="317">
        <v>0.5</v>
      </c>
      <c r="J32" s="317">
        <v>0.3</v>
      </c>
      <c r="K32" s="321">
        <v>0.2</v>
      </c>
      <c r="L32" s="103"/>
      <c r="M32" s="658">
        <f t="shared" si="7"/>
        <v>1</v>
      </c>
      <c r="N32" s="182"/>
    </row>
    <row r="33" spans="1:14" ht="12.75">
      <c r="A33" s="866"/>
      <c r="B33" s="869"/>
      <c r="C33" s="872"/>
      <c r="D33" s="333"/>
      <c r="E33" s="333"/>
      <c r="F33" s="333"/>
      <c r="G33" s="333"/>
      <c r="H33" s="333"/>
      <c r="I33" s="332"/>
      <c r="J33" s="332"/>
      <c r="K33" s="335"/>
      <c r="L33" s="676">
        <f>C32/$C$41</f>
        <v>1.078071045567996E-2</v>
      </c>
      <c r="M33" s="658">
        <f t="shared" si="7"/>
        <v>0</v>
      </c>
      <c r="N33" s="182"/>
    </row>
    <row r="34" spans="1:14" ht="12.75">
      <c r="A34" s="875"/>
      <c r="B34" s="877"/>
      <c r="C34" s="879"/>
      <c r="D34" s="652"/>
      <c r="E34" s="657"/>
      <c r="F34" s="657"/>
      <c r="G34" s="657"/>
      <c r="H34" s="657"/>
      <c r="I34" s="652">
        <f t="shared" ref="I34:J34" si="11">$C$32*I32</f>
        <v>26813.025376250003</v>
      </c>
      <c r="J34" s="652">
        <f t="shared" si="11"/>
        <v>16087.815225750001</v>
      </c>
      <c r="K34" s="653">
        <f>$C$32*K32</f>
        <v>10725.210150500003</v>
      </c>
      <c r="M34" s="658">
        <f t="shared" si="7"/>
        <v>53626.050752500007</v>
      </c>
      <c r="N34" s="182">
        <f t="shared" ref="N34:N40" si="12">M34-C32</f>
        <v>0</v>
      </c>
    </row>
    <row r="35" spans="1:14" ht="12.75">
      <c r="A35" s="865" t="s">
        <v>80</v>
      </c>
      <c r="B35" s="868" t="s">
        <v>81</v>
      </c>
      <c r="C35" s="871">
        <f>'018.01-21-ADM OBRA'!J50</f>
        <v>35135.839526000003</v>
      </c>
      <c r="D35" s="315">
        <v>0.25</v>
      </c>
      <c r="E35" s="315">
        <v>0.11</v>
      </c>
      <c r="F35" s="315">
        <v>0.11</v>
      </c>
      <c r="G35" s="315">
        <v>0.1</v>
      </c>
      <c r="H35" s="315">
        <v>0.1</v>
      </c>
      <c r="I35" s="315">
        <v>0.1</v>
      </c>
      <c r="J35" s="315">
        <v>0.1</v>
      </c>
      <c r="K35" s="318">
        <v>0.13</v>
      </c>
      <c r="L35" s="103"/>
      <c r="M35" s="658">
        <f t="shared" si="7"/>
        <v>0.99999999999999989</v>
      </c>
      <c r="N35" s="182">
        <f t="shared" si="12"/>
        <v>0.99999999999999989</v>
      </c>
    </row>
    <row r="36" spans="1:14" ht="12.75">
      <c r="A36" s="866"/>
      <c r="B36" s="869"/>
      <c r="C36" s="872"/>
      <c r="D36" s="332"/>
      <c r="E36" s="332"/>
      <c r="F36" s="332"/>
      <c r="G36" s="332"/>
      <c r="H36" s="332"/>
      <c r="I36" s="332"/>
      <c r="J36" s="332"/>
      <c r="K36" s="335"/>
      <c r="L36" s="676">
        <f>C35/$C$41</f>
        <v>7.0635317580118942E-3</v>
      </c>
      <c r="M36" s="658">
        <f t="shared" si="7"/>
        <v>0</v>
      </c>
      <c r="N36" s="182">
        <f t="shared" si="12"/>
        <v>0</v>
      </c>
    </row>
    <row r="37" spans="1:14" ht="12.75">
      <c r="A37" s="867"/>
      <c r="B37" s="870"/>
      <c r="C37" s="873"/>
      <c r="D37" s="652">
        <f>$C$35*D35</f>
        <v>8783.9598815000008</v>
      </c>
      <c r="E37" s="652">
        <f t="shared" ref="E37:F37" si="13">$C$35*E35</f>
        <v>3864.9423478600006</v>
      </c>
      <c r="F37" s="652">
        <f t="shared" si="13"/>
        <v>3864.9423478600006</v>
      </c>
      <c r="G37" s="652">
        <f t="shared" ref="G37:K37" si="14">$C$35*G35</f>
        <v>3513.5839526000004</v>
      </c>
      <c r="H37" s="652">
        <f t="shared" si="14"/>
        <v>3513.5839526000004</v>
      </c>
      <c r="I37" s="652">
        <f t="shared" si="14"/>
        <v>3513.5839526000004</v>
      </c>
      <c r="J37" s="652">
        <f t="shared" si="14"/>
        <v>3513.5839526000004</v>
      </c>
      <c r="K37" s="653">
        <f t="shared" si="14"/>
        <v>4567.6591383800005</v>
      </c>
      <c r="M37" s="658">
        <f t="shared" si="7"/>
        <v>35135.839526000011</v>
      </c>
      <c r="N37" s="182">
        <f t="shared" si="12"/>
        <v>0</v>
      </c>
    </row>
    <row r="38" spans="1:14" ht="12.75">
      <c r="A38" s="865" t="s">
        <v>188</v>
      </c>
      <c r="B38" s="868" t="s">
        <v>90</v>
      </c>
      <c r="C38" s="871">
        <f>'018.01-21-ADM OBRA'!J64</f>
        <v>307575.62389600009</v>
      </c>
      <c r="D38" s="315">
        <f>D46</f>
        <v>8.1982765979839098E-2</v>
      </c>
      <c r="E38" s="315">
        <f t="shared" ref="E38:J38" si="15">E46</f>
        <v>9.890889343807284E-2</v>
      </c>
      <c r="F38" s="315">
        <f t="shared" si="15"/>
        <v>0.12389056220062787</v>
      </c>
      <c r="G38" s="315">
        <f t="shared" si="15"/>
        <v>0.1646576546647783</v>
      </c>
      <c r="H38" s="315">
        <f t="shared" si="15"/>
        <v>0.17304503437198146</v>
      </c>
      <c r="I38" s="315">
        <f t="shared" si="15"/>
        <v>0.16968497885852335</v>
      </c>
      <c r="J38" s="315">
        <f t="shared" si="15"/>
        <v>0.12353676880639909</v>
      </c>
      <c r="K38" s="318">
        <f>K46</f>
        <v>6.429334167977814E-2</v>
      </c>
      <c r="L38" s="103"/>
      <c r="M38" s="658">
        <f t="shared" si="7"/>
        <v>1.0000000000000002</v>
      </c>
      <c r="N38" s="182">
        <f t="shared" si="12"/>
        <v>1.0000000000000002</v>
      </c>
    </row>
    <row r="39" spans="1:14" ht="12.75">
      <c r="A39" s="866"/>
      <c r="B39" s="869"/>
      <c r="C39" s="872"/>
      <c r="D39" s="332"/>
      <c r="E39" s="332"/>
      <c r="F39" s="332"/>
      <c r="G39" s="332"/>
      <c r="H39" s="332"/>
      <c r="I39" s="332"/>
      <c r="J39" s="332"/>
      <c r="K39" s="335"/>
      <c r="L39" s="676">
        <f>C38/$C$41</f>
        <v>6.1833450308538908E-2</v>
      </c>
      <c r="M39" s="658">
        <f t="shared" si="7"/>
        <v>0</v>
      </c>
      <c r="N39" s="182">
        <f t="shared" si="12"/>
        <v>0</v>
      </c>
    </row>
    <row r="40" spans="1:14" ht="12.75">
      <c r="A40" s="867"/>
      <c r="B40" s="870"/>
      <c r="C40" s="873"/>
      <c r="D40" s="652">
        <f>$C$38*D38</f>
        <v>25215.900394968783</v>
      </c>
      <c r="E40" s="652">
        <f t="shared" ref="E40:J40" si="16">$C$38*E38</f>
        <v>30421.964608078244</v>
      </c>
      <c r="F40" s="652">
        <f t="shared" si="16"/>
        <v>38105.716963684325</v>
      </c>
      <c r="G40" s="652">
        <f t="shared" si="16"/>
        <v>50644.680862771318</v>
      </c>
      <c r="H40" s="652">
        <f t="shared" si="16"/>
        <v>53224.434409066977</v>
      </c>
      <c r="I40" s="652">
        <f t="shared" si="16"/>
        <v>52190.963238189906</v>
      </c>
      <c r="J40" s="652">
        <f t="shared" si="16"/>
        <v>37996.898739724122</v>
      </c>
      <c r="K40" s="653">
        <f t="shared" ref="K40" si="17">$C$38*K38</f>
        <v>19775.064679516468</v>
      </c>
      <c r="M40" s="658">
        <f t="shared" si="7"/>
        <v>307575.62389600015</v>
      </c>
      <c r="N40" s="182">
        <f t="shared" si="12"/>
        <v>0</v>
      </c>
    </row>
    <row r="41" spans="1:14" ht="12">
      <c r="A41" s="312"/>
      <c r="B41" s="307" t="s">
        <v>189</v>
      </c>
      <c r="C41" s="862">
        <f>SUM(C11:C40)</f>
        <v>4974259.4398541162</v>
      </c>
      <c r="D41" s="322">
        <f t="shared" ref="D41:K41" si="18">D42/$C41</f>
        <v>8.1982765979839112E-2</v>
      </c>
      <c r="E41" s="322">
        <f t="shared" si="18"/>
        <v>9.890889343807284E-2</v>
      </c>
      <c r="F41" s="322">
        <f t="shared" si="18"/>
        <v>0.12389056220062787</v>
      </c>
      <c r="G41" s="322">
        <f t="shared" si="18"/>
        <v>0.1646576546647783</v>
      </c>
      <c r="H41" s="322">
        <f t="shared" si="18"/>
        <v>0.17304503437198146</v>
      </c>
      <c r="I41" s="322">
        <f t="shared" si="18"/>
        <v>0.16968497885852335</v>
      </c>
      <c r="J41" s="322">
        <f t="shared" si="18"/>
        <v>0.12353676880639912</v>
      </c>
      <c r="K41" s="322">
        <f t="shared" si="18"/>
        <v>6.429334167977814E-2</v>
      </c>
      <c r="M41" s="110"/>
    </row>
    <row r="42" spans="1:14" ht="12">
      <c r="A42" s="313"/>
      <c r="B42" s="507" t="s">
        <v>190</v>
      </c>
      <c r="C42" s="863"/>
      <c r="D42" s="323">
        <f>D40+D37+D34+D31+D28+D25+D22+D19+D16+D13</f>
        <v>407803.54758056556</v>
      </c>
      <c r="E42" s="323">
        <f t="shared" ref="E42:K42" si="19">E40+E37+E34+E31+E28+E25+E22+E19+E16+E13</f>
        <v>491998.4968698587</v>
      </c>
      <c r="F42" s="323">
        <f t="shared" si="19"/>
        <v>616263.79853530671</v>
      </c>
      <c r="G42" s="323">
        <f t="shared" si="19"/>
        <v>819049.89306051261</v>
      </c>
      <c r="H42" s="323">
        <f t="shared" si="19"/>
        <v>860770.89574470883</v>
      </c>
      <c r="I42" s="323">
        <f t="shared" si="19"/>
        <v>844057.10788845597</v>
      </c>
      <c r="J42" s="323">
        <f t="shared" si="19"/>
        <v>614503.9384043063</v>
      </c>
      <c r="K42" s="323">
        <f t="shared" si="19"/>
        <v>319811.76177040255</v>
      </c>
      <c r="M42" s="110"/>
    </row>
    <row r="43" spans="1:14" ht="12">
      <c r="A43" s="313"/>
      <c r="B43" s="507" t="s">
        <v>191</v>
      </c>
      <c r="C43" s="863"/>
      <c r="D43" s="324">
        <f>D41</f>
        <v>8.1982765979839112E-2</v>
      </c>
      <c r="E43" s="325">
        <f>D43+E41</f>
        <v>0.18089165941791197</v>
      </c>
      <c r="F43" s="325">
        <f t="shared" ref="F43:K43" si="20">E43+F41</f>
        <v>0.30478222161853985</v>
      </c>
      <c r="G43" s="325">
        <f t="shared" si="20"/>
        <v>0.46943987628331818</v>
      </c>
      <c r="H43" s="325">
        <f t="shared" si="20"/>
        <v>0.64248491065529967</v>
      </c>
      <c r="I43" s="325">
        <f t="shared" si="20"/>
        <v>0.81216988951382296</v>
      </c>
      <c r="J43" s="325">
        <f t="shared" si="20"/>
        <v>0.93570665832022204</v>
      </c>
      <c r="K43" s="325">
        <f t="shared" si="20"/>
        <v>1.0000000000000002</v>
      </c>
      <c r="M43" s="110"/>
    </row>
    <row r="44" spans="1:14" ht="12.75" thickBot="1">
      <c r="A44" s="314"/>
      <c r="B44" s="308" t="s">
        <v>192</v>
      </c>
      <c r="C44" s="864"/>
      <c r="D44" s="326">
        <f>D42</f>
        <v>407803.54758056556</v>
      </c>
      <c r="E44" s="326">
        <f>E42+D44</f>
        <v>899802.04445042426</v>
      </c>
      <c r="F44" s="326">
        <f t="shared" ref="F44:K44" si="21">F42+E44</f>
        <v>1516065.8429857311</v>
      </c>
      <c r="G44" s="326">
        <f t="shared" si="21"/>
        <v>2335115.7360462435</v>
      </c>
      <c r="H44" s="326">
        <f t="shared" si="21"/>
        <v>3195886.6317909523</v>
      </c>
      <c r="I44" s="326">
        <f t="shared" si="21"/>
        <v>4039943.7396794083</v>
      </c>
      <c r="J44" s="326">
        <f t="shared" si="21"/>
        <v>4654447.6780837141</v>
      </c>
      <c r="K44" s="326">
        <f t="shared" si="21"/>
        <v>4974259.4398541171</v>
      </c>
      <c r="M44" s="110"/>
    </row>
    <row r="45" spans="1:14" ht="9.6" customHeight="1">
      <c r="C45" s="336"/>
      <c r="K45" s="338"/>
    </row>
    <row r="46" spans="1:14" hidden="1">
      <c r="C46" s="336" t="s">
        <v>15162</v>
      </c>
      <c r="D46" s="485">
        <f>(D13+D16+D19+D22+D25+D28+D31+D34+D37)/($C$11+$C$14+$C$17+$C$20+$C$23+$C$26+$C$29+$C$32+$C$35)</f>
        <v>8.1982765979839098E-2</v>
      </c>
      <c r="E46" s="485">
        <f t="shared" ref="E46:K46" si="22">(E13+E16+E19+E22+E25+E28+E31+E34+E37)/($C$11+$C$14+$C$17+$C$20+$C$23+$C$26+$C$29+$C$32+$C$35)</f>
        <v>9.890889343807284E-2</v>
      </c>
      <c r="F46" s="485">
        <f t="shared" si="22"/>
        <v>0.12389056220062787</v>
      </c>
      <c r="G46" s="485">
        <f t="shared" si="22"/>
        <v>0.1646576546647783</v>
      </c>
      <c r="H46" s="485">
        <f t="shared" si="22"/>
        <v>0.17304503437198146</v>
      </c>
      <c r="I46" s="485">
        <f t="shared" si="22"/>
        <v>0.16968497885852335</v>
      </c>
      <c r="J46" s="485">
        <f t="shared" si="22"/>
        <v>0.12353676880639909</v>
      </c>
      <c r="K46" s="485">
        <f t="shared" si="22"/>
        <v>6.429334167977814E-2</v>
      </c>
    </row>
    <row r="47" spans="1:14">
      <c r="C47" s="336"/>
      <c r="K47" s="338"/>
    </row>
    <row r="48" spans="1:14">
      <c r="C48" s="336"/>
      <c r="K48" s="338"/>
      <c r="N48" s="767">
        <f>'018-21-CAPA'!F37</f>
        <v>4974259.4398541162</v>
      </c>
    </row>
    <row r="49" spans="1:20" s="70" customFormat="1" ht="58.15" customHeight="1">
      <c r="A49" s="842" t="str">
        <f>'018-21-cotação'!A1676:I1676</f>
        <v>ENG. GABRIEL DA CUNHA ARAUJO
CREA 23300/D-DF
ART: 0720210046394
MAT.: 973.175-X</v>
      </c>
      <c r="B49" s="842"/>
      <c r="C49" s="842"/>
      <c r="D49" s="842"/>
      <c r="E49" s="842"/>
      <c r="F49" s="842"/>
      <c r="G49" s="842"/>
      <c r="H49" s="842"/>
      <c r="I49" s="842"/>
      <c r="J49" s="842"/>
      <c r="K49" s="842"/>
    </row>
    <row r="50" spans="1:20" s="70" customFormat="1" ht="58.15" customHeight="1">
      <c r="A50" s="842" t="str">
        <f>'018-21-cotação'!A1677:I1677</f>
        <v>ENG. GILMAR DA MOTA FERNANDES
CREA 23785/D-DF
ART: 0720210047629
MAT.: 973.113-X</v>
      </c>
      <c r="B50" s="842"/>
      <c r="C50" s="842"/>
      <c r="D50" s="842"/>
      <c r="E50" s="842"/>
      <c r="F50" s="842"/>
      <c r="G50" s="842"/>
      <c r="H50" s="842"/>
      <c r="I50" s="842"/>
      <c r="J50" s="842"/>
      <c r="K50" s="842"/>
    </row>
    <row r="51" spans="1:20" s="70" customFormat="1" ht="58.15" customHeight="1">
      <c r="A51" s="842" t="str">
        <f>'018-21-cotação'!A1678:I1678</f>
        <v>ENG. TIAGO DE SOUZA OLIVEIRA
CREA 24935/D-DF
ART: 0720210047000
MAT.: 973.315-9</v>
      </c>
      <c r="B51" s="842"/>
      <c r="C51" s="842"/>
      <c r="D51" s="842"/>
      <c r="E51" s="842"/>
      <c r="F51" s="842"/>
      <c r="G51" s="842"/>
      <c r="H51" s="842"/>
      <c r="I51" s="842"/>
      <c r="J51" s="842"/>
      <c r="K51" s="842"/>
    </row>
    <row r="52" spans="1:20" ht="12.75">
      <c r="C52" s="339"/>
      <c r="K52" s="338"/>
      <c r="L52" s="106"/>
      <c r="M52" s="106"/>
      <c r="N52" s="106"/>
      <c r="O52" s="106"/>
      <c r="P52" s="106"/>
      <c r="Q52" s="106"/>
      <c r="R52" s="106"/>
      <c r="S52" s="106"/>
      <c r="T52" s="105"/>
    </row>
    <row r="53" spans="1:20">
      <c r="C53" s="336"/>
      <c r="K53" s="338"/>
      <c r="L53" s="105"/>
      <c r="M53" s="105"/>
      <c r="N53" s="105"/>
      <c r="O53" s="105"/>
      <c r="P53" s="105"/>
      <c r="Q53" s="105"/>
      <c r="R53" s="105"/>
      <c r="S53" s="105"/>
      <c r="T53" s="105"/>
    </row>
    <row r="54" spans="1:20">
      <c r="K54" s="338"/>
    </row>
    <row r="55" spans="1:20">
      <c r="D55" s="340"/>
      <c r="E55" s="340"/>
      <c r="F55" s="340"/>
      <c r="G55" s="340"/>
      <c r="H55" s="340"/>
      <c r="I55" s="340"/>
      <c r="J55" s="340"/>
      <c r="K55" s="340"/>
    </row>
    <row r="59" spans="1:20">
      <c r="K59" s="338"/>
    </row>
    <row r="60" spans="1:20">
      <c r="K60" s="338"/>
    </row>
    <row r="61" spans="1:20">
      <c r="K61" s="338"/>
    </row>
    <row r="62" spans="1:20">
      <c r="D62" s="309"/>
      <c r="E62" s="309"/>
      <c r="F62" s="309"/>
      <c r="G62" s="309"/>
      <c r="H62" s="309"/>
      <c r="I62" s="309"/>
      <c r="J62" s="309"/>
      <c r="K62" s="341"/>
    </row>
    <row r="63" spans="1:20">
      <c r="D63" s="309"/>
      <c r="E63" s="309"/>
      <c r="F63" s="309"/>
      <c r="G63" s="309"/>
      <c r="H63" s="309"/>
      <c r="I63" s="309"/>
      <c r="J63" s="309"/>
      <c r="K63" s="338"/>
    </row>
    <row r="64" spans="1:20">
      <c r="D64" s="309"/>
      <c r="E64" s="309"/>
      <c r="F64" s="309"/>
      <c r="G64" s="309"/>
      <c r="H64" s="309"/>
      <c r="I64" s="309"/>
      <c r="J64" s="309"/>
      <c r="K64" s="338"/>
    </row>
    <row r="65" spans="4:11">
      <c r="D65" s="309"/>
      <c r="E65" s="309"/>
      <c r="F65" s="309"/>
      <c r="G65" s="309"/>
      <c r="H65" s="309"/>
      <c r="I65" s="309"/>
      <c r="J65" s="309"/>
      <c r="K65" s="338"/>
    </row>
    <row r="66" spans="4:11">
      <c r="D66" s="309"/>
      <c r="E66" s="309"/>
      <c r="F66" s="309"/>
      <c r="G66" s="309"/>
      <c r="H66" s="309"/>
      <c r="I66" s="309"/>
      <c r="J66" s="309"/>
      <c r="K66" s="338"/>
    </row>
    <row r="67" spans="4:11">
      <c r="D67" s="309"/>
      <c r="E67" s="309"/>
      <c r="F67" s="309"/>
      <c r="G67" s="309"/>
      <c r="H67" s="309"/>
      <c r="I67" s="309"/>
      <c r="J67" s="309"/>
      <c r="K67" s="338"/>
    </row>
    <row r="68" spans="4:11">
      <c r="D68" s="309"/>
      <c r="E68" s="309"/>
      <c r="F68" s="309"/>
      <c r="G68" s="309"/>
      <c r="H68" s="309"/>
      <c r="I68" s="309"/>
      <c r="J68" s="309"/>
      <c r="K68" s="338"/>
    </row>
    <row r="69" spans="4:11">
      <c r="D69" s="309"/>
      <c r="E69" s="309"/>
      <c r="F69" s="309"/>
      <c r="G69" s="309"/>
      <c r="H69" s="309"/>
      <c r="I69" s="309"/>
      <c r="J69" s="309"/>
      <c r="K69" s="338"/>
    </row>
    <row r="70" spans="4:11">
      <c r="D70" s="309"/>
      <c r="E70" s="309"/>
      <c r="F70" s="309"/>
      <c r="G70" s="309"/>
      <c r="H70" s="309"/>
      <c r="I70" s="309"/>
      <c r="J70" s="309"/>
      <c r="K70" s="338"/>
    </row>
    <row r="71" spans="4:11">
      <c r="D71" s="309"/>
      <c r="E71" s="309"/>
      <c r="F71" s="309"/>
      <c r="G71" s="309"/>
      <c r="H71" s="309"/>
      <c r="I71" s="309"/>
      <c r="J71" s="309"/>
      <c r="K71" s="338"/>
    </row>
    <row r="72" spans="4:11">
      <c r="D72" s="309"/>
      <c r="E72" s="309"/>
      <c r="F72" s="309"/>
      <c r="G72" s="309"/>
      <c r="H72" s="309"/>
      <c r="I72" s="309"/>
      <c r="J72" s="309"/>
      <c r="K72" s="338"/>
    </row>
    <row r="73" spans="4:11">
      <c r="D73" s="309"/>
      <c r="E73" s="309"/>
      <c r="F73" s="309"/>
      <c r="G73" s="309"/>
      <c r="H73" s="309"/>
      <c r="I73" s="309"/>
      <c r="J73" s="309"/>
      <c r="K73" s="338"/>
    </row>
    <row r="74" spans="4:11">
      <c r="D74" s="309"/>
      <c r="E74" s="309"/>
      <c r="F74" s="309"/>
      <c r="G74" s="309"/>
      <c r="H74" s="309"/>
      <c r="I74" s="309"/>
      <c r="J74" s="309"/>
      <c r="K74" s="338"/>
    </row>
    <row r="75" spans="4:11">
      <c r="D75" s="309"/>
      <c r="E75" s="309"/>
      <c r="F75" s="309"/>
      <c r="G75" s="309"/>
      <c r="H75" s="309"/>
      <c r="I75" s="309"/>
      <c r="J75" s="309"/>
      <c r="K75" s="338"/>
    </row>
    <row r="76" spans="4:11">
      <c r="D76" s="309"/>
      <c r="E76" s="309"/>
      <c r="F76" s="309"/>
      <c r="G76" s="309"/>
      <c r="H76" s="309"/>
      <c r="I76" s="309"/>
      <c r="J76" s="309"/>
      <c r="K76" s="338"/>
    </row>
    <row r="77" spans="4:11">
      <c r="D77" s="309"/>
      <c r="E77" s="309"/>
      <c r="F77" s="309"/>
      <c r="G77" s="309"/>
      <c r="H77" s="309"/>
      <c r="I77" s="309"/>
      <c r="J77" s="309"/>
      <c r="K77" s="338"/>
    </row>
    <row r="78" spans="4:11">
      <c r="D78" s="309"/>
      <c r="E78" s="309"/>
      <c r="F78" s="309"/>
      <c r="G78" s="309"/>
      <c r="H78" s="309"/>
      <c r="I78" s="309"/>
      <c r="J78" s="309"/>
      <c r="K78" s="338"/>
    </row>
    <row r="79" spans="4:11">
      <c r="D79" s="309"/>
      <c r="E79" s="309"/>
      <c r="F79" s="309"/>
      <c r="G79" s="309"/>
      <c r="H79" s="309"/>
      <c r="I79" s="309"/>
      <c r="J79" s="309"/>
      <c r="K79" s="338"/>
    </row>
    <row r="80" spans="4:11">
      <c r="D80" s="309"/>
      <c r="E80" s="309"/>
      <c r="F80" s="309"/>
      <c r="G80" s="309"/>
      <c r="H80" s="309"/>
      <c r="I80" s="309"/>
      <c r="J80" s="309"/>
      <c r="K80" s="338"/>
    </row>
    <row r="81" spans="4:11">
      <c r="D81" s="309"/>
      <c r="E81" s="309"/>
      <c r="F81" s="309"/>
      <c r="G81" s="309"/>
      <c r="H81" s="309"/>
      <c r="I81" s="309"/>
      <c r="J81" s="309"/>
      <c r="K81" s="338"/>
    </row>
    <row r="82" spans="4:11">
      <c r="D82" s="309"/>
      <c r="E82" s="309"/>
      <c r="F82" s="309"/>
      <c r="G82" s="309"/>
      <c r="H82" s="309"/>
      <c r="I82" s="309"/>
      <c r="J82" s="309"/>
      <c r="K82" s="338"/>
    </row>
    <row r="83" spans="4:11">
      <c r="D83" s="309"/>
      <c r="E83" s="309"/>
      <c r="F83" s="309"/>
      <c r="G83" s="309"/>
      <c r="H83" s="309"/>
      <c r="I83" s="309"/>
      <c r="J83" s="309"/>
      <c r="K83" s="338"/>
    </row>
    <row r="84" spans="4:11">
      <c r="D84" s="309"/>
      <c r="E84" s="309"/>
      <c r="F84" s="309"/>
      <c r="G84" s="309"/>
      <c r="H84" s="309"/>
      <c r="I84" s="309"/>
      <c r="J84" s="309"/>
      <c r="K84" s="338"/>
    </row>
    <row r="85" spans="4:11">
      <c r="D85" s="309"/>
      <c r="E85" s="309"/>
      <c r="F85" s="309"/>
      <c r="G85" s="309"/>
      <c r="H85" s="309"/>
      <c r="I85" s="309"/>
      <c r="J85" s="309"/>
      <c r="K85" s="338"/>
    </row>
    <row r="86" spans="4:11">
      <c r="D86" s="309"/>
      <c r="E86" s="309"/>
      <c r="F86" s="309"/>
      <c r="G86" s="309"/>
      <c r="H86" s="309"/>
      <c r="I86" s="309"/>
      <c r="J86" s="309"/>
      <c r="K86" s="338"/>
    </row>
    <row r="87" spans="4:11">
      <c r="D87" s="309"/>
      <c r="E87" s="309"/>
      <c r="F87" s="309"/>
      <c r="G87" s="309"/>
      <c r="H87" s="309"/>
      <c r="I87" s="309"/>
      <c r="J87" s="309"/>
      <c r="K87" s="338"/>
    </row>
    <row r="88" spans="4:11">
      <c r="D88" s="309"/>
      <c r="E88" s="309"/>
      <c r="F88" s="309"/>
      <c r="G88" s="309"/>
      <c r="H88" s="309"/>
      <c r="I88" s="309"/>
      <c r="J88" s="309"/>
      <c r="K88" s="338"/>
    </row>
    <row r="89" spans="4:11">
      <c r="D89" s="309"/>
      <c r="E89" s="309"/>
      <c r="F89" s="309"/>
      <c r="G89" s="309"/>
      <c r="H89" s="309"/>
      <c r="I89" s="309"/>
      <c r="J89" s="309"/>
      <c r="K89" s="338"/>
    </row>
    <row r="90" spans="4:11">
      <c r="D90" s="309"/>
      <c r="E90" s="309"/>
      <c r="F90" s="309"/>
      <c r="G90" s="309"/>
      <c r="H90" s="309"/>
      <c r="I90" s="309"/>
      <c r="J90" s="309"/>
      <c r="K90" s="338"/>
    </row>
    <row r="91" spans="4:11">
      <c r="D91" s="309"/>
      <c r="E91" s="309"/>
      <c r="F91" s="309"/>
      <c r="G91" s="309"/>
      <c r="H91" s="309"/>
      <c r="I91" s="309"/>
      <c r="J91" s="309"/>
      <c r="K91" s="338"/>
    </row>
    <row r="92" spans="4:11">
      <c r="D92" s="309"/>
      <c r="E92" s="309"/>
      <c r="F92" s="309"/>
      <c r="G92" s="309"/>
      <c r="H92" s="309"/>
      <c r="I92" s="309"/>
      <c r="J92" s="309"/>
      <c r="K92" s="338"/>
    </row>
    <row r="93" spans="4:11">
      <c r="D93" s="309"/>
      <c r="E93" s="309"/>
      <c r="F93" s="309"/>
      <c r="G93" s="309"/>
      <c r="H93" s="309"/>
      <c r="I93" s="309"/>
      <c r="J93" s="309"/>
      <c r="K93" s="338"/>
    </row>
    <row r="94" spans="4:11">
      <c r="D94" s="309"/>
      <c r="E94" s="309"/>
      <c r="F94" s="309"/>
      <c r="G94" s="309"/>
      <c r="H94" s="309"/>
      <c r="I94" s="309"/>
      <c r="J94" s="309"/>
      <c r="K94" s="338"/>
    </row>
    <row r="95" spans="4:11">
      <c r="D95" s="309"/>
      <c r="E95" s="309"/>
      <c r="F95" s="309"/>
      <c r="G95" s="309"/>
      <c r="H95" s="309"/>
      <c r="I95" s="309"/>
      <c r="J95" s="309"/>
      <c r="K95" s="338"/>
    </row>
    <row r="96" spans="4:11">
      <c r="D96" s="309"/>
      <c r="E96" s="309"/>
      <c r="F96" s="309"/>
      <c r="G96" s="309"/>
      <c r="H96" s="309"/>
      <c r="I96" s="309"/>
      <c r="J96" s="309"/>
      <c r="K96" s="338"/>
    </row>
    <row r="97" spans="4:11">
      <c r="D97" s="309"/>
      <c r="E97" s="309"/>
      <c r="F97" s="309"/>
      <c r="G97" s="309"/>
      <c r="H97" s="309"/>
      <c r="I97" s="309"/>
      <c r="J97" s="309"/>
      <c r="K97" s="338"/>
    </row>
    <row r="98" spans="4:11">
      <c r="D98" s="309"/>
      <c r="E98" s="309"/>
      <c r="F98" s="309"/>
      <c r="G98" s="309"/>
      <c r="H98" s="309"/>
      <c r="I98" s="309"/>
      <c r="J98" s="309"/>
      <c r="K98" s="338"/>
    </row>
    <row r="99" spans="4:11">
      <c r="D99" s="309"/>
      <c r="E99" s="309"/>
      <c r="F99" s="309"/>
      <c r="G99" s="309"/>
      <c r="H99" s="309"/>
      <c r="I99" s="309"/>
      <c r="J99" s="309"/>
      <c r="K99" s="338"/>
    </row>
    <row r="100" spans="4:11">
      <c r="D100" s="309"/>
      <c r="E100" s="309"/>
      <c r="F100" s="309"/>
      <c r="G100" s="309"/>
      <c r="H100" s="309"/>
      <c r="I100" s="309"/>
      <c r="J100" s="309"/>
      <c r="K100" s="338"/>
    </row>
    <row r="101" spans="4:11">
      <c r="D101" s="309"/>
      <c r="E101" s="309"/>
      <c r="F101" s="309"/>
      <c r="G101" s="309"/>
      <c r="H101" s="309"/>
      <c r="I101" s="309"/>
      <c r="J101" s="309"/>
      <c r="K101" s="338"/>
    </row>
    <row r="102" spans="4:11">
      <c r="D102" s="309"/>
      <c r="E102" s="309"/>
      <c r="F102" s="309"/>
      <c r="G102" s="309"/>
      <c r="H102" s="309"/>
      <c r="I102" s="309"/>
      <c r="J102" s="309"/>
      <c r="K102" s="338"/>
    </row>
    <row r="103" spans="4:11">
      <c r="D103" s="309"/>
      <c r="E103" s="309"/>
      <c r="F103" s="309"/>
      <c r="G103" s="309"/>
      <c r="H103" s="309"/>
      <c r="I103" s="309"/>
      <c r="J103" s="309"/>
      <c r="K103" s="338"/>
    </row>
    <row r="104" spans="4:11">
      <c r="D104" s="309"/>
      <c r="E104" s="309"/>
      <c r="F104" s="309"/>
      <c r="G104" s="309"/>
      <c r="H104" s="309"/>
      <c r="I104" s="309"/>
      <c r="J104" s="309"/>
      <c r="K104" s="338"/>
    </row>
    <row r="105" spans="4:11">
      <c r="D105" s="309"/>
      <c r="E105" s="309"/>
      <c r="F105" s="309"/>
      <c r="G105" s="309"/>
      <c r="H105" s="309"/>
      <c r="I105" s="309"/>
      <c r="J105" s="309"/>
      <c r="K105" s="338"/>
    </row>
    <row r="106" spans="4:11">
      <c r="D106" s="309"/>
      <c r="E106" s="309"/>
      <c r="F106" s="309"/>
      <c r="G106" s="309"/>
      <c r="H106" s="309"/>
      <c r="I106" s="309"/>
      <c r="J106" s="309"/>
      <c r="K106" s="338"/>
    </row>
    <row r="107" spans="4:11">
      <c r="D107" s="309"/>
      <c r="E107" s="309"/>
      <c r="F107" s="309"/>
      <c r="G107" s="309"/>
      <c r="H107" s="309"/>
      <c r="I107" s="309"/>
      <c r="J107" s="309"/>
      <c r="K107" s="338"/>
    </row>
    <row r="108" spans="4:11">
      <c r="D108" s="309"/>
      <c r="E108" s="309"/>
      <c r="F108" s="309"/>
      <c r="G108" s="309"/>
      <c r="H108" s="309"/>
      <c r="I108" s="309"/>
      <c r="J108" s="309"/>
      <c r="K108" s="338"/>
    </row>
    <row r="109" spans="4:11">
      <c r="D109" s="309"/>
      <c r="E109" s="309"/>
      <c r="F109" s="309"/>
      <c r="G109" s="309"/>
      <c r="H109" s="309"/>
      <c r="I109" s="309"/>
      <c r="J109" s="309"/>
      <c r="K109" s="338"/>
    </row>
    <row r="110" spans="4:11">
      <c r="D110" s="309"/>
      <c r="E110" s="309"/>
      <c r="F110" s="309"/>
      <c r="G110" s="309"/>
      <c r="H110" s="309"/>
      <c r="I110" s="309"/>
      <c r="J110" s="309"/>
      <c r="K110" s="338"/>
    </row>
    <row r="111" spans="4:11">
      <c r="D111" s="309"/>
      <c r="E111" s="309"/>
      <c r="F111" s="309"/>
      <c r="G111" s="309"/>
      <c r="H111" s="309"/>
      <c r="I111" s="309"/>
      <c r="J111" s="309"/>
      <c r="K111" s="338"/>
    </row>
    <row r="112" spans="4:11">
      <c r="D112" s="309"/>
      <c r="E112" s="309"/>
      <c r="F112" s="309"/>
      <c r="G112" s="309"/>
      <c r="H112" s="309"/>
      <c r="I112" s="309"/>
      <c r="J112" s="309"/>
      <c r="K112" s="338"/>
    </row>
    <row r="113" spans="4:11">
      <c r="D113" s="309"/>
      <c r="E113" s="309"/>
      <c r="F113" s="309"/>
      <c r="G113" s="309"/>
      <c r="H113" s="309"/>
      <c r="I113" s="309"/>
      <c r="J113" s="309"/>
      <c r="K113" s="338"/>
    </row>
    <row r="114" spans="4:11">
      <c r="D114" s="309"/>
      <c r="E114" s="309"/>
      <c r="F114" s="309"/>
      <c r="G114" s="309"/>
      <c r="H114" s="309"/>
      <c r="I114" s="309"/>
      <c r="J114" s="309"/>
      <c r="K114" s="338"/>
    </row>
    <row r="115" spans="4:11">
      <c r="D115" s="309"/>
      <c r="E115" s="309"/>
      <c r="F115" s="309"/>
      <c r="G115" s="309"/>
      <c r="H115" s="309"/>
      <c r="I115" s="309"/>
      <c r="J115" s="309"/>
      <c r="K115" s="338"/>
    </row>
    <row r="116" spans="4:11">
      <c r="D116" s="309"/>
      <c r="E116" s="309"/>
      <c r="F116" s="309"/>
      <c r="G116" s="309"/>
      <c r="H116" s="309"/>
      <c r="I116" s="309"/>
      <c r="J116" s="309"/>
      <c r="K116" s="338"/>
    </row>
    <row r="117" spans="4:11">
      <c r="D117" s="309"/>
      <c r="E117" s="309"/>
      <c r="F117" s="309"/>
      <c r="G117" s="309"/>
      <c r="H117" s="309"/>
      <c r="I117" s="309"/>
      <c r="J117" s="309"/>
      <c r="K117" s="338"/>
    </row>
    <row r="118" spans="4:11">
      <c r="D118" s="309"/>
      <c r="E118" s="309"/>
      <c r="F118" s="309"/>
      <c r="G118" s="309"/>
      <c r="H118" s="309"/>
      <c r="I118" s="309"/>
      <c r="J118" s="309"/>
      <c r="K118" s="338"/>
    </row>
    <row r="119" spans="4:11">
      <c r="D119" s="309"/>
      <c r="E119" s="309"/>
      <c r="F119" s="309"/>
      <c r="G119" s="309"/>
      <c r="H119" s="309"/>
      <c r="I119" s="309"/>
      <c r="J119" s="309"/>
      <c r="K119" s="338"/>
    </row>
    <row r="120" spans="4:11">
      <c r="D120" s="309"/>
      <c r="E120" s="309"/>
      <c r="F120" s="309"/>
      <c r="G120" s="309"/>
      <c r="H120" s="309"/>
      <c r="I120" s="309"/>
      <c r="J120" s="309"/>
      <c r="K120" s="338"/>
    </row>
    <row r="121" spans="4:11">
      <c r="D121" s="309"/>
      <c r="E121" s="309"/>
      <c r="F121" s="309"/>
      <c r="G121" s="309"/>
      <c r="H121" s="309"/>
      <c r="I121" s="309"/>
      <c r="J121" s="309"/>
      <c r="K121" s="338"/>
    </row>
    <row r="122" spans="4:11">
      <c r="D122" s="309"/>
      <c r="E122" s="309"/>
      <c r="F122" s="309"/>
      <c r="G122" s="309"/>
      <c r="H122" s="309"/>
      <c r="I122" s="309"/>
      <c r="J122" s="309"/>
      <c r="K122" s="338"/>
    </row>
    <row r="123" spans="4:11">
      <c r="D123" s="309"/>
      <c r="E123" s="309"/>
      <c r="F123" s="309"/>
      <c r="G123" s="309"/>
      <c r="H123" s="309"/>
      <c r="I123" s="309"/>
      <c r="J123" s="309"/>
      <c r="K123" s="338"/>
    </row>
    <row r="124" spans="4:11">
      <c r="D124" s="309"/>
      <c r="E124" s="309"/>
      <c r="F124" s="309"/>
      <c r="G124" s="309"/>
      <c r="H124" s="309"/>
      <c r="I124" s="309"/>
      <c r="J124" s="309"/>
      <c r="K124" s="338"/>
    </row>
    <row r="125" spans="4:11">
      <c r="D125" s="309"/>
      <c r="E125" s="309"/>
      <c r="F125" s="309"/>
      <c r="G125" s="309"/>
      <c r="H125" s="309"/>
      <c r="I125" s="309"/>
      <c r="J125" s="309"/>
      <c r="K125" s="338"/>
    </row>
    <row r="126" spans="4:11">
      <c r="D126" s="309"/>
      <c r="E126" s="309"/>
      <c r="F126" s="309"/>
      <c r="G126" s="309"/>
      <c r="H126" s="309"/>
      <c r="I126" s="309"/>
      <c r="J126" s="309"/>
      <c r="K126" s="338"/>
    </row>
    <row r="127" spans="4:11">
      <c r="D127" s="309"/>
      <c r="E127" s="309"/>
      <c r="F127" s="309"/>
      <c r="G127" s="309"/>
      <c r="H127" s="309"/>
      <c r="I127" s="309"/>
      <c r="J127" s="309"/>
      <c r="K127" s="338"/>
    </row>
    <row r="128" spans="4:11">
      <c r="D128" s="309"/>
      <c r="E128" s="309"/>
      <c r="F128" s="309"/>
      <c r="G128" s="309"/>
      <c r="H128" s="309"/>
      <c r="I128" s="309"/>
      <c r="J128" s="309"/>
      <c r="K128" s="338"/>
    </row>
    <row r="129" spans="4:11">
      <c r="D129" s="309"/>
      <c r="E129" s="309"/>
      <c r="F129" s="309"/>
      <c r="G129" s="309"/>
      <c r="H129" s="309"/>
      <c r="I129" s="309"/>
      <c r="J129" s="309"/>
      <c r="K129" s="338"/>
    </row>
    <row r="130" spans="4:11">
      <c r="D130" s="309"/>
      <c r="E130" s="309"/>
      <c r="F130" s="309"/>
      <c r="G130" s="309"/>
      <c r="H130" s="309"/>
      <c r="I130" s="309"/>
      <c r="J130" s="309"/>
      <c r="K130" s="338"/>
    </row>
    <row r="131" spans="4:11">
      <c r="D131" s="309"/>
      <c r="E131" s="309"/>
      <c r="F131" s="309"/>
      <c r="G131" s="309"/>
      <c r="H131" s="309"/>
      <c r="I131" s="309"/>
      <c r="J131" s="309"/>
      <c r="K131" s="338"/>
    </row>
    <row r="132" spans="4:11">
      <c r="D132" s="309"/>
      <c r="E132" s="309"/>
      <c r="F132" s="309"/>
      <c r="G132" s="309"/>
      <c r="H132" s="309"/>
      <c r="I132" s="309"/>
      <c r="J132" s="309"/>
      <c r="K132" s="338"/>
    </row>
    <row r="133" spans="4:11">
      <c r="D133" s="309"/>
      <c r="E133" s="309"/>
      <c r="F133" s="309"/>
      <c r="G133" s="309"/>
      <c r="H133" s="309"/>
      <c r="I133" s="309"/>
      <c r="J133" s="309"/>
      <c r="K133" s="338"/>
    </row>
    <row r="134" spans="4:11">
      <c r="D134" s="309"/>
      <c r="E134" s="309"/>
      <c r="F134" s="309"/>
      <c r="G134" s="309"/>
      <c r="H134" s="309"/>
      <c r="I134" s="309"/>
      <c r="J134" s="309"/>
      <c r="K134" s="338"/>
    </row>
    <row r="135" spans="4:11">
      <c r="D135" s="309"/>
      <c r="E135" s="309"/>
      <c r="F135" s="309"/>
      <c r="G135" s="309"/>
      <c r="H135" s="309"/>
      <c r="I135" s="309"/>
      <c r="J135" s="309"/>
      <c r="K135" s="338"/>
    </row>
    <row r="136" spans="4:11">
      <c r="D136" s="309"/>
      <c r="E136" s="309"/>
      <c r="F136" s="309"/>
      <c r="G136" s="309"/>
      <c r="H136" s="309"/>
      <c r="I136" s="309"/>
      <c r="J136" s="309"/>
      <c r="K136" s="338"/>
    </row>
    <row r="137" spans="4:11">
      <c r="D137" s="309"/>
      <c r="E137" s="309"/>
      <c r="F137" s="309"/>
      <c r="G137" s="309"/>
      <c r="H137" s="309"/>
      <c r="I137" s="309"/>
      <c r="J137" s="309"/>
      <c r="K137" s="338"/>
    </row>
    <row r="138" spans="4:11">
      <c r="D138" s="309"/>
      <c r="E138" s="309"/>
      <c r="F138" s="309"/>
      <c r="G138" s="309"/>
      <c r="H138" s="309"/>
      <c r="I138" s="309"/>
      <c r="J138" s="309"/>
      <c r="K138" s="338"/>
    </row>
    <row r="139" spans="4:11">
      <c r="D139" s="309"/>
      <c r="E139" s="309"/>
      <c r="F139" s="309"/>
      <c r="G139" s="309"/>
      <c r="H139" s="309"/>
      <c r="I139" s="309"/>
      <c r="J139" s="309"/>
      <c r="K139" s="338"/>
    </row>
    <row r="140" spans="4:11">
      <c r="D140" s="309"/>
      <c r="E140" s="309"/>
      <c r="F140" s="309"/>
      <c r="G140" s="309"/>
      <c r="H140" s="309"/>
      <c r="I140" s="309"/>
      <c r="J140" s="309"/>
      <c r="K140" s="338"/>
    </row>
    <row r="141" spans="4:11">
      <c r="D141" s="309"/>
      <c r="E141" s="309"/>
      <c r="F141" s="309"/>
      <c r="G141" s="309"/>
      <c r="H141" s="309"/>
      <c r="I141" s="309"/>
      <c r="J141" s="309"/>
      <c r="K141" s="338"/>
    </row>
    <row r="142" spans="4:11">
      <c r="D142" s="309"/>
      <c r="E142" s="309"/>
      <c r="F142" s="309"/>
      <c r="G142" s="309"/>
      <c r="H142" s="309"/>
      <c r="I142" s="309"/>
      <c r="J142" s="309"/>
      <c r="K142" s="338"/>
    </row>
    <row r="143" spans="4:11">
      <c r="D143" s="309"/>
      <c r="E143" s="309"/>
      <c r="F143" s="309"/>
      <c r="G143" s="309"/>
      <c r="H143" s="309"/>
      <c r="I143" s="309"/>
      <c r="J143" s="309"/>
      <c r="K143" s="338"/>
    </row>
    <row r="144" spans="4:11">
      <c r="D144" s="309"/>
      <c r="E144" s="309"/>
      <c r="F144" s="309"/>
      <c r="G144" s="309"/>
      <c r="H144" s="309"/>
      <c r="I144" s="309"/>
      <c r="J144" s="309"/>
      <c r="K144" s="338"/>
    </row>
    <row r="145" spans="4:11">
      <c r="D145" s="309"/>
      <c r="E145" s="309"/>
      <c r="F145" s="309"/>
      <c r="G145" s="309"/>
      <c r="H145" s="309"/>
      <c r="I145" s="309"/>
      <c r="J145" s="309"/>
      <c r="K145" s="338"/>
    </row>
    <row r="146" spans="4:11">
      <c r="D146" s="309"/>
      <c r="E146" s="309"/>
      <c r="F146" s="309"/>
      <c r="G146" s="309"/>
      <c r="H146" s="309"/>
      <c r="I146" s="309"/>
      <c r="J146" s="309"/>
      <c r="K146" s="338"/>
    </row>
    <row r="147" spans="4:11">
      <c r="D147" s="309"/>
      <c r="E147" s="309"/>
      <c r="F147" s="309"/>
      <c r="G147" s="309"/>
      <c r="H147" s="309"/>
      <c r="I147" s="309"/>
      <c r="J147" s="309"/>
      <c r="K147" s="338"/>
    </row>
    <row r="148" spans="4:11">
      <c r="D148" s="309"/>
      <c r="E148" s="309"/>
      <c r="F148" s="309"/>
      <c r="G148" s="309"/>
      <c r="H148" s="309"/>
      <c r="I148" s="309"/>
      <c r="J148" s="309"/>
      <c r="K148" s="338"/>
    </row>
    <row r="149" spans="4:11">
      <c r="D149" s="309"/>
      <c r="E149" s="309"/>
      <c r="F149" s="309"/>
      <c r="G149" s="309"/>
      <c r="H149" s="309"/>
      <c r="I149" s="309"/>
      <c r="J149" s="309"/>
      <c r="K149" s="338"/>
    </row>
    <row r="150" spans="4:11">
      <c r="D150" s="309"/>
      <c r="E150" s="309"/>
      <c r="F150" s="309"/>
      <c r="G150" s="309"/>
      <c r="H150" s="309"/>
      <c r="I150" s="309"/>
      <c r="J150" s="309"/>
      <c r="K150" s="338"/>
    </row>
    <row r="151" spans="4:11">
      <c r="D151" s="309"/>
      <c r="E151" s="309"/>
      <c r="F151" s="309"/>
      <c r="G151" s="309"/>
      <c r="H151" s="309"/>
      <c r="I151" s="309"/>
      <c r="J151" s="309"/>
      <c r="K151" s="338"/>
    </row>
    <row r="152" spans="4:11">
      <c r="D152" s="309"/>
      <c r="E152" s="309"/>
      <c r="F152" s="309"/>
      <c r="G152" s="309"/>
      <c r="H152" s="309"/>
      <c r="I152" s="309"/>
      <c r="J152" s="309"/>
      <c r="K152" s="338"/>
    </row>
    <row r="153" spans="4:11">
      <c r="D153" s="309"/>
      <c r="E153" s="309"/>
      <c r="F153" s="309"/>
      <c r="G153" s="309"/>
      <c r="H153" s="309"/>
      <c r="I153" s="309"/>
      <c r="J153" s="309"/>
      <c r="K153" s="338"/>
    </row>
    <row r="154" spans="4:11">
      <c r="D154" s="309"/>
      <c r="E154" s="309"/>
      <c r="F154" s="309"/>
      <c r="G154" s="309"/>
      <c r="H154" s="309"/>
      <c r="I154" s="309"/>
      <c r="J154" s="309"/>
      <c r="K154" s="338"/>
    </row>
    <row r="155" spans="4:11">
      <c r="D155" s="309"/>
      <c r="E155" s="309"/>
      <c r="F155" s="309"/>
      <c r="G155" s="309"/>
      <c r="H155" s="309"/>
      <c r="I155" s="309"/>
      <c r="J155" s="309"/>
      <c r="K155" s="338"/>
    </row>
    <row r="156" spans="4:11">
      <c r="D156" s="309"/>
      <c r="E156" s="309"/>
      <c r="F156" s="309"/>
      <c r="G156" s="309"/>
      <c r="H156" s="309"/>
      <c r="I156" s="309"/>
      <c r="J156" s="309"/>
      <c r="K156" s="338"/>
    </row>
    <row r="157" spans="4:11">
      <c r="D157" s="309"/>
      <c r="E157" s="309"/>
      <c r="F157" s="309"/>
      <c r="G157" s="309"/>
      <c r="H157" s="309"/>
      <c r="I157" s="309"/>
      <c r="J157" s="309"/>
      <c r="K157" s="338"/>
    </row>
    <row r="158" spans="4:11">
      <c r="D158" s="309"/>
      <c r="E158" s="309"/>
      <c r="F158" s="309"/>
      <c r="G158" s="309"/>
      <c r="H158" s="309"/>
      <c r="I158" s="309"/>
      <c r="J158" s="309"/>
      <c r="K158" s="338"/>
    </row>
    <row r="159" spans="4:11">
      <c r="D159" s="309"/>
      <c r="E159" s="309"/>
      <c r="F159" s="309"/>
      <c r="G159" s="309"/>
      <c r="H159" s="309"/>
      <c r="I159" s="309"/>
      <c r="J159" s="309"/>
      <c r="K159" s="338"/>
    </row>
    <row r="160" spans="4:11">
      <c r="D160" s="309"/>
      <c r="E160" s="309"/>
      <c r="F160" s="309"/>
      <c r="G160" s="309"/>
      <c r="H160" s="309"/>
      <c r="I160" s="309"/>
      <c r="J160" s="309"/>
      <c r="K160" s="338"/>
    </row>
    <row r="161" spans="4:11">
      <c r="D161" s="309"/>
      <c r="E161" s="309"/>
      <c r="F161" s="309"/>
      <c r="G161" s="309"/>
      <c r="H161" s="309"/>
      <c r="I161" s="309"/>
      <c r="J161" s="309"/>
      <c r="K161" s="338"/>
    </row>
    <row r="162" spans="4:11">
      <c r="D162" s="309"/>
      <c r="E162" s="309"/>
      <c r="F162" s="309"/>
      <c r="G162" s="309"/>
      <c r="H162" s="309"/>
      <c r="I162" s="309"/>
      <c r="J162" s="309"/>
      <c r="K162" s="338"/>
    </row>
    <row r="163" spans="4:11">
      <c r="D163" s="309"/>
      <c r="E163" s="309"/>
      <c r="F163" s="309"/>
      <c r="G163" s="309"/>
      <c r="H163" s="309"/>
      <c r="I163" s="309"/>
      <c r="J163" s="309"/>
      <c r="K163" s="338"/>
    </row>
    <row r="164" spans="4:11">
      <c r="D164" s="309"/>
      <c r="E164" s="309"/>
      <c r="F164" s="309"/>
      <c r="G164" s="309"/>
      <c r="H164" s="309"/>
      <c r="I164" s="309"/>
      <c r="J164" s="309"/>
      <c r="K164" s="338"/>
    </row>
    <row r="165" spans="4:11">
      <c r="D165" s="309"/>
      <c r="E165" s="309"/>
      <c r="F165" s="309"/>
      <c r="G165" s="309"/>
      <c r="H165" s="309"/>
      <c r="I165" s="309"/>
      <c r="J165" s="309"/>
      <c r="K165" s="338"/>
    </row>
    <row r="166" spans="4:11">
      <c r="D166" s="309"/>
      <c r="E166" s="309"/>
      <c r="F166" s="309"/>
      <c r="G166" s="309"/>
      <c r="H166" s="309"/>
      <c r="I166" s="309"/>
      <c r="J166" s="309"/>
      <c r="K166" s="338"/>
    </row>
    <row r="167" spans="4:11">
      <c r="D167" s="309"/>
      <c r="E167" s="309"/>
      <c r="F167" s="309"/>
      <c r="G167" s="309"/>
      <c r="H167" s="309"/>
      <c r="I167" s="309"/>
      <c r="J167" s="309"/>
      <c r="K167" s="338"/>
    </row>
    <row r="168" spans="4:11">
      <c r="D168" s="309"/>
      <c r="E168" s="309"/>
      <c r="F168" s="309"/>
      <c r="G168" s="309"/>
      <c r="H168" s="309"/>
      <c r="I168" s="309"/>
      <c r="J168" s="309"/>
      <c r="K168" s="338"/>
    </row>
    <row r="169" spans="4:11">
      <c r="D169" s="309"/>
      <c r="E169" s="309"/>
      <c r="F169" s="309"/>
      <c r="G169" s="309"/>
      <c r="H169" s="309"/>
      <c r="I169" s="309"/>
      <c r="J169" s="309"/>
      <c r="K169" s="338"/>
    </row>
    <row r="170" spans="4:11">
      <c r="D170" s="309"/>
      <c r="E170" s="309"/>
      <c r="F170" s="309"/>
      <c r="G170" s="309"/>
      <c r="H170" s="309"/>
      <c r="I170" s="309"/>
      <c r="J170" s="309"/>
      <c r="K170" s="338"/>
    </row>
    <row r="171" spans="4:11">
      <c r="D171" s="309"/>
      <c r="E171" s="309"/>
      <c r="F171" s="309"/>
      <c r="G171" s="309"/>
      <c r="H171" s="309"/>
      <c r="I171" s="309"/>
      <c r="J171" s="309"/>
      <c r="K171" s="338"/>
    </row>
    <row r="172" spans="4:11">
      <c r="D172" s="309"/>
      <c r="E172" s="309"/>
      <c r="F172" s="309"/>
      <c r="G172" s="309"/>
      <c r="H172" s="309"/>
      <c r="I172" s="309"/>
      <c r="J172" s="309"/>
      <c r="K172" s="338"/>
    </row>
    <row r="173" spans="4:11">
      <c r="D173" s="309"/>
      <c r="E173" s="309"/>
      <c r="F173" s="309"/>
      <c r="G173" s="309"/>
      <c r="H173" s="309"/>
      <c r="I173" s="309"/>
      <c r="J173" s="309"/>
      <c r="K173" s="338"/>
    </row>
    <row r="174" spans="4:11">
      <c r="D174" s="309"/>
      <c r="E174" s="309"/>
      <c r="F174" s="309"/>
      <c r="G174" s="309"/>
      <c r="H174" s="309"/>
      <c r="I174" s="309"/>
      <c r="J174" s="309"/>
      <c r="K174" s="338"/>
    </row>
    <row r="175" spans="4:11">
      <c r="D175" s="309"/>
      <c r="E175" s="309"/>
      <c r="F175" s="309"/>
      <c r="G175" s="309"/>
      <c r="H175" s="309"/>
      <c r="I175" s="309"/>
      <c r="J175" s="309"/>
      <c r="K175" s="338"/>
    </row>
    <row r="176" spans="4:11">
      <c r="D176" s="309"/>
      <c r="E176" s="309"/>
      <c r="F176" s="309"/>
      <c r="G176" s="309"/>
      <c r="H176" s="309"/>
      <c r="I176" s="309"/>
      <c r="J176" s="309"/>
      <c r="K176" s="338"/>
    </row>
    <row r="177" spans="4:11">
      <c r="D177" s="309"/>
      <c r="E177" s="309"/>
      <c r="F177" s="309"/>
      <c r="G177" s="309"/>
      <c r="H177" s="309"/>
      <c r="I177" s="309"/>
      <c r="J177" s="309"/>
      <c r="K177" s="338"/>
    </row>
    <row r="178" spans="4:11">
      <c r="D178" s="309"/>
      <c r="E178" s="309"/>
      <c r="F178" s="309"/>
      <c r="G178" s="309"/>
      <c r="H178" s="309"/>
      <c r="I178" s="309"/>
      <c r="J178" s="309"/>
      <c r="K178" s="338"/>
    </row>
    <row r="179" spans="4:11">
      <c r="D179" s="309"/>
      <c r="E179" s="309"/>
      <c r="F179" s="309"/>
      <c r="G179" s="309"/>
      <c r="H179" s="309"/>
      <c r="I179" s="309"/>
      <c r="J179" s="309"/>
      <c r="K179" s="338"/>
    </row>
    <row r="180" spans="4:11">
      <c r="D180" s="309"/>
      <c r="E180" s="309"/>
      <c r="F180" s="309"/>
      <c r="G180" s="309"/>
      <c r="H180" s="309"/>
      <c r="I180" s="309"/>
      <c r="J180" s="309"/>
      <c r="K180" s="338"/>
    </row>
    <row r="181" spans="4:11">
      <c r="D181" s="309"/>
      <c r="E181" s="309"/>
      <c r="F181" s="309"/>
      <c r="G181" s="309"/>
      <c r="H181" s="309"/>
      <c r="I181" s="309"/>
      <c r="J181" s="309"/>
      <c r="K181" s="338"/>
    </row>
    <row r="182" spans="4:11">
      <c r="D182" s="309"/>
      <c r="E182" s="309"/>
      <c r="F182" s="309"/>
      <c r="G182" s="309"/>
      <c r="H182" s="309"/>
      <c r="I182" s="309"/>
      <c r="J182" s="309"/>
      <c r="K182" s="338"/>
    </row>
    <row r="183" spans="4:11">
      <c r="D183" s="309"/>
      <c r="E183" s="309"/>
      <c r="F183" s="309"/>
      <c r="G183" s="309"/>
      <c r="H183" s="309"/>
      <c r="I183" s="309"/>
      <c r="J183" s="309"/>
      <c r="K183" s="338"/>
    </row>
    <row r="184" spans="4:11">
      <c r="D184" s="309"/>
      <c r="E184" s="309"/>
      <c r="F184" s="309"/>
      <c r="G184" s="309"/>
      <c r="H184" s="309"/>
      <c r="I184" s="309"/>
      <c r="J184" s="309"/>
      <c r="K184" s="338"/>
    </row>
    <row r="185" spans="4:11">
      <c r="D185" s="309"/>
      <c r="E185" s="309"/>
      <c r="F185" s="309"/>
      <c r="G185" s="309"/>
      <c r="H185" s="309"/>
      <c r="I185" s="309"/>
      <c r="J185" s="309"/>
      <c r="K185" s="338"/>
    </row>
    <row r="186" spans="4:11">
      <c r="D186" s="309"/>
      <c r="E186" s="309"/>
      <c r="F186" s="309"/>
      <c r="G186" s="309"/>
      <c r="H186" s="309"/>
      <c r="I186" s="309"/>
      <c r="J186" s="309"/>
      <c r="K186" s="338"/>
    </row>
    <row r="187" spans="4:11">
      <c r="D187" s="309"/>
      <c r="E187" s="309"/>
      <c r="F187" s="309"/>
      <c r="G187" s="309"/>
      <c r="H187" s="309"/>
      <c r="I187" s="309"/>
      <c r="J187" s="309"/>
      <c r="K187" s="338"/>
    </row>
    <row r="188" spans="4:11">
      <c r="D188" s="309"/>
      <c r="E188" s="309"/>
      <c r="F188" s="309"/>
      <c r="G188" s="309"/>
      <c r="H188" s="309"/>
      <c r="I188" s="309"/>
      <c r="J188" s="309"/>
      <c r="K188" s="338"/>
    </row>
    <row r="189" spans="4:11">
      <c r="D189" s="309"/>
      <c r="E189" s="309"/>
      <c r="F189" s="309"/>
      <c r="G189" s="309"/>
      <c r="H189" s="309"/>
      <c r="I189" s="309"/>
      <c r="J189" s="309"/>
      <c r="K189" s="338"/>
    </row>
    <row r="190" spans="4:11">
      <c r="D190" s="309"/>
      <c r="E190" s="309"/>
      <c r="F190" s="309"/>
      <c r="G190" s="309"/>
      <c r="H190" s="309"/>
      <c r="I190" s="309"/>
      <c r="J190" s="309"/>
      <c r="K190" s="338"/>
    </row>
    <row r="191" spans="4:11">
      <c r="D191" s="309"/>
      <c r="E191" s="309"/>
      <c r="F191" s="309"/>
      <c r="G191" s="309"/>
      <c r="H191" s="309"/>
      <c r="I191" s="309"/>
      <c r="J191" s="309"/>
      <c r="K191" s="338"/>
    </row>
    <row r="192" spans="4:11">
      <c r="D192" s="309"/>
      <c r="E192" s="309"/>
      <c r="F192" s="309"/>
      <c r="G192" s="309"/>
      <c r="H192" s="309"/>
      <c r="I192" s="309"/>
      <c r="J192" s="309"/>
      <c r="K192" s="338"/>
    </row>
    <row r="193" spans="4:11">
      <c r="D193" s="309"/>
      <c r="E193" s="309"/>
      <c r="F193" s="309"/>
      <c r="G193" s="309"/>
      <c r="H193" s="309"/>
      <c r="I193" s="309"/>
      <c r="J193" s="309"/>
      <c r="K193" s="338"/>
    </row>
    <row r="194" spans="4:11">
      <c r="D194" s="309"/>
      <c r="E194" s="309"/>
      <c r="F194" s="309"/>
      <c r="G194" s="309"/>
      <c r="H194" s="309"/>
      <c r="I194" s="309"/>
      <c r="J194" s="309"/>
      <c r="K194" s="338"/>
    </row>
    <row r="195" spans="4:11">
      <c r="D195" s="309"/>
      <c r="E195" s="309"/>
      <c r="F195" s="309"/>
      <c r="G195" s="309"/>
      <c r="H195" s="309"/>
      <c r="I195" s="309"/>
      <c r="J195" s="309"/>
      <c r="K195" s="338"/>
    </row>
    <row r="196" spans="4:11">
      <c r="D196" s="309"/>
      <c r="E196" s="309"/>
      <c r="F196" s="309"/>
      <c r="G196" s="309"/>
      <c r="H196" s="309"/>
      <c r="I196" s="309"/>
      <c r="J196" s="309"/>
      <c r="K196" s="338"/>
    </row>
    <row r="197" spans="4:11">
      <c r="D197" s="309"/>
      <c r="E197" s="309"/>
      <c r="F197" s="309"/>
      <c r="G197" s="309"/>
      <c r="H197" s="309"/>
      <c r="I197" s="309"/>
      <c r="J197" s="309"/>
      <c r="K197" s="338"/>
    </row>
    <row r="198" spans="4:11">
      <c r="D198" s="309"/>
      <c r="E198" s="309"/>
      <c r="F198" s="309"/>
      <c r="G198" s="309"/>
      <c r="H198" s="309"/>
      <c r="I198" s="309"/>
      <c r="J198" s="309"/>
      <c r="K198" s="338"/>
    </row>
    <row r="199" spans="4:11">
      <c r="D199" s="309"/>
      <c r="E199" s="309"/>
      <c r="F199" s="309"/>
      <c r="G199" s="309"/>
      <c r="H199" s="309"/>
      <c r="I199" s="309"/>
      <c r="J199" s="309"/>
      <c r="K199" s="338"/>
    </row>
    <row r="200" spans="4:11">
      <c r="D200" s="309"/>
      <c r="E200" s="309"/>
      <c r="F200" s="309"/>
      <c r="G200" s="309"/>
      <c r="H200" s="309"/>
      <c r="I200" s="309"/>
      <c r="J200" s="309"/>
      <c r="K200" s="338"/>
    </row>
    <row r="201" spans="4:11">
      <c r="D201" s="309"/>
      <c r="E201" s="309"/>
      <c r="F201" s="309"/>
      <c r="G201" s="309"/>
      <c r="H201" s="309"/>
      <c r="I201" s="309"/>
      <c r="J201" s="309"/>
      <c r="K201" s="338"/>
    </row>
    <row r="202" spans="4:11">
      <c r="D202" s="309"/>
      <c r="E202" s="309"/>
      <c r="F202" s="309"/>
      <c r="G202" s="309"/>
      <c r="H202" s="309"/>
      <c r="I202" s="309"/>
      <c r="J202" s="309"/>
      <c r="K202" s="338"/>
    </row>
    <row r="203" spans="4:11">
      <c r="D203" s="309"/>
      <c r="E203" s="309"/>
      <c r="F203" s="309"/>
      <c r="G203" s="309"/>
      <c r="H203" s="309"/>
      <c r="I203" s="309"/>
      <c r="J203" s="309"/>
      <c r="K203" s="338"/>
    </row>
    <row r="204" spans="4:11">
      <c r="D204" s="309"/>
      <c r="E204" s="309"/>
      <c r="F204" s="309"/>
      <c r="G204" s="309"/>
      <c r="H204" s="309"/>
      <c r="I204" s="309"/>
      <c r="J204" s="309"/>
      <c r="K204" s="338"/>
    </row>
    <row r="205" spans="4:11">
      <c r="D205" s="309"/>
      <c r="E205" s="309"/>
      <c r="F205" s="309"/>
      <c r="G205" s="309"/>
      <c r="H205" s="309"/>
      <c r="I205" s="309"/>
      <c r="J205" s="309"/>
      <c r="K205" s="338"/>
    </row>
    <row r="206" spans="4:11">
      <c r="D206" s="309"/>
      <c r="E206" s="309"/>
      <c r="F206" s="309"/>
      <c r="G206" s="309"/>
      <c r="H206" s="309"/>
      <c r="I206" s="309"/>
      <c r="J206" s="309"/>
      <c r="K206" s="338"/>
    </row>
    <row r="207" spans="4:11">
      <c r="D207" s="309"/>
      <c r="E207" s="309"/>
      <c r="F207" s="309"/>
      <c r="G207" s="309"/>
      <c r="H207" s="309"/>
      <c r="I207" s="309"/>
      <c r="J207" s="309"/>
      <c r="K207" s="338"/>
    </row>
    <row r="208" spans="4:11">
      <c r="D208" s="309"/>
      <c r="E208" s="309"/>
      <c r="F208" s="309"/>
      <c r="G208" s="309"/>
      <c r="H208" s="309"/>
      <c r="I208" s="309"/>
      <c r="J208" s="309"/>
      <c r="K208" s="338"/>
    </row>
    <row r="209" spans="4:11">
      <c r="D209" s="309"/>
      <c r="E209" s="309"/>
      <c r="F209" s="309"/>
      <c r="G209" s="309"/>
      <c r="H209" s="309"/>
      <c r="I209" s="309"/>
      <c r="J209" s="309"/>
      <c r="K209" s="338"/>
    </row>
    <row r="210" spans="4:11">
      <c r="D210" s="309"/>
      <c r="E210" s="309"/>
      <c r="F210" s="309"/>
      <c r="G210" s="309"/>
      <c r="H210" s="309"/>
      <c r="I210" s="309"/>
      <c r="J210" s="309"/>
      <c r="K210" s="338"/>
    </row>
    <row r="211" spans="4:11">
      <c r="D211" s="309"/>
      <c r="E211" s="309"/>
      <c r="F211" s="309"/>
      <c r="G211" s="309"/>
      <c r="H211" s="309"/>
      <c r="I211" s="309"/>
      <c r="J211" s="309"/>
      <c r="K211" s="338"/>
    </row>
    <row r="212" spans="4:11">
      <c r="D212" s="309"/>
      <c r="E212" s="309"/>
      <c r="F212" s="309"/>
      <c r="G212" s="309"/>
      <c r="H212" s="309"/>
      <c r="I212" s="309"/>
      <c r="J212" s="309"/>
      <c r="K212" s="338"/>
    </row>
    <row r="213" spans="4:11">
      <c r="D213" s="309"/>
      <c r="E213" s="309"/>
      <c r="F213" s="309"/>
      <c r="G213" s="309"/>
      <c r="H213" s="309"/>
      <c r="I213" s="309"/>
      <c r="J213" s="309"/>
      <c r="K213" s="338"/>
    </row>
    <row r="214" spans="4:11">
      <c r="D214" s="309"/>
      <c r="E214" s="309"/>
      <c r="F214" s="309"/>
      <c r="G214" s="309"/>
      <c r="H214" s="309"/>
      <c r="I214" s="309"/>
      <c r="J214" s="309"/>
      <c r="K214" s="338"/>
    </row>
    <row r="215" spans="4:11">
      <c r="D215" s="309"/>
      <c r="E215" s="309"/>
      <c r="F215" s="309"/>
      <c r="G215" s="309"/>
      <c r="H215" s="309"/>
      <c r="I215" s="309"/>
      <c r="J215" s="309"/>
      <c r="K215" s="338"/>
    </row>
    <row r="216" spans="4:11">
      <c r="D216" s="309"/>
      <c r="E216" s="309"/>
      <c r="F216" s="309"/>
      <c r="G216" s="309"/>
      <c r="H216" s="309"/>
      <c r="I216" s="309"/>
      <c r="J216" s="309"/>
      <c r="K216" s="338"/>
    </row>
    <row r="217" spans="4:11">
      <c r="D217" s="309"/>
      <c r="E217" s="309"/>
      <c r="F217" s="309"/>
      <c r="G217" s="309"/>
      <c r="H217" s="309"/>
      <c r="I217" s="309"/>
      <c r="J217" s="309"/>
      <c r="K217" s="338"/>
    </row>
    <row r="218" spans="4:11">
      <c r="D218" s="309"/>
      <c r="E218" s="309"/>
      <c r="F218" s="309"/>
      <c r="G218" s="309"/>
      <c r="H218" s="309"/>
      <c r="I218" s="309"/>
      <c r="J218" s="309"/>
      <c r="K218" s="338"/>
    </row>
    <row r="219" spans="4:11">
      <c r="D219" s="309"/>
      <c r="E219" s="309"/>
      <c r="F219" s="309"/>
      <c r="G219" s="309"/>
      <c r="H219" s="309"/>
      <c r="I219" s="309"/>
      <c r="J219" s="309"/>
      <c r="K219" s="338"/>
    </row>
    <row r="220" spans="4:11">
      <c r="D220" s="309"/>
      <c r="E220" s="309"/>
      <c r="F220" s="309"/>
      <c r="G220" s="309"/>
      <c r="H220" s="309"/>
      <c r="I220" s="309"/>
      <c r="J220" s="309"/>
      <c r="K220" s="338"/>
    </row>
    <row r="221" spans="4:11">
      <c r="D221" s="309"/>
      <c r="E221" s="309"/>
      <c r="F221" s="309"/>
      <c r="G221" s="309"/>
      <c r="H221" s="309"/>
      <c r="I221" s="309"/>
      <c r="J221" s="309"/>
      <c r="K221" s="338"/>
    </row>
    <row r="222" spans="4:11">
      <c r="D222" s="309"/>
      <c r="E222" s="309"/>
      <c r="F222" s="309"/>
      <c r="G222" s="309"/>
      <c r="H222" s="309"/>
      <c r="I222" s="309"/>
      <c r="J222" s="309"/>
      <c r="K222" s="338"/>
    </row>
    <row r="223" spans="4:11">
      <c r="D223" s="309"/>
      <c r="E223" s="309"/>
      <c r="F223" s="309"/>
      <c r="G223" s="309"/>
      <c r="H223" s="309"/>
      <c r="I223" s="309"/>
      <c r="J223" s="309"/>
      <c r="K223" s="338"/>
    </row>
    <row r="224" spans="4:11">
      <c r="D224" s="309"/>
      <c r="E224" s="309"/>
      <c r="F224" s="309"/>
      <c r="G224" s="309"/>
      <c r="H224" s="309"/>
      <c r="I224" s="309"/>
      <c r="J224" s="309"/>
      <c r="K224" s="338"/>
    </row>
    <row r="225" spans="4:11">
      <c r="D225" s="309"/>
      <c r="E225" s="309"/>
      <c r="F225" s="309"/>
      <c r="G225" s="309"/>
      <c r="H225" s="309"/>
      <c r="I225" s="309"/>
      <c r="J225" s="309"/>
      <c r="K225" s="338"/>
    </row>
    <row r="226" spans="4:11">
      <c r="D226" s="309"/>
      <c r="E226" s="309"/>
      <c r="F226" s="309"/>
      <c r="G226" s="309"/>
      <c r="H226" s="309"/>
      <c r="I226" s="309"/>
      <c r="J226" s="309"/>
      <c r="K226" s="338"/>
    </row>
    <row r="227" spans="4:11">
      <c r="D227" s="309"/>
      <c r="E227" s="309"/>
      <c r="F227" s="309"/>
      <c r="G227" s="309"/>
      <c r="H227" s="309"/>
      <c r="I227" s="309"/>
      <c r="J227" s="309"/>
      <c r="K227" s="338"/>
    </row>
    <row r="228" spans="4:11">
      <c r="D228" s="309"/>
      <c r="E228" s="309"/>
      <c r="F228" s="309"/>
      <c r="G228" s="309"/>
      <c r="H228" s="309"/>
      <c r="I228" s="309"/>
      <c r="J228" s="309"/>
      <c r="K228" s="338"/>
    </row>
    <row r="229" spans="4:11">
      <c r="D229" s="309"/>
      <c r="E229" s="309"/>
      <c r="F229" s="309"/>
      <c r="G229" s="309"/>
      <c r="H229" s="309"/>
      <c r="I229" s="309"/>
      <c r="J229" s="309"/>
      <c r="K229" s="338"/>
    </row>
    <row r="230" spans="4:11">
      <c r="D230" s="309"/>
      <c r="E230" s="309"/>
      <c r="F230" s="309"/>
      <c r="G230" s="309"/>
      <c r="H230" s="309"/>
      <c r="I230" s="309"/>
      <c r="J230" s="309"/>
      <c r="K230" s="338"/>
    </row>
    <row r="231" spans="4:11">
      <c r="D231" s="309"/>
      <c r="E231" s="309"/>
      <c r="F231" s="309"/>
      <c r="G231" s="309"/>
      <c r="H231" s="309"/>
      <c r="I231" s="309"/>
      <c r="J231" s="309"/>
      <c r="K231" s="338"/>
    </row>
    <row r="232" spans="4:11">
      <c r="D232" s="309"/>
      <c r="E232" s="309"/>
      <c r="F232" s="309"/>
      <c r="G232" s="309"/>
      <c r="H232" s="309"/>
      <c r="I232" s="309"/>
      <c r="J232" s="309"/>
      <c r="K232" s="338"/>
    </row>
    <row r="233" spans="4:11">
      <c r="D233" s="309"/>
      <c r="E233" s="309"/>
      <c r="F233" s="309"/>
      <c r="G233" s="309"/>
      <c r="H233" s="309"/>
      <c r="I233" s="309"/>
      <c r="J233" s="309"/>
      <c r="K233" s="338"/>
    </row>
    <row r="234" spans="4:11">
      <c r="D234" s="309"/>
      <c r="E234" s="309"/>
      <c r="F234" s="309"/>
      <c r="G234" s="309"/>
      <c r="H234" s="309"/>
      <c r="I234" s="309"/>
      <c r="J234" s="309"/>
      <c r="K234" s="338"/>
    </row>
    <row r="235" spans="4:11">
      <c r="D235" s="309"/>
      <c r="E235" s="309"/>
      <c r="F235" s="309"/>
      <c r="G235" s="309"/>
      <c r="H235" s="309"/>
      <c r="I235" s="309"/>
      <c r="J235" s="309"/>
      <c r="K235" s="338"/>
    </row>
    <row r="236" spans="4:11">
      <c r="D236" s="309"/>
      <c r="E236" s="309"/>
      <c r="F236" s="309"/>
      <c r="G236" s="309"/>
      <c r="H236" s="309"/>
      <c r="I236" s="309"/>
      <c r="J236" s="309"/>
      <c r="K236" s="338"/>
    </row>
    <row r="237" spans="4:11">
      <c r="D237" s="309"/>
      <c r="E237" s="309"/>
      <c r="F237" s="309"/>
      <c r="G237" s="309"/>
      <c r="H237" s="309"/>
      <c r="I237" s="309"/>
      <c r="J237" s="309"/>
      <c r="K237" s="338"/>
    </row>
    <row r="238" spans="4:11">
      <c r="D238" s="309"/>
      <c r="E238" s="309"/>
      <c r="F238" s="309"/>
      <c r="G238" s="309"/>
      <c r="H238" s="309"/>
      <c r="I238" s="309"/>
      <c r="J238" s="309"/>
      <c r="K238" s="338"/>
    </row>
    <row r="239" spans="4:11">
      <c r="D239" s="309"/>
      <c r="E239" s="309"/>
      <c r="F239" s="309"/>
      <c r="G239" s="309"/>
      <c r="H239" s="309"/>
      <c r="I239" s="309"/>
      <c r="J239" s="309"/>
      <c r="K239" s="338"/>
    </row>
    <row r="240" spans="4:11">
      <c r="D240" s="309"/>
      <c r="E240" s="309"/>
      <c r="F240" s="309"/>
      <c r="G240" s="309"/>
      <c r="H240" s="309"/>
      <c r="I240" s="309"/>
      <c r="J240" s="309"/>
      <c r="K240" s="338"/>
    </row>
    <row r="241" spans="4:11">
      <c r="D241" s="309"/>
      <c r="E241" s="309"/>
      <c r="F241" s="309"/>
      <c r="G241" s="309"/>
      <c r="H241" s="309"/>
      <c r="I241" s="309"/>
      <c r="J241" s="309"/>
      <c r="K241" s="338"/>
    </row>
    <row r="242" spans="4:11">
      <c r="D242" s="309"/>
      <c r="E242" s="309"/>
      <c r="F242" s="309"/>
      <c r="G242" s="309"/>
      <c r="H242" s="309"/>
      <c r="I242" s="309"/>
      <c r="J242" s="309"/>
      <c r="K242" s="338"/>
    </row>
    <row r="243" spans="4:11">
      <c r="D243" s="309"/>
      <c r="E243" s="309"/>
      <c r="F243" s="309"/>
      <c r="G243" s="309"/>
      <c r="H243" s="309"/>
      <c r="I243" s="309"/>
      <c r="J243" s="309"/>
      <c r="K243" s="338"/>
    </row>
    <row r="244" spans="4:11">
      <c r="D244" s="309"/>
      <c r="E244" s="309"/>
      <c r="F244" s="309"/>
      <c r="G244" s="309"/>
      <c r="H244" s="309"/>
      <c r="I244" s="309"/>
      <c r="J244" s="309"/>
      <c r="K244" s="338"/>
    </row>
    <row r="245" spans="4:11">
      <c r="D245" s="309"/>
      <c r="E245" s="309"/>
      <c r="F245" s="309"/>
      <c r="G245" s="309"/>
      <c r="H245" s="309"/>
      <c r="I245" s="309"/>
      <c r="J245" s="309"/>
      <c r="K245" s="338"/>
    </row>
    <row r="246" spans="4:11">
      <c r="D246" s="309"/>
      <c r="E246" s="309"/>
      <c r="F246" s="309"/>
      <c r="G246" s="309"/>
      <c r="H246" s="309"/>
      <c r="I246" s="309"/>
      <c r="J246" s="309"/>
      <c r="K246" s="338"/>
    </row>
    <row r="247" spans="4:11">
      <c r="D247" s="309"/>
      <c r="E247" s="309"/>
      <c r="F247" s="309"/>
      <c r="G247" s="309"/>
      <c r="H247" s="309"/>
      <c r="I247" s="309"/>
      <c r="J247" s="309"/>
      <c r="K247" s="338"/>
    </row>
    <row r="248" spans="4:11">
      <c r="D248" s="309"/>
      <c r="E248" s="309"/>
      <c r="F248" s="309"/>
      <c r="G248" s="309"/>
      <c r="H248" s="309"/>
      <c r="I248" s="309"/>
      <c r="J248" s="309"/>
      <c r="K248" s="338"/>
    </row>
    <row r="249" spans="4:11">
      <c r="D249" s="309"/>
      <c r="E249" s="309"/>
      <c r="F249" s="309"/>
      <c r="G249" s="309"/>
      <c r="H249" s="309"/>
      <c r="I249" s="309"/>
      <c r="J249" s="309"/>
      <c r="K249" s="338"/>
    </row>
    <row r="250" spans="4:11">
      <c r="D250" s="309"/>
      <c r="E250" s="309"/>
      <c r="F250" s="309"/>
      <c r="G250" s="309"/>
      <c r="H250" s="309"/>
      <c r="I250" s="309"/>
      <c r="J250" s="309"/>
      <c r="K250" s="338"/>
    </row>
    <row r="251" spans="4:11">
      <c r="D251" s="309"/>
      <c r="E251" s="309"/>
      <c r="F251" s="309"/>
      <c r="G251" s="309"/>
      <c r="H251" s="309"/>
      <c r="I251" s="309"/>
      <c r="J251" s="309"/>
      <c r="K251" s="338"/>
    </row>
    <row r="252" spans="4:11">
      <c r="D252" s="309"/>
      <c r="E252" s="309"/>
      <c r="F252" s="309"/>
      <c r="G252" s="309"/>
      <c r="H252" s="309"/>
      <c r="I252" s="309"/>
      <c r="J252" s="309"/>
      <c r="K252" s="338"/>
    </row>
    <row r="253" spans="4:11">
      <c r="D253" s="309"/>
      <c r="E253" s="309"/>
      <c r="F253" s="309"/>
      <c r="G253" s="309"/>
      <c r="H253" s="309"/>
      <c r="I253" s="309"/>
      <c r="J253" s="309"/>
      <c r="K253" s="338"/>
    </row>
    <row r="254" spans="4:11">
      <c r="D254" s="309"/>
      <c r="E254" s="309"/>
      <c r="F254" s="309"/>
      <c r="G254" s="309"/>
      <c r="H254" s="309"/>
      <c r="I254" s="309"/>
      <c r="J254" s="309"/>
      <c r="K254" s="338"/>
    </row>
    <row r="255" spans="4:11">
      <c r="D255" s="309"/>
      <c r="E255" s="309"/>
      <c r="F255" s="309"/>
      <c r="G255" s="309"/>
      <c r="H255" s="309"/>
      <c r="I255" s="309"/>
      <c r="J255" s="309"/>
      <c r="K255" s="338"/>
    </row>
    <row r="256" spans="4:11">
      <c r="D256" s="309"/>
      <c r="E256" s="309"/>
      <c r="F256" s="309"/>
      <c r="G256" s="309"/>
      <c r="H256" s="309"/>
      <c r="I256" s="309"/>
      <c r="J256" s="309"/>
      <c r="K256" s="338"/>
    </row>
    <row r="257" spans="4:11">
      <c r="D257" s="309"/>
      <c r="E257" s="309"/>
      <c r="F257" s="309"/>
      <c r="G257" s="309"/>
      <c r="H257" s="309"/>
      <c r="I257" s="309"/>
      <c r="J257" s="309"/>
      <c r="K257" s="338"/>
    </row>
    <row r="258" spans="4:11">
      <c r="D258" s="309"/>
      <c r="E258" s="309"/>
      <c r="F258" s="309"/>
      <c r="G258" s="309"/>
      <c r="H258" s="309"/>
      <c r="I258" s="309"/>
      <c r="J258" s="309"/>
      <c r="K258" s="338"/>
    </row>
    <row r="259" spans="4:11">
      <c r="D259" s="309"/>
      <c r="E259" s="309"/>
      <c r="F259" s="309"/>
      <c r="G259" s="309"/>
      <c r="H259" s="309"/>
      <c r="I259" s="309"/>
      <c r="J259" s="309"/>
      <c r="K259" s="338"/>
    </row>
    <row r="260" spans="4:11">
      <c r="D260" s="309"/>
      <c r="E260" s="309"/>
      <c r="F260" s="309"/>
      <c r="G260" s="309"/>
      <c r="H260" s="309"/>
      <c r="I260" s="309"/>
      <c r="J260" s="309"/>
      <c r="K260" s="338"/>
    </row>
    <row r="261" spans="4:11">
      <c r="D261" s="309"/>
      <c r="E261" s="309"/>
      <c r="F261" s="309"/>
      <c r="G261" s="309"/>
      <c r="H261" s="309"/>
      <c r="I261" s="309"/>
      <c r="J261" s="309"/>
      <c r="K261" s="338"/>
    </row>
    <row r="262" spans="4:11">
      <c r="D262" s="309"/>
      <c r="E262" s="309"/>
      <c r="F262" s="309"/>
      <c r="G262" s="309"/>
      <c r="H262" s="309"/>
      <c r="I262" s="309"/>
      <c r="J262" s="309"/>
      <c r="K262" s="338"/>
    </row>
    <row r="263" spans="4:11">
      <c r="D263" s="309"/>
      <c r="E263" s="309"/>
      <c r="F263" s="309"/>
      <c r="G263" s="309"/>
      <c r="H263" s="309"/>
      <c r="I263" s="309"/>
      <c r="J263" s="309"/>
      <c r="K263" s="338"/>
    </row>
    <row r="264" spans="4:11">
      <c r="D264" s="309"/>
      <c r="E264" s="309"/>
      <c r="F264" s="309"/>
      <c r="G264" s="309"/>
      <c r="H264" s="309"/>
      <c r="I264" s="309"/>
      <c r="J264" s="309"/>
      <c r="K264" s="338"/>
    </row>
    <row r="265" spans="4:11">
      <c r="D265" s="309"/>
      <c r="E265" s="309"/>
      <c r="F265" s="309"/>
      <c r="G265" s="309"/>
      <c r="H265" s="309"/>
      <c r="I265" s="309"/>
      <c r="J265" s="309"/>
      <c r="K265" s="338"/>
    </row>
    <row r="266" spans="4:11">
      <c r="D266" s="309"/>
      <c r="E266" s="309"/>
      <c r="F266" s="309"/>
      <c r="G266" s="309"/>
      <c r="H266" s="309"/>
      <c r="I266" s="309"/>
      <c r="J266" s="309"/>
      <c r="K266" s="338"/>
    </row>
    <row r="267" spans="4:11">
      <c r="D267" s="309"/>
      <c r="E267" s="309"/>
      <c r="F267" s="309"/>
      <c r="G267" s="309"/>
      <c r="H267" s="309"/>
      <c r="I267" s="309"/>
      <c r="J267" s="309"/>
      <c r="K267" s="338"/>
    </row>
    <row r="268" spans="4:11">
      <c r="D268" s="309"/>
      <c r="E268" s="309"/>
      <c r="F268" s="309"/>
      <c r="G268" s="309"/>
      <c r="H268" s="309"/>
      <c r="I268" s="309"/>
      <c r="J268" s="309"/>
      <c r="K268" s="338"/>
    </row>
    <row r="269" spans="4:11">
      <c r="D269" s="309"/>
      <c r="E269" s="309"/>
      <c r="F269" s="309"/>
      <c r="G269" s="309"/>
      <c r="H269" s="309"/>
      <c r="I269" s="309"/>
      <c r="J269" s="309"/>
      <c r="K269" s="338"/>
    </row>
    <row r="270" spans="4:11">
      <c r="D270" s="309"/>
      <c r="E270" s="309"/>
      <c r="F270" s="309"/>
      <c r="G270" s="309"/>
      <c r="H270" s="309"/>
      <c r="I270" s="309"/>
      <c r="J270" s="309"/>
      <c r="K270" s="338"/>
    </row>
    <row r="271" spans="4:11">
      <c r="D271" s="309"/>
      <c r="E271" s="309"/>
      <c r="F271" s="309"/>
      <c r="G271" s="309"/>
      <c r="H271" s="309"/>
      <c r="I271" s="309"/>
      <c r="J271" s="309"/>
      <c r="K271" s="338"/>
    </row>
    <row r="272" spans="4:11">
      <c r="D272" s="309"/>
      <c r="E272" s="309"/>
      <c r="F272" s="309"/>
      <c r="G272" s="309"/>
      <c r="H272" s="309"/>
      <c r="I272" s="309"/>
      <c r="J272" s="309"/>
      <c r="K272" s="338"/>
    </row>
    <row r="273" spans="4:11">
      <c r="D273" s="309"/>
      <c r="E273" s="309"/>
      <c r="F273" s="309"/>
      <c r="G273" s="309"/>
      <c r="H273" s="309"/>
      <c r="I273" s="309"/>
      <c r="J273" s="309"/>
      <c r="K273" s="338"/>
    </row>
    <row r="274" spans="4:11">
      <c r="D274" s="309"/>
      <c r="E274" s="309"/>
      <c r="F274" s="309"/>
      <c r="G274" s="309"/>
      <c r="H274" s="309"/>
      <c r="I274" s="309"/>
      <c r="J274" s="309"/>
      <c r="K274" s="338"/>
    </row>
    <row r="275" spans="4:11">
      <c r="D275" s="309"/>
      <c r="E275" s="309"/>
      <c r="F275" s="309"/>
      <c r="G275" s="309"/>
      <c r="H275" s="309"/>
      <c r="I275" s="309"/>
      <c r="J275" s="309"/>
      <c r="K275" s="338"/>
    </row>
    <row r="276" spans="4:11">
      <c r="D276" s="309"/>
      <c r="E276" s="309"/>
      <c r="F276" s="309"/>
      <c r="G276" s="309"/>
      <c r="H276" s="309"/>
      <c r="I276" s="309"/>
      <c r="J276" s="309"/>
      <c r="K276" s="338"/>
    </row>
    <row r="277" spans="4:11">
      <c r="D277" s="309"/>
      <c r="E277" s="309"/>
      <c r="F277" s="309"/>
      <c r="G277" s="309"/>
      <c r="H277" s="309"/>
      <c r="I277" s="309"/>
      <c r="J277" s="309"/>
      <c r="K277" s="338"/>
    </row>
    <row r="278" spans="4:11">
      <c r="D278" s="309"/>
      <c r="E278" s="309"/>
      <c r="F278" s="309"/>
      <c r="G278" s="309"/>
      <c r="H278" s="309"/>
      <c r="I278" s="309"/>
      <c r="J278" s="309"/>
      <c r="K278" s="338"/>
    </row>
    <row r="279" spans="4:11">
      <c r="D279" s="309"/>
      <c r="E279" s="309"/>
      <c r="F279" s="309"/>
      <c r="G279" s="309"/>
      <c r="H279" s="309"/>
      <c r="I279" s="309"/>
      <c r="J279" s="309"/>
      <c r="K279" s="338"/>
    </row>
    <row r="280" spans="4:11">
      <c r="D280" s="309"/>
      <c r="E280" s="309"/>
      <c r="F280" s="309"/>
      <c r="G280" s="309"/>
      <c r="H280" s="309"/>
      <c r="I280" s="309"/>
      <c r="J280" s="309"/>
      <c r="K280" s="338"/>
    </row>
    <row r="281" spans="4:11">
      <c r="D281" s="309"/>
      <c r="E281" s="309"/>
      <c r="F281" s="309"/>
      <c r="G281" s="309"/>
      <c r="H281" s="309"/>
      <c r="I281" s="309"/>
      <c r="J281" s="309"/>
      <c r="K281" s="338"/>
    </row>
    <row r="282" spans="4:11">
      <c r="D282" s="309"/>
      <c r="E282" s="309"/>
      <c r="F282" s="309"/>
      <c r="G282" s="309"/>
      <c r="H282" s="309"/>
      <c r="I282" s="309"/>
      <c r="J282" s="309"/>
      <c r="K282" s="338"/>
    </row>
    <row r="283" spans="4:11">
      <c r="D283" s="309"/>
      <c r="E283" s="309"/>
      <c r="F283" s="309"/>
      <c r="G283" s="309"/>
      <c r="H283" s="309"/>
      <c r="I283" s="309"/>
      <c r="J283" s="309"/>
      <c r="K283" s="338"/>
    </row>
    <row r="284" spans="4:11">
      <c r="D284" s="309"/>
      <c r="E284" s="309"/>
      <c r="F284" s="309"/>
      <c r="G284" s="309"/>
      <c r="H284" s="309"/>
      <c r="I284" s="309"/>
      <c r="J284" s="309"/>
      <c r="K284" s="338"/>
    </row>
    <row r="285" spans="4:11">
      <c r="D285" s="309"/>
      <c r="E285" s="309"/>
      <c r="F285" s="309"/>
      <c r="G285" s="309"/>
      <c r="H285" s="309"/>
      <c r="I285" s="309"/>
      <c r="J285" s="309"/>
      <c r="K285" s="338"/>
    </row>
    <row r="286" spans="4:11">
      <c r="D286" s="309"/>
      <c r="E286" s="309"/>
      <c r="F286" s="309"/>
      <c r="G286" s="309"/>
      <c r="H286" s="309"/>
      <c r="I286" s="309"/>
      <c r="J286" s="309"/>
      <c r="K286" s="338"/>
    </row>
    <row r="287" spans="4:11">
      <c r="D287" s="309"/>
      <c r="E287" s="309"/>
      <c r="F287" s="309"/>
      <c r="G287" s="309"/>
      <c r="H287" s="309"/>
      <c r="I287" s="309"/>
      <c r="J287" s="309"/>
      <c r="K287" s="338"/>
    </row>
    <row r="288" spans="4:11">
      <c r="D288" s="309"/>
      <c r="E288" s="309"/>
      <c r="F288" s="309"/>
      <c r="G288" s="309"/>
      <c r="H288" s="309"/>
      <c r="I288" s="309"/>
      <c r="J288" s="309"/>
      <c r="K288" s="338"/>
    </row>
    <row r="289" spans="4:11">
      <c r="D289" s="309"/>
      <c r="E289" s="309"/>
      <c r="F289" s="309"/>
      <c r="G289" s="309"/>
      <c r="H289" s="309"/>
      <c r="I289" s="309"/>
      <c r="J289" s="309"/>
      <c r="K289" s="338"/>
    </row>
    <row r="290" spans="4:11">
      <c r="D290" s="309"/>
      <c r="E290" s="309"/>
      <c r="F290" s="309"/>
      <c r="G290" s="309"/>
      <c r="H290" s="309"/>
      <c r="I290" s="309"/>
      <c r="J290" s="309"/>
      <c r="K290" s="338"/>
    </row>
    <row r="291" spans="4:11">
      <c r="D291" s="309"/>
      <c r="E291" s="309"/>
      <c r="F291" s="309"/>
      <c r="G291" s="309"/>
      <c r="H291" s="309"/>
      <c r="I291" s="309"/>
      <c r="J291" s="309"/>
      <c r="K291" s="338"/>
    </row>
    <row r="292" spans="4:11">
      <c r="D292" s="309"/>
      <c r="E292" s="309"/>
      <c r="F292" s="309"/>
      <c r="G292" s="309"/>
      <c r="H292" s="309"/>
      <c r="I292" s="309"/>
      <c r="J292" s="309"/>
      <c r="K292" s="338"/>
    </row>
    <row r="293" spans="4:11">
      <c r="D293" s="309"/>
      <c r="E293" s="309"/>
      <c r="F293" s="309"/>
      <c r="G293" s="309"/>
      <c r="H293" s="309"/>
      <c r="I293" s="309"/>
      <c r="J293" s="309"/>
      <c r="K293" s="338"/>
    </row>
    <row r="294" spans="4:11">
      <c r="D294" s="309"/>
      <c r="E294" s="309"/>
      <c r="F294" s="309"/>
      <c r="G294" s="309"/>
      <c r="H294" s="309"/>
      <c r="I294" s="309"/>
      <c r="J294" s="309"/>
      <c r="K294" s="338"/>
    </row>
    <row r="295" spans="4:11">
      <c r="D295" s="309"/>
      <c r="E295" s="309"/>
      <c r="F295" s="309"/>
      <c r="G295" s="309"/>
      <c r="H295" s="309"/>
      <c r="I295" s="309"/>
      <c r="J295" s="309"/>
      <c r="K295" s="338"/>
    </row>
    <row r="296" spans="4:11">
      <c r="D296" s="309"/>
      <c r="E296" s="309"/>
      <c r="F296" s="309"/>
      <c r="G296" s="309"/>
      <c r="H296" s="309"/>
      <c r="I296" s="309"/>
      <c r="J296" s="309"/>
      <c r="K296" s="338"/>
    </row>
    <row r="297" spans="4:11">
      <c r="D297" s="309"/>
      <c r="E297" s="309"/>
      <c r="F297" s="309"/>
      <c r="G297" s="309"/>
      <c r="H297" s="309"/>
      <c r="I297" s="309"/>
      <c r="J297" s="309"/>
      <c r="K297" s="338"/>
    </row>
    <row r="298" spans="4:11">
      <c r="D298" s="309"/>
      <c r="E298" s="309"/>
      <c r="F298" s="309"/>
      <c r="G298" s="309"/>
      <c r="H298" s="309"/>
      <c r="I298" s="309"/>
      <c r="J298" s="309"/>
      <c r="K298" s="338"/>
    </row>
    <row r="299" spans="4:11">
      <c r="D299" s="309"/>
      <c r="E299" s="309"/>
      <c r="F299" s="309"/>
      <c r="G299" s="309"/>
      <c r="H299" s="309"/>
      <c r="I299" s="309"/>
      <c r="J299" s="309"/>
      <c r="K299" s="338"/>
    </row>
    <row r="300" spans="4:11">
      <c r="D300" s="309"/>
      <c r="E300" s="309"/>
      <c r="F300" s="309"/>
      <c r="G300" s="309"/>
      <c r="H300" s="309"/>
      <c r="I300" s="309"/>
      <c r="J300" s="309"/>
      <c r="K300" s="338"/>
    </row>
    <row r="301" spans="4:11">
      <c r="D301" s="309"/>
      <c r="E301" s="309"/>
      <c r="F301" s="309"/>
      <c r="G301" s="309"/>
      <c r="H301" s="309"/>
      <c r="I301" s="309"/>
      <c r="J301" s="309"/>
      <c r="K301" s="338"/>
    </row>
    <row r="302" spans="4:11">
      <c r="D302" s="309"/>
      <c r="E302" s="309"/>
      <c r="F302" s="309"/>
      <c r="G302" s="309"/>
      <c r="H302" s="309"/>
      <c r="I302" s="309"/>
      <c r="J302" s="309"/>
      <c r="K302" s="338"/>
    </row>
    <row r="303" spans="4:11">
      <c r="D303" s="309"/>
      <c r="E303" s="309"/>
      <c r="F303" s="309"/>
      <c r="G303" s="309"/>
      <c r="H303" s="309"/>
      <c r="I303" s="309"/>
      <c r="J303" s="309"/>
      <c r="K303" s="338"/>
    </row>
    <row r="304" spans="4:11">
      <c r="D304" s="309"/>
      <c r="E304" s="309"/>
      <c r="F304" s="309"/>
      <c r="G304" s="309"/>
      <c r="H304" s="309"/>
      <c r="I304" s="309"/>
      <c r="J304" s="309"/>
      <c r="K304" s="338"/>
    </row>
    <row r="305" spans="4:11">
      <c r="D305" s="309"/>
      <c r="E305" s="309"/>
      <c r="F305" s="309"/>
      <c r="G305" s="309"/>
      <c r="H305" s="309"/>
      <c r="I305" s="309"/>
      <c r="J305" s="309"/>
      <c r="K305" s="338"/>
    </row>
    <row r="306" spans="4:11">
      <c r="D306" s="309"/>
      <c r="E306" s="309"/>
      <c r="F306" s="309"/>
      <c r="G306" s="309"/>
      <c r="H306" s="309"/>
      <c r="I306" s="309"/>
      <c r="J306" s="309"/>
      <c r="K306" s="338"/>
    </row>
    <row r="307" spans="4:11">
      <c r="D307" s="309"/>
      <c r="E307" s="309"/>
      <c r="F307" s="309"/>
      <c r="G307" s="309"/>
      <c r="H307" s="309"/>
      <c r="I307" s="309"/>
      <c r="J307" s="309"/>
      <c r="K307" s="338"/>
    </row>
    <row r="308" spans="4:11">
      <c r="D308" s="309"/>
      <c r="E308" s="309"/>
      <c r="F308" s="309"/>
      <c r="G308" s="309"/>
      <c r="H308" s="309"/>
      <c r="I308" s="309"/>
      <c r="J308" s="309"/>
      <c r="K308" s="338"/>
    </row>
    <row r="309" spans="4:11">
      <c r="D309" s="309"/>
      <c r="E309" s="309"/>
      <c r="F309" s="309"/>
      <c r="G309" s="309"/>
      <c r="H309" s="309"/>
      <c r="I309" s="309"/>
      <c r="J309" s="309"/>
      <c r="K309" s="338"/>
    </row>
    <row r="310" spans="4:11">
      <c r="D310" s="309"/>
      <c r="E310" s="309"/>
      <c r="F310" s="309"/>
      <c r="G310" s="309"/>
      <c r="H310" s="309"/>
      <c r="I310" s="309"/>
      <c r="J310" s="309"/>
      <c r="K310" s="338"/>
    </row>
    <row r="311" spans="4:11">
      <c r="D311" s="309"/>
      <c r="E311" s="309"/>
      <c r="F311" s="309"/>
      <c r="G311" s="309"/>
      <c r="H311" s="309"/>
      <c r="I311" s="309"/>
      <c r="J311" s="309"/>
      <c r="K311" s="338"/>
    </row>
    <row r="312" spans="4:11">
      <c r="D312" s="309"/>
      <c r="E312" s="309"/>
      <c r="F312" s="309"/>
      <c r="G312" s="309"/>
      <c r="H312" s="309"/>
      <c r="I312" s="309"/>
      <c r="J312" s="309"/>
      <c r="K312" s="338"/>
    </row>
    <row r="313" spans="4:11">
      <c r="D313" s="309"/>
      <c r="E313" s="309"/>
      <c r="F313" s="309"/>
      <c r="G313" s="309"/>
      <c r="H313" s="309"/>
      <c r="I313" s="309"/>
      <c r="J313" s="309"/>
      <c r="K313" s="338"/>
    </row>
    <row r="314" spans="4:11">
      <c r="D314" s="309"/>
      <c r="E314" s="309"/>
      <c r="F314" s="309"/>
      <c r="G314" s="309"/>
      <c r="H314" s="309"/>
      <c r="I314" s="309"/>
      <c r="J314" s="309"/>
      <c r="K314" s="338"/>
    </row>
    <row r="315" spans="4:11">
      <c r="D315" s="309"/>
      <c r="E315" s="309"/>
      <c r="F315" s="309"/>
      <c r="G315" s="309"/>
      <c r="H315" s="309"/>
      <c r="I315" s="309"/>
      <c r="J315" s="309"/>
      <c r="K315" s="338"/>
    </row>
    <row r="316" spans="4:11">
      <c r="D316" s="309"/>
      <c r="E316" s="309"/>
      <c r="F316" s="309"/>
      <c r="G316" s="309"/>
      <c r="H316" s="309"/>
      <c r="I316" s="309"/>
      <c r="J316" s="309"/>
      <c r="K316" s="338"/>
    </row>
    <row r="317" spans="4:11">
      <c r="D317" s="309"/>
      <c r="E317" s="309"/>
      <c r="F317" s="309"/>
      <c r="G317" s="309"/>
      <c r="H317" s="309"/>
      <c r="I317" s="309"/>
      <c r="J317" s="309"/>
      <c r="K317" s="338"/>
    </row>
    <row r="318" spans="4:11">
      <c r="D318" s="309"/>
      <c r="E318" s="309"/>
      <c r="F318" s="309"/>
      <c r="G318" s="309"/>
      <c r="H318" s="309"/>
      <c r="I318" s="309"/>
      <c r="J318" s="309"/>
      <c r="K318" s="338"/>
    </row>
    <row r="319" spans="4:11">
      <c r="D319" s="309"/>
      <c r="E319" s="309"/>
      <c r="F319" s="309"/>
      <c r="G319" s="309"/>
      <c r="H319" s="309"/>
      <c r="I319" s="309"/>
      <c r="J319" s="309"/>
      <c r="K319" s="338"/>
    </row>
    <row r="320" spans="4:11">
      <c r="D320" s="309"/>
      <c r="E320" s="309"/>
      <c r="F320" s="309"/>
      <c r="G320" s="309"/>
      <c r="H320" s="309"/>
      <c r="I320" s="309"/>
      <c r="J320" s="309"/>
      <c r="K320" s="338"/>
    </row>
    <row r="321" spans="4:11">
      <c r="D321" s="309"/>
      <c r="E321" s="309"/>
      <c r="F321" s="309"/>
      <c r="G321" s="309"/>
      <c r="H321" s="309"/>
      <c r="I321" s="309"/>
      <c r="J321" s="309"/>
      <c r="K321" s="338"/>
    </row>
    <row r="322" spans="4:11">
      <c r="D322" s="309"/>
      <c r="E322" s="309"/>
      <c r="F322" s="309"/>
      <c r="G322" s="309"/>
      <c r="H322" s="309"/>
      <c r="I322" s="309"/>
      <c r="J322" s="309"/>
      <c r="K322" s="338"/>
    </row>
    <row r="323" spans="4:11">
      <c r="D323" s="309"/>
      <c r="E323" s="309"/>
      <c r="F323" s="309"/>
      <c r="G323" s="309"/>
      <c r="H323" s="309"/>
      <c r="I323" s="309"/>
      <c r="J323" s="309"/>
      <c r="K323" s="338"/>
    </row>
    <row r="324" spans="4:11">
      <c r="D324" s="309"/>
      <c r="E324" s="309"/>
      <c r="F324" s="309"/>
      <c r="G324" s="309"/>
      <c r="H324" s="309"/>
      <c r="I324" s="309"/>
      <c r="J324" s="309"/>
      <c r="K324" s="338"/>
    </row>
    <row r="325" spans="4:11">
      <c r="D325" s="309"/>
      <c r="E325" s="309"/>
      <c r="F325" s="309"/>
      <c r="G325" s="309"/>
      <c r="H325" s="309"/>
      <c r="I325" s="309"/>
      <c r="J325" s="309"/>
      <c r="K325" s="338"/>
    </row>
    <row r="326" spans="4:11">
      <c r="D326" s="309"/>
      <c r="E326" s="309"/>
      <c r="F326" s="309"/>
      <c r="G326" s="309"/>
      <c r="H326" s="309"/>
      <c r="I326" s="309"/>
      <c r="J326" s="309"/>
      <c r="K326" s="338"/>
    </row>
    <row r="327" spans="4:11">
      <c r="D327" s="309"/>
      <c r="E327" s="309"/>
      <c r="F327" s="309"/>
      <c r="G327" s="309"/>
      <c r="H327" s="309"/>
      <c r="I327" s="309"/>
      <c r="J327" s="309"/>
      <c r="K327" s="338"/>
    </row>
    <row r="328" spans="4:11">
      <c r="D328" s="309"/>
      <c r="E328" s="309"/>
      <c r="F328" s="309"/>
      <c r="G328" s="309"/>
      <c r="H328" s="309"/>
      <c r="I328" s="309"/>
      <c r="J328" s="309"/>
      <c r="K328" s="338"/>
    </row>
    <row r="329" spans="4:11">
      <c r="D329" s="309"/>
      <c r="E329" s="309"/>
      <c r="F329" s="309"/>
      <c r="G329" s="309"/>
      <c r="H329" s="309"/>
      <c r="I329" s="309"/>
      <c r="J329" s="309"/>
      <c r="K329" s="338"/>
    </row>
    <row r="330" spans="4:11">
      <c r="D330" s="309"/>
      <c r="E330" s="309"/>
      <c r="F330" s="309"/>
      <c r="G330" s="309"/>
      <c r="H330" s="309"/>
      <c r="I330" s="309"/>
      <c r="J330" s="309"/>
      <c r="K330" s="338"/>
    </row>
    <row r="331" spans="4:11">
      <c r="D331" s="309"/>
      <c r="E331" s="309"/>
      <c r="F331" s="309"/>
      <c r="G331" s="309"/>
      <c r="H331" s="309"/>
      <c r="I331" s="309"/>
      <c r="J331" s="309"/>
      <c r="K331" s="338"/>
    </row>
    <row r="332" spans="4:11">
      <c r="D332" s="309"/>
      <c r="E332" s="309"/>
      <c r="F332" s="309"/>
      <c r="G332" s="309"/>
      <c r="H332" s="309"/>
      <c r="I332" s="309"/>
      <c r="J332" s="309"/>
      <c r="K332" s="338"/>
    </row>
    <row r="333" spans="4:11">
      <c r="D333" s="309"/>
      <c r="E333" s="309"/>
      <c r="F333" s="309"/>
      <c r="G333" s="309"/>
      <c r="H333" s="309"/>
      <c r="I333" s="309"/>
      <c r="J333" s="309"/>
      <c r="K333" s="338"/>
    </row>
    <row r="334" spans="4:11">
      <c r="D334" s="309"/>
      <c r="E334" s="309"/>
      <c r="F334" s="309"/>
      <c r="G334" s="309"/>
      <c r="H334" s="309"/>
      <c r="I334" s="309"/>
      <c r="J334" s="309"/>
      <c r="K334" s="338"/>
    </row>
    <row r="335" spans="4:11">
      <c r="D335" s="309"/>
      <c r="E335" s="309"/>
      <c r="F335" s="309"/>
      <c r="G335" s="309"/>
      <c r="H335" s="309"/>
      <c r="I335" s="309"/>
      <c r="J335" s="309"/>
      <c r="K335" s="338"/>
    </row>
    <row r="336" spans="4:11">
      <c r="D336" s="309"/>
      <c r="E336" s="309"/>
      <c r="F336" s="309"/>
      <c r="G336" s="309"/>
      <c r="H336" s="309"/>
      <c r="I336" s="309"/>
      <c r="J336" s="309"/>
      <c r="K336" s="338"/>
    </row>
    <row r="337" spans="4:11">
      <c r="D337" s="309"/>
      <c r="E337" s="309"/>
      <c r="F337" s="309"/>
      <c r="G337" s="309"/>
      <c r="H337" s="309"/>
      <c r="I337" s="309"/>
      <c r="J337" s="309"/>
      <c r="K337" s="338"/>
    </row>
    <row r="338" spans="4:11">
      <c r="D338" s="309"/>
      <c r="E338" s="309"/>
      <c r="F338" s="309"/>
      <c r="G338" s="309"/>
      <c r="H338" s="309"/>
      <c r="I338" s="309"/>
      <c r="J338" s="309"/>
      <c r="K338" s="338"/>
    </row>
    <row r="339" spans="4:11">
      <c r="D339" s="309"/>
      <c r="E339" s="309"/>
      <c r="F339" s="309"/>
      <c r="G339" s="309"/>
      <c r="H339" s="309"/>
      <c r="I339" s="309"/>
      <c r="J339" s="309"/>
      <c r="K339" s="338"/>
    </row>
    <row r="340" spans="4:11">
      <c r="D340" s="309"/>
      <c r="E340" s="309"/>
      <c r="F340" s="309"/>
      <c r="G340" s="309"/>
      <c r="H340" s="309"/>
      <c r="I340" s="309"/>
      <c r="J340" s="309"/>
      <c r="K340" s="338"/>
    </row>
    <row r="341" spans="4:11">
      <c r="D341" s="309"/>
      <c r="E341" s="309"/>
      <c r="F341" s="309"/>
      <c r="G341" s="309"/>
      <c r="H341" s="309"/>
      <c r="I341" s="309"/>
      <c r="J341" s="309"/>
      <c r="K341" s="338"/>
    </row>
    <row r="342" spans="4:11">
      <c r="D342" s="309"/>
      <c r="E342" s="309"/>
      <c r="F342" s="309"/>
      <c r="G342" s="309"/>
      <c r="H342" s="309"/>
      <c r="I342" s="309"/>
      <c r="J342" s="309"/>
      <c r="K342" s="338"/>
    </row>
    <row r="343" spans="4:11">
      <c r="D343" s="309"/>
      <c r="E343" s="309"/>
      <c r="F343" s="309"/>
      <c r="G343" s="309"/>
      <c r="H343" s="309"/>
      <c r="I343" s="309"/>
      <c r="J343" s="309"/>
      <c r="K343" s="338"/>
    </row>
    <row r="344" spans="4:11">
      <c r="D344" s="309"/>
      <c r="E344" s="309"/>
      <c r="F344" s="309"/>
      <c r="G344" s="309"/>
      <c r="H344" s="309"/>
      <c r="I344" s="309"/>
      <c r="J344" s="309"/>
      <c r="K344" s="338"/>
    </row>
    <row r="345" spans="4:11">
      <c r="D345" s="309"/>
      <c r="E345" s="309"/>
      <c r="F345" s="309"/>
      <c r="G345" s="309"/>
      <c r="H345" s="309"/>
      <c r="I345" s="309"/>
      <c r="J345" s="309"/>
      <c r="K345" s="338"/>
    </row>
    <row r="346" spans="4:11">
      <c r="D346" s="309"/>
      <c r="E346" s="309"/>
      <c r="F346" s="309"/>
      <c r="G346" s="309"/>
      <c r="H346" s="309"/>
      <c r="I346" s="309"/>
      <c r="J346" s="309"/>
      <c r="K346" s="338"/>
    </row>
    <row r="347" spans="4:11">
      <c r="D347" s="309"/>
      <c r="E347" s="309"/>
      <c r="F347" s="309"/>
      <c r="G347" s="309"/>
      <c r="H347" s="309"/>
      <c r="I347" s="309"/>
      <c r="J347" s="309"/>
      <c r="K347" s="338"/>
    </row>
    <row r="348" spans="4:11">
      <c r="D348" s="309"/>
      <c r="E348" s="309"/>
      <c r="F348" s="309"/>
      <c r="G348" s="309"/>
      <c r="H348" s="309"/>
      <c r="I348" s="309"/>
      <c r="J348" s="309"/>
      <c r="K348" s="338"/>
    </row>
    <row r="349" spans="4:11">
      <c r="D349" s="309"/>
      <c r="E349" s="309"/>
      <c r="F349" s="309"/>
      <c r="G349" s="309"/>
      <c r="H349" s="309"/>
      <c r="I349" s="309"/>
      <c r="J349" s="309"/>
      <c r="K349" s="338"/>
    </row>
    <row r="350" spans="4:11">
      <c r="D350" s="309"/>
      <c r="E350" s="309"/>
      <c r="F350" s="309"/>
      <c r="G350" s="309"/>
      <c r="H350" s="309"/>
      <c r="I350" s="309"/>
      <c r="J350" s="309"/>
      <c r="K350" s="338"/>
    </row>
    <row r="351" spans="4:11">
      <c r="D351" s="309"/>
      <c r="E351" s="309"/>
      <c r="F351" s="309"/>
      <c r="G351" s="309"/>
      <c r="H351" s="309"/>
      <c r="I351" s="309"/>
      <c r="J351" s="309"/>
      <c r="K351" s="338"/>
    </row>
    <row r="352" spans="4:11">
      <c r="D352" s="309"/>
      <c r="E352" s="309"/>
      <c r="F352" s="309"/>
      <c r="G352" s="309"/>
      <c r="H352" s="309"/>
      <c r="I352" s="309"/>
      <c r="J352" s="309"/>
      <c r="K352" s="338"/>
    </row>
    <row r="353" spans="4:11">
      <c r="D353" s="309"/>
      <c r="E353" s="309"/>
      <c r="F353" s="309"/>
      <c r="G353" s="309"/>
      <c r="H353" s="309"/>
      <c r="I353" s="309"/>
      <c r="J353" s="309"/>
      <c r="K353" s="338"/>
    </row>
    <row r="354" spans="4:11">
      <c r="D354" s="309"/>
      <c r="E354" s="309"/>
      <c r="F354" s="309"/>
      <c r="G354" s="309"/>
      <c r="H354" s="309"/>
      <c r="I354" s="309"/>
      <c r="J354" s="309"/>
      <c r="K354" s="338"/>
    </row>
    <row r="355" spans="4:11">
      <c r="D355" s="309"/>
      <c r="E355" s="309"/>
      <c r="F355" s="309"/>
      <c r="G355" s="309"/>
      <c r="H355" s="309"/>
      <c r="I355" s="309"/>
      <c r="J355" s="309"/>
      <c r="K355" s="338"/>
    </row>
    <row r="356" spans="4:11">
      <c r="D356" s="309"/>
      <c r="E356" s="309"/>
      <c r="F356" s="309"/>
      <c r="G356" s="309"/>
      <c r="H356" s="309"/>
      <c r="I356" s="309"/>
      <c r="J356" s="309"/>
      <c r="K356" s="338"/>
    </row>
    <row r="357" spans="4:11">
      <c r="D357" s="309"/>
      <c r="E357" s="309"/>
      <c r="F357" s="309"/>
      <c r="G357" s="309"/>
      <c r="H357" s="309"/>
      <c r="I357" s="309"/>
      <c r="J357" s="309"/>
      <c r="K357" s="338"/>
    </row>
    <row r="358" spans="4:11">
      <c r="D358" s="309"/>
      <c r="E358" s="309"/>
      <c r="F358" s="309"/>
      <c r="G358" s="309"/>
      <c r="H358" s="309"/>
      <c r="I358" s="309"/>
      <c r="J358" s="309"/>
      <c r="K358" s="338"/>
    </row>
    <row r="359" spans="4:11">
      <c r="D359" s="309"/>
      <c r="E359" s="309"/>
      <c r="F359" s="309"/>
      <c r="G359" s="309"/>
      <c r="H359" s="309"/>
      <c r="I359" s="309"/>
      <c r="J359" s="309"/>
      <c r="K359" s="338"/>
    </row>
    <row r="360" spans="4:11">
      <c r="D360" s="309"/>
      <c r="E360" s="309"/>
      <c r="F360" s="309"/>
      <c r="G360" s="309"/>
      <c r="H360" s="309"/>
      <c r="I360" s="309"/>
      <c r="J360" s="309"/>
      <c r="K360" s="338"/>
    </row>
    <row r="361" spans="4:11">
      <c r="D361" s="309"/>
      <c r="E361" s="309"/>
      <c r="F361" s="309"/>
      <c r="G361" s="309"/>
      <c r="H361" s="309"/>
      <c r="I361" s="309"/>
      <c r="J361" s="309"/>
      <c r="K361" s="338"/>
    </row>
    <row r="362" spans="4:11">
      <c r="D362" s="309"/>
      <c r="E362" s="309"/>
      <c r="F362" s="309"/>
      <c r="G362" s="309"/>
      <c r="H362" s="309"/>
      <c r="I362" s="309"/>
      <c r="J362" s="309"/>
      <c r="K362" s="338"/>
    </row>
    <row r="363" spans="4:11">
      <c r="D363" s="309"/>
      <c r="E363" s="309"/>
      <c r="F363" s="309"/>
      <c r="G363" s="309"/>
      <c r="H363" s="309"/>
      <c r="I363" s="309"/>
      <c r="J363" s="309"/>
      <c r="K363" s="338"/>
    </row>
    <row r="364" spans="4:11">
      <c r="D364" s="309"/>
      <c r="E364" s="309"/>
      <c r="F364" s="309"/>
      <c r="G364" s="309"/>
      <c r="H364" s="309"/>
      <c r="I364" s="309"/>
      <c r="J364" s="309"/>
      <c r="K364" s="338"/>
    </row>
    <row r="365" spans="4:11">
      <c r="D365" s="309"/>
      <c r="E365" s="309"/>
      <c r="F365" s="309"/>
      <c r="G365" s="309"/>
      <c r="H365" s="309"/>
      <c r="I365" s="309"/>
      <c r="J365" s="309"/>
      <c r="K365" s="338"/>
    </row>
    <row r="366" spans="4:11">
      <c r="D366" s="309"/>
      <c r="E366" s="309"/>
      <c r="F366" s="309"/>
      <c r="G366" s="309"/>
      <c r="H366" s="309"/>
      <c r="I366" s="309"/>
      <c r="J366" s="309"/>
      <c r="K366" s="338"/>
    </row>
    <row r="367" spans="4:11">
      <c r="D367" s="309"/>
      <c r="E367" s="309"/>
      <c r="F367" s="309"/>
      <c r="G367" s="309"/>
      <c r="H367" s="309"/>
      <c r="I367" s="309"/>
      <c r="J367" s="309"/>
      <c r="K367" s="338"/>
    </row>
    <row r="368" spans="4:11">
      <c r="D368" s="309"/>
      <c r="E368" s="309"/>
      <c r="F368" s="309"/>
      <c r="G368" s="309"/>
      <c r="H368" s="309"/>
      <c r="I368" s="309"/>
      <c r="J368" s="309"/>
      <c r="K368" s="338"/>
    </row>
    <row r="369" spans="4:11">
      <c r="D369" s="309"/>
      <c r="E369" s="309"/>
      <c r="F369" s="309"/>
      <c r="G369" s="309"/>
      <c r="H369" s="309"/>
      <c r="I369" s="309"/>
      <c r="J369" s="309"/>
      <c r="K369" s="338"/>
    </row>
    <row r="370" spans="4:11">
      <c r="D370" s="309"/>
      <c r="E370" s="309"/>
      <c r="F370" s="309"/>
      <c r="G370" s="309"/>
      <c r="H370" s="309"/>
      <c r="I370" s="309"/>
      <c r="J370" s="309"/>
      <c r="K370" s="338"/>
    </row>
    <row r="371" spans="4:11">
      <c r="D371" s="309"/>
      <c r="E371" s="309"/>
      <c r="F371" s="309"/>
      <c r="G371" s="309"/>
      <c r="H371" s="309"/>
      <c r="I371" s="309"/>
      <c r="J371" s="309"/>
      <c r="K371" s="338"/>
    </row>
    <row r="372" spans="4:11">
      <c r="D372" s="309"/>
      <c r="E372" s="309"/>
      <c r="F372" s="309"/>
      <c r="G372" s="309"/>
      <c r="H372" s="309"/>
      <c r="I372" s="309"/>
      <c r="J372" s="309"/>
      <c r="K372" s="338"/>
    </row>
    <row r="373" spans="4:11">
      <c r="D373" s="309"/>
      <c r="E373" s="309"/>
      <c r="F373" s="309"/>
      <c r="G373" s="309"/>
      <c r="H373" s="309"/>
      <c r="I373" s="309"/>
      <c r="J373" s="309"/>
      <c r="K373" s="338"/>
    </row>
    <row r="374" spans="4:11">
      <c r="D374" s="309"/>
      <c r="E374" s="309"/>
      <c r="F374" s="309"/>
      <c r="G374" s="309"/>
      <c r="H374" s="309"/>
      <c r="I374" s="309"/>
      <c r="J374" s="309"/>
      <c r="K374" s="338"/>
    </row>
    <row r="375" spans="4:11">
      <c r="D375" s="309"/>
      <c r="E375" s="309"/>
      <c r="F375" s="309"/>
      <c r="G375" s="309"/>
      <c r="H375" s="309"/>
      <c r="I375" s="309"/>
      <c r="J375" s="309"/>
      <c r="K375" s="338"/>
    </row>
    <row r="376" spans="4:11">
      <c r="D376" s="309"/>
      <c r="E376" s="309"/>
      <c r="F376" s="309"/>
      <c r="G376" s="309"/>
      <c r="H376" s="309"/>
      <c r="I376" s="309"/>
      <c r="J376" s="309"/>
      <c r="K376" s="338"/>
    </row>
    <row r="377" spans="4:11">
      <c r="D377" s="309"/>
      <c r="E377" s="309"/>
      <c r="F377" s="309"/>
      <c r="G377" s="309"/>
      <c r="H377" s="309"/>
      <c r="I377" s="309"/>
      <c r="J377" s="309"/>
      <c r="K377" s="338"/>
    </row>
    <row r="378" spans="4:11">
      <c r="D378" s="309"/>
      <c r="E378" s="309"/>
      <c r="F378" s="309"/>
      <c r="G378" s="309"/>
      <c r="H378" s="309"/>
      <c r="I378" s="309"/>
      <c r="J378" s="309"/>
      <c r="K378" s="338"/>
    </row>
    <row r="379" spans="4:11">
      <c r="D379" s="309"/>
      <c r="E379" s="309"/>
      <c r="F379" s="309"/>
      <c r="G379" s="309"/>
      <c r="H379" s="309"/>
      <c r="I379" s="309"/>
      <c r="J379" s="309"/>
      <c r="K379" s="338"/>
    </row>
    <row r="380" spans="4:11">
      <c r="D380" s="309"/>
      <c r="E380" s="309"/>
      <c r="F380" s="309"/>
      <c r="G380" s="309"/>
      <c r="H380" s="309"/>
      <c r="I380" s="309"/>
      <c r="J380" s="309"/>
      <c r="K380" s="338"/>
    </row>
    <row r="381" spans="4:11">
      <c r="D381" s="309"/>
      <c r="E381" s="309"/>
      <c r="F381" s="309"/>
      <c r="G381" s="309"/>
      <c r="H381" s="309"/>
      <c r="I381" s="309"/>
      <c r="J381" s="309"/>
      <c r="K381" s="338"/>
    </row>
    <row r="382" spans="4:11">
      <c r="D382" s="309"/>
      <c r="E382" s="309"/>
      <c r="F382" s="309"/>
      <c r="G382" s="309"/>
      <c r="H382" s="309"/>
      <c r="I382" s="309"/>
      <c r="J382" s="309"/>
      <c r="K382" s="338"/>
    </row>
    <row r="383" spans="4:11">
      <c r="D383" s="309"/>
      <c r="E383" s="309"/>
      <c r="F383" s="309"/>
      <c r="G383" s="309"/>
      <c r="H383" s="309"/>
      <c r="I383" s="309"/>
      <c r="J383" s="309"/>
      <c r="K383" s="338"/>
    </row>
    <row r="384" spans="4:11">
      <c r="D384" s="309"/>
      <c r="E384" s="309"/>
      <c r="F384" s="309"/>
      <c r="G384" s="309"/>
      <c r="H384" s="309"/>
      <c r="I384" s="309"/>
      <c r="J384" s="309"/>
      <c r="K384" s="338"/>
    </row>
    <row r="385" spans="4:11">
      <c r="D385" s="309"/>
      <c r="E385" s="309"/>
      <c r="F385" s="309"/>
      <c r="G385" s="309"/>
      <c r="H385" s="309"/>
      <c r="I385" s="309"/>
      <c r="J385" s="309"/>
      <c r="K385" s="338"/>
    </row>
    <row r="386" spans="4:11">
      <c r="D386" s="309"/>
      <c r="E386" s="309"/>
      <c r="F386" s="309"/>
      <c r="G386" s="309"/>
      <c r="H386" s="309"/>
      <c r="I386" s="309"/>
      <c r="J386" s="309"/>
      <c r="K386" s="338"/>
    </row>
    <row r="387" spans="4:11">
      <c r="D387" s="309"/>
      <c r="E387" s="309"/>
      <c r="F387" s="309"/>
      <c r="G387" s="309"/>
      <c r="H387" s="309"/>
      <c r="I387" s="309"/>
      <c r="J387" s="309"/>
      <c r="K387" s="338"/>
    </row>
    <row r="388" spans="4:11">
      <c r="D388" s="309"/>
      <c r="E388" s="309"/>
      <c r="F388" s="309"/>
      <c r="G388" s="309"/>
      <c r="H388" s="309"/>
      <c r="I388" s="309"/>
      <c r="J388" s="309"/>
      <c r="K388" s="338"/>
    </row>
    <row r="389" spans="4:11">
      <c r="D389" s="309"/>
      <c r="E389" s="309"/>
      <c r="F389" s="309"/>
      <c r="G389" s="309"/>
      <c r="H389" s="309"/>
      <c r="I389" s="309"/>
      <c r="J389" s="309"/>
      <c r="K389" s="338"/>
    </row>
    <row r="390" spans="4:11">
      <c r="D390" s="309"/>
      <c r="E390" s="309"/>
      <c r="F390" s="309"/>
      <c r="G390" s="309"/>
      <c r="H390" s="309"/>
      <c r="I390" s="309"/>
      <c r="J390" s="309"/>
      <c r="K390" s="338"/>
    </row>
    <row r="391" spans="4:11">
      <c r="D391" s="309"/>
      <c r="E391" s="309"/>
      <c r="F391" s="309"/>
      <c r="G391" s="309"/>
      <c r="H391" s="309"/>
      <c r="I391" s="309"/>
      <c r="J391" s="309"/>
      <c r="K391" s="338"/>
    </row>
    <row r="392" spans="4:11">
      <c r="D392" s="309"/>
      <c r="E392" s="309"/>
      <c r="F392" s="309"/>
      <c r="G392" s="309"/>
      <c r="H392" s="309"/>
      <c r="I392" s="309"/>
      <c r="J392" s="309"/>
      <c r="K392" s="338"/>
    </row>
    <row r="393" spans="4:11">
      <c r="D393" s="309"/>
      <c r="E393" s="309"/>
      <c r="F393" s="309"/>
      <c r="G393" s="309"/>
      <c r="H393" s="309"/>
      <c r="I393" s="309"/>
      <c r="J393" s="309"/>
      <c r="K393" s="338"/>
    </row>
    <row r="394" spans="4:11">
      <c r="D394" s="309"/>
      <c r="E394" s="309"/>
      <c r="F394" s="309"/>
      <c r="G394" s="309"/>
      <c r="H394" s="309"/>
      <c r="I394" s="309"/>
      <c r="J394" s="309"/>
      <c r="K394" s="338"/>
    </row>
    <row r="395" spans="4:11">
      <c r="D395" s="309"/>
      <c r="E395" s="309"/>
      <c r="F395" s="309"/>
      <c r="G395" s="309"/>
      <c r="H395" s="309"/>
      <c r="I395" s="309"/>
      <c r="J395" s="309"/>
      <c r="K395" s="338"/>
    </row>
    <row r="396" spans="4:11">
      <c r="D396" s="309"/>
      <c r="E396" s="309"/>
      <c r="F396" s="309"/>
      <c r="G396" s="309"/>
      <c r="H396" s="309"/>
      <c r="I396" s="309"/>
      <c r="J396" s="309"/>
      <c r="K396" s="338"/>
    </row>
    <row r="397" spans="4:11">
      <c r="D397" s="309"/>
      <c r="E397" s="309"/>
      <c r="F397" s="309"/>
      <c r="G397" s="309"/>
      <c r="H397" s="309"/>
      <c r="I397" s="309"/>
      <c r="J397" s="309"/>
      <c r="K397" s="338"/>
    </row>
    <row r="398" spans="4:11">
      <c r="D398" s="309"/>
      <c r="E398" s="309"/>
      <c r="F398" s="309"/>
      <c r="G398" s="309"/>
      <c r="H398" s="309"/>
      <c r="I398" s="309"/>
      <c r="J398" s="309"/>
      <c r="K398" s="338"/>
    </row>
    <row r="399" spans="4:11">
      <c r="D399" s="309"/>
      <c r="E399" s="309"/>
      <c r="F399" s="309"/>
      <c r="G399" s="309"/>
      <c r="H399" s="309"/>
      <c r="I399" s="309"/>
      <c r="J399" s="309"/>
      <c r="K399" s="338"/>
    </row>
    <row r="400" spans="4:11">
      <c r="D400" s="309"/>
      <c r="E400" s="309"/>
      <c r="F400" s="309"/>
      <c r="G400" s="309"/>
      <c r="H400" s="309"/>
      <c r="I400" s="309"/>
      <c r="J400" s="309"/>
      <c r="K400" s="338"/>
    </row>
    <row r="401" spans="4:11">
      <c r="D401" s="309"/>
      <c r="E401" s="309"/>
      <c r="F401" s="309"/>
      <c r="G401" s="309"/>
      <c r="H401" s="309"/>
      <c r="I401" s="309"/>
      <c r="J401" s="309"/>
      <c r="K401" s="338"/>
    </row>
    <row r="402" spans="4:11">
      <c r="D402" s="309"/>
      <c r="E402" s="309"/>
      <c r="F402" s="309"/>
      <c r="G402" s="309"/>
      <c r="H402" s="309"/>
      <c r="I402" s="309"/>
      <c r="J402" s="309"/>
      <c r="K402" s="338"/>
    </row>
    <row r="403" spans="4:11">
      <c r="D403" s="309"/>
      <c r="E403" s="309"/>
      <c r="F403" s="309"/>
      <c r="G403" s="309"/>
      <c r="H403" s="309"/>
      <c r="I403" s="309"/>
      <c r="J403" s="309"/>
      <c r="K403" s="338"/>
    </row>
    <row r="404" spans="4:11">
      <c r="D404" s="309"/>
      <c r="E404" s="309"/>
      <c r="F404" s="309"/>
      <c r="G404" s="309"/>
      <c r="H404" s="309"/>
      <c r="I404" s="309"/>
      <c r="J404" s="309"/>
      <c r="K404" s="338"/>
    </row>
    <row r="405" spans="4:11">
      <c r="D405" s="309"/>
      <c r="E405" s="309"/>
      <c r="F405" s="309"/>
      <c r="G405" s="309"/>
      <c r="H405" s="309"/>
      <c r="I405" s="309"/>
      <c r="J405" s="309"/>
      <c r="K405" s="338"/>
    </row>
    <row r="406" spans="4:11">
      <c r="D406" s="309"/>
      <c r="E406" s="309"/>
      <c r="F406" s="309"/>
      <c r="G406" s="309"/>
      <c r="H406" s="309"/>
      <c r="I406" s="309"/>
      <c r="J406" s="309"/>
      <c r="K406" s="338"/>
    </row>
    <row r="407" spans="4:11">
      <c r="D407" s="309"/>
      <c r="E407" s="309"/>
      <c r="F407" s="309"/>
      <c r="G407" s="309"/>
      <c r="H407" s="309"/>
      <c r="I407" s="309"/>
      <c r="J407" s="309"/>
      <c r="K407" s="338"/>
    </row>
    <row r="408" spans="4:11">
      <c r="D408" s="309"/>
      <c r="E408" s="309"/>
      <c r="F408" s="309"/>
      <c r="G408" s="309"/>
      <c r="H408" s="309"/>
      <c r="I408" s="309"/>
      <c r="J408" s="309"/>
      <c r="K408" s="338"/>
    </row>
    <row r="409" spans="4:11">
      <c r="D409" s="309"/>
      <c r="E409" s="309"/>
      <c r="F409" s="309"/>
      <c r="G409" s="309"/>
      <c r="H409" s="309"/>
      <c r="I409" s="309"/>
      <c r="J409" s="309"/>
      <c r="K409" s="338"/>
    </row>
    <row r="410" spans="4:11">
      <c r="D410" s="309"/>
      <c r="E410" s="309"/>
      <c r="F410" s="309"/>
      <c r="G410" s="309"/>
      <c r="H410" s="309"/>
      <c r="I410" s="309"/>
      <c r="J410" s="309"/>
      <c r="K410" s="338"/>
    </row>
    <row r="411" spans="4:11">
      <c r="D411" s="309"/>
      <c r="E411" s="309"/>
      <c r="F411" s="309"/>
      <c r="G411" s="309"/>
      <c r="H411" s="309"/>
      <c r="I411" s="309"/>
      <c r="J411" s="309"/>
      <c r="K411" s="338"/>
    </row>
    <row r="412" spans="4:11">
      <c r="D412" s="309"/>
      <c r="E412" s="309"/>
      <c r="F412" s="309"/>
      <c r="G412" s="309"/>
      <c r="H412" s="309"/>
      <c r="I412" s="309"/>
      <c r="J412" s="309"/>
      <c r="K412" s="338"/>
    </row>
    <row r="413" spans="4:11">
      <c r="D413" s="309"/>
      <c r="E413" s="309"/>
      <c r="F413" s="309"/>
      <c r="G413" s="309"/>
      <c r="H413" s="309"/>
      <c r="I413" s="309"/>
      <c r="J413" s="309"/>
      <c r="K413" s="338"/>
    </row>
    <row r="414" spans="4:11">
      <c r="D414" s="309"/>
      <c r="E414" s="309"/>
      <c r="F414" s="309"/>
      <c r="G414" s="309"/>
      <c r="H414" s="309"/>
      <c r="I414" s="309"/>
      <c r="J414" s="309"/>
      <c r="K414" s="338"/>
    </row>
    <row r="415" spans="4:11">
      <c r="D415" s="309"/>
      <c r="E415" s="309"/>
      <c r="F415" s="309"/>
      <c r="G415" s="309"/>
      <c r="H415" s="309"/>
      <c r="I415" s="309"/>
      <c r="J415" s="309"/>
      <c r="K415" s="338"/>
    </row>
    <row r="416" spans="4:11">
      <c r="D416" s="309"/>
      <c r="E416" s="309"/>
      <c r="F416" s="309"/>
      <c r="G416" s="309"/>
      <c r="H416" s="309"/>
      <c r="I416" s="309"/>
      <c r="J416" s="309"/>
      <c r="K416" s="338"/>
    </row>
    <row r="417" spans="4:11">
      <c r="D417" s="309"/>
      <c r="E417" s="309"/>
      <c r="F417" s="309"/>
      <c r="G417" s="309"/>
      <c r="H417" s="309"/>
      <c r="I417" s="309"/>
      <c r="J417" s="309"/>
      <c r="K417" s="338"/>
    </row>
    <row r="418" spans="4:11">
      <c r="D418" s="309"/>
      <c r="E418" s="309"/>
      <c r="F418" s="309"/>
      <c r="G418" s="309"/>
      <c r="H418" s="309"/>
      <c r="I418" s="309"/>
      <c r="J418" s="309"/>
      <c r="K418" s="338"/>
    </row>
    <row r="419" spans="4:11">
      <c r="D419" s="309"/>
      <c r="E419" s="309"/>
      <c r="F419" s="309"/>
      <c r="G419" s="309"/>
      <c r="H419" s="309"/>
      <c r="I419" s="309"/>
      <c r="J419" s="309"/>
      <c r="K419" s="338"/>
    </row>
    <row r="420" spans="4:11">
      <c r="D420" s="309"/>
      <c r="E420" s="309"/>
      <c r="F420" s="309"/>
      <c r="G420" s="309"/>
      <c r="H420" s="309"/>
      <c r="I420" s="309"/>
      <c r="J420" s="309"/>
      <c r="K420" s="338"/>
    </row>
    <row r="421" spans="4:11">
      <c r="D421" s="309"/>
      <c r="E421" s="309"/>
      <c r="F421" s="309"/>
      <c r="G421" s="309"/>
      <c r="H421" s="309"/>
      <c r="I421" s="309"/>
      <c r="J421" s="309"/>
      <c r="K421" s="338"/>
    </row>
    <row r="422" spans="4:11">
      <c r="D422" s="309"/>
      <c r="E422" s="309"/>
      <c r="F422" s="309"/>
      <c r="G422" s="309"/>
      <c r="H422" s="309"/>
      <c r="I422" s="309"/>
      <c r="J422" s="309"/>
      <c r="K422" s="338"/>
    </row>
    <row r="423" spans="4:11">
      <c r="D423" s="309"/>
      <c r="E423" s="309"/>
      <c r="F423" s="309"/>
      <c r="G423" s="309"/>
      <c r="H423" s="309"/>
      <c r="I423" s="309"/>
      <c r="J423" s="309"/>
      <c r="K423" s="338"/>
    </row>
    <row r="424" spans="4:11">
      <c r="D424" s="309"/>
      <c r="E424" s="309"/>
      <c r="F424" s="309"/>
      <c r="G424" s="309"/>
      <c r="H424" s="309"/>
      <c r="I424" s="309"/>
      <c r="J424" s="309"/>
      <c r="K424" s="338"/>
    </row>
    <row r="425" spans="4:11">
      <c r="D425" s="309"/>
      <c r="E425" s="309"/>
      <c r="F425" s="309"/>
      <c r="G425" s="309"/>
      <c r="H425" s="309"/>
      <c r="I425" s="309"/>
      <c r="J425" s="309"/>
      <c r="K425" s="338"/>
    </row>
    <row r="426" spans="4:11">
      <c r="D426" s="309"/>
      <c r="E426" s="309"/>
      <c r="F426" s="309"/>
      <c r="G426" s="309"/>
      <c r="H426" s="309"/>
      <c r="I426" s="309"/>
      <c r="J426" s="309"/>
      <c r="K426" s="338"/>
    </row>
    <row r="427" spans="4:11">
      <c r="D427" s="309"/>
      <c r="E427" s="309"/>
      <c r="F427" s="309"/>
      <c r="G427" s="309"/>
      <c r="H427" s="309"/>
      <c r="I427" s="309"/>
      <c r="J427" s="309"/>
      <c r="K427" s="338"/>
    </row>
    <row r="428" spans="4:11">
      <c r="D428" s="309"/>
      <c r="E428" s="309"/>
      <c r="F428" s="309"/>
      <c r="G428" s="309"/>
      <c r="H428" s="309"/>
      <c r="I428" s="309"/>
      <c r="J428" s="309"/>
      <c r="K428" s="338"/>
    </row>
    <row r="429" spans="4:11">
      <c r="D429" s="309"/>
      <c r="E429" s="309"/>
      <c r="F429" s="309"/>
      <c r="G429" s="309"/>
      <c r="H429" s="309"/>
      <c r="I429" s="309"/>
      <c r="J429" s="309"/>
      <c r="K429" s="338"/>
    </row>
    <row r="430" spans="4:11">
      <c r="D430" s="309"/>
      <c r="E430" s="309"/>
      <c r="F430" s="309"/>
      <c r="G430" s="309"/>
      <c r="H430" s="309"/>
      <c r="I430" s="309"/>
      <c r="J430" s="309"/>
      <c r="K430" s="338"/>
    </row>
    <row r="431" spans="4:11">
      <c r="D431" s="309"/>
      <c r="E431" s="309"/>
      <c r="F431" s="309"/>
      <c r="G431" s="309"/>
      <c r="H431" s="309"/>
      <c r="I431" s="309"/>
      <c r="J431" s="309"/>
      <c r="K431" s="338"/>
    </row>
    <row r="432" spans="4:11">
      <c r="D432" s="309"/>
      <c r="E432" s="309"/>
      <c r="F432" s="309"/>
      <c r="G432" s="309"/>
      <c r="H432" s="309"/>
      <c r="I432" s="309"/>
      <c r="J432" s="309"/>
      <c r="K432" s="338"/>
    </row>
    <row r="433" spans="4:11">
      <c r="D433" s="309"/>
      <c r="E433" s="309"/>
      <c r="F433" s="309"/>
      <c r="G433" s="309"/>
      <c r="H433" s="309"/>
      <c r="I433" s="309"/>
      <c r="J433" s="309"/>
      <c r="K433" s="338"/>
    </row>
    <row r="434" spans="4:11">
      <c r="D434" s="309"/>
      <c r="E434" s="309"/>
      <c r="F434" s="309"/>
      <c r="G434" s="309"/>
      <c r="H434" s="309"/>
      <c r="I434" s="309"/>
      <c r="J434" s="309"/>
      <c r="K434" s="338"/>
    </row>
    <row r="435" spans="4:11">
      <c r="D435" s="309"/>
      <c r="E435" s="309"/>
      <c r="F435" s="309"/>
      <c r="G435" s="309"/>
      <c r="H435" s="309"/>
      <c r="I435" s="309"/>
      <c r="J435" s="309"/>
      <c r="K435" s="338"/>
    </row>
    <row r="436" spans="4:11">
      <c r="D436" s="309"/>
      <c r="E436" s="309"/>
      <c r="F436" s="309"/>
      <c r="G436" s="309"/>
      <c r="H436" s="309"/>
      <c r="I436" s="309"/>
      <c r="J436" s="309"/>
      <c r="K436" s="338"/>
    </row>
    <row r="437" spans="4:11">
      <c r="D437" s="309"/>
      <c r="E437" s="309"/>
      <c r="F437" s="309"/>
      <c r="G437" s="309"/>
      <c r="H437" s="309"/>
      <c r="I437" s="309"/>
      <c r="J437" s="309"/>
      <c r="K437" s="338"/>
    </row>
    <row r="438" spans="4:11">
      <c r="D438" s="309"/>
      <c r="E438" s="309"/>
      <c r="F438" s="309"/>
      <c r="G438" s="309"/>
      <c r="H438" s="309"/>
      <c r="I438" s="309"/>
      <c r="J438" s="309"/>
      <c r="K438" s="338"/>
    </row>
    <row r="439" spans="4:11">
      <c r="D439" s="309"/>
      <c r="E439" s="309"/>
      <c r="F439" s="309"/>
      <c r="G439" s="309"/>
      <c r="H439" s="309"/>
      <c r="I439" s="309"/>
      <c r="J439" s="309"/>
      <c r="K439" s="338"/>
    </row>
    <row r="440" spans="4:11">
      <c r="D440" s="309"/>
      <c r="E440" s="309"/>
      <c r="F440" s="309"/>
      <c r="G440" s="309"/>
      <c r="H440" s="309"/>
      <c r="I440" s="309"/>
      <c r="J440" s="309"/>
      <c r="K440" s="338"/>
    </row>
    <row r="441" spans="4:11">
      <c r="D441" s="309"/>
      <c r="E441" s="309"/>
      <c r="F441" s="309"/>
      <c r="G441" s="309"/>
      <c r="H441" s="309"/>
      <c r="I441" s="309"/>
      <c r="J441" s="309"/>
      <c r="K441" s="338"/>
    </row>
    <row r="442" spans="4:11">
      <c r="D442" s="309"/>
      <c r="E442" s="309"/>
      <c r="F442" s="309"/>
      <c r="G442" s="309"/>
      <c r="H442" s="309"/>
      <c r="I442" s="309"/>
      <c r="J442" s="309"/>
      <c r="K442" s="338"/>
    </row>
    <row r="443" spans="4:11">
      <c r="D443" s="309"/>
      <c r="E443" s="309"/>
      <c r="F443" s="309"/>
      <c r="G443" s="309"/>
      <c r="H443" s="309"/>
      <c r="I443" s="309"/>
      <c r="J443" s="309"/>
      <c r="K443" s="338"/>
    </row>
    <row r="444" spans="4:11">
      <c r="D444" s="309"/>
      <c r="E444" s="309"/>
      <c r="F444" s="309"/>
      <c r="G444" s="309"/>
      <c r="H444" s="309"/>
      <c r="I444" s="309"/>
      <c r="J444" s="309"/>
      <c r="K444" s="338"/>
    </row>
    <row r="445" spans="4:11">
      <c r="D445" s="309"/>
      <c r="E445" s="309"/>
      <c r="F445" s="309"/>
      <c r="G445" s="309"/>
      <c r="H445" s="309"/>
      <c r="I445" s="309"/>
      <c r="J445" s="309"/>
      <c r="K445" s="338"/>
    </row>
    <row r="446" spans="4:11">
      <c r="D446" s="309"/>
      <c r="E446" s="309"/>
      <c r="F446" s="309"/>
      <c r="G446" s="309"/>
      <c r="H446" s="309"/>
      <c r="I446" s="309"/>
      <c r="J446" s="309"/>
      <c r="K446" s="338"/>
    </row>
    <row r="447" spans="4:11">
      <c r="D447" s="309"/>
      <c r="E447" s="309"/>
      <c r="F447" s="309"/>
      <c r="G447" s="309"/>
      <c r="H447" s="309"/>
      <c r="I447" s="309"/>
      <c r="J447" s="309"/>
      <c r="K447" s="338"/>
    </row>
    <row r="448" spans="4:11">
      <c r="D448" s="309"/>
      <c r="E448" s="309"/>
      <c r="F448" s="309"/>
      <c r="G448" s="309"/>
      <c r="H448" s="309"/>
      <c r="I448" s="309"/>
      <c r="J448" s="309"/>
      <c r="K448" s="338"/>
    </row>
    <row r="449" spans="4:11">
      <c r="D449" s="309"/>
      <c r="E449" s="309"/>
      <c r="F449" s="309"/>
      <c r="G449" s="309"/>
      <c r="H449" s="309"/>
      <c r="I449" s="309"/>
      <c r="J449" s="309"/>
      <c r="K449" s="338"/>
    </row>
    <row r="450" spans="4:11">
      <c r="D450" s="309"/>
      <c r="E450" s="309"/>
      <c r="F450" s="309"/>
      <c r="G450" s="309"/>
      <c r="H450" s="309"/>
      <c r="I450" s="309"/>
      <c r="J450" s="309"/>
      <c r="K450" s="338"/>
    </row>
    <row r="451" spans="4:11">
      <c r="D451" s="309"/>
      <c r="E451" s="309"/>
      <c r="F451" s="309"/>
      <c r="G451" s="309"/>
      <c r="H451" s="309"/>
      <c r="I451" s="309"/>
      <c r="J451" s="309"/>
      <c r="K451" s="338"/>
    </row>
    <row r="452" spans="4:11">
      <c r="D452" s="309"/>
      <c r="E452" s="309"/>
      <c r="F452" s="309"/>
      <c r="G452" s="309"/>
      <c r="H452" s="309"/>
      <c r="I452" s="309"/>
      <c r="J452" s="309"/>
      <c r="K452" s="338"/>
    </row>
    <row r="453" spans="4:11">
      <c r="D453" s="309"/>
      <c r="E453" s="309"/>
      <c r="F453" s="309"/>
      <c r="G453" s="309"/>
      <c r="H453" s="309"/>
      <c r="I453" s="309"/>
      <c r="J453" s="309"/>
      <c r="K453" s="338"/>
    </row>
    <row r="454" spans="4:11">
      <c r="D454" s="309"/>
      <c r="E454" s="309"/>
      <c r="F454" s="309"/>
      <c r="G454" s="309"/>
      <c r="H454" s="309"/>
      <c r="I454" s="309"/>
      <c r="J454" s="309"/>
      <c r="K454" s="338"/>
    </row>
    <row r="455" spans="4:11">
      <c r="D455" s="309"/>
      <c r="E455" s="309"/>
      <c r="F455" s="309"/>
      <c r="G455" s="309"/>
      <c r="H455" s="309"/>
      <c r="I455" s="309"/>
      <c r="J455" s="309"/>
      <c r="K455" s="338"/>
    </row>
    <row r="456" spans="4:11">
      <c r="D456" s="309"/>
      <c r="E456" s="309"/>
      <c r="F456" s="309"/>
      <c r="G456" s="309"/>
      <c r="H456" s="309"/>
      <c r="I456" s="309"/>
      <c r="J456" s="309"/>
      <c r="K456" s="338"/>
    </row>
    <row r="457" spans="4:11">
      <c r="D457" s="309"/>
      <c r="E457" s="309"/>
      <c r="F457" s="309"/>
      <c r="G457" s="309"/>
      <c r="H457" s="309"/>
      <c r="I457" s="309"/>
      <c r="J457" s="309"/>
      <c r="K457" s="338"/>
    </row>
    <row r="458" spans="4:11">
      <c r="D458" s="309"/>
      <c r="E458" s="309"/>
      <c r="F458" s="309"/>
      <c r="G458" s="309"/>
      <c r="H458" s="309"/>
      <c r="I458" s="309"/>
      <c r="J458" s="309"/>
      <c r="K458" s="338"/>
    </row>
    <row r="459" spans="4:11">
      <c r="D459" s="309"/>
      <c r="E459" s="309"/>
      <c r="F459" s="309"/>
      <c r="G459" s="309"/>
      <c r="H459" s="309"/>
      <c r="I459" s="309"/>
      <c r="J459" s="309"/>
      <c r="K459" s="338"/>
    </row>
    <row r="460" spans="4:11">
      <c r="D460" s="309"/>
      <c r="E460" s="309"/>
      <c r="F460" s="309"/>
      <c r="G460" s="309"/>
      <c r="H460" s="309"/>
      <c r="I460" s="309"/>
      <c r="J460" s="309"/>
      <c r="K460" s="338"/>
    </row>
    <row r="461" spans="4:11">
      <c r="D461" s="309"/>
      <c r="E461" s="309"/>
      <c r="F461" s="309"/>
      <c r="G461" s="309"/>
      <c r="H461" s="309"/>
      <c r="I461" s="309"/>
      <c r="J461" s="309"/>
      <c r="K461" s="338"/>
    </row>
    <row r="462" spans="4:11">
      <c r="D462" s="309"/>
      <c r="E462" s="309"/>
      <c r="F462" s="309"/>
      <c r="G462" s="309"/>
      <c r="H462" s="309"/>
      <c r="I462" s="309"/>
      <c r="J462" s="309"/>
      <c r="K462" s="338"/>
    </row>
    <row r="463" spans="4:11">
      <c r="D463" s="309"/>
      <c r="E463" s="309"/>
      <c r="F463" s="309"/>
      <c r="G463" s="309"/>
      <c r="H463" s="309"/>
      <c r="I463" s="309"/>
      <c r="J463" s="309"/>
      <c r="K463" s="338"/>
    </row>
    <row r="464" spans="4:11">
      <c r="D464" s="309"/>
      <c r="E464" s="309"/>
      <c r="F464" s="309"/>
      <c r="G464" s="309"/>
      <c r="H464" s="309"/>
      <c r="I464" s="309"/>
      <c r="J464" s="309"/>
      <c r="K464" s="338"/>
    </row>
    <row r="465" spans="4:11">
      <c r="D465" s="309"/>
      <c r="E465" s="309"/>
      <c r="F465" s="309"/>
      <c r="G465" s="309"/>
      <c r="H465" s="309"/>
      <c r="I465" s="309"/>
      <c r="J465" s="309"/>
      <c r="K465" s="338"/>
    </row>
    <row r="466" spans="4:11">
      <c r="D466" s="309"/>
      <c r="E466" s="309"/>
      <c r="F466" s="309"/>
      <c r="G466" s="309"/>
      <c r="H466" s="309"/>
      <c r="I466" s="309"/>
      <c r="J466" s="309"/>
      <c r="K466" s="338"/>
    </row>
    <row r="467" spans="4:11">
      <c r="D467" s="309"/>
      <c r="E467" s="309"/>
      <c r="F467" s="309"/>
      <c r="G467" s="309"/>
      <c r="H467" s="309"/>
      <c r="I467" s="309"/>
      <c r="J467" s="309"/>
      <c r="K467" s="338"/>
    </row>
    <row r="468" spans="4:11">
      <c r="D468" s="309"/>
      <c r="E468" s="309"/>
      <c r="F468" s="309"/>
      <c r="G468" s="309"/>
      <c r="H468" s="309"/>
      <c r="I468" s="309"/>
      <c r="J468" s="309"/>
      <c r="K468" s="338"/>
    </row>
    <row r="469" spans="4:11">
      <c r="D469" s="309"/>
      <c r="E469" s="309"/>
      <c r="F469" s="309"/>
      <c r="G469" s="309"/>
      <c r="H469" s="309"/>
      <c r="I469" s="309"/>
      <c r="J469" s="309"/>
      <c r="K469" s="338"/>
    </row>
    <row r="470" spans="4:11">
      <c r="D470" s="309"/>
      <c r="E470" s="309"/>
      <c r="F470" s="309"/>
      <c r="G470" s="309"/>
      <c r="H470" s="309"/>
      <c r="I470" s="309"/>
      <c r="J470" s="309"/>
      <c r="K470" s="338"/>
    </row>
    <row r="471" spans="4:11">
      <c r="D471" s="309"/>
      <c r="E471" s="309"/>
      <c r="F471" s="309"/>
      <c r="G471" s="309"/>
      <c r="H471" s="309"/>
      <c r="I471" s="309"/>
      <c r="J471" s="309"/>
      <c r="K471" s="338"/>
    </row>
    <row r="472" spans="4:11">
      <c r="D472" s="309"/>
      <c r="E472" s="309"/>
      <c r="F472" s="309"/>
      <c r="G472" s="309"/>
      <c r="H472" s="309"/>
      <c r="I472" s="309"/>
      <c r="J472" s="309"/>
      <c r="K472" s="338"/>
    </row>
    <row r="473" spans="4:11">
      <c r="D473" s="309"/>
      <c r="E473" s="309"/>
      <c r="F473" s="309"/>
      <c r="G473" s="309"/>
      <c r="H473" s="309"/>
      <c r="I473" s="309"/>
      <c r="J473" s="309"/>
      <c r="K473" s="338"/>
    </row>
    <row r="474" spans="4:11">
      <c r="D474" s="309"/>
      <c r="E474" s="309"/>
      <c r="F474" s="309"/>
      <c r="G474" s="309"/>
      <c r="H474" s="309"/>
      <c r="I474" s="309"/>
      <c r="J474" s="309"/>
      <c r="K474" s="338"/>
    </row>
    <row r="475" spans="4:11">
      <c r="D475" s="309"/>
      <c r="E475" s="309"/>
      <c r="F475" s="309"/>
      <c r="G475" s="309"/>
      <c r="H475" s="309"/>
      <c r="I475" s="309"/>
      <c r="J475" s="309"/>
      <c r="K475" s="338"/>
    </row>
    <row r="476" spans="4:11">
      <c r="D476" s="309"/>
      <c r="E476" s="309"/>
      <c r="F476" s="309"/>
      <c r="G476" s="309"/>
      <c r="H476" s="309"/>
      <c r="I476" s="309"/>
      <c r="J476" s="309"/>
      <c r="K476" s="338"/>
    </row>
    <row r="477" spans="4:11">
      <c r="D477" s="309"/>
      <c r="E477" s="309"/>
      <c r="F477" s="309"/>
      <c r="G477" s="309"/>
      <c r="H477" s="309"/>
      <c r="I477" s="309"/>
      <c r="J477" s="309"/>
      <c r="K477" s="338"/>
    </row>
    <row r="478" spans="4:11">
      <c r="D478" s="309"/>
      <c r="E478" s="309"/>
      <c r="F478" s="309"/>
      <c r="G478" s="309"/>
      <c r="H478" s="309"/>
      <c r="I478" s="309"/>
      <c r="J478" s="309"/>
      <c r="K478" s="338"/>
    </row>
    <row r="479" spans="4:11">
      <c r="D479" s="309"/>
      <c r="E479" s="309"/>
      <c r="F479" s="309"/>
      <c r="G479" s="309"/>
      <c r="H479" s="309"/>
      <c r="I479" s="309"/>
      <c r="J479" s="309"/>
      <c r="K479" s="338"/>
    </row>
    <row r="480" spans="4:11">
      <c r="D480" s="309"/>
      <c r="E480" s="309"/>
      <c r="F480" s="309"/>
      <c r="G480" s="309"/>
      <c r="H480" s="309"/>
      <c r="I480" s="309"/>
      <c r="J480" s="309"/>
      <c r="K480" s="338"/>
    </row>
    <row r="481" spans="4:11">
      <c r="D481" s="309"/>
      <c r="E481" s="309"/>
      <c r="F481" s="309"/>
      <c r="G481" s="309"/>
      <c r="H481" s="309"/>
      <c r="I481" s="309"/>
      <c r="J481" s="309"/>
      <c r="K481" s="338"/>
    </row>
    <row r="482" spans="4:11">
      <c r="D482" s="309"/>
      <c r="E482" s="309"/>
      <c r="F482" s="309"/>
      <c r="G482" s="309"/>
      <c r="H482" s="309"/>
      <c r="I482" s="309"/>
      <c r="J482" s="309"/>
      <c r="K482" s="338"/>
    </row>
    <row r="483" spans="4:11">
      <c r="D483" s="309"/>
      <c r="E483" s="309"/>
      <c r="F483" s="309"/>
      <c r="G483" s="309"/>
      <c r="H483" s="309"/>
      <c r="I483" s="309"/>
      <c r="J483" s="309"/>
      <c r="K483" s="338"/>
    </row>
    <row r="484" spans="4:11">
      <c r="D484" s="309"/>
      <c r="E484" s="309"/>
      <c r="F484" s="309"/>
      <c r="G484" s="309"/>
      <c r="H484" s="309"/>
      <c r="I484" s="309"/>
      <c r="J484" s="309"/>
      <c r="K484" s="338"/>
    </row>
    <row r="485" spans="4:11">
      <c r="D485" s="309"/>
      <c r="E485" s="309"/>
      <c r="F485" s="309"/>
      <c r="G485" s="309"/>
      <c r="H485" s="309"/>
      <c r="I485" s="309"/>
      <c r="J485" s="309"/>
      <c r="K485" s="338"/>
    </row>
    <row r="486" spans="4:11">
      <c r="D486" s="309"/>
      <c r="E486" s="309"/>
      <c r="F486" s="309"/>
      <c r="G486" s="309"/>
      <c r="H486" s="309"/>
      <c r="I486" s="309"/>
      <c r="J486" s="309"/>
      <c r="K486" s="338"/>
    </row>
    <row r="487" spans="4:11">
      <c r="D487" s="309"/>
      <c r="E487" s="309"/>
      <c r="F487" s="309"/>
      <c r="G487" s="309"/>
      <c r="H487" s="309"/>
      <c r="I487" s="309"/>
      <c r="J487" s="309"/>
      <c r="K487" s="338"/>
    </row>
    <row r="488" spans="4:11">
      <c r="D488" s="309"/>
      <c r="E488" s="309"/>
      <c r="F488" s="309"/>
      <c r="G488" s="309"/>
      <c r="H488" s="309"/>
      <c r="I488" s="309"/>
      <c r="J488" s="309"/>
      <c r="K488" s="338"/>
    </row>
    <row r="489" spans="4:11">
      <c r="D489" s="309"/>
      <c r="E489" s="309"/>
      <c r="F489" s="309"/>
      <c r="G489" s="309"/>
      <c r="H489" s="309"/>
      <c r="I489" s="309"/>
      <c r="J489" s="309"/>
      <c r="K489" s="338"/>
    </row>
    <row r="490" spans="4:11">
      <c r="D490" s="309"/>
      <c r="E490" s="309"/>
      <c r="F490" s="309"/>
      <c r="G490" s="309"/>
      <c r="H490" s="309"/>
      <c r="I490" s="309"/>
      <c r="J490" s="309"/>
      <c r="K490" s="338"/>
    </row>
    <row r="491" spans="4:11">
      <c r="D491" s="309"/>
      <c r="E491" s="309"/>
      <c r="F491" s="309"/>
      <c r="G491" s="309"/>
      <c r="H491" s="309"/>
      <c r="I491" s="309"/>
      <c r="J491" s="309"/>
      <c r="K491" s="338"/>
    </row>
    <row r="492" spans="4:11">
      <c r="D492" s="309"/>
      <c r="E492" s="309"/>
      <c r="F492" s="309"/>
      <c r="G492" s="309"/>
      <c r="H492" s="309"/>
      <c r="I492" s="309"/>
      <c r="J492" s="309"/>
      <c r="K492" s="338"/>
    </row>
    <row r="493" spans="4:11">
      <c r="D493" s="309"/>
      <c r="E493" s="309"/>
      <c r="F493" s="309"/>
      <c r="G493" s="309"/>
      <c r="H493" s="309"/>
      <c r="I493" s="309"/>
      <c r="J493" s="309"/>
      <c r="K493" s="338"/>
    </row>
    <row r="494" spans="4:11">
      <c r="D494" s="309"/>
      <c r="E494" s="309"/>
      <c r="F494" s="309"/>
      <c r="G494" s="309"/>
      <c r="H494" s="309"/>
      <c r="I494" s="309"/>
      <c r="J494" s="309"/>
      <c r="K494" s="338"/>
    </row>
    <row r="495" spans="4:11">
      <c r="D495" s="309"/>
      <c r="E495" s="309"/>
      <c r="F495" s="309"/>
      <c r="G495" s="309"/>
      <c r="H495" s="309"/>
      <c r="I495" s="309"/>
      <c r="J495" s="309"/>
      <c r="K495" s="338"/>
    </row>
    <row r="496" spans="4:11">
      <c r="D496" s="309"/>
      <c r="E496" s="309"/>
      <c r="F496" s="309"/>
      <c r="G496" s="309"/>
      <c r="H496" s="309"/>
      <c r="I496" s="309"/>
      <c r="J496" s="309"/>
      <c r="K496" s="338"/>
    </row>
    <row r="497" spans="4:11">
      <c r="D497" s="309"/>
      <c r="E497" s="309"/>
      <c r="F497" s="309"/>
      <c r="G497" s="309"/>
      <c r="H497" s="309"/>
      <c r="I497" s="309"/>
      <c r="J497" s="309"/>
      <c r="K497" s="338"/>
    </row>
    <row r="498" spans="4:11">
      <c r="D498" s="309"/>
      <c r="E498" s="309"/>
      <c r="F498" s="309"/>
      <c r="G498" s="309"/>
      <c r="H498" s="309"/>
      <c r="I498" s="309"/>
      <c r="J498" s="309"/>
      <c r="K498" s="338"/>
    </row>
    <row r="499" spans="4:11">
      <c r="D499" s="309"/>
      <c r="E499" s="309"/>
      <c r="F499" s="309"/>
      <c r="G499" s="309"/>
      <c r="H499" s="309"/>
      <c r="I499" s="309"/>
      <c r="J499" s="309"/>
      <c r="K499" s="338"/>
    </row>
    <row r="500" spans="4:11">
      <c r="D500" s="309"/>
      <c r="E500" s="309"/>
      <c r="F500" s="309"/>
      <c r="G500" s="309"/>
      <c r="H500" s="309"/>
      <c r="I500" s="309"/>
      <c r="J500" s="309"/>
      <c r="K500" s="338"/>
    </row>
    <row r="501" spans="4:11">
      <c r="D501" s="309"/>
      <c r="E501" s="309"/>
      <c r="F501" s="309"/>
      <c r="G501" s="309"/>
      <c r="H501" s="309"/>
      <c r="I501" s="309"/>
      <c r="J501" s="309"/>
      <c r="K501" s="338"/>
    </row>
    <row r="502" spans="4:11">
      <c r="D502" s="309"/>
      <c r="E502" s="309"/>
      <c r="F502" s="309"/>
      <c r="G502" s="309"/>
      <c r="H502" s="309"/>
      <c r="I502" s="309"/>
      <c r="J502" s="309"/>
      <c r="K502" s="338"/>
    </row>
    <row r="503" spans="4:11">
      <c r="D503" s="309"/>
      <c r="E503" s="309"/>
      <c r="F503" s="309"/>
      <c r="G503" s="309"/>
      <c r="H503" s="309"/>
      <c r="I503" s="309"/>
      <c r="J503" s="309"/>
      <c r="K503" s="338"/>
    </row>
    <row r="504" spans="4:11">
      <c r="D504" s="309"/>
      <c r="E504" s="309"/>
      <c r="F504" s="309"/>
      <c r="G504" s="309"/>
      <c r="H504" s="309"/>
      <c r="I504" s="309"/>
      <c r="J504" s="309"/>
      <c r="K504" s="338"/>
    </row>
    <row r="505" spans="4:11">
      <c r="D505" s="309"/>
      <c r="E505" s="309"/>
      <c r="F505" s="309"/>
      <c r="G505" s="309"/>
      <c r="H505" s="309"/>
      <c r="I505" s="309"/>
      <c r="J505" s="309"/>
      <c r="K505" s="338"/>
    </row>
    <row r="506" spans="4:11">
      <c r="D506" s="309"/>
      <c r="E506" s="309"/>
      <c r="F506" s="309"/>
      <c r="G506" s="309"/>
      <c r="H506" s="309"/>
      <c r="I506" s="309"/>
      <c r="J506" s="309"/>
      <c r="K506" s="338"/>
    </row>
    <row r="507" spans="4:11">
      <c r="D507" s="309"/>
      <c r="E507" s="309"/>
      <c r="F507" s="309"/>
      <c r="G507" s="309"/>
      <c r="H507" s="309"/>
      <c r="I507" s="309"/>
      <c r="J507" s="309"/>
      <c r="K507" s="338"/>
    </row>
    <row r="508" spans="4:11">
      <c r="D508" s="309"/>
      <c r="E508" s="309"/>
      <c r="F508" s="309"/>
      <c r="G508" s="309"/>
      <c r="H508" s="309"/>
      <c r="I508" s="309"/>
      <c r="J508" s="309"/>
      <c r="K508" s="338"/>
    </row>
    <row r="509" spans="4:11">
      <c r="D509" s="309"/>
      <c r="E509" s="309"/>
      <c r="F509" s="309"/>
      <c r="G509" s="309"/>
      <c r="H509" s="309"/>
      <c r="I509" s="309"/>
      <c r="J509" s="309"/>
      <c r="K509" s="338"/>
    </row>
    <row r="510" spans="4:11">
      <c r="D510" s="309"/>
      <c r="E510" s="309"/>
      <c r="F510" s="309"/>
      <c r="G510" s="309"/>
      <c r="H510" s="309"/>
      <c r="I510" s="309"/>
      <c r="J510" s="309"/>
      <c r="K510" s="338"/>
    </row>
    <row r="511" spans="4:11">
      <c r="D511" s="309"/>
      <c r="E511" s="309"/>
      <c r="F511" s="309"/>
      <c r="G511" s="309"/>
      <c r="H511" s="309"/>
      <c r="I511" s="309"/>
      <c r="J511" s="309"/>
      <c r="K511" s="338"/>
    </row>
    <row r="512" spans="4:11">
      <c r="D512" s="309"/>
      <c r="E512" s="309"/>
      <c r="F512" s="309"/>
      <c r="G512" s="309"/>
      <c r="H512" s="309"/>
      <c r="I512" s="309"/>
      <c r="J512" s="309"/>
      <c r="K512" s="338"/>
    </row>
    <row r="513" spans="4:11">
      <c r="D513" s="309"/>
      <c r="E513" s="309"/>
      <c r="F513" s="309"/>
      <c r="G513" s="309"/>
      <c r="H513" s="309"/>
      <c r="I513" s="309"/>
      <c r="J513" s="309"/>
      <c r="K513" s="338"/>
    </row>
    <row r="514" spans="4:11">
      <c r="D514" s="309"/>
      <c r="E514" s="309"/>
      <c r="F514" s="309"/>
      <c r="G514" s="309"/>
      <c r="H514" s="309"/>
      <c r="I514" s="309"/>
      <c r="J514" s="309"/>
      <c r="K514" s="338"/>
    </row>
    <row r="515" spans="4:11">
      <c r="D515" s="309"/>
      <c r="E515" s="309"/>
      <c r="F515" s="309"/>
      <c r="G515" s="309"/>
      <c r="H515" s="309"/>
      <c r="I515" s="309"/>
      <c r="J515" s="309"/>
      <c r="K515" s="338"/>
    </row>
    <row r="516" spans="4:11">
      <c r="D516" s="309"/>
      <c r="E516" s="309"/>
      <c r="F516" s="309"/>
      <c r="G516" s="309"/>
      <c r="H516" s="309"/>
      <c r="I516" s="309"/>
      <c r="J516" s="309"/>
      <c r="K516" s="338"/>
    </row>
    <row r="517" spans="4:11">
      <c r="D517" s="309"/>
      <c r="E517" s="309"/>
      <c r="F517" s="309"/>
      <c r="G517" s="309"/>
      <c r="H517" s="309"/>
      <c r="I517" s="309"/>
      <c r="J517" s="309"/>
      <c r="K517" s="338"/>
    </row>
    <row r="518" spans="4:11">
      <c r="D518" s="309"/>
      <c r="E518" s="309"/>
      <c r="F518" s="309"/>
      <c r="G518" s="309"/>
      <c r="H518" s="309"/>
      <c r="I518" s="309"/>
      <c r="J518" s="309"/>
      <c r="K518" s="338"/>
    </row>
    <row r="519" spans="4:11">
      <c r="D519" s="309"/>
      <c r="E519" s="309"/>
      <c r="F519" s="309"/>
      <c r="G519" s="309"/>
      <c r="H519" s="309"/>
      <c r="I519" s="309"/>
      <c r="J519" s="309"/>
      <c r="K519" s="338"/>
    </row>
    <row r="520" spans="4:11">
      <c r="D520" s="309"/>
      <c r="E520" s="309"/>
      <c r="F520" s="309"/>
      <c r="G520" s="309"/>
      <c r="H520" s="309"/>
      <c r="I520" s="309"/>
      <c r="J520" s="309"/>
      <c r="K520" s="338"/>
    </row>
    <row r="521" spans="4:11">
      <c r="D521" s="309"/>
      <c r="E521" s="309"/>
      <c r="F521" s="309"/>
      <c r="G521" s="309"/>
      <c r="H521" s="309"/>
      <c r="I521" s="309"/>
      <c r="J521" s="309"/>
      <c r="K521" s="338"/>
    </row>
    <row r="522" spans="4:11">
      <c r="D522" s="309"/>
      <c r="E522" s="309"/>
      <c r="F522" s="309"/>
      <c r="G522" s="309"/>
      <c r="H522" s="309"/>
      <c r="I522" s="309"/>
      <c r="J522" s="309"/>
      <c r="K522" s="338"/>
    </row>
  </sheetData>
  <mergeCells count="40">
    <mergeCell ref="A26:A28"/>
    <mergeCell ref="B26:B28"/>
    <mergeCell ref="C26:C28"/>
    <mergeCell ref="A20:A22"/>
    <mergeCell ref="B20:B22"/>
    <mergeCell ref="C20:C22"/>
    <mergeCell ref="A23:A25"/>
    <mergeCell ref="B23:B25"/>
    <mergeCell ref="C23:C25"/>
    <mergeCell ref="A2:K2"/>
    <mergeCell ref="A3:K3"/>
    <mergeCell ref="A4:K4"/>
    <mergeCell ref="A5:K5"/>
    <mergeCell ref="A17:A19"/>
    <mergeCell ref="B17:B19"/>
    <mergeCell ref="C17:C19"/>
    <mergeCell ref="A14:A16"/>
    <mergeCell ref="B14:B16"/>
    <mergeCell ref="C14:C16"/>
    <mergeCell ref="A11:A13"/>
    <mergeCell ref="B11:B13"/>
    <mergeCell ref="C11:C13"/>
    <mergeCell ref="J6:K6"/>
    <mergeCell ref="J7:K7"/>
    <mergeCell ref="A29:A31"/>
    <mergeCell ref="B29:B31"/>
    <mergeCell ref="C29:C31"/>
    <mergeCell ref="A32:A34"/>
    <mergeCell ref="B32:B34"/>
    <mergeCell ref="C32:C34"/>
    <mergeCell ref="C41:C44"/>
    <mergeCell ref="A51:K51"/>
    <mergeCell ref="A35:A37"/>
    <mergeCell ref="B35:B37"/>
    <mergeCell ref="C35:C37"/>
    <mergeCell ref="A38:A40"/>
    <mergeCell ref="B38:B40"/>
    <mergeCell ref="C38:C40"/>
    <mergeCell ref="A49:K49"/>
    <mergeCell ref="A50:K50"/>
  </mergeCells>
  <printOptions horizontalCentered="1" verticalCentered="1"/>
  <pageMargins left="0.39370078740157483" right="0.39370078740157483" top="0.39370078740157483" bottom="0.39370078740157483" header="0.31496062992125984" footer="0.31496062992125984"/>
  <pageSetup paperSize="9" scale="60" orientation="landscape" r:id="rId1"/>
  <headerFooter>
    <oddHeader>&amp;F</oddHeader>
    <oddFooter>Página &amp;P de &amp;N</oddFooter>
  </headerFooter>
  <drawing r:id="rId2"/>
  <legacyDrawing r:id="rId3"/>
</worksheet>
</file>

<file path=xl/worksheets/sheet16.xml><?xml version="1.0" encoding="utf-8"?>
<worksheet xmlns="http://schemas.openxmlformats.org/spreadsheetml/2006/main" xmlns:r="http://schemas.openxmlformats.org/officeDocument/2006/relationships">
  <sheetPr>
    <tabColor rgb="FFFF0000"/>
  </sheetPr>
  <dimension ref="A1:X899"/>
  <sheetViews>
    <sheetView showGridLines="0" tabSelected="1" view="pageBreakPreview" zoomScale="90" zoomScaleNormal="100" zoomScaleSheetLayoutView="90" workbookViewId="0">
      <selection activeCell="P11" sqref="P11"/>
    </sheetView>
  </sheetViews>
  <sheetFormatPr defaultRowHeight="12.75"/>
  <cols>
    <col min="1" max="1" width="13.7109375" style="345" customWidth="1"/>
    <col min="2" max="2" width="51" style="99" customWidth="1"/>
    <col min="3" max="3" width="5.140625" style="359" customWidth="1"/>
    <col min="4" max="4" width="10.42578125" style="360" customWidth="1"/>
    <col min="5" max="5" width="12.140625" style="360" customWidth="1"/>
    <col min="6" max="6" width="12.85546875" style="360" customWidth="1"/>
    <col min="7" max="7" width="14.7109375" style="360" customWidth="1"/>
    <col min="8" max="8" width="12.5703125" style="360" customWidth="1"/>
    <col min="9" max="9" width="9.7109375" style="360" customWidth="1"/>
    <col min="10" max="10" width="15" style="360" customWidth="1"/>
    <col min="11" max="11" width="16" style="683" customWidth="1"/>
    <col min="12" max="12" width="18.42578125" style="690" customWidth="1"/>
    <col min="13" max="13" width="23.28515625" style="99" customWidth="1"/>
    <col min="14" max="14" width="9.5703125" style="99" bestFit="1" customWidth="1"/>
    <col min="15" max="15" width="9.140625" style="98"/>
    <col min="16" max="16" width="9.140625" style="100"/>
    <col min="17" max="255" width="9.140625" style="98"/>
    <col min="256" max="256" width="13.140625" style="98" customWidth="1"/>
    <col min="257" max="257" width="12.85546875" style="98" customWidth="1"/>
    <col min="258" max="258" width="43.85546875" style="98" customWidth="1"/>
    <col min="259" max="259" width="9.140625" style="98" customWidth="1"/>
    <col min="260" max="260" width="7.140625" style="98" customWidth="1"/>
    <col min="261" max="261" width="10.42578125" style="98" customWidth="1"/>
    <col min="262" max="262" width="10" style="98" customWidth="1"/>
    <col min="263" max="264" width="15.42578125" style="98" customWidth="1"/>
    <col min="265" max="265" width="10" style="98" customWidth="1"/>
    <col min="266" max="266" width="13" style="98" customWidth="1"/>
    <col min="267" max="268" width="0" style="98" hidden="1" customWidth="1"/>
    <col min="269" max="269" width="9.140625" style="98"/>
    <col min="270" max="270" width="9.5703125" style="98" bestFit="1" customWidth="1"/>
    <col min="271" max="511" width="9.140625" style="98"/>
    <col min="512" max="512" width="13.140625" style="98" customWidth="1"/>
    <col min="513" max="513" width="12.85546875" style="98" customWidth="1"/>
    <col min="514" max="514" width="43.85546875" style="98" customWidth="1"/>
    <col min="515" max="515" width="9.140625" style="98" customWidth="1"/>
    <col min="516" max="516" width="7.140625" style="98" customWidth="1"/>
    <col min="517" max="517" width="10.42578125" style="98" customWidth="1"/>
    <col min="518" max="518" width="10" style="98" customWidth="1"/>
    <col min="519" max="520" width="15.42578125" style="98" customWidth="1"/>
    <col min="521" max="521" width="10" style="98" customWidth="1"/>
    <col min="522" max="522" width="13" style="98" customWidth="1"/>
    <col min="523" max="524" width="0" style="98" hidden="1" customWidth="1"/>
    <col min="525" max="525" width="9.140625" style="98"/>
    <col min="526" max="526" width="9.5703125" style="98" bestFit="1" customWidth="1"/>
    <col min="527" max="767" width="9.140625" style="98"/>
    <col min="768" max="768" width="13.140625" style="98" customWidth="1"/>
    <col min="769" max="769" width="12.85546875" style="98" customWidth="1"/>
    <col min="770" max="770" width="43.85546875" style="98" customWidth="1"/>
    <col min="771" max="771" width="9.140625" style="98" customWidth="1"/>
    <col min="772" max="772" width="7.140625" style="98" customWidth="1"/>
    <col min="773" max="773" width="10.42578125" style="98" customWidth="1"/>
    <col min="774" max="774" width="10" style="98" customWidth="1"/>
    <col min="775" max="776" width="15.42578125" style="98" customWidth="1"/>
    <col min="777" max="777" width="10" style="98" customWidth="1"/>
    <col min="778" max="778" width="13" style="98" customWidth="1"/>
    <col min="779" max="780" width="0" style="98" hidden="1" customWidth="1"/>
    <col min="781" max="781" width="9.140625" style="98"/>
    <col min="782" max="782" width="9.5703125" style="98" bestFit="1" customWidth="1"/>
    <col min="783" max="1023" width="9.140625" style="98"/>
    <col min="1024" max="1024" width="13.140625" style="98" customWidth="1"/>
    <col min="1025" max="1025" width="12.85546875" style="98" customWidth="1"/>
    <col min="1026" max="1026" width="43.85546875" style="98" customWidth="1"/>
    <col min="1027" max="1027" width="9.140625" style="98" customWidth="1"/>
    <col min="1028" max="1028" width="7.140625" style="98" customWidth="1"/>
    <col min="1029" max="1029" width="10.42578125" style="98" customWidth="1"/>
    <col min="1030" max="1030" width="10" style="98" customWidth="1"/>
    <col min="1031" max="1032" width="15.42578125" style="98" customWidth="1"/>
    <col min="1033" max="1033" width="10" style="98" customWidth="1"/>
    <col min="1034" max="1034" width="13" style="98" customWidth="1"/>
    <col min="1035" max="1036" width="0" style="98" hidden="1" customWidth="1"/>
    <col min="1037" max="1037" width="9.140625" style="98"/>
    <col min="1038" max="1038" width="9.5703125" style="98" bestFit="1" customWidth="1"/>
    <col min="1039" max="1279" width="9.140625" style="98"/>
    <col min="1280" max="1280" width="13.140625" style="98" customWidth="1"/>
    <col min="1281" max="1281" width="12.85546875" style="98" customWidth="1"/>
    <col min="1282" max="1282" width="43.85546875" style="98" customWidth="1"/>
    <col min="1283" max="1283" width="9.140625" style="98" customWidth="1"/>
    <col min="1284" max="1284" width="7.140625" style="98" customWidth="1"/>
    <col min="1285" max="1285" width="10.42578125" style="98" customWidth="1"/>
    <col min="1286" max="1286" width="10" style="98" customWidth="1"/>
    <col min="1287" max="1288" width="15.42578125" style="98" customWidth="1"/>
    <col min="1289" max="1289" width="10" style="98" customWidth="1"/>
    <col min="1290" max="1290" width="13" style="98" customWidth="1"/>
    <col min="1291" max="1292" width="0" style="98" hidden="1" customWidth="1"/>
    <col min="1293" max="1293" width="9.140625" style="98"/>
    <col min="1294" max="1294" width="9.5703125" style="98" bestFit="1" customWidth="1"/>
    <col min="1295" max="1535" width="9.140625" style="98"/>
    <col min="1536" max="1536" width="13.140625" style="98" customWidth="1"/>
    <col min="1537" max="1537" width="12.85546875" style="98" customWidth="1"/>
    <col min="1538" max="1538" width="43.85546875" style="98" customWidth="1"/>
    <col min="1539" max="1539" width="9.140625" style="98" customWidth="1"/>
    <col min="1540" max="1540" width="7.140625" style="98" customWidth="1"/>
    <col min="1541" max="1541" width="10.42578125" style="98" customWidth="1"/>
    <col min="1542" max="1542" width="10" style="98" customWidth="1"/>
    <col min="1543" max="1544" width="15.42578125" style="98" customWidth="1"/>
    <col min="1545" max="1545" width="10" style="98" customWidth="1"/>
    <col min="1546" max="1546" width="13" style="98" customWidth="1"/>
    <col min="1547" max="1548" width="0" style="98" hidden="1" customWidth="1"/>
    <col min="1549" max="1549" width="9.140625" style="98"/>
    <col min="1550" max="1550" width="9.5703125" style="98" bestFit="1" customWidth="1"/>
    <col min="1551" max="1791" width="9.140625" style="98"/>
    <col min="1792" max="1792" width="13.140625" style="98" customWidth="1"/>
    <col min="1793" max="1793" width="12.85546875" style="98" customWidth="1"/>
    <col min="1794" max="1794" width="43.85546875" style="98" customWidth="1"/>
    <col min="1795" max="1795" width="9.140625" style="98" customWidth="1"/>
    <col min="1796" max="1796" width="7.140625" style="98" customWidth="1"/>
    <col min="1797" max="1797" width="10.42578125" style="98" customWidth="1"/>
    <col min="1798" max="1798" width="10" style="98" customWidth="1"/>
    <col min="1799" max="1800" width="15.42578125" style="98" customWidth="1"/>
    <col min="1801" max="1801" width="10" style="98" customWidth="1"/>
    <col min="1802" max="1802" width="13" style="98" customWidth="1"/>
    <col min="1803" max="1804" width="0" style="98" hidden="1" customWidth="1"/>
    <col min="1805" max="1805" width="9.140625" style="98"/>
    <col min="1806" max="1806" width="9.5703125" style="98" bestFit="1" customWidth="1"/>
    <col min="1807" max="2047" width="9.140625" style="98"/>
    <col min="2048" max="2048" width="13.140625" style="98" customWidth="1"/>
    <col min="2049" max="2049" width="12.85546875" style="98" customWidth="1"/>
    <col min="2050" max="2050" width="43.85546875" style="98" customWidth="1"/>
    <col min="2051" max="2051" width="9.140625" style="98" customWidth="1"/>
    <col min="2052" max="2052" width="7.140625" style="98" customWidth="1"/>
    <col min="2053" max="2053" width="10.42578125" style="98" customWidth="1"/>
    <col min="2054" max="2054" width="10" style="98" customWidth="1"/>
    <col min="2055" max="2056" width="15.42578125" style="98" customWidth="1"/>
    <col min="2057" max="2057" width="10" style="98" customWidth="1"/>
    <col min="2058" max="2058" width="13" style="98" customWidth="1"/>
    <col min="2059" max="2060" width="0" style="98" hidden="1" customWidth="1"/>
    <col min="2061" max="2061" width="9.140625" style="98"/>
    <col min="2062" max="2062" width="9.5703125" style="98" bestFit="1" customWidth="1"/>
    <col min="2063" max="2303" width="9.140625" style="98"/>
    <col min="2304" max="2304" width="13.140625" style="98" customWidth="1"/>
    <col min="2305" max="2305" width="12.85546875" style="98" customWidth="1"/>
    <col min="2306" max="2306" width="43.85546875" style="98" customWidth="1"/>
    <col min="2307" max="2307" width="9.140625" style="98" customWidth="1"/>
    <col min="2308" max="2308" width="7.140625" style="98" customWidth="1"/>
    <col min="2309" max="2309" width="10.42578125" style="98" customWidth="1"/>
    <col min="2310" max="2310" width="10" style="98" customWidth="1"/>
    <col min="2311" max="2312" width="15.42578125" style="98" customWidth="1"/>
    <col min="2313" max="2313" width="10" style="98" customWidth="1"/>
    <col min="2314" max="2314" width="13" style="98" customWidth="1"/>
    <col min="2315" max="2316" width="0" style="98" hidden="1" customWidth="1"/>
    <col min="2317" max="2317" width="9.140625" style="98"/>
    <col min="2318" max="2318" width="9.5703125" style="98" bestFit="1" customWidth="1"/>
    <col min="2319" max="2559" width="9.140625" style="98"/>
    <col min="2560" max="2560" width="13.140625" style="98" customWidth="1"/>
    <col min="2561" max="2561" width="12.85546875" style="98" customWidth="1"/>
    <col min="2562" max="2562" width="43.85546875" style="98" customWidth="1"/>
    <col min="2563" max="2563" width="9.140625" style="98" customWidth="1"/>
    <col min="2564" max="2564" width="7.140625" style="98" customWidth="1"/>
    <col min="2565" max="2565" width="10.42578125" style="98" customWidth="1"/>
    <col min="2566" max="2566" width="10" style="98" customWidth="1"/>
    <col min="2567" max="2568" width="15.42578125" style="98" customWidth="1"/>
    <col min="2569" max="2569" width="10" style="98" customWidth="1"/>
    <col min="2570" max="2570" width="13" style="98" customWidth="1"/>
    <col min="2571" max="2572" width="0" style="98" hidden="1" customWidth="1"/>
    <col min="2573" max="2573" width="9.140625" style="98"/>
    <col min="2574" max="2574" width="9.5703125" style="98" bestFit="1" customWidth="1"/>
    <col min="2575" max="2815" width="9.140625" style="98"/>
    <col min="2816" max="2816" width="13.140625" style="98" customWidth="1"/>
    <col min="2817" max="2817" width="12.85546875" style="98" customWidth="1"/>
    <col min="2818" max="2818" width="43.85546875" style="98" customWidth="1"/>
    <col min="2819" max="2819" width="9.140625" style="98" customWidth="1"/>
    <col min="2820" max="2820" width="7.140625" style="98" customWidth="1"/>
    <col min="2821" max="2821" width="10.42578125" style="98" customWidth="1"/>
    <col min="2822" max="2822" width="10" style="98" customWidth="1"/>
    <col min="2823" max="2824" width="15.42578125" style="98" customWidth="1"/>
    <col min="2825" max="2825" width="10" style="98" customWidth="1"/>
    <col min="2826" max="2826" width="13" style="98" customWidth="1"/>
    <col min="2827" max="2828" width="0" style="98" hidden="1" customWidth="1"/>
    <col min="2829" max="2829" width="9.140625" style="98"/>
    <col min="2830" max="2830" width="9.5703125" style="98" bestFit="1" customWidth="1"/>
    <col min="2831" max="3071" width="9.140625" style="98"/>
    <col min="3072" max="3072" width="13.140625" style="98" customWidth="1"/>
    <col min="3073" max="3073" width="12.85546875" style="98" customWidth="1"/>
    <col min="3074" max="3074" width="43.85546875" style="98" customWidth="1"/>
    <col min="3075" max="3075" width="9.140625" style="98" customWidth="1"/>
    <col min="3076" max="3076" width="7.140625" style="98" customWidth="1"/>
    <col min="3077" max="3077" width="10.42578125" style="98" customWidth="1"/>
    <col min="3078" max="3078" width="10" style="98" customWidth="1"/>
    <col min="3079" max="3080" width="15.42578125" style="98" customWidth="1"/>
    <col min="3081" max="3081" width="10" style="98" customWidth="1"/>
    <col min="3082" max="3082" width="13" style="98" customWidth="1"/>
    <col min="3083" max="3084" width="0" style="98" hidden="1" customWidth="1"/>
    <col min="3085" max="3085" width="9.140625" style="98"/>
    <col min="3086" max="3086" width="9.5703125" style="98" bestFit="1" customWidth="1"/>
    <col min="3087" max="3327" width="9.140625" style="98"/>
    <col min="3328" max="3328" width="13.140625" style="98" customWidth="1"/>
    <col min="3329" max="3329" width="12.85546875" style="98" customWidth="1"/>
    <col min="3330" max="3330" width="43.85546875" style="98" customWidth="1"/>
    <col min="3331" max="3331" width="9.140625" style="98" customWidth="1"/>
    <col min="3332" max="3332" width="7.140625" style="98" customWidth="1"/>
    <col min="3333" max="3333" width="10.42578125" style="98" customWidth="1"/>
    <col min="3334" max="3334" width="10" style="98" customWidth="1"/>
    <col min="3335" max="3336" width="15.42578125" style="98" customWidth="1"/>
    <col min="3337" max="3337" width="10" style="98" customWidth="1"/>
    <col min="3338" max="3338" width="13" style="98" customWidth="1"/>
    <col min="3339" max="3340" width="0" style="98" hidden="1" customWidth="1"/>
    <col min="3341" max="3341" width="9.140625" style="98"/>
    <col min="3342" max="3342" width="9.5703125" style="98" bestFit="1" customWidth="1"/>
    <col min="3343" max="3583" width="9.140625" style="98"/>
    <col min="3584" max="3584" width="13.140625" style="98" customWidth="1"/>
    <col min="3585" max="3585" width="12.85546875" style="98" customWidth="1"/>
    <col min="3586" max="3586" width="43.85546875" style="98" customWidth="1"/>
    <col min="3587" max="3587" width="9.140625" style="98" customWidth="1"/>
    <col min="3588" max="3588" width="7.140625" style="98" customWidth="1"/>
    <col min="3589" max="3589" width="10.42578125" style="98" customWidth="1"/>
    <col min="3590" max="3590" width="10" style="98" customWidth="1"/>
    <col min="3591" max="3592" width="15.42578125" style="98" customWidth="1"/>
    <col min="3593" max="3593" width="10" style="98" customWidth="1"/>
    <col min="3594" max="3594" width="13" style="98" customWidth="1"/>
    <col min="3595" max="3596" width="0" style="98" hidden="1" customWidth="1"/>
    <col min="3597" max="3597" width="9.140625" style="98"/>
    <col min="3598" max="3598" width="9.5703125" style="98" bestFit="1" customWidth="1"/>
    <col min="3599" max="3839" width="9.140625" style="98"/>
    <col min="3840" max="3840" width="13.140625" style="98" customWidth="1"/>
    <col min="3841" max="3841" width="12.85546875" style="98" customWidth="1"/>
    <col min="3842" max="3842" width="43.85546875" style="98" customWidth="1"/>
    <col min="3843" max="3843" width="9.140625" style="98" customWidth="1"/>
    <col min="3844" max="3844" width="7.140625" style="98" customWidth="1"/>
    <col min="3845" max="3845" width="10.42578125" style="98" customWidth="1"/>
    <col min="3846" max="3846" width="10" style="98" customWidth="1"/>
    <col min="3847" max="3848" width="15.42578125" style="98" customWidth="1"/>
    <col min="3849" max="3849" width="10" style="98" customWidth="1"/>
    <col min="3850" max="3850" width="13" style="98" customWidth="1"/>
    <col min="3851" max="3852" width="0" style="98" hidden="1" customWidth="1"/>
    <col min="3853" max="3853" width="9.140625" style="98"/>
    <col min="3854" max="3854" width="9.5703125" style="98" bestFit="1" customWidth="1"/>
    <col min="3855" max="4095" width="9.140625" style="98"/>
    <col min="4096" max="4096" width="13.140625" style="98" customWidth="1"/>
    <col min="4097" max="4097" width="12.85546875" style="98" customWidth="1"/>
    <col min="4098" max="4098" width="43.85546875" style="98" customWidth="1"/>
    <col min="4099" max="4099" width="9.140625" style="98" customWidth="1"/>
    <col min="4100" max="4100" width="7.140625" style="98" customWidth="1"/>
    <col min="4101" max="4101" width="10.42578125" style="98" customWidth="1"/>
    <col min="4102" max="4102" width="10" style="98" customWidth="1"/>
    <col min="4103" max="4104" width="15.42578125" style="98" customWidth="1"/>
    <col min="4105" max="4105" width="10" style="98" customWidth="1"/>
    <col min="4106" max="4106" width="13" style="98" customWidth="1"/>
    <col min="4107" max="4108" width="0" style="98" hidden="1" customWidth="1"/>
    <col min="4109" max="4109" width="9.140625" style="98"/>
    <col min="4110" max="4110" width="9.5703125" style="98" bestFit="1" customWidth="1"/>
    <col min="4111" max="4351" width="9.140625" style="98"/>
    <col min="4352" max="4352" width="13.140625" style="98" customWidth="1"/>
    <col min="4353" max="4353" width="12.85546875" style="98" customWidth="1"/>
    <col min="4354" max="4354" width="43.85546875" style="98" customWidth="1"/>
    <col min="4355" max="4355" width="9.140625" style="98" customWidth="1"/>
    <col min="4356" max="4356" width="7.140625" style="98" customWidth="1"/>
    <col min="4357" max="4357" width="10.42578125" style="98" customWidth="1"/>
    <col min="4358" max="4358" width="10" style="98" customWidth="1"/>
    <col min="4359" max="4360" width="15.42578125" style="98" customWidth="1"/>
    <col min="4361" max="4361" width="10" style="98" customWidth="1"/>
    <col min="4362" max="4362" width="13" style="98" customWidth="1"/>
    <col min="4363" max="4364" width="0" style="98" hidden="1" customWidth="1"/>
    <col min="4365" max="4365" width="9.140625" style="98"/>
    <col min="4366" max="4366" width="9.5703125" style="98" bestFit="1" customWidth="1"/>
    <col min="4367" max="4607" width="9.140625" style="98"/>
    <col min="4608" max="4608" width="13.140625" style="98" customWidth="1"/>
    <col min="4609" max="4609" width="12.85546875" style="98" customWidth="1"/>
    <col min="4610" max="4610" width="43.85546875" style="98" customWidth="1"/>
    <col min="4611" max="4611" width="9.140625" style="98" customWidth="1"/>
    <col min="4612" max="4612" width="7.140625" style="98" customWidth="1"/>
    <col min="4613" max="4613" width="10.42578125" style="98" customWidth="1"/>
    <col min="4614" max="4614" width="10" style="98" customWidth="1"/>
    <col min="4615" max="4616" width="15.42578125" style="98" customWidth="1"/>
    <col min="4617" max="4617" width="10" style="98" customWidth="1"/>
    <col min="4618" max="4618" width="13" style="98" customWidth="1"/>
    <col min="4619" max="4620" width="0" style="98" hidden="1" customWidth="1"/>
    <col min="4621" max="4621" width="9.140625" style="98"/>
    <col min="4622" max="4622" width="9.5703125" style="98" bestFit="1" customWidth="1"/>
    <col min="4623" max="4863" width="9.140625" style="98"/>
    <col min="4864" max="4864" width="13.140625" style="98" customWidth="1"/>
    <col min="4865" max="4865" width="12.85546875" style="98" customWidth="1"/>
    <col min="4866" max="4866" width="43.85546875" style="98" customWidth="1"/>
    <col min="4867" max="4867" width="9.140625" style="98" customWidth="1"/>
    <col min="4868" max="4868" width="7.140625" style="98" customWidth="1"/>
    <col min="4869" max="4869" width="10.42578125" style="98" customWidth="1"/>
    <col min="4870" max="4870" width="10" style="98" customWidth="1"/>
    <col min="4871" max="4872" width="15.42578125" style="98" customWidth="1"/>
    <col min="4873" max="4873" width="10" style="98" customWidth="1"/>
    <col min="4874" max="4874" width="13" style="98" customWidth="1"/>
    <col min="4875" max="4876" width="0" style="98" hidden="1" customWidth="1"/>
    <col min="4877" max="4877" width="9.140625" style="98"/>
    <col min="4878" max="4878" width="9.5703125" style="98" bestFit="1" customWidth="1"/>
    <col min="4879" max="5119" width="9.140625" style="98"/>
    <col min="5120" max="5120" width="13.140625" style="98" customWidth="1"/>
    <col min="5121" max="5121" width="12.85546875" style="98" customWidth="1"/>
    <col min="5122" max="5122" width="43.85546875" style="98" customWidth="1"/>
    <col min="5123" max="5123" width="9.140625" style="98" customWidth="1"/>
    <col min="5124" max="5124" width="7.140625" style="98" customWidth="1"/>
    <col min="5125" max="5125" width="10.42578125" style="98" customWidth="1"/>
    <col min="5126" max="5126" width="10" style="98" customWidth="1"/>
    <col min="5127" max="5128" width="15.42578125" style="98" customWidth="1"/>
    <col min="5129" max="5129" width="10" style="98" customWidth="1"/>
    <col min="5130" max="5130" width="13" style="98" customWidth="1"/>
    <col min="5131" max="5132" width="0" style="98" hidden="1" customWidth="1"/>
    <col min="5133" max="5133" width="9.140625" style="98"/>
    <col min="5134" max="5134" width="9.5703125" style="98" bestFit="1" customWidth="1"/>
    <col min="5135" max="5375" width="9.140625" style="98"/>
    <col min="5376" max="5376" width="13.140625" style="98" customWidth="1"/>
    <col min="5377" max="5377" width="12.85546875" style="98" customWidth="1"/>
    <col min="5378" max="5378" width="43.85546875" style="98" customWidth="1"/>
    <col min="5379" max="5379" width="9.140625" style="98" customWidth="1"/>
    <col min="5380" max="5380" width="7.140625" style="98" customWidth="1"/>
    <col min="5381" max="5381" width="10.42578125" style="98" customWidth="1"/>
    <col min="5382" max="5382" width="10" style="98" customWidth="1"/>
    <col min="5383" max="5384" width="15.42578125" style="98" customWidth="1"/>
    <col min="5385" max="5385" width="10" style="98" customWidth="1"/>
    <col min="5386" max="5386" width="13" style="98" customWidth="1"/>
    <col min="5387" max="5388" width="0" style="98" hidden="1" customWidth="1"/>
    <col min="5389" max="5389" width="9.140625" style="98"/>
    <col min="5390" max="5390" width="9.5703125" style="98" bestFit="1" customWidth="1"/>
    <col min="5391" max="5631" width="9.140625" style="98"/>
    <col min="5632" max="5632" width="13.140625" style="98" customWidth="1"/>
    <col min="5633" max="5633" width="12.85546875" style="98" customWidth="1"/>
    <col min="5634" max="5634" width="43.85546875" style="98" customWidth="1"/>
    <col min="5635" max="5635" width="9.140625" style="98" customWidth="1"/>
    <col min="5636" max="5636" width="7.140625" style="98" customWidth="1"/>
    <col min="5637" max="5637" width="10.42578125" style="98" customWidth="1"/>
    <col min="5638" max="5638" width="10" style="98" customWidth="1"/>
    <col min="5639" max="5640" width="15.42578125" style="98" customWidth="1"/>
    <col min="5641" max="5641" width="10" style="98" customWidth="1"/>
    <col min="5642" max="5642" width="13" style="98" customWidth="1"/>
    <col min="5643" max="5644" width="0" style="98" hidden="1" customWidth="1"/>
    <col min="5645" max="5645" width="9.140625" style="98"/>
    <col min="5646" max="5646" width="9.5703125" style="98" bestFit="1" customWidth="1"/>
    <col min="5647" max="5887" width="9.140625" style="98"/>
    <col min="5888" max="5888" width="13.140625" style="98" customWidth="1"/>
    <col min="5889" max="5889" width="12.85546875" style="98" customWidth="1"/>
    <col min="5890" max="5890" width="43.85546875" style="98" customWidth="1"/>
    <col min="5891" max="5891" width="9.140625" style="98" customWidth="1"/>
    <col min="5892" max="5892" width="7.140625" style="98" customWidth="1"/>
    <col min="5893" max="5893" width="10.42578125" style="98" customWidth="1"/>
    <col min="5894" max="5894" width="10" style="98" customWidth="1"/>
    <col min="5895" max="5896" width="15.42578125" style="98" customWidth="1"/>
    <col min="5897" max="5897" width="10" style="98" customWidth="1"/>
    <col min="5898" max="5898" width="13" style="98" customWidth="1"/>
    <col min="5899" max="5900" width="0" style="98" hidden="1" customWidth="1"/>
    <col min="5901" max="5901" width="9.140625" style="98"/>
    <col min="5902" max="5902" width="9.5703125" style="98" bestFit="1" customWidth="1"/>
    <col min="5903" max="6143" width="9.140625" style="98"/>
    <col min="6144" max="6144" width="13.140625" style="98" customWidth="1"/>
    <col min="6145" max="6145" width="12.85546875" style="98" customWidth="1"/>
    <col min="6146" max="6146" width="43.85546875" style="98" customWidth="1"/>
    <col min="6147" max="6147" width="9.140625" style="98" customWidth="1"/>
    <col min="6148" max="6148" width="7.140625" style="98" customWidth="1"/>
    <col min="6149" max="6149" width="10.42578125" style="98" customWidth="1"/>
    <col min="6150" max="6150" width="10" style="98" customWidth="1"/>
    <col min="6151" max="6152" width="15.42578125" style="98" customWidth="1"/>
    <col min="6153" max="6153" width="10" style="98" customWidth="1"/>
    <col min="6154" max="6154" width="13" style="98" customWidth="1"/>
    <col min="6155" max="6156" width="0" style="98" hidden="1" customWidth="1"/>
    <col min="6157" max="6157" width="9.140625" style="98"/>
    <col min="6158" max="6158" width="9.5703125" style="98" bestFit="1" customWidth="1"/>
    <col min="6159" max="6399" width="9.140625" style="98"/>
    <col min="6400" max="6400" width="13.140625" style="98" customWidth="1"/>
    <col min="6401" max="6401" width="12.85546875" style="98" customWidth="1"/>
    <col min="6402" max="6402" width="43.85546875" style="98" customWidth="1"/>
    <col min="6403" max="6403" width="9.140625" style="98" customWidth="1"/>
    <col min="6404" max="6404" width="7.140625" style="98" customWidth="1"/>
    <col min="6405" max="6405" width="10.42578125" style="98" customWidth="1"/>
    <col min="6406" max="6406" width="10" style="98" customWidth="1"/>
    <col min="6407" max="6408" width="15.42578125" style="98" customWidth="1"/>
    <col min="6409" max="6409" width="10" style="98" customWidth="1"/>
    <col min="6410" max="6410" width="13" style="98" customWidth="1"/>
    <col min="6411" max="6412" width="0" style="98" hidden="1" customWidth="1"/>
    <col min="6413" max="6413" width="9.140625" style="98"/>
    <col min="6414" max="6414" width="9.5703125" style="98" bestFit="1" customWidth="1"/>
    <col min="6415" max="6655" width="9.140625" style="98"/>
    <col min="6656" max="6656" width="13.140625" style="98" customWidth="1"/>
    <col min="6657" max="6657" width="12.85546875" style="98" customWidth="1"/>
    <col min="6658" max="6658" width="43.85546875" style="98" customWidth="1"/>
    <col min="6659" max="6659" width="9.140625" style="98" customWidth="1"/>
    <col min="6660" max="6660" width="7.140625" style="98" customWidth="1"/>
    <col min="6661" max="6661" width="10.42578125" style="98" customWidth="1"/>
    <col min="6662" max="6662" width="10" style="98" customWidth="1"/>
    <col min="6663" max="6664" width="15.42578125" style="98" customWidth="1"/>
    <col min="6665" max="6665" width="10" style="98" customWidth="1"/>
    <col min="6666" max="6666" width="13" style="98" customWidth="1"/>
    <col min="6667" max="6668" width="0" style="98" hidden="1" customWidth="1"/>
    <col min="6669" max="6669" width="9.140625" style="98"/>
    <col min="6670" max="6670" width="9.5703125" style="98" bestFit="1" customWidth="1"/>
    <col min="6671" max="6911" width="9.140625" style="98"/>
    <col min="6912" max="6912" width="13.140625" style="98" customWidth="1"/>
    <col min="6913" max="6913" width="12.85546875" style="98" customWidth="1"/>
    <col min="6914" max="6914" width="43.85546875" style="98" customWidth="1"/>
    <col min="6915" max="6915" width="9.140625" style="98" customWidth="1"/>
    <col min="6916" max="6916" width="7.140625" style="98" customWidth="1"/>
    <col min="6917" max="6917" width="10.42578125" style="98" customWidth="1"/>
    <col min="6918" max="6918" width="10" style="98" customWidth="1"/>
    <col min="6919" max="6920" width="15.42578125" style="98" customWidth="1"/>
    <col min="6921" max="6921" width="10" style="98" customWidth="1"/>
    <col min="6922" max="6922" width="13" style="98" customWidth="1"/>
    <col min="6923" max="6924" width="0" style="98" hidden="1" customWidth="1"/>
    <col min="6925" max="6925" width="9.140625" style="98"/>
    <col min="6926" max="6926" width="9.5703125" style="98" bestFit="1" customWidth="1"/>
    <col min="6927" max="7167" width="9.140625" style="98"/>
    <col min="7168" max="7168" width="13.140625" style="98" customWidth="1"/>
    <col min="7169" max="7169" width="12.85546875" style="98" customWidth="1"/>
    <col min="7170" max="7170" width="43.85546875" style="98" customWidth="1"/>
    <col min="7171" max="7171" width="9.140625" style="98" customWidth="1"/>
    <col min="7172" max="7172" width="7.140625" style="98" customWidth="1"/>
    <col min="7173" max="7173" width="10.42578125" style="98" customWidth="1"/>
    <col min="7174" max="7174" width="10" style="98" customWidth="1"/>
    <col min="7175" max="7176" width="15.42578125" style="98" customWidth="1"/>
    <col min="7177" max="7177" width="10" style="98" customWidth="1"/>
    <col min="7178" max="7178" width="13" style="98" customWidth="1"/>
    <col min="7179" max="7180" width="0" style="98" hidden="1" customWidth="1"/>
    <col min="7181" max="7181" width="9.140625" style="98"/>
    <col min="7182" max="7182" width="9.5703125" style="98" bestFit="1" customWidth="1"/>
    <col min="7183" max="7423" width="9.140625" style="98"/>
    <col min="7424" max="7424" width="13.140625" style="98" customWidth="1"/>
    <col min="7425" max="7425" width="12.85546875" style="98" customWidth="1"/>
    <col min="7426" max="7426" width="43.85546875" style="98" customWidth="1"/>
    <col min="7427" max="7427" width="9.140625" style="98" customWidth="1"/>
    <col min="7428" max="7428" width="7.140625" style="98" customWidth="1"/>
    <col min="7429" max="7429" width="10.42578125" style="98" customWidth="1"/>
    <col min="7430" max="7430" width="10" style="98" customWidth="1"/>
    <col min="7431" max="7432" width="15.42578125" style="98" customWidth="1"/>
    <col min="7433" max="7433" width="10" style="98" customWidth="1"/>
    <col min="7434" max="7434" width="13" style="98" customWidth="1"/>
    <col min="7435" max="7436" width="0" style="98" hidden="1" customWidth="1"/>
    <col min="7437" max="7437" width="9.140625" style="98"/>
    <col min="7438" max="7438" width="9.5703125" style="98" bestFit="1" customWidth="1"/>
    <col min="7439" max="7679" width="9.140625" style="98"/>
    <col min="7680" max="7680" width="13.140625" style="98" customWidth="1"/>
    <col min="7681" max="7681" width="12.85546875" style="98" customWidth="1"/>
    <col min="7682" max="7682" width="43.85546875" style="98" customWidth="1"/>
    <col min="7683" max="7683" width="9.140625" style="98" customWidth="1"/>
    <col min="7684" max="7684" width="7.140625" style="98" customWidth="1"/>
    <col min="7685" max="7685" width="10.42578125" style="98" customWidth="1"/>
    <col min="7686" max="7686" width="10" style="98" customWidth="1"/>
    <col min="7687" max="7688" width="15.42578125" style="98" customWidth="1"/>
    <col min="7689" max="7689" width="10" style="98" customWidth="1"/>
    <col min="7690" max="7690" width="13" style="98" customWidth="1"/>
    <col min="7691" max="7692" width="0" style="98" hidden="1" customWidth="1"/>
    <col min="7693" max="7693" width="9.140625" style="98"/>
    <col min="7694" max="7694" width="9.5703125" style="98" bestFit="1" customWidth="1"/>
    <col min="7695" max="7935" width="9.140625" style="98"/>
    <col min="7936" max="7936" width="13.140625" style="98" customWidth="1"/>
    <col min="7937" max="7937" width="12.85546875" style="98" customWidth="1"/>
    <col min="7938" max="7938" width="43.85546875" style="98" customWidth="1"/>
    <col min="7939" max="7939" width="9.140625" style="98" customWidth="1"/>
    <col min="7940" max="7940" width="7.140625" style="98" customWidth="1"/>
    <col min="7941" max="7941" width="10.42578125" style="98" customWidth="1"/>
    <col min="7942" max="7942" width="10" style="98" customWidth="1"/>
    <col min="7943" max="7944" width="15.42578125" style="98" customWidth="1"/>
    <col min="7945" max="7945" width="10" style="98" customWidth="1"/>
    <col min="7946" max="7946" width="13" style="98" customWidth="1"/>
    <col min="7947" max="7948" width="0" style="98" hidden="1" customWidth="1"/>
    <col min="7949" max="7949" width="9.140625" style="98"/>
    <col min="7950" max="7950" width="9.5703125" style="98" bestFit="1" customWidth="1"/>
    <col min="7951" max="8191" width="9.140625" style="98"/>
    <col min="8192" max="8192" width="13.140625" style="98" customWidth="1"/>
    <col min="8193" max="8193" width="12.85546875" style="98" customWidth="1"/>
    <col min="8194" max="8194" width="43.85546875" style="98" customWidth="1"/>
    <col min="8195" max="8195" width="9.140625" style="98" customWidth="1"/>
    <col min="8196" max="8196" width="7.140625" style="98" customWidth="1"/>
    <col min="8197" max="8197" width="10.42578125" style="98" customWidth="1"/>
    <col min="8198" max="8198" width="10" style="98" customWidth="1"/>
    <col min="8199" max="8200" width="15.42578125" style="98" customWidth="1"/>
    <col min="8201" max="8201" width="10" style="98" customWidth="1"/>
    <col min="8202" max="8202" width="13" style="98" customWidth="1"/>
    <col min="8203" max="8204" width="0" style="98" hidden="1" customWidth="1"/>
    <col min="8205" max="8205" width="9.140625" style="98"/>
    <col min="8206" max="8206" width="9.5703125" style="98" bestFit="1" customWidth="1"/>
    <col min="8207" max="8447" width="9.140625" style="98"/>
    <col min="8448" max="8448" width="13.140625" style="98" customWidth="1"/>
    <col min="8449" max="8449" width="12.85546875" style="98" customWidth="1"/>
    <col min="8450" max="8450" width="43.85546875" style="98" customWidth="1"/>
    <col min="8451" max="8451" width="9.140625" style="98" customWidth="1"/>
    <col min="8452" max="8452" width="7.140625" style="98" customWidth="1"/>
    <col min="8453" max="8453" width="10.42578125" style="98" customWidth="1"/>
    <col min="8454" max="8454" width="10" style="98" customWidth="1"/>
    <col min="8455" max="8456" width="15.42578125" style="98" customWidth="1"/>
    <col min="8457" max="8457" width="10" style="98" customWidth="1"/>
    <col min="8458" max="8458" width="13" style="98" customWidth="1"/>
    <col min="8459" max="8460" width="0" style="98" hidden="1" customWidth="1"/>
    <col min="8461" max="8461" width="9.140625" style="98"/>
    <col min="8462" max="8462" width="9.5703125" style="98" bestFit="1" customWidth="1"/>
    <col min="8463" max="8703" width="9.140625" style="98"/>
    <col min="8704" max="8704" width="13.140625" style="98" customWidth="1"/>
    <col min="8705" max="8705" width="12.85546875" style="98" customWidth="1"/>
    <col min="8706" max="8706" width="43.85546875" style="98" customWidth="1"/>
    <col min="8707" max="8707" width="9.140625" style="98" customWidth="1"/>
    <col min="8708" max="8708" width="7.140625" style="98" customWidth="1"/>
    <col min="8709" max="8709" width="10.42578125" style="98" customWidth="1"/>
    <col min="8710" max="8710" width="10" style="98" customWidth="1"/>
    <col min="8711" max="8712" width="15.42578125" style="98" customWidth="1"/>
    <col min="8713" max="8713" width="10" style="98" customWidth="1"/>
    <col min="8714" max="8714" width="13" style="98" customWidth="1"/>
    <col min="8715" max="8716" width="0" style="98" hidden="1" customWidth="1"/>
    <col min="8717" max="8717" width="9.140625" style="98"/>
    <col min="8718" max="8718" width="9.5703125" style="98" bestFit="1" customWidth="1"/>
    <col min="8719" max="8959" width="9.140625" style="98"/>
    <col min="8960" max="8960" width="13.140625" style="98" customWidth="1"/>
    <col min="8961" max="8961" width="12.85546875" style="98" customWidth="1"/>
    <col min="8962" max="8962" width="43.85546875" style="98" customWidth="1"/>
    <col min="8963" max="8963" width="9.140625" style="98" customWidth="1"/>
    <col min="8964" max="8964" width="7.140625" style="98" customWidth="1"/>
    <col min="8965" max="8965" width="10.42578125" style="98" customWidth="1"/>
    <col min="8966" max="8966" width="10" style="98" customWidth="1"/>
    <col min="8967" max="8968" width="15.42578125" style="98" customWidth="1"/>
    <col min="8969" max="8969" width="10" style="98" customWidth="1"/>
    <col min="8970" max="8970" width="13" style="98" customWidth="1"/>
    <col min="8971" max="8972" width="0" style="98" hidden="1" customWidth="1"/>
    <col min="8973" max="8973" width="9.140625" style="98"/>
    <col min="8974" max="8974" width="9.5703125" style="98" bestFit="1" customWidth="1"/>
    <col min="8975" max="9215" width="9.140625" style="98"/>
    <col min="9216" max="9216" width="13.140625" style="98" customWidth="1"/>
    <col min="9217" max="9217" width="12.85546875" style="98" customWidth="1"/>
    <col min="9218" max="9218" width="43.85546875" style="98" customWidth="1"/>
    <col min="9219" max="9219" width="9.140625" style="98" customWidth="1"/>
    <col min="9220" max="9220" width="7.140625" style="98" customWidth="1"/>
    <col min="9221" max="9221" width="10.42578125" style="98" customWidth="1"/>
    <col min="9222" max="9222" width="10" style="98" customWidth="1"/>
    <col min="9223" max="9224" width="15.42578125" style="98" customWidth="1"/>
    <col min="9225" max="9225" width="10" style="98" customWidth="1"/>
    <col min="9226" max="9226" width="13" style="98" customWidth="1"/>
    <col min="9227" max="9228" width="0" style="98" hidden="1" customWidth="1"/>
    <col min="9229" max="9229" width="9.140625" style="98"/>
    <col min="9230" max="9230" width="9.5703125" style="98" bestFit="1" customWidth="1"/>
    <col min="9231" max="9471" width="9.140625" style="98"/>
    <col min="9472" max="9472" width="13.140625" style="98" customWidth="1"/>
    <col min="9473" max="9473" width="12.85546875" style="98" customWidth="1"/>
    <col min="9474" max="9474" width="43.85546875" style="98" customWidth="1"/>
    <col min="9475" max="9475" width="9.140625" style="98" customWidth="1"/>
    <col min="9476" max="9476" width="7.140625" style="98" customWidth="1"/>
    <col min="9477" max="9477" width="10.42578125" style="98" customWidth="1"/>
    <col min="9478" max="9478" width="10" style="98" customWidth="1"/>
    <col min="9479" max="9480" width="15.42578125" style="98" customWidth="1"/>
    <col min="9481" max="9481" width="10" style="98" customWidth="1"/>
    <col min="9482" max="9482" width="13" style="98" customWidth="1"/>
    <col min="9483" max="9484" width="0" style="98" hidden="1" customWidth="1"/>
    <col min="9485" max="9485" width="9.140625" style="98"/>
    <col min="9486" max="9486" width="9.5703125" style="98" bestFit="1" customWidth="1"/>
    <col min="9487" max="9727" width="9.140625" style="98"/>
    <col min="9728" max="9728" width="13.140625" style="98" customWidth="1"/>
    <col min="9729" max="9729" width="12.85546875" style="98" customWidth="1"/>
    <col min="9730" max="9730" width="43.85546875" style="98" customWidth="1"/>
    <col min="9731" max="9731" width="9.140625" style="98" customWidth="1"/>
    <col min="9732" max="9732" width="7.140625" style="98" customWidth="1"/>
    <col min="9733" max="9733" width="10.42578125" style="98" customWidth="1"/>
    <col min="9734" max="9734" width="10" style="98" customWidth="1"/>
    <col min="9735" max="9736" width="15.42578125" style="98" customWidth="1"/>
    <col min="9737" max="9737" width="10" style="98" customWidth="1"/>
    <col min="9738" max="9738" width="13" style="98" customWidth="1"/>
    <col min="9739" max="9740" width="0" style="98" hidden="1" customWidth="1"/>
    <col min="9741" max="9741" width="9.140625" style="98"/>
    <col min="9742" max="9742" width="9.5703125" style="98" bestFit="1" customWidth="1"/>
    <col min="9743" max="9983" width="9.140625" style="98"/>
    <col min="9984" max="9984" width="13.140625" style="98" customWidth="1"/>
    <col min="9985" max="9985" width="12.85546875" style="98" customWidth="1"/>
    <col min="9986" max="9986" width="43.85546875" style="98" customWidth="1"/>
    <col min="9987" max="9987" width="9.140625" style="98" customWidth="1"/>
    <col min="9988" max="9988" width="7.140625" style="98" customWidth="1"/>
    <col min="9989" max="9989" width="10.42578125" style="98" customWidth="1"/>
    <col min="9990" max="9990" width="10" style="98" customWidth="1"/>
    <col min="9991" max="9992" width="15.42578125" style="98" customWidth="1"/>
    <col min="9993" max="9993" width="10" style="98" customWidth="1"/>
    <col min="9994" max="9994" width="13" style="98" customWidth="1"/>
    <col min="9995" max="9996" width="0" style="98" hidden="1" customWidth="1"/>
    <col min="9997" max="9997" width="9.140625" style="98"/>
    <col min="9998" max="9998" width="9.5703125" style="98" bestFit="1" customWidth="1"/>
    <col min="9999" max="10239" width="9.140625" style="98"/>
    <col min="10240" max="10240" width="13.140625" style="98" customWidth="1"/>
    <col min="10241" max="10241" width="12.85546875" style="98" customWidth="1"/>
    <col min="10242" max="10242" width="43.85546875" style="98" customWidth="1"/>
    <col min="10243" max="10243" width="9.140625" style="98" customWidth="1"/>
    <col min="10244" max="10244" width="7.140625" style="98" customWidth="1"/>
    <col min="10245" max="10245" width="10.42578125" style="98" customWidth="1"/>
    <col min="10246" max="10246" width="10" style="98" customWidth="1"/>
    <col min="10247" max="10248" width="15.42578125" style="98" customWidth="1"/>
    <col min="10249" max="10249" width="10" style="98" customWidth="1"/>
    <col min="10250" max="10250" width="13" style="98" customWidth="1"/>
    <col min="10251" max="10252" width="0" style="98" hidden="1" customWidth="1"/>
    <col min="10253" max="10253" width="9.140625" style="98"/>
    <col min="10254" max="10254" width="9.5703125" style="98" bestFit="1" customWidth="1"/>
    <col min="10255" max="10495" width="9.140625" style="98"/>
    <col min="10496" max="10496" width="13.140625" style="98" customWidth="1"/>
    <col min="10497" max="10497" width="12.85546875" style="98" customWidth="1"/>
    <col min="10498" max="10498" width="43.85546875" style="98" customWidth="1"/>
    <col min="10499" max="10499" width="9.140625" style="98" customWidth="1"/>
    <col min="10500" max="10500" width="7.140625" style="98" customWidth="1"/>
    <col min="10501" max="10501" width="10.42578125" style="98" customWidth="1"/>
    <col min="10502" max="10502" width="10" style="98" customWidth="1"/>
    <col min="10503" max="10504" width="15.42578125" style="98" customWidth="1"/>
    <col min="10505" max="10505" width="10" style="98" customWidth="1"/>
    <col min="10506" max="10506" width="13" style="98" customWidth="1"/>
    <col min="10507" max="10508" width="0" style="98" hidden="1" customWidth="1"/>
    <col min="10509" max="10509" width="9.140625" style="98"/>
    <col min="10510" max="10510" width="9.5703125" style="98" bestFit="1" customWidth="1"/>
    <col min="10511" max="10751" width="9.140625" style="98"/>
    <col min="10752" max="10752" width="13.140625" style="98" customWidth="1"/>
    <col min="10753" max="10753" width="12.85546875" style="98" customWidth="1"/>
    <col min="10754" max="10754" width="43.85546875" style="98" customWidth="1"/>
    <col min="10755" max="10755" width="9.140625" style="98" customWidth="1"/>
    <col min="10756" max="10756" width="7.140625" style="98" customWidth="1"/>
    <col min="10757" max="10757" width="10.42578125" style="98" customWidth="1"/>
    <col min="10758" max="10758" width="10" style="98" customWidth="1"/>
    <col min="10759" max="10760" width="15.42578125" style="98" customWidth="1"/>
    <col min="10761" max="10761" width="10" style="98" customWidth="1"/>
    <col min="10762" max="10762" width="13" style="98" customWidth="1"/>
    <col min="10763" max="10764" width="0" style="98" hidden="1" customWidth="1"/>
    <col min="10765" max="10765" width="9.140625" style="98"/>
    <col min="10766" max="10766" width="9.5703125" style="98" bestFit="1" customWidth="1"/>
    <col min="10767" max="11007" width="9.140625" style="98"/>
    <col min="11008" max="11008" width="13.140625" style="98" customWidth="1"/>
    <col min="11009" max="11009" width="12.85546875" style="98" customWidth="1"/>
    <col min="11010" max="11010" width="43.85546875" style="98" customWidth="1"/>
    <col min="11011" max="11011" width="9.140625" style="98" customWidth="1"/>
    <col min="11012" max="11012" width="7.140625" style="98" customWidth="1"/>
    <col min="11013" max="11013" width="10.42578125" style="98" customWidth="1"/>
    <col min="11014" max="11014" width="10" style="98" customWidth="1"/>
    <col min="11015" max="11016" width="15.42578125" style="98" customWidth="1"/>
    <col min="11017" max="11017" width="10" style="98" customWidth="1"/>
    <col min="11018" max="11018" width="13" style="98" customWidth="1"/>
    <col min="11019" max="11020" width="0" style="98" hidden="1" customWidth="1"/>
    <col min="11021" max="11021" width="9.140625" style="98"/>
    <col min="11022" max="11022" width="9.5703125" style="98" bestFit="1" customWidth="1"/>
    <col min="11023" max="11263" width="9.140625" style="98"/>
    <col min="11264" max="11264" width="13.140625" style="98" customWidth="1"/>
    <col min="11265" max="11265" width="12.85546875" style="98" customWidth="1"/>
    <col min="11266" max="11266" width="43.85546875" style="98" customWidth="1"/>
    <col min="11267" max="11267" width="9.140625" style="98" customWidth="1"/>
    <col min="11268" max="11268" width="7.140625" style="98" customWidth="1"/>
    <col min="11269" max="11269" width="10.42578125" style="98" customWidth="1"/>
    <col min="11270" max="11270" width="10" style="98" customWidth="1"/>
    <col min="11271" max="11272" width="15.42578125" style="98" customWidth="1"/>
    <col min="11273" max="11273" width="10" style="98" customWidth="1"/>
    <col min="11274" max="11274" width="13" style="98" customWidth="1"/>
    <col min="11275" max="11276" width="0" style="98" hidden="1" customWidth="1"/>
    <col min="11277" max="11277" width="9.140625" style="98"/>
    <col min="11278" max="11278" width="9.5703125" style="98" bestFit="1" customWidth="1"/>
    <col min="11279" max="11519" width="9.140625" style="98"/>
    <col min="11520" max="11520" width="13.140625" style="98" customWidth="1"/>
    <col min="11521" max="11521" width="12.85546875" style="98" customWidth="1"/>
    <col min="11522" max="11522" width="43.85546875" style="98" customWidth="1"/>
    <col min="11523" max="11523" width="9.140625" style="98" customWidth="1"/>
    <col min="11524" max="11524" width="7.140625" style="98" customWidth="1"/>
    <col min="11525" max="11525" width="10.42578125" style="98" customWidth="1"/>
    <col min="11526" max="11526" width="10" style="98" customWidth="1"/>
    <col min="11527" max="11528" width="15.42578125" style="98" customWidth="1"/>
    <col min="11529" max="11529" width="10" style="98" customWidth="1"/>
    <col min="11530" max="11530" width="13" style="98" customWidth="1"/>
    <col min="11531" max="11532" width="0" style="98" hidden="1" customWidth="1"/>
    <col min="11533" max="11533" width="9.140625" style="98"/>
    <col min="11534" max="11534" width="9.5703125" style="98" bestFit="1" customWidth="1"/>
    <col min="11535" max="11775" width="9.140625" style="98"/>
    <col min="11776" max="11776" width="13.140625" style="98" customWidth="1"/>
    <col min="11777" max="11777" width="12.85546875" style="98" customWidth="1"/>
    <col min="11778" max="11778" width="43.85546875" style="98" customWidth="1"/>
    <col min="11779" max="11779" width="9.140625" style="98" customWidth="1"/>
    <col min="11780" max="11780" width="7.140625" style="98" customWidth="1"/>
    <col min="11781" max="11781" width="10.42578125" style="98" customWidth="1"/>
    <col min="11782" max="11782" width="10" style="98" customWidth="1"/>
    <col min="11783" max="11784" width="15.42578125" style="98" customWidth="1"/>
    <col min="11785" max="11785" width="10" style="98" customWidth="1"/>
    <col min="11786" max="11786" width="13" style="98" customWidth="1"/>
    <col min="11787" max="11788" width="0" style="98" hidden="1" customWidth="1"/>
    <col min="11789" max="11789" width="9.140625" style="98"/>
    <col min="11790" max="11790" width="9.5703125" style="98" bestFit="1" customWidth="1"/>
    <col min="11791" max="12031" width="9.140625" style="98"/>
    <col min="12032" max="12032" width="13.140625" style="98" customWidth="1"/>
    <col min="12033" max="12033" width="12.85546875" style="98" customWidth="1"/>
    <col min="12034" max="12034" width="43.85546875" style="98" customWidth="1"/>
    <col min="12035" max="12035" width="9.140625" style="98" customWidth="1"/>
    <col min="12036" max="12036" width="7.140625" style="98" customWidth="1"/>
    <col min="12037" max="12037" width="10.42578125" style="98" customWidth="1"/>
    <col min="12038" max="12038" width="10" style="98" customWidth="1"/>
    <col min="12039" max="12040" width="15.42578125" style="98" customWidth="1"/>
    <col min="12041" max="12041" width="10" style="98" customWidth="1"/>
    <col min="12042" max="12042" width="13" style="98" customWidth="1"/>
    <col min="12043" max="12044" width="0" style="98" hidden="1" customWidth="1"/>
    <col min="12045" max="12045" width="9.140625" style="98"/>
    <col min="12046" max="12046" width="9.5703125" style="98" bestFit="1" customWidth="1"/>
    <col min="12047" max="12287" width="9.140625" style="98"/>
    <col min="12288" max="12288" width="13.140625" style="98" customWidth="1"/>
    <col min="12289" max="12289" width="12.85546875" style="98" customWidth="1"/>
    <col min="12290" max="12290" width="43.85546875" style="98" customWidth="1"/>
    <col min="12291" max="12291" width="9.140625" style="98" customWidth="1"/>
    <col min="12292" max="12292" width="7.140625" style="98" customWidth="1"/>
    <col min="12293" max="12293" width="10.42578125" style="98" customWidth="1"/>
    <col min="12294" max="12294" width="10" style="98" customWidth="1"/>
    <col min="12295" max="12296" width="15.42578125" style="98" customWidth="1"/>
    <col min="12297" max="12297" width="10" style="98" customWidth="1"/>
    <col min="12298" max="12298" width="13" style="98" customWidth="1"/>
    <col min="12299" max="12300" width="0" style="98" hidden="1" customWidth="1"/>
    <col min="12301" max="12301" width="9.140625" style="98"/>
    <col min="12302" max="12302" width="9.5703125" style="98" bestFit="1" customWidth="1"/>
    <col min="12303" max="12543" width="9.140625" style="98"/>
    <col min="12544" max="12544" width="13.140625" style="98" customWidth="1"/>
    <col min="12545" max="12545" width="12.85546875" style="98" customWidth="1"/>
    <col min="12546" max="12546" width="43.85546875" style="98" customWidth="1"/>
    <col min="12547" max="12547" width="9.140625" style="98" customWidth="1"/>
    <col min="12548" max="12548" width="7.140625" style="98" customWidth="1"/>
    <col min="12549" max="12549" width="10.42578125" style="98" customWidth="1"/>
    <col min="12550" max="12550" width="10" style="98" customWidth="1"/>
    <col min="12551" max="12552" width="15.42578125" style="98" customWidth="1"/>
    <col min="12553" max="12553" width="10" style="98" customWidth="1"/>
    <col min="12554" max="12554" width="13" style="98" customWidth="1"/>
    <col min="12555" max="12556" width="0" style="98" hidden="1" customWidth="1"/>
    <col min="12557" max="12557" width="9.140625" style="98"/>
    <col min="12558" max="12558" width="9.5703125" style="98" bestFit="1" customWidth="1"/>
    <col min="12559" max="12799" width="9.140625" style="98"/>
    <col min="12800" max="12800" width="13.140625" style="98" customWidth="1"/>
    <col min="12801" max="12801" width="12.85546875" style="98" customWidth="1"/>
    <col min="12802" max="12802" width="43.85546875" style="98" customWidth="1"/>
    <col min="12803" max="12803" width="9.140625" style="98" customWidth="1"/>
    <col min="12804" max="12804" width="7.140625" style="98" customWidth="1"/>
    <col min="12805" max="12805" width="10.42578125" style="98" customWidth="1"/>
    <col min="12806" max="12806" width="10" style="98" customWidth="1"/>
    <col min="12807" max="12808" width="15.42578125" style="98" customWidth="1"/>
    <col min="12809" max="12809" width="10" style="98" customWidth="1"/>
    <col min="12810" max="12810" width="13" style="98" customWidth="1"/>
    <col min="12811" max="12812" width="0" style="98" hidden="1" customWidth="1"/>
    <col min="12813" max="12813" width="9.140625" style="98"/>
    <col min="12814" max="12814" width="9.5703125" style="98" bestFit="1" customWidth="1"/>
    <col min="12815" max="13055" width="9.140625" style="98"/>
    <col min="13056" max="13056" width="13.140625" style="98" customWidth="1"/>
    <col min="13057" max="13057" width="12.85546875" style="98" customWidth="1"/>
    <col min="13058" max="13058" width="43.85546875" style="98" customWidth="1"/>
    <col min="13059" max="13059" width="9.140625" style="98" customWidth="1"/>
    <col min="13060" max="13060" width="7.140625" style="98" customWidth="1"/>
    <col min="13061" max="13061" width="10.42578125" style="98" customWidth="1"/>
    <col min="13062" max="13062" width="10" style="98" customWidth="1"/>
    <col min="13063" max="13064" width="15.42578125" style="98" customWidth="1"/>
    <col min="13065" max="13065" width="10" style="98" customWidth="1"/>
    <col min="13066" max="13066" width="13" style="98" customWidth="1"/>
    <col min="13067" max="13068" width="0" style="98" hidden="1" customWidth="1"/>
    <col min="13069" max="13069" width="9.140625" style="98"/>
    <col min="13070" max="13070" width="9.5703125" style="98" bestFit="1" customWidth="1"/>
    <col min="13071" max="13311" width="9.140625" style="98"/>
    <col min="13312" max="13312" width="13.140625" style="98" customWidth="1"/>
    <col min="13313" max="13313" width="12.85546875" style="98" customWidth="1"/>
    <col min="13314" max="13314" width="43.85546875" style="98" customWidth="1"/>
    <col min="13315" max="13315" width="9.140625" style="98" customWidth="1"/>
    <col min="13316" max="13316" width="7.140625" style="98" customWidth="1"/>
    <col min="13317" max="13317" width="10.42578125" style="98" customWidth="1"/>
    <col min="13318" max="13318" width="10" style="98" customWidth="1"/>
    <col min="13319" max="13320" width="15.42578125" style="98" customWidth="1"/>
    <col min="13321" max="13321" width="10" style="98" customWidth="1"/>
    <col min="13322" max="13322" width="13" style="98" customWidth="1"/>
    <col min="13323" max="13324" width="0" style="98" hidden="1" customWidth="1"/>
    <col min="13325" max="13325" width="9.140625" style="98"/>
    <col min="13326" max="13326" width="9.5703125" style="98" bestFit="1" customWidth="1"/>
    <col min="13327" max="13567" width="9.140625" style="98"/>
    <col min="13568" max="13568" width="13.140625" style="98" customWidth="1"/>
    <col min="13569" max="13569" width="12.85546875" style="98" customWidth="1"/>
    <col min="13570" max="13570" width="43.85546875" style="98" customWidth="1"/>
    <col min="13571" max="13571" width="9.140625" style="98" customWidth="1"/>
    <col min="13572" max="13572" width="7.140625" style="98" customWidth="1"/>
    <col min="13573" max="13573" width="10.42578125" style="98" customWidth="1"/>
    <col min="13574" max="13574" width="10" style="98" customWidth="1"/>
    <col min="13575" max="13576" width="15.42578125" style="98" customWidth="1"/>
    <col min="13577" max="13577" width="10" style="98" customWidth="1"/>
    <col min="13578" max="13578" width="13" style="98" customWidth="1"/>
    <col min="13579" max="13580" width="0" style="98" hidden="1" customWidth="1"/>
    <col min="13581" max="13581" width="9.140625" style="98"/>
    <col min="13582" max="13582" width="9.5703125" style="98" bestFit="1" customWidth="1"/>
    <col min="13583" max="13823" width="9.140625" style="98"/>
    <col min="13824" max="13824" width="13.140625" style="98" customWidth="1"/>
    <col min="13825" max="13825" width="12.85546875" style="98" customWidth="1"/>
    <col min="13826" max="13826" width="43.85546875" style="98" customWidth="1"/>
    <col min="13827" max="13827" width="9.140625" style="98" customWidth="1"/>
    <col min="13828" max="13828" width="7.140625" style="98" customWidth="1"/>
    <col min="13829" max="13829" width="10.42578125" style="98" customWidth="1"/>
    <col min="13830" max="13830" width="10" style="98" customWidth="1"/>
    <col min="13831" max="13832" width="15.42578125" style="98" customWidth="1"/>
    <col min="13833" max="13833" width="10" style="98" customWidth="1"/>
    <col min="13834" max="13834" width="13" style="98" customWidth="1"/>
    <col min="13835" max="13836" width="0" style="98" hidden="1" customWidth="1"/>
    <col min="13837" max="13837" width="9.140625" style="98"/>
    <col min="13838" max="13838" width="9.5703125" style="98" bestFit="1" customWidth="1"/>
    <col min="13839" max="14079" width="9.140625" style="98"/>
    <col min="14080" max="14080" width="13.140625" style="98" customWidth="1"/>
    <col min="14081" max="14081" width="12.85546875" style="98" customWidth="1"/>
    <col min="14082" max="14082" width="43.85546875" style="98" customWidth="1"/>
    <col min="14083" max="14083" width="9.140625" style="98" customWidth="1"/>
    <col min="14084" max="14084" width="7.140625" style="98" customWidth="1"/>
    <col min="14085" max="14085" width="10.42578125" style="98" customWidth="1"/>
    <col min="14086" max="14086" width="10" style="98" customWidth="1"/>
    <col min="14087" max="14088" width="15.42578125" style="98" customWidth="1"/>
    <col min="14089" max="14089" width="10" style="98" customWidth="1"/>
    <col min="14090" max="14090" width="13" style="98" customWidth="1"/>
    <col min="14091" max="14092" width="0" style="98" hidden="1" customWidth="1"/>
    <col min="14093" max="14093" width="9.140625" style="98"/>
    <col min="14094" max="14094" width="9.5703125" style="98" bestFit="1" customWidth="1"/>
    <col min="14095" max="14335" width="9.140625" style="98"/>
    <col min="14336" max="14336" width="13.140625" style="98" customWidth="1"/>
    <col min="14337" max="14337" width="12.85546875" style="98" customWidth="1"/>
    <col min="14338" max="14338" width="43.85546875" style="98" customWidth="1"/>
    <col min="14339" max="14339" width="9.140625" style="98" customWidth="1"/>
    <col min="14340" max="14340" width="7.140625" style="98" customWidth="1"/>
    <col min="14341" max="14341" width="10.42578125" style="98" customWidth="1"/>
    <col min="14342" max="14342" width="10" style="98" customWidth="1"/>
    <col min="14343" max="14344" width="15.42578125" style="98" customWidth="1"/>
    <col min="14345" max="14345" width="10" style="98" customWidth="1"/>
    <col min="14346" max="14346" width="13" style="98" customWidth="1"/>
    <col min="14347" max="14348" width="0" style="98" hidden="1" customWidth="1"/>
    <col min="14349" max="14349" width="9.140625" style="98"/>
    <col min="14350" max="14350" width="9.5703125" style="98" bestFit="1" customWidth="1"/>
    <col min="14351" max="14591" width="9.140625" style="98"/>
    <col min="14592" max="14592" width="13.140625" style="98" customWidth="1"/>
    <col min="14593" max="14593" width="12.85546875" style="98" customWidth="1"/>
    <col min="14594" max="14594" width="43.85546875" style="98" customWidth="1"/>
    <col min="14595" max="14595" width="9.140625" style="98" customWidth="1"/>
    <col min="14596" max="14596" width="7.140625" style="98" customWidth="1"/>
    <col min="14597" max="14597" width="10.42578125" style="98" customWidth="1"/>
    <col min="14598" max="14598" width="10" style="98" customWidth="1"/>
    <col min="14599" max="14600" width="15.42578125" style="98" customWidth="1"/>
    <col min="14601" max="14601" width="10" style="98" customWidth="1"/>
    <col min="14602" max="14602" width="13" style="98" customWidth="1"/>
    <col min="14603" max="14604" width="0" style="98" hidden="1" customWidth="1"/>
    <col min="14605" max="14605" width="9.140625" style="98"/>
    <col min="14606" max="14606" width="9.5703125" style="98" bestFit="1" customWidth="1"/>
    <col min="14607" max="14847" width="9.140625" style="98"/>
    <col min="14848" max="14848" width="13.140625" style="98" customWidth="1"/>
    <col min="14849" max="14849" width="12.85546875" style="98" customWidth="1"/>
    <col min="14850" max="14850" width="43.85546875" style="98" customWidth="1"/>
    <col min="14851" max="14851" width="9.140625" style="98" customWidth="1"/>
    <col min="14852" max="14852" width="7.140625" style="98" customWidth="1"/>
    <col min="14853" max="14853" width="10.42578125" style="98" customWidth="1"/>
    <col min="14854" max="14854" width="10" style="98" customWidth="1"/>
    <col min="14855" max="14856" width="15.42578125" style="98" customWidth="1"/>
    <col min="14857" max="14857" width="10" style="98" customWidth="1"/>
    <col min="14858" max="14858" width="13" style="98" customWidth="1"/>
    <col min="14859" max="14860" width="0" style="98" hidden="1" customWidth="1"/>
    <col min="14861" max="14861" width="9.140625" style="98"/>
    <col min="14862" max="14862" width="9.5703125" style="98" bestFit="1" customWidth="1"/>
    <col min="14863" max="15103" width="9.140625" style="98"/>
    <col min="15104" max="15104" width="13.140625" style="98" customWidth="1"/>
    <col min="15105" max="15105" width="12.85546875" style="98" customWidth="1"/>
    <col min="15106" max="15106" width="43.85546875" style="98" customWidth="1"/>
    <col min="15107" max="15107" width="9.140625" style="98" customWidth="1"/>
    <col min="15108" max="15108" width="7.140625" style="98" customWidth="1"/>
    <col min="15109" max="15109" width="10.42578125" style="98" customWidth="1"/>
    <col min="15110" max="15110" width="10" style="98" customWidth="1"/>
    <col min="15111" max="15112" width="15.42578125" style="98" customWidth="1"/>
    <col min="15113" max="15113" width="10" style="98" customWidth="1"/>
    <col min="15114" max="15114" width="13" style="98" customWidth="1"/>
    <col min="15115" max="15116" width="0" style="98" hidden="1" customWidth="1"/>
    <col min="15117" max="15117" width="9.140625" style="98"/>
    <col min="15118" max="15118" width="9.5703125" style="98" bestFit="1" customWidth="1"/>
    <col min="15119" max="15359" width="9.140625" style="98"/>
    <col min="15360" max="15360" width="13.140625" style="98" customWidth="1"/>
    <col min="15361" max="15361" width="12.85546875" style="98" customWidth="1"/>
    <col min="15362" max="15362" width="43.85546875" style="98" customWidth="1"/>
    <col min="15363" max="15363" width="9.140625" style="98" customWidth="1"/>
    <col min="15364" max="15364" width="7.140625" style="98" customWidth="1"/>
    <col min="15365" max="15365" width="10.42578125" style="98" customWidth="1"/>
    <col min="15366" max="15366" width="10" style="98" customWidth="1"/>
    <col min="15367" max="15368" width="15.42578125" style="98" customWidth="1"/>
    <col min="15369" max="15369" width="10" style="98" customWidth="1"/>
    <col min="15370" max="15370" width="13" style="98" customWidth="1"/>
    <col min="15371" max="15372" width="0" style="98" hidden="1" customWidth="1"/>
    <col min="15373" max="15373" width="9.140625" style="98"/>
    <col min="15374" max="15374" width="9.5703125" style="98" bestFit="1" customWidth="1"/>
    <col min="15375" max="15615" width="9.140625" style="98"/>
    <col min="15616" max="15616" width="13.140625" style="98" customWidth="1"/>
    <col min="15617" max="15617" width="12.85546875" style="98" customWidth="1"/>
    <col min="15618" max="15618" width="43.85546875" style="98" customWidth="1"/>
    <col min="15619" max="15619" width="9.140625" style="98" customWidth="1"/>
    <col min="15620" max="15620" width="7.140625" style="98" customWidth="1"/>
    <col min="15621" max="15621" width="10.42578125" style="98" customWidth="1"/>
    <col min="15622" max="15622" width="10" style="98" customWidth="1"/>
    <col min="15623" max="15624" width="15.42578125" style="98" customWidth="1"/>
    <col min="15625" max="15625" width="10" style="98" customWidth="1"/>
    <col min="15626" max="15626" width="13" style="98" customWidth="1"/>
    <col min="15627" max="15628" width="0" style="98" hidden="1" customWidth="1"/>
    <col min="15629" max="15629" width="9.140625" style="98"/>
    <col min="15630" max="15630" width="9.5703125" style="98" bestFit="1" customWidth="1"/>
    <col min="15631" max="15871" width="9.140625" style="98"/>
    <col min="15872" max="15872" width="13.140625" style="98" customWidth="1"/>
    <col min="15873" max="15873" width="12.85546875" style="98" customWidth="1"/>
    <col min="15874" max="15874" width="43.85546875" style="98" customWidth="1"/>
    <col min="15875" max="15875" width="9.140625" style="98" customWidth="1"/>
    <col min="15876" max="15876" width="7.140625" style="98" customWidth="1"/>
    <col min="15877" max="15877" width="10.42578125" style="98" customWidth="1"/>
    <col min="15878" max="15878" width="10" style="98" customWidth="1"/>
    <col min="15879" max="15880" width="15.42578125" style="98" customWidth="1"/>
    <col min="15881" max="15881" width="10" style="98" customWidth="1"/>
    <col min="15882" max="15882" width="13" style="98" customWidth="1"/>
    <col min="15883" max="15884" width="0" style="98" hidden="1" customWidth="1"/>
    <col min="15885" max="15885" width="9.140625" style="98"/>
    <col min="15886" max="15886" width="9.5703125" style="98" bestFit="1" customWidth="1"/>
    <col min="15887" max="16127" width="9.140625" style="98"/>
    <col min="16128" max="16128" width="13.140625" style="98" customWidth="1"/>
    <col min="16129" max="16129" width="12.85546875" style="98" customWidth="1"/>
    <col min="16130" max="16130" width="43.85546875" style="98" customWidth="1"/>
    <col min="16131" max="16131" width="9.140625" style="98" customWidth="1"/>
    <col min="16132" max="16132" width="7.140625" style="98" customWidth="1"/>
    <col min="16133" max="16133" width="10.42578125" style="98" customWidth="1"/>
    <col min="16134" max="16134" width="10" style="98" customWidth="1"/>
    <col min="16135" max="16136" width="15.42578125" style="98" customWidth="1"/>
    <col min="16137" max="16137" width="10" style="98" customWidth="1"/>
    <col min="16138" max="16138" width="13" style="98" customWidth="1"/>
    <col min="16139" max="16140" width="0" style="98" hidden="1" customWidth="1"/>
    <col min="16141" max="16141" width="9.140625" style="98"/>
    <col min="16142" max="16142" width="9.5703125" style="98" bestFit="1" customWidth="1"/>
    <col min="16143" max="16384" width="9.140625" style="98"/>
  </cols>
  <sheetData>
    <row r="1" spans="1:24" s="133" customFormat="1" ht="15.75">
      <c r="A1" s="814"/>
      <c r="B1" s="814"/>
      <c r="C1" s="814"/>
      <c r="D1" s="814"/>
      <c r="E1" s="814"/>
      <c r="F1" s="814"/>
      <c r="G1" s="814"/>
      <c r="H1" s="814"/>
      <c r="I1" s="814"/>
      <c r="J1" s="814"/>
      <c r="K1" s="680"/>
      <c r="L1" s="684"/>
    </row>
    <row r="2" spans="1:24" s="136" customFormat="1" ht="18.75">
      <c r="A2" s="882" t="s">
        <v>3765</v>
      </c>
      <c r="B2" s="882"/>
      <c r="C2" s="882"/>
      <c r="D2" s="882"/>
      <c r="E2" s="882"/>
      <c r="F2" s="882"/>
      <c r="G2" s="882"/>
      <c r="H2" s="882"/>
      <c r="I2" s="882"/>
      <c r="J2" s="882"/>
      <c r="K2" s="674"/>
      <c r="L2" s="685"/>
      <c r="M2" s="134"/>
      <c r="N2" s="134"/>
      <c r="O2" s="135"/>
      <c r="P2" s="134"/>
      <c r="Q2" s="134"/>
      <c r="R2" s="134"/>
      <c r="S2" s="134"/>
      <c r="T2" s="134"/>
      <c r="U2" s="134"/>
      <c r="V2" s="134"/>
      <c r="W2" s="134"/>
      <c r="X2" s="134"/>
    </row>
    <row r="3" spans="1:24" s="136" customFormat="1" ht="18.75">
      <c r="A3" s="882" t="s">
        <v>3766</v>
      </c>
      <c r="B3" s="882"/>
      <c r="C3" s="882"/>
      <c r="D3" s="882"/>
      <c r="E3" s="882"/>
      <c r="F3" s="882"/>
      <c r="G3" s="882"/>
      <c r="H3" s="882"/>
      <c r="I3" s="882"/>
      <c r="J3" s="882"/>
      <c r="K3" s="674"/>
      <c r="L3" s="685"/>
      <c r="M3" s="134"/>
      <c r="N3" s="134"/>
      <c r="O3" s="135"/>
      <c r="P3" s="134"/>
      <c r="Q3" s="134"/>
      <c r="R3" s="134"/>
      <c r="S3" s="134"/>
      <c r="T3" s="134"/>
      <c r="U3" s="134"/>
      <c r="V3" s="134"/>
      <c r="W3" s="134"/>
      <c r="X3" s="134"/>
    </row>
    <row r="4" spans="1:24" s="136" customFormat="1" ht="18.75">
      <c r="A4" s="882" t="s">
        <v>3768</v>
      </c>
      <c r="B4" s="882"/>
      <c r="C4" s="882"/>
      <c r="D4" s="882"/>
      <c r="E4" s="882"/>
      <c r="F4" s="882"/>
      <c r="G4" s="882"/>
      <c r="H4" s="882"/>
      <c r="I4" s="882"/>
      <c r="J4" s="882"/>
      <c r="K4" s="674"/>
      <c r="L4" s="686"/>
      <c r="M4" s="137"/>
      <c r="N4" s="135"/>
      <c r="O4" s="134"/>
      <c r="P4" s="134"/>
      <c r="Q4" s="134"/>
      <c r="R4" s="134"/>
      <c r="S4" s="134"/>
      <c r="T4" s="134"/>
      <c r="U4" s="134"/>
      <c r="V4" s="134"/>
      <c r="W4" s="134"/>
      <c r="X4" s="134"/>
    </row>
    <row r="5" spans="1:24" s="136" customFormat="1" ht="18.75">
      <c r="A5" s="882" t="s">
        <v>196</v>
      </c>
      <c r="B5" s="882"/>
      <c r="C5" s="882"/>
      <c r="D5" s="882"/>
      <c r="E5" s="882"/>
      <c r="F5" s="882"/>
      <c r="G5" s="882"/>
      <c r="H5" s="882"/>
      <c r="I5" s="882"/>
      <c r="J5" s="882"/>
      <c r="K5" s="674"/>
      <c r="L5" s="687"/>
      <c r="M5" s="134"/>
      <c r="N5" s="135"/>
      <c r="O5" s="134"/>
      <c r="P5" s="134"/>
      <c r="Q5" s="134"/>
      <c r="R5" s="134"/>
      <c r="S5" s="134"/>
      <c r="T5" s="134"/>
      <c r="U5" s="134"/>
      <c r="V5" s="134"/>
      <c r="W5" s="134"/>
      <c r="X5" s="134"/>
    </row>
    <row r="6" spans="1:24" s="138" customFormat="1" ht="25.5">
      <c r="A6" s="311" t="s">
        <v>101</v>
      </c>
      <c r="B6" s="294" t="str">
        <f>'018-21-CCU''s'!C6</f>
        <v>018/2021-SEORÇA-SDS</v>
      </c>
      <c r="C6" s="305"/>
      <c r="D6" s="305"/>
      <c r="E6" s="691"/>
      <c r="F6" s="346"/>
      <c r="G6" s="346"/>
      <c r="H6" s="346"/>
      <c r="I6" s="327" t="s">
        <v>61</v>
      </c>
      <c r="J6" s="346">
        <f>'018-21-CAPA'!E20</f>
        <v>44389</v>
      </c>
      <c r="K6" s="681"/>
      <c r="L6" s="688"/>
      <c r="M6" s="139"/>
      <c r="N6" s="139"/>
      <c r="O6" s="139"/>
      <c r="P6" s="139"/>
      <c r="Q6" s="139"/>
      <c r="R6" s="139"/>
      <c r="S6" s="139"/>
      <c r="T6" s="139"/>
      <c r="U6" s="139"/>
    </row>
    <row r="7" spans="1:24" s="138" customFormat="1" ht="25.5">
      <c r="A7" s="311" t="s">
        <v>13</v>
      </c>
      <c r="B7" s="810" t="s">
        <v>24736</v>
      </c>
      <c r="C7" s="810"/>
      <c r="D7" s="810"/>
      <c r="E7" s="810"/>
      <c r="F7" s="810"/>
      <c r="G7" s="296"/>
      <c r="H7" s="296"/>
      <c r="I7" s="311" t="s">
        <v>16</v>
      </c>
      <c r="J7" s="329" t="str">
        <f>'018-21-CCU''s'!H7</f>
        <v>PROJ-DE-045-20</v>
      </c>
      <c r="K7" s="681"/>
      <c r="L7" s="688"/>
      <c r="M7" s="139"/>
      <c r="N7" s="139"/>
      <c r="O7" s="139"/>
      <c r="P7" s="139"/>
      <c r="Q7" s="139"/>
      <c r="R7" s="139"/>
      <c r="S7" s="139"/>
      <c r="T7" s="139"/>
      <c r="U7" s="139"/>
    </row>
    <row r="8" spans="1:24" s="138" customFormat="1" ht="25.5">
      <c r="A8" s="311" t="s">
        <v>102</v>
      </c>
      <c r="B8" s="295" t="str">
        <f>'018-21-CCU''s'!C8</f>
        <v>horista=113,69% / mensalista=73,06%</v>
      </c>
      <c r="C8" s="347"/>
      <c r="D8" s="347" t="s">
        <v>66</v>
      </c>
      <c r="E8" s="692" t="s">
        <v>11585</v>
      </c>
      <c r="F8" s="347" t="s">
        <v>66</v>
      </c>
      <c r="G8" s="296" t="s">
        <v>8982</v>
      </c>
      <c r="H8" s="296"/>
      <c r="I8" s="327" t="s">
        <v>68</v>
      </c>
      <c r="J8" s="297" t="str">
        <f>'018-21-CCU''s'!H8</f>
        <v>SINAPI MAIO 2021</v>
      </c>
      <c r="K8" s="681"/>
      <c r="L8" s="688"/>
      <c r="M8" s="139"/>
      <c r="N8" s="139"/>
      <c r="O8" s="139"/>
      <c r="P8" s="139"/>
      <c r="Q8" s="139"/>
      <c r="R8" s="139"/>
      <c r="S8" s="139"/>
      <c r="T8" s="139"/>
      <c r="U8" s="139"/>
    </row>
    <row r="9" spans="1:24" s="94" customFormat="1">
      <c r="A9" s="342"/>
      <c r="B9" s="96"/>
      <c r="C9" s="348"/>
      <c r="D9" s="348"/>
      <c r="E9" s="348"/>
      <c r="F9" s="349"/>
      <c r="G9" s="349"/>
      <c r="H9" s="349"/>
      <c r="I9" s="350"/>
      <c r="J9" s="350"/>
      <c r="K9" s="682"/>
      <c r="L9" s="689"/>
      <c r="M9" s="93"/>
      <c r="N9" s="93"/>
      <c r="P9" s="95"/>
    </row>
    <row r="10" spans="1:24" s="94" customFormat="1" ht="22.5">
      <c r="A10" s="189" t="s">
        <v>0</v>
      </c>
      <c r="B10" s="190" t="s">
        <v>1</v>
      </c>
      <c r="C10" s="187" t="s">
        <v>200</v>
      </c>
      <c r="D10" s="187" t="s">
        <v>2</v>
      </c>
      <c r="E10" s="187" t="s">
        <v>9606</v>
      </c>
      <c r="F10" s="188" t="s">
        <v>30</v>
      </c>
      <c r="G10" s="188" t="s">
        <v>9034</v>
      </c>
      <c r="H10" s="188" t="s">
        <v>9035</v>
      </c>
      <c r="I10" s="188" t="s">
        <v>174</v>
      </c>
      <c r="J10" s="188" t="s">
        <v>175</v>
      </c>
      <c r="K10" s="682"/>
      <c r="L10" s="689"/>
      <c r="M10" s="93"/>
      <c r="N10" s="93"/>
      <c r="P10" s="95"/>
    </row>
    <row r="11" spans="1:24" s="94" customFormat="1" ht="51">
      <c r="A11" s="343" t="s">
        <v>15498</v>
      </c>
      <c r="B11" s="147" t="s">
        <v>17540</v>
      </c>
      <c r="C11" s="351" t="s">
        <v>193</v>
      </c>
      <c r="D11" s="351">
        <v>1496.08</v>
      </c>
      <c r="E11" s="351">
        <v>230.73</v>
      </c>
      <c r="F11" s="352">
        <v>0.2094</v>
      </c>
      <c r="G11" s="353">
        <f t="shared" ref="G11:G74" si="0">(E11*(1+F11))</f>
        <v>279.04486199999997</v>
      </c>
      <c r="H11" s="353">
        <f t="shared" ref="H11:H74" si="1">G11*D11</f>
        <v>417473.43714095996</v>
      </c>
      <c r="I11" s="354">
        <f t="shared" ref="I11:I42" si="2">H11/$F$772</f>
        <v>8.3926751748437986E-2</v>
      </c>
      <c r="J11" s="354">
        <f>I11</f>
        <v>8.3926751748437986E-2</v>
      </c>
      <c r="K11" s="682">
        <f>'018-21-CAPA'!$F$37</f>
        <v>4974259.4398541162</v>
      </c>
      <c r="L11" s="689">
        <f t="shared" ref="L11:L16" si="3">K11-$F$772</f>
        <v>7.4505805969238281E-9</v>
      </c>
      <c r="M11" s="228"/>
      <c r="N11" s="93"/>
      <c r="P11" s="95"/>
    </row>
    <row r="12" spans="1:24" s="94" customFormat="1" ht="63.75">
      <c r="A12" s="343" t="s">
        <v>9011</v>
      </c>
      <c r="B12" s="147" t="s">
        <v>24881</v>
      </c>
      <c r="C12" s="351" t="s">
        <v>10</v>
      </c>
      <c r="D12" s="351">
        <v>1</v>
      </c>
      <c r="E12" s="351">
        <v>238677.84000000003</v>
      </c>
      <c r="F12" s="352">
        <v>0.2094</v>
      </c>
      <c r="G12" s="353">
        <f t="shared" si="0"/>
        <v>288656.97969600005</v>
      </c>
      <c r="H12" s="353">
        <f t="shared" si="1"/>
        <v>288656.97969600005</v>
      </c>
      <c r="I12" s="354">
        <f t="shared" si="2"/>
        <v>5.8030141609273632E-2</v>
      </c>
      <c r="J12" s="354">
        <f>I12+J11</f>
        <v>0.14195689335771161</v>
      </c>
      <c r="K12" s="682">
        <f>'018-21-CAPA'!$F$37</f>
        <v>4974259.4398541162</v>
      </c>
      <c r="L12" s="689">
        <f t="shared" si="3"/>
        <v>7.4505805969238281E-9</v>
      </c>
      <c r="M12" s="228"/>
      <c r="N12" s="93"/>
      <c r="P12" s="95"/>
    </row>
    <row r="13" spans="1:24" s="94" customFormat="1" ht="51">
      <c r="A13" s="343">
        <v>39511</v>
      </c>
      <c r="B13" s="147" t="s">
        <v>6490</v>
      </c>
      <c r="C13" s="351" t="s">
        <v>3242</v>
      </c>
      <c r="D13" s="351">
        <v>789.91</v>
      </c>
      <c r="E13" s="351" t="s">
        <v>19797</v>
      </c>
      <c r="F13" s="352">
        <v>0.2094</v>
      </c>
      <c r="G13" s="353">
        <f t="shared" si="0"/>
        <v>145.394068</v>
      </c>
      <c r="H13" s="353">
        <f t="shared" si="1"/>
        <v>114848.22825387999</v>
      </c>
      <c r="I13" s="354">
        <f t="shared" si="2"/>
        <v>2.3088507875907736E-2</v>
      </c>
      <c r="J13" s="354">
        <f t="shared" ref="J13:J76" si="4">I13+J12</f>
        <v>0.16504540123361935</v>
      </c>
      <c r="K13" s="682">
        <f>'018-21-CAPA'!$F$37</f>
        <v>4974259.4398541162</v>
      </c>
      <c r="L13" s="689">
        <f t="shared" si="3"/>
        <v>7.4505805969238281E-9</v>
      </c>
      <c r="M13" s="228"/>
      <c r="N13" s="93"/>
      <c r="P13" s="95"/>
    </row>
    <row r="14" spans="1:24" s="94" customFormat="1" ht="51">
      <c r="A14" s="343" t="s">
        <v>14328</v>
      </c>
      <c r="B14" s="147" t="s">
        <v>17005</v>
      </c>
      <c r="C14" s="351" t="s">
        <v>109</v>
      </c>
      <c r="D14" s="351">
        <v>101</v>
      </c>
      <c r="E14" s="351">
        <v>872.76</v>
      </c>
      <c r="F14" s="352">
        <v>0.2094</v>
      </c>
      <c r="G14" s="353">
        <f t="shared" si="0"/>
        <v>1055.515944</v>
      </c>
      <c r="H14" s="353">
        <f t="shared" si="1"/>
        <v>106607.110344</v>
      </c>
      <c r="I14" s="354">
        <f t="shared" si="2"/>
        <v>2.1431755145269765E-2</v>
      </c>
      <c r="J14" s="354">
        <f t="shared" si="4"/>
        <v>0.18647715637888912</v>
      </c>
      <c r="K14" s="682">
        <f>'018-21-CAPA'!$F$37</f>
        <v>4974259.4398541162</v>
      </c>
      <c r="L14" s="689">
        <f t="shared" si="3"/>
        <v>7.4505805969238281E-9</v>
      </c>
      <c r="M14" s="228"/>
      <c r="N14" s="93"/>
      <c r="P14" s="95"/>
    </row>
    <row r="15" spans="1:24" s="94" customFormat="1" ht="51">
      <c r="A15" s="343" t="s">
        <v>14541</v>
      </c>
      <c r="B15" s="147" t="s">
        <v>16714</v>
      </c>
      <c r="C15" s="351" t="s">
        <v>109</v>
      </c>
      <c r="D15" s="351">
        <v>1</v>
      </c>
      <c r="E15" s="351">
        <v>92800</v>
      </c>
      <c r="F15" s="352">
        <v>0.1089</v>
      </c>
      <c r="G15" s="353">
        <f t="shared" si="0"/>
        <v>102905.92</v>
      </c>
      <c r="H15" s="353">
        <f t="shared" si="1"/>
        <v>102905.92</v>
      </c>
      <c r="I15" s="354">
        <f t="shared" si="2"/>
        <v>2.0687686527869995E-2</v>
      </c>
      <c r="J15" s="354">
        <f t="shared" si="4"/>
        <v>0.20716484290675913</v>
      </c>
      <c r="K15" s="682">
        <f>'018-21-CAPA'!$F$37</f>
        <v>4974259.4398541162</v>
      </c>
      <c r="L15" s="689">
        <f t="shared" si="3"/>
        <v>7.4505805969238281E-9</v>
      </c>
      <c r="M15" s="228"/>
      <c r="N15" s="93"/>
      <c r="P15" s="95"/>
    </row>
    <row r="16" spans="1:24" s="94" customFormat="1" ht="25.5">
      <c r="A16" s="343" t="s">
        <v>17843</v>
      </c>
      <c r="B16" s="147" t="s">
        <v>17840</v>
      </c>
      <c r="C16" s="351" t="s">
        <v>109</v>
      </c>
      <c r="D16" s="351">
        <v>2</v>
      </c>
      <c r="E16" s="351">
        <v>43753.601350000004</v>
      </c>
      <c r="F16" s="352">
        <v>0.1089</v>
      </c>
      <c r="G16" s="353">
        <f t="shared" si="0"/>
        <v>48518.368537015005</v>
      </c>
      <c r="H16" s="353">
        <f t="shared" si="1"/>
        <v>97036.73707403001</v>
      </c>
      <c r="I16" s="354">
        <f t="shared" si="2"/>
        <v>1.9507775629185119E-2</v>
      </c>
      <c r="J16" s="354">
        <f t="shared" si="4"/>
        <v>0.22667261853594425</v>
      </c>
      <c r="K16" s="682">
        <f>'018-21-CAPA'!$F$37</f>
        <v>4974259.4398541162</v>
      </c>
      <c r="L16" s="689">
        <f t="shared" si="3"/>
        <v>7.4505805969238281E-9</v>
      </c>
      <c r="M16" s="228"/>
      <c r="N16" s="93"/>
      <c r="P16" s="95"/>
    </row>
    <row r="17" spans="1:16" s="94" customFormat="1" ht="38.25">
      <c r="A17" s="343" t="s">
        <v>15506</v>
      </c>
      <c r="B17" s="147" t="s">
        <v>17569</v>
      </c>
      <c r="C17" s="351" t="s">
        <v>193</v>
      </c>
      <c r="D17" s="351">
        <v>832.93</v>
      </c>
      <c r="E17" s="351">
        <v>95.11</v>
      </c>
      <c r="F17" s="352">
        <v>0.2094</v>
      </c>
      <c r="G17" s="353">
        <f t="shared" si="0"/>
        <v>115.026034</v>
      </c>
      <c r="H17" s="353">
        <f t="shared" si="1"/>
        <v>95808.634499619991</v>
      </c>
      <c r="I17" s="354">
        <f t="shared" si="2"/>
        <v>1.9260884088995161E-2</v>
      </c>
      <c r="J17" s="354">
        <f t="shared" si="4"/>
        <v>0.2459335026249394</v>
      </c>
      <c r="K17" s="682">
        <f>'018-21-CAPA'!$F$37</f>
        <v>4974259.4398541162</v>
      </c>
      <c r="L17" s="689">
        <f t="shared" ref="L17:L18" si="5">K17-$F$772</f>
        <v>7.4505805969238281E-9</v>
      </c>
      <c r="M17" s="228"/>
      <c r="N17" s="93"/>
      <c r="P17" s="95"/>
    </row>
    <row r="18" spans="1:16" s="94" customFormat="1" ht="51">
      <c r="A18" s="343" t="s">
        <v>24753</v>
      </c>
      <c r="B18" s="147" t="s">
        <v>24760</v>
      </c>
      <c r="C18" s="351" t="s">
        <v>3244</v>
      </c>
      <c r="D18" s="351">
        <v>6174</v>
      </c>
      <c r="E18" s="351">
        <v>11.48</v>
      </c>
      <c r="F18" s="352">
        <v>0.2094</v>
      </c>
      <c r="G18" s="353">
        <f t="shared" si="0"/>
        <v>13.883912</v>
      </c>
      <c r="H18" s="353">
        <f t="shared" si="1"/>
        <v>85719.272687999997</v>
      </c>
      <c r="I18" s="354">
        <f t="shared" si="2"/>
        <v>1.7232569737157512E-2</v>
      </c>
      <c r="J18" s="354">
        <f t="shared" si="4"/>
        <v>0.26316607236209694</v>
      </c>
      <c r="K18" s="682">
        <f>'018-21-CAPA'!$F$37</f>
        <v>4974259.4398541162</v>
      </c>
      <c r="L18" s="689">
        <f t="shared" si="5"/>
        <v>7.4505805969238281E-9</v>
      </c>
      <c r="M18" s="228"/>
      <c r="N18" s="93"/>
      <c r="P18" s="95"/>
    </row>
    <row r="19" spans="1:16" s="94" customFormat="1" ht="38.25">
      <c r="A19" s="343" t="s">
        <v>17891</v>
      </c>
      <c r="B19" s="147" t="s">
        <v>18087</v>
      </c>
      <c r="C19" s="351" t="s">
        <v>109</v>
      </c>
      <c r="D19" s="351">
        <v>84</v>
      </c>
      <c r="E19" s="351">
        <v>859.77</v>
      </c>
      <c r="F19" s="352">
        <v>0.1089</v>
      </c>
      <c r="G19" s="353">
        <f t="shared" si="0"/>
        <v>953.39895300000001</v>
      </c>
      <c r="H19" s="353">
        <f t="shared" si="1"/>
        <v>80085.512052000005</v>
      </c>
      <c r="I19" s="354">
        <f t="shared" si="2"/>
        <v>1.6099986946870801E-2</v>
      </c>
      <c r="J19" s="354">
        <f t="shared" si="4"/>
        <v>0.27926605930896775</v>
      </c>
      <c r="K19" s="682">
        <f>'018-21-CAPA'!$F$37</f>
        <v>4974259.4398541162</v>
      </c>
      <c r="L19" s="689">
        <f t="shared" ref="L19:L20" si="6">K19-$F$772</f>
        <v>7.4505805969238281E-9</v>
      </c>
      <c r="M19" s="228"/>
      <c r="N19" s="93"/>
      <c r="P19" s="95"/>
    </row>
    <row r="20" spans="1:16" s="94" customFormat="1" ht="76.5">
      <c r="A20" s="343">
        <v>87519</v>
      </c>
      <c r="B20" s="147" t="s">
        <v>2552</v>
      </c>
      <c r="C20" s="351" t="s">
        <v>193</v>
      </c>
      <c r="D20" s="351">
        <v>763.14</v>
      </c>
      <c r="E20" s="351" t="s">
        <v>23742</v>
      </c>
      <c r="F20" s="352">
        <v>0.2094</v>
      </c>
      <c r="G20" s="353">
        <f t="shared" si="0"/>
        <v>96.594778000000005</v>
      </c>
      <c r="H20" s="353">
        <f t="shared" si="1"/>
        <v>73715.338882919998</v>
      </c>
      <c r="I20" s="354">
        <f t="shared" si="2"/>
        <v>1.4819359499488031E-2</v>
      </c>
      <c r="J20" s="354">
        <f t="shared" si="4"/>
        <v>0.29408541880845579</v>
      </c>
      <c r="K20" s="682">
        <f>'018-21-CAPA'!$F$37</f>
        <v>4974259.4398541162</v>
      </c>
      <c r="L20" s="689">
        <f t="shared" si="6"/>
        <v>7.4505805969238281E-9</v>
      </c>
      <c r="M20" s="228"/>
      <c r="N20" s="93"/>
      <c r="P20" s="95"/>
    </row>
    <row r="21" spans="1:16" s="94" customFormat="1" ht="38.25">
      <c r="A21" s="343" t="s">
        <v>14614</v>
      </c>
      <c r="B21" s="147" t="s">
        <v>17329</v>
      </c>
      <c r="C21" s="351" t="s">
        <v>109</v>
      </c>
      <c r="D21" s="351">
        <v>2</v>
      </c>
      <c r="E21" s="351">
        <v>31990</v>
      </c>
      <c r="F21" s="352">
        <v>0.1089</v>
      </c>
      <c r="G21" s="353">
        <f t="shared" si="0"/>
        <v>35473.711000000003</v>
      </c>
      <c r="H21" s="353">
        <f t="shared" si="1"/>
        <v>70947.422000000006</v>
      </c>
      <c r="I21" s="354">
        <f t="shared" si="2"/>
        <v>1.4262911466089682E-2</v>
      </c>
      <c r="J21" s="354">
        <f t="shared" si="4"/>
        <v>0.30834833027454545</v>
      </c>
      <c r="K21" s="682">
        <f>'018-21-CAPA'!$F$37</f>
        <v>4974259.4398541162</v>
      </c>
      <c r="L21" s="689">
        <f t="shared" ref="L21:L54" si="7">K21-$F$772</f>
        <v>7.4505805969238281E-9</v>
      </c>
      <c r="M21" s="228"/>
      <c r="N21" s="93"/>
      <c r="P21" s="95"/>
    </row>
    <row r="22" spans="1:16" s="94" customFormat="1" ht="51">
      <c r="A22" s="343" t="s">
        <v>15507</v>
      </c>
      <c r="B22" s="147" t="s">
        <v>17576</v>
      </c>
      <c r="C22" s="351" t="s">
        <v>193</v>
      </c>
      <c r="D22" s="351">
        <v>492.95</v>
      </c>
      <c r="E22" s="351">
        <v>109.12</v>
      </c>
      <c r="F22" s="352">
        <v>0.2094</v>
      </c>
      <c r="G22" s="353">
        <f t="shared" si="0"/>
        <v>131.969728</v>
      </c>
      <c r="H22" s="353">
        <f t="shared" si="1"/>
        <v>65054.477417599999</v>
      </c>
      <c r="I22" s="354">
        <f t="shared" si="2"/>
        <v>1.3078223643981866E-2</v>
      </c>
      <c r="J22" s="354">
        <f t="shared" si="4"/>
        <v>0.32142655391852731</v>
      </c>
      <c r="K22" s="682">
        <f>'018-21-CAPA'!$F$37</f>
        <v>4974259.4398541162</v>
      </c>
      <c r="L22" s="689">
        <f t="shared" si="7"/>
        <v>7.4505805969238281E-9</v>
      </c>
      <c r="M22" s="228"/>
      <c r="N22" s="93"/>
      <c r="P22" s="95"/>
    </row>
    <row r="23" spans="1:16" s="94" customFormat="1" ht="51">
      <c r="A23" s="343" t="s">
        <v>9642</v>
      </c>
      <c r="B23" s="147" t="s">
        <v>24749</v>
      </c>
      <c r="C23" s="351" t="s">
        <v>3244</v>
      </c>
      <c r="D23" s="351">
        <v>3734.5</v>
      </c>
      <c r="E23" s="351">
        <v>11.96</v>
      </c>
      <c r="F23" s="352">
        <v>0.2094</v>
      </c>
      <c r="G23" s="353">
        <f t="shared" si="0"/>
        <v>14.464424000000001</v>
      </c>
      <c r="H23" s="353">
        <f t="shared" si="1"/>
        <v>54017.391428000003</v>
      </c>
      <c r="I23" s="354">
        <f t="shared" si="2"/>
        <v>1.0859383608986887E-2</v>
      </c>
      <c r="J23" s="354">
        <f t="shared" si="4"/>
        <v>0.33228593752751417</v>
      </c>
      <c r="K23" s="682">
        <f>'018-21-CAPA'!$F$37</f>
        <v>4974259.4398541162</v>
      </c>
      <c r="L23" s="689">
        <f t="shared" si="7"/>
        <v>7.4505805969238281E-9</v>
      </c>
      <c r="M23" s="228"/>
      <c r="N23" s="93"/>
      <c r="P23" s="95"/>
    </row>
    <row r="24" spans="1:16" s="94" customFormat="1" ht="25.5">
      <c r="A24" s="343">
        <v>100716</v>
      </c>
      <c r="B24" s="147" t="s">
        <v>10981</v>
      </c>
      <c r="C24" s="351" t="s">
        <v>193</v>
      </c>
      <c r="D24" s="351">
        <v>1773.64</v>
      </c>
      <c r="E24" s="351" t="s">
        <v>11511</v>
      </c>
      <c r="F24" s="352">
        <v>0.2094</v>
      </c>
      <c r="G24" s="353">
        <f t="shared" si="0"/>
        <v>29.56983</v>
      </c>
      <c r="H24" s="353">
        <f t="shared" si="1"/>
        <v>52446.233281200002</v>
      </c>
      <c r="I24" s="354">
        <f t="shared" si="2"/>
        <v>1.0543525908801052E-2</v>
      </c>
      <c r="J24" s="354">
        <f t="shared" si="4"/>
        <v>0.34282946343631521</v>
      </c>
      <c r="K24" s="682">
        <f>'018-21-CAPA'!$F$37</f>
        <v>4974259.4398541162</v>
      </c>
      <c r="L24" s="689">
        <f t="shared" ref="L24:L25" si="8">K24-$F$772</f>
        <v>7.4505805969238281E-9</v>
      </c>
      <c r="M24" s="228"/>
      <c r="N24" s="93"/>
      <c r="P24" s="95"/>
    </row>
    <row r="25" spans="1:16" s="94" customFormat="1" ht="51">
      <c r="A25" s="343">
        <v>87630</v>
      </c>
      <c r="B25" s="147" t="s">
        <v>2766</v>
      </c>
      <c r="C25" s="351" t="s">
        <v>193</v>
      </c>
      <c r="D25" s="351">
        <v>1155.97</v>
      </c>
      <c r="E25" s="351" t="s">
        <v>15967</v>
      </c>
      <c r="F25" s="352">
        <v>0.2094</v>
      </c>
      <c r="G25" s="353">
        <f t="shared" si="0"/>
        <v>43.719810000000003</v>
      </c>
      <c r="H25" s="353">
        <f t="shared" si="1"/>
        <v>50538.788765700003</v>
      </c>
      <c r="I25" s="354">
        <f t="shared" si="2"/>
        <v>1.0160062895147717E-2</v>
      </c>
      <c r="J25" s="354">
        <f t="shared" si="4"/>
        <v>0.35298952633146291</v>
      </c>
      <c r="K25" s="682">
        <f>'018-21-CAPA'!$F$37</f>
        <v>4974259.4398541162</v>
      </c>
      <c r="L25" s="689">
        <f t="shared" si="8"/>
        <v>7.4505805969238281E-9</v>
      </c>
      <c r="M25" s="228"/>
      <c r="N25" s="93"/>
      <c r="P25" s="95"/>
    </row>
    <row r="26" spans="1:16" s="94" customFormat="1" ht="38.25">
      <c r="A26" s="343">
        <v>95995</v>
      </c>
      <c r="B26" s="147" t="s">
        <v>9301</v>
      </c>
      <c r="C26" s="351" t="s">
        <v>209</v>
      </c>
      <c r="D26" s="351">
        <v>37.835000000000001</v>
      </c>
      <c r="E26" s="351" t="s">
        <v>23968</v>
      </c>
      <c r="F26" s="352">
        <v>0.2094</v>
      </c>
      <c r="G26" s="353">
        <f t="shared" si="0"/>
        <v>1299.0891040000001</v>
      </c>
      <c r="H26" s="353">
        <f t="shared" si="1"/>
        <v>49151.036249840006</v>
      </c>
      <c r="I26" s="354">
        <f t="shared" si="2"/>
        <v>9.8810761368895491E-3</v>
      </c>
      <c r="J26" s="354">
        <f t="shared" si="4"/>
        <v>0.36287060246835245</v>
      </c>
      <c r="K26" s="682">
        <f>'018-21-CAPA'!$F$37</f>
        <v>4974259.4398541162</v>
      </c>
      <c r="L26" s="689">
        <f t="shared" si="7"/>
        <v>7.4505805969238281E-9</v>
      </c>
      <c r="M26" s="228"/>
      <c r="N26" s="93"/>
      <c r="P26" s="95"/>
    </row>
    <row r="27" spans="1:16" s="94" customFormat="1" ht="25.5">
      <c r="A27" s="343" t="s">
        <v>15505</v>
      </c>
      <c r="B27" s="147" t="s">
        <v>17567</v>
      </c>
      <c r="C27" s="351" t="s">
        <v>193</v>
      </c>
      <c r="D27" s="351">
        <v>368.85</v>
      </c>
      <c r="E27" s="351">
        <v>107.42999999999998</v>
      </c>
      <c r="F27" s="352">
        <v>0.2094</v>
      </c>
      <c r="G27" s="353">
        <f t="shared" si="0"/>
        <v>129.92584199999999</v>
      </c>
      <c r="H27" s="353">
        <f t="shared" si="1"/>
        <v>47923.1468217</v>
      </c>
      <c r="I27" s="354">
        <f t="shared" si="2"/>
        <v>9.6342274465494211E-3</v>
      </c>
      <c r="J27" s="354">
        <f t="shared" si="4"/>
        <v>0.37250482991490186</v>
      </c>
      <c r="K27" s="682">
        <f>'018-21-CAPA'!$F$37</f>
        <v>4974259.4398541162</v>
      </c>
      <c r="L27" s="689">
        <f t="shared" si="7"/>
        <v>7.4505805969238281E-9</v>
      </c>
      <c r="M27" s="228"/>
      <c r="N27" s="93"/>
      <c r="P27" s="95"/>
    </row>
    <row r="28" spans="1:16" s="94" customFormat="1" ht="63.75">
      <c r="A28" s="343">
        <v>87775</v>
      </c>
      <c r="B28" s="147" t="s">
        <v>228</v>
      </c>
      <c r="C28" s="351" t="s">
        <v>193</v>
      </c>
      <c r="D28" s="351">
        <v>755.3</v>
      </c>
      <c r="E28" s="351" t="s">
        <v>16019</v>
      </c>
      <c r="F28" s="352">
        <v>0.2094</v>
      </c>
      <c r="G28" s="353">
        <f t="shared" si="0"/>
        <v>62.030126000000003</v>
      </c>
      <c r="H28" s="353">
        <f t="shared" si="1"/>
        <v>46851.354167799997</v>
      </c>
      <c r="I28" s="354">
        <f t="shared" si="2"/>
        <v>9.4187596634835169E-3</v>
      </c>
      <c r="J28" s="354">
        <f t="shared" si="4"/>
        <v>0.38192358957838535</v>
      </c>
      <c r="K28" s="682">
        <f>'018-21-CAPA'!$F$37</f>
        <v>4974259.4398541162</v>
      </c>
      <c r="L28" s="689">
        <f t="shared" si="7"/>
        <v>7.4505805969238281E-9</v>
      </c>
      <c r="M28" s="228"/>
      <c r="N28" s="93"/>
      <c r="P28" s="95"/>
    </row>
    <row r="29" spans="1:16" s="94" customFormat="1" ht="38.25">
      <c r="A29" s="343" t="s">
        <v>15501</v>
      </c>
      <c r="B29" s="147" t="s">
        <v>17541</v>
      </c>
      <c r="C29" s="351" t="s">
        <v>193</v>
      </c>
      <c r="D29" s="351">
        <v>473.01</v>
      </c>
      <c r="E29" s="351">
        <v>81.759999999999991</v>
      </c>
      <c r="F29" s="352">
        <v>0.2094</v>
      </c>
      <c r="G29" s="353">
        <f t="shared" si="0"/>
        <v>98.880543999999986</v>
      </c>
      <c r="H29" s="353">
        <f t="shared" si="1"/>
        <v>46771.486117439992</v>
      </c>
      <c r="I29" s="354">
        <f t="shared" si="2"/>
        <v>9.4027033939371209E-3</v>
      </c>
      <c r="J29" s="354">
        <f t="shared" si="4"/>
        <v>0.39132629297232246</v>
      </c>
      <c r="K29" s="682">
        <f>'018-21-CAPA'!$F$37</f>
        <v>4974259.4398541162</v>
      </c>
      <c r="L29" s="689">
        <f t="shared" si="7"/>
        <v>7.4505805969238281E-9</v>
      </c>
      <c r="M29" s="228"/>
      <c r="N29" s="93"/>
      <c r="P29" s="95"/>
    </row>
    <row r="30" spans="1:16" s="94" customFormat="1" ht="63.75">
      <c r="A30" s="343" t="s">
        <v>15446</v>
      </c>
      <c r="B30" s="147" t="s">
        <v>15510</v>
      </c>
      <c r="C30" s="351" t="s">
        <v>193</v>
      </c>
      <c r="D30" s="351">
        <v>146.76</v>
      </c>
      <c r="E30" s="351">
        <v>259.97000000000003</v>
      </c>
      <c r="F30" s="352">
        <v>0.2094</v>
      </c>
      <c r="G30" s="353">
        <f t="shared" si="0"/>
        <v>314.40771800000005</v>
      </c>
      <c r="H30" s="353">
        <f t="shared" si="1"/>
        <v>46142.476693680001</v>
      </c>
      <c r="I30" s="354">
        <f t="shared" si="2"/>
        <v>9.2762505156010373E-3</v>
      </c>
      <c r="J30" s="354">
        <f t="shared" si="4"/>
        <v>0.40060254348792351</v>
      </c>
      <c r="K30" s="682">
        <f>'018-21-CAPA'!$F$37</f>
        <v>4974259.4398541162</v>
      </c>
      <c r="L30" s="689">
        <f t="shared" si="7"/>
        <v>7.4505805969238281E-9</v>
      </c>
      <c r="M30" s="228"/>
      <c r="N30" s="93"/>
      <c r="P30" s="95"/>
    </row>
    <row r="31" spans="1:16" s="94" customFormat="1" ht="51">
      <c r="A31" s="343" t="s">
        <v>15220</v>
      </c>
      <c r="B31" s="147" t="s">
        <v>24491</v>
      </c>
      <c r="C31" s="351" t="s">
        <v>3244</v>
      </c>
      <c r="D31" s="351">
        <v>3042.3</v>
      </c>
      <c r="E31" s="351">
        <v>11.96</v>
      </c>
      <c r="F31" s="352">
        <v>0.2094</v>
      </c>
      <c r="G31" s="353">
        <f t="shared" si="0"/>
        <v>14.464424000000001</v>
      </c>
      <c r="H31" s="353">
        <f t="shared" si="1"/>
        <v>44005.117135200009</v>
      </c>
      <c r="I31" s="354">
        <f t="shared" si="2"/>
        <v>8.8465665426752747E-3</v>
      </c>
      <c r="J31" s="354">
        <f t="shared" si="4"/>
        <v>0.40944911003059881</v>
      </c>
      <c r="K31" s="682">
        <f>'018-21-CAPA'!$F$37</f>
        <v>4974259.4398541162</v>
      </c>
      <c r="L31" s="689">
        <f t="shared" si="7"/>
        <v>7.4505805969238281E-9</v>
      </c>
      <c r="M31" s="228"/>
      <c r="N31" s="93"/>
      <c r="P31" s="95"/>
    </row>
    <row r="32" spans="1:16" s="94" customFormat="1" ht="51">
      <c r="A32" s="343" t="s">
        <v>17863</v>
      </c>
      <c r="B32" s="147" t="s">
        <v>17864</v>
      </c>
      <c r="C32" s="351" t="s">
        <v>193</v>
      </c>
      <c r="D32" s="351">
        <v>2223.64</v>
      </c>
      <c r="E32" s="351">
        <v>16.18</v>
      </c>
      <c r="F32" s="352">
        <v>0.2094</v>
      </c>
      <c r="G32" s="353">
        <f t="shared" si="0"/>
        <v>19.568092</v>
      </c>
      <c r="H32" s="353">
        <f t="shared" si="1"/>
        <v>43512.392094880001</v>
      </c>
      <c r="I32" s="354">
        <f t="shared" si="2"/>
        <v>8.7475115886107031E-3</v>
      </c>
      <c r="J32" s="354">
        <f t="shared" si="4"/>
        <v>0.41819662161920951</v>
      </c>
      <c r="K32" s="682">
        <f>'018-21-CAPA'!$F$37</f>
        <v>4974259.4398541162</v>
      </c>
      <c r="L32" s="689">
        <f t="shared" si="7"/>
        <v>7.4505805969238281E-9</v>
      </c>
      <c r="M32" s="228"/>
      <c r="N32" s="93"/>
      <c r="P32" s="95"/>
    </row>
    <row r="33" spans="1:16" s="94" customFormat="1" ht="51">
      <c r="A33" s="343" t="s">
        <v>17866</v>
      </c>
      <c r="B33" s="147" t="s">
        <v>24511</v>
      </c>
      <c r="C33" s="351" t="s">
        <v>193</v>
      </c>
      <c r="D33" s="351">
        <v>2223.64</v>
      </c>
      <c r="E33" s="351">
        <v>15.92</v>
      </c>
      <c r="F33" s="352">
        <v>0.2094</v>
      </c>
      <c r="G33" s="353">
        <f t="shared" si="0"/>
        <v>19.253648000000002</v>
      </c>
      <c r="H33" s="353">
        <f t="shared" si="1"/>
        <v>42813.181838720004</v>
      </c>
      <c r="I33" s="354">
        <f t="shared" si="2"/>
        <v>8.6069458894117677E-3</v>
      </c>
      <c r="J33" s="354">
        <f t="shared" si="4"/>
        <v>0.42680356750862125</v>
      </c>
      <c r="K33" s="682">
        <f>'018-21-CAPA'!$F$37</f>
        <v>4974259.4398541162</v>
      </c>
      <c r="L33" s="689">
        <f t="shared" si="7"/>
        <v>7.4505805969238281E-9</v>
      </c>
      <c r="M33" s="228"/>
      <c r="N33" s="93"/>
      <c r="P33" s="95"/>
    </row>
    <row r="34" spans="1:16" s="94" customFormat="1" ht="25.5">
      <c r="A34" s="343" t="s">
        <v>17888</v>
      </c>
      <c r="B34" s="147" t="s">
        <v>18086</v>
      </c>
      <c r="C34" s="351" t="s">
        <v>109</v>
      </c>
      <c r="D34" s="351">
        <v>2</v>
      </c>
      <c r="E34" s="351">
        <v>19215</v>
      </c>
      <c r="F34" s="352">
        <v>0.1089</v>
      </c>
      <c r="G34" s="353">
        <f t="shared" si="0"/>
        <v>21307.513500000001</v>
      </c>
      <c r="H34" s="353">
        <f t="shared" si="1"/>
        <v>42615.027000000002</v>
      </c>
      <c r="I34" s="354">
        <f t="shared" si="2"/>
        <v>8.5671098412289232E-3</v>
      </c>
      <c r="J34" s="354">
        <f t="shared" si="4"/>
        <v>0.43537067734985019</v>
      </c>
      <c r="K34" s="682">
        <f>'018-21-CAPA'!$F$37</f>
        <v>4974259.4398541162</v>
      </c>
      <c r="L34" s="689">
        <f t="shared" si="7"/>
        <v>7.4505805969238281E-9</v>
      </c>
      <c r="M34" s="228"/>
      <c r="N34" s="93"/>
      <c r="P34" s="95"/>
    </row>
    <row r="35" spans="1:16" s="94" customFormat="1" ht="63.75">
      <c r="A35" s="343">
        <v>87529</v>
      </c>
      <c r="B35" s="147" t="s">
        <v>223</v>
      </c>
      <c r="C35" s="351" t="s">
        <v>193</v>
      </c>
      <c r="D35" s="351">
        <v>1120.58</v>
      </c>
      <c r="E35" s="351" t="s">
        <v>22574</v>
      </c>
      <c r="F35" s="352">
        <v>0.2094</v>
      </c>
      <c r="G35" s="353">
        <f t="shared" si="0"/>
        <v>37.950972</v>
      </c>
      <c r="H35" s="353">
        <f t="shared" si="1"/>
        <v>42527.100203759997</v>
      </c>
      <c r="I35" s="354">
        <f t="shared" si="2"/>
        <v>8.549433482103878E-3</v>
      </c>
      <c r="J35" s="354">
        <f t="shared" si="4"/>
        <v>0.44392011083195404</v>
      </c>
      <c r="K35" s="682">
        <f>'018-21-CAPA'!$F$37</f>
        <v>4974259.4398541162</v>
      </c>
      <c r="L35" s="689">
        <f t="shared" si="7"/>
        <v>7.4505805969238281E-9</v>
      </c>
      <c r="M35" s="228"/>
      <c r="N35" s="93"/>
      <c r="P35" s="95"/>
    </row>
    <row r="36" spans="1:16" s="94" customFormat="1" ht="25.5">
      <c r="A36" s="343" t="s">
        <v>14461</v>
      </c>
      <c r="B36" s="147" t="s">
        <v>18454</v>
      </c>
      <c r="C36" s="351" t="s">
        <v>10</v>
      </c>
      <c r="D36" s="351">
        <v>1</v>
      </c>
      <c r="E36" s="351">
        <v>33968.5</v>
      </c>
      <c r="F36" s="352">
        <v>0.2094</v>
      </c>
      <c r="G36" s="353">
        <f t="shared" si="0"/>
        <v>41081.503900000003</v>
      </c>
      <c r="H36" s="353">
        <f t="shared" si="1"/>
        <v>41081.503900000003</v>
      </c>
      <c r="I36" s="354">
        <f t="shared" si="2"/>
        <v>8.2588181008115841E-3</v>
      </c>
      <c r="J36" s="354">
        <f t="shared" si="4"/>
        <v>0.45217892893276562</v>
      </c>
      <c r="K36" s="682">
        <f>'018-21-CAPA'!$F$37</f>
        <v>4974259.4398541162</v>
      </c>
      <c r="L36" s="689">
        <f t="shared" si="7"/>
        <v>7.4505805969238281E-9</v>
      </c>
      <c r="M36" s="228"/>
      <c r="N36" s="93"/>
      <c r="P36" s="95"/>
    </row>
    <row r="37" spans="1:16" s="94" customFormat="1" ht="25.5">
      <c r="A37" s="343">
        <v>101752</v>
      </c>
      <c r="B37" s="147" t="s">
        <v>13754</v>
      </c>
      <c r="C37" s="351" t="s">
        <v>193</v>
      </c>
      <c r="D37" s="351">
        <v>851.62</v>
      </c>
      <c r="E37" s="351" t="s">
        <v>12169</v>
      </c>
      <c r="F37" s="352">
        <v>0.2094</v>
      </c>
      <c r="G37" s="353">
        <f t="shared" si="0"/>
        <v>44.566390000000006</v>
      </c>
      <c r="H37" s="353">
        <f t="shared" si="1"/>
        <v>37953.629051800002</v>
      </c>
      <c r="I37" s="354">
        <f t="shared" si="2"/>
        <v>7.6300059357002807E-3</v>
      </c>
      <c r="J37" s="354">
        <f t="shared" si="4"/>
        <v>0.45980893486846591</v>
      </c>
      <c r="K37" s="682">
        <f>'018-21-CAPA'!$F$37</f>
        <v>4974259.4398541162</v>
      </c>
      <c r="L37" s="689">
        <f t="shared" si="7"/>
        <v>7.4505805969238281E-9</v>
      </c>
      <c r="M37" s="228"/>
      <c r="N37" s="93"/>
      <c r="P37" s="95"/>
    </row>
    <row r="38" spans="1:16" s="94" customFormat="1" ht="38.25">
      <c r="A38" s="343" t="s">
        <v>15504</v>
      </c>
      <c r="B38" s="147" t="s">
        <v>17566</v>
      </c>
      <c r="C38" s="351" t="s">
        <v>193</v>
      </c>
      <c r="D38" s="351">
        <v>271.19</v>
      </c>
      <c r="E38" s="351">
        <v>109.56</v>
      </c>
      <c r="F38" s="352">
        <v>0.2094</v>
      </c>
      <c r="G38" s="353">
        <f t="shared" si="0"/>
        <v>132.50186400000001</v>
      </c>
      <c r="H38" s="353">
        <f t="shared" si="1"/>
        <v>35933.18049816</v>
      </c>
      <c r="I38" s="354">
        <f t="shared" si="2"/>
        <v>7.2238251608391967E-3</v>
      </c>
      <c r="J38" s="354">
        <f t="shared" si="4"/>
        <v>0.46703276002930511</v>
      </c>
      <c r="K38" s="682">
        <f>'018-21-CAPA'!$F$37</f>
        <v>4974259.4398541162</v>
      </c>
      <c r="L38" s="689">
        <f t="shared" si="7"/>
        <v>7.4505805969238281E-9</v>
      </c>
      <c r="M38" s="228"/>
      <c r="N38" s="93"/>
      <c r="P38" s="95"/>
    </row>
    <row r="39" spans="1:16" s="94" customFormat="1" ht="38.25">
      <c r="A39" s="343" t="s">
        <v>24632</v>
      </c>
      <c r="B39" s="147" t="s">
        <v>24631</v>
      </c>
      <c r="C39" s="351" t="s">
        <v>3240</v>
      </c>
      <c r="D39" s="351">
        <v>6</v>
      </c>
      <c r="E39" s="351">
        <v>4652.37</v>
      </c>
      <c r="F39" s="352">
        <v>0.2094</v>
      </c>
      <c r="G39" s="353">
        <f t="shared" si="0"/>
        <v>5626.5762780000005</v>
      </c>
      <c r="H39" s="353">
        <f t="shared" si="1"/>
        <v>33759.457668000003</v>
      </c>
      <c r="I39" s="354">
        <f t="shared" si="2"/>
        <v>6.7868308993931648E-3</v>
      </c>
      <c r="J39" s="354">
        <f t="shared" si="4"/>
        <v>0.4738195909286983</v>
      </c>
      <c r="K39" s="682">
        <f>'018-21-CAPA'!$F$37</f>
        <v>4974259.4398541162</v>
      </c>
      <c r="L39" s="689">
        <f t="shared" si="7"/>
        <v>7.4505805969238281E-9</v>
      </c>
      <c r="M39" s="228"/>
      <c r="N39" s="93"/>
      <c r="P39" s="95"/>
    </row>
    <row r="40" spans="1:16" s="94" customFormat="1" ht="51">
      <c r="A40" s="343" t="s">
        <v>17856</v>
      </c>
      <c r="B40" s="147" t="s">
        <v>24495</v>
      </c>
      <c r="C40" s="351" t="s">
        <v>3244</v>
      </c>
      <c r="D40" s="351">
        <v>2305.8000000000002</v>
      </c>
      <c r="E40" s="351">
        <v>11.96</v>
      </c>
      <c r="F40" s="352">
        <v>0.2094</v>
      </c>
      <c r="G40" s="353">
        <f t="shared" si="0"/>
        <v>14.464424000000001</v>
      </c>
      <c r="H40" s="353">
        <f t="shared" si="1"/>
        <v>33352.068859200008</v>
      </c>
      <c r="I40" s="354">
        <f t="shared" si="2"/>
        <v>6.7049315104035266E-3</v>
      </c>
      <c r="J40" s="354">
        <f t="shared" si="4"/>
        <v>0.48052452243910182</v>
      </c>
      <c r="K40" s="682">
        <f>'018-21-CAPA'!$F$37</f>
        <v>4974259.4398541162</v>
      </c>
      <c r="L40" s="689">
        <f t="shared" si="7"/>
        <v>7.4505805969238281E-9</v>
      </c>
      <c r="M40" s="228"/>
      <c r="N40" s="93"/>
      <c r="P40" s="95"/>
    </row>
    <row r="41" spans="1:16" s="94" customFormat="1" ht="63.75">
      <c r="A41" s="343" t="s">
        <v>14424</v>
      </c>
      <c r="B41" s="147" t="s">
        <v>18448</v>
      </c>
      <c r="C41" s="351" t="s">
        <v>109</v>
      </c>
      <c r="D41" s="351">
        <v>10</v>
      </c>
      <c r="E41" s="351">
        <v>2710.08</v>
      </c>
      <c r="F41" s="352">
        <v>0.2094</v>
      </c>
      <c r="G41" s="353">
        <f t="shared" si="0"/>
        <v>3277.5707520000001</v>
      </c>
      <c r="H41" s="353">
        <f t="shared" si="1"/>
        <v>32775.707520000004</v>
      </c>
      <c r="I41" s="354">
        <f t="shared" si="2"/>
        <v>6.5890627371380716E-3</v>
      </c>
      <c r="J41" s="354">
        <f t="shared" si="4"/>
        <v>0.48711358517623987</v>
      </c>
      <c r="K41" s="682">
        <f>'018-21-CAPA'!$F$37</f>
        <v>4974259.4398541162</v>
      </c>
      <c r="L41" s="689">
        <f t="shared" si="7"/>
        <v>7.4505805969238281E-9</v>
      </c>
      <c r="M41" s="228"/>
      <c r="N41" s="93"/>
      <c r="P41" s="95"/>
    </row>
    <row r="42" spans="1:16" s="94" customFormat="1" ht="38.25">
      <c r="A42" s="343">
        <v>91926</v>
      </c>
      <c r="B42" s="147" t="s">
        <v>124</v>
      </c>
      <c r="C42" s="351" t="s">
        <v>5</v>
      </c>
      <c r="D42" s="351">
        <v>6540.7</v>
      </c>
      <c r="E42" s="351" t="s">
        <v>9940</v>
      </c>
      <c r="F42" s="352">
        <v>0.2094</v>
      </c>
      <c r="G42" s="353">
        <f t="shared" si="0"/>
        <v>4.9222580000000002</v>
      </c>
      <c r="H42" s="353">
        <f t="shared" si="1"/>
        <v>32195.012900600002</v>
      </c>
      <c r="I42" s="354">
        <f t="shared" si="2"/>
        <v>6.4723228231023389E-3</v>
      </c>
      <c r="J42" s="354">
        <f t="shared" si="4"/>
        <v>0.49358590799934221</v>
      </c>
      <c r="K42" s="682">
        <f>'018-21-CAPA'!$F$37</f>
        <v>4974259.4398541162</v>
      </c>
      <c r="L42" s="689">
        <f t="shared" si="7"/>
        <v>7.4505805969238281E-9</v>
      </c>
      <c r="M42" s="228"/>
      <c r="N42" s="93"/>
      <c r="P42" s="95"/>
    </row>
    <row r="43" spans="1:16" s="94" customFormat="1" ht="51">
      <c r="A43" s="343" t="s">
        <v>16889</v>
      </c>
      <c r="B43" s="147" t="s">
        <v>18369</v>
      </c>
      <c r="C43" s="351" t="s">
        <v>109</v>
      </c>
      <c r="D43" s="351">
        <v>1</v>
      </c>
      <c r="E43" s="351">
        <v>25296.86</v>
      </c>
      <c r="F43" s="352">
        <v>0.2094</v>
      </c>
      <c r="G43" s="353">
        <f t="shared" si="0"/>
        <v>30594.022484000001</v>
      </c>
      <c r="H43" s="353">
        <f t="shared" si="1"/>
        <v>30594.022484000001</v>
      </c>
      <c r="I43" s="354">
        <f t="shared" ref="I43:I73" si="9">H43/$F$772</f>
        <v>6.150467794035548E-3</v>
      </c>
      <c r="J43" s="354">
        <f t="shared" si="4"/>
        <v>0.49973637579337776</v>
      </c>
      <c r="K43" s="682">
        <f>'018-21-CAPA'!$F$37</f>
        <v>4974259.4398541162</v>
      </c>
      <c r="L43" s="689">
        <f t="shared" si="7"/>
        <v>7.4505805969238281E-9</v>
      </c>
      <c r="M43" s="228"/>
      <c r="N43" s="93"/>
      <c r="P43" s="95"/>
    </row>
    <row r="44" spans="1:16" s="94" customFormat="1" ht="76.5">
      <c r="A44" s="343">
        <v>87531</v>
      </c>
      <c r="B44" s="147" t="s">
        <v>222</v>
      </c>
      <c r="C44" s="351" t="s">
        <v>193</v>
      </c>
      <c r="D44" s="351">
        <v>832.93</v>
      </c>
      <c r="E44" s="351" t="s">
        <v>12156</v>
      </c>
      <c r="F44" s="352">
        <v>0.2094</v>
      </c>
      <c r="G44" s="353">
        <f t="shared" si="0"/>
        <v>36.511786000000001</v>
      </c>
      <c r="H44" s="353">
        <f t="shared" si="1"/>
        <v>30411.76191298</v>
      </c>
      <c r="I44" s="354">
        <f t="shared" si="9"/>
        <v>6.113827049172159E-3</v>
      </c>
      <c r="J44" s="354">
        <f t="shared" si="4"/>
        <v>0.50585020284254989</v>
      </c>
      <c r="K44" s="682">
        <f>'018-21-CAPA'!$F$37</f>
        <v>4974259.4398541162</v>
      </c>
      <c r="L44" s="689">
        <f t="shared" si="7"/>
        <v>7.4505805969238281E-9</v>
      </c>
      <c r="M44" s="228"/>
      <c r="N44" s="93"/>
      <c r="P44" s="95"/>
    </row>
    <row r="45" spans="1:16" s="94" customFormat="1" ht="25.5">
      <c r="A45" s="343" t="s">
        <v>14994</v>
      </c>
      <c r="B45" s="147" t="s">
        <v>18330</v>
      </c>
      <c r="C45" s="351" t="s">
        <v>109</v>
      </c>
      <c r="D45" s="351">
        <v>1</v>
      </c>
      <c r="E45" s="351">
        <v>23714.84</v>
      </c>
      <c r="F45" s="352">
        <v>0.2094</v>
      </c>
      <c r="G45" s="353">
        <f t="shared" si="0"/>
        <v>28680.727496</v>
      </c>
      <c r="H45" s="353">
        <f t="shared" si="1"/>
        <v>28680.727496</v>
      </c>
      <c r="I45" s="354">
        <f t="shared" si="9"/>
        <v>5.7658286309330868E-3</v>
      </c>
      <c r="J45" s="354">
        <f t="shared" si="4"/>
        <v>0.511616031473483</v>
      </c>
      <c r="K45" s="682">
        <f>'018-21-CAPA'!$F$37</f>
        <v>4974259.4398541162</v>
      </c>
      <c r="L45" s="689">
        <f t="shared" si="7"/>
        <v>7.4505805969238281E-9</v>
      </c>
      <c r="M45" s="228"/>
      <c r="N45" s="93"/>
      <c r="P45" s="95"/>
    </row>
    <row r="46" spans="1:16" s="94" customFormat="1" ht="191.25">
      <c r="A46" s="343" t="s">
        <v>16816</v>
      </c>
      <c r="B46" s="147" t="s">
        <v>18315</v>
      </c>
      <c r="C46" s="351" t="s">
        <v>109</v>
      </c>
      <c r="D46" s="351">
        <v>1</v>
      </c>
      <c r="E46" s="351">
        <v>25800</v>
      </c>
      <c r="F46" s="352">
        <v>0.1089</v>
      </c>
      <c r="G46" s="353">
        <f t="shared" si="0"/>
        <v>28609.62</v>
      </c>
      <c r="H46" s="353">
        <f t="shared" si="1"/>
        <v>28609.62</v>
      </c>
      <c r="I46" s="354">
        <f t="shared" si="9"/>
        <v>5.7515335389983395E-3</v>
      </c>
      <c r="J46" s="354">
        <f t="shared" si="4"/>
        <v>0.51736756501248138</v>
      </c>
      <c r="K46" s="682">
        <f>'018-21-CAPA'!$F$37</f>
        <v>4974259.4398541162</v>
      </c>
      <c r="L46" s="689">
        <f t="shared" si="7"/>
        <v>7.4505805969238281E-9</v>
      </c>
      <c r="M46" s="228"/>
      <c r="N46" s="93"/>
      <c r="P46" s="95"/>
    </row>
    <row r="47" spans="1:16" s="94" customFormat="1" ht="38.25">
      <c r="A47" s="343">
        <v>97655</v>
      </c>
      <c r="B47" s="147" t="s">
        <v>3750</v>
      </c>
      <c r="C47" s="351" t="s">
        <v>193</v>
      </c>
      <c r="D47" s="351">
        <v>1308.7</v>
      </c>
      <c r="E47" s="351" t="s">
        <v>10390</v>
      </c>
      <c r="F47" s="352">
        <v>0.2094</v>
      </c>
      <c r="G47" s="353">
        <f t="shared" si="0"/>
        <v>21.720824</v>
      </c>
      <c r="H47" s="353">
        <f t="shared" si="1"/>
        <v>28426.042368800001</v>
      </c>
      <c r="I47" s="354">
        <f t="shared" si="9"/>
        <v>5.7146280190069291E-3</v>
      </c>
      <c r="J47" s="354">
        <f t="shared" si="4"/>
        <v>0.52308219303148829</v>
      </c>
      <c r="K47" s="682">
        <f>'018-21-CAPA'!$F$37</f>
        <v>4974259.4398541162</v>
      </c>
      <c r="L47" s="689">
        <f t="shared" si="7"/>
        <v>7.4505805969238281E-9</v>
      </c>
      <c r="M47" s="228"/>
      <c r="N47" s="93"/>
      <c r="P47" s="95"/>
    </row>
    <row r="48" spans="1:16" s="94" customFormat="1" ht="51">
      <c r="A48" s="343">
        <v>96542</v>
      </c>
      <c r="B48" s="147" t="s">
        <v>1357</v>
      </c>
      <c r="C48" s="351" t="s">
        <v>193</v>
      </c>
      <c r="D48" s="351">
        <v>293.02</v>
      </c>
      <c r="E48" s="351" t="s">
        <v>22308</v>
      </c>
      <c r="F48" s="352">
        <v>0.2094</v>
      </c>
      <c r="G48" s="353">
        <f t="shared" si="0"/>
        <v>96.413368000000006</v>
      </c>
      <c r="H48" s="353">
        <f t="shared" si="1"/>
        <v>28251.04509136</v>
      </c>
      <c r="I48" s="354">
        <f t="shared" si="9"/>
        <v>5.6794474500084747E-3</v>
      </c>
      <c r="J48" s="354">
        <f t="shared" si="4"/>
        <v>0.52876164048149676</v>
      </c>
      <c r="K48" s="682">
        <f>'018-21-CAPA'!$F$37</f>
        <v>4974259.4398541162</v>
      </c>
      <c r="L48" s="689">
        <f t="shared" si="7"/>
        <v>7.4505805969238281E-9</v>
      </c>
      <c r="M48" s="228"/>
      <c r="N48" s="93"/>
      <c r="P48" s="95"/>
    </row>
    <row r="49" spans="1:16" s="94" customFormat="1" ht="38.25">
      <c r="A49" s="343">
        <v>92988</v>
      </c>
      <c r="B49" s="147" t="s">
        <v>1621</v>
      </c>
      <c r="C49" s="351" t="s">
        <v>5</v>
      </c>
      <c r="D49" s="351">
        <v>429.6</v>
      </c>
      <c r="E49" s="351" t="s">
        <v>22584</v>
      </c>
      <c r="F49" s="352">
        <v>0.2094</v>
      </c>
      <c r="G49" s="353">
        <f t="shared" si="0"/>
        <v>65.452727999999993</v>
      </c>
      <c r="H49" s="353">
        <f t="shared" si="1"/>
        <v>28118.491948799998</v>
      </c>
      <c r="I49" s="354">
        <f t="shared" si="9"/>
        <v>5.6527996355623727E-3</v>
      </c>
      <c r="J49" s="354">
        <f t="shared" si="4"/>
        <v>0.53441444011705919</v>
      </c>
      <c r="K49" s="682">
        <f>'018-21-CAPA'!$F$37</f>
        <v>4974259.4398541162</v>
      </c>
      <c r="L49" s="689">
        <f t="shared" si="7"/>
        <v>7.4505805969238281E-9</v>
      </c>
      <c r="M49" s="228"/>
      <c r="N49" s="93"/>
      <c r="P49" s="95"/>
    </row>
    <row r="50" spans="1:16" s="94" customFormat="1" ht="25.5">
      <c r="A50" s="343" t="s">
        <v>15427</v>
      </c>
      <c r="B50" s="147" t="s">
        <v>15428</v>
      </c>
      <c r="C50" s="351" t="s">
        <v>3772</v>
      </c>
      <c r="D50" s="351">
        <v>8</v>
      </c>
      <c r="E50" s="351">
        <v>2774.86</v>
      </c>
      <c r="F50" s="352">
        <v>0.2094</v>
      </c>
      <c r="G50" s="353">
        <f t="shared" si="0"/>
        <v>3355.9156840000001</v>
      </c>
      <c r="H50" s="353">
        <f t="shared" si="1"/>
        <v>26847.325472</v>
      </c>
      <c r="I50" s="354">
        <f t="shared" si="9"/>
        <v>5.3972507458894051E-3</v>
      </c>
      <c r="J50" s="354">
        <f t="shared" si="4"/>
        <v>0.53981169086294856</v>
      </c>
      <c r="K50" s="682">
        <f>'018-21-CAPA'!$F$37</f>
        <v>4974259.4398541162</v>
      </c>
      <c r="L50" s="689">
        <f t="shared" si="7"/>
        <v>7.4505805969238281E-9</v>
      </c>
      <c r="M50" s="228"/>
      <c r="N50" s="93"/>
      <c r="P50" s="95"/>
    </row>
    <row r="51" spans="1:16" s="94" customFormat="1" ht="38.25">
      <c r="A51" s="343" t="s">
        <v>17400</v>
      </c>
      <c r="B51" s="147" t="s">
        <v>17401</v>
      </c>
      <c r="C51" s="351" t="s">
        <v>3240</v>
      </c>
      <c r="D51" s="351">
        <v>25</v>
      </c>
      <c r="E51" s="351">
        <v>887.81</v>
      </c>
      <c r="F51" s="352">
        <v>0.2094</v>
      </c>
      <c r="G51" s="353">
        <f t="shared" si="0"/>
        <v>1073.717414</v>
      </c>
      <c r="H51" s="353">
        <f t="shared" si="1"/>
        <v>26842.93535</v>
      </c>
      <c r="I51" s="354">
        <f t="shared" si="9"/>
        <v>5.3963681779306792E-3</v>
      </c>
      <c r="J51" s="354">
        <f t="shared" si="4"/>
        <v>0.54520805904087921</v>
      </c>
      <c r="K51" s="682">
        <f>'018-21-CAPA'!$F$37</f>
        <v>4974259.4398541162</v>
      </c>
      <c r="L51" s="689">
        <f t="shared" si="7"/>
        <v>7.4505805969238281E-9</v>
      </c>
      <c r="M51" s="228"/>
      <c r="N51" s="93"/>
      <c r="P51" s="95"/>
    </row>
    <row r="52" spans="1:16" s="94" customFormat="1" ht="191.25">
      <c r="A52" s="343" t="s">
        <v>16815</v>
      </c>
      <c r="B52" s="147" t="s">
        <v>18314</v>
      </c>
      <c r="C52" s="351" t="s">
        <v>109</v>
      </c>
      <c r="D52" s="351">
        <v>1</v>
      </c>
      <c r="E52" s="351">
        <v>23650</v>
      </c>
      <c r="F52" s="352">
        <v>0.1089</v>
      </c>
      <c r="G52" s="353">
        <f t="shared" si="0"/>
        <v>26225.485000000001</v>
      </c>
      <c r="H52" s="353">
        <f t="shared" si="1"/>
        <v>26225.485000000001</v>
      </c>
      <c r="I52" s="354">
        <f t="shared" si="9"/>
        <v>5.2722390774151444E-3</v>
      </c>
      <c r="J52" s="354">
        <f t="shared" si="4"/>
        <v>0.55048029811829435</v>
      </c>
      <c r="K52" s="682">
        <f>'018-21-CAPA'!$F$37</f>
        <v>4974259.4398541162</v>
      </c>
      <c r="L52" s="689">
        <f t="shared" si="7"/>
        <v>7.4505805969238281E-9</v>
      </c>
      <c r="M52" s="228"/>
      <c r="N52" s="93"/>
      <c r="P52" s="95"/>
    </row>
    <row r="53" spans="1:16" s="94" customFormat="1" ht="25.5">
      <c r="A53" s="343">
        <v>88489</v>
      </c>
      <c r="B53" s="147" t="s">
        <v>227</v>
      </c>
      <c r="C53" s="351" t="s">
        <v>193</v>
      </c>
      <c r="D53" s="351">
        <v>1709.4</v>
      </c>
      <c r="E53" s="351" t="s">
        <v>11393</v>
      </c>
      <c r="F53" s="352">
        <v>0.2094</v>
      </c>
      <c r="G53" s="353">
        <f t="shared" si="0"/>
        <v>15.286816000000002</v>
      </c>
      <c r="H53" s="353">
        <f t="shared" si="1"/>
        <v>26131.283270400003</v>
      </c>
      <c r="I53" s="354">
        <f t="shared" si="9"/>
        <v>5.2533012373730172E-3</v>
      </c>
      <c r="J53" s="354">
        <f t="shared" si="4"/>
        <v>0.55573359935566735</v>
      </c>
      <c r="K53" s="682">
        <f>'018-21-CAPA'!$F$37</f>
        <v>4974259.4398541162</v>
      </c>
      <c r="L53" s="689">
        <f t="shared" si="7"/>
        <v>7.4505805969238281E-9</v>
      </c>
      <c r="M53" s="228"/>
      <c r="N53" s="93"/>
      <c r="P53" s="95"/>
    </row>
    <row r="54" spans="1:16" s="94" customFormat="1" ht="38.25">
      <c r="A54" s="343" t="s">
        <v>24637</v>
      </c>
      <c r="B54" s="147" t="s">
        <v>24638</v>
      </c>
      <c r="C54" s="351" t="s">
        <v>3240</v>
      </c>
      <c r="D54" s="351">
        <v>6</v>
      </c>
      <c r="E54" s="351">
        <v>3525.7699999999995</v>
      </c>
      <c r="F54" s="352">
        <v>0.2094</v>
      </c>
      <c r="G54" s="353">
        <f t="shared" si="0"/>
        <v>4264.0662379999994</v>
      </c>
      <c r="H54" s="353">
        <f t="shared" si="1"/>
        <v>25584.397427999997</v>
      </c>
      <c r="I54" s="354">
        <f t="shared" si="9"/>
        <v>5.1433580691461417E-3</v>
      </c>
      <c r="J54" s="354">
        <f t="shared" si="4"/>
        <v>0.56087695742481347</v>
      </c>
      <c r="K54" s="682">
        <f>'018-21-CAPA'!$F$37</f>
        <v>4974259.4398541162</v>
      </c>
      <c r="L54" s="689">
        <f t="shared" si="7"/>
        <v>7.4505805969238281E-9</v>
      </c>
      <c r="M54" s="228"/>
      <c r="N54" s="93"/>
      <c r="P54" s="95"/>
    </row>
    <row r="55" spans="1:16" s="94" customFormat="1" ht="38.25">
      <c r="A55" s="343">
        <v>95578</v>
      </c>
      <c r="B55" s="147" t="s">
        <v>3437</v>
      </c>
      <c r="C55" s="351" t="s">
        <v>108</v>
      </c>
      <c r="D55" s="351">
        <v>1846.06</v>
      </c>
      <c r="E55" s="351" t="s">
        <v>10457</v>
      </c>
      <c r="F55" s="352">
        <v>0.2094</v>
      </c>
      <c r="G55" s="353">
        <f t="shared" si="0"/>
        <v>13.678314</v>
      </c>
      <c r="H55" s="353">
        <f t="shared" si="1"/>
        <v>25250.988342839999</v>
      </c>
      <c r="I55" s="354">
        <f t="shared" si="9"/>
        <v>5.0763311902325284E-3</v>
      </c>
      <c r="J55" s="354">
        <f t="shared" si="4"/>
        <v>0.56595328861504601</v>
      </c>
      <c r="K55" s="682">
        <f>'018-21-CAPA'!$F$37</f>
        <v>4974259.4398541162</v>
      </c>
      <c r="L55" s="689">
        <f t="shared" ref="L55:L86" si="10">K55-$F$772</f>
        <v>7.4505805969238281E-9</v>
      </c>
      <c r="M55" s="228"/>
      <c r="N55" s="93"/>
      <c r="P55" s="95"/>
    </row>
    <row r="56" spans="1:16" s="94" customFormat="1">
      <c r="A56" s="343">
        <v>98459</v>
      </c>
      <c r="B56" s="147" t="s">
        <v>3817</v>
      </c>
      <c r="C56" s="351" t="s">
        <v>193</v>
      </c>
      <c r="D56" s="351">
        <v>191.73</v>
      </c>
      <c r="E56" s="351" t="s">
        <v>16352</v>
      </c>
      <c r="F56" s="352">
        <v>0.2094</v>
      </c>
      <c r="G56" s="353">
        <f t="shared" si="0"/>
        <v>129.05507399999999</v>
      </c>
      <c r="H56" s="353">
        <f t="shared" si="1"/>
        <v>24743.729338019995</v>
      </c>
      <c r="I56" s="354">
        <f t="shared" si="9"/>
        <v>4.9743544013349074E-3</v>
      </c>
      <c r="J56" s="354">
        <f t="shared" si="4"/>
        <v>0.57092764301638088</v>
      </c>
      <c r="K56" s="682">
        <f>'018-21-CAPA'!$F$37</f>
        <v>4974259.4398541162</v>
      </c>
      <c r="L56" s="689">
        <f t="shared" si="10"/>
        <v>7.4505805969238281E-9</v>
      </c>
      <c r="M56" s="228"/>
      <c r="N56" s="93"/>
      <c r="P56" s="95"/>
    </row>
    <row r="57" spans="1:16" s="94" customFormat="1" ht="51">
      <c r="A57" s="343" t="s">
        <v>17855</v>
      </c>
      <c r="B57" s="147" t="s">
        <v>24494</v>
      </c>
      <c r="C57" s="351" t="s">
        <v>3244</v>
      </c>
      <c r="D57" s="351">
        <v>1658.5</v>
      </c>
      <c r="E57" s="351">
        <v>11.96</v>
      </c>
      <c r="F57" s="352">
        <v>0.2094</v>
      </c>
      <c r="G57" s="353">
        <f t="shared" si="0"/>
        <v>14.464424000000001</v>
      </c>
      <c r="H57" s="353">
        <f t="shared" si="1"/>
        <v>23989.247204000003</v>
      </c>
      <c r="I57" s="354">
        <f t="shared" si="9"/>
        <v>4.822677122909293E-3</v>
      </c>
      <c r="J57" s="354">
        <f t="shared" si="4"/>
        <v>0.57575032013929017</v>
      </c>
      <c r="K57" s="682">
        <f>'018-21-CAPA'!$F$37</f>
        <v>4974259.4398541162</v>
      </c>
      <c r="L57" s="689">
        <f t="shared" si="10"/>
        <v>7.4505805969238281E-9</v>
      </c>
      <c r="M57" s="228"/>
      <c r="N57" s="93"/>
      <c r="P57" s="95"/>
    </row>
    <row r="58" spans="1:16" s="94" customFormat="1" ht="25.5">
      <c r="A58" s="343" t="s">
        <v>11564</v>
      </c>
      <c r="B58" s="147" t="s">
        <v>18721</v>
      </c>
      <c r="C58" s="351" t="s">
        <v>5</v>
      </c>
      <c r="D58" s="351">
        <v>232</v>
      </c>
      <c r="E58" s="351">
        <v>83.86</v>
      </c>
      <c r="F58" s="352">
        <v>0.2094</v>
      </c>
      <c r="G58" s="353">
        <f t="shared" si="0"/>
        <v>101.420284</v>
      </c>
      <c r="H58" s="353">
        <f t="shared" si="1"/>
        <v>23529.505888</v>
      </c>
      <c r="I58" s="354">
        <f t="shared" si="9"/>
        <v>4.730253050228941E-3</v>
      </c>
      <c r="J58" s="354">
        <f t="shared" si="4"/>
        <v>0.58048057318951907</v>
      </c>
      <c r="K58" s="682">
        <f>'018-21-CAPA'!$F$37</f>
        <v>4974259.4398541162</v>
      </c>
      <c r="L58" s="689">
        <f t="shared" si="10"/>
        <v>7.4505805969238281E-9</v>
      </c>
      <c r="M58" s="228"/>
      <c r="N58" s="93"/>
      <c r="P58" s="95"/>
    </row>
    <row r="59" spans="1:16" s="94" customFormat="1" ht="51">
      <c r="A59" s="343" t="s">
        <v>16888</v>
      </c>
      <c r="B59" s="147" t="s">
        <v>18368</v>
      </c>
      <c r="C59" s="351" t="s">
        <v>109</v>
      </c>
      <c r="D59" s="351">
        <v>1</v>
      </c>
      <c r="E59" s="351">
        <v>19286.900000000001</v>
      </c>
      <c r="F59" s="352">
        <v>0.2094</v>
      </c>
      <c r="G59" s="353">
        <f t="shared" si="0"/>
        <v>23325.576860000001</v>
      </c>
      <c r="H59" s="353">
        <f t="shared" si="1"/>
        <v>23325.576860000001</v>
      </c>
      <c r="I59" s="354">
        <f t="shared" si="9"/>
        <v>4.6892561881903211E-3</v>
      </c>
      <c r="J59" s="354">
        <f t="shared" si="4"/>
        <v>0.58516982937770934</v>
      </c>
      <c r="K59" s="682">
        <f>'018-21-CAPA'!$F$37</f>
        <v>4974259.4398541162</v>
      </c>
      <c r="L59" s="689">
        <f t="shared" si="10"/>
        <v>7.4505805969238281E-9</v>
      </c>
      <c r="M59" s="228"/>
      <c r="N59" s="93"/>
      <c r="P59" s="95"/>
    </row>
    <row r="60" spans="1:16" s="94" customFormat="1" ht="51">
      <c r="A60" s="343">
        <v>94990</v>
      </c>
      <c r="B60" s="147" t="s">
        <v>2753</v>
      </c>
      <c r="C60" s="351" t="s">
        <v>209</v>
      </c>
      <c r="D60" s="351">
        <v>26.827500000000001</v>
      </c>
      <c r="E60" s="351" t="s">
        <v>24064</v>
      </c>
      <c r="F60" s="352">
        <v>0.2094</v>
      </c>
      <c r="G60" s="353">
        <f t="shared" si="0"/>
        <v>798.7361360000001</v>
      </c>
      <c r="H60" s="353">
        <f t="shared" si="1"/>
        <v>21428.093688540004</v>
      </c>
      <c r="I60" s="354">
        <f t="shared" si="9"/>
        <v>4.3077957528424521E-3</v>
      </c>
      <c r="J60" s="354">
        <f t="shared" si="4"/>
        <v>0.5894776251305518</v>
      </c>
      <c r="K60" s="682">
        <f>'018-21-CAPA'!$F$37</f>
        <v>4974259.4398541162</v>
      </c>
      <c r="L60" s="689">
        <f t="shared" si="10"/>
        <v>7.4505805969238281E-9</v>
      </c>
      <c r="M60" s="228"/>
      <c r="N60" s="93"/>
      <c r="P60" s="95"/>
    </row>
    <row r="61" spans="1:16" s="94" customFormat="1" ht="38.25">
      <c r="A61" s="343">
        <v>94228</v>
      </c>
      <c r="B61" s="147" t="s">
        <v>3913</v>
      </c>
      <c r="C61" s="351" t="s">
        <v>5</v>
      </c>
      <c r="D61" s="351">
        <v>201.95</v>
      </c>
      <c r="E61" s="351" t="s">
        <v>21655</v>
      </c>
      <c r="F61" s="352">
        <v>0.2094</v>
      </c>
      <c r="G61" s="353">
        <f t="shared" si="0"/>
        <v>105.49596200000001</v>
      </c>
      <c r="H61" s="353">
        <f t="shared" si="1"/>
        <v>21304.909525899999</v>
      </c>
      <c r="I61" s="354">
        <f t="shared" si="9"/>
        <v>4.2830314308103029E-3</v>
      </c>
      <c r="J61" s="354">
        <f t="shared" si="4"/>
        <v>0.59376065656136212</v>
      </c>
      <c r="K61" s="682">
        <f>'018-21-CAPA'!$F$37</f>
        <v>4974259.4398541162</v>
      </c>
      <c r="L61" s="689">
        <f t="shared" si="10"/>
        <v>7.4505805969238281E-9</v>
      </c>
      <c r="M61" s="228"/>
      <c r="N61" s="93"/>
      <c r="P61" s="95"/>
    </row>
    <row r="62" spans="1:16" s="94" customFormat="1" ht="25.5">
      <c r="A62" s="343">
        <v>93358</v>
      </c>
      <c r="B62" s="147" t="s">
        <v>16227</v>
      </c>
      <c r="C62" s="351" t="s">
        <v>209</v>
      </c>
      <c r="D62" s="351">
        <v>251.30399999999997</v>
      </c>
      <c r="E62" s="351" t="s">
        <v>23682</v>
      </c>
      <c r="F62" s="352">
        <v>0.2094</v>
      </c>
      <c r="G62" s="353">
        <f t="shared" si="0"/>
        <v>84.246803999999997</v>
      </c>
      <c r="H62" s="353">
        <f t="shared" si="1"/>
        <v>21171.558832415998</v>
      </c>
      <c r="I62" s="354">
        <f t="shared" si="9"/>
        <v>4.2562232807537162E-3</v>
      </c>
      <c r="J62" s="354">
        <f t="shared" si="4"/>
        <v>0.59801687984211582</v>
      </c>
      <c r="K62" s="682">
        <f>'018-21-CAPA'!$F$37</f>
        <v>4974259.4398541162</v>
      </c>
      <c r="L62" s="689">
        <f t="shared" si="10"/>
        <v>7.4505805969238281E-9</v>
      </c>
      <c r="M62" s="228"/>
      <c r="N62" s="93"/>
      <c r="P62" s="95"/>
    </row>
    <row r="63" spans="1:16" s="94" customFormat="1" ht="25.5">
      <c r="A63" s="343">
        <v>98557</v>
      </c>
      <c r="B63" s="147" t="s">
        <v>4088</v>
      </c>
      <c r="C63" s="351" t="s">
        <v>193</v>
      </c>
      <c r="D63" s="351">
        <v>462.53</v>
      </c>
      <c r="E63" s="351" t="s">
        <v>22567</v>
      </c>
      <c r="F63" s="352">
        <v>0.2094</v>
      </c>
      <c r="G63" s="353">
        <f t="shared" si="0"/>
        <v>44.288227999999997</v>
      </c>
      <c r="H63" s="353">
        <f t="shared" si="1"/>
        <v>20484.634096839996</v>
      </c>
      <c r="I63" s="354">
        <f t="shared" si="9"/>
        <v>4.1181274005765963E-3</v>
      </c>
      <c r="J63" s="354">
        <f t="shared" si="4"/>
        <v>0.60213500724269242</v>
      </c>
      <c r="K63" s="682">
        <f>'018-21-CAPA'!$F$37</f>
        <v>4974259.4398541162</v>
      </c>
      <c r="L63" s="689">
        <f t="shared" si="10"/>
        <v>7.4505805969238281E-9</v>
      </c>
      <c r="M63" s="228"/>
      <c r="N63" s="93"/>
      <c r="P63" s="95"/>
    </row>
    <row r="64" spans="1:16" s="94" customFormat="1" ht="38.25">
      <c r="A64" s="343">
        <v>93210</v>
      </c>
      <c r="B64" s="147" t="s">
        <v>234</v>
      </c>
      <c r="C64" s="351" t="s">
        <v>193</v>
      </c>
      <c r="D64" s="351">
        <v>32.4</v>
      </c>
      <c r="E64" s="351" t="s">
        <v>21352</v>
      </c>
      <c r="F64" s="352">
        <v>0.2094</v>
      </c>
      <c r="G64" s="353">
        <f t="shared" si="0"/>
        <v>627.485096</v>
      </c>
      <c r="H64" s="353">
        <f t="shared" si="1"/>
        <v>20330.5171104</v>
      </c>
      <c r="I64" s="354">
        <f t="shared" si="9"/>
        <v>4.0871444998446397E-3</v>
      </c>
      <c r="J64" s="354">
        <f t="shared" si="4"/>
        <v>0.60622215174253702</v>
      </c>
      <c r="K64" s="682">
        <f>'018-21-CAPA'!$F$37</f>
        <v>4974259.4398541162</v>
      </c>
      <c r="L64" s="689">
        <f t="shared" si="10"/>
        <v>7.4505805969238281E-9</v>
      </c>
      <c r="M64" s="228"/>
      <c r="N64" s="93"/>
      <c r="P64" s="95"/>
    </row>
    <row r="65" spans="1:16" s="94" customFormat="1" ht="51">
      <c r="A65" s="343">
        <v>96557</v>
      </c>
      <c r="B65" s="147" t="s">
        <v>1482</v>
      </c>
      <c r="C65" s="351" t="s">
        <v>209</v>
      </c>
      <c r="D65" s="351">
        <v>40.54</v>
      </c>
      <c r="E65" s="351" t="s">
        <v>22467</v>
      </c>
      <c r="F65" s="352">
        <v>0.2094</v>
      </c>
      <c r="G65" s="353">
        <f t="shared" si="0"/>
        <v>498.91378199999997</v>
      </c>
      <c r="H65" s="353">
        <f t="shared" si="1"/>
        <v>20225.964722279998</v>
      </c>
      <c r="I65" s="354">
        <f t="shared" si="9"/>
        <v>4.0661258156798529E-3</v>
      </c>
      <c r="J65" s="354">
        <f t="shared" si="4"/>
        <v>0.61028827755821691</v>
      </c>
      <c r="K65" s="682">
        <f>'018-21-CAPA'!$F$37</f>
        <v>4974259.4398541162</v>
      </c>
      <c r="L65" s="689">
        <f t="shared" si="10"/>
        <v>7.4505805969238281E-9</v>
      </c>
      <c r="M65" s="228"/>
      <c r="N65" s="93"/>
      <c r="P65" s="95"/>
    </row>
    <row r="66" spans="1:16" s="94" customFormat="1" ht="38.25">
      <c r="A66" s="343">
        <v>98555</v>
      </c>
      <c r="B66" s="147" t="s">
        <v>4082</v>
      </c>
      <c r="C66" s="351" t="s">
        <v>193</v>
      </c>
      <c r="D66" s="351">
        <v>679.83</v>
      </c>
      <c r="E66" s="351" t="s">
        <v>22565</v>
      </c>
      <c r="F66" s="352">
        <v>0.2094</v>
      </c>
      <c r="G66" s="353">
        <f t="shared" si="0"/>
        <v>29.400513999999998</v>
      </c>
      <c r="H66" s="353">
        <f t="shared" si="1"/>
        <v>19987.351432619998</v>
      </c>
      <c r="I66" s="354">
        <f t="shared" si="9"/>
        <v>4.0181562048171356E-3</v>
      </c>
      <c r="J66" s="354">
        <f t="shared" si="4"/>
        <v>0.61430643376303407</v>
      </c>
      <c r="K66" s="682">
        <f>'018-21-CAPA'!$F$37</f>
        <v>4974259.4398541162</v>
      </c>
      <c r="L66" s="689">
        <f t="shared" si="10"/>
        <v>7.4505805969238281E-9</v>
      </c>
      <c r="M66" s="228"/>
      <c r="N66" s="93"/>
      <c r="P66" s="95"/>
    </row>
    <row r="67" spans="1:16" s="94" customFormat="1" ht="38.25">
      <c r="A67" s="343">
        <v>95876</v>
      </c>
      <c r="B67" s="147" t="s">
        <v>13798</v>
      </c>
      <c r="C67" s="351" t="s">
        <v>239</v>
      </c>
      <c r="D67" s="351">
        <v>10490.704745000001</v>
      </c>
      <c r="E67" s="351" t="s">
        <v>9774</v>
      </c>
      <c r="F67" s="352">
        <v>0.2094</v>
      </c>
      <c r="G67" s="353">
        <f t="shared" si="0"/>
        <v>1.8382880000000001</v>
      </c>
      <c r="H67" s="353">
        <f t="shared" si="1"/>
        <v>19284.936644276564</v>
      </c>
      <c r="I67" s="354">
        <f t="shared" si="9"/>
        <v>3.8769462826494985E-3</v>
      </c>
      <c r="J67" s="354">
        <f t="shared" si="4"/>
        <v>0.61818338004568352</v>
      </c>
      <c r="K67" s="682">
        <f>'018-21-CAPA'!$F$37</f>
        <v>4974259.4398541162</v>
      </c>
      <c r="L67" s="689">
        <f t="shared" si="10"/>
        <v>7.4505805969238281E-9</v>
      </c>
      <c r="M67" s="228"/>
      <c r="N67" s="93"/>
      <c r="P67" s="95"/>
    </row>
    <row r="68" spans="1:16" s="94" customFormat="1">
      <c r="A68" s="343" t="s">
        <v>8984</v>
      </c>
      <c r="B68" s="147" t="s">
        <v>17422</v>
      </c>
      <c r="C68" s="351" t="s">
        <v>10</v>
      </c>
      <c r="D68" s="351">
        <v>1</v>
      </c>
      <c r="E68" s="351">
        <v>15553.8</v>
      </c>
      <c r="F68" s="352">
        <v>0.2094</v>
      </c>
      <c r="G68" s="353">
        <f t="shared" si="0"/>
        <v>18810.765719999999</v>
      </c>
      <c r="H68" s="353">
        <f t="shared" si="1"/>
        <v>18810.765719999999</v>
      </c>
      <c r="I68" s="354">
        <f t="shared" si="9"/>
        <v>3.7816213543843029E-3</v>
      </c>
      <c r="J68" s="354">
        <f t="shared" si="4"/>
        <v>0.62196500140006783</v>
      </c>
      <c r="K68" s="682">
        <f>'018-21-CAPA'!$F$37</f>
        <v>4974259.4398541162</v>
      </c>
      <c r="L68" s="689">
        <f t="shared" si="10"/>
        <v>7.4505805969238281E-9</v>
      </c>
      <c r="M68" s="228"/>
      <c r="N68" s="93"/>
      <c r="P68" s="95"/>
    </row>
    <row r="69" spans="1:16" s="94" customFormat="1" ht="25.5">
      <c r="A69" s="343" t="s">
        <v>17908</v>
      </c>
      <c r="B69" s="147" t="s">
        <v>18710</v>
      </c>
      <c r="C69" s="351" t="s">
        <v>3243</v>
      </c>
      <c r="D69" s="351">
        <v>63.1</v>
      </c>
      <c r="E69" s="351">
        <v>237.55</v>
      </c>
      <c r="F69" s="352">
        <v>0.2094</v>
      </c>
      <c r="G69" s="353">
        <f t="shared" si="0"/>
        <v>287.29297000000003</v>
      </c>
      <c r="H69" s="353">
        <f t="shared" si="1"/>
        <v>18128.186407000001</v>
      </c>
      <c r="I69" s="354">
        <f t="shared" si="9"/>
        <v>3.6443990560194196E-3</v>
      </c>
      <c r="J69" s="354">
        <f t="shared" si="4"/>
        <v>0.62560940045608726</v>
      </c>
      <c r="K69" s="682">
        <f>'018-21-CAPA'!$F$37</f>
        <v>4974259.4398541162</v>
      </c>
      <c r="L69" s="689">
        <f t="shared" si="10"/>
        <v>7.4505805969238281E-9</v>
      </c>
      <c r="M69" s="228"/>
      <c r="N69" s="93"/>
      <c r="P69" s="95"/>
    </row>
    <row r="70" spans="1:16" s="94" customFormat="1" ht="25.5">
      <c r="A70" s="343" t="s">
        <v>24547</v>
      </c>
      <c r="B70" s="147" t="s">
        <v>24548</v>
      </c>
      <c r="C70" s="351" t="s">
        <v>193</v>
      </c>
      <c r="D70" s="351">
        <v>732</v>
      </c>
      <c r="E70" s="351">
        <v>20</v>
      </c>
      <c r="F70" s="352">
        <v>0.2094</v>
      </c>
      <c r="G70" s="353">
        <f t="shared" si="0"/>
        <v>24.188000000000002</v>
      </c>
      <c r="H70" s="353">
        <f t="shared" si="1"/>
        <v>17705.616000000002</v>
      </c>
      <c r="I70" s="354">
        <f t="shared" si="9"/>
        <v>3.5594476351879416E-3</v>
      </c>
      <c r="J70" s="354">
        <f t="shared" si="4"/>
        <v>0.62916884809127516</v>
      </c>
      <c r="K70" s="682">
        <f>'018-21-CAPA'!$F$37</f>
        <v>4974259.4398541162</v>
      </c>
      <c r="L70" s="689">
        <f t="shared" si="10"/>
        <v>7.4505805969238281E-9</v>
      </c>
      <c r="M70" s="228"/>
      <c r="N70" s="93"/>
      <c r="P70" s="95"/>
    </row>
    <row r="71" spans="1:16" s="94" customFormat="1" ht="51">
      <c r="A71" s="343" t="s">
        <v>11612</v>
      </c>
      <c r="B71" s="147" t="s">
        <v>18394</v>
      </c>
      <c r="C71" s="351" t="s">
        <v>109</v>
      </c>
      <c r="D71" s="351">
        <v>57</v>
      </c>
      <c r="E71" s="351">
        <v>255.78</v>
      </c>
      <c r="F71" s="352">
        <v>0.2094</v>
      </c>
      <c r="G71" s="353">
        <f t="shared" si="0"/>
        <v>309.34033199999999</v>
      </c>
      <c r="H71" s="353">
        <f t="shared" si="1"/>
        <v>17632.398924000001</v>
      </c>
      <c r="I71" s="354">
        <f t="shared" si="9"/>
        <v>3.5447284439424306E-3</v>
      </c>
      <c r="J71" s="354">
        <f t="shared" si="4"/>
        <v>0.63271357653521754</v>
      </c>
      <c r="K71" s="682">
        <f>'018-21-CAPA'!$F$37</f>
        <v>4974259.4398541162</v>
      </c>
      <c r="L71" s="689">
        <f t="shared" si="10"/>
        <v>7.4505805969238281E-9</v>
      </c>
      <c r="M71" s="228"/>
      <c r="N71" s="93"/>
      <c r="P71" s="95"/>
    </row>
    <row r="72" spans="1:16" s="94" customFormat="1" ht="51">
      <c r="A72" s="343" t="s">
        <v>17854</v>
      </c>
      <c r="B72" s="147" t="s">
        <v>24493</v>
      </c>
      <c r="C72" s="351" t="s">
        <v>3244</v>
      </c>
      <c r="D72" s="351">
        <v>1326.4</v>
      </c>
      <c r="E72" s="351">
        <v>10.62</v>
      </c>
      <c r="F72" s="352">
        <v>0.2094</v>
      </c>
      <c r="G72" s="353">
        <f t="shared" si="0"/>
        <v>12.843828</v>
      </c>
      <c r="H72" s="353">
        <f t="shared" si="1"/>
        <v>17036.0534592</v>
      </c>
      <c r="I72" s="354">
        <f t="shared" si="9"/>
        <v>3.4248421629772602E-3</v>
      </c>
      <c r="J72" s="354">
        <f t="shared" si="4"/>
        <v>0.63613841869819476</v>
      </c>
      <c r="K72" s="682">
        <f>'018-21-CAPA'!$F$37</f>
        <v>4974259.4398541162</v>
      </c>
      <c r="L72" s="689">
        <f t="shared" si="10"/>
        <v>7.4505805969238281E-9</v>
      </c>
      <c r="M72" s="228"/>
      <c r="N72" s="93"/>
      <c r="P72" s="95"/>
    </row>
    <row r="73" spans="1:16" s="94" customFormat="1" ht="38.25">
      <c r="A73" s="343">
        <v>89635</v>
      </c>
      <c r="B73" s="147" t="s">
        <v>1774</v>
      </c>
      <c r="C73" s="351" t="s">
        <v>5</v>
      </c>
      <c r="D73" s="351">
        <v>345.67</v>
      </c>
      <c r="E73" s="351" t="s">
        <v>9835</v>
      </c>
      <c r="F73" s="352">
        <v>0.2094</v>
      </c>
      <c r="G73" s="353">
        <f t="shared" si="0"/>
        <v>48.097838000000003</v>
      </c>
      <c r="H73" s="353">
        <f t="shared" si="1"/>
        <v>16625.979661460002</v>
      </c>
      <c r="I73" s="354">
        <f t="shared" si="9"/>
        <v>3.3424029973691178E-3</v>
      </c>
      <c r="J73" s="354">
        <f t="shared" si="4"/>
        <v>0.63948082169556386</v>
      </c>
      <c r="K73" s="682">
        <f>'018-21-CAPA'!$F$37</f>
        <v>4974259.4398541162</v>
      </c>
      <c r="L73" s="689">
        <f t="shared" si="10"/>
        <v>7.4505805969238281E-9</v>
      </c>
      <c r="M73" s="228"/>
      <c r="N73" s="93"/>
      <c r="P73" s="95"/>
    </row>
    <row r="74" spans="1:16" s="94" customFormat="1" ht="38.25">
      <c r="A74" s="343" t="s">
        <v>15550</v>
      </c>
      <c r="B74" s="147" t="s">
        <v>17687</v>
      </c>
      <c r="C74" s="351" t="s">
        <v>3240</v>
      </c>
      <c r="D74" s="351">
        <v>18</v>
      </c>
      <c r="E74" s="351">
        <v>762.71</v>
      </c>
      <c r="F74" s="352">
        <v>0.2094</v>
      </c>
      <c r="G74" s="353">
        <f t="shared" si="0"/>
        <v>922.4214740000001</v>
      </c>
      <c r="H74" s="353">
        <f t="shared" si="1"/>
        <v>16603.586532000001</v>
      </c>
      <c r="I74" s="354">
        <f t="shared" ref="I74:I137" si="11">H74/$F$772</f>
        <v>3.3379011956977804E-3</v>
      </c>
      <c r="J74" s="354">
        <f t="shared" si="4"/>
        <v>0.64281872289126163</v>
      </c>
      <c r="K74" s="682">
        <f>'018-21-CAPA'!$F$37</f>
        <v>4974259.4398541162</v>
      </c>
      <c r="L74" s="689">
        <f t="shared" si="10"/>
        <v>7.4505805969238281E-9</v>
      </c>
      <c r="M74" s="228"/>
      <c r="N74" s="93"/>
      <c r="P74" s="95"/>
    </row>
    <row r="75" spans="1:16" s="94" customFormat="1" ht="63.75">
      <c r="A75" s="343" t="s">
        <v>15453</v>
      </c>
      <c r="B75" s="147" t="s">
        <v>17469</v>
      </c>
      <c r="C75" s="351" t="s">
        <v>3240</v>
      </c>
      <c r="D75" s="351">
        <v>17</v>
      </c>
      <c r="E75" s="351">
        <v>791.67000000000007</v>
      </c>
      <c r="F75" s="352">
        <v>0.2094</v>
      </c>
      <c r="G75" s="353">
        <f t="shared" ref="G75:G138" si="12">(E75*(1+F75))</f>
        <v>957.44569800000011</v>
      </c>
      <c r="H75" s="353">
        <f t="shared" ref="H75:H138" si="13">G75*D75</f>
        <v>16276.576866000001</v>
      </c>
      <c r="I75" s="354">
        <f t="shared" si="11"/>
        <v>3.2721608236978852E-3</v>
      </c>
      <c r="J75" s="354">
        <f t="shared" si="4"/>
        <v>0.64609088371495949</v>
      </c>
      <c r="K75" s="682">
        <f>'018-21-CAPA'!$F$37</f>
        <v>4974259.4398541162</v>
      </c>
      <c r="L75" s="689">
        <f t="shared" si="10"/>
        <v>7.4505805969238281E-9</v>
      </c>
      <c r="M75" s="228"/>
      <c r="N75" s="93"/>
      <c r="P75" s="95"/>
    </row>
    <row r="76" spans="1:16" s="94" customFormat="1" ht="38.25">
      <c r="A76" s="343" t="s">
        <v>9016</v>
      </c>
      <c r="B76" s="147" t="s">
        <v>14534</v>
      </c>
      <c r="C76" s="351" t="s">
        <v>5</v>
      </c>
      <c r="D76" s="351">
        <v>720.54</v>
      </c>
      <c r="E76" s="351">
        <v>18.540000000000003</v>
      </c>
      <c r="F76" s="352">
        <v>0.2094</v>
      </c>
      <c r="G76" s="353">
        <f t="shared" si="12"/>
        <v>22.422276000000004</v>
      </c>
      <c r="H76" s="353">
        <f t="shared" si="13"/>
        <v>16156.146749040001</v>
      </c>
      <c r="I76" s="354">
        <f t="shared" si="11"/>
        <v>3.2479501611025435E-3</v>
      </c>
      <c r="J76" s="354">
        <f t="shared" si="4"/>
        <v>0.64933883387606206</v>
      </c>
      <c r="K76" s="682">
        <f>'018-21-CAPA'!$F$37</f>
        <v>4974259.4398541162</v>
      </c>
      <c r="L76" s="689">
        <f t="shared" si="10"/>
        <v>7.4505805969238281E-9</v>
      </c>
      <c r="M76" s="228"/>
      <c r="N76" s="93"/>
      <c r="P76" s="95"/>
    </row>
    <row r="77" spans="1:16" s="94" customFormat="1" ht="38.25">
      <c r="A77" s="343">
        <v>96977</v>
      </c>
      <c r="B77" s="147" t="s">
        <v>3466</v>
      </c>
      <c r="C77" s="351" t="s">
        <v>5</v>
      </c>
      <c r="D77" s="351">
        <v>313.60000000000002</v>
      </c>
      <c r="E77" s="351" t="s">
        <v>9882</v>
      </c>
      <c r="F77" s="352">
        <v>0.2094</v>
      </c>
      <c r="G77" s="353">
        <f t="shared" si="12"/>
        <v>51.459969999999998</v>
      </c>
      <c r="H77" s="353">
        <f t="shared" si="13"/>
        <v>16137.846592</v>
      </c>
      <c r="I77" s="354">
        <f t="shared" si="11"/>
        <v>3.2442711899388407E-3</v>
      </c>
      <c r="J77" s="354">
        <f t="shared" ref="J77:J140" si="14">I77+J76</f>
        <v>0.65258310506600092</v>
      </c>
      <c r="K77" s="682">
        <f>'018-21-CAPA'!$F$37</f>
        <v>4974259.4398541162</v>
      </c>
      <c r="L77" s="689">
        <f t="shared" si="10"/>
        <v>7.4505805969238281E-9</v>
      </c>
      <c r="M77" s="228"/>
      <c r="N77" s="93"/>
      <c r="P77" s="95"/>
    </row>
    <row r="78" spans="1:16" s="94" customFormat="1" ht="38.25">
      <c r="A78" s="343" t="s">
        <v>18521</v>
      </c>
      <c r="B78" s="147" t="s">
        <v>24478</v>
      </c>
      <c r="C78" s="351" t="s">
        <v>109</v>
      </c>
      <c r="D78" s="351">
        <v>4</v>
      </c>
      <c r="E78" s="351">
        <v>3326.3499999999995</v>
      </c>
      <c r="F78" s="352">
        <v>0.2094</v>
      </c>
      <c r="G78" s="353">
        <f t="shared" si="12"/>
        <v>4022.8876899999996</v>
      </c>
      <c r="H78" s="353">
        <f t="shared" si="13"/>
        <v>16091.550759999998</v>
      </c>
      <c r="I78" s="354">
        <f t="shared" si="11"/>
        <v>3.2349641096468323E-3</v>
      </c>
      <c r="J78" s="354">
        <f t="shared" si="14"/>
        <v>0.65581806917564778</v>
      </c>
      <c r="K78" s="682">
        <f>'018-21-CAPA'!$F$37</f>
        <v>4974259.4398541162</v>
      </c>
      <c r="L78" s="689">
        <f t="shared" si="10"/>
        <v>7.4505805969238281E-9</v>
      </c>
      <c r="M78" s="228"/>
      <c r="N78" s="93"/>
      <c r="P78" s="95"/>
    </row>
    <row r="79" spans="1:16" s="94" customFormat="1" ht="38.25">
      <c r="A79" s="343" t="s">
        <v>15014</v>
      </c>
      <c r="B79" s="147" t="s">
        <v>16904</v>
      </c>
      <c r="C79" s="351" t="s">
        <v>109</v>
      </c>
      <c r="D79" s="351">
        <v>2</v>
      </c>
      <c r="E79" s="351">
        <v>6421.68</v>
      </c>
      <c r="F79" s="352">
        <v>0.2094</v>
      </c>
      <c r="G79" s="353">
        <f t="shared" si="12"/>
        <v>7766.3797920000006</v>
      </c>
      <c r="H79" s="353">
        <f t="shared" si="13"/>
        <v>15532.759584000001</v>
      </c>
      <c r="I79" s="354">
        <f t="shared" si="11"/>
        <v>3.1226275532696313E-3</v>
      </c>
      <c r="J79" s="354">
        <f t="shared" si="14"/>
        <v>0.65894069672891742</v>
      </c>
      <c r="K79" s="682">
        <f>'018-21-CAPA'!$F$37</f>
        <v>4974259.4398541162</v>
      </c>
      <c r="L79" s="689">
        <f t="shared" si="10"/>
        <v>7.4505805969238281E-9</v>
      </c>
      <c r="M79" s="228"/>
      <c r="N79" s="93"/>
      <c r="P79" s="95"/>
    </row>
    <row r="80" spans="1:16" s="94" customFormat="1" ht="63.75">
      <c r="A80" s="343" t="s">
        <v>15437</v>
      </c>
      <c r="B80" s="147" t="s">
        <v>24585</v>
      </c>
      <c r="C80" s="351" t="s">
        <v>3240</v>
      </c>
      <c r="D80" s="351">
        <v>2</v>
      </c>
      <c r="E80" s="351">
        <v>6111.9500000000007</v>
      </c>
      <c r="F80" s="352">
        <v>0.2094</v>
      </c>
      <c r="G80" s="353">
        <f t="shared" si="12"/>
        <v>7391.7923300000011</v>
      </c>
      <c r="H80" s="353">
        <f t="shared" si="13"/>
        <v>14783.584660000002</v>
      </c>
      <c r="I80" s="354">
        <f t="shared" si="11"/>
        <v>2.9720172095473963E-3</v>
      </c>
      <c r="J80" s="354">
        <f t="shared" si="14"/>
        <v>0.66191271393846485</v>
      </c>
      <c r="K80" s="682">
        <f>'018-21-CAPA'!$F$37</f>
        <v>4974259.4398541162</v>
      </c>
      <c r="L80" s="689">
        <f t="shared" si="10"/>
        <v>7.4505805969238281E-9</v>
      </c>
      <c r="M80" s="228"/>
      <c r="N80" s="93"/>
      <c r="P80" s="95"/>
    </row>
    <row r="81" spans="1:16" s="94" customFormat="1" ht="63.75">
      <c r="A81" s="343" t="s">
        <v>17407</v>
      </c>
      <c r="B81" s="147" t="s">
        <v>17408</v>
      </c>
      <c r="C81" s="351" t="s">
        <v>3240</v>
      </c>
      <c r="D81" s="351">
        <v>17</v>
      </c>
      <c r="E81" s="351">
        <v>702.72</v>
      </c>
      <c r="F81" s="352">
        <v>0.2094</v>
      </c>
      <c r="G81" s="353">
        <f t="shared" si="12"/>
        <v>849.86956800000007</v>
      </c>
      <c r="H81" s="353">
        <f t="shared" si="13"/>
        <v>14447.782656000001</v>
      </c>
      <c r="I81" s="354">
        <f t="shared" si="11"/>
        <v>2.9045092703133602E-3</v>
      </c>
      <c r="J81" s="354">
        <f t="shared" si="14"/>
        <v>0.66481722320877823</v>
      </c>
      <c r="K81" s="682">
        <f>'018-21-CAPA'!$F$37</f>
        <v>4974259.4398541162</v>
      </c>
      <c r="L81" s="689">
        <f t="shared" si="10"/>
        <v>7.4505805969238281E-9</v>
      </c>
      <c r="M81" s="228"/>
      <c r="N81" s="93"/>
      <c r="P81" s="95"/>
    </row>
    <row r="82" spans="1:16" s="94" customFormat="1" ht="51">
      <c r="A82" s="343">
        <v>96540</v>
      </c>
      <c r="B82" s="147" t="s">
        <v>1355</v>
      </c>
      <c r="C82" s="351" t="s">
        <v>193</v>
      </c>
      <c r="D82" s="351">
        <v>100.08</v>
      </c>
      <c r="E82" s="351" t="s">
        <v>22306</v>
      </c>
      <c r="F82" s="352">
        <v>0.2094</v>
      </c>
      <c r="G82" s="353">
        <f t="shared" si="12"/>
        <v>137.653908</v>
      </c>
      <c r="H82" s="353">
        <f t="shared" si="13"/>
        <v>13776.40311264</v>
      </c>
      <c r="I82" s="354">
        <f t="shared" si="11"/>
        <v>2.769538517083068E-3</v>
      </c>
      <c r="J82" s="354">
        <f t="shared" si="14"/>
        <v>0.66758676172586129</v>
      </c>
      <c r="K82" s="682">
        <f>'018-21-CAPA'!$F$37</f>
        <v>4974259.4398541162</v>
      </c>
      <c r="L82" s="689">
        <f t="shared" si="10"/>
        <v>7.4505805969238281E-9</v>
      </c>
      <c r="M82" s="228"/>
      <c r="N82" s="93"/>
      <c r="P82" s="95"/>
    </row>
    <row r="83" spans="1:16" s="94" customFormat="1" ht="63.75">
      <c r="A83" s="343">
        <v>92367</v>
      </c>
      <c r="B83" s="147" t="s">
        <v>13233</v>
      </c>
      <c r="C83" s="351" t="s">
        <v>5</v>
      </c>
      <c r="D83" s="351">
        <v>90.82</v>
      </c>
      <c r="E83" s="351" t="s">
        <v>22950</v>
      </c>
      <c r="F83" s="352">
        <v>0.2094</v>
      </c>
      <c r="G83" s="353">
        <f t="shared" si="12"/>
        <v>151.68294800000001</v>
      </c>
      <c r="H83" s="353">
        <f t="shared" si="13"/>
        <v>13775.84533736</v>
      </c>
      <c r="I83" s="354">
        <f t="shared" si="11"/>
        <v>2.7694263847572926E-3</v>
      </c>
      <c r="J83" s="354">
        <f t="shared" si="14"/>
        <v>0.67035618811061859</v>
      </c>
      <c r="K83" s="682">
        <f>'018-21-CAPA'!$F$37</f>
        <v>4974259.4398541162</v>
      </c>
      <c r="L83" s="689">
        <f t="shared" si="10"/>
        <v>7.4505805969238281E-9</v>
      </c>
      <c r="M83" s="228"/>
      <c r="N83" s="93"/>
      <c r="P83" s="95"/>
    </row>
    <row r="84" spans="1:16" s="94" customFormat="1" ht="25.5">
      <c r="A84" s="343">
        <v>88497</v>
      </c>
      <c r="B84" s="147" t="s">
        <v>224</v>
      </c>
      <c r="C84" s="351" t="s">
        <v>193</v>
      </c>
      <c r="D84" s="351">
        <v>828.47</v>
      </c>
      <c r="E84" s="351" t="s">
        <v>10093</v>
      </c>
      <c r="F84" s="352">
        <v>0.2094</v>
      </c>
      <c r="G84" s="353">
        <f t="shared" si="12"/>
        <v>16.605062</v>
      </c>
      <c r="H84" s="353">
        <f t="shared" si="13"/>
        <v>13756.795715140001</v>
      </c>
      <c r="I84" s="354">
        <f t="shared" si="11"/>
        <v>2.7655967448982671E-3</v>
      </c>
      <c r="J84" s="354">
        <f t="shared" si="14"/>
        <v>0.67312178485551688</v>
      </c>
      <c r="K84" s="682">
        <f>'018-21-CAPA'!$F$37</f>
        <v>4974259.4398541162</v>
      </c>
      <c r="L84" s="689">
        <f t="shared" si="10"/>
        <v>7.4505805969238281E-9</v>
      </c>
      <c r="M84" s="228"/>
      <c r="N84" s="93"/>
      <c r="P84" s="95"/>
    </row>
    <row r="85" spans="1:16" s="94" customFormat="1" ht="51">
      <c r="A85" s="343">
        <v>93583</v>
      </c>
      <c r="B85" s="147" t="s">
        <v>237</v>
      </c>
      <c r="C85" s="351" t="s">
        <v>193</v>
      </c>
      <c r="D85" s="351">
        <v>28.8</v>
      </c>
      <c r="E85" s="351" t="s">
        <v>21359</v>
      </c>
      <c r="F85" s="352">
        <v>0.2094</v>
      </c>
      <c r="G85" s="353">
        <f t="shared" si="12"/>
        <v>476.588258</v>
      </c>
      <c r="H85" s="353">
        <f t="shared" si="13"/>
        <v>13725.7418304</v>
      </c>
      <c r="I85" s="354">
        <f t="shared" si="11"/>
        <v>2.7593538287183843E-3</v>
      </c>
      <c r="J85" s="354">
        <f t="shared" si="14"/>
        <v>0.67588113868423527</v>
      </c>
      <c r="K85" s="682">
        <f>'018-21-CAPA'!$F$37</f>
        <v>4974259.4398541162</v>
      </c>
      <c r="L85" s="689">
        <f t="shared" si="10"/>
        <v>7.4505805969238281E-9</v>
      </c>
      <c r="M85" s="228"/>
      <c r="N85" s="93"/>
      <c r="P85" s="95"/>
    </row>
    <row r="86" spans="1:16" s="94" customFormat="1" ht="38.25">
      <c r="A86" s="343">
        <v>96545</v>
      </c>
      <c r="B86" s="147" t="s">
        <v>1441</v>
      </c>
      <c r="C86" s="351" t="s">
        <v>108</v>
      </c>
      <c r="D86" s="351">
        <v>707.64480000000003</v>
      </c>
      <c r="E86" s="351" t="s">
        <v>11215</v>
      </c>
      <c r="F86" s="352">
        <v>0.2094</v>
      </c>
      <c r="G86" s="353">
        <f t="shared" si="12"/>
        <v>19.374587999999999</v>
      </c>
      <c r="H86" s="353">
        <f t="shared" si="13"/>
        <v>13710.3264503424</v>
      </c>
      <c r="I86" s="354">
        <f t="shared" si="11"/>
        <v>2.7562547985523879E-3</v>
      </c>
      <c r="J86" s="354">
        <f t="shared" si="14"/>
        <v>0.67863739348278762</v>
      </c>
      <c r="K86" s="682">
        <f>'018-21-CAPA'!$F$37</f>
        <v>4974259.4398541162</v>
      </c>
      <c r="L86" s="689">
        <f t="shared" si="10"/>
        <v>7.4505805969238281E-9</v>
      </c>
      <c r="M86" s="228"/>
      <c r="N86" s="93"/>
      <c r="P86" s="95"/>
    </row>
    <row r="87" spans="1:16" s="94" customFormat="1" ht="51">
      <c r="A87" s="343" t="s">
        <v>24768</v>
      </c>
      <c r="B87" s="147" t="s">
        <v>24776</v>
      </c>
      <c r="C87" s="351" t="s">
        <v>3244</v>
      </c>
      <c r="D87" s="351">
        <v>890.19999999999993</v>
      </c>
      <c r="E87" s="351">
        <v>12.58</v>
      </c>
      <c r="F87" s="352">
        <v>0.2094</v>
      </c>
      <c r="G87" s="353">
        <f t="shared" si="12"/>
        <v>15.214252</v>
      </c>
      <c r="H87" s="353">
        <f t="shared" si="13"/>
        <v>13543.727130399999</v>
      </c>
      <c r="I87" s="354">
        <f t="shared" si="11"/>
        <v>2.7227625125233164E-3</v>
      </c>
      <c r="J87" s="354">
        <f t="shared" si="14"/>
        <v>0.68136015599531097</v>
      </c>
      <c r="K87" s="682">
        <f>'018-21-CAPA'!$F$37</f>
        <v>4974259.4398541162</v>
      </c>
      <c r="L87" s="689">
        <f t="shared" ref="L87:L118" si="15">K87-$F$772</f>
        <v>7.4505805969238281E-9</v>
      </c>
      <c r="M87" s="228"/>
      <c r="N87" s="93"/>
      <c r="P87" s="95"/>
    </row>
    <row r="88" spans="1:16" s="94" customFormat="1" ht="38.25">
      <c r="A88" s="343" t="s">
        <v>15508</v>
      </c>
      <c r="B88" s="147" t="s">
        <v>17581</v>
      </c>
      <c r="C88" s="351" t="s">
        <v>3240</v>
      </c>
      <c r="D88" s="351">
        <v>3</v>
      </c>
      <c r="E88" s="351">
        <v>3639.6400000000003</v>
      </c>
      <c r="F88" s="352">
        <v>0.2094</v>
      </c>
      <c r="G88" s="353">
        <f t="shared" si="12"/>
        <v>4401.7806160000009</v>
      </c>
      <c r="H88" s="353">
        <f t="shared" si="13"/>
        <v>13205.341848000004</v>
      </c>
      <c r="I88" s="354">
        <f t="shared" si="11"/>
        <v>2.6547352440441478E-3</v>
      </c>
      <c r="J88" s="354">
        <f t="shared" si="14"/>
        <v>0.68401489123935511</v>
      </c>
      <c r="K88" s="682">
        <f>'018-21-CAPA'!$F$37</f>
        <v>4974259.4398541162</v>
      </c>
      <c r="L88" s="689">
        <f t="shared" si="15"/>
        <v>7.4505805969238281E-9</v>
      </c>
      <c r="M88" s="228"/>
      <c r="N88" s="93"/>
      <c r="P88" s="95"/>
    </row>
    <row r="89" spans="1:16" s="94" customFormat="1" ht="38.25">
      <c r="A89" s="343">
        <v>96973</v>
      </c>
      <c r="B89" s="147" t="s">
        <v>3462</v>
      </c>
      <c r="C89" s="351" t="s">
        <v>5</v>
      </c>
      <c r="D89" s="351">
        <v>213.5</v>
      </c>
      <c r="E89" s="351" t="s">
        <v>14064</v>
      </c>
      <c r="F89" s="352">
        <v>0.2094</v>
      </c>
      <c r="G89" s="353">
        <f t="shared" si="12"/>
        <v>60.917477999999996</v>
      </c>
      <c r="H89" s="353">
        <f t="shared" si="13"/>
        <v>13005.881552999999</v>
      </c>
      <c r="I89" s="354">
        <f t="shared" si="11"/>
        <v>2.6146367535227416E-3</v>
      </c>
      <c r="J89" s="354">
        <f t="shared" si="14"/>
        <v>0.6866295279928778</v>
      </c>
      <c r="K89" s="682">
        <f>'018-21-CAPA'!$F$37</f>
        <v>4974259.4398541162</v>
      </c>
      <c r="L89" s="689">
        <f t="shared" si="15"/>
        <v>7.4505805969238281E-9</v>
      </c>
      <c r="M89" s="228"/>
      <c r="N89" s="93"/>
      <c r="P89" s="95"/>
    </row>
    <row r="90" spans="1:16" s="94" customFormat="1" ht="51">
      <c r="A90" s="343" t="s">
        <v>11613</v>
      </c>
      <c r="B90" s="147" t="s">
        <v>17003</v>
      </c>
      <c r="C90" s="351" t="s">
        <v>109</v>
      </c>
      <c r="D90" s="351">
        <v>22</v>
      </c>
      <c r="E90" s="351">
        <v>483.71000000000004</v>
      </c>
      <c r="F90" s="352">
        <v>0.2094</v>
      </c>
      <c r="G90" s="353">
        <f t="shared" si="12"/>
        <v>584.99887400000011</v>
      </c>
      <c r="H90" s="353">
        <f t="shared" si="13"/>
        <v>12869.975228000003</v>
      </c>
      <c r="I90" s="354">
        <f t="shared" si="11"/>
        <v>2.5873148322109771E-3</v>
      </c>
      <c r="J90" s="354">
        <f t="shared" si="14"/>
        <v>0.68921684282508877</v>
      </c>
      <c r="K90" s="682">
        <f>'018-21-CAPA'!$F$37</f>
        <v>4974259.4398541162</v>
      </c>
      <c r="L90" s="689">
        <f t="shared" si="15"/>
        <v>7.4505805969238281E-9</v>
      </c>
      <c r="M90" s="228"/>
      <c r="N90" s="93"/>
      <c r="P90" s="95"/>
    </row>
    <row r="91" spans="1:16" s="94" customFormat="1" ht="38.25">
      <c r="A91" s="343">
        <v>10777</v>
      </c>
      <c r="B91" s="147" t="s">
        <v>6972</v>
      </c>
      <c r="C91" s="351" t="s">
        <v>3246</v>
      </c>
      <c r="D91" s="351">
        <v>16</v>
      </c>
      <c r="E91" s="351" t="s">
        <v>20074</v>
      </c>
      <c r="F91" s="352">
        <v>0.2094</v>
      </c>
      <c r="G91" s="353">
        <f t="shared" si="12"/>
        <v>803.2955740000001</v>
      </c>
      <c r="H91" s="353">
        <f t="shared" si="13"/>
        <v>12852.729184000002</v>
      </c>
      <c r="I91" s="354">
        <f t="shared" si="11"/>
        <v>2.5838477746100356E-3</v>
      </c>
      <c r="J91" s="354">
        <f t="shared" si="14"/>
        <v>0.69180069059969884</v>
      </c>
      <c r="K91" s="682">
        <f>'018-21-CAPA'!$F$37</f>
        <v>4974259.4398541162</v>
      </c>
      <c r="L91" s="689">
        <f t="shared" si="15"/>
        <v>7.4505805969238281E-9</v>
      </c>
      <c r="M91" s="228"/>
      <c r="N91" s="93"/>
      <c r="P91" s="95"/>
    </row>
    <row r="92" spans="1:16" s="94" customFormat="1" ht="51">
      <c r="A92" s="343" t="s">
        <v>16890</v>
      </c>
      <c r="B92" s="147" t="s">
        <v>18370</v>
      </c>
      <c r="C92" s="351" t="s">
        <v>109</v>
      </c>
      <c r="D92" s="351">
        <v>1</v>
      </c>
      <c r="E92" s="351">
        <v>10594.91</v>
      </c>
      <c r="F92" s="352">
        <v>0.2094</v>
      </c>
      <c r="G92" s="353">
        <f t="shared" si="12"/>
        <v>12813.484154</v>
      </c>
      <c r="H92" s="353">
        <f t="shared" si="13"/>
        <v>12813.484154</v>
      </c>
      <c r="I92" s="354">
        <f t="shared" si="11"/>
        <v>2.5759581519487068E-3</v>
      </c>
      <c r="J92" s="354">
        <f t="shared" si="14"/>
        <v>0.69437664875164751</v>
      </c>
      <c r="K92" s="682">
        <f>'018-21-CAPA'!$F$37</f>
        <v>4974259.4398541162</v>
      </c>
      <c r="L92" s="689">
        <f t="shared" si="15"/>
        <v>7.4505805969238281E-9</v>
      </c>
      <c r="M92" s="228"/>
      <c r="N92" s="93"/>
      <c r="P92" s="95"/>
    </row>
    <row r="93" spans="1:16" s="94" customFormat="1" ht="51">
      <c r="A93" s="343">
        <v>89714</v>
      </c>
      <c r="B93" s="147" t="s">
        <v>1779</v>
      </c>
      <c r="C93" s="351" t="s">
        <v>5</v>
      </c>
      <c r="D93" s="351">
        <v>197.75</v>
      </c>
      <c r="E93" s="351" t="s">
        <v>22908</v>
      </c>
      <c r="F93" s="352">
        <v>0.2094</v>
      </c>
      <c r="G93" s="353">
        <f t="shared" si="12"/>
        <v>64.751276000000004</v>
      </c>
      <c r="H93" s="353">
        <f t="shared" si="13"/>
        <v>12804.564829000001</v>
      </c>
      <c r="I93" s="354">
        <f t="shared" si="11"/>
        <v>2.5741650558893142E-3</v>
      </c>
      <c r="J93" s="354">
        <f t="shared" si="14"/>
        <v>0.69695081380753687</v>
      </c>
      <c r="K93" s="682">
        <f>'018-21-CAPA'!$F$37</f>
        <v>4974259.4398541162</v>
      </c>
      <c r="L93" s="689">
        <f t="shared" si="15"/>
        <v>7.4505805969238281E-9</v>
      </c>
      <c r="M93" s="228"/>
      <c r="N93" s="93"/>
      <c r="P93" s="95"/>
    </row>
    <row r="94" spans="1:16" s="94" customFormat="1" ht="25.5">
      <c r="A94" s="343" t="s">
        <v>14990</v>
      </c>
      <c r="B94" s="147" t="s">
        <v>16853</v>
      </c>
      <c r="C94" s="351" t="s">
        <v>193</v>
      </c>
      <c r="D94" s="351">
        <v>102.65</v>
      </c>
      <c r="E94" s="351">
        <v>102.83</v>
      </c>
      <c r="F94" s="352">
        <v>0.2094</v>
      </c>
      <c r="G94" s="353">
        <f t="shared" si="12"/>
        <v>124.362602</v>
      </c>
      <c r="H94" s="353">
        <f t="shared" si="13"/>
        <v>12765.8210953</v>
      </c>
      <c r="I94" s="354">
        <f t="shared" si="11"/>
        <v>2.5663762113048152E-3</v>
      </c>
      <c r="J94" s="354">
        <f t="shared" si="14"/>
        <v>0.69951719001884172</v>
      </c>
      <c r="K94" s="682">
        <f>'018-21-CAPA'!$F$37</f>
        <v>4974259.4398541162</v>
      </c>
      <c r="L94" s="689">
        <f t="shared" si="15"/>
        <v>7.4505805969238281E-9</v>
      </c>
      <c r="M94" s="228"/>
      <c r="N94" s="93"/>
      <c r="P94" s="95"/>
    </row>
    <row r="95" spans="1:16" s="94" customFormat="1" ht="51">
      <c r="A95" s="343" t="s">
        <v>17857</v>
      </c>
      <c r="B95" s="147" t="s">
        <v>24754</v>
      </c>
      <c r="C95" s="351" t="s">
        <v>3244</v>
      </c>
      <c r="D95" s="351">
        <v>835.4</v>
      </c>
      <c r="E95" s="351">
        <v>12.54</v>
      </c>
      <c r="F95" s="352">
        <v>0.2094</v>
      </c>
      <c r="G95" s="353">
        <f t="shared" si="12"/>
        <v>15.165875999999999</v>
      </c>
      <c r="H95" s="353">
        <f t="shared" si="13"/>
        <v>12669.572810399999</v>
      </c>
      <c r="I95" s="354">
        <f t="shared" si="11"/>
        <v>2.5470269421193656E-3</v>
      </c>
      <c r="J95" s="354">
        <f t="shared" si="14"/>
        <v>0.70206421696096111</v>
      </c>
      <c r="K95" s="682">
        <f>'018-21-CAPA'!$F$37</f>
        <v>4974259.4398541162</v>
      </c>
      <c r="L95" s="689">
        <f t="shared" si="15"/>
        <v>7.4505805969238281E-9</v>
      </c>
      <c r="M95" s="228"/>
      <c r="N95" s="93"/>
      <c r="P95" s="95"/>
    </row>
    <row r="96" spans="1:16" s="94" customFormat="1" ht="51">
      <c r="A96" s="343" t="s">
        <v>15454</v>
      </c>
      <c r="B96" s="147" t="s">
        <v>24592</v>
      </c>
      <c r="C96" s="351" t="s">
        <v>3240</v>
      </c>
      <c r="D96" s="351">
        <v>10</v>
      </c>
      <c r="E96" s="351">
        <v>1043.21</v>
      </c>
      <c r="F96" s="352">
        <v>0.2094</v>
      </c>
      <c r="G96" s="353">
        <f t="shared" si="12"/>
        <v>1261.6581740000001</v>
      </c>
      <c r="H96" s="353">
        <f t="shared" si="13"/>
        <v>12616.581740000001</v>
      </c>
      <c r="I96" s="354">
        <f t="shared" si="11"/>
        <v>2.5363738849073854E-3</v>
      </c>
      <c r="J96" s="354">
        <f t="shared" si="14"/>
        <v>0.70460059084586846</v>
      </c>
      <c r="K96" s="682">
        <f>'018-21-CAPA'!$F$37</f>
        <v>4974259.4398541162</v>
      </c>
      <c r="L96" s="689">
        <f t="shared" si="15"/>
        <v>7.4505805969238281E-9</v>
      </c>
      <c r="M96" s="228"/>
      <c r="N96" s="93"/>
      <c r="P96" s="95"/>
    </row>
    <row r="97" spans="1:16" s="94" customFormat="1" ht="38.25">
      <c r="A97" s="343">
        <v>97636</v>
      </c>
      <c r="B97" s="147" t="s">
        <v>3732</v>
      </c>
      <c r="C97" s="351" t="s">
        <v>193</v>
      </c>
      <c r="D97" s="351">
        <v>756.7</v>
      </c>
      <c r="E97" s="351" t="s">
        <v>10174</v>
      </c>
      <c r="F97" s="352">
        <v>0.2094</v>
      </c>
      <c r="G97" s="353">
        <f t="shared" si="12"/>
        <v>16.472027999999998</v>
      </c>
      <c r="H97" s="353">
        <f t="shared" si="13"/>
        <v>12464.383587599999</v>
      </c>
      <c r="I97" s="354">
        <f t="shared" si="11"/>
        <v>2.5057767368815748E-3</v>
      </c>
      <c r="J97" s="354">
        <f t="shared" si="14"/>
        <v>0.70710636758275003</v>
      </c>
      <c r="K97" s="682">
        <f>'018-21-CAPA'!$F$37</f>
        <v>4974259.4398541162</v>
      </c>
      <c r="L97" s="689">
        <f t="shared" si="15"/>
        <v>7.4505805969238281E-9</v>
      </c>
      <c r="M97" s="228"/>
      <c r="N97" s="93"/>
      <c r="P97" s="95"/>
    </row>
    <row r="98" spans="1:16" s="94" customFormat="1" ht="51">
      <c r="A98" s="343" t="s">
        <v>9020</v>
      </c>
      <c r="B98" s="147" t="s">
        <v>16978</v>
      </c>
      <c r="C98" s="351" t="s">
        <v>5</v>
      </c>
      <c r="D98" s="351">
        <v>205.97</v>
      </c>
      <c r="E98" s="351">
        <v>48.870000000000005</v>
      </c>
      <c r="F98" s="352">
        <v>0.2094</v>
      </c>
      <c r="G98" s="353">
        <f t="shared" si="12"/>
        <v>59.103378000000006</v>
      </c>
      <c r="H98" s="353">
        <f t="shared" si="13"/>
        <v>12173.52276666</v>
      </c>
      <c r="I98" s="354">
        <f t="shared" si="11"/>
        <v>2.4473035461570216E-3</v>
      </c>
      <c r="J98" s="354">
        <f t="shared" si="14"/>
        <v>0.7095536711289071</v>
      </c>
      <c r="K98" s="682">
        <f>'018-21-CAPA'!$F$37</f>
        <v>4974259.4398541162</v>
      </c>
      <c r="L98" s="689">
        <f t="shared" si="15"/>
        <v>7.4505805969238281E-9</v>
      </c>
      <c r="M98" s="228"/>
      <c r="N98" s="93"/>
      <c r="P98" s="95"/>
    </row>
    <row r="99" spans="1:16" s="94" customFormat="1" ht="51">
      <c r="A99" s="343">
        <v>102253</v>
      </c>
      <c r="B99" s="147" t="s">
        <v>13675</v>
      </c>
      <c r="C99" s="351" t="s">
        <v>193</v>
      </c>
      <c r="D99" s="351">
        <v>12.8</v>
      </c>
      <c r="E99" s="351" t="s">
        <v>23823</v>
      </c>
      <c r="F99" s="352">
        <v>0.2094</v>
      </c>
      <c r="G99" s="353">
        <f t="shared" si="12"/>
        <v>915.84233800000004</v>
      </c>
      <c r="H99" s="353">
        <f t="shared" si="13"/>
        <v>11722.781926400001</v>
      </c>
      <c r="I99" s="354">
        <f t="shared" si="11"/>
        <v>2.3566888836710578E-3</v>
      </c>
      <c r="J99" s="354">
        <f t="shared" si="14"/>
        <v>0.71191036001257813</v>
      </c>
      <c r="K99" s="682">
        <f>'018-21-CAPA'!$F$37</f>
        <v>4974259.4398541162</v>
      </c>
      <c r="L99" s="689">
        <f t="shared" si="15"/>
        <v>7.4505805969238281E-9</v>
      </c>
      <c r="M99" s="228"/>
      <c r="N99" s="93"/>
      <c r="P99" s="95"/>
    </row>
    <row r="100" spans="1:16" s="94" customFormat="1" ht="51">
      <c r="A100" s="343" t="s">
        <v>8985</v>
      </c>
      <c r="B100" s="147" t="s">
        <v>24484</v>
      </c>
      <c r="C100" s="351" t="s">
        <v>5</v>
      </c>
      <c r="D100" s="351">
        <v>210</v>
      </c>
      <c r="E100" s="351">
        <v>45.82</v>
      </c>
      <c r="F100" s="352">
        <v>0.2094</v>
      </c>
      <c r="G100" s="353">
        <f t="shared" si="12"/>
        <v>55.414708000000005</v>
      </c>
      <c r="H100" s="353">
        <f t="shared" si="13"/>
        <v>11637.088680000001</v>
      </c>
      <c r="I100" s="354">
        <f t="shared" si="11"/>
        <v>2.3394615461274186E-3</v>
      </c>
      <c r="J100" s="354">
        <f t="shared" si="14"/>
        <v>0.71424982155870553</v>
      </c>
      <c r="K100" s="682">
        <f>'018-21-CAPA'!$F$37</f>
        <v>4974259.4398541162</v>
      </c>
      <c r="L100" s="689">
        <f t="shared" si="15"/>
        <v>7.4505805969238281E-9</v>
      </c>
      <c r="M100" s="228"/>
      <c r="N100" s="93"/>
      <c r="P100" s="95"/>
    </row>
    <row r="101" spans="1:16" s="94" customFormat="1" ht="38.25">
      <c r="A101" s="343">
        <v>95241</v>
      </c>
      <c r="B101" s="147" t="s">
        <v>15893</v>
      </c>
      <c r="C101" s="351" t="s">
        <v>193</v>
      </c>
      <c r="D101" s="351">
        <v>362.92</v>
      </c>
      <c r="E101" s="351" t="s">
        <v>14160</v>
      </c>
      <c r="F101" s="352">
        <v>0.2094</v>
      </c>
      <c r="G101" s="353">
        <f t="shared" si="12"/>
        <v>31.420212000000003</v>
      </c>
      <c r="H101" s="353">
        <f t="shared" si="13"/>
        <v>11403.023339040001</v>
      </c>
      <c r="I101" s="354">
        <f t="shared" si="11"/>
        <v>2.2924062319062397E-3</v>
      </c>
      <c r="J101" s="354">
        <f t="shared" si="14"/>
        <v>0.71654222779061172</v>
      </c>
      <c r="K101" s="682">
        <f>'018-21-CAPA'!$F$37</f>
        <v>4974259.4398541162</v>
      </c>
      <c r="L101" s="689">
        <f t="shared" si="15"/>
        <v>7.4505805969238281E-9</v>
      </c>
      <c r="M101" s="228"/>
      <c r="N101" s="93"/>
      <c r="P101" s="95"/>
    </row>
    <row r="102" spans="1:16" s="94" customFormat="1" ht="38.25">
      <c r="A102" s="343" t="s">
        <v>16876</v>
      </c>
      <c r="B102" s="147" t="s">
        <v>18327</v>
      </c>
      <c r="C102" s="351" t="s">
        <v>10</v>
      </c>
      <c r="D102" s="351">
        <v>4</v>
      </c>
      <c r="E102" s="351">
        <v>2355.35</v>
      </c>
      <c r="F102" s="352">
        <v>0.2094</v>
      </c>
      <c r="G102" s="353">
        <f t="shared" si="12"/>
        <v>2848.5602899999999</v>
      </c>
      <c r="H102" s="353">
        <f t="shared" si="13"/>
        <v>11394.24116</v>
      </c>
      <c r="I102" s="354">
        <f t="shared" si="11"/>
        <v>2.2906407069781193E-3</v>
      </c>
      <c r="J102" s="354">
        <f t="shared" si="14"/>
        <v>0.71883286849758987</v>
      </c>
      <c r="K102" s="682">
        <f>'018-21-CAPA'!$F$37</f>
        <v>4974259.4398541162</v>
      </c>
      <c r="L102" s="689">
        <f t="shared" si="15"/>
        <v>7.4505805969238281E-9</v>
      </c>
      <c r="M102" s="228"/>
      <c r="N102" s="93"/>
      <c r="P102" s="95"/>
    </row>
    <row r="103" spans="1:16" s="94" customFormat="1" ht="25.5">
      <c r="A103" s="343" t="s">
        <v>24780</v>
      </c>
      <c r="B103" s="147" t="s">
        <v>24782</v>
      </c>
      <c r="C103" s="351" t="s">
        <v>3244</v>
      </c>
      <c r="D103" s="351">
        <v>5194.0999999999995</v>
      </c>
      <c r="E103" s="351">
        <v>1.8</v>
      </c>
      <c r="F103" s="352">
        <v>0.2094</v>
      </c>
      <c r="G103" s="353">
        <f t="shared" si="12"/>
        <v>2.17692</v>
      </c>
      <c r="H103" s="353">
        <f t="shared" si="13"/>
        <v>11307.140171999999</v>
      </c>
      <c r="I103" s="354">
        <f t="shared" si="11"/>
        <v>2.2731303641716823E-3</v>
      </c>
      <c r="J103" s="354">
        <f t="shared" si="14"/>
        <v>0.72110599886176152</v>
      </c>
      <c r="K103" s="682">
        <f>'018-21-CAPA'!$F$37</f>
        <v>4974259.4398541162</v>
      </c>
      <c r="L103" s="689">
        <f t="shared" si="15"/>
        <v>7.4505805969238281E-9</v>
      </c>
      <c r="M103" s="228"/>
      <c r="N103" s="93"/>
      <c r="P103" s="95"/>
    </row>
    <row r="104" spans="1:16" s="94" customFormat="1" ht="25.5">
      <c r="A104" s="343">
        <v>88496</v>
      </c>
      <c r="B104" s="147" t="s">
        <v>220</v>
      </c>
      <c r="C104" s="351" t="s">
        <v>193</v>
      </c>
      <c r="D104" s="351">
        <v>368.85</v>
      </c>
      <c r="E104" s="351" t="s">
        <v>12267</v>
      </c>
      <c r="F104" s="352">
        <v>0.2094</v>
      </c>
      <c r="G104" s="353">
        <f t="shared" si="12"/>
        <v>30.271282000000003</v>
      </c>
      <c r="H104" s="353">
        <f t="shared" si="13"/>
        <v>11165.562365700001</v>
      </c>
      <c r="I104" s="354">
        <f t="shared" si="11"/>
        <v>2.2446682768978128E-3</v>
      </c>
      <c r="J104" s="354">
        <f t="shared" si="14"/>
        <v>0.72335066713865936</v>
      </c>
      <c r="K104" s="682">
        <f>'018-21-CAPA'!$F$37</f>
        <v>4974259.4398541162</v>
      </c>
      <c r="L104" s="689">
        <f t="shared" si="15"/>
        <v>7.4505805969238281E-9</v>
      </c>
      <c r="M104" s="228"/>
      <c r="N104" s="93"/>
      <c r="P104" s="95"/>
    </row>
    <row r="105" spans="1:16" s="94" customFormat="1">
      <c r="A105" s="343">
        <v>101741</v>
      </c>
      <c r="B105" s="147" t="s">
        <v>13767</v>
      </c>
      <c r="C105" s="351" t="s">
        <v>5</v>
      </c>
      <c r="D105" s="351">
        <v>460.73</v>
      </c>
      <c r="E105" s="351" t="s">
        <v>10666</v>
      </c>
      <c r="F105" s="352">
        <v>0.2094</v>
      </c>
      <c r="G105" s="353">
        <f t="shared" si="12"/>
        <v>24.030778000000002</v>
      </c>
      <c r="H105" s="353">
        <f t="shared" si="13"/>
        <v>11071.700347940001</v>
      </c>
      <c r="I105" s="354">
        <f t="shared" si="11"/>
        <v>2.2257987308086057E-3</v>
      </c>
      <c r="J105" s="354">
        <f t="shared" si="14"/>
        <v>0.725576465869468</v>
      </c>
      <c r="K105" s="682">
        <f>'018-21-CAPA'!$F$37</f>
        <v>4974259.4398541162</v>
      </c>
      <c r="L105" s="689">
        <f t="shared" si="15"/>
        <v>7.4505805969238281E-9</v>
      </c>
      <c r="M105" s="228"/>
      <c r="N105" s="93"/>
      <c r="P105" s="95"/>
    </row>
    <row r="106" spans="1:16" s="94" customFormat="1" ht="25.5">
      <c r="A106" s="343" t="s">
        <v>24501</v>
      </c>
      <c r="B106" s="147" t="s">
        <v>24505</v>
      </c>
      <c r="C106" s="351" t="s">
        <v>109</v>
      </c>
      <c r="D106" s="351">
        <v>1</v>
      </c>
      <c r="E106" s="351">
        <v>10964.12</v>
      </c>
      <c r="F106" s="352">
        <v>0</v>
      </c>
      <c r="G106" s="353">
        <f t="shared" si="12"/>
        <v>10964.12</v>
      </c>
      <c r="H106" s="353">
        <f t="shared" si="13"/>
        <v>10964.12</v>
      </c>
      <c r="I106" s="354">
        <f t="shared" si="11"/>
        <v>2.204171320891451E-3</v>
      </c>
      <c r="J106" s="354">
        <f t="shared" si="14"/>
        <v>0.72778063719035946</v>
      </c>
      <c r="K106" s="682">
        <f>'018-21-CAPA'!$F$37</f>
        <v>4974259.4398541162</v>
      </c>
      <c r="L106" s="689">
        <f t="shared" si="15"/>
        <v>7.4505805969238281E-9</v>
      </c>
      <c r="M106" s="228"/>
      <c r="N106" s="93"/>
      <c r="P106" s="95"/>
    </row>
    <row r="107" spans="1:16" s="94" customFormat="1">
      <c r="A107" s="343" t="s">
        <v>17424</v>
      </c>
      <c r="B107" s="147" t="s">
        <v>17425</v>
      </c>
      <c r="C107" s="351" t="s">
        <v>109</v>
      </c>
      <c r="D107" s="351">
        <v>6</v>
      </c>
      <c r="E107" s="351">
        <v>1493.5</v>
      </c>
      <c r="F107" s="352">
        <v>0.2094</v>
      </c>
      <c r="G107" s="353">
        <f t="shared" si="12"/>
        <v>1806.2389000000001</v>
      </c>
      <c r="H107" s="353">
        <f t="shared" si="13"/>
        <v>10837.4334</v>
      </c>
      <c r="I107" s="354">
        <f t="shared" si="11"/>
        <v>2.1787028865381925E-3</v>
      </c>
      <c r="J107" s="354">
        <f t="shared" si="14"/>
        <v>0.72995934007689767</v>
      </c>
      <c r="K107" s="682">
        <f>'018-21-CAPA'!$F$37</f>
        <v>4974259.4398541162</v>
      </c>
      <c r="L107" s="689">
        <f t="shared" si="15"/>
        <v>7.4505805969238281E-9</v>
      </c>
      <c r="M107" s="228"/>
      <c r="N107" s="93"/>
      <c r="P107" s="95"/>
    </row>
    <row r="108" spans="1:16" s="94" customFormat="1" ht="51">
      <c r="A108" s="343" t="s">
        <v>17861</v>
      </c>
      <c r="B108" s="147" t="s">
        <v>24513</v>
      </c>
      <c r="C108" s="351" t="s">
        <v>3244</v>
      </c>
      <c r="D108" s="351">
        <v>785.7</v>
      </c>
      <c r="E108" s="351">
        <v>11.3</v>
      </c>
      <c r="F108" s="352">
        <v>0.2094</v>
      </c>
      <c r="G108" s="353">
        <f t="shared" si="12"/>
        <v>13.666220000000001</v>
      </c>
      <c r="H108" s="353">
        <f t="shared" si="13"/>
        <v>10737.549054000001</v>
      </c>
      <c r="I108" s="354">
        <f t="shared" si="11"/>
        <v>2.1586226419896839E-3</v>
      </c>
      <c r="J108" s="354">
        <f t="shared" si="14"/>
        <v>0.73211796271888741</v>
      </c>
      <c r="K108" s="682">
        <f>'018-21-CAPA'!$F$37</f>
        <v>4974259.4398541162</v>
      </c>
      <c r="L108" s="689">
        <f t="shared" si="15"/>
        <v>7.4505805969238281E-9</v>
      </c>
      <c r="M108" s="228"/>
      <c r="N108" s="93"/>
      <c r="P108" s="95"/>
    </row>
    <row r="109" spans="1:16" s="94" customFormat="1" ht="38.25">
      <c r="A109" s="343" t="s">
        <v>15544</v>
      </c>
      <c r="B109" s="147" t="s">
        <v>17657</v>
      </c>
      <c r="C109" s="351" t="s">
        <v>3240</v>
      </c>
      <c r="D109" s="351">
        <v>14</v>
      </c>
      <c r="E109" s="351">
        <v>630.63</v>
      </c>
      <c r="F109" s="352">
        <v>0.2094</v>
      </c>
      <c r="G109" s="353">
        <f t="shared" si="12"/>
        <v>762.68392200000005</v>
      </c>
      <c r="H109" s="353">
        <f t="shared" si="13"/>
        <v>10677.574908000001</v>
      </c>
      <c r="I109" s="354">
        <f t="shared" si="11"/>
        <v>2.1465657425204917E-3</v>
      </c>
      <c r="J109" s="354">
        <f t="shared" si="14"/>
        <v>0.73426452846140788</v>
      </c>
      <c r="K109" s="682">
        <f>'018-21-CAPA'!$F$37</f>
        <v>4974259.4398541162</v>
      </c>
      <c r="L109" s="689">
        <f t="shared" si="15"/>
        <v>7.4505805969238281E-9</v>
      </c>
      <c r="M109" s="228"/>
      <c r="N109" s="93"/>
      <c r="P109" s="95"/>
    </row>
    <row r="110" spans="1:16" s="94" customFormat="1" ht="25.5">
      <c r="A110" s="343">
        <v>93195</v>
      </c>
      <c r="B110" s="147" t="s">
        <v>1497</v>
      </c>
      <c r="C110" s="351" t="s">
        <v>5</v>
      </c>
      <c r="D110" s="351">
        <v>174.76</v>
      </c>
      <c r="E110" s="351" t="s">
        <v>22521</v>
      </c>
      <c r="F110" s="352">
        <v>0.2094</v>
      </c>
      <c r="G110" s="353">
        <f t="shared" si="12"/>
        <v>60.385342000000001</v>
      </c>
      <c r="H110" s="353">
        <f t="shared" si="13"/>
        <v>10552.942367919999</v>
      </c>
      <c r="I110" s="354">
        <f t="shared" si="11"/>
        <v>2.1215102460014649E-3</v>
      </c>
      <c r="J110" s="354">
        <f t="shared" si="14"/>
        <v>0.73638603870740937</v>
      </c>
      <c r="K110" s="682">
        <f>'018-21-CAPA'!$F$37</f>
        <v>4974259.4398541162</v>
      </c>
      <c r="L110" s="689">
        <f t="shared" si="15"/>
        <v>7.4505805969238281E-9</v>
      </c>
      <c r="M110" s="228"/>
      <c r="N110" s="93"/>
      <c r="P110" s="95"/>
    </row>
    <row r="111" spans="1:16" s="94" customFormat="1" ht="51">
      <c r="A111" s="343">
        <v>92460</v>
      </c>
      <c r="B111" s="147" t="s">
        <v>12859</v>
      </c>
      <c r="C111" s="351" t="s">
        <v>193</v>
      </c>
      <c r="D111" s="351">
        <v>97.32</v>
      </c>
      <c r="E111" s="351" t="s">
        <v>22268</v>
      </c>
      <c r="F111" s="352">
        <v>0.2094</v>
      </c>
      <c r="G111" s="353">
        <f t="shared" si="12"/>
        <v>106.48766999999999</v>
      </c>
      <c r="H111" s="353">
        <f t="shared" si="13"/>
        <v>10363.380044399999</v>
      </c>
      <c r="I111" s="354">
        <f t="shared" si="11"/>
        <v>2.0834015936860642E-3</v>
      </c>
      <c r="J111" s="354">
        <f t="shared" si="14"/>
        <v>0.7384694403010954</v>
      </c>
      <c r="K111" s="682">
        <f>'018-21-CAPA'!$F$37</f>
        <v>4974259.4398541162</v>
      </c>
      <c r="L111" s="689">
        <f t="shared" si="15"/>
        <v>7.4505805969238281E-9</v>
      </c>
      <c r="M111" s="228"/>
      <c r="N111" s="93"/>
      <c r="P111" s="95"/>
    </row>
    <row r="112" spans="1:16" s="94" customFormat="1" ht="25.5">
      <c r="A112" s="343" t="s">
        <v>18142</v>
      </c>
      <c r="B112" s="147" t="s">
        <v>18140</v>
      </c>
      <c r="C112" s="351" t="s">
        <v>2503</v>
      </c>
      <c r="D112" s="351">
        <v>681.0242750000001</v>
      </c>
      <c r="E112" s="351">
        <v>12.23</v>
      </c>
      <c r="F112" s="352">
        <v>0.2094</v>
      </c>
      <c r="G112" s="353">
        <f t="shared" si="12"/>
        <v>14.790962</v>
      </c>
      <c r="H112" s="353">
        <f t="shared" si="13"/>
        <v>10073.004172602552</v>
      </c>
      <c r="I112" s="354">
        <f t="shared" si="11"/>
        <v>2.0250258946883531E-3</v>
      </c>
      <c r="J112" s="354">
        <f t="shared" si="14"/>
        <v>0.74049446619578374</v>
      </c>
      <c r="K112" s="682">
        <f>'018-21-CAPA'!$F$37</f>
        <v>4974259.4398541162</v>
      </c>
      <c r="L112" s="689">
        <f t="shared" si="15"/>
        <v>7.4505805969238281E-9</v>
      </c>
      <c r="M112" s="228"/>
      <c r="N112" s="93"/>
      <c r="P112" s="95"/>
    </row>
    <row r="113" spans="1:16" s="94" customFormat="1" ht="38.25">
      <c r="A113" s="343">
        <v>96543</v>
      </c>
      <c r="B113" s="147" t="s">
        <v>1358</v>
      </c>
      <c r="C113" s="351" t="s">
        <v>108</v>
      </c>
      <c r="D113" s="351">
        <v>449.25623999999999</v>
      </c>
      <c r="E113" s="351" t="s">
        <v>12153</v>
      </c>
      <c r="F113" s="352">
        <v>0.2094</v>
      </c>
      <c r="G113" s="353">
        <f t="shared" si="12"/>
        <v>22.337617999999999</v>
      </c>
      <c r="H113" s="353">
        <f t="shared" si="13"/>
        <v>10035.314273236319</v>
      </c>
      <c r="I113" s="354">
        <f t="shared" si="11"/>
        <v>2.017448907636922E-3</v>
      </c>
      <c r="J113" s="354">
        <f t="shared" si="14"/>
        <v>0.74251191510342063</v>
      </c>
      <c r="K113" s="682">
        <f>'018-21-CAPA'!$F$37</f>
        <v>4974259.4398541162</v>
      </c>
      <c r="L113" s="689">
        <f t="shared" si="15"/>
        <v>7.4505805969238281E-9</v>
      </c>
      <c r="M113" s="228"/>
      <c r="N113" s="93"/>
      <c r="P113" s="95"/>
    </row>
    <row r="114" spans="1:16" s="94" customFormat="1" ht="51">
      <c r="A114" s="343" t="s">
        <v>11570</v>
      </c>
      <c r="B114" s="147" t="s">
        <v>24750</v>
      </c>
      <c r="C114" s="351" t="s">
        <v>3244</v>
      </c>
      <c r="D114" s="351">
        <v>684</v>
      </c>
      <c r="E114" s="351">
        <v>11.96</v>
      </c>
      <c r="F114" s="352">
        <v>0.2094</v>
      </c>
      <c r="G114" s="353">
        <f t="shared" si="12"/>
        <v>14.464424000000001</v>
      </c>
      <c r="H114" s="353">
        <f t="shared" si="13"/>
        <v>9893.666016000001</v>
      </c>
      <c r="I114" s="354">
        <f t="shared" si="11"/>
        <v>1.9889726572625602E-3</v>
      </c>
      <c r="J114" s="354">
        <f t="shared" si="14"/>
        <v>0.74450088776068324</v>
      </c>
      <c r="K114" s="682">
        <f>'018-21-CAPA'!$F$37</f>
        <v>4974259.4398541162</v>
      </c>
      <c r="L114" s="689">
        <f t="shared" si="15"/>
        <v>7.4505805969238281E-9</v>
      </c>
      <c r="M114" s="228"/>
      <c r="N114" s="93"/>
      <c r="P114" s="95"/>
    </row>
    <row r="115" spans="1:16" s="94" customFormat="1" ht="51">
      <c r="A115" s="343">
        <v>92786</v>
      </c>
      <c r="B115" s="147" t="s">
        <v>1391</v>
      </c>
      <c r="C115" s="351" t="s">
        <v>108</v>
      </c>
      <c r="D115" s="351">
        <v>552</v>
      </c>
      <c r="E115" s="351" t="s">
        <v>15857</v>
      </c>
      <c r="F115" s="352">
        <v>0.2094</v>
      </c>
      <c r="G115" s="353">
        <f t="shared" si="12"/>
        <v>17.802368000000001</v>
      </c>
      <c r="H115" s="353">
        <f t="shared" si="13"/>
        <v>9826.9071360000016</v>
      </c>
      <c r="I115" s="354">
        <f t="shared" si="11"/>
        <v>1.9755517891298846E-3</v>
      </c>
      <c r="J115" s="354">
        <f t="shared" si="14"/>
        <v>0.74647643954981313</v>
      </c>
      <c r="K115" s="682">
        <f>'018-21-CAPA'!$F$37</f>
        <v>4974259.4398541162</v>
      </c>
      <c r="L115" s="689">
        <f t="shared" si="15"/>
        <v>7.4505805969238281E-9</v>
      </c>
      <c r="M115" s="228"/>
      <c r="N115" s="93"/>
      <c r="P115" s="95"/>
    </row>
    <row r="116" spans="1:16" s="94" customFormat="1" ht="51">
      <c r="A116" s="343" t="s">
        <v>15472</v>
      </c>
      <c r="B116" s="147" t="s">
        <v>24620</v>
      </c>
      <c r="C116" s="351" t="s">
        <v>3240</v>
      </c>
      <c r="D116" s="351">
        <v>5</v>
      </c>
      <c r="E116" s="351">
        <v>1620.2900000000002</v>
      </c>
      <c r="F116" s="352">
        <v>0.2094</v>
      </c>
      <c r="G116" s="353">
        <f t="shared" si="12"/>
        <v>1959.5787260000002</v>
      </c>
      <c r="H116" s="353">
        <f t="shared" si="13"/>
        <v>9797.8936300000005</v>
      </c>
      <c r="I116" s="354">
        <f t="shared" si="11"/>
        <v>1.9697190603888896E-3</v>
      </c>
      <c r="J116" s="354">
        <f t="shared" si="14"/>
        <v>0.74844615861020203</v>
      </c>
      <c r="K116" s="682">
        <f>'018-21-CAPA'!$F$37</f>
        <v>4974259.4398541162</v>
      </c>
      <c r="L116" s="689">
        <f t="shared" si="15"/>
        <v>7.4505805969238281E-9</v>
      </c>
      <c r="M116" s="228"/>
      <c r="N116" s="93"/>
      <c r="P116" s="95"/>
    </row>
    <row r="117" spans="1:16" s="94" customFormat="1" ht="25.5">
      <c r="A117" s="343">
        <v>96527</v>
      </c>
      <c r="B117" s="147" t="s">
        <v>2468</v>
      </c>
      <c r="C117" s="351" t="s">
        <v>209</v>
      </c>
      <c r="D117" s="351">
        <v>73.849999999999994</v>
      </c>
      <c r="E117" s="351" t="s">
        <v>14231</v>
      </c>
      <c r="F117" s="352">
        <v>0.2094</v>
      </c>
      <c r="G117" s="353">
        <f t="shared" si="12"/>
        <v>130.30075600000001</v>
      </c>
      <c r="H117" s="353">
        <f t="shared" si="13"/>
        <v>9622.7108305999991</v>
      </c>
      <c r="I117" s="354">
        <f t="shared" si="11"/>
        <v>1.9345011949924E-3</v>
      </c>
      <c r="J117" s="354">
        <f t="shared" si="14"/>
        <v>0.75038065980519442</v>
      </c>
      <c r="K117" s="682">
        <f>'018-21-CAPA'!$F$37</f>
        <v>4974259.4398541162</v>
      </c>
      <c r="L117" s="689">
        <f t="shared" si="15"/>
        <v>7.4505805969238281E-9</v>
      </c>
      <c r="M117" s="228"/>
      <c r="N117" s="93"/>
      <c r="P117" s="95"/>
    </row>
    <row r="118" spans="1:16" s="94" customFormat="1" ht="38.25">
      <c r="A118" s="343" t="s">
        <v>17402</v>
      </c>
      <c r="B118" s="147" t="s">
        <v>17403</v>
      </c>
      <c r="C118" s="351" t="s">
        <v>3240</v>
      </c>
      <c r="D118" s="351">
        <v>4</v>
      </c>
      <c r="E118" s="351">
        <v>1946.81</v>
      </c>
      <c r="F118" s="352">
        <v>0.2094</v>
      </c>
      <c r="G118" s="353">
        <f t="shared" si="12"/>
        <v>2354.4720139999999</v>
      </c>
      <c r="H118" s="353">
        <f t="shared" si="13"/>
        <v>9417.8880559999998</v>
      </c>
      <c r="I118" s="354">
        <f t="shared" si="11"/>
        <v>1.8933246586503377E-3</v>
      </c>
      <c r="J118" s="354">
        <f t="shared" si="14"/>
        <v>0.75227398446384475</v>
      </c>
      <c r="K118" s="682">
        <f>'018-21-CAPA'!$F$37</f>
        <v>4974259.4398541162</v>
      </c>
      <c r="L118" s="689">
        <f t="shared" si="15"/>
        <v>7.4505805969238281E-9</v>
      </c>
      <c r="M118" s="228"/>
      <c r="N118" s="93"/>
      <c r="P118" s="95"/>
    </row>
    <row r="119" spans="1:16" s="94" customFormat="1" ht="38.25">
      <c r="A119" s="343">
        <v>92986</v>
      </c>
      <c r="B119" s="147" t="s">
        <v>127</v>
      </c>
      <c r="C119" s="351" t="s">
        <v>5</v>
      </c>
      <c r="D119" s="351">
        <v>201.6</v>
      </c>
      <c r="E119" s="351" t="s">
        <v>22582</v>
      </c>
      <c r="F119" s="352">
        <v>0.2094</v>
      </c>
      <c r="G119" s="353">
        <f t="shared" si="12"/>
        <v>46.537711999999999</v>
      </c>
      <c r="H119" s="353">
        <f t="shared" si="13"/>
        <v>9382.0027391999993</v>
      </c>
      <c r="I119" s="354">
        <f t="shared" si="11"/>
        <v>1.8861104557656861E-3</v>
      </c>
      <c r="J119" s="354">
        <f t="shared" si="14"/>
        <v>0.75416009491961045</v>
      </c>
      <c r="K119" s="682">
        <f>'018-21-CAPA'!$F$37</f>
        <v>4974259.4398541162</v>
      </c>
      <c r="L119" s="689">
        <f t="shared" ref="L119:L153" si="16">K119-$F$772</f>
        <v>7.4505805969238281E-9</v>
      </c>
      <c r="M119" s="228"/>
      <c r="N119" s="93"/>
      <c r="P119" s="95"/>
    </row>
    <row r="120" spans="1:16" s="94" customFormat="1" ht="25.5">
      <c r="A120" s="343" t="s">
        <v>9673</v>
      </c>
      <c r="B120" s="147" t="s">
        <v>15265</v>
      </c>
      <c r="C120" s="351" t="s">
        <v>109</v>
      </c>
      <c r="D120" s="351">
        <v>24</v>
      </c>
      <c r="E120" s="351">
        <v>320</v>
      </c>
      <c r="F120" s="352">
        <v>0.2094</v>
      </c>
      <c r="G120" s="353">
        <f t="shared" si="12"/>
        <v>387.00800000000004</v>
      </c>
      <c r="H120" s="353">
        <f t="shared" si="13"/>
        <v>9288.1920000000009</v>
      </c>
      <c r="I120" s="354">
        <f t="shared" si="11"/>
        <v>1.867251218459248E-3</v>
      </c>
      <c r="J120" s="354">
        <f t="shared" si="14"/>
        <v>0.75602734613806966</v>
      </c>
      <c r="K120" s="682">
        <f>'018-21-CAPA'!$F$37</f>
        <v>4974259.4398541162</v>
      </c>
      <c r="L120" s="689">
        <f t="shared" si="16"/>
        <v>7.4505805969238281E-9</v>
      </c>
      <c r="M120" s="228"/>
      <c r="N120" s="93"/>
      <c r="P120" s="95"/>
    </row>
    <row r="121" spans="1:16" s="94" customFormat="1" ht="38.25">
      <c r="A121" s="343" t="s">
        <v>15462</v>
      </c>
      <c r="B121" s="147" t="s">
        <v>24603</v>
      </c>
      <c r="C121" s="351" t="s">
        <v>3240</v>
      </c>
      <c r="D121" s="351">
        <v>7</v>
      </c>
      <c r="E121" s="351">
        <v>1073.98</v>
      </c>
      <c r="F121" s="352">
        <v>0.2094</v>
      </c>
      <c r="G121" s="353">
        <f t="shared" si="12"/>
        <v>1298.871412</v>
      </c>
      <c r="H121" s="353">
        <f t="shared" si="13"/>
        <v>9092.0998839999993</v>
      </c>
      <c r="I121" s="354">
        <f t="shared" si="11"/>
        <v>1.827829849636203E-3</v>
      </c>
      <c r="J121" s="354">
        <f t="shared" si="14"/>
        <v>0.75785517598770591</v>
      </c>
      <c r="K121" s="682">
        <f>'018-21-CAPA'!$F$37</f>
        <v>4974259.4398541162</v>
      </c>
      <c r="L121" s="689">
        <f t="shared" si="16"/>
        <v>7.4505805969238281E-9</v>
      </c>
      <c r="M121" s="228"/>
      <c r="N121" s="93"/>
      <c r="P121" s="95"/>
    </row>
    <row r="122" spans="1:16" s="94" customFormat="1" ht="51">
      <c r="A122" s="343">
        <v>89712</v>
      </c>
      <c r="B122" s="147" t="s">
        <v>1777</v>
      </c>
      <c r="C122" s="351" t="s">
        <v>5</v>
      </c>
      <c r="D122" s="351">
        <v>272.41000000000003</v>
      </c>
      <c r="E122" s="351" t="s">
        <v>11417</v>
      </c>
      <c r="F122" s="352">
        <v>0.2094</v>
      </c>
      <c r="G122" s="353">
        <f t="shared" si="12"/>
        <v>33.113371999999998</v>
      </c>
      <c r="H122" s="353">
        <f t="shared" si="13"/>
        <v>9020.4136665200003</v>
      </c>
      <c r="I122" s="354">
        <f t="shared" si="11"/>
        <v>1.8134184144574016E-3</v>
      </c>
      <c r="J122" s="354">
        <f t="shared" si="14"/>
        <v>0.75966859440216328</v>
      </c>
      <c r="K122" s="682">
        <f>'018-21-CAPA'!$F$37</f>
        <v>4974259.4398541162</v>
      </c>
      <c r="L122" s="689">
        <f t="shared" si="16"/>
        <v>7.4505805969238281E-9</v>
      </c>
      <c r="M122" s="228"/>
      <c r="N122" s="93"/>
      <c r="P122" s="95"/>
    </row>
    <row r="123" spans="1:16" s="94" customFormat="1" ht="38.25">
      <c r="A123" s="343" t="s">
        <v>8983</v>
      </c>
      <c r="B123" s="147" t="s">
        <v>15415</v>
      </c>
      <c r="C123" s="351" t="s">
        <v>3246</v>
      </c>
      <c r="D123" s="351">
        <v>16</v>
      </c>
      <c r="E123" s="351">
        <v>457.03</v>
      </c>
      <c r="F123" s="352">
        <v>0.2094</v>
      </c>
      <c r="G123" s="353">
        <f t="shared" si="12"/>
        <v>552.73208199999999</v>
      </c>
      <c r="H123" s="353">
        <f t="shared" si="13"/>
        <v>8843.7133119999999</v>
      </c>
      <c r="I123" s="354">
        <f t="shared" si="11"/>
        <v>1.7778954674425626E-3</v>
      </c>
      <c r="J123" s="354">
        <f t="shared" si="14"/>
        <v>0.76144648986960584</v>
      </c>
      <c r="K123" s="682">
        <f>'018-21-CAPA'!$F$37</f>
        <v>4974259.4398541162</v>
      </c>
      <c r="L123" s="689">
        <f t="shared" si="16"/>
        <v>7.4505805969238281E-9</v>
      </c>
      <c r="M123" s="228"/>
      <c r="N123" s="93"/>
      <c r="P123" s="95"/>
    </row>
    <row r="124" spans="1:16" s="94" customFormat="1" ht="38.25">
      <c r="A124" s="343">
        <v>100868</v>
      </c>
      <c r="B124" s="147" t="s">
        <v>10769</v>
      </c>
      <c r="C124" s="351" t="s">
        <v>109</v>
      </c>
      <c r="D124" s="351">
        <v>30</v>
      </c>
      <c r="E124" s="351" t="s">
        <v>23507</v>
      </c>
      <c r="F124" s="352">
        <v>0.2094</v>
      </c>
      <c r="G124" s="353">
        <f t="shared" si="12"/>
        <v>292.6748</v>
      </c>
      <c r="H124" s="353">
        <f t="shared" si="13"/>
        <v>8780.2440000000006</v>
      </c>
      <c r="I124" s="354">
        <f t="shared" si="11"/>
        <v>1.7651359174497578E-3</v>
      </c>
      <c r="J124" s="354">
        <f t="shared" si="14"/>
        <v>0.76321162578705559</v>
      </c>
      <c r="K124" s="682">
        <f>'018-21-CAPA'!$F$37</f>
        <v>4974259.4398541162</v>
      </c>
      <c r="L124" s="689">
        <f t="shared" si="16"/>
        <v>7.4505805969238281E-9</v>
      </c>
      <c r="M124" s="228"/>
      <c r="N124" s="93"/>
      <c r="P124" s="95"/>
    </row>
    <row r="125" spans="1:16" s="94" customFormat="1" ht="51">
      <c r="A125" s="343" t="s">
        <v>17409</v>
      </c>
      <c r="B125" s="147" t="s">
        <v>18540</v>
      </c>
      <c r="C125" s="351" t="s">
        <v>3240</v>
      </c>
      <c r="D125" s="351">
        <v>10</v>
      </c>
      <c r="E125" s="351">
        <v>717.39</v>
      </c>
      <c r="F125" s="352">
        <v>0.2094</v>
      </c>
      <c r="G125" s="353">
        <f t="shared" si="12"/>
        <v>867.61146599999995</v>
      </c>
      <c r="H125" s="353">
        <f t="shared" si="13"/>
        <v>8676.1146599999993</v>
      </c>
      <c r="I125" s="354">
        <f t="shared" si="11"/>
        <v>1.7442022807428121E-3</v>
      </c>
      <c r="J125" s="354">
        <f t="shared" si="14"/>
        <v>0.76495582806779838</v>
      </c>
      <c r="K125" s="682">
        <f>'018-21-CAPA'!$F$37</f>
        <v>4974259.4398541162</v>
      </c>
      <c r="L125" s="689">
        <f t="shared" si="16"/>
        <v>7.4505805969238281E-9</v>
      </c>
      <c r="M125" s="228"/>
      <c r="N125" s="93"/>
      <c r="P125" s="95"/>
    </row>
    <row r="126" spans="1:16" s="94" customFormat="1" ht="38.25">
      <c r="A126" s="343">
        <v>89512</v>
      </c>
      <c r="B126" s="147" t="s">
        <v>1768</v>
      </c>
      <c r="C126" s="351" t="s">
        <v>5</v>
      </c>
      <c r="D126" s="351">
        <v>111.32</v>
      </c>
      <c r="E126" s="351" t="s">
        <v>20939</v>
      </c>
      <c r="F126" s="352">
        <v>0.2094</v>
      </c>
      <c r="G126" s="353">
        <f t="shared" si="12"/>
        <v>77.740232000000006</v>
      </c>
      <c r="H126" s="353">
        <f t="shared" si="13"/>
        <v>8654.0426262399997</v>
      </c>
      <c r="I126" s="354">
        <f t="shared" si="11"/>
        <v>1.739765030529613E-3</v>
      </c>
      <c r="J126" s="354">
        <f t="shared" si="14"/>
        <v>0.76669559309832802</v>
      </c>
      <c r="K126" s="682">
        <f>'018-21-CAPA'!$F$37</f>
        <v>4974259.4398541162</v>
      </c>
      <c r="L126" s="689">
        <f t="shared" si="16"/>
        <v>7.4505805969238281E-9</v>
      </c>
      <c r="M126" s="228"/>
      <c r="N126" s="93"/>
      <c r="P126" s="95"/>
    </row>
    <row r="127" spans="1:16" s="94" customFormat="1" ht="38.25">
      <c r="A127" s="343" t="s">
        <v>24639</v>
      </c>
      <c r="B127" s="147" t="s">
        <v>24640</v>
      </c>
      <c r="C127" s="351" t="s">
        <v>3240</v>
      </c>
      <c r="D127" s="351">
        <v>2</v>
      </c>
      <c r="E127" s="351">
        <v>3577.62</v>
      </c>
      <c r="F127" s="352">
        <v>0.2094</v>
      </c>
      <c r="G127" s="353">
        <f t="shared" si="12"/>
        <v>4326.7736279999999</v>
      </c>
      <c r="H127" s="353">
        <f t="shared" si="13"/>
        <v>8653.5472559999998</v>
      </c>
      <c r="I127" s="354">
        <f t="shared" si="11"/>
        <v>1.739665443797962E-3</v>
      </c>
      <c r="J127" s="354">
        <f t="shared" si="14"/>
        <v>0.76843525854212602</v>
      </c>
      <c r="K127" s="682">
        <f>'018-21-CAPA'!$F$37</f>
        <v>4974259.4398541162</v>
      </c>
      <c r="L127" s="689">
        <f t="shared" si="16"/>
        <v>7.4505805969238281E-9</v>
      </c>
      <c r="M127" s="228"/>
      <c r="N127" s="93"/>
      <c r="P127" s="95"/>
    </row>
    <row r="128" spans="1:16" s="94" customFormat="1" ht="25.5">
      <c r="A128" s="343">
        <v>93382</v>
      </c>
      <c r="B128" s="147" t="s">
        <v>2501</v>
      </c>
      <c r="C128" s="351" t="s">
        <v>209</v>
      </c>
      <c r="D128" s="351">
        <v>284.62</v>
      </c>
      <c r="E128" s="351" t="s">
        <v>16369</v>
      </c>
      <c r="F128" s="352">
        <v>0.2094</v>
      </c>
      <c r="G128" s="353">
        <f t="shared" si="12"/>
        <v>30.380128000000003</v>
      </c>
      <c r="H128" s="353">
        <f t="shared" si="13"/>
        <v>8646.7920313600007</v>
      </c>
      <c r="I128" s="354">
        <f t="shared" si="11"/>
        <v>1.7383074075472036E-3</v>
      </c>
      <c r="J128" s="354">
        <f t="shared" si="14"/>
        <v>0.77017356594967323</v>
      </c>
      <c r="K128" s="682">
        <f>'018-21-CAPA'!$F$37</f>
        <v>4974259.4398541162</v>
      </c>
      <c r="L128" s="689">
        <f t="shared" si="16"/>
        <v>7.4505805969238281E-9</v>
      </c>
      <c r="M128" s="228"/>
      <c r="N128" s="93"/>
      <c r="P128" s="95"/>
    </row>
    <row r="129" spans="1:16" s="94" customFormat="1" ht="38.25">
      <c r="A129" s="343" t="s">
        <v>24633</v>
      </c>
      <c r="B129" s="147" t="s">
        <v>24634</v>
      </c>
      <c r="C129" s="351" t="s">
        <v>3240</v>
      </c>
      <c r="D129" s="351">
        <v>2</v>
      </c>
      <c r="E129" s="351">
        <v>3562.81</v>
      </c>
      <c r="F129" s="352">
        <v>0.2094</v>
      </c>
      <c r="G129" s="353">
        <f t="shared" si="12"/>
        <v>4308.8624140000002</v>
      </c>
      <c r="H129" s="353">
        <f t="shared" si="13"/>
        <v>8617.7248280000003</v>
      </c>
      <c r="I129" s="354">
        <f t="shared" si="11"/>
        <v>1.7324638837601023E-3</v>
      </c>
      <c r="J129" s="354">
        <f t="shared" si="14"/>
        <v>0.77190602983343337</v>
      </c>
      <c r="K129" s="682">
        <f>'018-21-CAPA'!$F$37</f>
        <v>4974259.4398541162</v>
      </c>
      <c r="L129" s="689">
        <f t="shared" si="16"/>
        <v>7.4505805969238281E-9</v>
      </c>
      <c r="M129" s="228"/>
      <c r="N129" s="93"/>
      <c r="P129" s="95"/>
    </row>
    <row r="130" spans="1:16" s="94" customFormat="1" ht="38.25">
      <c r="A130" s="343" t="s">
        <v>24635</v>
      </c>
      <c r="B130" s="147" t="s">
        <v>24636</v>
      </c>
      <c r="C130" s="351" t="s">
        <v>3240</v>
      </c>
      <c r="D130" s="351">
        <v>2</v>
      </c>
      <c r="E130" s="351">
        <v>3518.37</v>
      </c>
      <c r="F130" s="352">
        <v>0.2094</v>
      </c>
      <c r="G130" s="353">
        <f t="shared" si="12"/>
        <v>4255.1166780000003</v>
      </c>
      <c r="H130" s="353">
        <f t="shared" si="13"/>
        <v>8510.2333560000006</v>
      </c>
      <c r="I130" s="354">
        <f t="shared" si="11"/>
        <v>1.7108543410131417E-3</v>
      </c>
      <c r="J130" s="354">
        <f t="shared" si="14"/>
        <v>0.77361688417444652</v>
      </c>
      <c r="K130" s="682">
        <f>'018-21-CAPA'!$F$37</f>
        <v>4974259.4398541162</v>
      </c>
      <c r="L130" s="689">
        <f t="shared" si="16"/>
        <v>7.4505805969238281E-9</v>
      </c>
      <c r="M130" s="228"/>
      <c r="N130" s="93"/>
      <c r="P130" s="95"/>
    </row>
    <row r="131" spans="1:16" s="94" customFormat="1" ht="63.75">
      <c r="A131" s="343" t="s">
        <v>14415</v>
      </c>
      <c r="B131" s="147" t="s">
        <v>17166</v>
      </c>
      <c r="C131" s="351" t="s">
        <v>109</v>
      </c>
      <c r="D131" s="351">
        <v>6</v>
      </c>
      <c r="E131" s="351">
        <v>1171.08</v>
      </c>
      <c r="F131" s="352">
        <v>0.2094</v>
      </c>
      <c r="G131" s="353">
        <f t="shared" si="12"/>
        <v>1416.3041519999999</v>
      </c>
      <c r="H131" s="353">
        <f t="shared" si="13"/>
        <v>8497.824912</v>
      </c>
      <c r="I131" s="354">
        <f t="shared" si="11"/>
        <v>1.7083598100884811E-3</v>
      </c>
      <c r="J131" s="354">
        <f t="shared" si="14"/>
        <v>0.77532524398453495</v>
      </c>
      <c r="K131" s="682">
        <f>'018-21-CAPA'!$F$37</f>
        <v>4974259.4398541162</v>
      </c>
      <c r="L131" s="689">
        <f t="shared" si="16"/>
        <v>7.4505805969238281E-9</v>
      </c>
      <c r="M131" s="228"/>
      <c r="N131" s="93"/>
      <c r="P131" s="95"/>
    </row>
    <row r="132" spans="1:16" s="94" customFormat="1" ht="25.5">
      <c r="A132" s="343" t="s">
        <v>15266</v>
      </c>
      <c r="B132" s="147" t="s">
        <v>15268</v>
      </c>
      <c r="C132" s="351" t="s">
        <v>109</v>
      </c>
      <c r="D132" s="351">
        <v>1</v>
      </c>
      <c r="E132" s="351">
        <v>7000</v>
      </c>
      <c r="F132" s="352">
        <v>0.2094</v>
      </c>
      <c r="G132" s="353">
        <f t="shared" si="12"/>
        <v>8465.8000000000011</v>
      </c>
      <c r="H132" s="353">
        <f t="shared" si="13"/>
        <v>8465.8000000000011</v>
      </c>
      <c r="I132" s="354">
        <f t="shared" si="11"/>
        <v>1.7019216834915022E-3</v>
      </c>
      <c r="J132" s="354">
        <f t="shared" si="14"/>
        <v>0.77702716566802643</v>
      </c>
      <c r="K132" s="682">
        <f>'018-21-CAPA'!$F$37</f>
        <v>4974259.4398541162</v>
      </c>
      <c r="L132" s="689">
        <f t="shared" si="16"/>
        <v>7.4505805969238281E-9</v>
      </c>
      <c r="M132" s="228"/>
      <c r="N132" s="93"/>
      <c r="P132" s="95"/>
    </row>
    <row r="133" spans="1:16" s="94" customFormat="1" ht="38.25">
      <c r="A133" s="343">
        <v>93582</v>
      </c>
      <c r="B133" s="147" t="s">
        <v>236</v>
      </c>
      <c r="C133" s="351" t="s">
        <v>193</v>
      </c>
      <c r="D133" s="351">
        <v>28.8</v>
      </c>
      <c r="E133" s="351" t="s">
        <v>21358</v>
      </c>
      <c r="F133" s="352">
        <v>0.2094</v>
      </c>
      <c r="G133" s="353">
        <f t="shared" si="12"/>
        <v>292.15475800000002</v>
      </c>
      <c r="H133" s="353">
        <f t="shared" si="13"/>
        <v>8414.0570304000012</v>
      </c>
      <c r="I133" s="354">
        <f t="shared" si="11"/>
        <v>1.691519538162002E-3</v>
      </c>
      <c r="J133" s="354">
        <f t="shared" si="14"/>
        <v>0.77871868520618848</v>
      </c>
      <c r="K133" s="682">
        <f>'018-21-CAPA'!$F$37</f>
        <v>4974259.4398541162</v>
      </c>
      <c r="L133" s="689">
        <f t="shared" si="16"/>
        <v>7.4505805969238281E-9</v>
      </c>
      <c r="M133" s="228"/>
      <c r="N133" s="93"/>
      <c r="P133" s="95"/>
    </row>
    <row r="134" spans="1:16" s="94" customFormat="1" ht="63.75">
      <c r="A134" s="343" t="s">
        <v>15458</v>
      </c>
      <c r="B134" s="147" t="s">
        <v>24604</v>
      </c>
      <c r="C134" s="351" t="s">
        <v>3240</v>
      </c>
      <c r="D134" s="351">
        <v>2</v>
      </c>
      <c r="E134" s="351">
        <v>3456.8199999999997</v>
      </c>
      <c r="F134" s="352">
        <v>0.2094</v>
      </c>
      <c r="G134" s="353">
        <f t="shared" si="12"/>
        <v>4180.6781080000001</v>
      </c>
      <c r="H134" s="353">
        <f t="shared" si="13"/>
        <v>8361.3562160000001</v>
      </c>
      <c r="I134" s="354">
        <f t="shared" si="11"/>
        <v>1.6809248325505982E-3</v>
      </c>
      <c r="J134" s="354">
        <f t="shared" si="14"/>
        <v>0.78039961003873903</v>
      </c>
      <c r="K134" s="682">
        <f>'018-21-CAPA'!$F$37</f>
        <v>4974259.4398541162</v>
      </c>
      <c r="L134" s="689">
        <f t="shared" si="16"/>
        <v>7.4505805969238281E-9</v>
      </c>
      <c r="M134" s="228"/>
      <c r="N134" s="93"/>
      <c r="P134" s="95"/>
    </row>
    <row r="135" spans="1:16" s="94" customFormat="1" ht="51">
      <c r="A135" s="343">
        <v>87879</v>
      </c>
      <c r="B135" s="147" t="s">
        <v>2843</v>
      </c>
      <c r="C135" s="351" t="s">
        <v>193</v>
      </c>
      <c r="D135" s="351">
        <v>1953.52</v>
      </c>
      <c r="E135" s="351" t="s">
        <v>9809</v>
      </c>
      <c r="F135" s="352">
        <v>0.2094</v>
      </c>
      <c r="G135" s="353">
        <f t="shared" si="12"/>
        <v>4.2449940000000002</v>
      </c>
      <c r="H135" s="353">
        <f t="shared" si="13"/>
        <v>8292.6806788800004</v>
      </c>
      <c r="I135" s="354">
        <f t="shared" si="11"/>
        <v>1.66711864934878E-3</v>
      </c>
      <c r="J135" s="354">
        <f t="shared" si="14"/>
        <v>0.7820667286880878</v>
      </c>
      <c r="K135" s="682">
        <f>'018-21-CAPA'!$F$37</f>
        <v>4974259.4398541162</v>
      </c>
      <c r="L135" s="689">
        <f t="shared" si="16"/>
        <v>7.4505805969238281E-9</v>
      </c>
      <c r="M135" s="228"/>
      <c r="N135" s="93"/>
      <c r="P135" s="95"/>
    </row>
    <row r="136" spans="1:16" s="94" customFormat="1" ht="51">
      <c r="A136" s="343" t="s">
        <v>15452</v>
      </c>
      <c r="B136" s="147" t="s">
        <v>24593</v>
      </c>
      <c r="C136" s="351" t="s">
        <v>3240</v>
      </c>
      <c r="D136" s="351">
        <v>6</v>
      </c>
      <c r="E136" s="351">
        <v>1139.43</v>
      </c>
      <c r="F136" s="352">
        <v>0.2094</v>
      </c>
      <c r="G136" s="353">
        <f t="shared" si="12"/>
        <v>1378.026642</v>
      </c>
      <c r="H136" s="353">
        <f t="shared" si="13"/>
        <v>8268.1598520000007</v>
      </c>
      <c r="I136" s="354">
        <f t="shared" si="11"/>
        <v>1.6621891061320475E-3</v>
      </c>
      <c r="J136" s="354">
        <f t="shared" si="14"/>
        <v>0.78372891779421983</v>
      </c>
      <c r="K136" s="682">
        <f>'018-21-CAPA'!$F$37</f>
        <v>4974259.4398541162</v>
      </c>
      <c r="L136" s="689">
        <f t="shared" si="16"/>
        <v>7.4505805969238281E-9</v>
      </c>
      <c r="M136" s="228"/>
      <c r="N136" s="93"/>
      <c r="P136" s="95"/>
    </row>
    <row r="137" spans="1:16" s="94" customFormat="1" ht="51">
      <c r="A137" s="343" t="s">
        <v>15459</v>
      </c>
      <c r="B137" s="147" t="s">
        <v>24600</v>
      </c>
      <c r="C137" s="351" t="s">
        <v>3240</v>
      </c>
      <c r="D137" s="351">
        <v>2</v>
      </c>
      <c r="E137" s="351">
        <v>3407.49</v>
      </c>
      <c r="F137" s="352">
        <v>0.2094</v>
      </c>
      <c r="G137" s="353">
        <f t="shared" si="12"/>
        <v>4121.0184060000001</v>
      </c>
      <c r="H137" s="353">
        <f t="shared" si="13"/>
        <v>8242.0368120000003</v>
      </c>
      <c r="I137" s="354">
        <f t="shared" si="11"/>
        <v>1.6569374620801309E-3</v>
      </c>
      <c r="J137" s="354">
        <f t="shared" si="14"/>
        <v>0.7853858552563</v>
      </c>
      <c r="K137" s="682">
        <f>'018-21-CAPA'!$F$37</f>
        <v>4974259.4398541162</v>
      </c>
      <c r="L137" s="689">
        <f t="shared" si="16"/>
        <v>7.4505805969238281E-9</v>
      </c>
      <c r="M137" s="228"/>
      <c r="N137" s="93"/>
      <c r="P137" s="95"/>
    </row>
    <row r="138" spans="1:16" s="94" customFormat="1" ht="25.5">
      <c r="A138" s="343">
        <v>93183</v>
      </c>
      <c r="B138" s="147" t="s">
        <v>1485</v>
      </c>
      <c r="C138" s="351" t="s">
        <v>5</v>
      </c>
      <c r="D138" s="351">
        <v>125.14</v>
      </c>
      <c r="E138" s="351" t="s">
        <v>20033</v>
      </c>
      <c r="F138" s="352">
        <v>0.2094</v>
      </c>
      <c r="G138" s="353">
        <f t="shared" si="12"/>
        <v>65.380164000000008</v>
      </c>
      <c r="H138" s="353">
        <f t="shared" si="13"/>
        <v>8181.6737229600012</v>
      </c>
      <c r="I138" s="354">
        <f t="shared" ref="I138:I201" si="17">H138/$F$772</f>
        <v>1.6448023714661661E-3</v>
      </c>
      <c r="J138" s="354">
        <f t="shared" si="14"/>
        <v>0.78703065762776614</v>
      </c>
      <c r="K138" s="682">
        <f>'018-21-CAPA'!$F$37</f>
        <v>4974259.4398541162</v>
      </c>
      <c r="L138" s="689">
        <f t="shared" si="16"/>
        <v>7.4505805969238281E-9</v>
      </c>
      <c r="M138" s="228"/>
      <c r="N138" s="93"/>
      <c r="P138" s="95"/>
    </row>
    <row r="139" spans="1:16" s="94" customFormat="1" ht="51">
      <c r="A139" s="343" t="s">
        <v>15111</v>
      </c>
      <c r="B139" s="147" t="s">
        <v>17912</v>
      </c>
      <c r="C139" s="351" t="s">
        <v>109</v>
      </c>
      <c r="D139" s="351">
        <v>2</v>
      </c>
      <c r="E139" s="351">
        <v>3317.7</v>
      </c>
      <c r="F139" s="352">
        <v>0.2094</v>
      </c>
      <c r="G139" s="353">
        <f t="shared" ref="G139:G202" si="18">(E139*(1+F139))</f>
        <v>4012.4263799999999</v>
      </c>
      <c r="H139" s="353">
        <f t="shared" ref="H139:H202" si="19">G139*D139</f>
        <v>8024.8527599999998</v>
      </c>
      <c r="I139" s="354">
        <f t="shared" si="17"/>
        <v>1.6132758769485016E-3</v>
      </c>
      <c r="J139" s="354">
        <f t="shared" si="14"/>
        <v>0.78864393350471462</v>
      </c>
      <c r="K139" s="682">
        <f>'018-21-CAPA'!$F$37</f>
        <v>4974259.4398541162</v>
      </c>
      <c r="L139" s="689">
        <f t="shared" si="16"/>
        <v>7.4505805969238281E-9</v>
      </c>
      <c r="M139" s="228"/>
      <c r="N139" s="93"/>
      <c r="P139" s="95"/>
    </row>
    <row r="140" spans="1:16" s="94" customFormat="1" ht="38.25">
      <c r="A140" s="343">
        <v>95584</v>
      </c>
      <c r="B140" s="147" t="s">
        <v>1433</v>
      </c>
      <c r="C140" s="351" t="s">
        <v>108</v>
      </c>
      <c r="D140" s="351">
        <v>417.48</v>
      </c>
      <c r="E140" s="351" t="s">
        <v>19965</v>
      </c>
      <c r="F140" s="352">
        <v>0.2094</v>
      </c>
      <c r="G140" s="353">
        <f t="shared" si="18"/>
        <v>18.806170000000002</v>
      </c>
      <c r="H140" s="353">
        <f t="shared" si="19"/>
        <v>7851.1998516000012</v>
      </c>
      <c r="I140" s="354">
        <f t="shared" si="17"/>
        <v>1.5783655731133862E-3</v>
      </c>
      <c r="J140" s="354">
        <f t="shared" si="14"/>
        <v>0.79022229907782804</v>
      </c>
      <c r="K140" s="682">
        <f>'018-21-CAPA'!$F$37</f>
        <v>4974259.4398541162</v>
      </c>
      <c r="L140" s="689">
        <f t="shared" si="16"/>
        <v>7.4505805969238281E-9</v>
      </c>
      <c r="M140" s="228"/>
      <c r="N140" s="93"/>
      <c r="P140" s="95"/>
    </row>
    <row r="141" spans="1:16" s="94" customFormat="1" ht="63.75">
      <c r="A141" s="343" t="s">
        <v>14463</v>
      </c>
      <c r="B141" s="147" t="s">
        <v>18506</v>
      </c>
      <c r="C141" s="351" t="s">
        <v>10</v>
      </c>
      <c r="D141" s="351">
        <v>1</v>
      </c>
      <c r="E141" s="351">
        <v>6451.380000000001</v>
      </c>
      <c r="F141" s="352">
        <v>0.2094</v>
      </c>
      <c r="G141" s="353">
        <f t="shared" si="18"/>
        <v>7802.2989720000014</v>
      </c>
      <c r="H141" s="353">
        <f t="shared" si="19"/>
        <v>7802.2989720000014</v>
      </c>
      <c r="I141" s="354">
        <f t="shared" si="17"/>
        <v>1.5685347872062012E-3</v>
      </c>
      <c r="J141" s="354">
        <f t="shared" ref="J141:J204" si="20">I141+J140</f>
        <v>0.79179083386503424</v>
      </c>
      <c r="K141" s="682">
        <f>'018-21-CAPA'!$F$37</f>
        <v>4974259.4398541162</v>
      </c>
      <c r="L141" s="689">
        <f t="shared" si="16"/>
        <v>7.4505805969238281E-9</v>
      </c>
      <c r="M141" s="228"/>
      <c r="N141" s="93"/>
      <c r="P141" s="95"/>
    </row>
    <row r="142" spans="1:16" s="94" customFormat="1" ht="25.5">
      <c r="A142" s="343" t="s">
        <v>15502</v>
      </c>
      <c r="B142" s="147" t="s">
        <v>17545</v>
      </c>
      <c r="C142" s="351" t="s">
        <v>193</v>
      </c>
      <c r="D142" s="351">
        <v>42</v>
      </c>
      <c r="E142" s="351">
        <v>150.46</v>
      </c>
      <c r="F142" s="352">
        <v>0.2094</v>
      </c>
      <c r="G142" s="353">
        <f t="shared" si="18"/>
        <v>181.96632400000001</v>
      </c>
      <c r="H142" s="353">
        <f t="shared" si="19"/>
        <v>7642.5856080000003</v>
      </c>
      <c r="I142" s="354">
        <f t="shared" si="17"/>
        <v>1.5364268189887883E-3</v>
      </c>
      <c r="J142" s="354">
        <f t="shared" si="20"/>
        <v>0.79332726068402304</v>
      </c>
      <c r="K142" s="682">
        <f>'018-21-CAPA'!$F$37</f>
        <v>4974259.4398541162</v>
      </c>
      <c r="L142" s="689">
        <f t="shared" si="16"/>
        <v>7.4505805969238281E-9</v>
      </c>
      <c r="M142" s="228"/>
      <c r="N142" s="93"/>
      <c r="P142" s="95"/>
    </row>
    <row r="143" spans="1:16" s="94" customFormat="1" ht="25.5">
      <c r="A143" s="343">
        <v>93202</v>
      </c>
      <c r="B143" s="147" t="s">
        <v>204</v>
      </c>
      <c r="C143" s="351" t="s">
        <v>5</v>
      </c>
      <c r="D143" s="351">
        <v>249.15</v>
      </c>
      <c r="E143" s="351" t="s">
        <v>16388</v>
      </c>
      <c r="F143" s="352">
        <v>0.2094</v>
      </c>
      <c r="G143" s="353">
        <f t="shared" si="18"/>
        <v>29.606112</v>
      </c>
      <c r="H143" s="353">
        <f t="shared" si="19"/>
        <v>7376.3628048</v>
      </c>
      <c r="I143" s="354">
        <f t="shared" si="17"/>
        <v>1.4829067309397E-3</v>
      </c>
      <c r="J143" s="354">
        <f t="shared" si="20"/>
        <v>0.79481016741496269</v>
      </c>
      <c r="K143" s="682">
        <f>'018-21-CAPA'!$F$37</f>
        <v>4974259.4398541162</v>
      </c>
      <c r="L143" s="689">
        <f t="shared" si="16"/>
        <v>7.4505805969238281E-9</v>
      </c>
      <c r="M143" s="228"/>
      <c r="N143" s="93"/>
      <c r="P143" s="95"/>
    </row>
    <row r="144" spans="1:16" s="94" customFormat="1" ht="25.5">
      <c r="A144" s="343" t="s">
        <v>9618</v>
      </c>
      <c r="B144" s="147" t="s">
        <v>17316</v>
      </c>
      <c r="C144" s="351" t="s">
        <v>3243</v>
      </c>
      <c r="D144" s="351">
        <v>65.22</v>
      </c>
      <c r="E144" s="351">
        <v>93.34</v>
      </c>
      <c r="F144" s="352">
        <v>0.2094</v>
      </c>
      <c r="G144" s="353">
        <f t="shared" si="18"/>
        <v>112.885396</v>
      </c>
      <c r="H144" s="353">
        <f t="shared" si="19"/>
        <v>7362.38552712</v>
      </c>
      <c r="I144" s="354">
        <f t="shared" si="17"/>
        <v>1.4800968096139219E-3</v>
      </c>
      <c r="J144" s="354">
        <f t="shared" si="20"/>
        <v>0.7962902642245766</v>
      </c>
      <c r="K144" s="682">
        <f>'018-21-CAPA'!$F$37</f>
        <v>4974259.4398541162</v>
      </c>
      <c r="L144" s="689">
        <f t="shared" si="16"/>
        <v>7.4505805969238281E-9</v>
      </c>
      <c r="M144" s="228"/>
      <c r="N144" s="93"/>
      <c r="P144" s="95"/>
    </row>
    <row r="145" spans="1:16" s="94" customFormat="1" ht="51">
      <c r="A145" s="343" t="s">
        <v>9641</v>
      </c>
      <c r="B145" s="147" t="s">
        <v>17848</v>
      </c>
      <c r="C145" s="351" t="s">
        <v>3241</v>
      </c>
      <c r="D145" s="351">
        <v>14.99</v>
      </c>
      <c r="E145" s="351">
        <v>402.68</v>
      </c>
      <c r="F145" s="352">
        <v>0.2094</v>
      </c>
      <c r="G145" s="353">
        <f t="shared" si="18"/>
        <v>487.001192</v>
      </c>
      <c r="H145" s="353">
        <f t="shared" si="19"/>
        <v>7300.1478680800001</v>
      </c>
      <c r="I145" s="354">
        <f t="shared" si="17"/>
        <v>1.4675848649128981E-3</v>
      </c>
      <c r="J145" s="354">
        <f t="shared" si="20"/>
        <v>0.79775784908948955</v>
      </c>
      <c r="K145" s="682">
        <f>'018-21-CAPA'!$F$37</f>
        <v>4974259.4398541162</v>
      </c>
      <c r="L145" s="689">
        <f t="shared" si="16"/>
        <v>7.4505805969238281E-9</v>
      </c>
      <c r="M145" s="228"/>
      <c r="N145" s="93"/>
      <c r="P145" s="95"/>
    </row>
    <row r="146" spans="1:16" s="94" customFormat="1" ht="25.5">
      <c r="A146" s="343" t="s">
        <v>15447</v>
      </c>
      <c r="B146" s="147" t="s">
        <v>15554</v>
      </c>
      <c r="C146" s="351" t="s">
        <v>209</v>
      </c>
      <c r="D146" s="351">
        <v>32.191000000000003</v>
      </c>
      <c r="E146" s="351">
        <v>182.69</v>
      </c>
      <c r="F146" s="352">
        <v>0.2094</v>
      </c>
      <c r="G146" s="353">
        <f t="shared" si="18"/>
        <v>220.94528600000001</v>
      </c>
      <c r="H146" s="353">
        <f t="shared" si="19"/>
        <v>7112.4497016260011</v>
      </c>
      <c r="I146" s="354">
        <f t="shared" si="17"/>
        <v>1.4298509733208858E-3</v>
      </c>
      <c r="J146" s="354">
        <f t="shared" si="20"/>
        <v>0.79918770006281048</v>
      </c>
      <c r="K146" s="682">
        <f>'018-21-CAPA'!$F$37</f>
        <v>4974259.4398541162</v>
      </c>
      <c r="L146" s="689">
        <f t="shared" si="16"/>
        <v>7.4505805969238281E-9</v>
      </c>
      <c r="M146" s="228"/>
      <c r="N146" s="93"/>
      <c r="P146" s="95"/>
    </row>
    <row r="147" spans="1:16" s="94" customFormat="1" ht="63.75">
      <c r="A147" s="343">
        <v>87905</v>
      </c>
      <c r="B147" s="147" t="s">
        <v>2863</v>
      </c>
      <c r="C147" s="351" t="s">
        <v>193</v>
      </c>
      <c r="D147" s="351">
        <v>757.3</v>
      </c>
      <c r="E147" s="351" t="s">
        <v>10030</v>
      </c>
      <c r="F147" s="352">
        <v>0.2094</v>
      </c>
      <c r="G147" s="353">
        <f t="shared" si="18"/>
        <v>9.3002859999999998</v>
      </c>
      <c r="H147" s="353">
        <f t="shared" si="19"/>
        <v>7043.106587799999</v>
      </c>
      <c r="I147" s="354">
        <f t="shared" si="17"/>
        <v>1.4159105838690569E-3</v>
      </c>
      <c r="J147" s="354">
        <f t="shared" si="20"/>
        <v>0.80060361064667951</v>
      </c>
      <c r="K147" s="682">
        <f>'018-21-CAPA'!$F$37</f>
        <v>4974259.4398541162</v>
      </c>
      <c r="L147" s="689">
        <f t="shared" si="16"/>
        <v>7.4505805969238281E-9</v>
      </c>
      <c r="M147" s="228"/>
      <c r="N147" s="93"/>
      <c r="P147" s="95"/>
    </row>
    <row r="148" spans="1:16" s="94" customFormat="1" ht="51">
      <c r="A148" s="343">
        <v>97063</v>
      </c>
      <c r="B148" s="147" t="s">
        <v>3714</v>
      </c>
      <c r="C148" s="351" t="s">
        <v>193</v>
      </c>
      <c r="D148" s="351">
        <v>700</v>
      </c>
      <c r="E148" s="351" t="s">
        <v>12184</v>
      </c>
      <c r="F148" s="352">
        <v>0.2094</v>
      </c>
      <c r="G148" s="353">
        <f t="shared" si="18"/>
        <v>9.9170799999999986</v>
      </c>
      <c r="H148" s="353">
        <f t="shared" si="19"/>
        <v>6941.9559999999992</v>
      </c>
      <c r="I148" s="354">
        <f t="shared" si="17"/>
        <v>1.3955757804630315E-3</v>
      </c>
      <c r="J148" s="354">
        <f t="shared" si="20"/>
        <v>0.80199918642714252</v>
      </c>
      <c r="K148" s="682">
        <f>'018-21-CAPA'!$F$37</f>
        <v>4974259.4398541162</v>
      </c>
      <c r="L148" s="689">
        <f t="shared" si="16"/>
        <v>7.4505805969238281E-9</v>
      </c>
      <c r="M148" s="228"/>
      <c r="N148" s="93"/>
      <c r="P148" s="95"/>
    </row>
    <row r="149" spans="1:16" s="94" customFormat="1" ht="38.25">
      <c r="A149" s="343" t="s">
        <v>15539</v>
      </c>
      <c r="B149" s="147" t="s">
        <v>15529</v>
      </c>
      <c r="C149" s="351" t="s">
        <v>3240</v>
      </c>
      <c r="D149" s="351">
        <v>9</v>
      </c>
      <c r="E149" s="351">
        <v>630.12</v>
      </c>
      <c r="F149" s="352">
        <v>0.2094</v>
      </c>
      <c r="G149" s="353">
        <f t="shared" si="18"/>
        <v>762.06712800000003</v>
      </c>
      <c r="H149" s="353">
        <f t="shared" si="19"/>
        <v>6858.6041519999999</v>
      </c>
      <c r="I149" s="354">
        <f t="shared" si="17"/>
        <v>1.3788191458307124E-3</v>
      </c>
      <c r="J149" s="354">
        <f t="shared" si="20"/>
        <v>0.80337800557297323</v>
      </c>
      <c r="K149" s="682">
        <f>'018-21-CAPA'!$F$37</f>
        <v>4974259.4398541162</v>
      </c>
      <c r="L149" s="689">
        <f t="shared" si="16"/>
        <v>7.4505805969238281E-9</v>
      </c>
      <c r="M149" s="228"/>
      <c r="N149" s="93"/>
      <c r="P149" s="95"/>
    </row>
    <row r="150" spans="1:16" s="94" customFormat="1" ht="25.5">
      <c r="A150" s="343">
        <v>88488</v>
      </c>
      <c r="B150" s="147" t="s">
        <v>221</v>
      </c>
      <c r="C150" s="351" t="s">
        <v>193</v>
      </c>
      <c r="D150" s="351">
        <v>386.91</v>
      </c>
      <c r="E150" s="351" t="s">
        <v>11043</v>
      </c>
      <c r="F150" s="352">
        <v>0.2094</v>
      </c>
      <c r="G150" s="353">
        <f t="shared" si="18"/>
        <v>17.427454000000001</v>
      </c>
      <c r="H150" s="353">
        <f t="shared" si="19"/>
        <v>6742.8562271400006</v>
      </c>
      <c r="I150" s="354">
        <f t="shared" si="17"/>
        <v>1.3555497674921763E-3</v>
      </c>
      <c r="J150" s="354">
        <f t="shared" si="20"/>
        <v>0.80473355534046542</v>
      </c>
      <c r="K150" s="682">
        <f>'018-21-CAPA'!$F$37</f>
        <v>4974259.4398541162</v>
      </c>
      <c r="L150" s="689">
        <f t="shared" si="16"/>
        <v>7.4505805969238281E-9</v>
      </c>
      <c r="M150" s="228"/>
      <c r="N150" s="93"/>
      <c r="P150" s="95"/>
    </row>
    <row r="151" spans="1:16" s="94" customFormat="1" ht="51">
      <c r="A151" s="343">
        <v>92779</v>
      </c>
      <c r="B151" s="147" t="s">
        <v>1384</v>
      </c>
      <c r="C151" s="351" t="s">
        <v>108</v>
      </c>
      <c r="D151" s="351">
        <v>467.04</v>
      </c>
      <c r="E151" s="351" t="s">
        <v>10056</v>
      </c>
      <c r="F151" s="352">
        <v>0.2094</v>
      </c>
      <c r="G151" s="353">
        <f t="shared" si="18"/>
        <v>14.367672000000001</v>
      </c>
      <c r="H151" s="353">
        <f t="shared" si="19"/>
        <v>6710.277530880001</v>
      </c>
      <c r="I151" s="354">
        <f t="shared" si="17"/>
        <v>1.3490003109039299E-3</v>
      </c>
      <c r="J151" s="354">
        <f t="shared" si="20"/>
        <v>0.80608255565136933</v>
      </c>
      <c r="K151" s="682">
        <f>'018-21-CAPA'!$F$37</f>
        <v>4974259.4398541162</v>
      </c>
      <c r="L151" s="689">
        <f t="shared" si="16"/>
        <v>7.4505805969238281E-9</v>
      </c>
      <c r="M151" s="228"/>
      <c r="N151" s="93"/>
      <c r="P151" s="95"/>
    </row>
    <row r="152" spans="1:16" s="94" customFormat="1" ht="63.75">
      <c r="A152" s="343" t="s">
        <v>15456</v>
      </c>
      <c r="B152" s="147" t="s">
        <v>24588</v>
      </c>
      <c r="C152" s="351" t="s">
        <v>3240</v>
      </c>
      <c r="D152" s="351">
        <v>4</v>
      </c>
      <c r="E152" s="351">
        <v>1356.68</v>
      </c>
      <c r="F152" s="352">
        <v>0.2094</v>
      </c>
      <c r="G152" s="353">
        <f t="shared" si="18"/>
        <v>1640.7687920000001</v>
      </c>
      <c r="H152" s="353">
        <f t="shared" si="19"/>
        <v>6563.0751680000003</v>
      </c>
      <c r="I152" s="354">
        <f t="shared" si="17"/>
        <v>1.3194074911767148E-3</v>
      </c>
      <c r="J152" s="354">
        <f t="shared" si="20"/>
        <v>0.80740196314254609</v>
      </c>
      <c r="K152" s="682">
        <f>'018-21-CAPA'!$F$37</f>
        <v>4974259.4398541162</v>
      </c>
      <c r="L152" s="689">
        <f t="shared" si="16"/>
        <v>7.4505805969238281E-9</v>
      </c>
      <c r="M152" s="228"/>
      <c r="N152" s="93"/>
      <c r="P152" s="95"/>
    </row>
    <row r="153" spans="1:16" s="94" customFormat="1" ht="38.25">
      <c r="A153" s="343" t="s">
        <v>15460</v>
      </c>
      <c r="B153" s="147" t="s">
        <v>24608</v>
      </c>
      <c r="C153" s="351" t="s">
        <v>3240</v>
      </c>
      <c r="D153" s="351">
        <v>5</v>
      </c>
      <c r="E153" s="351">
        <v>1073.98</v>
      </c>
      <c r="F153" s="352">
        <v>0.2094</v>
      </c>
      <c r="G153" s="353">
        <f t="shared" si="18"/>
        <v>1298.871412</v>
      </c>
      <c r="H153" s="353">
        <f t="shared" si="19"/>
        <v>6494.3570600000003</v>
      </c>
      <c r="I153" s="354">
        <f t="shared" si="17"/>
        <v>1.3055927497401451E-3</v>
      </c>
      <c r="J153" s="354">
        <f t="shared" si="20"/>
        <v>0.80870755589228627</v>
      </c>
      <c r="K153" s="682">
        <f>'018-21-CAPA'!$F$37</f>
        <v>4974259.4398541162</v>
      </c>
      <c r="L153" s="689">
        <f t="shared" si="16"/>
        <v>7.4505805969238281E-9</v>
      </c>
      <c r="M153" s="228"/>
      <c r="N153" s="93"/>
      <c r="P153" s="95"/>
    </row>
    <row r="154" spans="1:16" s="94" customFormat="1" ht="63.75">
      <c r="A154" s="343" t="s">
        <v>14412</v>
      </c>
      <c r="B154" s="147" t="s">
        <v>17158</v>
      </c>
      <c r="C154" s="351" t="s">
        <v>109</v>
      </c>
      <c r="D154" s="351">
        <v>6</v>
      </c>
      <c r="E154" s="351">
        <v>886.61</v>
      </c>
      <c r="F154" s="352">
        <v>0.2094</v>
      </c>
      <c r="G154" s="353">
        <f t="shared" si="18"/>
        <v>1072.266134</v>
      </c>
      <c r="H154" s="353">
        <f t="shared" si="19"/>
        <v>6433.5968039999998</v>
      </c>
      <c r="I154" s="354">
        <f t="shared" si="17"/>
        <v>1.2933778146860576E-3</v>
      </c>
      <c r="J154" s="354">
        <f t="shared" si="20"/>
        <v>0.81000093370697235</v>
      </c>
      <c r="K154" s="682">
        <f>'018-21-CAPA'!$F$37</f>
        <v>4974259.4398541162</v>
      </c>
      <c r="L154" s="689">
        <f t="shared" ref="L154:L217" si="21">K154-$F$772</f>
        <v>7.4505805969238281E-9</v>
      </c>
      <c r="M154" s="228"/>
      <c r="N154" s="93"/>
      <c r="P154" s="95"/>
    </row>
    <row r="155" spans="1:16" s="94" customFormat="1" ht="51">
      <c r="A155" s="343" t="s">
        <v>15221</v>
      </c>
      <c r="B155" s="147" t="s">
        <v>24752</v>
      </c>
      <c r="C155" s="351" t="s">
        <v>3244</v>
      </c>
      <c r="D155" s="351">
        <v>442</v>
      </c>
      <c r="E155" s="351">
        <v>11.96</v>
      </c>
      <c r="F155" s="352">
        <v>0.2094</v>
      </c>
      <c r="G155" s="353">
        <f t="shared" si="18"/>
        <v>14.464424000000001</v>
      </c>
      <c r="H155" s="353">
        <f t="shared" si="19"/>
        <v>6393.2754080000004</v>
      </c>
      <c r="I155" s="354">
        <f t="shared" si="17"/>
        <v>1.2852718048392568E-3</v>
      </c>
      <c r="J155" s="354">
        <f t="shared" si="20"/>
        <v>0.81128620551181163</v>
      </c>
      <c r="K155" s="682">
        <f>'018-21-CAPA'!$F$37</f>
        <v>4974259.4398541162</v>
      </c>
      <c r="L155" s="689">
        <f t="shared" si="21"/>
        <v>7.4505805969238281E-9</v>
      </c>
      <c r="M155" s="228"/>
      <c r="N155" s="93"/>
      <c r="P155" s="95"/>
    </row>
    <row r="156" spans="1:16" s="94" customFormat="1" ht="51">
      <c r="A156" s="343" t="s">
        <v>11571</v>
      </c>
      <c r="B156" s="147" t="s">
        <v>24499</v>
      </c>
      <c r="C156" s="351" t="s">
        <v>3244</v>
      </c>
      <c r="D156" s="351">
        <v>469.5</v>
      </c>
      <c r="E156" s="351">
        <v>11.24</v>
      </c>
      <c r="F156" s="352">
        <v>0.2094</v>
      </c>
      <c r="G156" s="353">
        <f t="shared" si="18"/>
        <v>13.593656000000001</v>
      </c>
      <c r="H156" s="353">
        <f t="shared" si="19"/>
        <v>6382.2214920000006</v>
      </c>
      <c r="I156" s="354">
        <f t="shared" si="17"/>
        <v>1.2830495813839549E-3</v>
      </c>
      <c r="J156" s="354">
        <f t="shared" si="20"/>
        <v>0.81256925509319555</v>
      </c>
      <c r="K156" s="682">
        <f>'018-21-CAPA'!$F$37</f>
        <v>4974259.4398541162</v>
      </c>
      <c r="L156" s="689">
        <f t="shared" si="21"/>
        <v>7.4505805969238281E-9</v>
      </c>
      <c r="M156" s="228"/>
      <c r="N156" s="93"/>
      <c r="P156" s="95"/>
    </row>
    <row r="157" spans="1:16" s="94" customFormat="1" ht="38.25">
      <c r="A157" s="343" t="s">
        <v>15509</v>
      </c>
      <c r="B157" s="147" t="s">
        <v>17586</v>
      </c>
      <c r="C157" s="351" t="s">
        <v>5</v>
      </c>
      <c r="D157" s="351">
        <v>23.59</v>
      </c>
      <c r="E157" s="351">
        <v>222.35</v>
      </c>
      <c r="F157" s="352">
        <v>0.2094</v>
      </c>
      <c r="G157" s="353">
        <f t="shared" si="18"/>
        <v>268.91009000000003</v>
      </c>
      <c r="H157" s="353">
        <f t="shared" si="19"/>
        <v>6343.5890231000003</v>
      </c>
      <c r="I157" s="354">
        <f t="shared" si="17"/>
        <v>1.2752831049130105E-3</v>
      </c>
      <c r="J157" s="354">
        <f t="shared" si="20"/>
        <v>0.81384453819810854</v>
      </c>
      <c r="K157" s="682">
        <f>'018-21-CAPA'!$F$37</f>
        <v>4974259.4398541162</v>
      </c>
      <c r="L157" s="689">
        <f t="shared" si="21"/>
        <v>7.4505805969238281E-9</v>
      </c>
      <c r="M157" s="228"/>
      <c r="N157" s="93"/>
      <c r="P157" s="95"/>
    </row>
    <row r="158" spans="1:16" s="94" customFormat="1" ht="51">
      <c r="A158" s="343" t="s">
        <v>14403</v>
      </c>
      <c r="B158" s="147" t="s">
        <v>17138</v>
      </c>
      <c r="C158" s="351" t="s">
        <v>5</v>
      </c>
      <c r="D158" s="351">
        <v>112.64</v>
      </c>
      <c r="E158" s="351">
        <v>46.470000000000006</v>
      </c>
      <c r="F158" s="352">
        <v>0.2094</v>
      </c>
      <c r="G158" s="353">
        <f t="shared" si="18"/>
        <v>56.200818000000005</v>
      </c>
      <c r="H158" s="353">
        <f t="shared" si="19"/>
        <v>6330.4601395200007</v>
      </c>
      <c r="I158" s="354">
        <f t="shared" si="17"/>
        <v>1.2726437404530851E-3</v>
      </c>
      <c r="J158" s="354">
        <f t="shared" si="20"/>
        <v>0.81511718193856164</v>
      </c>
      <c r="K158" s="682">
        <f>'018-21-CAPA'!$F$37</f>
        <v>4974259.4398541162</v>
      </c>
      <c r="L158" s="689">
        <f t="shared" si="21"/>
        <v>7.4505805969238281E-9</v>
      </c>
      <c r="M158" s="228"/>
      <c r="N158" s="93"/>
      <c r="P158" s="95"/>
    </row>
    <row r="159" spans="1:16" s="94" customFormat="1" ht="76.5">
      <c r="A159" s="343" t="s">
        <v>15455</v>
      </c>
      <c r="B159" s="147" t="s">
        <v>24596</v>
      </c>
      <c r="C159" s="351" t="s">
        <v>3240</v>
      </c>
      <c r="D159" s="351">
        <v>3</v>
      </c>
      <c r="E159" s="351">
        <v>1714.6399999999999</v>
      </c>
      <c r="F159" s="352">
        <v>0.2094</v>
      </c>
      <c r="G159" s="353">
        <f t="shared" si="18"/>
        <v>2073.6856159999998</v>
      </c>
      <c r="H159" s="353">
        <f t="shared" si="19"/>
        <v>6221.0568479999993</v>
      </c>
      <c r="I159" s="354">
        <f t="shared" si="17"/>
        <v>1.2506498551636579E-3</v>
      </c>
      <c r="J159" s="354">
        <f t="shared" si="20"/>
        <v>0.8163678317937253</v>
      </c>
      <c r="K159" s="682">
        <f>'018-21-CAPA'!$F$37</f>
        <v>4974259.4398541162</v>
      </c>
      <c r="L159" s="689">
        <f t="shared" si="21"/>
        <v>7.4505805969238281E-9</v>
      </c>
      <c r="M159" s="228"/>
      <c r="N159" s="93"/>
      <c r="P159" s="95"/>
    </row>
    <row r="160" spans="1:16" s="94" customFormat="1" ht="51">
      <c r="A160" s="343">
        <v>89713</v>
      </c>
      <c r="B160" s="147" t="s">
        <v>1778</v>
      </c>
      <c r="C160" s="351" t="s">
        <v>5</v>
      </c>
      <c r="D160" s="351">
        <v>122.63</v>
      </c>
      <c r="E160" s="351" t="s">
        <v>14151</v>
      </c>
      <c r="F160" s="352">
        <v>0.2094</v>
      </c>
      <c r="G160" s="353">
        <f t="shared" si="18"/>
        <v>50.55292</v>
      </c>
      <c r="H160" s="353">
        <f t="shared" si="19"/>
        <v>6199.3045795999997</v>
      </c>
      <c r="I160" s="354">
        <f t="shared" si="17"/>
        <v>1.246276888963761E-3</v>
      </c>
      <c r="J160" s="354">
        <f t="shared" si="20"/>
        <v>0.81761410868268902</v>
      </c>
      <c r="K160" s="682">
        <f>'018-21-CAPA'!$F$37</f>
        <v>4974259.4398541162</v>
      </c>
      <c r="L160" s="689">
        <f t="shared" si="21"/>
        <v>7.4505805969238281E-9</v>
      </c>
      <c r="M160" s="228"/>
      <c r="N160" s="93"/>
      <c r="P160" s="95"/>
    </row>
    <row r="161" spans="1:16" s="94" customFormat="1" ht="38.25">
      <c r="A161" s="343">
        <v>89831</v>
      </c>
      <c r="B161" s="147" t="s">
        <v>2187</v>
      </c>
      <c r="C161" s="351" t="s">
        <v>109</v>
      </c>
      <c r="D161" s="351">
        <v>31</v>
      </c>
      <c r="E161" s="351" t="s">
        <v>12199</v>
      </c>
      <c r="F161" s="352">
        <v>0.2094</v>
      </c>
      <c r="G161" s="353">
        <f t="shared" si="18"/>
        <v>199.58728200000002</v>
      </c>
      <c r="H161" s="353">
        <f t="shared" si="19"/>
        <v>6187.2057420000001</v>
      </c>
      <c r="I161" s="354">
        <f t="shared" si="17"/>
        <v>1.2438445997463828E-3</v>
      </c>
      <c r="J161" s="354">
        <f t="shared" si="20"/>
        <v>0.81885795328243538</v>
      </c>
      <c r="K161" s="682">
        <f>'018-21-CAPA'!$F$37</f>
        <v>4974259.4398541162</v>
      </c>
      <c r="L161" s="689">
        <f t="shared" si="21"/>
        <v>7.4505805969238281E-9</v>
      </c>
      <c r="M161" s="228"/>
      <c r="N161" s="93"/>
      <c r="P161" s="95"/>
    </row>
    <row r="162" spans="1:16" s="94" customFormat="1" ht="38.25">
      <c r="A162" s="343" t="s">
        <v>15553</v>
      </c>
      <c r="B162" s="147" t="s">
        <v>17701</v>
      </c>
      <c r="C162" s="351" t="s">
        <v>3240</v>
      </c>
      <c r="D162" s="351">
        <v>8</v>
      </c>
      <c r="E162" s="351">
        <v>631.45000000000005</v>
      </c>
      <c r="F162" s="352">
        <v>0.2094</v>
      </c>
      <c r="G162" s="353">
        <f t="shared" si="18"/>
        <v>763.67563000000007</v>
      </c>
      <c r="H162" s="353">
        <f t="shared" si="19"/>
        <v>6109.4050400000006</v>
      </c>
      <c r="I162" s="354">
        <f t="shared" si="17"/>
        <v>1.228203939475096E-3</v>
      </c>
      <c r="J162" s="354">
        <f t="shared" si="20"/>
        <v>0.82008615722191047</v>
      </c>
      <c r="K162" s="682">
        <f>'018-21-CAPA'!$F$37</f>
        <v>4974259.4398541162</v>
      </c>
      <c r="L162" s="689">
        <f t="shared" si="21"/>
        <v>7.4505805969238281E-9</v>
      </c>
      <c r="M162" s="228"/>
      <c r="N162" s="93"/>
      <c r="P162" s="95"/>
    </row>
    <row r="163" spans="1:16" s="94" customFormat="1" ht="25.5">
      <c r="A163" s="343" t="s">
        <v>15000</v>
      </c>
      <c r="B163" s="147" t="s">
        <v>18331</v>
      </c>
      <c r="C163" s="351" t="s">
        <v>109</v>
      </c>
      <c r="D163" s="351">
        <v>1</v>
      </c>
      <c r="E163" s="351">
        <v>5039.84</v>
      </c>
      <c r="F163" s="352">
        <v>0.2094</v>
      </c>
      <c r="G163" s="353">
        <f t="shared" si="18"/>
        <v>6095.1824960000004</v>
      </c>
      <c r="H163" s="353">
        <f t="shared" si="19"/>
        <v>6095.1824960000004</v>
      </c>
      <c r="I163" s="354">
        <f t="shared" si="17"/>
        <v>1.2253447110468303E-3</v>
      </c>
      <c r="J163" s="354">
        <f t="shared" si="20"/>
        <v>0.82131150193295732</v>
      </c>
      <c r="K163" s="682">
        <f>'018-21-CAPA'!$F$37</f>
        <v>4974259.4398541162</v>
      </c>
      <c r="L163" s="689">
        <f t="shared" si="21"/>
        <v>7.4505805969238281E-9</v>
      </c>
      <c r="M163" s="228"/>
      <c r="N163" s="93"/>
      <c r="P163" s="95"/>
    </row>
    <row r="164" spans="1:16" s="94" customFormat="1">
      <c r="A164" s="343" t="s">
        <v>17771</v>
      </c>
      <c r="B164" s="147" t="s">
        <v>17777</v>
      </c>
      <c r="C164" s="351" t="s">
        <v>193</v>
      </c>
      <c r="D164" s="351">
        <v>46.08</v>
      </c>
      <c r="E164" s="351">
        <v>109.26</v>
      </c>
      <c r="F164" s="352">
        <v>0.2094</v>
      </c>
      <c r="G164" s="353">
        <f t="shared" si="18"/>
        <v>132.13904400000001</v>
      </c>
      <c r="H164" s="353">
        <f t="shared" si="19"/>
        <v>6088.9671475200003</v>
      </c>
      <c r="I164" s="354">
        <f t="shared" si="17"/>
        <v>1.2240952087731445E-3</v>
      </c>
      <c r="J164" s="354">
        <f t="shared" si="20"/>
        <v>0.82253559714173041</v>
      </c>
      <c r="K164" s="682">
        <f>'018-21-CAPA'!$F$37</f>
        <v>4974259.4398541162</v>
      </c>
      <c r="L164" s="689">
        <f t="shared" si="21"/>
        <v>7.4505805969238281E-9</v>
      </c>
      <c r="M164" s="228"/>
      <c r="N164" s="93"/>
      <c r="P164" s="95"/>
    </row>
    <row r="165" spans="1:16" s="94" customFormat="1" ht="38.25">
      <c r="A165" s="343">
        <v>89636</v>
      </c>
      <c r="B165" s="147" t="s">
        <v>1775</v>
      </c>
      <c r="C165" s="351" t="s">
        <v>5</v>
      </c>
      <c r="D165" s="351">
        <v>103.93</v>
      </c>
      <c r="E165" s="351" t="s">
        <v>16091</v>
      </c>
      <c r="F165" s="352">
        <v>0.2094</v>
      </c>
      <c r="G165" s="353">
        <f t="shared" si="18"/>
        <v>58.329361999999996</v>
      </c>
      <c r="H165" s="353">
        <f t="shared" si="19"/>
        <v>6062.1705926599998</v>
      </c>
      <c r="I165" s="354">
        <f t="shared" si="17"/>
        <v>1.2187081646947227E-3</v>
      </c>
      <c r="J165" s="354">
        <f t="shared" si="20"/>
        <v>0.82375430530642513</v>
      </c>
      <c r="K165" s="682">
        <f>'018-21-CAPA'!$F$37</f>
        <v>4974259.4398541162</v>
      </c>
      <c r="L165" s="689">
        <f t="shared" si="21"/>
        <v>7.4505805969238281E-9</v>
      </c>
      <c r="M165" s="228"/>
      <c r="N165" s="93"/>
      <c r="P165" s="95"/>
    </row>
    <row r="166" spans="1:16" s="94" customFormat="1" ht="38.25">
      <c r="A166" s="343" t="s">
        <v>17883</v>
      </c>
      <c r="B166" s="147" t="s">
        <v>17884</v>
      </c>
      <c r="C166" s="351" t="s">
        <v>109</v>
      </c>
      <c r="D166" s="351">
        <v>4</v>
      </c>
      <c r="E166" s="351">
        <v>1244.6999999999998</v>
      </c>
      <c r="F166" s="352">
        <v>0.2094</v>
      </c>
      <c r="G166" s="353">
        <f t="shared" si="18"/>
        <v>1505.3401799999999</v>
      </c>
      <c r="H166" s="353">
        <f t="shared" si="19"/>
        <v>6021.3607199999997</v>
      </c>
      <c r="I166" s="354">
        <f t="shared" si="17"/>
        <v>1.2105039539667842E-3</v>
      </c>
      <c r="J166" s="354">
        <f t="shared" si="20"/>
        <v>0.82496480926039195</v>
      </c>
      <c r="K166" s="682">
        <f>'018-21-CAPA'!$F$37</f>
        <v>4974259.4398541162</v>
      </c>
      <c r="L166" s="689">
        <f t="shared" si="21"/>
        <v>7.4505805969238281E-9</v>
      </c>
      <c r="M166" s="228"/>
      <c r="N166" s="93"/>
      <c r="P166" s="95"/>
    </row>
    <row r="167" spans="1:16" s="94" customFormat="1" ht="38.25">
      <c r="A167" s="343">
        <v>90443</v>
      </c>
      <c r="B167" s="147" t="s">
        <v>130</v>
      </c>
      <c r="C167" s="351" t="s">
        <v>5</v>
      </c>
      <c r="D167" s="351">
        <v>421.43</v>
      </c>
      <c r="E167" s="351" t="s">
        <v>16337</v>
      </c>
      <c r="F167" s="352">
        <v>0.2094</v>
      </c>
      <c r="G167" s="353">
        <f t="shared" si="18"/>
        <v>14.246732</v>
      </c>
      <c r="H167" s="353">
        <f t="shared" si="19"/>
        <v>6004.0002667600002</v>
      </c>
      <c r="I167" s="354">
        <f t="shared" si="17"/>
        <v>1.2070138961099489E-3</v>
      </c>
      <c r="J167" s="354">
        <f t="shared" si="20"/>
        <v>0.82617182315650195</v>
      </c>
      <c r="K167" s="682">
        <f>'018-21-CAPA'!$F$37</f>
        <v>4974259.4398541162</v>
      </c>
      <c r="L167" s="689">
        <f t="shared" si="21"/>
        <v>7.4505805969238281E-9</v>
      </c>
      <c r="M167" s="228"/>
      <c r="N167" s="93"/>
      <c r="P167" s="95"/>
    </row>
    <row r="168" spans="1:16" s="94" customFormat="1" ht="38.25">
      <c r="A168" s="343" t="s">
        <v>9012</v>
      </c>
      <c r="B168" s="147" t="s">
        <v>16963</v>
      </c>
      <c r="C168" s="351" t="s">
        <v>109</v>
      </c>
      <c r="D168" s="351">
        <v>1</v>
      </c>
      <c r="E168" s="351">
        <v>4937.45</v>
      </c>
      <c r="F168" s="352">
        <v>0.2094</v>
      </c>
      <c r="G168" s="353">
        <f t="shared" si="18"/>
        <v>5971.35203</v>
      </c>
      <c r="H168" s="353">
        <f t="shared" si="19"/>
        <v>5971.35203</v>
      </c>
      <c r="I168" s="354">
        <f t="shared" si="17"/>
        <v>1.200450459450731E-3</v>
      </c>
      <c r="J168" s="354">
        <f t="shared" si="20"/>
        <v>0.82737227361595267</v>
      </c>
      <c r="K168" s="682">
        <f>'018-21-CAPA'!$F$37</f>
        <v>4974259.4398541162</v>
      </c>
      <c r="L168" s="689">
        <f t="shared" si="21"/>
        <v>7.4505805969238281E-9</v>
      </c>
      <c r="M168" s="228"/>
      <c r="N168" s="93"/>
      <c r="P168" s="95"/>
    </row>
    <row r="169" spans="1:16" s="94" customFormat="1" ht="25.5">
      <c r="A169" s="343" t="s">
        <v>15430</v>
      </c>
      <c r="B169" s="147" t="s">
        <v>15431</v>
      </c>
      <c r="C169" s="351" t="s">
        <v>193</v>
      </c>
      <c r="D169" s="351">
        <v>15.38</v>
      </c>
      <c r="E169" s="351">
        <v>319.22000000000003</v>
      </c>
      <c r="F169" s="352">
        <v>0.2094</v>
      </c>
      <c r="G169" s="353">
        <f t="shared" si="18"/>
        <v>386.06466800000004</v>
      </c>
      <c r="H169" s="353">
        <f t="shared" si="19"/>
        <v>5937.6745938400009</v>
      </c>
      <c r="I169" s="354">
        <f t="shared" si="17"/>
        <v>1.1936801177411342E-3</v>
      </c>
      <c r="J169" s="354">
        <f t="shared" si="20"/>
        <v>0.82856595373369379</v>
      </c>
      <c r="K169" s="682">
        <f>'018-21-CAPA'!$F$37</f>
        <v>4974259.4398541162</v>
      </c>
      <c r="L169" s="689">
        <f t="shared" si="21"/>
        <v>7.4505805969238281E-9</v>
      </c>
      <c r="M169" s="228"/>
      <c r="N169" s="93"/>
      <c r="P169" s="95"/>
    </row>
    <row r="170" spans="1:16" s="94" customFormat="1" ht="38.25">
      <c r="A170" s="343">
        <v>90466</v>
      </c>
      <c r="B170" s="147" t="s">
        <v>132</v>
      </c>
      <c r="C170" s="351" t="s">
        <v>5</v>
      </c>
      <c r="D170" s="351">
        <v>421.43</v>
      </c>
      <c r="E170" s="351" t="s">
        <v>19074</v>
      </c>
      <c r="F170" s="352">
        <v>0.2094</v>
      </c>
      <c r="G170" s="353">
        <f t="shared" si="18"/>
        <v>14.065322000000002</v>
      </c>
      <c r="H170" s="353">
        <f t="shared" si="19"/>
        <v>5927.5486504600012</v>
      </c>
      <c r="I170" s="354">
        <f t="shared" si="17"/>
        <v>1.19164444921551E-3</v>
      </c>
      <c r="J170" s="354">
        <f t="shared" si="20"/>
        <v>0.82975759818290928</v>
      </c>
      <c r="K170" s="682">
        <f>'018-21-CAPA'!$F$37</f>
        <v>4974259.4398541162</v>
      </c>
      <c r="L170" s="689">
        <f t="shared" si="21"/>
        <v>7.4505805969238281E-9</v>
      </c>
      <c r="M170" s="228"/>
      <c r="N170" s="93"/>
      <c r="P170" s="95"/>
    </row>
    <row r="171" spans="1:16" s="94" customFormat="1" ht="51">
      <c r="A171" s="343" t="s">
        <v>17867</v>
      </c>
      <c r="B171" s="147" t="s">
        <v>24758</v>
      </c>
      <c r="C171" s="351" t="s">
        <v>3244</v>
      </c>
      <c r="D171" s="351">
        <v>421.1</v>
      </c>
      <c r="E171" s="351">
        <v>11.48</v>
      </c>
      <c r="F171" s="352">
        <v>0.2094</v>
      </c>
      <c r="G171" s="353">
        <f t="shared" si="18"/>
        <v>13.883912</v>
      </c>
      <c r="H171" s="353">
        <f t="shared" si="19"/>
        <v>5846.5153432000006</v>
      </c>
      <c r="I171" s="354">
        <f t="shared" si="17"/>
        <v>1.1753539223059654E-3</v>
      </c>
      <c r="J171" s="354">
        <f t="shared" si="20"/>
        <v>0.83093295210521523</v>
      </c>
      <c r="K171" s="682">
        <f>'018-21-CAPA'!$F$37</f>
        <v>4974259.4398541162</v>
      </c>
      <c r="L171" s="689">
        <f t="shared" si="21"/>
        <v>7.4505805969238281E-9</v>
      </c>
      <c r="M171" s="228"/>
      <c r="N171" s="93"/>
      <c r="P171" s="95"/>
    </row>
    <row r="172" spans="1:16" s="94" customFormat="1" ht="38.25">
      <c r="A172" s="343" t="s">
        <v>15546</v>
      </c>
      <c r="B172" s="147" t="s">
        <v>15524</v>
      </c>
      <c r="C172" s="351" t="s">
        <v>3240</v>
      </c>
      <c r="D172" s="351">
        <v>28</v>
      </c>
      <c r="E172" s="351">
        <v>169.8</v>
      </c>
      <c r="F172" s="352">
        <v>0.2094</v>
      </c>
      <c r="G172" s="353">
        <f t="shared" si="18"/>
        <v>205.35612000000003</v>
      </c>
      <c r="H172" s="353">
        <f t="shared" si="19"/>
        <v>5749.9713600000014</v>
      </c>
      <c r="I172" s="354">
        <f t="shared" si="17"/>
        <v>1.1559452074274283E-3</v>
      </c>
      <c r="J172" s="354">
        <f t="shared" si="20"/>
        <v>0.83208889731264268</v>
      </c>
      <c r="K172" s="682">
        <f>'018-21-CAPA'!$F$37</f>
        <v>4974259.4398541162</v>
      </c>
      <c r="L172" s="689">
        <f t="shared" si="21"/>
        <v>7.4505805969238281E-9</v>
      </c>
      <c r="M172" s="228"/>
      <c r="N172" s="93"/>
      <c r="P172" s="95"/>
    </row>
    <row r="173" spans="1:16" s="94" customFormat="1" ht="38.25">
      <c r="A173" s="343" t="s">
        <v>11608</v>
      </c>
      <c r="B173" s="147" t="s">
        <v>17136</v>
      </c>
      <c r="C173" s="351" t="s">
        <v>5</v>
      </c>
      <c r="D173" s="351">
        <v>318.61</v>
      </c>
      <c r="E173" s="351">
        <v>14.91</v>
      </c>
      <c r="F173" s="352">
        <v>0.2094</v>
      </c>
      <c r="G173" s="353">
        <f t="shared" si="18"/>
        <v>18.032154000000002</v>
      </c>
      <c r="H173" s="353">
        <f t="shared" si="19"/>
        <v>5745.2245859400009</v>
      </c>
      <c r="I173" s="354">
        <f t="shared" si="17"/>
        <v>1.1549909399394946E-3</v>
      </c>
      <c r="J173" s="354">
        <f t="shared" si="20"/>
        <v>0.83324388825258222</v>
      </c>
      <c r="K173" s="682">
        <f>'018-21-CAPA'!$F$37</f>
        <v>4974259.4398541162</v>
      </c>
      <c r="L173" s="689">
        <f t="shared" si="21"/>
        <v>7.4505805969238281E-9</v>
      </c>
      <c r="M173" s="228"/>
      <c r="N173" s="93"/>
      <c r="P173" s="95"/>
    </row>
    <row r="174" spans="1:16" s="94" customFormat="1" ht="51">
      <c r="A174" s="343" t="s">
        <v>15478</v>
      </c>
      <c r="B174" s="147" t="s">
        <v>24624</v>
      </c>
      <c r="C174" s="351" t="s">
        <v>3240</v>
      </c>
      <c r="D174" s="351">
        <v>2</v>
      </c>
      <c r="E174" s="351">
        <v>2366.69</v>
      </c>
      <c r="F174" s="352">
        <v>0.2094</v>
      </c>
      <c r="G174" s="353">
        <f t="shared" si="18"/>
        <v>2862.2748860000002</v>
      </c>
      <c r="H174" s="353">
        <f t="shared" si="19"/>
        <v>5724.5497720000003</v>
      </c>
      <c r="I174" s="354">
        <f t="shared" si="17"/>
        <v>1.1508345797435723E-3</v>
      </c>
      <c r="J174" s="354">
        <f t="shared" si="20"/>
        <v>0.83439472283232574</v>
      </c>
      <c r="K174" s="682">
        <f>'018-21-CAPA'!$F$37</f>
        <v>4974259.4398541162</v>
      </c>
      <c r="L174" s="689">
        <f t="shared" si="21"/>
        <v>7.4505805969238281E-9</v>
      </c>
      <c r="M174" s="228"/>
      <c r="N174" s="93"/>
      <c r="P174" s="95"/>
    </row>
    <row r="175" spans="1:16" s="94" customFormat="1" ht="51">
      <c r="A175" s="343">
        <v>20193</v>
      </c>
      <c r="B175" s="147" t="s">
        <v>6956</v>
      </c>
      <c r="C175" s="351" t="s">
        <v>6957</v>
      </c>
      <c r="D175" s="351">
        <v>1050</v>
      </c>
      <c r="E175" s="351" t="s">
        <v>16197</v>
      </c>
      <c r="F175" s="352">
        <v>0.2094</v>
      </c>
      <c r="G175" s="353">
        <f t="shared" si="18"/>
        <v>5.4302060000000001</v>
      </c>
      <c r="H175" s="353">
        <f t="shared" si="19"/>
        <v>5701.7163</v>
      </c>
      <c r="I175" s="354">
        <f t="shared" si="17"/>
        <v>1.1462442538315266E-3</v>
      </c>
      <c r="J175" s="354">
        <f t="shared" si="20"/>
        <v>0.83554096708615722</v>
      </c>
      <c r="K175" s="682">
        <f>'018-21-CAPA'!$F$37</f>
        <v>4974259.4398541162</v>
      </c>
      <c r="L175" s="689">
        <f t="shared" si="21"/>
        <v>7.4505805969238281E-9</v>
      </c>
      <c r="M175" s="228"/>
      <c r="N175" s="93"/>
      <c r="P175" s="95"/>
    </row>
    <row r="176" spans="1:16" s="94" customFormat="1" ht="38.25">
      <c r="A176" s="343">
        <v>10775</v>
      </c>
      <c r="B176" s="147" t="s">
        <v>6969</v>
      </c>
      <c r="C176" s="351" t="s">
        <v>3246</v>
      </c>
      <c r="D176" s="351">
        <v>8</v>
      </c>
      <c r="E176" s="351" t="s">
        <v>20071</v>
      </c>
      <c r="F176" s="352">
        <v>0.2094</v>
      </c>
      <c r="G176" s="353">
        <f t="shared" si="18"/>
        <v>707.49900000000002</v>
      </c>
      <c r="H176" s="353">
        <f t="shared" si="19"/>
        <v>5659.9920000000002</v>
      </c>
      <c r="I176" s="354">
        <f t="shared" si="17"/>
        <v>1.1378562112486041E-3</v>
      </c>
      <c r="J176" s="354">
        <f t="shared" si="20"/>
        <v>0.83667882329740584</v>
      </c>
      <c r="K176" s="682">
        <f>'018-21-CAPA'!$F$37</f>
        <v>4974259.4398541162</v>
      </c>
      <c r="L176" s="689">
        <f t="shared" si="21"/>
        <v>7.4505805969238281E-9</v>
      </c>
      <c r="M176" s="228"/>
      <c r="N176" s="93"/>
      <c r="P176" s="95"/>
    </row>
    <row r="177" spans="1:16" s="94" customFormat="1" ht="25.5">
      <c r="A177" s="343">
        <v>86881</v>
      </c>
      <c r="B177" s="147" t="s">
        <v>10683</v>
      </c>
      <c r="C177" s="351" t="s">
        <v>109</v>
      </c>
      <c r="D177" s="351">
        <v>30</v>
      </c>
      <c r="E177" s="351" t="s">
        <v>23449</v>
      </c>
      <c r="F177" s="352">
        <v>0.2094</v>
      </c>
      <c r="G177" s="353">
        <f t="shared" si="18"/>
        <v>188.38823800000003</v>
      </c>
      <c r="H177" s="353">
        <f t="shared" si="19"/>
        <v>5651.6471400000009</v>
      </c>
      <c r="I177" s="354">
        <f t="shared" si="17"/>
        <v>1.1361786027320197E-3</v>
      </c>
      <c r="J177" s="354">
        <f t="shared" si="20"/>
        <v>0.83781500190013791</v>
      </c>
      <c r="K177" s="682">
        <f>'018-21-CAPA'!$F$37</f>
        <v>4974259.4398541162</v>
      </c>
      <c r="L177" s="689">
        <f t="shared" si="21"/>
        <v>7.4505805969238281E-9</v>
      </c>
      <c r="M177" s="228"/>
      <c r="N177" s="93"/>
      <c r="P177" s="95"/>
    </row>
    <row r="178" spans="1:16" s="94" customFormat="1" ht="38.25">
      <c r="A178" s="343" t="s">
        <v>24628</v>
      </c>
      <c r="B178" s="147" t="s">
        <v>24630</v>
      </c>
      <c r="C178" s="351" t="s">
        <v>3240</v>
      </c>
      <c r="D178" s="351">
        <v>1</v>
      </c>
      <c r="E178" s="351">
        <v>4632.8999999999996</v>
      </c>
      <c r="F178" s="352">
        <v>0.2094</v>
      </c>
      <c r="G178" s="353">
        <f t="shared" si="18"/>
        <v>5603.0292599999993</v>
      </c>
      <c r="H178" s="353">
        <f t="shared" si="19"/>
        <v>5603.0292599999993</v>
      </c>
      <c r="I178" s="354">
        <f t="shared" si="17"/>
        <v>1.1264047096353968E-3</v>
      </c>
      <c r="J178" s="354">
        <f t="shared" si="20"/>
        <v>0.83894140660977334</v>
      </c>
      <c r="K178" s="682">
        <f>'018-21-CAPA'!$F$37</f>
        <v>4974259.4398541162</v>
      </c>
      <c r="L178" s="689">
        <f t="shared" si="21"/>
        <v>7.4505805969238281E-9</v>
      </c>
      <c r="M178" s="228"/>
      <c r="N178" s="93"/>
      <c r="P178" s="95"/>
    </row>
    <row r="179" spans="1:16" s="94" customFormat="1" ht="38.25">
      <c r="A179" s="343">
        <v>98546</v>
      </c>
      <c r="B179" s="147" t="s">
        <v>4086</v>
      </c>
      <c r="C179" s="351" t="s">
        <v>193</v>
      </c>
      <c r="D179" s="351">
        <v>59.4</v>
      </c>
      <c r="E179" s="351" t="s">
        <v>16098</v>
      </c>
      <c r="F179" s="352">
        <v>0.2094</v>
      </c>
      <c r="G179" s="353">
        <f t="shared" si="18"/>
        <v>94.175978000000015</v>
      </c>
      <c r="H179" s="353">
        <f t="shared" si="19"/>
        <v>5594.0530932000011</v>
      </c>
      <c r="I179" s="354">
        <f t="shared" si="17"/>
        <v>1.1246001863875581E-3</v>
      </c>
      <c r="J179" s="354">
        <f t="shared" si="20"/>
        <v>0.84006600679616095</v>
      </c>
      <c r="K179" s="682">
        <f>'018-21-CAPA'!$F$37</f>
        <v>4974259.4398541162</v>
      </c>
      <c r="L179" s="689">
        <f t="shared" si="21"/>
        <v>7.4505805969238281E-9</v>
      </c>
      <c r="M179" s="228"/>
      <c r="N179" s="93"/>
      <c r="P179" s="95"/>
    </row>
    <row r="180" spans="1:16" s="94" customFormat="1" ht="25.5">
      <c r="A180" s="343" t="s">
        <v>17890</v>
      </c>
      <c r="B180" s="147" t="s">
        <v>18277</v>
      </c>
      <c r="C180" s="351" t="s">
        <v>109</v>
      </c>
      <c r="D180" s="351">
        <v>84</v>
      </c>
      <c r="E180" s="351">
        <v>54.03</v>
      </c>
      <c r="F180" s="352">
        <v>0.2094</v>
      </c>
      <c r="G180" s="353">
        <f t="shared" si="18"/>
        <v>65.343882000000008</v>
      </c>
      <c r="H180" s="353">
        <f t="shared" si="19"/>
        <v>5488.8860880000011</v>
      </c>
      <c r="I180" s="354">
        <f t="shared" si="17"/>
        <v>1.1034579427085505E-3</v>
      </c>
      <c r="J180" s="354">
        <f t="shared" si="20"/>
        <v>0.84116946473886944</v>
      </c>
      <c r="K180" s="682">
        <f>'018-21-CAPA'!$F$37</f>
        <v>4974259.4398541162</v>
      </c>
      <c r="L180" s="689">
        <f t="shared" si="21"/>
        <v>7.4505805969238281E-9</v>
      </c>
      <c r="M180" s="228"/>
      <c r="N180" s="93"/>
      <c r="P180" s="95"/>
    </row>
    <row r="181" spans="1:16" s="94" customFormat="1" ht="25.5">
      <c r="A181" s="343" t="s">
        <v>17897</v>
      </c>
      <c r="B181" s="147" t="s">
        <v>17898</v>
      </c>
      <c r="C181" s="351" t="s">
        <v>109</v>
      </c>
      <c r="D181" s="351">
        <v>1</v>
      </c>
      <c r="E181" s="351">
        <v>4511.5</v>
      </c>
      <c r="F181" s="352">
        <v>0.2094</v>
      </c>
      <c r="G181" s="353">
        <f t="shared" si="18"/>
        <v>5456.2080999999998</v>
      </c>
      <c r="H181" s="353">
        <f t="shared" si="19"/>
        <v>5456.2080999999998</v>
      </c>
      <c r="I181" s="354">
        <f t="shared" si="17"/>
        <v>1.096888525010273E-3</v>
      </c>
      <c r="J181" s="354">
        <f t="shared" si="20"/>
        <v>0.84226635326387966</v>
      </c>
      <c r="K181" s="682">
        <f>'018-21-CAPA'!$F$37</f>
        <v>4974259.4398541162</v>
      </c>
      <c r="L181" s="689">
        <f t="shared" si="21"/>
        <v>7.4505805969238281E-9</v>
      </c>
      <c r="M181" s="228"/>
      <c r="N181" s="93"/>
      <c r="P181" s="95"/>
    </row>
    <row r="182" spans="1:16" s="94" customFormat="1" ht="38.25">
      <c r="A182" s="343">
        <v>92984</v>
      </c>
      <c r="B182" s="147" t="s">
        <v>1618</v>
      </c>
      <c r="C182" s="351" t="s">
        <v>5</v>
      </c>
      <c r="D182" s="351">
        <v>157.80000000000001</v>
      </c>
      <c r="E182" s="351" t="s">
        <v>22581</v>
      </c>
      <c r="F182" s="352">
        <v>0.2094</v>
      </c>
      <c r="G182" s="353">
        <f t="shared" si="18"/>
        <v>34.334865999999998</v>
      </c>
      <c r="H182" s="353">
        <f t="shared" si="19"/>
        <v>5418.0418547999998</v>
      </c>
      <c r="I182" s="354">
        <f t="shared" si="17"/>
        <v>1.0892157757977552E-3</v>
      </c>
      <c r="J182" s="354">
        <f t="shared" si="20"/>
        <v>0.84335556903967746</v>
      </c>
      <c r="K182" s="682">
        <f>'018-21-CAPA'!$F$37</f>
        <v>4974259.4398541162</v>
      </c>
      <c r="L182" s="689">
        <f t="shared" si="21"/>
        <v>7.4505805969238281E-9</v>
      </c>
      <c r="M182" s="228"/>
      <c r="N182" s="93"/>
      <c r="P182" s="95"/>
    </row>
    <row r="183" spans="1:16" s="94" customFormat="1" ht="63.75">
      <c r="A183" s="343">
        <v>92423</v>
      </c>
      <c r="B183" s="147" t="s">
        <v>12834</v>
      </c>
      <c r="C183" s="351" t="s">
        <v>193</v>
      </c>
      <c r="D183" s="351">
        <v>79.540000000000006</v>
      </c>
      <c r="E183" s="351" t="s">
        <v>22249</v>
      </c>
      <c r="F183" s="352">
        <v>0.2094</v>
      </c>
      <c r="G183" s="353">
        <f t="shared" si="18"/>
        <v>67.544989999999999</v>
      </c>
      <c r="H183" s="353">
        <f t="shared" si="19"/>
        <v>5372.5285045999999</v>
      </c>
      <c r="I183" s="354">
        <f t="shared" si="17"/>
        <v>1.0800660016956358E-3</v>
      </c>
      <c r="J183" s="354">
        <f t="shared" si="20"/>
        <v>0.84443563504137309</v>
      </c>
      <c r="K183" s="682">
        <f>'018-21-CAPA'!$F$37</f>
        <v>4974259.4398541162</v>
      </c>
      <c r="L183" s="689">
        <f t="shared" si="21"/>
        <v>7.4505805969238281E-9</v>
      </c>
      <c r="M183" s="228"/>
      <c r="N183" s="93"/>
      <c r="P183" s="95"/>
    </row>
    <row r="184" spans="1:16" s="94" customFormat="1" ht="51">
      <c r="A184" s="343" t="s">
        <v>16891</v>
      </c>
      <c r="B184" s="147" t="s">
        <v>18371</v>
      </c>
      <c r="C184" s="351" t="s">
        <v>109</v>
      </c>
      <c r="D184" s="351">
        <v>2</v>
      </c>
      <c r="E184" s="351">
        <v>2204.64</v>
      </c>
      <c r="F184" s="352">
        <v>0.2094</v>
      </c>
      <c r="G184" s="353">
        <f t="shared" si="18"/>
        <v>2666.291616</v>
      </c>
      <c r="H184" s="353">
        <f t="shared" si="19"/>
        <v>5332.583232</v>
      </c>
      <c r="I184" s="354">
        <f t="shared" si="17"/>
        <v>1.0720356057979156E-3</v>
      </c>
      <c r="J184" s="354">
        <f t="shared" si="20"/>
        <v>0.84550767064717103</v>
      </c>
      <c r="K184" s="682">
        <f>'018-21-CAPA'!$F$37</f>
        <v>4974259.4398541162</v>
      </c>
      <c r="L184" s="689">
        <f t="shared" si="21"/>
        <v>7.4505805969238281E-9</v>
      </c>
      <c r="M184" s="228"/>
      <c r="N184" s="93"/>
      <c r="P184" s="95"/>
    </row>
    <row r="185" spans="1:16" s="94" customFormat="1" ht="51">
      <c r="A185" s="343">
        <v>92690</v>
      </c>
      <c r="B185" s="147" t="s">
        <v>13248</v>
      </c>
      <c r="C185" s="351" t="s">
        <v>5</v>
      </c>
      <c r="D185" s="351">
        <v>65.55</v>
      </c>
      <c r="E185" s="351" t="s">
        <v>11372</v>
      </c>
      <c r="F185" s="352">
        <v>0.2094</v>
      </c>
      <c r="G185" s="353">
        <f t="shared" si="18"/>
        <v>79.747835999999992</v>
      </c>
      <c r="H185" s="353">
        <f t="shared" si="19"/>
        <v>5227.4706497999996</v>
      </c>
      <c r="I185" s="354">
        <f t="shared" si="17"/>
        <v>1.050904303044016E-3</v>
      </c>
      <c r="J185" s="354">
        <f t="shared" si="20"/>
        <v>0.84655857495021503</v>
      </c>
      <c r="K185" s="682">
        <f>'018-21-CAPA'!$F$37</f>
        <v>4974259.4398541162</v>
      </c>
      <c r="L185" s="689">
        <f t="shared" si="21"/>
        <v>7.4505805969238281E-9</v>
      </c>
      <c r="M185" s="228"/>
      <c r="N185" s="93"/>
      <c r="P185" s="95"/>
    </row>
    <row r="186" spans="1:16" s="94" customFormat="1" ht="25.5">
      <c r="A186" s="343" t="s">
        <v>18412</v>
      </c>
      <c r="B186" s="147" t="s">
        <v>18414</v>
      </c>
      <c r="C186" s="351" t="s">
        <v>5</v>
      </c>
      <c r="D186" s="351">
        <v>210</v>
      </c>
      <c r="E186" s="351">
        <v>20.479999999999997</v>
      </c>
      <c r="F186" s="352">
        <v>0.2094</v>
      </c>
      <c r="G186" s="353">
        <f t="shared" si="18"/>
        <v>24.768511999999998</v>
      </c>
      <c r="H186" s="353">
        <f t="shared" si="19"/>
        <v>5201.3875199999993</v>
      </c>
      <c r="I186" s="354">
        <f t="shared" si="17"/>
        <v>1.0456606823371786E-3</v>
      </c>
      <c r="J186" s="354">
        <f t="shared" si="20"/>
        <v>0.84760423563255216</v>
      </c>
      <c r="K186" s="682">
        <f>'018-21-CAPA'!$F$37</f>
        <v>4974259.4398541162</v>
      </c>
      <c r="L186" s="689">
        <f t="shared" si="21"/>
        <v>7.4505805969238281E-9</v>
      </c>
      <c r="M186" s="228"/>
      <c r="N186" s="93"/>
      <c r="P186" s="95"/>
    </row>
    <row r="187" spans="1:16" s="94" customFormat="1" ht="51">
      <c r="A187" s="343">
        <v>94719</v>
      </c>
      <c r="B187" s="147" t="s">
        <v>1819</v>
      </c>
      <c r="C187" s="351" t="s">
        <v>5</v>
      </c>
      <c r="D187" s="351">
        <v>96.73</v>
      </c>
      <c r="E187" s="351" t="s">
        <v>22969</v>
      </c>
      <c r="F187" s="352">
        <v>0.2094</v>
      </c>
      <c r="G187" s="353">
        <f t="shared" si="18"/>
        <v>53.552232000000004</v>
      </c>
      <c r="H187" s="353">
        <f t="shared" si="19"/>
        <v>5180.1074013600009</v>
      </c>
      <c r="I187" s="354">
        <f t="shared" si="17"/>
        <v>1.041382634740887E-3</v>
      </c>
      <c r="J187" s="354">
        <f t="shared" si="20"/>
        <v>0.84864561826729301</v>
      </c>
      <c r="K187" s="682">
        <f>'018-21-CAPA'!$F$37</f>
        <v>4974259.4398541162</v>
      </c>
      <c r="L187" s="689">
        <f t="shared" si="21"/>
        <v>7.4505805969238281E-9</v>
      </c>
      <c r="M187" s="228"/>
      <c r="N187" s="93"/>
      <c r="P187" s="95"/>
    </row>
    <row r="188" spans="1:16" s="94" customFormat="1" ht="38.25">
      <c r="A188" s="343">
        <v>96546</v>
      </c>
      <c r="B188" s="147" t="s">
        <v>1442</v>
      </c>
      <c r="C188" s="351" t="s">
        <v>108</v>
      </c>
      <c r="D188" s="351">
        <v>298.61</v>
      </c>
      <c r="E188" s="351" t="s">
        <v>11376</v>
      </c>
      <c r="F188" s="352">
        <v>0.2094</v>
      </c>
      <c r="G188" s="353">
        <f t="shared" si="18"/>
        <v>17.246044000000001</v>
      </c>
      <c r="H188" s="353">
        <f t="shared" si="19"/>
        <v>5149.8411988400003</v>
      </c>
      <c r="I188" s="354">
        <f t="shared" si="17"/>
        <v>1.0352980702170696E-3</v>
      </c>
      <c r="J188" s="354">
        <f t="shared" si="20"/>
        <v>0.84968091633751008</v>
      </c>
      <c r="K188" s="682">
        <f>'018-21-CAPA'!$F$37</f>
        <v>4974259.4398541162</v>
      </c>
      <c r="L188" s="689">
        <f t="shared" si="21"/>
        <v>7.4505805969238281E-9</v>
      </c>
      <c r="M188" s="228"/>
      <c r="N188" s="93"/>
      <c r="P188" s="95"/>
    </row>
    <row r="189" spans="1:16" s="94" customFormat="1" ht="25.5">
      <c r="A189" s="343" t="s">
        <v>14993</v>
      </c>
      <c r="B189" s="147" t="s">
        <v>18332</v>
      </c>
      <c r="C189" s="351" t="s">
        <v>109</v>
      </c>
      <c r="D189" s="351">
        <v>1</v>
      </c>
      <c r="E189" s="351">
        <v>4208.84</v>
      </c>
      <c r="F189" s="352">
        <v>0.2094</v>
      </c>
      <c r="G189" s="353">
        <f t="shared" si="18"/>
        <v>5090.171096</v>
      </c>
      <c r="H189" s="353">
        <f t="shared" si="19"/>
        <v>5090.171096</v>
      </c>
      <c r="I189" s="354">
        <f t="shared" si="17"/>
        <v>1.0233022940494818E-3</v>
      </c>
      <c r="J189" s="354">
        <f t="shared" si="20"/>
        <v>0.85070421863155954</v>
      </c>
      <c r="K189" s="682">
        <f>'018-21-CAPA'!$F$37</f>
        <v>4974259.4398541162</v>
      </c>
      <c r="L189" s="689">
        <f t="shared" si="21"/>
        <v>7.4505805969238281E-9</v>
      </c>
      <c r="M189" s="228"/>
      <c r="N189" s="93"/>
      <c r="P189" s="95"/>
    </row>
    <row r="190" spans="1:16" s="94" customFormat="1" ht="51">
      <c r="A190" s="343" t="s">
        <v>15497</v>
      </c>
      <c r="B190" s="147" t="s">
        <v>15495</v>
      </c>
      <c r="C190" s="351" t="s">
        <v>193</v>
      </c>
      <c r="D190" s="351">
        <v>9.36</v>
      </c>
      <c r="E190" s="351">
        <v>449.47</v>
      </c>
      <c r="F190" s="352">
        <v>0.2094</v>
      </c>
      <c r="G190" s="353">
        <f t="shared" si="18"/>
        <v>543.58901800000001</v>
      </c>
      <c r="H190" s="353">
        <f t="shared" si="19"/>
        <v>5087.9932084799993</v>
      </c>
      <c r="I190" s="354">
        <f t="shared" si="17"/>
        <v>1.0228644625398201E-3</v>
      </c>
      <c r="J190" s="354">
        <f t="shared" si="20"/>
        <v>0.85172708309409939</v>
      </c>
      <c r="K190" s="682">
        <f>'018-21-CAPA'!$F$37</f>
        <v>4974259.4398541162</v>
      </c>
      <c r="L190" s="689">
        <f t="shared" si="21"/>
        <v>7.4505805969238281E-9</v>
      </c>
      <c r="M190" s="228"/>
      <c r="N190" s="93"/>
      <c r="P190" s="95"/>
    </row>
    <row r="191" spans="1:16" s="94" customFormat="1" ht="25.5">
      <c r="A191" s="343" t="s">
        <v>15534</v>
      </c>
      <c r="B191" s="147" t="s">
        <v>17610</v>
      </c>
      <c r="C191" s="351" t="s">
        <v>3240</v>
      </c>
      <c r="D191" s="351">
        <v>2</v>
      </c>
      <c r="E191" s="351">
        <v>2076.5100000000002</v>
      </c>
      <c r="F191" s="352">
        <v>0.2094</v>
      </c>
      <c r="G191" s="353">
        <f t="shared" si="18"/>
        <v>2511.3311940000003</v>
      </c>
      <c r="H191" s="353">
        <f t="shared" si="19"/>
        <v>5022.6623880000006</v>
      </c>
      <c r="I191" s="354">
        <f t="shared" si="17"/>
        <v>1.0097306842819826E-3</v>
      </c>
      <c r="J191" s="354">
        <f t="shared" si="20"/>
        <v>0.8527368137783814</v>
      </c>
      <c r="K191" s="682">
        <f>'018-21-CAPA'!$F$37</f>
        <v>4974259.4398541162</v>
      </c>
      <c r="L191" s="689">
        <f t="shared" si="21"/>
        <v>7.4505805969238281E-9</v>
      </c>
      <c r="M191" s="228"/>
      <c r="N191" s="93"/>
      <c r="P191" s="95"/>
    </row>
    <row r="192" spans="1:16" s="94" customFormat="1" ht="38.25">
      <c r="A192" s="343">
        <v>89578</v>
      </c>
      <c r="B192" s="147" t="s">
        <v>1770</v>
      </c>
      <c r="C192" s="351" t="s">
        <v>5</v>
      </c>
      <c r="D192" s="351">
        <v>96.25</v>
      </c>
      <c r="E192" s="351" t="s">
        <v>16586</v>
      </c>
      <c r="F192" s="352">
        <v>0.2094</v>
      </c>
      <c r="G192" s="353">
        <f t="shared" si="18"/>
        <v>51.653474000000003</v>
      </c>
      <c r="H192" s="353">
        <f t="shared" si="19"/>
        <v>4971.6468725000004</v>
      </c>
      <c r="I192" s="354">
        <f t="shared" si="17"/>
        <v>9.9947478265142824E-4</v>
      </c>
      <c r="J192" s="354">
        <f t="shared" si="20"/>
        <v>0.85373628856103279</v>
      </c>
      <c r="K192" s="682">
        <f>'018-21-CAPA'!$F$37</f>
        <v>4974259.4398541162</v>
      </c>
      <c r="L192" s="689">
        <f t="shared" si="21"/>
        <v>7.4505805969238281E-9</v>
      </c>
      <c r="M192" s="228"/>
      <c r="N192" s="93"/>
      <c r="P192" s="95"/>
    </row>
    <row r="193" spans="1:16" s="94" customFormat="1" ht="38.25">
      <c r="A193" s="343">
        <v>97647</v>
      </c>
      <c r="B193" s="147" t="s">
        <v>3742</v>
      </c>
      <c r="C193" s="351" t="s">
        <v>193</v>
      </c>
      <c r="D193" s="351">
        <v>1394.26</v>
      </c>
      <c r="E193" s="351" t="s">
        <v>16516</v>
      </c>
      <c r="F193" s="352">
        <v>0.2094</v>
      </c>
      <c r="G193" s="353">
        <f t="shared" si="18"/>
        <v>3.5556360000000002</v>
      </c>
      <c r="H193" s="353">
        <f t="shared" si="19"/>
        <v>4957.4810493600007</v>
      </c>
      <c r="I193" s="354">
        <f t="shared" si="17"/>
        <v>9.9662695709844197E-4</v>
      </c>
      <c r="J193" s="354">
        <f t="shared" si="20"/>
        <v>0.85473291551813124</v>
      </c>
      <c r="K193" s="682">
        <f>'018-21-CAPA'!$F$37</f>
        <v>4974259.4398541162</v>
      </c>
      <c r="L193" s="689">
        <f t="shared" si="21"/>
        <v>7.4505805969238281E-9</v>
      </c>
      <c r="M193" s="228"/>
      <c r="N193" s="93"/>
      <c r="P193" s="95"/>
    </row>
    <row r="194" spans="1:16" s="94" customFormat="1" ht="51">
      <c r="A194" s="343" t="s">
        <v>18397</v>
      </c>
      <c r="B194" s="147" t="s">
        <v>18398</v>
      </c>
      <c r="C194" s="351" t="s">
        <v>109</v>
      </c>
      <c r="D194" s="351">
        <v>12</v>
      </c>
      <c r="E194" s="351">
        <v>337.74</v>
      </c>
      <c r="F194" s="352">
        <v>0.2094</v>
      </c>
      <c r="G194" s="353">
        <f t="shared" si="18"/>
        <v>408.46275600000001</v>
      </c>
      <c r="H194" s="353">
        <f t="shared" si="19"/>
        <v>4901.5530720000006</v>
      </c>
      <c r="I194" s="354">
        <f t="shared" si="17"/>
        <v>9.8538347894129141E-4</v>
      </c>
      <c r="J194" s="354">
        <f t="shared" si="20"/>
        <v>0.85571829899707252</v>
      </c>
      <c r="K194" s="682">
        <f>'018-21-CAPA'!$F$37</f>
        <v>4974259.4398541162</v>
      </c>
      <c r="L194" s="689">
        <f t="shared" si="21"/>
        <v>7.4505805969238281E-9</v>
      </c>
      <c r="M194" s="228"/>
      <c r="N194" s="93"/>
      <c r="P194" s="95"/>
    </row>
    <row r="195" spans="1:16" s="94" customFormat="1" ht="38.25">
      <c r="A195" s="343">
        <v>93585</v>
      </c>
      <c r="B195" s="147" t="s">
        <v>379</v>
      </c>
      <c r="C195" s="351" t="s">
        <v>193</v>
      </c>
      <c r="D195" s="351">
        <v>4</v>
      </c>
      <c r="E195" s="351" t="s">
        <v>21361</v>
      </c>
      <c r="F195" s="352">
        <v>0.2094</v>
      </c>
      <c r="G195" s="353">
        <f t="shared" si="18"/>
        <v>1225.134294</v>
      </c>
      <c r="H195" s="353">
        <f t="shared" si="19"/>
        <v>4900.5371759999998</v>
      </c>
      <c r="I195" s="354">
        <f t="shared" si="17"/>
        <v>9.851792483392722E-4</v>
      </c>
      <c r="J195" s="354">
        <f t="shared" si="20"/>
        <v>0.85670347824541182</v>
      </c>
      <c r="K195" s="682">
        <f>'018-21-CAPA'!$F$37</f>
        <v>4974259.4398541162</v>
      </c>
      <c r="L195" s="689">
        <f t="shared" si="21"/>
        <v>7.4505805969238281E-9</v>
      </c>
      <c r="M195" s="228"/>
      <c r="N195" s="93"/>
      <c r="P195" s="95"/>
    </row>
    <row r="196" spans="1:16" s="94" customFormat="1" ht="51">
      <c r="A196" s="343">
        <v>10527</v>
      </c>
      <c r="B196" s="147" t="s">
        <v>11848</v>
      </c>
      <c r="C196" s="351" t="s">
        <v>6958</v>
      </c>
      <c r="D196" s="351">
        <v>300</v>
      </c>
      <c r="E196" s="351" t="s">
        <v>11151</v>
      </c>
      <c r="F196" s="352">
        <v>0.2094</v>
      </c>
      <c r="G196" s="353">
        <f t="shared" si="18"/>
        <v>16.326900000000002</v>
      </c>
      <c r="H196" s="353">
        <f t="shared" si="19"/>
        <v>4898.0700000000006</v>
      </c>
      <c r="I196" s="354">
        <f t="shared" si="17"/>
        <v>9.8468325973436908E-4</v>
      </c>
      <c r="J196" s="354">
        <f t="shared" si="20"/>
        <v>0.85768816150514615</v>
      </c>
      <c r="K196" s="682">
        <f>'018-21-CAPA'!$F$37</f>
        <v>4974259.4398541162</v>
      </c>
      <c r="L196" s="689">
        <f t="shared" si="21"/>
        <v>7.4505805969238281E-9</v>
      </c>
      <c r="M196" s="228"/>
      <c r="N196" s="93"/>
      <c r="P196" s="95"/>
    </row>
    <row r="197" spans="1:16" s="94" customFormat="1" ht="38.25">
      <c r="A197" s="343">
        <v>91931</v>
      </c>
      <c r="B197" s="147" t="s">
        <v>126</v>
      </c>
      <c r="C197" s="351" t="s">
        <v>5</v>
      </c>
      <c r="D197" s="351">
        <v>393.5</v>
      </c>
      <c r="E197" s="351" t="s">
        <v>12467</v>
      </c>
      <c r="F197" s="352">
        <v>0.2094</v>
      </c>
      <c r="G197" s="353">
        <f t="shared" si="18"/>
        <v>12.432632</v>
      </c>
      <c r="H197" s="353">
        <f t="shared" si="19"/>
        <v>4892.2406920000003</v>
      </c>
      <c r="I197" s="354">
        <f t="shared" si="17"/>
        <v>9.8351136508945049E-4</v>
      </c>
      <c r="J197" s="354">
        <f t="shared" si="20"/>
        <v>0.8586716728702356</v>
      </c>
      <c r="K197" s="682">
        <f>'018-21-CAPA'!$F$37</f>
        <v>4974259.4398541162</v>
      </c>
      <c r="L197" s="689">
        <f t="shared" si="21"/>
        <v>7.4505805969238281E-9</v>
      </c>
      <c r="M197" s="228"/>
      <c r="N197" s="93"/>
      <c r="P197" s="95"/>
    </row>
    <row r="198" spans="1:16" s="94" customFormat="1" ht="25.5">
      <c r="A198" s="343" t="s">
        <v>17710</v>
      </c>
      <c r="B198" s="147" t="s">
        <v>17712</v>
      </c>
      <c r="C198" s="351" t="s">
        <v>5</v>
      </c>
      <c r="D198" s="351">
        <v>58.71</v>
      </c>
      <c r="E198" s="351">
        <v>68.900000000000006</v>
      </c>
      <c r="F198" s="352">
        <v>0.2094</v>
      </c>
      <c r="G198" s="353">
        <f t="shared" si="18"/>
        <v>83.327660000000009</v>
      </c>
      <c r="H198" s="353">
        <f t="shared" si="19"/>
        <v>4892.1669186000008</v>
      </c>
      <c r="I198" s="354">
        <f t="shared" si="17"/>
        <v>9.8349653405763746E-4</v>
      </c>
      <c r="J198" s="354">
        <f t="shared" si="20"/>
        <v>0.85965516940429321</v>
      </c>
      <c r="K198" s="682">
        <f>'018-21-CAPA'!$F$37</f>
        <v>4974259.4398541162</v>
      </c>
      <c r="L198" s="689">
        <f t="shared" si="21"/>
        <v>7.4505805969238281E-9</v>
      </c>
      <c r="M198" s="228"/>
      <c r="N198" s="93"/>
      <c r="P198" s="95"/>
    </row>
    <row r="199" spans="1:16" s="94" customFormat="1">
      <c r="A199" s="343" t="s">
        <v>9003</v>
      </c>
      <c r="B199" s="147" t="s">
        <v>9008</v>
      </c>
      <c r="C199" s="351" t="s">
        <v>193</v>
      </c>
      <c r="D199" s="351">
        <v>1497</v>
      </c>
      <c r="E199" s="351">
        <v>2.7</v>
      </c>
      <c r="F199" s="352">
        <v>0.2094</v>
      </c>
      <c r="G199" s="353">
        <f t="shared" si="18"/>
        <v>3.2653800000000004</v>
      </c>
      <c r="H199" s="353">
        <f t="shared" si="19"/>
        <v>4888.2738600000002</v>
      </c>
      <c r="I199" s="354">
        <f t="shared" si="17"/>
        <v>9.8271389321490034E-4</v>
      </c>
      <c r="J199" s="354">
        <f t="shared" si="20"/>
        <v>0.86063788329750812</v>
      </c>
      <c r="K199" s="682">
        <f>'018-21-CAPA'!$F$37</f>
        <v>4974259.4398541162</v>
      </c>
      <c r="L199" s="689">
        <f t="shared" si="21"/>
        <v>7.4505805969238281E-9</v>
      </c>
      <c r="M199" s="228"/>
      <c r="N199" s="93"/>
      <c r="P199" s="95"/>
    </row>
    <row r="200" spans="1:16" s="94" customFormat="1" ht="38.25">
      <c r="A200" s="343" t="s">
        <v>15548</v>
      </c>
      <c r="B200" s="147" t="s">
        <v>17666</v>
      </c>
      <c r="C200" s="351" t="s">
        <v>3240</v>
      </c>
      <c r="D200" s="351">
        <v>16</v>
      </c>
      <c r="E200" s="351">
        <v>251.77</v>
      </c>
      <c r="F200" s="352">
        <v>0.2094</v>
      </c>
      <c r="G200" s="353">
        <f t="shared" si="18"/>
        <v>304.49063800000005</v>
      </c>
      <c r="H200" s="353">
        <f t="shared" si="19"/>
        <v>4871.8502080000007</v>
      </c>
      <c r="I200" s="354">
        <f t="shared" si="17"/>
        <v>9.794121651489269E-4</v>
      </c>
      <c r="J200" s="354">
        <f t="shared" si="20"/>
        <v>0.86161729546265708</v>
      </c>
      <c r="K200" s="682">
        <f>'018-21-CAPA'!$F$37</f>
        <v>4974259.4398541162</v>
      </c>
      <c r="L200" s="689">
        <f t="shared" si="21"/>
        <v>7.4505805969238281E-9</v>
      </c>
      <c r="M200" s="228"/>
      <c r="N200" s="93"/>
      <c r="P200" s="95"/>
    </row>
    <row r="201" spans="1:16" s="94" customFormat="1" ht="25.5">
      <c r="A201" s="343" t="s">
        <v>14992</v>
      </c>
      <c r="B201" s="147" t="s">
        <v>16866</v>
      </c>
      <c r="C201" s="351" t="s">
        <v>109</v>
      </c>
      <c r="D201" s="351">
        <v>1</v>
      </c>
      <c r="E201" s="351">
        <v>3976.7799999999997</v>
      </c>
      <c r="F201" s="352">
        <v>0.2094</v>
      </c>
      <c r="G201" s="353">
        <f t="shared" si="18"/>
        <v>4809.5177320000003</v>
      </c>
      <c r="H201" s="353">
        <f t="shared" si="19"/>
        <v>4809.5177320000003</v>
      </c>
      <c r="I201" s="354">
        <f t="shared" si="17"/>
        <v>9.6688115892504787E-4</v>
      </c>
      <c r="J201" s="354">
        <f t="shared" si="20"/>
        <v>0.86258417662158215</v>
      </c>
      <c r="K201" s="682">
        <f>'018-21-CAPA'!$F$37</f>
        <v>4974259.4398541162</v>
      </c>
      <c r="L201" s="689">
        <f t="shared" si="21"/>
        <v>7.4505805969238281E-9</v>
      </c>
      <c r="M201" s="228"/>
      <c r="N201" s="93"/>
      <c r="P201" s="95"/>
    </row>
    <row r="202" spans="1:16" s="94" customFormat="1" ht="38.25">
      <c r="A202" s="343">
        <v>89356</v>
      </c>
      <c r="B202" s="147" t="s">
        <v>1760</v>
      </c>
      <c r="C202" s="351" t="s">
        <v>5</v>
      </c>
      <c r="D202" s="351">
        <v>199.24</v>
      </c>
      <c r="E202" s="351" t="s">
        <v>19017</v>
      </c>
      <c r="F202" s="352">
        <v>0.2094</v>
      </c>
      <c r="G202" s="353">
        <f t="shared" si="18"/>
        <v>24.054966</v>
      </c>
      <c r="H202" s="353">
        <f t="shared" si="19"/>
        <v>4792.7114258400006</v>
      </c>
      <c r="I202" s="354">
        <f t="shared" ref="I202:I233" si="22">H202/$F$772</f>
        <v>9.6350250399898066E-4</v>
      </c>
      <c r="J202" s="354">
        <f t="shared" si="20"/>
        <v>0.86354767912558117</v>
      </c>
      <c r="K202" s="682">
        <f>'018-21-CAPA'!$F$37</f>
        <v>4974259.4398541162</v>
      </c>
      <c r="L202" s="689">
        <f t="shared" si="21"/>
        <v>7.4505805969238281E-9</v>
      </c>
      <c r="M202" s="228"/>
      <c r="N202" s="93"/>
      <c r="P202" s="95"/>
    </row>
    <row r="203" spans="1:16" s="94" customFormat="1" ht="63.75">
      <c r="A203" s="343">
        <v>94495</v>
      </c>
      <c r="B203" s="147" t="s">
        <v>2373</v>
      </c>
      <c r="C203" s="351" t="s">
        <v>109</v>
      </c>
      <c r="D203" s="351">
        <v>47</v>
      </c>
      <c r="E203" s="351" t="s">
        <v>15803</v>
      </c>
      <c r="F203" s="352">
        <v>0.2094</v>
      </c>
      <c r="G203" s="353">
        <f t="shared" ref="G203:G266" si="23">(E203*(1+F203))</f>
        <v>101.74682199999999</v>
      </c>
      <c r="H203" s="353">
        <f t="shared" ref="H203:H266" si="24">G203*D203</f>
        <v>4782.1006339999994</v>
      </c>
      <c r="I203" s="354">
        <f t="shared" si="22"/>
        <v>9.61369363987226E-4</v>
      </c>
      <c r="J203" s="354">
        <f t="shared" si="20"/>
        <v>0.86450904848956844</v>
      </c>
      <c r="K203" s="682">
        <f>'018-21-CAPA'!$F$37</f>
        <v>4974259.4398541162</v>
      </c>
      <c r="L203" s="689">
        <f t="shared" si="21"/>
        <v>7.4505805969238281E-9</v>
      </c>
      <c r="M203" s="228"/>
      <c r="N203" s="93"/>
      <c r="P203" s="95"/>
    </row>
    <row r="204" spans="1:16" s="94" customFormat="1" ht="38.25">
      <c r="A204" s="343" t="s">
        <v>14537</v>
      </c>
      <c r="B204" s="147" t="s">
        <v>18520</v>
      </c>
      <c r="C204" s="351" t="s">
        <v>3240</v>
      </c>
      <c r="D204" s="351">
        <v>4</v>
      </c>
      <c r="E204" s="351">
        <v>979.55000000000007</v>
      </c>
      <c r="F204" s="352">
        <v>0.2094</v>
      </c>
      <c r="G204" s="353">
        <f t="shared" si="23"/>
        <v>1184.66777</v>
      </c>
      <c r="H204" s="353">
        <f t="shared" si="24"/>
        <v>4738.6710800000001</v>
      </c>
      <c r="I204" s="354">
        <f t="shared" si="22"/>
        <v>9.5263850575091468E-4</v>
      </c>
      <c r="J204" s="354">
        <f t="shared" si="20"/>
        <v>0.86546168699531933</v>
      </c>
      <c r="K204" s="682">
        <f>'018-21-CAPA'!$F$37</f>
        <v>4974259.4398541162</v>
      </c>
      <c r="L204" s="689">
        <f t="shared" si="21"/>
        <v>7.4505805969238281E-9</v>
      </c>
      <c r="M204" s="228"/>
      <c r="N204" s="93"/>
      <c r="P204" s="95"/>
    </row>
    <row r="205" spans="1:16" s="94" customFormat="1" ht="38.25">
      <c r="A205" s="343" t="s">
        <v>24545</v>
      </c>
      <c r="B205" s="147" t="s">
        <v>18270</v>
      </c>
      <c r="C205" s="351" t="s">
        <v>209</v>
      </c>
      <c r="D205" s="351">
        <v>36.799999999999997</v>
      </c>
      <c r="E205" s="351">
        <v>105.72</v>
      </c>
      <c r="F205" s="352">
        <v>0.2094</v>
      </c>
      <c r="G205" s="353">
        <f t="shared" si="23"/>
        <v>127.85776800000001</v>
      </c>
      <c r="H205" s="353">
        <f t="shared" si="24"/>
        <v>4705.1658624000002</v>
      </c>
      <c r="I205" s="354">
        <f t="shared" si="22"/>
        <v>9.4590278599099352E-4</v>
      </c>
      <c r="J205" s="354">
        <f t="shared" ref="J205:J268" si="25">I205+J204</f>
        <v>0.86640758978131038</v>
      </c>
      <c r="K205" s="682">
        <f>'018-21-CAPA'!$F$37</f>
        <v>4974259.4398541162</v>
      </c>
      <c r="L205" s="689">
        <f t="shared" si="21"/>
        <v>7.4505805969238281E-9</v>
      </c>
      <c r="M205" s="228"/>
      <c r="N205" s="93"/>
      <c r="P205" s="95"/>
    </row>
    <row r="206" spans="1:16" s="94" customFormat="1" ht="25.5">
      <c r="A206" s="343" t="s">
        <v>14413</v>
      </c>
      <c r="B206" s="147" t="s">
        <v>18444</v>
      </c>
      <c r="C206" s="351" t="s">
        <v>109</v>
      </c>
      <c r="D206" s="351">
        <v>2</v>
      </c>
      <c r="E206" s="351">
        <v>1942.41</v>
      </c>
      <c r="F206" s="352">
        <v>0.2094</v>
      </c>
      <c r="G206" s="353">
        <f t="shared" si="23"/>
        <v>2349.150654</v>
      </c>
      <c r="H206" s="353">
        <f t="shared" si="24"/>
        <v>4698.3013080000001</v>
      </c>
      <c r="I206" s="354">
        <f t="shared" si="22"/>
        <v>9.4452277063735096E-4</v>
      </c>
      <c r="J206" s="354">
        <f t="shared" si="25"/>
        <v>0.86735211255194777</v>
      </c>
      <c r="K206" s="682">
        <f>'018-21-CAPA'!$F$37</f>
        <v>4974259.4398541162</v>
      </c>
      <c r="L206" s="689">
        <f t="shared" si="21"/>
        <v>7.4505805969238281E-9</v>
      </c>
      <c r="M206" s="228"/>
      <c r="N206" s="93"/>
      <c r="P206" s="95"/>
    </row>
    <row r="207" spans="1:16" s="94" customFormat="1" ht="25.5">
      <c r="A207" s="343" t="s">
        <v>15441</v>
      </c>
      <c r="B207" s="147" t="s">
        <v>17445</v>
      </c>
      <c r="C207" s="351" t="s">
        <v>193</v>
      </c>
      <c r="D207" s="351">
        <v>383.25</v>
      </c>
      <c r="E207" s="351">
        <v>10.09</v>
      </c>
      <c r="F207" s="352">
        <v>0.2094</v>
      </c>
      <c r="G207" s="353">
        <f t="shared" si="23"/>
        <v>12.202846000000001</v>
      </c>
      <c r="H207" s="353">
        <f t="shared" si="24"/>
        <v>4676.7407295000003</v>
      </c>
      <c r="I207" s="354">
        <f t="shared" si="22"/>
        <v>9.4018834080700176E-4</v>
      </c>
      <c r="J207" s="354">
        <f t="shared" si="25"/>
        <v>0.86829230089275478</v>
      </c>
      <c r="K207" s="682">
        <f>'018-21-CAPA'!$F$37</f>
        <v>4974259.4398541162</v>
      </c>
      <c r="L207" s="689">
        <f t="shared" si="21"/>
        <v>7.4505805969238281E-9</v>
      </c>
      <c r="M207" s="228"/>
      <c r="N207" s="93"/>
      <c r="P207" s="95"/>
    </row>
    <row r="208" spans="1:16" s="94" customFormat="1" ht="76.5">
      <c r="A208" s="343">
        <v>94794</v>
      </c>
      <c r="B208" s="147" t="s">
        <v>2382</v>
      </c>
      <c r="C208" s="351" t="s">
        <v>109</v>
      </c>
      <c r="D208" s="351">
        <v>22</v>
      </c>
      <c r="E208" s="351" t="s">
        <v>23587</v>
      </c>
      <c r="F208" s="352">
        <v>0.2094</v>
      </c>
      <c r="G208" s="353">
        <f t="shared" si="23"/>
        <v>212.28598200000002</v>
      </c>
      <c r="H208" s="353">
        <f t="shared" si="24"/>
        <v>4670.291604</v>
      </c>
      <c r="I208" s="354">
        <f t="shared" si="22"/>
        <v>9.3889184118168471E-4</v>
      </c>
      <c r="J208" s="354">
        <f t="shared" si="25"/>
        <v>0.86923119273393645</v>
      </c>
      <c r="K208" s="682">
        <f>'018-21-CAPA'!$F$37</f>
        <v>4974259.4398541162</v>
      </c>
      <c r="L208" s="689">
        <f t="shared" si="21"/>
        <v>7.4505805969238281E-9</v>
      </c>
      <c r="M208" s="228"/>
      <c r="N208" s="93"/>
      <c r="P208" s="95"/>
    </row>
    <row r="209" spans="1:16" s="94" customFormat="1" ht="25.5">
      <c r="A209" s="343" t="s">
        <v>18517</v>
      </c>
      <c r="B209" s="147" t="s">
        <v>18511</v>
      </c>
      <c r="C209" s="351" t="s">
        <v>109</v>
      </c>
      <c r="D209" s="351">
        <v>1</v>
      </c>
      <c r="E209" s="351">
        <v>3835.7299999999996</v>
      </c>
      <c r="F209" s="352">
        <v>0.2094</v>
      </c>
      <c r="G209" s="353">
        <f t="shared" si="23"/>
        <v>4638.9318619999995</v>
      </c>
      <c r="H209" s="353">
        <f t="shared" si="24"/>
        <v>4638.9318619999995</v>
      </c>
      <c r="I209" s="354">
        <f t="shared" si="22"/>
        <v>9.3258743700269393E-4</v>
      </c>
      <c r="J209" s="354">
        <f t="shared" si="25"/>
        <v>0.87016378017093909</v>
      </c>
      <c r="K209" s="682">
        <f>'018-21-CAPA'!$F$37</f>
        <v>4974259.4398541162</v>
      </c>
      <c r="L209" s="689">
        <f t="shared" si="21"/>
        <v>7.4505805969238281E-9</v>
      </c>
      <c r="M209" s="228"/>
      <c r="N209" s="93"/>
      <c r="P209" s="95"/>
    </row>
    <row r="210" spans="1:16" s="94" customFormat="1" ht="51">
      <c r="A210" s="343" t="s">
        <v>15475</v>
      </c>
      <c r="B210" s="147" t="s">
        <v>24641</v>
      </c>
      <c r="C210" s="351" t="s">
        <v>3240</v>
      </c>
      <c r="D210" s="351">
        <v>1</v>
      </c>
      <c r="E210" s="351">
        <v>3804.75</v>
      </c>
      <c r="F210" s="352">
        <v>0.2094</v>
      </c>
      <c r="G210" s="353">
        <f t="shared" si="23"/>
        <v>4601.4646499999999</v>
      </c>
      <c r="H210" s="353">
        <f t="shared" si="24"/>
        <v>4601.4646499999999</v>
      </c>
      <c r="I210" s="354">
        <f t="shared" si="22"/>
        <v>9.2505521789489878E-4</v>
      </c>
      <c r="J210" s="354">
        <f t="shared" si="25"/>
        <v>0.87108883538883397</v>
      </c>
      <c r="K210" s="682">
        <f>'018-21-CAPA'!$F$37</f>
        <v>4974259.4398541162</v>
      </c>
      <c r="L210" s="689">
        <f t="shared" si="21"/>
        <v>7.4505805969238281E-9</v>
      </c>
      <c r="M210" s="228"/>
      <c r="N210" s="93"/>
      <c r="P210" s="95"/>
    </row>
    <row r="211" spans="1:16" s="94" customFormat="1" ht="25.5">
      <c r="A211" s="343">
        <v>100717</v>
      </c>
      <c r="B211" s="147" t="s">
        <v>10982</v>
      </c>
      <c r="C211" s="351" t="s">
        <v>193</v>
      </c>
      <c r="D211" s="351">
        <v>450</v>
      </c>
      <c r="E211" s="351" t="s">
        <v>10910</v>
      </c>
      <c r="F211" s="352">
        <v>0.2094</v>
      </c>
      <c r="G211" s="353">
        <f t="shared" si="23"/>
        <v>10.038020000000001</v>
      </c>
      <c r="H211" s="353">
        <f t="shared" si="24"/>
        <v>4517.1090000000004</v>
      </c>
      <c r="I211" s="354">
        <f t="shared" si="22"/>
        <v>9.0809678397725144E-4</v>
      </c>
      <c r="J211" s="354">
        <f t="shared" si="25"/>
        <v>0.87199693217281127</v>
      </c>
      <c r="K211" s="682">
        <f>'018-21-CAPA'!$F$37</f>
        <v>4974259.4398541162</v>
      </c>
      <c r="L211" s="689">
        <f t="shared" si="21"/>
        <v>7.4505805969238281E-9</v>
      </c>
      <c r="M211" s="228"/>
      <c r="N211" s="93"/>
      <c r="P211" s="95"/>
    </row>
    <row r="212" spans="1:16" s="94" customFormat="1" ht="25.5">
      <c r="A212" s="343">
        <v>88485</v>
      </c>
      <c r="B212" s="147" t="s">
        <v>225</v>
      </c>
      <c r="C212" s="351" t="s">
        <v>193</v>
      </c>
      <c r="D212" s="351">
        <v>1465.54</v>
      </c>
      <c r="E212" s="351" t="s">
        <v>9888</v>
      </c>
      <c r="F212" s="352">
        <v>0.2094</v>
      </c>
      <c r="G212" s="353">
        <f t="shared" si="23"/>
        <v>3.0718760000000001</v>
      </c>
      <c r="H212" s="353">
        <f t="shared" si="24"/>
        <v>4501.9571530399999</v>
      </c>
      <c r="I212" s="354">
        <f t="shared" si="22"/>
        <v>9.0505073317447211E-4</v>
      </c>
      <c r="J212" s="354">
        <f t="shared" si="25"/>
        <v>0.87290198290598575</v>
      </c>
      <c r="K212" s="682">
        <f>'018-21-CAPA'!$F$37</f>
        <v>4974259.4398541162</v>
      </c>
      <c r="L212" s="689">
        <f t="shared" si="21"/>
        <v>7.4505805969238281E-9</v>
      </c>
      <c r="M212" s="228"/>
      <c r="N212" s="93"/>
      <c r="P212" s="95"/>
    </row>
    <row r="213" spans="1:16" s="94" customFormat="1" ht="38.25">
      <c r="A213" s="343" t="s">
        <v>15469</v>
      </c>
      <c r="B213" s="147" t="s">
        <v>24629</v>
      </c>
      <c r="C213" s="351" t="s">
        <v>3240</v>
      </c>
      <c r="D213" s="351">
        <v>1</v>
      </c>
      <c r="E213" s="351">
        <v>3679.0699999999997</v>
      </c>
      <c r="F213" s="352">
        <v>0.2094</v>
      </c>
      <c r="G213" s="353">
        <f t="shared" si="23"/>
        <v>4449.4672579999997</v>
      </c>
      <c r="H213" s="353">
        <f t="shared" si="24"/>
        <v>4449.4672579999997</v>
      </c>
      <c r="I213" s="354">
        <f t="shared" si="22"/>
        <v>8.9449842972615416E-4</v>
      </c>
      <c r="J213" s="354">
        <f t="shared" si="25"/>
        <v>0.87379648133571186</v>
      </c>
      <c r="K213" s="682">
        <f>'018-21-CAPA'!$F$37</f>
        <v>4974259.4398541162</v>
      </c>
      <c r="L213" s="689">
        <f t="shared" si="21"/>
        <v>7.4505805969238281E-9</v>
      </c>
      <c r="M213" s="228"/>
      <c r="N213" s="93"/>
      <c r="P213" s="95"/>
    </row>
    <row r="214" spans="1:16" s="94" customFormat="1" ht="25.5">
      <c r="A214" s="343" t="s">
        <v>15433</v>
      </c>
      <c r="B214" s="147" t="s">
        <v>24531</v>
      </c>
      <c r="C214" s="351" t="s">
        <v>193</v>
      </c>
      <c r="D214" s="351">
        <v>69.41</v>
      </c>
      <c r="E214" s="351">
        <v>52.83</v>
      </c>
      <c r="F214" s="352">
        <v>0.2094</v>
      </c>
      <c r="G214" s="353">
        <f t="shared" si="23"/>
        <v>63.892601999999997</v>
      </c>
      <c r="H214" s="353">
        <f t="shared" si="24"/>
        <v>4434.7855048199999</v>
      </c>
      <c r="I214" s="354">
        <f t="shared" si="22"/>
        <v>8.9154688420314257E-4</v>
      </c>
      <c r="J214" s="354">
        <f t="shared" si="25"/>
        <v>0.87468802821991498</v>
      </c>
      <c r="K214" s="682">
        <f>'018-21-CAPA'!$F$37</f>
        <v>4974259.4398541162</v>
      </c>
      <c r="L214" s="689">
        <f t="shared" si="21"/>
        <v>7.4505805969238281E-9</v>
      </c>
      <c r="M214" s="228"/>
      <c r="N214" s="93"/>
      <c r="P214" s="95"/>
    </row>
    <row r="215" spans="1:16" s="94" customFormat="1" ht="38.25">
      <c r="A215" s="343" t="s">
        <v>14884</v>
      </c>
      <c r="B215" s="147" t="s">
        <v>18325</v>
      </c>
      <c r="C215" s="351" t="s">
        <v>109</v>
      </c>
      <c r="D215" s="351">
        <v>1</v>
      </c>
      <c r="E215" s="351">
        <v>3661.72</v>
      </c>
      <c r="F215" s="352">
        <v>0.2094</v>
      </c>
      <c r="G215" s="353">
        <f t="shared" si="23"/>
        <v>4428.484168</v>
      </c>
      <c r="H215" s="353">
        <f t="shared" si="24"/>
        <v>4428.484168</v>
      </c>
      <c r="I215" s="354">
        <f t="shared" si="22"/>
        <v>8.9028009526778609E-4</v>
      </c>
      <c r="J215" s="354">
        <f t="shared" si="25"/>
        <v>0.8755783083151828</v>
      </c>
      <c r="K215" s="682">
        <f>'018-21-CAPA'!$F$37</f>
        <v>4974259.4398541162</v>
      </c>
      <c r="L215" s="689">
        <f t="shared" si="21"/>
        <v>7.4505805969238281E-9</v>
      </c>
      <c r="M215" s="228"/>
      <c r="N215" s="93"/>
      <c r="P215" s="95"/>
    </row>
    <row r="216" spans="1:16" s="94" customFormat="1">
      <c r="A216" s="343">
        <v>98504</v>
      </c>
      <c r="B216" s="147" t="s">
        <v>4510</v>
      </c>
      <c r="C216" s="351" t="s">
        <v>193</v>
      </c>
      <c r="D216" s="351">
        <v>321.91000000000003</v>
      </c>
      <c r="E216" s="351" t="s">
        <v>10318</v>
      </c>
      <c r="F216" s="352">
        <v>0.2094</v>
      </c>
      <c r="G216" s="353">
        <f t="shared" si="23"/>
        <v>13.738783999999999</v>
      </c>
      <c r="H216" s="353">
        <f t="shared" si="24"/>
        <v>4422.6519574399999</v>
      </c>
      <c r="I216" s="354">
        <f t="shared" si="22"/>
        <v>8.891076171068618E-4</v>
      </c>
      <c r="J216" s="354">
        <f t="shared" si="25"/>
        <v>0.87646741593228961</v>
      </c>
      <c r="K216" s="682">
        <f>'018-21-CAPA'!$F$37</f>
        <v>4974259.4398541162</v>
      </c>
      <c r="L216" s="689">
        <f t="shared" si="21"/>
        <v>7.4505805969238281E-9</v>
      </c>
      <c r="M216" s="228"/>
      <c r="N216" s="93"/>
      <c r="P216" s="95"/>
    </row>
    <row r="217" spans="1:16" s="94" customFormat="1" ht="76.5">
      <c r="A217" s="343" t="s">
        <v>15133</v>
      </c>
      <c r="B217" s="147" t="s">
        <v>15094</v>
      </c>
      <c r="C217" s="351" t="s">
        <v>109</v>
      </c>
      <c r="D217" s="351">
        <v>2</v>
      </c>
      <c r="E217" s="351">
        <v>1823.27</v>
      </c>
      <c r="F217" s="352">
        <v>0.2094</v>
      </c>
      <c r="G217" s="353">
        <f t="shared" si="23"/>
        <v>2205.0627380000001</v>
      </c>
      <c r="H217" s="353">
        <f t="shared" si="24"/>
        <v>4410.1254760000002</v>
      </c>
      <c r="I217" s="354">
        <f t="shared" si="22"/>
        <v>8.8658935653130027E-4</v>
      </c>
      <c r="J217" s="354">
        <f t="shared" si="25"/>
        <v>0.8773540052888209</v>
      </c>
      <c r="K217" s="682">
        <f>'018-21-CAPA'!$F$37</f>
        <v>4974259.4398541162</v>
      </c>
      <c r="L217" s="689">
        <f t="shared" si="21"/>
        <v>7.4505805969238281E-9</v>
      </c>
      <c r="M217" s="228"/>
      <c r="N217" s="93"/>
      <c r="P217" s="95"/>
    </row>
    <row r="218" spans="1:16" s="94" customFormat="1" ht="38.25">
      <c r="A218" s="343">
        <v>101616</v>
      </c>
      <c r="B218" s="147" t="s">
        <v>13664</v>
      </c>
      <c r="C218" s="351" t="s">
        <v>193</v>
      </c>
      <c r="D218" s="351">
        <v>679.43799999999999</v>
      </c>
      <c r="E218" s="351" t="s">
        <v>11219</v>
      </c>
      <c r="F218" s="352">
        <v>0.2094</v>
      </c>
      <c r="G218" s="353">
        <f t="shared" si="23"/>
        <v>6.3735379999999999</v>
      </c>
      <c r="H218" s="353">
        <f t="shared" si="24"/>
        <v>4330.4239116440003</v>
      </c>
      <c r="I218" s="354">
        <f t="shared" si="22"/>
        <v>8.7056655649046897E-4</v>
      </c>
      <c r="J218" s="354">
        <f t="shared" si="25"/>
        <v>0.87822457184531133</v>
      </c>
      <c r="K218" s="682">
        <f>'018-21-CAPA'!$F$37</f>
        <v>4974259.4398541162</v>
      </c>
      <c r="L218" s="689">
        <f t="shared" ref="L218:L265" si="26">K218-$F$772</f>
        <v>7.4505805969238281E-9</v>
      </c>
      <c r="M218" s="228"/>
      <c r="N218" s="93"/>
      <c r="P218" s="95"/>
    </row>
    <row r="219" spans="1:16" s="94" customFormat="1" ht="51">
      <c r="A219" s="343" t="s">
        <v>11611</v>
      </c>
      <c r="B219" s="147" t="s">
        <v>18393</v>
      </c>
      <c r="C219" s="351" t="s">
        <v>109</v>
      </c>
      <c r="D219" s="351">
        <v>13</v>
      </c>
      <c r="E219" s="351">
        <v>274.45000000000005</v>
      </c>
      <c r="F219" s="352">
        <v>0.2094</v>
      </c>
      <c r="G219" s="353">
        <f t="shared" si="23"/>
        <v>331.91983000000005</v>
      </c>
      <c r="H219" s="353">
        <f t="shared" si="24"/>
        <v>4314.9577900000004</v>
      </c>
      <c r="I219" s="354">
        <f t="shared" si="22"/>
        <v>8.6745732549216509E-4</v>
      </c>
      <c r="J219" s="354">
        <f t="shared" si="25"/>
        <v>0.87909202917080354</v>
      </c>
      <c r="K219" s="682">
        <f>'018-21-CAPA'!$F$37</f>
        <v>4974259.4398541162</v>
      </c>
      <c r="L219" s="689">
        <f t="shared" si="26"/>
        <v>7.4505805969238281E-9</v>
      </c>
      <c r="M219" s="228"/>
      <c r="N219" s="93"/>
      <c r="P219" s="95"/>
    </row>
    <row r="220" spans="1:16" s="94" customFormat="1" ht="51">
      <c r="A220" s="343" t="s">
        <v>24764</v>
      </c>
      <c r="B220" s="147" t="s">
        <v>24765</v>
      </c>
      <c r="C220" s="351" t="s">
        <v>3244</v>
      </c>
      <c r="D220" s="351">
        <v>298</v>
      </c>
      <c r="E220" s="351">
        <v>11.96</v>
      </c>
      <c r="F220" s="352">
        <v>0.2094</v>
      </c>
      <c r="G220" s="353">
        <f t="shared" si="23"/>
        <v>14.464424000000001</v>
      </c>
      <c r="H220" s="353">
        <f t="shared" si="24"/>
        <v>4310.3983520000002</v>
      </c>
      <c r="I220" s="354">
        <f t="shared" si="22"/>
        <v>8.6654071909977035E-4</v>
      </c>
      <c r="J220" s="354">
        <f t="shared" si="25"/>
        <v>0.87995856988990329</v>
      </c>
      <c r="K220" s="682">
        <f>'018-21-CAPA'!$F$37</f>
        <v>4974259.4398541162</v>
      </c>
      <c r="L220" s="689">
        <f t="shared" si="26"/>
        <v>7.4505805969238281E-9</v>
      </c>
      <c r="M220" s="228"/>
      <c r="N220" s="93"/>
      <c r="P220" s="95"/>
    </row>
    <row r="221" spans="1:16" s="94" customFormat="1" ht="51">
      <c r="A221" s="343">
        <v>91179</v>
      </c>
      <c r="B221" s="147" t="s">
        <v>2434</v>
      </c>
      <c r="C221" s="351" t="s">
        <v>5</v>
      </c>
      <c r="D221" s="351">
        <v>607.72</v>
      </c>
      <c r="E221" s="351" t="s">
        <v>10229</v>
      </c>
      <c r="F221" s="352">
        <v>0.2094</v>
      </c>
      <c r="G221" s="353">
        <f t="shared" si="23"/>
        <v>7.0266139999999995</v>
      </c>
      <c r="H221" s="353">
        <f t="shared" si="24"/>
        <v>4270.2138600799999</v>
      </c>
      <c r="I221" s="354">
        <f t="shared" si="22"/>
        <v>8.5846223175790805E-4</v>
      </c>
      <c r="J221" s="354">
        <f t="shared" si="25"/>
        <v>0.88081703212166118</v>
      </c>
      <c r="K221" s="682">
        <f>'018-21-CAPA'!$F$37</f>
        <v>4974259.4398541162</v>
      </c>
      <c r="L221" s="689">
        <f t="shared" si="26"/>
        <v>7.4505805969238281E-9</v>
      </c>
      <c r="M221" s="228"/>
      <c r="N221" s="93"/>
      <c r="P221" s="95"/>
    </row>
    <row r="222" spans="1:16" s="94" customFormat="1" ht="25.5">
      <c r="A222" s="343" t="s">
        <v>14425</v>
      </c>
      <c r="B222" s="147" t="s">
        <v>17167</v>
      </c>
      <c r="C222" s="351" t="s">
        <v>109</v>
      </c>
      <c r="D222" s="351">
        <v>1</v>
      </c>
      <c r="E222" s="351">
        <v>3528.61</v>
      </c>
      <c r="F222" s="352">
        <v>0.2094</v>
      </c>
      <c r="G222" s="353">
        <f t="shared" si="23"/>
        <v>4267.5009340000006</v>
      </c>
      <c r="H222" s="353">
        <f t="shared" si="24"/>
        <v>4267.5009340000006</v>
      </c>
      <c r="I222" s="354">
        <f t="shared" si="22"/>
        <v>8.5791683879784988E-4</v>
      </c>
      <c r="J222" s="354">
        <f t="shared" si="25"/>
        <v>0.88167494896045906</v>
      </c>
      <c r="K222" s="682">
        <f>'018-21-CAPA'!$F$37</f>
        <v>4974259.4398541162</v>
      </c>
      <c r="L222" s="689">
        <f t="shared" si="26"/>
        <v>7.4505805969238281E-9</v>
      </c>
      <c r="M222" s="228"/>
      <c r="N222" s="93"/>
      <c r="P222" s="95"/>
    </row>
    <row r="223" spans="1:16" s="94" customFormat="1" ht="38.25">
      <c r="A223" s="343">
        <v>89634</v>
      </c>
      <c r="B223" s="147" t="s">
        <v>1773</v>
      </c>
      <c r="C223" s="351" t="s">
        <v>5</v>
      </c>
      <c r="D223" s="351">
        <v>123.63</v>
      </c>
      <c r="E223" s="351" t="s">
        <v>10580</v>
      </c>
      <c r="F223" s="352">
        <v>0.2094</v>
      </c>
      <c r="G223" s="353">
        <f t="shared" si="23"/>
        <v>34.4679</v>
      </c>
      <c r="H223" s="353">
        <f t="shared" si="24"/>
        <v>4261.2664770000001</v>
      </c>
      <c r="I223" s="354">
        <f t="shared" si="22"/>
        <v>8.5666349504379287E-4</v>
      </c>
      <c r="J223" s="354">
        <f t="shared" si="25"/>
        <v>0.88253161245550282</v>
      </c>
      <c r="K223" s="682">
        <f>'018-21-CAPA'!$F$37</f>
        <v>4974259.4398541162</v>
      </c>
      <c r="L223" s="689">
        <f t="shared" si="26"/>
        <v>7.4505805969238281E-9</v>
      </c>
      <c r="M223" s="228"/>
      <c r="N223" s="93"/>
      <c r="P223" s="95"/>
    </row>
    <row r="224" spans="1:16" s="94" customFormat="1" ht="38.25">
      <c r="A224" s="343" t="s">
        <v>15470</v>
      </c>
      <c r="B224" s="147" t="s">
        <v>24618</v>
      </c>
      <c r="C224" s="351" t="s">
        <v>3240</v>
      </c>
      <c r="D224" s="351">
        <v>3</v>
      </c>
      <c r="E224" s="351">
        <v>1166.5999999999999</v>
      </c>
      <c r="F224" s="352">
        <v>0.2094</v>
      </c>
      <c r="G224" s="353">
        <f t="shared" si="23"/>
        <v>1410.8860399999999</v>
      </c>
      <c r="H224" s="353">
        <f t="shared" si="24"/>
        <v>4232.6581200000001</v>
      </c>
      <c r="I224" s="354">
        <f t="shared" si="22"/>
        <v>8.5091221541193688E-4</v>
      </c>
      <c r="J224" s="354">
        <f t="shared" si="25"/>
        <v>0.88338252467091471</v>
      </c>
      <c r="K224" s="682">
        <f>'018-21-CAPA'!$F$37</f>
        <v>4974259.4398541162</v>
      </c>
      <c r="L224" s="689">
        <f t="shared" si="26"/>
        <v>7.4505805969238281E-9</v>
      </c>
      <c r="M224" s="228"/>
      <c r="N224" s="93"/>
      <c r="P224" s="95"/>
    </row>
    <row r="225" spans="1:16" s="94" customFormat="1" ht="38.25">
      <c r="A225" s="343">
        <v>94231</v>
      </c>
      <c r="B225" s="147" t="s">
        <v>3915</v>
      </c>
      <c r="C225" s="351" t="s">
        <v>5</v>
      </c>
      <c r="D225" s="351">
        <v>67.5</v>
      </c>
      <c r="E225" s="351" t="s">
        <v>20751</v>
      </c>
      <c r="F225" s="352">
        <v>0.2094</v>
      </c>
      <c r="G225" s="353">
        <f t="shared" si="23"/>
        <v>62.634826000000004</v>
      </c>
      <c r="H225" s="353">
        <f t="shared" si="24"/>
        <v>4227.8507550000004</v>
      </c>
      <c r="I225" s="354">
        <f t="shared" si="22"/>
        <v>8.4994576702738286E-4</v>
      </c>
      <c r="J225" s="354">
        <f t="shared" si="25"/>
        <v>0.88423247043794206</v>
      </c>
      <c r="K225" s="682">
        <f>'018-21-CAPA'!$F$37</f>
        <v>4974259.4398541162</v>
      </c>
      <c r="L225" s="689">
        <f t="shared" si="26"/>
        <v>7.4505805969238281E-9</v>
      </c>
      <c r="M225" s="228"/>
      <c r="N225" s="93"/>
      <c r="P225" s="95"/>
    </row>
    <row r="226" spans="1:16" s="94" customFormat="1" ht="38.25">
      <c r="A226" s="343">
        <v>97622</v>
      </c>
      <c r="B226" s="147" t="s">
        <v>3719</v>
      </c>
      <c r="C226" s="351" t="s">
        <v>209</v>
      </c>
      <c r="D226" s="351">
        <v>74.38</v>
      </c>
      <c r="E226" s="351" t="s">
        <v>21198</v>
      </c>
      <c r="F226" s="352">
        <v>0.2094</v>
      </c>
      <c r="G226" s="353">
        <f t="shared" si="23"/>
        <v>55.995219999999996</v>
      </c>
      <c r="H226" s="353">
        <f t="shared" si="24"/>
        <v>4164.9244635999994</v>
      </c>
      <c r="I226" s="354">
        <f t="shared" si="22"/>
        <v>8.3729538315399036E-4</v>
      </c>
      <c r="J226" s="354">
        <f t="shared" si="25"/>
        <v>0.88506976582109609</v>
      </c>
      <c r="K226" s="682">
        <f>'018-21-CAPA'!$F$37</f>
        <v>4974259.4398541162</v>
      </c>
      <c r="L226" s="689">
        <f t="shared" si="26"/>
        <v>7.4505805969238281E-9</v>
      </c>
      <c r="M226" s="228"/>
      <c r="N226" s="93"/>
      <c r="P226" s="95"/>
    </row>
    <row r="227" spans="1:16" s="94" customFormat="1" ht="25.5">
      <c r="A227" s="343" t="s">
        <v>17904</v>
      </c>
      <c r="B227" s="147" t="s">
        <v>14799</v>
      </c>
      <c r="C227" s="351" t="s">
        <v>3243</v>
      </c>
      <c r="D227" s="351">
        <v>40.799999999999997</v>
      </c>
      <c r="E227" s="351">
        <v>84.24</v>
      </c>
      <c r="F227" s="352">
        <v>0.2094</v>
      </c>
      <c r="G227" s="353">
        <f t="shared" si="23"/>
        <v>101.87985599999999</v>
      </c>
      <c r="H227" s="353">
        <f t="shared" si="24"/>
        <v>4156.6981247999993</v>
      </c>
      <c r="I227" s="354">
        <f t="shared" si="22"/>
        <v>8.3564160154097472E-4</v>
      </c>
      <c r="J227" s="354">
        <f t="shared" si="25"/>
        <v>0.88590540742263701</v>
      </c>
      <c r="K227" s="682">
        <f>'018-21-CAPA'!$F$37</f>
        <v>4974259.4398541162</v>
      </c>
      <c r="L227" s="689">
        <f t="shared" si="26"/>
        <v>7.4505805969238281E-9</v>
      </c>
      <c r="M227" s="228"/>
      <c r="N227" s="93"/>
      <c r="P227" s="95"/>
    </row>
    <row r="228" spans="1:16" s="94" customFormat="1" ht="63.75">
      <c r="A228" s="343">
        <v>98420</v>
      </c>
      <c r="B228" s="147" t="s">
        <v>3987</v>
      </c>
      <c r="C228" s="351" t="s">
        <v>109</v>
      </c>
      <c r="D228" s="351">
        <v>2</v>
      </c>
      <c r="E228" s="351" t="s">
        <v>21873</v>
      </c>
      <c r="F228" s="352">
        <v>0.2094</v>
      </c>
      <c r="G228" s="353">
        <f t="shared" si="23"/>
        <v>2052.1703899999998</v>
      </c>
      <c r="H228" s="353">
        <f t="shared" si="24"/>
        <v>4104.3407799999995</v>
      </c>
      <c r="I228" s="354">
        <f t="shared" si="22"/>
        <v>8.2511594532358706E-4</v>
      </c>
      <c r="J228" s="354">
        <f t="shared" si="25"/>
        <v>0.88673052336796065</v>
      </c>
      <c r="K228" s="682">
        <f>'018-21-CAPA'!$F$37</f>
        <v>4974259.4398541162</v>
      </c>
      <c r="L228" s="689">
        <f t="shared" si="26"/>
        <v>7.4505805969238281E-9</v>
      </c>
      <c r="M228" s="228"/>
      <c r="N228" s="93"/>
      <c r="P228" s="95"/>
    </row>
    <row r="229" spans="1:16" s="94" customFormat="1" ht="25.5">
      <c r="A229" s="343" t="s">
        <v>16892</v>
      </c>
      <c r="B229" s="147" t="s">
        <v>18343</v>
      </c>
      <c r="C229" s="351" t="s">
        <v>193</v>
      </c>
      <c r="D229" s="351">
        <v>102.65</v>
      </c>
      <c r="E229" s="351">
        <v>32.78</v>
      </c>
      <c r="F229" s="352">
        <v>0.2094</v>
      </c>
      <c r="G229" s="353">
        <f t="shared" si="23"/>
        <v>39.644131999999999</v>
      </c>
      <c r="H229" s="353">
        <f t="shared" si="24"/>
        <v>4069.4701497999999</v>
      </c>
      <c r="I229" s="354">
        <f t="shared" si="22"/>
        <v>8.1810572990928564E-4</v>
      </c>
      <c r="J229" s="354">
        <f t="shared" si="25"/>
        <v>0.88754862909786991</v>
      </c>
      <c r="K229" s="682">
        <f>'018-21-CAPA'!$F$37</f>
        <v>4974259.4398541162</v>
      </c>
      <c r="L229" s="689">
        <f t="shared" si="26"/>
        <v>7.4505805969238281E-9</v>
      </c>
      <c r="M229" s="228"/>
      <c r="N229" s="93"/>
      <c r="P229" s="95"/>
    </row>
    <row r="230" spans="1:16" s="94" customFormat="1" ht="38.25">
      <c r="A230" s="343" t="s">
        <v>9015</v>
      </c>
      <c r="B230" s="147" t="s">
        <v>18457</v>
      </c>
      <c r="C230" s="351" t="s">
        <v>109</v>
      </c>
      <c r="D230" s="351">
        <v>1</v>
      </c>
      <c r="E230" s="351">
        <v>3364.22</v>
      </c>
      <c r="F230" s="352">
        <v>0.2094</v>
      </c>
      <c r="G230" s="353">
        <f t="shared" si="23"/>
        <v>4068.687668</v>
      </c>
      <c r="H230" s="353">
        <f t="shared" si="24"/>
        <v>4068.687668</v>
      </c>
      <c r="I230" s="354">
        <f t="shared" si="22"/>
        <v>8.1794842371939722E-4</v>
      </c>
      <c r="J230" s="354">
        <f t="shared" si="25"/>
        <v>0.88836657752158932</v>
      </c>
      <c r="K230" s="682">
        <f>'018-21-CAPA'!$F$37</f>
        <v>4974259.4398541162</v>
      </c>
      <c r="L230" s="689">
        <f t="shared" si="26"/>
        <v>7.4505805969238281E-9</v>
      </c>
      <c r="M230" s="228"/>
      <c r="N230" s="93"/>
      <c r="P230" s="95"/>
    </row>
    <row r="231" spans="1:16" s="94" customFormat="1">
      <c r="A231" s="343" t="s">
        <v>14697</v>
      </c>
      <c r="B231" s="147" t="s">
        <v>14699</v>
      </c>
      <c r="C231" s="351" t="s">
        <v>3241</v>
      </c>
      <c r="D231" s="351">
        <v>20.257999999999999</v>
      </c>
      <c r="E231" s="351">
        <v>165.58999999999997</v>
      </c>
      <c r="F231" s="352">
        <v>0.2094</v>
      </c>
      <c r="G231" s="353">
        <f t="shared" si="23"/>
        <v>200.26454599999997</v>
      </c>
      <c r="H231" s="353">
        <f t="shared" si="24"/>
        <v>4056.9591728679993</v>
      </c>
      <c r="I231" s="354">
        <f t="shared" si="22"/>
        <v>8.1559058628172135E-4</v>
      </c>
      <c r="J231" s="354">
        <f t="shared" si="25"/>
        <v>0.88918216810787098</v>
      </c>
      <c r="K231" s="682">
        <f>'018-21-CAPA'!$F$37</f>
        <v>4974259.4398541162</v>
      </c>
      <c r="L231" s="689">
        <f t="shared" si="26"/>
        <v>7.4505805969238281E-9</v>
      </c>
      <c r="M231" s="228"/>
      <c r="N231" s="93"/>
      <c r="P231" s="95"/>
    </row>
    <row r="232" spans="1:16" s="94" customFormat="1" ht="38.25">
      <c r="A232" s="343" t="s">
        <v>24693</v>
      </c>
      <c r="B232" s="147" t="s">
        <v>17528</v>
      </c>
      <c r="C232" s="351" t="s">
        <v>3240</v>
      </c>
      <c r="D232" s="351">
        <v>1</v>
      </c>
      <c r="E232" s="351">
        <v>3333.1900000000005</v>
      </c>
      <c r="F232" s="352">
        <v>0.2094</v>
      </c>
      <c r="G232" s="353">
        <f t="shared" si="23"/>
        <v>4031.1599860000006</v>
      </c>
      <c r="H232" s="353">
        <f t="shared" si="24"/>
        <v>4031.1599860000006</v>
      </c>
      <c r="I232" s="354">
        <f t="shared" si="22"/>
        <v>8.1040404802814854E-4</v>
      </c>
      <c r="J232" s="354">
        <f t="shared" si="25"/>
        <v>0.88999257215589911</v>
      </c>
      <c r="K232" s="682">
        <f>'018-21-CAPA'!$F$37</f>
        <v>4974259.4398541162</v>
      </c>
      <c r="L232" s="689">
        <f t="shared" si="26"/>
        <v>7.4505805969238281E-9</v>
      </c>
      <c r="M232" s="228"/>
      <c r="N232" s="93"/>
      <c r="P232" s="95"/>
    </row>
    <row r="233" spans="1:16" s="94" customFormat="1" ht="25.5">
      <c r="A233" s="343" t="s">
        <v>9000</v>
      </c>
      <c r="B233" s="147" t="s">
        <v>9001</v>
      </c>
      <c r="C233" s="351" t="s">
        <v>10</v>
      </c>
      <c r="D233" s="351">
        <v>17</v>
      </c>
      <c r="E233" s="351">
        <v>192.53</v>
      </c>
      <c r="F233" s="352">
        <v>0.2094</v>
      </c>
      <c r="G233" s="353">
        <f t="shared" si="23"/>
        <v>232.84578200000001</v>
      </c>
      <c r="H233" s="353">
        <f t="shared" si="24"/>
        <v>3958.3782940000001</v>
      </c>
      <c r="I233" s="354">
        <f t="shared" si="22"/>
        <v>7.9577238418350297E-4</v>
      </c>
      <c r="J233" s="354">
        <f t="shared" si="25"/>
        <v>0.8907883445400826</v>
      </c>
      <c r="K233" s="682">
        <f>'018-21-CAPA'!$F$37</f>
        <v>4974259.4398541162</v>
      </c>
      <c r="L233" s="689">
        <f t="shared" si="26"/>
        <v>7.4505805969238281E-9</v>
      </c>
      <c r="M233" s="228"/>
      <c r="N233" s="93"/>
      <c r="P233" s="95"/>
    </row>
    <row r="234" spans="1:16" s="94" customFormat="1" ht="51">
      <c r="A234" s="343">
        <v>95778</v>
      </c>
      <c r="B234" s="147" t="s">
        <v>268</v>
      </c>
      <c r="C234" s="351" t="s">
        <v>109</v>
      </c>
      <c r="D234" s="351">
        <v>145</v>
      </c>
      <c r="E234" s="351" t="s">
        <v>11121</v>
      </c>
      <c r="F234" s="352">
        <v>0.2094</v>
      </c>
      <c r="G234" s="353">
        <f t="shared" si="23"/>
        <v>27.296158000000002</v>
      </c>
      <c r="H234" s="353">
        <f t="shared" si="24"/>
        <v>3957.9429100000002</v>
      </c>
      <c r="I234" s="354">
        <f t="shared" ref="I234:I263" si="27">H234/$F$772</f>
        <v>7.9568485678263774E-4</v>
      </c>
      <c r="J234" s="354">
        <f t="shared" si="25"/>
        <v>0.89158402939686521</v>
      </c>
      <c r="K234" s="682">
        <f>'018-21-CAPA'!$F$37</f>
        <v>4974259.4398541162</v>
      </c>
      <c r="L234" s="689">
        <f t="shared" si="26"/>
        <v>7.4505805969238281E-9</v>
      </c>
      <c r="M234" s="228"/>
      <c r="N234" s="93"/>
      <c r="P234" s="95"/>
    </row>
    <row r="235" spans="1:16" s="94" customFormat="1" ht="51">
      <c r="A235" s="343" t="s">
        <v>18395</v>
      </c>
      <c r="B235" s="147" t="s">
        <v>18396</v>
      </c>
      <c r="C235" s="351" t="s">
        <v>109</v>
      </c>
      <c r="D235" s="351">
        <v>9</v>
      </c>
      <c r="E235" s="351">
        <v>361.15999999999997</v>
      </c>
      <c r="F235" s="352">
        <v>0.2094</v>
      </c>
      <c r="G235" s="353">
        <f t="shared" si="23"/>
        <v>436.78690399999999</v>
      </c>
      <c r="H235" s="353">
        <f t="shared" si="24"/>
        <v>3931.082136</v>
      </c>
      <c r="I235" s="354">
        <f t="shared" si="27"/>
        <v>7.9028490241258816E-4</v>
      </c>
      <c r="J235" s="354">
        <f t="shared" si="25"/>
        <v>0.89237431429927783</v>
      </c>
      <c r="K235" s="682">
        <f>'018-21-CAPA'!$F$37</f>
        <v>4974259.4398541162</v>
      </c>
      <c r="L235" s="689">
        <f t="shared" si="26"/>
        <v>7.4505805969238281E-9</v>
      </c>
      <c r="M235" s="228"/>
      <c r="N235" s="93"/>
      <c r="P235" s="95"/>
    </row>
    <row r="236" spans="1:16" s="94" customFormat="1" ht="38.25">
      <c r="A236" s="343">
        <v>89676</v>
      </c>
      <c r="B236" s="147" t="s">
        <v>2053</v>
      </c>
      <c r="C236" s="351" t="s">
        <v>109</v>
      </c>
      <c r="D236" s="351">
        <v>82</v>
      </c>
      <c r="E236" s="351" t="s">
        <v>16506</v>
      </c>
      <c r="F236" s="352">
        <v>0.2094</v>
      </c>
      <c r="G236" s="353">
        <f t="shared" si="23"/>
        <v>47.360104</v>
      </c>
      <c r="H236" s="353">
        <f t="shared" si="24"/>
        <v>3883.5285279999998</v>
      </c>
      <c r="I236" s="354">
        <f t="shared" si="27"/>
        <v>7.8072496518474734E-4</v>
      </c>
      <c r="J236" s="354">
        <f t="shared" si="25"/>
        <v>0.8931550392644626</v>
      </c>
      <c r="K236" s="682">
        <f>'018-21-CAPA'!$F$37</f>
        <v>4974259.4398541162</v>
      </c>
      <c r="L236" s="689">
        <f t="shared" si="26"/>
        <v>7.4505805969238281E-9</v>
      </c>
      <c r="M236" s="228"/>
      <c r="N236" s="93"/>
      <c r="P236" s="95"/>
    </row>
    <row r="237" spans="1:16" s="94" customFormat="1" ht="51">
      <c r="A237" s="343" t="s">
        <v>11609</v>
      </c>
      <c r="B237" s="147" t="s">
        <v>18391</v>
      </c>
      <c r="C237" s="351" t="s">
        <v>109</v>
      </c>
      <c r="D237" s="351">
        <v>25</v>
      </c>
      <c r="E237" s="351">
        <v>127.60000000000001</v>
      </c>
      <c r="F237" s="352">
        <v>0.2094</v>
      </c>
      <c r="G237" s="353">
        <f t="shared" si="23"/>
        <v>154.31944000000001</v>
      </c>
      <c r="H237" s="353">
        <f t="shared" si="24"/>
        <v>3857.9860000000003</v>
      </c>
      <c r="I237" s="354">
        <f t="shared" si="27"/>
        <v>7.7559002433398453E-4</v>
      </c>
      <c r="J237" s="354">
        <f t="shared" si="25"/>
        <v>0.89393062928879663</v>
      </c>
      <c r="K237" s="682">
        <f>'018-21-CAPA'!$F$37</f>
        <v>4974259.4398541162</v>
      </c>
      <c r="L237" s="689">
        <f t="shared" si="26"/>
        <v>7.4505805969238281E-9</v>
      </c>
      <c r="M237" s="228"/>
      <c r="N237" s="93"/>
      <c r="P237" s="95"/>
    </row>
    <row r="238" spans="1:16" s="94" customFormat="1" ht="38.25">
      <c r="A238" s="343" t="s">
        <v>17764</v>
      </c>
      <c r="B238" s="147" t="s">
        <v>24689</v>
      </c>
      <c r="C238" s="351" t="s">
        <v>3240</v>
      </c>
      <c r="D238" s="351">
        <v>1</v>
      </c>
      <c r="E238" s="351">
        <v>3183.74</v>
      </c>
      <c r="F238" s="352">
        <v>0.2094</v>
      </c>
      <c r="G238" s="353">
        <f t="shared" si="23"/>
        <v>3850.415156</v>
      </c>
      <c r="H238" s="353">
        <f t="shared" si="24"/>
        <v>3850.415156</v>
      </c>
      <c r="I238" s="354">
        <f t="shared" si="27"/>
        <v>7.7406802008560488E-4</v>
      </c>
      <c r="J238" s="354">
        <f t="shared" si="25"/>
        <v>0.89470469730888225</v>
      </c>
      <c r="K238" s="682">
        <f>'018-21-CAPA'!$F$37</f>
        <v>4974259.4398541162</v>
      </c>
      <c r="L238" s="689">
        <f t="shared" si="26"/>
        <v>7.4505805969238281E-9</v>
      </c>
      <c r="M238" s="228"/>
      <c r="N238" s="93"/>
      <c r="P238" s="95"/>
    </row>
    <row r="239" spans="1:16" s="94" customFormat="1" ht="25.5">
      <c r="A239" s="343" t="s">
        <v>14379</v>
      </c>
      <c r="B239" s="147" t="s">
        <v>17110</v>
      </c>
      <c r="C239" s="351" t="s">
        <v>10</v>
      </c>
      <c r="D239" s="351">
        <v>84</v>
      </c>
      <c r="E239" s="351">
        <v>37.83</v>
      </c>
      <c r="F239" s="352">
        <v>0.2094</v>
      </c>
      <c r="G239" s="353">
        <f t="shared" si="23"/>
        <v>45.751601999999998</v>
      </c>
      <c r="H239" s="353">
        <f t="shared" si="24"/>
        <v>3843.1345679999999</v>
      </c>
      <c r="I239" s="354">
        <f t="shared" si="27"/>
        <v>7.7260436743780217E-4</v>
      </c>
      <c r="J239" s="354">
        <f t="shared" si="25"/>
        <v>0.89547730167632</v>
      </c>
      <c r="K239" s="682">
        <f>'018-21-CAPA'!$F$37</f>
        <v>4974259.4398541162</v>
      </c>
      <c r="L239" s="689">
        <f t="shared" si="26"/>
        <v>7.4505805969238281E-9</v>
      </c>
      <c r="M239" s="228"/>
      <c r="N239" s="93"/>
      <c r="P239" s="95"/>
    </row>
    <row r="240" spans="1:16" s="94" customFormat="1" ht="25.5">
      <c r="A240" s="343" t="s">
        <v>15500</v>
      </c>
      <c r="B240" s="147" t="s">
        <v>15486</v>
      </c>
      <c r="C240" s="351" t="s">
        <v>5</v>
      </c>
      <c r="D240" s="351">
        <v>58.32</v>
      </c>
      <c r="E240" s="351">
        <v>54.150000000000006</v>
      </c>
      <c r="F240" s="352">
        <v>0.2094</v>
      </c>
      <c r="G240" s="353">
        <f t="shared" si="23"/>
        <v>65.489010000000007</v>
      </c>
      <c r="H240" s="353">
        <f t="shared" si="24"/>
        <v>3819.3190632000005</v>
      </c>
      <c r="I240" s="354">
        <f t="shared" si="27"/>
        <v>7.678166186104716E-4</v>
      </c>
      <c r="J240" s="354">
        <f t="shared" si="25"/>
        <v>0.89624511829493048</v>
      </c>
      <c r="K240" s="682">
        <f>'018-21-CAPA'!$F$37</f>
        <v>4974259.4398541162</v>
      </c>
      <c r="L240" s="689">
        <f t="shared" si="26"/>
        <v>7.4505805969238281E-9</v>
      </c>
      <c r="M240" s="228"/>
      <c r="N240" s="93"/>
      <c r="P240" s="95"/>
    </row>
    <row r="241" spans="1:16" s="94" customFormat="1">
      <c r="A241" s="343" t="s">
        <v>18211</v>
      </c>
      <c r="B241" s="147" t="s">
        <v>18217</v>
      </c>
      <c r="C241" s="351" t="s">
        <v>109</v>
      </c>
      <c r="D241" s="351">
        <v>7</v>
      </c>
      <c r="E241" s="351">
        <v>450</v>
      </c>
      <c r="F241" s="352">
        <v>0.2094</v>
      </c>
      <c r="G241" s="353">
        <f t="shared" si="23"/>
        <v>544.23</v>
      </c>
      <c r="H241" s="353">
        <f t="shared" si="24"/>
        <v>3809.61</v>
      </c>
      <c r="I241" s="354">
        <f t="shared" si="27"/>
        <v>7.6586475757117593E-4</v>
      </c>
      <c r="J241" s="354">
        <f t="shared" si="25"/>
        <v>0.8970109830525016</v>
      </c>
      <c r="K241" s="682">
        <f>'018-21-CAPA'!$F$37</f>
        <v>4974259.4398541162</v>
      </c>
      <c r="L241" s="689">
        <f t="shared" si="26"/>
        <v>7.4505805969238281E-9</v>
      </c>
      <c r="M241" s="228"/>
      <c r="N241" s="93"/>
      <c r="P241" s="95"/>
    </row>
    <row r="242" spans="1:16" s="94" customFormat="1" ht="38.25">
      <c r="A242" s="343" t="s">
        <v>17784</v>
      </c>
      <c r="B242" s="147" t="s">
        <v>24642</v>
      </c>
      <c r="C242" s="351" t="s">
        <v>3240</v>
      </c>
      <c r="D242" s="351">
        <v>8</v>
      </c>
      <c r="E242" s="351">
        <v>392.42</v>
      </c>
      <c r="F242" s="352">
        <v>0.2094</v>
      </c>
      <c r="G242" s="353">
        <f t="shared" si="23"/>
        <v>474.59274800000003</v>
      </c>
      <c r="H242" s="353">
        <f t="shared" si="24"/>
        <v>3796.7419840000002</v>
      </c>
      <c r="I242" s="354">
        <f t="shared" si="27"/>
        <v>7.6327783661226886E-4</v>
      </c>
      <c r="J242" s="354">
        <f t="shared" si="25"/>
        <v>0.89777426088911383</v>
      </c>
      <c r="K242" s="682">
        <f>'018-21-CAPA'!$F$37</f>
        <v>4974259.4398541162</v>
      </c>
      <c r="L242" s="689">
        <f t="shared" si="26"/>
        <v>7.4505805969238281E-9</v>
      </c>
      <c r="M242" s="228"/>
      <c r="N242" s="93"/>
      <c r="P242" s="95"/>
    </row>
    <row r="243" spans="1:16" s="94" customFormat="1" ht="38.25">
      <c r="A243" s="343" t="s">
        <v>15468</v>
      </c>
      <c r="B243" s="147" t="s">
        <v>24617</v>
      </c>
      <c r="C243" s="351" t="s">
        <v>3240</v>
      </c>
      <c r="D243" s="351">
        <v>3</v>
      </c>
      <c r="E243" s="351">
        <v>1036.99</v>
      </c>
      <c r="F243" s="352">
        <v>0.2094</v>
      </c>
      <c r="G243" s="353">
        <f t="shared" si="23"/>
        <v>1254.135706</v>
      </c>
      <c r="H243" s="353">
        <f t="shared" si="24"/>
        <v>3762.4071180000001</v>
      </c>
      <c r="I243" s="354">
        <f t="shared" si="27"/>
        <v>7.5637532852736535E-4</v>
      </c>
      <c r="J243" s="354">
        <f t="shared" si="25"/>
        <v>0.89853063621764118</v>
      </c>
      <c r="K243" s="682">
        <f>'018-21-CAPA'!$F$37</f>
        <v>4974259.4398541162</v>
      </c>
      <c r="L243" s="689">
        <f t="shared" si="26"/>
        <v>7.4505805969238281E-9</v>
      </c>
      <c r="M243" s="228"/>
      <c r="N243" s="93"/>
      <c r="P243" s="95"/>
    </row>
    <row r="244" spans="1:16" s="94" customFormat="1" ht="38.25">
      <c r="A244" s="343">
        <v>96974</v>
      </c>
      <c r="B244" s="147" t="s">
        <v>3463</v>
      </c>
      <c r="C244" s="351" t="s">
        <v>5</v>
      </c>
      <c r="D244" s="351">
        <v>48.2</v>
      </c>
      <c r="E244" s="351" t="s">
        <v>16321</v>
      </c>
      <c r="F244" s="352">
        <v>0.2094</v>
      </c>
      <c r="G244" s="353">
        <f t="shared" si="23"/>
        <v>78.018394000000015</v>
      </c>
      <c r="H244" s="353">
        <f t="shared" si="24"/>
        <v>3760.4865908000011</v>
      </c>
      <c r="I244" s="354">
        <f t="shared" si="27"/>
        <v>7.5598923543688211E-4</v>
      </c>
      <c r="J244" s="354">
        <f t="shared" si="25"/>
        <v>0.89928662545307803</v>
      </c>
      <c r="K244" s="682">
        <f>'018-21-CAPA'!$F$37</f>
        <v>4974259.4398541162</v>
      </c>
      <c r="L244" s="689">
        <f t="shared" si="26"/>
        <v>7.4505805969238281E-9</v>
      </c>
      <c r="M244" s="228"/>
      <c r="N244" s="93"/>
      <c r="P244" s="95"/>
    </row>
    <row r="245" spans="1:16" s="94" customFormat="1">
      <c r="A245" s="343" t="s">
        <v>9004</v>
      </c>
      <c r="B245" s="147" t="s">
        <v>157</v>
      </c>
      <c r="C245" s="351" t="s">
        <v>85</v>
      </c>
      <c r="D245" s="351">
        <v>8</v>
      </c>
      <c r="E245" s="351">
        <v>387.42</v>
      </c>
      <c r="F245" s="352">
        <v>0.2094</v>
      </c>
      <c r="G245" s="353">
        <f t="shared" si="23"/>
        <v>468.545748</v>
      </c>
      <c r="H245" s="353">
        <f t="shared" si="24"/>
        <v>3748.365984</v>
      </c>
      <c r="I245" s="354">
        <f t="shared" si="27"/>
        <v>7.5355256984946015E-4</v>
      </c>
      <c r="J245" s="354">
        <f t="shared" si="25"/>
        <v>0.90004017802292746</v>
      </c>
      <c r="K245" s="682">
        <f>'018-21-CAPA'!$F$37</f>
        <v>4974259.4398541162</v>
      </c>
      <c r="L245" s="689">
        <f t="shared" si="26"/>
        <v>7.4505805969238281E-9</v>
      </c>
      <c r="M245" s="228"/>
      <c r="N245" s="93"/>
      <c r="P245" s="95"/>
    </row>
    <row r="246" spans="1:16" s="94" customFormat="1" ht="25.5">
      <c r="A246" s="343">
        <v>90438</v>
      </c>
      <c r="B246" s="147" t="s">
        <v>2405</v>
      </c>
      <c r="C246" s="351" t="s">
        <v>109</v>
      </c>
      <c r="D246" s="351">
        <v>68</v>
      </c>
      <c r="E246" s="351" t="s">
        <v>14276</v>
      </c>
      <c r="F246" s="352">
        <v>0.2094</v>
      </c>
      <c r="G246" s="353">
        <f t="shared" si="23"/>
        <v>54.592316000000004</v>
      </c>
      <c r="H246" s="353">
        <f t="shared" si="24"/>
        <v>3712.2774880000002</v>
      </c>
      <c r="I246" s="354">
        <f t="shared" si="27"/>
        <v>7.4629752084440497E-4</v>
      </c>
      <c r="J246" s="354">
        <f t="shared" si="25"/>
        <v>0.90078647554377189</v>
      </c>
      <c r="K246" s="682">
        <f>'018-21-CAPA'!$F$37</f>
        <v>4974259.4398541162</v>
      </c>
      <c r="L246" s="689">
        <f t="shared" si="26"/>
        <v>7.4505805969238281E-9</v>
      </c>
      <c r="M246" s="228"/>
      <c r="N246" s="93"/>
      <c r="P246" s="95"/>
    </row>
    <row r="247" spans="1:16" s="94" customFormat="1" ht="25.5">
      <c r="A247" s="343">
        <v>98689</v>
      </c>
      <c r="B247" s="147" t="s">
        <v>13749</v>
      </c>
      <c r="C247" s="351" t="s">
        <v>5</v>
      </c>
      <c r="D247" s="351">
        <v>30.8</v>
      </c>
      <c r="E247" s="351" t="s">
        <v>22545</v>
      </c>
      <c r="F247" s="352">
        <v>0.2094</v>
      </c>
      <c r="G247" s="353">
        <f t="shared" si="23"/>
        <v>117.952782</v>
      </c>
      <c r="H247" s="353">
        <f t="shared" si="24"/>
        <v>3632.9456856000002</v>
      </c>
      <c r="I247" s="354">
        <f t="shared" si="27"/>
        <v>7.3034905588007524E-4</v>
      </c>
      <c r="J247" s="354">
        <f t="shared" si="25"/>
        <v>0.90151682459965199</v>
      </c>
      <c r="K247" s="682">
        <f>'018-21-CAPA'!$F$37</f>
        <v>4974259.4398541162</v>
      </c>
      <c r="L247" s="689">
        <f t="shared" si="26"/>
        <v>7.4505805969238281E-9</v>
      </c>
      <c r="M247" s="228"/>
      <c r="N247" s="93"/>
      <c r="P247" s="95"/>
    </row>
    <row r="248" spans="1:16" s="94" customFormat="1" ht="38.25">
      <c r="A248" s="343">
        <v>88493</v>
      </c>
      <c r="B248" s="147" t="s">
        <v>2711</v>
      </c>
      <c r="C248" s="351" t="s">
        <v>193</v>
      </c>
      <c r="D248" s="351">
        <v>332.25</v>
      </c>
      <c r="E248" s="351" t="s">
        <v>10546</v>
      </c>
      <c r="F248" s="352">
        <v>0.2094</v>
      </c>
      <c r="G248" s="353">
        <f t="shared" si="23"/>
        <v>10.908787999999999</v>
      </c>
      <c r="H248" s="353">
        <f t="shared" si="24"/>
        <v>3624.4448129999996</v>
      </c>
      <c r="I248" s="354">
        <f t="shared" si="27"/>
        <v>7.2864008337818057E-4</v>
      </c>
      <c r="J248" s="354">
        <f t="shared" si="25"/>
        <v>0.90224546468303013</v>
      </c>
      <c r="K248" s="682">
        <f>'018-21-CAPA'!$F$37</f>
        <v>4974259.4398541162</v>
      </c>
      <c r="L248" s="689">
        <f t="shared" si="26"/>
        <v>7.4505805969238281E-9</v>
      </c>
      <c r="M248" s="228"/>
      <c r="N248" s="93"/>
      <c r="P248" s="95"/>
    </row>
    <row r="249" spans="1:16" s="94" customFormat="1" ht="38.25">
      <c r="A249" s="343" t="s">
        <v>15551</v>
      </c>
      <c r="B249" s="147" t="s">
        <v>17689</v>
      </c>
      <c r="C249" s="351" t="s">
        <v>3240</v>
      </c>
      <c r="D249" s="351">
        <v>18</v>
      </c>
      <c r="E249" s="351">
        <v>165.64</v>
      </c>
      <c r="F249" s="352">
        <v>0.2094</v>
      </c>
      <c r="G249" s="353">
        <f t="shared" si="23"/>
        <v>200.32501599999998</v>
      </c>
      <c r="H249" s="353">
        <f t="shared" si="24"/>
        <v>3605.8502879999996</v>
      </c>
      <c r="I249" s="354">
        <f t="shared" si="27"/>
        <v>7.2490193396622599E-4</v>
      </c>
      <c r="J249" s="354">
        <f t="shared" si="25"/>
        <v>0.90297036661699637</v>
      </c>
      <c r="K249" s="682">
        <f>'018-21-CAPA'!$F$37</f>
        <v>4974259.4398541162</v>
      </c>
      <c r="L249" s="689">
        <f t="shared" si="26"/>
        <v>7.4505805969238281E-9</v>
      </c>
      <c r="M249" s="228"/>
      <c r="N249" s="93"/>
      <c r="P249" s="95"/>
    </row>
    <row r="250" spans="1:16" s="94" customFormat="1" ht="51">
      <c r="A250" s="343">
        <v>100721</v>
      </c>
      <c r="B250" s="147" t="s">
        <v>23989</v>
      </c>
      <c r="C250" s="351" t="s">
        <v>193</v>
      </c>
      <c r="D250" s="351">
        <v>146.76</v>
      </c>
      <c r="E250" s="351" t="s">
        <v>12354</v>
      </c>
      <c r="F250" s="352">
        <v>0.2094</v>
      </c>
      <c r="G250" s="353">
        <f t="shared" si="23"/>
        <v>24.381504</v>
      </c>
      <c r="H250" s="353">
        <f t="shared" si="24"/>
        <v>3578.2295270399995</v>
      </c>
      <c r="I250" s="354">
        <f t="shared" si="27"/>
        <v>7.1934919565533285E-4</v>
      </c>
      <c r="J250" s="354">
        <f t="shared" si="25"/>
        <v>0.90368971581265167</v>
      </c>
      <c r="K250" s="682">
        <f>'018-21-CAPA'!$F$37</f>
        <v>4974259.4398541162</v>
      </c>
      <c r="L250" s="689">
        <f t="shared" si="26"/>
        <v>7.4505805969238281E-9</v>
      </c>
      <c r="M250" s="228"/>
      <c r="N250" s="93"/>
      <c r="P250" s="95"/>
    </row>
    <row r="251" spans="1:16" s="94" customFormat="1" ht="38.25">
      <c r="A251" s="343">
        <v>38605</v>
      </c>
      <c r="B251" s="147" t="s">
        <v>4561</v>
      </c>
      <c r="C251" s="351" t="s">
        <v>3240</v>
      </c>
      <c r="D251" s="351">
        <v>32</v>
      </c>
      <c r="E251" s="351" t="s">
        <v>15882</v>
      </c>
      <c r="F251" s="352">
        <v>0.2094</v>
      </c>
      <c r="G251" s="353">
        <f t="shared" si="23"/>
        <v>111.74856000000001</v>
      </c>
      <c r="H251" s="353">
        <f t="shared" si="24"/>
        <v>3575.9539200000004</v>
      </c>
      <c r="I251" s="354">
        <f t="shared" si="27"/>
        <v>7.1889171910681049E-4</v>
      </c>
      <c r="J251" s="354">
        <f t="shared" si="25"/>
        <v>0.90440860753175845</v>
      </c>
      <c r="K251" s="682">
        <f>'018-21-CAPA'!$F$37</f>
        <v>4974259.4398541162</v>
      </c>
      <c r="L251" s="689">
        <f t="shared" si="26"/>
        <v>7.4505805969238281E-9</v>
      </c>
      <c r="M251" s="228"/>
      <c r="N251" s="93"/>
      <c r="P251" s="95"/>
    </row>
    <row r="252" spans="1:16" s="94" customFormat="1" ht="63.75">
      <c r="A252" s="343" t="s">
        <v>15439</v>
      </c>
      <c r="B252" s="147" t="s">
        <v>24586</v>
      </c>
      <c r="C252" s="351" t="s">
        <v>3240</v>
      </c>
      <c r="D252" s="351">
        <v>1</v>
      </c>
      <c r="E252" s="351">
        <v>2954.09</v>
      </c>
      <c r="F252" s="352">
        <v>0.2094</v>
      </c>
      <c r="G252" s="353">
        <f t="shared" si="23"/>
        <v>3572.6764460000004</v>
      </c>
      <c r="H252" s="353">
        <f t="shared" si="24"/>
        <v>3572.6764460000004</v>
      </c>
      <c r="I252" s="354">
        <f t="shared" si="27"/>
        <v>7.1823283228363022E-4</v>
      </c>
      <c r="J252" s="354">
        <f t="shared" si="25"/>
        <v>0.90512684036404212</v>
      </c>
      <c r="K252" s="682">
        <f>'018-21-CAPA'!$F$37</f>
        <v>4974259.4398541162</v>
      </c>
      <c r="L252" s="689">
        <f t="shared" si="26"/>
        <v>7.4505805969238281E-9</v>
      </c>
      <c r="M252" s="228"/>
      <c r="N252" s="93"/>
      <c r="P252" s="95"/>
    </row>
    <row r="253" spans="1:16" s="94" customFormat="1" ht="25.5">
      <c r="A253" s="343" t="s">
        <v>15414</v>
      </c>
      <c r="B253" s="147" t="s">
        <v>17432</v>
      </c>
      <c r="C253" s="351" t="s">
        <v>3772</v>
      </c>
      <c r="D253" s="351">
        <v>8</v>
      </c>
      <c r="E253" s="351">
        <v>367.84</v>
      </c>
      <c r="F253" s="352">
        <v>0.2094</v>
      </c>
      <c r="G253" s="353">
        <f t="shared" si="23"/>
        <v>444.86569599999996</v>
      </c>
      <c r="H253" s="353">
        <f t="shared" si="24"/>
        <v>3558.9255679999997</v>
      </c>
      <c r="I253" s="354">
        <f t="shared" si="27"/>
        <v>7.1546842520630173E-4</v>
      </c>
      <c r="J253" s="354">
        <f t="shared" si="25"/>
        <v>0.90584230878924843</v>
      </c>
      <c r="K253" s="682">
        <f>'018-21-CAPA'!$F$37</f>
        <v>4974259.4398541162</v>
      </c>
      <c r="L253" s="689">
        <f t="shared" si="26"/>
        <v>7.4505805969238281E-9</v>
      </c>
      <c r="M253" s="228"/>
      <c r="N253" s="93"/>
      <c r="P253" s="95"/>
    </row>
    <row r="254" spans="1:16" s="94" customFormat="1" ht="51">
      <c r="A254" s="343" t="s">
        <v>24793</v>
      </c>
      <c r="B254" s="147" t="s">
        <v>24804</v>
      </c>
      <c r="C254" s="351" t="s">
        <v>193</v>
      </c>
      <c r="D254" s="351">
        <v>222.364</v>
      </c>
      <c r="E254" s="351">
        <v>13.02</v>
      </c>
      <c r="F254" s="352">
        <v>0.2094</v>
      </c>
      <c r="G254" s="353">
        <f t="shared" si="23"/>
        <v>15.746388</v>
      </c>
      <c r="H254" s="353">
        <f t="shared" si="24"/>
        <v>3501.429821232</v>
      </c>
      <c r="I254" s="354">
        <f t="shared" si="27"/>
        <v>7.0390977060390205E-4</v>
      </c>
      <c r="J254" s="354">
        <f t="shared" si="25"/>
        <v>0.90654621855985229</v>
      </c>
      <c r="K254" s="682">
        <f>'018-21-CAPA'!$F$37</f>
        <v>4974259.4398541162</v>
      </c>
      <c r="L254" s="689">
        <f t="shared" si="26"/>
        <v>7.4505805969238281E-9</v>
      </c>
      <c r="M254" s="228"/>
      <c r="N254" s="93"/>
      <c r="P254" s="95"/>
    </row>
    <row r="255" spans="1:16" s="94" customFormat="1" ht="51">
      <c r="A255" s="343">
        <v>100745</v>
      </c>
      <c r="B255" s="147" t="s">
        <v>23999</v>
      </c>
      <c r="C255" s="351" t="s">
        <v>193</v>
      </c>
      <c r="D255" s="351">
        <v>146.76</v>
      </c>
      <c r="E255" s="351" t="s">
        <v>10491</v>
      </c>
      <c r="F255" s="352">
        <v>0.2094</v>
      </c>
      <c r="G255" s="353">
        <f t="shared" si="23"/>
        <v>23.813086000000002</v>
      </c>
      <c r="H255" s="353">
        <f t="shared" si="24"/>
        <v>3494.8085013600003</v>
      </c>
      <c r="I255" s="354">
        <f t="shared" si="27"/>
        <v>7.0257865389154294E-4</v>
      </c>
      <c r="J255" s="354">
        <f t="shared" si="25"/>
        <v>0.90724879721374385</v>
      </c>
      <c r="K255" s="682">
        <f>'018-21-CAPA'!$F$37</f>
        <v>4974259.4398541162</v>
      </c>
      <c r="L255" s="689">
        <f t="shared" si="26"/>
        <v>7.4505805969238281E-9</v>
      </c>
      <c r="M255" s="228"/>
      <c r="N255" s="93"/>
      <c r="P255" s="95"/>
    </row>
    <row r="256" spans="1:16" s="94" customFormat="1" ht="51">
      <c r="A256" s="343">
        <v>92691</v>
      </c>
      <c r="B256" s="147" t="s">
        <v>13249</v>
      </c>
      <c r="C256" s="351" t="s">
        <v>5</v>
      </c>
      <c r="D256" s="351">
        <v>33.840000000000003</v>
      </c>
      <c r="E256" s="351" t="s">
        <v>22960</v>
      </c>
      <c r="F256" s="352">
        <v>0.2094</v>
      </c>
      <c r="G256" s="353">
        <f t="shared" si="23"/>
        <v>102.65387199999999</v>
      </c>
      <c r="H256" s="353">
        <f t="shared" si="24"/>
        <v>3473.8070284800001</v>
      </c>
      <c r="I256" s="354">
        <f t="shared" si="27"/>
        <v>6.9835662383180481E-4</v>
      </c>
      <c r="J256" s="354">
        <f t="shared" si="25"/>
        <v>0.90794715383757563</v>
      </c>
      <c r="K256" s="682">
        <f>'018-21-CAPA'!$F$37</f>
        <v>4974259.4398541162</v>
      </c>
      <c r="L256" s="689">
        <f t="shared" si="26"/>
        <v>7.4505805969238281E-9</v>
      </c>
      <c r="M256" s="228"/>
      <c r="N256" s="93"/>
      <c r="P256" s="95"/>
    </row>
    <row r="257" spans="1:16" s="94" customFormat="1" ht="38.25">
      <c r="A257" s="343">
        <v>97627</v>
      </c>
      <c r="B257" s="147" t="s">
        <v>3724</v>
      </c>
      <c r="C257" s="351" t="s">
        <v>209</v>
      </c>
      <c r="D257" s="351">
        <v>11.88</v>
      </c>
      <c r="E257" s="351" t="s">
        <v>24337</v>
      </c>
      <c r="F257" s="352">
        <v>0.2094</v>
      </c>
      <c r="G257" s="353">
        <f t="shared" si="23"/>
        <v>288.36933600000003</v>
      </c>
      <c r="H257" s="353">
        <f t="shared" si="24"/>
        <v>3425.8277116800004</v>
      </c>
      <c r="I257" s="354">
        <f t="shared" si="27"/>
        <v>6.887111042564514E-4</v>
      </c>
      <c r="J257" s="354">
        <f t="shared" si="25"/>
        <v>0.90863586494183213</v>
      </c>
      <c r="K257" s="682">
        <f>'018-21-CAPA'!$F$37</f>
        <v>4974259.4398541162</v>
      </c>
      <c r="L257" s="689">
        <f t="shared" si="26"/>
        <v>7.4505805969238281E-9</v>
      </c>
      <c r="M257" s="228"/>
      <c r="N257" s="93"/>
      <c r="P257" s="95"/>
    </row>
    <row r="258" spans="1:16" s="94" customFormat="1" ht="63.75">
      <c r="A258" s="343">
        <v>100983</v>
      </c>
      <c r="B258" s="147" t="s">
        <v>13855</v>
      </c>
      <c r="C258" s="351" t="s">
        <v>209</v>
      </c>
      <c r="D258" s="351">
        <v>450.55345</v>
      </c>
      <c r="E258" s="351" t="s">
        <v>10213</v>
      </c>
      <c r="F258" s="352">
        <v>0.2094</v>
      </c>
      <c r="G258" s="353">
        <f t="shared" si="23"/>
        <v>7.5708440000000001</v>
      </c>
      <c r="H258" s="353">
        <f t="shared" si="24"/>
        <v>3411.0698836117999</v>
      </c>
      <c r="I258" s="354">
        <f t="shared" si="27"/>
        <v>6.8574426502206003E-4</v>
      </c>
      <c r="J258" s="354">
        <f t="shared" si="25"/>
        <v>0.90932160920685423</v>
      </c>
      <c r="K258" s="682">
        <f>'018-21-CAPA'!$F$37</f>
        <v>4974259.4398541162</v>
      </c>
      <c r="L258" s="689">
        <f t="shared" si="26"/>
        <v>7.4505805969238281E-9</v>
      </c>
      <c r="M258" s="228"/>
      <c r="N258" s="93"/>
      <c r="P258" s="95"/>
    </row>
    <row r="259" spans="1:16" s="94" customFormat="1" ht="38.25">
      <c r="A259" s="343">
        <v>91930</v>
      </c>
      <c r="B259" s="147" t="s">
        <v>297</v>
      </c>
      <c r="C259" s="351" t="s">
        <v>5</v>
      </c>
      <c r="D259" s="351">
        <v>305.95</v>
      </c>
      <c r="E259" s="351" t="s">
        <v>16478</v>
      </c>
      <c r="F259" s="352">
        <v>0.2094</v>
      </c>
      <c r="G259" s="353">
        <f t="shared" si="23"/>
        <v>11.06601</v>
      </c>
      <c r="H259" s="353">
        <f t="shared" si="24"/>
        <v>3385.6457595000002</v>
      </c>
      <c r="I259" s="354">
        <f t="shared" si="27"/>
        <v>6.8063312749109411E-4</v>
      </c>
      <c r="J259" s="354">
        <f t="shared" si="25"/>
        <v>0.91000224233434535</v>
      </c>
      <c r="K259" s="682">
        <f>'018-21-CAPA'!$F$37</f>
        <v>4974259.4398541162</v>
      </c>
      <c r="L259" s="689">
        <f t="shared" si="26"/>
        <v>7.4505805969238281E-9</v>
      </c>
      <c r="M259" s="228"/>
      <c r="N259" s="93"/>
      <c r="P259" s="95"/>
    </row>
    <row r="260" spans="1:16" s="94" customFormat="1" ht="25.5">
      <c r="A260" s="343" t="s">
        <v>15543</v>
      </c>
      <c r="B260" s="147" t="s">
        <v>17655</v>
      </c>
      <c r="C260" s="351" t="s">
        <v>3240</v>
      </c>
      <c r="D260" s="351">
        <v>14</v>
      </c>
      <c r="E260" s="351">
        <v>195.98</v>
      </c>
      <c r="F260" s="352">
        <v>0.2094</v>
      </c>
      <c r="G260" s="353">
        <f t="shared" si="23"/>
        <v>237.01821200000001</v>
      </c>
      <c r="H260" s="353">
        <f t="shared" si="24"/>
        <v>3318.2549680000002</v>
      </c>
      <c r="I260" s="354">
        <f t="shared" si="27"/>
        <v>6.6708522306132916E-4</v>
      </c>
      <c r="J260" s="354">
        <f t="shared" si="25"/>
        <v>0.9106693275574067</v>
      </c>
      <c r="K260" s="682">
        <f>'018-21-CAPA'!$F$37</f>
        <v>4974259.4398541162</v>
      </c>
      <c r="L260" s="689">
        <f t="shared" si="26"/>
        <v>7.4505805969238281E-9</v>
      </c>
      <c r="M260" s="228"/>
      <c r="N260" s="93"/>
      <c r="P260" s="95"/>
    </row>
    <row r="261" spans="1:16" s="94" customFormat="1" ht="51">
      <c r="A261" s="343">
        <v>92778</v>
      </c>
      <c r="B261" s="147" t="s">
        <v>1383</v>
      </c>
      <c r="C261" s="351" t="s">
        <v>108</v>
      </c>
      <c r="D261" s="351">
        <v>192.63</v>
      </c>
      <c r="E261" s="351" t="s">
        <v>16434</v>
      </c>
      <c r="F261" s="352">
        <v>0.2094</v>
      </c>
      <c r="G261" s="353">
        <f t="shared" si="23"/>
        <v>17.161386</v>
      </c>
      <c r="H261" s="353">
        <f t="shared" si="24"/>
        <v>3305.7977851800001</v>
      </c>
      <c r="I261" s="354">
        <f t="shared" si="27"/>
        <v>6.6458089393040519E-4</v>
      </c>
      <c r="J261" s="354">
        <f t="shared" si="25"/>
        <v>0.9113339084513371</v>
      </c>
      <c r="K261" s="682">
        <f>'018-21-CAPA'!$F$37</f>
        <v>4974259.4398541162</v>
      </c>
      <c r="L261" s="689">
        <f t="shared" si="26"/>
        <v>7.4505805969238281E-9</v>
      </c>
      <c r="M261" s="228"/>
      <c r="N261" s="93"/>
      <c r="P261" s="95"/>
    </row>
    <row r="262" spans="1:16" s="94" customFormat="1" ht="38.25">
      <c r="A262" s="343" t="s">
        <v>15563</v>
      </c>
      <c r="B262" s="147" t="s">
        <v>24668</v>
      </c>
      <c r="C262" s="351" t="s">
        <v>3240</v>
      </c>
      <c r="D262" s="351">
        <v>1</v>
      </c>
      <c r="E262" s="351">
        <v>2723.2</v>
      </c>
      <c r="F262" s="352">
        <v>0.2094</v>
      </c>
      <c r="G262" s="353">
        <f t="shared" si="23"/>
        <v>3293.4380799999999</v>
      </c>
      <c r="H262" s="353">
        <f t="shared" si="24"/>
        <v>3293.4380799999999</v>
      </c>
      <c r="I262" s="354">
        <f t="shared" si="27"/>
        <v>6.620961612120083E-4</v>
      </c>
      <c r="J262" s="354">
        <f t="shared" si="25"/>
        <v>0.91199600461254915</v>
      </c>
      <c r="K262" s="682">
        <f>'018-21-CAPA'!$F$37</f>
        <v>4974259.4398541162</v>
      </c>
      <c r="L262" s="689">
        <f t="shared" si="26"/>
        <v>7.4505805969238281E-9</v>
      </c>
      <c r="M262" s="228"/>
      <c r="N262" s="93"/>
      <c r="P262" s="95"/>
    </row>
    <row r="263" spans="1:16" s="94" customFormat="1" ht="25.5">
      <c r="A263" s="343" t="s">
        <v>14404</v>
      </c>
      <c r="B263" s="147" t="s">
        <v>14575</v>
      </c>
      <c r="C263" s="351" t="s">
        <v>3243</v>
      </c>
      <c r="D263" s="351">
        <v>905.54</v>
      </c>
      <c r="E263" s="351">
        <v>2.99</v>
      </c>
      <c r="F263" s="352">
        <v>0.2094</v>
      </c>
      <c r="G263" s="353">
        <f t="shared" si="23"/>
        <v>3.6161060000000003</v>
      </c>
      <c r="H263" s="353">
        <f t="shared" si="24"/>
        <v>3274.5286272400003</v>
      </c>
      <c r="I263" s="354">
        <f t="shared" si="27"/>
        <v>6.5829470031342793E-4</v>
      </c>
      <c r="J263" s="354">
        <f t="shared" si="25"/>
        <v>0.91265429931286257</v>
      </c>
      <c r="K263" s="682">
        <f>'018-21-CAPA'!$F$37</f>
        <v>4974259.4398541162</v>
      </c>
      <c r="L263" s="689">
        <f t="shared" si="26"/>
        <v>7.4505805969238281E-9</v>
      </c>
      <c r="M263" s="228"/>
      <c r="N263" s="93"/>
      <c r="P263" s="95"/>
    </row>
    <row r="264" spans="1:16" s="94" customFormat="1" ht="38.25">
      <c r="A264" s="343">
        <v>99059</v>
      </c>
      <c r="B264" s="147" t="s">
        <v>4496</v>
      </c>
      <c r="C264" s="351" t="s">
        <v>5</v>
      </c>
      <c r="D264" s="351">
        <v>54.2</v>
      </c>
      <c r="E264" s="351" t="s">
        <v>12398</v>
      </c>
      <c r="F264" s="352">
        <v>0.2094</v>
      </c>
      <c r="G264" s="353">
        <f t="shared" si="23"/>
        <v>59.381540000000001</v>
      </c>
      <c r="H264" s="353">
        <f t="shared" si="24"/>
        <v>3218.4794680000005</v>
      </c>
      <c r="I264" s="354">
        <f t="shared" ref="I264:I327" si="28">H264/$F$772</f>
        <v>6.4702686036303644E-4</v>
      </c>
      <c r="J264" s="354">
        <f t="shared" si="25"/>
        <v>0.91330132617322557</v>
      </c>
      <c r="K264" s="682">
        <f>'018-21-CAPA'!$F$37</f>
        <v>4974259.4398541162</v>
      </c>
      <c r="L264" s="689">
        <f t="shared" si="26"/>
        <v>7.4505805969238281E-9</v>
      </c>
      <c r="M264" s="228"/>
      <c r="N264" s="93"/>
      <c r="P264" s="95"/>
    </row>
    <row r="265" spans="1:16" s="94" customFormat="1" ht="38.25">
      <c r="A265" s="343" t="s">
        <v>15559</v>
      </c>
      <c r="B265" s="147" t="s">
        <v>24666</v>
      </c>
      <c r="C265" s="351" t="s">
        <v>3240</v>
      </c>
      <c r="D265" s="351">
        <v>2</v>
      </c>
      <c r="E265" s="351">
        <v>1321.38</v>
      </c>
      <c r="F265" s="352">
        <v>0.2094</v>
      </c>
      <c r="G265" s="353">
        <f t="shared" si="23"/>
        <v>1598.0769720000001</v>
      </c>
      <c r="H265" s="353">
        <f t="shared" si="24"/>
        <v>3196.1539440000001</v>
      </c>
      <c r="I265" s="354">
        <f t="shared" si="28"/>
        <v>6.4253864975200026E-4</v>
      </c>
      <c r="J265" s="354">
        <f t="shared" si="25"/>
        <v>0.91394386482297763</v>
      </c>
      <c r="K265" s="682">
        <f>'018-21-CAPA'!$F$37</f>
        <v>4974259.4398541162</v>
      </c>
      <c r="L265" s="689">
        <f t="shared" si="26"/>
        <v>7.4505805969238281E-9</v>
      </c>
      <c r="M265" s="228"/>
      <c r="N265" s="93"/>
      <c r="P265" s="95"/>
    </row>
    <row r="266" spans="1:16" s="94" customFormat="1" ht="63.75">
      <c r="A266" s="343">
        <v>92368</v>
      </c>
      <c r="B266" s="147" t="s">
        <v>13234</v>
      </c>
      <c r="C266" s="351" t="s">
        <v>5</v>
      </c>
      <c r="D266" s="351">
        <v>15.84</v>
      </c>
      <c r="E266" s="351" t="s">
        <v>22951</v>
      </c>
      <c r="F266" s="352">
        <v>0.2094</v>
      </c>
      <c r="G266" s="353">
        <f t="shared" si="23"/>
        <v>201.42557000000002</v>
      </c>
      <c r="H266" s="353">
        <f t="shared" si="24"/>
        <v>3190.5810288000002</v>
      </c>
      <c r="I266" s="354">
        <f t="shared" si="28"/>
        <v>6.4141829902092471E-4</v>
      </c>
      <c r="J266" s="354">
        <f t="shared" si="25"/>
        <v>0.9145852831219986</v>
      </c>
      <c r="K266" s="682">
        <f>'018-21-CAPA'!$F$37</f>
        <v>4974259.4398541162</v>
      </c>
      <c r="L266" s="689">
        <f t="shared" ref="L266:L287" si="29">K266-$F$772</f>
        <v>7.4505805969238281E-9</v>
      </c>
      <c r="M266" s="228"/>
      <c r="N266" s="93"/>
      <c r="P266" s="95"/>
    </row>
    <row r="267" spans="1:16" s="94" customFormat="1" ht="51">
      <c r="A267" s="343">
        <v>95779</v>
      </c>
      <c r="B267" s="147" t="s">
        <v>270</v>
      </c>
      <c r="C267" s="351" t="s">
        <v>109</v>
      </c>
      <c r="D267" s="351">
        <v>123</v>
      </c>
      <c r="E267" s="351" t="s">
        <v>21119</v>
      </c>
      <c r="F267" s="352">
        <v>0.2094</v>
      </c>
      <c r="G267" s="353">
        <f t="shared" ref="G267:G330" si="30">(E267*(1+F267))</f>
        <v>25.627186000000002</v>
      </c>
      <c r="H267" s="353">
        <f t="shared" ref="H267:H330" si="31">G267*D267</f>
        <v>3152.1438780000003</v>
      </c>
      <c r="I267" s="354">
        <f t="shared" si="28"/>
        <v>6.3369108831453518E-4</v>
      </c>
      <c r="J267" s="354">
        <f t="shared" si="25"/>
        <v>0.91521897421031317</v>
      </c>
      <c r="K267" s="682">
        <f>'018-21-CAPA'!$F$37</f>
        <v>4974259.4398541162</v>
      </c>
      <c r="L267" s="689">
        <f t="shared" si="29"/>
        <v>7.4505805969238281E-9</v>
      </c>
      <c r="M267" s="228"/>
      <c r="N267" s="93"/>
      <c r="P267" s="95"/>
    </row>
    <row r="268" spans="1:16" s="94" customFormat="1" ht="38.25">
      <c r="A268" s="343" t="s">
        <v>14893</v>
      </c>
      <c r="B268" s="147" t="s">
        <v>18326</v>
      </c>
      <c r="C268" s="351" t="s">
        <v>10</v>
      </c>
      <c r="D268" s="351">
        <v>1</v>
      </c>
      <c r="E268" s="351">
        <v>2591.4899999999998</v>
      </c>
      <c r="F268" s="352">
        <v>0.2094</v>
      </c>
      <c r="G268" s="353">
        <f t="shared" si="30"/>
        <v>3134.1480059999999</v>
      </c>
      <c r="H268" s="353">
        <f t="shared" si="31"/>
        <v>3134.1480059999999</v>
      </c>
      <c r="I268" s="354">
        <f t="shared" si="28"/>
        <v>6.3007328907877034E-4</v>
      </c>
      <c r="J268" s="354">
        <f t="shared" si="25"/>
        <v>0.915849047499392</v>
      </c>
      <c r="K268" s="682">
        <f>'018-21-CAPA'!$F$37</f>
        <v>4974259.4398541162</v>
      </c>
      <c r="L268" s="689">
        <f t="shared" si="29"/>
        <v>7.4505805969238281E-9</v>
      </c>
      <c r="M268" s="228"/>
      <c r="N268" s="93"/>
      <c r="P268" s="95"/>
    </row>
    <row r="269" spans="1:16" s="94" customFormat="1" ht="38.25">
      <c r="A269" s="343" t="s">
        <v>17709</v>
      </c>
      <c r="B269" s="147" t="s">
        <v>24674</v>
      </c>
      <c r="C269" s="351" t="s">
        <v>3240</v>
      </c>
      <c r="D269" s="351">
        <v>2</v>
      </c>
      <c r="E269" s="351">
        <v>1292.99</v>
      </c>
      <c r="F269" s="352">
        <v>0.2094</v>
      </c>
      <c r="G269" s="353">
        <f t="shared" si="30"/>
        <v>1563.7421060000001</v>
      </c>
      <c r="H269" s="353">
        <f t="shared" si="31"/>
        <v>3127.4842120000003</v>
      </c>
      <c r="I269" s="354">
        <f t="shared" si="28"/>
        <v>6.2873363358219346E-4</v>
      </c>
      <c r="J269" s="354">
        <f t="shared" ref="J269:J332" si="32">I269+J268</f>
        <v>0.91647778113297418</v>
      </c>
      <c r="K269" s="682">
        <f>'018-21-CAPA'!$F$37</f>
        <v>4974259.4398541162</v>
      </c>
      <c r="L269" s="689">
        <f t="shared" si="29"/>
        <v>7.4505805969238281E-9</v>
      </c>
      <c r="M269" s="228"/>
      <c r="N269" s="93"/>
      <c r="P269" s="95"/>
    </row>
    <row r="270" spans="1:16" s="94" customFormat="1" ht="38.25">
      <c r="A270" s="343" t="s">
        <v>24627</v>
      </c>
      <c r="B270" s="147" t="s">
        <v>24626</v>
      </c>
      <c r="C270" s="351" t="s">
        <v>3240</v>
      </c>
      <c r="D270" s="351">
        <v>1</v>
      </c>
      <c r="E270" s="351">
        <v>2560.0700000000002</v>
      </c>
      <c r="F270" s="352">
        <v>0.2094</v>
      </c>
      <c r="G270" s="353">
        <f t="shared" si="30"/>
        <v>3096.1486580000001</v>
      </c>
      <c r="H270" s="353">
        <f t="shared" si="31"/>
        <v>3096.1486580000001</v>
      </c>
      <c r="I270" s="354">
        <f t="shared" si="28"/>
        <v>6.2243409203658424E-4</v>
      </c>
      <c r="J270" s="354">
        <f t="shared" si="32"/>
        <v>0.91710021522501073</v>
      </c>
      <c r="K270" s="682">
        <f>'018-21-CAPA'!$F$37</f>
        <v>4974259.4398541162</v>
      </c>
      <c r="L270" s="689">
        <f t="shared" si="29"/>
        <v>7.4505805969238281E-9</v>
      </c>
      <c r="M270" s="228"/>
      <c r="N270" s="93"/>
      <c r="P270" s="95"/>
    </row>
    <row r="271" spans="1:16" s="94" customFormat="1" ht="51">
      <c r="A271" s="343">
        <v>92775</v>
      </c>
      <c r="B271" s="147" t="s">
        <v>1380</v>
      </c>
      <c r="C271" s="351" t="s">
        <v>108</v>
      </c>
      <c r="D271" s="351">
        <v>137.15</v>
      </c>
      <c r="E271" s="351" t="s">
        <v>10985</v>
      </c>
      <c r="F271" s="352">
        <v>0.2094</v>
      </c>
      <c r="G271" s="353">
        <f t="shared" si="30"/>
        <v>22.385994000000004</v>
      </c>
      <c r="H271" s="353">
        <f t="shared" si="31"/>
        <v>3070.2390771000005</v>
      </c>
      <c r="I271" s="354">
        <f t="shared" si="28"/>
        <v>6.1722536072425851E-4</v>
      </c>
      <c r="J271" s="354">
        <f t="shared" si="32"/>
        <v>0.91771744058573501</v>
      </c>
      <c r="K271" s="682">
        <f>'018-21-CAPA'!$F$37</f>
        <v>4974259.4398541162</v>
      </c>
      <c r="L271" s="689">
        <f t="shared" si="29"/>
        <v>7.4505805969238281E-9</v>
      </c>
      <c r="M271" s="228"/>
      <c r="N271" s="93"/>
      <c r="P271" s="95"/>
    </row>
    <row r="272" spans="1:16" s="94" customFormat="1" ht="25.5">
      <c r="A272" s="343">
        <v>93184</v>
      </c>
      <c r="B272" s="147" t="s">
        <v>1486</v>
      </c>
      <c r="C272" s="351" t="s">
        <v>5</v>
      </c>
      <c r="D272" s="351">
        <v>78.900000000000006</v>
      </c>
      <c r="E272" s="351" t="s">
        <v>22513</v>
      </c>
      <c r="F272" s="352">
        <v>0.2094</v>
      </c>
      <c r="G272" s="353">
        <f t="shared" si="30"/>
        <v>37.91469</v>
      </c>
      <c r="H272" s="353">
        <f t="shared" si="31"/>
        <v>2991.4690410000003</v>
      </c>
      <c r="I272" s="354">
        <f t="shared" si="28"/>
        <v>6.0138983042021179E-4</v>
      </c>
      <c r="J272" s="354">
        <f t="shared" si="32"/>
        <v>0.91831883041615525</v>
      </c>
      <c r="K272" s="682">
        <f>'018-21-CAPA'!$F$37</f>
        <v>4974259.4398541162</v>
      </c>
      <c r="L272" s="689">
        <f t="shared" si="29"/>
        <v>7.4505805969238281E-9</v>
      </c>
      <c r="M272" s="228"/>
      <c r="N272" s="93"/>
      <c r="P272" s="95"/>
    </row>
    <row r="273" spans="1:16" s="94" customFormat="1" ht="38.25">
      <c r="A273" s="343" t="s">
        <v>24614</v>
      </c>
      <c r="B273" s="147" t="s">
        <v>24625</v>
      </c>
      <c r="C273" s="351" t="s">
        <v>3240</v>
      </c>
      <c r="D273" s="351">
        <v>1</v>
      </c>
      <c r="E273" s="351">
        <v>2430.4499999999998</v>
      </c>
      <c r="F273" s="352">
        <v>0.2094</v>
      </c>
      <c r="G273" s="353">
        <f t="shared" si="30"/>
        <v>2939.3862300000001</v>
      </c>
      <c r="H273" s="353">
        <f t="shared" si="31"/>
        <v>2939.3862300000001</v>
      </c>
      <c r="I273" s="354">
        <f t="shared" si="28"/>
        <v>5.9091936509170293E-4</v>
      </c>
      <c r="J273" s="354">
        <f t="shared" si="32"/>
        <v>0.91890974978124695</v>
      </c>
      <c r="K273" s="682">
        <f>'018-21-CAPA'!$F$37</f>
        <v>4974259.4398541162</v>
      </c>
      <c r="L273" s="689">
        <f t="shared" si="29"/>
        <v>7.4505805969238281E-9</v>
      </c>
      <c r="M273" s="228"/>
      <c r="N273" s="93"/>
      <c r="P273" s="95"/>
    </row>
    <row r="274" spans="1:16" s="94" customFormat="1" ht="38.25">
      <c r="A274" s="343">
        <v>98565</v>
      </c>
      <c r="B274" s="147" t="s">
        <v>4091</v>
      </c>
      <c r="C274" s="351" t="s">
        <v>193</v>
      </c>
      <c r="D274" s="351">
        <v>59.4</v>
      </c>
      <c r="E274" s="351" t="s">
        <v>22568</v>
      </c>
      <c r="F274" s="352">
        <v>0.2094</v>
      </c>
      <c r="G274" s="353">
        <f t="shared" si="30"/>
        <v>49.222580000000008</v>
      </c>
      <c r="H274" s="353">
        <f t="shared" si="31"/>
        <v>2923.8212520000002</v>
      </c>
      <c r="I274" s="354">
        <f t="shared" si="28"/>
        <v>5.8779026051076935E-4</v>
      </c>
      <c r="J274" s="354">
        <f t="shared" si="32"/>
        <v>0.91949754004175777</v>
      </c>
      <c r="K274" s="682">
        <f>'018-21-CAPA'!$F$37</f>
        <v>4974259.4398541162</v>
      </c>
      <c r="L274" s="689">
        <f t="shared" si="29"/>
        <v>7.4505805969238281E-9</v>
      </c>
      <c r="M274" s="228"/>
      <c r="N274" s="93"/>
      <c r="P274" s="95"/>
    </row>
    <row r="275" spans="1:16" s="94" customFormat="1" ht="51">
      <c r="A275" s="343" t="s">
        <v>15463</v>
      </c>
      <c r="B275" s="147" t="s">
        <v>24609</v>
      </c>
      <c r="C275" s="351" t="s">
        <v>3240</v>
      </c>
      <c r="D275" s="351">
        <v>1</v>
      </c>
      <c r="E275" s="351">
        <v>2414.7800000000002</v>
      </c>
      <c r="F275" s="352">
        <v>0.2094</v>
      </c>
      <c r="G275" s="353">
        <f t="shared" si="30"/>
        <v>2920.4349320000001</v>
      </c>
      <c r="H275" s="353">
        <f t="shared" si="31"/>
        <v>2920.4349320000001</v>
      </c>
      <c r="I275" s="354">
        <f t="shared" si="28"/>
        <v>5.8710949183737274E-4</v>
      </c>
      <c r="J275" s="354">
        <f t="shared" si="32"/>
        <v>0.92008464953359514</v>
      </c>
      <c r="K275" s="682">
        <f>'018-21-CAPA'!$F$37</f>
        <v>4974259.4398541162</v>
      </c>
      <c r="L275" s="689">
        <f t="shared" si="29"/>
        <v>7.4505805969238281E-9</v>
      </c>
      <c r="M275" s="228"/>
      <c r="N275" s="93"/>
      <c r="P275" s="95"/>
    </row>
    <row r="276" spans="1:16" s="94" customFormat="1" ht="25.5">
      <c r="A276" s="343" t="s">
        <v>18346</v>
      </c>
      <c r="B276" s="147" t="s">
        <v>18347</v>
      </c>
      <c r="C276" s="351" t="s">
        <v>109</v>
      </c>
      <c r="D276" s="351">
        <v>18</v>
      </c>
      <c r="E276" s="351">
        <v>134.1</v>
      </c>
      <c r="F276" s="352">
        <v>0.2094</v>
      </c>
      <c r="G276" s="353">
        <f t="shared" si="30"/>
        <v>162.18054000000001</v>
      </c>
      <c r="H276" s="353">
        <f t="shared" si="31"/>
        <v>2919.2497200000003</v>
      </c>
      <c r="I276" s="354">
        <f t="shared" si="28"/>
        <v>5.8687122280168399E-4</v>
      </c>
      <c r="J276" s="354">
        <f t="shared" si="32"/>
        <v>0.9206715207563968</v>
      </c>
      <c r="K276" s="682">
        <f>'018-21-CAPA'!$F$37</f>
        <v>4974259.4398541162</v>
      </c>
      <c r="L276" s="689">
        <f t="shared" si="29"/>
        <v>7.4505805969238281E-9</v>
      </c>
      <c r="M276" s="228"/>
      <c r="N276" s="93"/>
      <c r="P276" s="95"/>
    </row>
    <row r="277" spans="1:16" s="94" customFormat="1" ht="51">
      <c r="A277" s="343">
        <v>92776</v>
      </c>
      <c r="B277" s="147" t="s">
        <v>1381</v>
      </c>
      <c r="C277" s="351" t="s">
        <v>108</v>
      </c>
      <c r="D277" s="351">
        <v>138.99</v>
      </c>
      <c r="E277" s="351" t="s">
        <v>12372</v>
      </c>
      <c r="F277" s="352">
        <v>0.2094</v>
      </c>
      <c r="G277" s="353">
        <f t="shared" si="30"/>
        <v>20.874244000000001</v>
      </c>
      <c r="H277" s="353">
        <f t="shared" si="31"/>
        <v>2901.3111735600005</v>
      </c>
      <c r="I277" s="354">
        <f t="shared" si="28"/>
        <v>5.8326494800703312E-4</v>
      </c>
      <c r="J277" s="354">
        <f t="shared" si="32"/>
        <v>0.92125478570440378</v>
      </c>
      <c r="K277" s="682">
        <f>'018-21-CAPA'!$F$37</f>
        <v>4974259.4398541162</v>
      </c>
      <c r="L277" s="689">
        <f t="shared" si="29"/>
        <v>7.4505805969238281E-9</v>
      </c>
      <c r="M277" s="228"/>
      <c r="N277" s="93"/>
      <c r="P277" s="95"/>
    </row>
    <row r="278" spans="1:16" s="94" customFormat="1" ht="51">
      <c r="A278" s="343">
        <v>92518</v>
      </c>
      <c r="B278" s="147" t="s">
        <v>12898</v>
      </c>
      <c r="C278" s="351" t="s">
        <v>193</v>
      </c>
      <c r="D278" s="351">
        <v>84.57</v>
      </c>
      <c r="E278" s="351" t="s">
        <v>10452</v>
      </c>
      <c r="F278" s="352">
        <v>0.2094</v>
      </c>
      <c r="G278" s="353">
        <f t="shared" si="30"/>
        <v>34.262301999999998</v>
      </c>
      <c r="H278" s="353">
        <f t="shared" si="31"/>
        <v>2897.5628801399998</v>
      </c>
      <c r="I278" s="354">
        <f t="shared" si="28"/>
        <v>5.8251141002508373E-4</v>
      </c>
      <c r="J278" s="354">
        <f t="shared" si="32"/>
        <v>0.92183729711442886</v>
      </c>
      <c r="K278" s="682">
        <f>'018-21-CAPA'!$F$37</f>
        <v>4974259.4398541162</v>
      </c>
      <c r="L278" s="689">
        <f t="shared" si="29"/>
        <v>7.4505805969238281E-9</v>
      </c>
      <c r="M278" s="228"/>
      <c r="N278" s="93"/>
      <c r="P278" s="95"/>
    </row>
    <row r="279" spans="1:16" s="94" customFormat="1" ht="38.25">
      <c r="A279" s="343" t="s">
        <v>14378</v>
      </c>
      <c r="B279" s="147" t="s">
        <v>17111</v>
      </c>
      <c r="C279" s="351" t="s">
        <v>10</v>
      </c>
      <c r="D279" s="351">
        <v>15</v>
      </c>
      <c r="E279" s="351">
        <v>159.35999999999999</v>
      </c>
      <c r="F279" s="352">
        <v>0.2094</v>
      </c>
      <c r="G279" s="353">
        <f t="shared" si="30"/>
        <v>192.72998399999997</v>
      </c>
      <c r="H279" s="353">
        <f t="shared" si="31"/>
        <v>2890.9497599999995</v>
      </c>
      <c r="I279" s="354">
        <f t="shared" si="28"/>
        <v>5.811819417454408E-4</v>
      </c>
      <c r="J279" s="354">
        <f t="shared" si="32"/>
        <v>0.92241847905617425</v>
      </c>
      <c r="K279" s="682">
        <f>'018-21-CAPA'!$F$37</f>
        <v>4974259.4398541162</v>
      </c>
      <c r="L279" s="689">
        <f t="shared" si="29"/>
        <v>7.4505805969238281E-9</v>
      </c>
      <c r="M279" s="228"/>
      <c r="N279" s="93"/>
      <c r="P279" s="95"/>
    </row>
    <row r="280" spans="1:16" s="94" customFormat="1" ht="38.25">
      <c r="A280" s="343">
        <v>96523</v>
      </c>
      <c r="B280" s="147" t="s">
        <v>2464</v>
      </c>
      <c r="C280" s="351" t="s">
        <v>209</v>
      </c>
      <c r="D280" s="351">
        <v>29.01</v>
      </c>
      <c r="E280" s="351" t="s">
        <v>23664</v>
      </c>
      <c r="F280" s="352">
        <v>0.2094</v>
      </c>
      <c r="G280" s="353">
        <f t="shared" si="30"/>
        <v>99.376398000000009</v>
      </c>
      <c r="H280" s="353">
        <f t="shared" si="31"/>
        <v>2882.9093059800002</v>
      </c>
      <c r="I280" s="354">
        <f t="shared" si="28"/>
        <v>5.7956552946996146E-4</v>
      </c>
      <c r="J280" s="354">
        <f t="shared" si="32"/>
        <v>0.92299804458564416</v>
      </c>
      <c r="K280" s="682">
        <f>'018-21-CAPA'!$F$37</f>
        <v>4974259.4398541162</v>
      </c>
      <c r="L280" s="689">
        <f t="shared" si="29"/>
        <v>7.4505805969238281E-9</v>
      </c>
      <c r="M280" s="228"/>
      <c r="N280" s="93"/>
      <c r="P280" s="95"/>
    </row>
    <row r="281" spans="1:16" s="94" customFormat="1" ht="38.25">
      <c r="A281" s="343">
        <v>96619</v>
      </c>
      <c r="B281" s="147" t="s">
        <v>3417</v>
      </c>
      <c r="C281" s="351" t="s">
        <v>193</v>
      </c>
      <c r="D281" s="351">
        <v>87.15</v>
      </c>
      <c r="E281" s="351" t="s">
        <v>14140</v>
      </c>
      <c r="F281" s="352">
        <v>0.2094</v>
      </c>
      <c r="G281" s="353">
        <f t="shared" si="30"/>
        <v>32.774740000000001</v>
      </c>
      <c r="H281" s="353">
        <f t="shared" si="31"/>
        <v>2856.3185910000002</v>
      </c>
      <c r="I281" s="354">
        <f t="shared" si="28"/>
        <v>5.7421986640161533E-4</v>
      </c>
      <c r="J281" s="354">
        <f t="shared" si="32"/>
        <v>0.92357226445204577</v>
      </c>
      <c r="K281" s="682">
        <f>'018-21-CAPA'!$F$37</f>
        <v>4974259.4398541162</v>
      </c>
      <c r="L281" s="689">
        <f t="shared" si="29"/>
        <v>7.4505805969238281E-9</v>
      </c>
      <c r="M281" s="228"/>
      <c r="N281" s="93"/>
      <c r="P281" s="95"/>
    </row>
    <row r="282" spans="1:16" s="94" customFormat="1" ht="38.25">
      <c r="A282" s="343">
        <v>89357</v>
      </c>
      <c r="B282" s="147" t="s">
        <v>1761</v>
      </c>
      <c r="C282" s="351" t="s">
        <v>5</v>
      </c>
      <c r="D282" s="351">
        <v>83.22</v>
      </c>
      <c r="E282" s="351" t="s">
        <v>19693</v>
      </c>
      <c r="F282" s="352">
        <v>0.2094</v>
      </c>
      <c r="G282" s="353">
        <f t="shared" si="30"/>
        <v>34.177644000000001</v>
      </c>
      <c r="H282" s="353">
        <f t="shared" si="31"/>
        <v>2844.2635336799999</v>
      </c>
      <c r="I282" s="354">
        <f t="shared" si="28"/>
        <v>5.7179637855065714E-4</v>
      </c>
      <c r="J282" s="354">
        <f t="shared" si="32"/>
        <v>0.92414406083059641</v>
      </c>
      <c r="K282" s="682">
        <f>'018-21-CAPA'!$F$37</f>
        <v>4974259.4398541162</v>
      </c>
      <c r="L282" s="689">
        <f t="shared" si="29"/>
        <v>7.4505805969238281E-9</v>
      </c>
      <c r="M282" s="228"/>
      <c r="N282" s="93"/>
      <c r="P282" s="95"/>
    </row>
    <row r="283" spans="1:16" s="94" customFormat="1" ht="38.25">
      <c r="A283" s="343">
        <v>100852</v>
      </c>
      <c r="B283" s="147" t="s">
        <v>10754</v>
      </c>
      <c r="C283" s="351" t="s">
        <v>109</v>
      </c>
      <c r="D283" s="351">
        <v>13</v>
      </c>
      <c r="E283" s="351" t="s">
        <v>23497</v>
      </c>
      <c r="F283" s="352">
        <v>0.2094</v>
      </c>
      <c r="G283" s="353">
        <f t="shared" si="30"/>
        <v>218.30879400000001</v>
      </c>
      <c r="H283" s="353">
        <f t="shared" si="31"/>
        <v>2838.014322</v>
      </c>
      <c r="I283" s="354">
        <f t="shared" si="28"/>
        <v>5.7054006859023757E-4</v>
      </c>
      <c r="J283" s="354">
        <f t="shared" si="32"/>
        <v>0.92471460089918667</v>
      </c>
      <c r="K283" s="682">
        <f>'018-21-CAPA'!$F$37</f>
        <v>4974259.4398541162</v>
      </c>
      <c r="L283" s="689">
        <f t="shared" si="29"/>
        <v>7.4505805969238281E-9</v>
      </c>
      <c r="M283" s="228"/>
      <c r="N283" s="93"/>
      <c r="P283" s="95"/>
    </row>
    <row r="284" spans="1:16" s="94" customFormat="1" ht="51">
      <c r="A284" s="343" t="s">
        <v>15476</v>
      </c>
      <c r="B284" s="147" t="s">
        <v>24622</v>
      </c>
      <c r="C284" s="351" t="s">
        <v>3240</v>
      </c>
      <c r="D284" s="351">
        <v>1</v>
      </c>
      <c r="E284" s="351">
        <v>2333.2200000000003</v>
      </c>
      <c r="F284" s="352">
        <v>0.2094</v>
      </c>
      <c r="G284" s="353">
        <f t="shared" si="30"/>
        <v>2821.7962680000005</v>
      </c>
      <c r="H284" s="353">
        <f t="shared" si="31"/>
        <v>2821.7962680000005</v>
      </c>
      <c r="I284" s="354">
        <f t="shared" si="28"/>
        <v>5.6727967290800608E-4</v>
      </c>
      <c r="J284" s="354">
        <f t="shared" si="32"/>
        <v>0.92528188057209471</v>
      </c>
      <c r="K284" s="682">
        <f>'018-21-CAPA'!$F$37</f>
        <v>4974259.4398541162</v>
      </c>
      <c r="L284" s="689">
        <f t="shared" si="29"/>
        <v>7.4505805969238281E-9</v>
      </c>
      <c r="M284" s="228"/>
      <c r="N284" s="93"/>
      <c r="P284" s="95"/>
    </row>
    <row r="285" spans="1:16" s="94" customFormat="1" ht="25.5">
      <c r="A285" s="343">
        <v>100858</v>
      </c>
      <c r="B285" s="147" t="s">
        <v>10760</v>
      </c>
      <c r="C285" s="351" t="s">
        <v>109</v>
      </c>
      <c r="D285" s="351">
        <v>4</v>
      </c>
      <c r="E285" s="351" t="s">
        <v>23500</v>
      </c>
      <c r="F285" s="352">
        <v>0.2094</v>
      </c>
      <c r="G285" s="353">
        <f t="shared" si="30"/>
        <v>697.83589400000005</v>
      </c>
      <c r="H285" s="353">
        <f t="shared" si="31"/>
        <v>2791.3435760000002</v>
      </c>
      <c r="I285" s="354">
        <f t="shared" si="28"/>
        <v>5.6115761748081806E-4</v>
      </c>
      <c r="J285" s="354">
        <f t="shared" si="32"/>
        <v>0.92584303818957547</v>
      </c>
      <c r="K285" s="682">
        <f>'018-21-CAPA'!$F$37</f>
        <v>4974259.4398541162</v>
      </c>
      <c r="L285" s="689">
        <f t="shared" si="29"/>
        <v>7.4505805969238281E-9</v>
      </c>
      <c r="M285" s="228"/>
      <c r="N285" s="93"/>
      <c r="P285" s="95"/>
    </row>
    <row r="286" spans="1:16" s="94" customFormat="1" ht="25.5">
      <c r="A286" s="343" t="s">
        <v>18695</v>
      </c>
      <c r="B286" s="147" t="s">
        <v>18700</v>
      </c>
      <c r="C286" s="351" t="s">
        <v>5</v>
      </c>
      <c r="D286" s="351">
        <v>280.24</v>
      </c>
      <c r="E286" s="351">
        <v>8.23</v>
      </c>
      <c r="F286" s="352">
        <v>0.2094</v>
      </c>
      <c r="G286" s="353">
        <f t="shared" si="30"/>
        <v>9.9533620000000003</v>
      </c>
      <c r="H286" s="353">
        <f t="shared" si="31"/>
        <v>2789.33016688</v>
      </c>
      <c r="I286" s="354">
        <f t="shared" si="28"/>
        <v>5.6075285187814992E-4</v>
      </c>
      <c r="J286" s="354">
        <f t="shared" si="32"/>
        <v>0.92640379104145365</v>
      </c>
      <c r="K286" s="682">
        <f>'018-21-CAPA'!$F$37</f>
        <v>4974259.4398541162</v>
      </c>
      <c r="L286" s="689">
        <f t="shared" si="29"/>
        <v>7.4505805969238281E-9</v>
      </c>
      <c r="M286" s="228"/>
      <c r="N286" s="93"/>
      <c r="P286" s="95"/>
    </row>
    <row r="287" spans="1:16" s="94" customFormat="1" ht="38.25">
      <c r="A287" s="343" t="s">
        <v>15549</v>
      </c>
      <c r="B287" s="147" t="s">
        <v>17671</v>
      </c>
      <c r="C287" s="351" t="s">
        <v>3240</v>
      </c>
      <c r="D287" s="351">
        <v>4</v>
      </c>
      <c r="E287" s="351">
        <v>569.07000000000005</v>
      </c>
      <c r="F287" s="352">
        <v>0.2094</v>
      </c>
      <c r="G287" s="353">
        <f t="shared" si="30"/>
        <v>688.23325800000009</v>
      </c>
      <c r="H287" s="353">
        <f t="shared" si="31"/>
        <v>2752.9330320000004</v>
      </c>
      <c r="I287" s="354">
        <f t="shared" si="28"/>
        <v>5.5343575567114807E-4</v>
      </c>
      <c r="J287" s="354">
        <f t="shared" si="32"/>
        <v>0.92695722679712478</v>
      </c>
      <c r="K287" s="682">
        <f>'018-21-CAPA'!$F$37</f>
        <v>4974259.4398541162</v>
      </c>
      <c r="L287" s="689">
        <f t="shared" si="29"/>
        <v>7.4505805969238281E-9</v>
      </c>
      <c r="M287" s="228"/>
      <c r="N287" s="93"/>
      <c r="P287" s="95"/>
    </row>
    <row r="288" spans="1:16" s="94" customFormat="1" ht="38.25">
      <c r="A288" s="343" t="s">
        <v>15521</v>
      </c>
      <c r="B288" s="147" t="s">
        <v>17587</v>
      </c>
      <c r="C288" s="351" t="s">
        <v>5</v>
      </c>
      <c r="D288" s="351">
        <v>97.5</v>
      </c>
      <c r="E288" s="351">
        <v>23</v>
      </c>
      <c r="F288" s="352">
        <v>0.2094</v>
      </c>
      <c r="G288" s="353">
        <f t="shared" si="30"/>
        <v>27.816200000000002</v>
      </c>
      <c r="H288" s="353">
        <f t="shared" si="31"/>
        <v>2712.0795000000003</v>
      </c>
      <c r="I288" s="354">
        <f t="shared" si="28"/>
        <v>5.452227678899562E-4</v>
      </c>
      <c r="J288" s="354">
        <f t="shared" si="32"/>
        <v>0.92750244956501471</v>
      </c>
      <c r="K288" s="682">
        <f>'018-21-CAPA'!$F$37</f>
        <v>4974259.4398541162</v>
      </c>
      <c r="L288" s="689">
        <f>K288-$F$772</f>
        <v>7.4505805969238281E-9</v>
      </c>
      <c r="M288" s="228"/>
      <c r="N288" s="93"/>
      <c r="P288" s="95"/>
    </row>
    <row r="289" spans="1:16" s="94" customFormat="1" ht="51">
      <c r="A289" s="343" t="s">
        <v>15461</v>
      </c>
      <c r="B289" s="147" t="s">
        <v>24611</v>
      </c>
      <c r="C289" s="351" t="s">
        <v>3240</v>
      </c>
      <c r="D289" s="351">
        <v>1</v>
      </c>
      <c r="E289" s="351">
        <v>2240.9</v>
      </c>
      <c r="F289" s="352">
        <v>0.2094</v>
      </c>
      <c r="G289" s="353">
        <f t="shared" si="30"/>
        <v>2710.14446</v>
      </c>
      <c r="H289" s="353">
        <f t="shared" si="31"/>
        <v>2710.14446</v>
      </c>
      <c r="I289" s="354">
        <f t="shared" si="28"/>
        <v>5.4483375721944382E-4</v>
      </c>
      <c r="J289" s="354">
        <f t="shared" si="32"/>
        <v>0.92804728332223418</v>
      </c>
      <c r="K289" s="682">
        <f>'018-21-CAPA'!$F$37</f>
        <v>4974259.4398541162</v>
      </c>
      <c r="L289" s="689">
        <f>K289-$F$772</f>
        <v>7.4505805969238281E-9</v>
      </c>
      <c r="M289" s="228"/>
      <c r="N289" s="93"/>
      <c r="P289" s="95"/>
    </row>
    <row r="290" spans="1:16" s="94" customFormat="1" ht="25.5">
      <c r="A290" s="343">
        <v>101094</v>
      </c>
      <c r="B290" s="147" t="s">
        <v>11022</v>
      </c>
      <c r="C290" s="351" t="s">
        <v>5</v>
      </c>
      <c r="D290" s="351">
        <v>12.31</v>
      </c>
      <c r="E290" s="351" t="s">
        <v>24056</v>
      </c>
      <c r="F290" s="352">
        <v>0.2094</v>
      </c>
      <c r="G290" s="353">
        <f t="shared" si="30"/>
        <v>212.709272</v>
      </c>
      <c r="H290" s="353">
        <f t="shared" si="31"/>
        <v>2618.4511383200002</v>
      </c>
      <c r="I290" s="354">
        <f t="shared" si="28"/>
        <v>5.2640019483921356E-4</v>
      </c>
      <c r="J290" s="354">
        <f t="shared" si="32"/>
        <v>0.92857368351707337</v>
      </c>
      <c r="K290" s="682">
        <f>'018-21-CAPA'!$F$37</f>
        <v>4974259.4398541162</v>
      </c>
      <c r="L290" s="689">
        <f>K290-$F$772</f>
        <v>7.4505805969238281E-9</v>
      </c>
      <c r="M290" s="228"/>
      <c r="N290" s="93"/>
      <c r="P290" s="95"/>
    </row>
    <row r="291" spans="1:16" s="94" customFormat="1" ht="38.25">
      <c r="A291" s="343" t="s">
        <v>14447</v>
      </c>
      <c r="B291" s="147" t="s">
        <v>18597</v>
      </c>
      <c r="C291" s="351" t="s">
        <v>109</v>
      </c>
      <c r="D291" s="351">
        <v>48</v>
      </c>
      <c r="E291" s="351">
        <v>44.56</v>
      </c>
      <c r="F291" s="352">
        <v>0.2094</v>
      </c>
      <c r="G291" s="353">
        <f t="shared" si="30"/>
        <v>53.890864000000008</v>
      </c>
      <c r="H291" s="353">
        <f t="shared" si="31"/>
        <v>2586.7614720000001</v>
      </c>
      <c r="I291" s="354">
        <f t="shared" si="28"/>
        <v>5.2002946434090056E-4</v>
      </c>
      <c r="J291" s="354">
        <f t="shared" si="32"/>
        <v>0.9290937129814143</v>
      </c>
      <c r="K291" s="682">
        <f>'018-21-CAPA'!$F$37</f>
        <v>4974259.4398541162</v>
      </c>
      <c r="L291" s="689">
        <f>K291-$F$772</f>
        <v>7.4505805969238281E-9</v>
      </c>
      <c r="M291" s="228"/>
      <c r="N291" s="93"/>
      <c r="P291" s="95"/>
    </row>
    <row r="292" spans="1:16" s="94" customFormat="1" ht="51">
      <c r="A292" s="343" t="s">
        <v>15114</v>
      </c>
      <c r="B292" s="147" t="s">
        <v>17914</v>
      </c>
      <c r="C292" s="351" t="s">
        <v>109</v>
      </c>
      <c r="D292" s="351">
        <v>13</v>
      </c>
      <c r="E292" s="351">
        <v>164.22</v>
      </c>
      <c r="F292" s="352">
        <v>0.2094</v>
      </c>
      <c r="G292" s="353">
        <f t="shared" si="30"/>
        <v>198.60766799999999</v>
      </c>
      <c r="H292" s="353">
        <f t="shared" si="31"/>
        <v>2581.899684</v>
      </c>
      <c r="I292" s="354">
        <f t="shared" si="28"/>
        <v>5.1905207503123827E-4</v>
      </c>
      <c r="J292" s="354">
        <f t="shared" si="32"/>
        <v>0.92961276505644552</v>
      </c>
      <c r="K292" s="682">
        <f>'018-21-CAPA'!$F$37</f>
        <v>4974259.4398541162</v>
      </c>
      <c r="L292" s="689">
        <f>K292-$F$772</f>
        <v>7.4505805969238281E-9</v>
      </c>
      <c r="M292" s="228"/>
      <c r="N292" s="93"/>
      <c r="P292" s="95"/>
    </row>
    <row r="293" spans="1:16" s="94" customFormat="1" ht="51">
      <c r="A293" s="343">
        <v>89987</v>
      </c>
      <c r="B293" s="147" t="s">
        <v>2365</v>
      </c>
      <c r="C293" s="351" t="s">
        <v>109</v>
      </c>
      <c r="D293" s="351">
        <v>23</v>
      </c>
      <c r="E293" s="351" t="s">
        <v>23573</v>
      </c>
      <c r="F293" s="352">
        <v>0.2094</v>
      </c>
      <c r="G293" s="353">
        <f t="shared" si="30"/>
        <v>110.527066</v>
      </c>
      <c r="H293" s="353">
        <f t="shared" si="31"/>
        <v>2542.1225180000001</v>
      </c>
      <c r="I293" s="354">
        <f t="shared" si="28"/>
        <v>5.1105547443551893E-4</v>
      </c>
      <c r="J293" s="354">
        <f t="shared" si="32"/>
        <v>0.93012382053088105</v>
      </c>
      <c r="K293" s="682">
        <f>'018-21-CAPA'!$F$37</f>
        <v>4974259.4398541162</v>
      </c>
      <c r="L293" s="689">
        <f t="shared" ref="L293:L356" si="33">K293-$F$772</f>
        <v>7.4505805969238281E-9</v>
      </c>
      <c r="M293" s="228"/>
      <c r="N293" s="93"/>
      <c r="P293" s="95"/>
    </row>
    <row r="294" spans="1:16" s="94" customFormat="1" ht="51">
      <c r="A294" s="343">
        <v>92777</v>
      </c>
      <c r="B294" s="147" t="s">
        <v>1382</v>
      </c>
      <c r="C294" s="351" t="s">
        <v>108</v>
      </c>
      <c r="D294" s="351">
        <v>131.25</v>
      </c>
      <c r="E294" s="351" t="s">
        <v>12380</v>
      </c>
      <c r="F294" s="352">
        <v>0.2094</v>
      </c>
      <c r="G294" s="353">
        <f t="shared" si="30"/>
        <v>19.3504</v>
      </c>
      <c r="H294" s="353">
        <f t="shared" si="31"/>
        <v>2539.7400000000002</v>
      </c>
      <c r="I294" s="354">
        <f t="shared" si="28"/>
        <v>5.1057650504745058E-4</v>
      </c>
      <c r="J294" s="354">
        <f t="shared" si="32"/>
        <v>0.93063439703592854</v>
      </c>
      <c r="K294" s="682">
        <f>'018-21-CAPA'!$F$37</f>
        <v>4974259.4398541162</v>
      </c>
      <c r="L294" s="689">
        <f t="shared" si="33"/>
        <v>7.4505805969238281E-9</v>
      </c>
      <c r="M294" s="228"/>
      <c r="N294" s="93"/>
      <c r="P294" s="95"/>
    </row>
    <row r="295" spans="1:16" s="94" customFormat="1" ht="38.25">
      <c r="A295" s="343">
        <v>89705</v>
      </c>
      <c r="B295" s="147" t="s">
        <v>2080</v>
      </c>
      <c r="C295" s="351" t="s">
        <v>109</v>
      </c>
      <c r="D295" s="351">
        <v>98</v>
      </c>
      <c r="E295" s="351" t="s">
        <v>14178</v>
      </c>
      <c r="F295" s="352">
        <v>0.2094</v>
      </c>
      <c r="G295" s="353">
        <f t="shared" si="30"/>
        <v>25.76022</v>
      </c>
      <c r="H295" s="353">
        <f t="shared" si="31"/>
        <v>2524.5015600000002</v>
      </c>
      <c r="I295" s="354">
        <f t="shared" si="28"/>
        <v>5.075130460171659E-4</v>
      </c>
      <c r="J295" s="354">
        <f t="shared" si="32"/>
        <v>0.93114191008194569</v>
      </c>
      <c r="K295" s="682">
        <f>'018-21-CAPA'!$F$37</f>
        <v>4974259.4398541162</v>
      </c>
      <c r="L295" s="689">
        <f t="shared" si="33"/>
        <v>7.4505805969238281E-9</v>
      </c>
      <c r="M295" s="228"/>
      <c r="N295" s="93"/>
      <c r="P295" s="95"/>
    </row>
    <row r="296" spans="1:16" s="94" customFormat="1" ht="63.75">
      <c r="A296" s="343">
        <v>94500</v>
      </c>
      <c r="B296" s="147" t="s">
        <v>2378</v>
      </c>
      <c r="C296" s="351" t="s">
        <v>109</v>
      </c>
      <c r="D296" s="351">
        <v>6</v>
      </c>
      <c r="E296" s="351" t="s">
        <v>23583</v>
      </c>
      <c r="F296" s="352">
        <v>0.2094</v>
      </c>
      <c r="G296" s="353">
        <f t="shared" si="30"/>
        <v>420.31487600000003</v>
      </c>
      <c r="H296" s="353">
        <f t="shared" si="31"/>
        <v>2521.8892560000004</v>
      </c>
      <c r="I296" s="354">
        <f t="shared" si="28"/>
        <v>5.0698788161197426E-4</v>
      </c>
      <c r="J296" s="354">
        <f t="shared" si="32"/>
        <v>0.93164889796355765</v>
      </c>
      <c r="K296" s="682">
        <f>'018-21-CAPA'!$F$37</f>
        <v>4974259.4398541162</v>
      </c>
      <c r="L296" s="689">
        <f t="shared" si="33"/>
        <v>7.4505805969238281E-9</v>
      </c>
      <c r="M296" s="228"/>
      <c r="N296" s="93"/>
      <c r="P296" s="95"/>
    </row>
    <row r="297" spans="1:16" s="94" customFormat="1" ht="51">
      <c r="A297" s="343" t="s">
        <v>15477</v>
      </c>
      <c r="B297" s="147" t="s">
        <v>24623</v>
      </c>
      <c r="C297" s="351" t="s">
        <v>3240</v>
      </c>
      <c r="D297" s="351">
        <v>1</v>
      </c>
      <c r="E297" s="351">
        <v>2073.9899999999998</v>
      </c>
      <c r="F297" s="352">
        <v>0.2094</v>
      </c>
      <c r="G297" s="353">
        <f t="shared" si="30"/>
        <v>2508.2835059999998</v>
      </c>
      <c r="H297" s="353">
        <f t="shared" si="31"/>
        <v>2508.2835059999998</v>
      </c>
      <c r="I297" s="354">
        <f t="shared" si="28"/>
        <v>5.042526503349343E-4</v>
      </c>
      <c r="J297" s="354">
        <f t="shared" si="32"/>
        <v>0.93215315061389259</v>
      </c>
      <c r="K297" s="682">
        <f>'018-21-CAPA'!$F$37</f>
        <v>4974259.4398541162</v>
      </c>
      <c r="L297" s="689">
        <f t="shared" si="33"/>
        <v>7.4505805969238281E-9</v>
      </c>
      <c r="M297" s="228"/>
      <c r="N297" s="93"/>
      <c r="P297" s="95"/>
    </row>
    <row r="298" spans="1:16" s="94" customFormat="1" ht="63.75">
      <c r="A298" s="343">
        <v>90406</v>
      </c>
      <c r="B298" s="147" t="s">
        <v>2991</v>
      </c>
      <c r="C298" s="351" t="s">
        <v>193</v>
      </c>
      <c r="D298" s="351">
        <v>50.38</v>
      </c>
      <c r="E298" s="351" t="s">
        <v>15999</v>
      </c>
      <c r="F298" s="352">
        <v>0.2094</v>
      </c>
      <c r="G298" s="353">
        <f t="shared" si="30"/>
        <v>49.706340000000004</v>
      </c>
      <c r="H298" s="353">
        <f t="shared" si="31"/>
        <v>2504.2054092000003</v>
      </c>
      <c r="I298" s="354">
        <f t="shared" si="28"/>
        <v>5.0343281034682962E-4</v>
      </c>
      <c r="J298" s="354">
        <f t="shared" si="32"/>
        <v>0.9326565834242394</v>
      </c>
      <c r="K298" s="682">
        <f>'018-21-CAPA'!$F$37</f>
        <v>4974259.4398541162</v>
      </c>
      <c r="L298" s="689">
        <f t="shared" si="33"/>
        <v>7.4505805969238281E-9</v>
      </c>
      <c r="M298" s="228"/>
      <c r="N298" s="93"/>
      <c r="P298" s="95"/>
    </row>
    <row r="299" spans="1:16" s="94" customFormat="1" ht="38.25">
      <c r="A299" s="343" t="s">
        <v>15540</v>
      </c>
      <c r="B299" s="147" t="s">
        <v>17653</v>
      </c>
      <c r="C299" s="351" t="s">
        <v>3240</v>
      </c>
      <c r="D299" s="351">
        <v>1</v>
      </c>
      <c r="E299" s="351">
        <v>2068.15</v>
      </c>
      <c r="F299" s="352">
        <v>0.2094</v>
      </c>
      <c r="G299" s="353">
        <f t="shared" si="30"/>
        <v>2501.2206100000003</v>
      </c>
      <c r="H299" s="353">
        <f t="shared" si="31"/>
        <v>2501.2206100000003</v>
      </c>
      <c r="I299" s="354">
        <f t="shared" si="28"/>
        <v>5.0283276138756426E-4</v>
      </c>
      <c r="J299" s="354">
        <f t="shared" si="32"/>
        <v>0.93315941618562692</v>
      </c>
      <c r="K299" s="682">
        <f>'018-21-CAPA'!$F$37</f>
        <v>4974259.4398541162</v>
      </c>
      <c r="L299" s="689">
        <f t="shared" si="33"/>
        <v>7.4505805969238281E-9</v>
      </c>
      <c r="M299" s="228"/>
      <c r="N299" s="93"/>
      <c r="P299" s="95"/>
    </row>
    <row r="300" spans="1:16" s="94" customFormat="1" ht="51">
      <c r="A300" s="343">
        <v>92784</v>
      </c>
      <c r="B300" s="147" t="s">
        <v>1389</v>
      </c>
      <c r="C300" s="351" t="s">
        <v>108</v>
      </c>
      <c r="D300" s="351">
        <v>125.4</v>
      </c>
      <c r="E300" s="351" t="s">
        <v>10248</v>
      </c>
      <c r="F300" s="352">
        <v>0.2094</v>
      </c>
      <c r="G300" s="353">
        <f t="shared" si="30"/>
        <v>19.785784</v>
      </c>
      <c r="H300" s="353">
        <f t="shared" si="31"/>
        <v>2481.1373136000002</v>
      </c>
      <c r="I300" s="354">
        <f t="shared" si="28"/>
        <v>4.9879531689098428E-4</v>
      </c>
      <c r="J300" s="354">
        <f t="shared" si="32"/>
        <v>0.93365821150251793</v>
      </c>
      <c r="K300" s="682">
        <f>'018-21-CAPA'!$F$37</f>
        <v>4974259.4398541162</v>
      </c>
      <c r="L300" s="689">
        <f t="shared" si="33"/>
        <v>7.4505805969238281E-9</v>
      </c>
      <c r="M300" s="228"/>
      <c r="N300" s="93"/>
      <c r="P300" s="95"/>
    </row>
    <row r="301" spans="1:16" s="94" customFormat="1" ht="38.25">
      <c r="A301" s="343">
        <v>86901</v>
      </c>
      <c r="B301" s="147" t="s">
        <v>10698</v>
      </c>
      <c r="C301" s="351" t="s">
        <v>109</v>
      </c>
      <c r="D301" s="351">
        <v>16</v>
      </c>
      <c r="E301" s="351" t="s">
        <v>23458</v>
      </c>
      <c r="F301" s="352">
        <v>0.2094</v>
      </c>
      <c r="G301" s="353">
        <f t="shared" si="30"/>
        <v>154.77901200000002</v>
      </c>
      <c r="H301" s="353">
        <f t="shared" si="31"/>
        <v>2476.4641920000004</v>
      </c>
      <c r="I301" s="354">
        <f t="shared" si="28"/>
        <v>4.9785585612169704E-4</v>
      </c>
      <c r="J301" s="354">
        <f t="shared" si="32"/>
        <v>0.93415606735863965</v>
      </c>
      <c r="K301" s="682">
        <f>'018-21-CAPA'!$F$37</f>
        <v>4974259.4398541162</v>
      </c>
      <c r="L301" s="689">
        <f t="shared" si="33"/>
        <v>7.4505805969238281E-9</v>
      </c>
      <c r="M301" s="228"/>
      <c r="N301" s="93"/>
      <c r="P301" s="95"/>
    </row>
    <row r="302" spans="1:16" s="94" customFormat="1" ht="25.5">
      <c r="A302" s="343">
        <v>97668</v>
      </c>
      <c r="B302" s="147" t="s">
        <v>4119</v>
      </c>
      <c r="C302" s="351" t="s">
        <v>5</v>
      </c>
      <c r="D302" s="351">
        <v>176.8</v>
      </c>
      <c r="E302" s="351" t="s">
        <v>11537</v>
      </c>
      <c r="F302" s="352">
        <v>0.2094</v>
      </c>
      <c r="G302" s="353">
        <f t="shared" si="30"/>
        <v>14.004852</v>
      </c>
      <c r="H302" s="353">
        <f t="shared" si="31"/>
        <v>2476.0578335999999</v>
      </c>
      <c r="I302" s="354">
        <f t="shared" si="28"/>
        <v>4.9777416388088931E-4</v>
      </c>
      <c r="J302" s="354">
        <f t="shared" si="32"/>
        <v>0.93465384152252051</v>
      </c>
      <c r="K302" s="682">
        <f>'018-21-CAPA'!$F$37</f>
        <v>4974259.4398541162</v>
      </c>
      <c r="L302" s="689">
        <f t="shared" si="33"/>
        <v>7.4505805969238281E-9</v>
      </c>
      <c r="M302" s="228"/>
      <c r="N302" s="93"/>
      <c r="P302" s="95"/>
    </row>
    <row r="303" spans="1:16" s="94" customFormat="1">
      <c r="A303" s="343" t="s">
        <v>15440</v>
      </c>
      <c r="B303" s="147" t="s">
        <v>17444</v>
      </c>
      <c r="C303" s="351" t="s">
        <v>193</v>
      </c>
      <c r="D303" s="351">
        <v>383.25</v>
      </c>
      <c r="E303" s="351">
        <v>5.3100000000000005</v>
      </c>
      <c r="F303" s="352">
        <v>0.2094</v>
      </c>
      <c r="G303" s="353">
        <f t="shared" si="30"/>
        <v>6.421914000000001</v>
      </c>
      <c r="H303" s="353">
        <f t="shared" si="31"/>
        <v>2461.1985405000005</v>
      </c>
      <c r="I303" s="354">
        <f t="shared" si="28"/>
        <v>4.9478692662885827E-4</v>
      </c>
      <c r="J303" s="354">
        <f t="shared" si="32"/>
        <v>0.93514862844914937</v>
      </c>
      <c r="K303" s="682">
        <f>'018-21-CAPA'!$F$37</f>
        <v>4974259.4398541162</v>
      </c>
      <c r="L303" s="689">
        <f t="shared" si="33"/>
        <v>7.4505805969238281E-9</v>
      </c>
      <c r="M303" s="228"/>
      <c r="N303" s="93"/>
      <c r="P303" s="95"/>
    </row>
    <row r="304" spans="1:16" s="94" customFormat="1" ht="38.25">
      <c r="A304" s="343">
        <v>90437</v>
      </c>
      <c r="B304" s="147" t="s">
        <v>2404</v>
      </c>
      <c r="C304" s="351" t="s">
        <v>109</v>
      </c>
      <c r="D304" s="351">
        <v>64</v>
      </c>
      <c r="E304" s="351" t="s">
        <v>21466</v>
      </c>
      <c r="F304" s="352">
        <v>0.2094</v>
      </c>
      <c r="G304" s="353">
        <f t="shared" si="30"/>
        <v>38.084006000000002</v>
      </c>
      <c r="H304" s="353">
        <f t="shared" si="31"/>
        <v>2437.3763840000001</v>
      </c>
      <c r="I304" s="354">
        <f t="shared" si="28"/>
        <v>4.8999784057734768E-4</v>
      </c>
      <c r="J304" s="354">
        <f t="shared" si="32"/>
        <v>0.93563862628972672</v>
      </c>
      <c r="K304" s="682">
        <f>'018-21-CAPA'!$F$37</f>
        <v>4974259.4398541162</v>
      </c>
      <c r="L304" s="689">
        <f t="shared" si="33"/>
        <v>7.4505805969238281E-9</v>
      </c>
      <c r="M304" s="228"/>
      <c r="N304" s="93"/>
      <c r="P304" s="95"/>
    </row>
    <row r="305" spans="1:16" s="94" customFormat="1" ht="25.5">
      <c r="A305" s="343" t="s">
        <v>15417</v>
      </c>
      <c r="B305" s="147" t="s">
        <v>15418</v>
      </c>
      <c r="C305" s="351" t="s">
        <v>10</v>
      </c>
      <c r="D305" s="351">
        <v>1</v>
      </c>
      <c r="E305" s="351">
        <v>1998.6</v>
      </c>
      <c r="F305" s="352">
        <v>0.2094</v>
      </c>
      <c r="G305" s="353">
        <f t="shared" si="30"/>
        <v>2417.1068399999999</v>
      </c>
      <c r="H305" s="353">
        <f t="shared" si="31"/>
        <v>2417.1068399999999</v>
      </c>
      <c r="I305" s="354">
        <f t="shared" si="28"/>
        <v>4.8592295380373078E-4</v>
      </c>
      <c r="J305" s="354">
        <f t="shared" si="32"/>
        <v>0.9361245492435305</v>
      </c>
      <c r="K305" s="682">
        <f>'018-21-CAPA'!$F$37</f>
        <v>4974259.4398541162</v>
      </c>
      <c r="L305" s="689">
        <f t="shared" si="33"/>
        <v>7.4505805969238281E-9</v>
      </c>
      <c r="M305" s="228"/>
      <c r="N305" s="93"/>
      <c r="P305" s="95"/>
    </row>
    <row r="306" spans="1:16" s="94" customFormat="1" ht="38.25">
      <c r="A306" s="343">
        <v>97634</v>
      </c>
      <c r="B306" s="147" t="s">
        <v>3730</v>
      </c>
      <c r="C306" s="351" t="s">
        <v>193</v>
      </c>
      <c r="D306" s="351">
        <v>192.63</v>
      </c>
      <c r="E306" s="351" t="s">
        <v>10871</v>
      </c>
      <c r="F306" s="352">
        <v>0.2094</v>
      </c>
      <c r="G306" s="353">
        <f t="shared" si="30"/>
        <v>12.372162000000001</v>
      </c>
      <c r="H306" s="353">
        <f t="shared" si="31"/>
        <v>2383.2495660600002</v>
      </c>
      <c r="I306" s="354">
        <f t="shared" si="28"/>
        <v>4.7911645841494329E-4</v>
      </c>
      <c r="J306" s="354">
        <f t="shared" si="32"/>
        <v>0.93660366570194542</v>
      </c>
      <c r="K306" s="682">
        <f>'018-21-CAPA'!$F$37</f>
        <v>4974259.4398541162</v>
      </c>
      <c r="L306" s="689">
        <f t="shared" si="33"/>
        <v>7.4505805969238281E-9</v>
      </c>
      <c r="M306" s="228"/>
      <c r="N306" s="93"/>
      <c r="P306" s="95"/>
    </row>
    <row r="307" spans="1:16" s="94" customFormat="1" ht="38.25">
      <c r="A307" s="343" t="s">
        <v>17781</v>
      </c>
      <c r="B307" s="147" t="s">
        <v>17782</v>
      </c>
      <c r="C307" s="351" t="s">
        <v>3240</v>
      </c>
      <c r="D307" s="351">
        <v>1</v>
      </c>
      <c r="E307" s="351">
        <v>1912.39</v>
      </c>
      <c r="F307" s="352">
        <v>0.2094</v>
      </c>
      <c r="G307" s="353">
        <f t="shared" si="30"/>
        <v>2312.844466</v>
      </c>
      <c r="H307" s="353">
        <f t="shared" si="31"/>
        <v>2312.844466</v>
      </c>
      <c r="I307" s="354">
        <f t="shared" si="28"/>
        <v>4.6496257261318763E-4</v>
      </c>
      <c r="J307" s="354">
        <f t="shared" si="32"/>
        <v>0.93706862827455861</v>
      </c>
      <c r="K307" s="682">
        <f>'018-21-CAPA'!$F$37</f>
        <v>4974259.4398541162</v>
      </c>
      <c r="L307" s="689">
        <f t="shared" si="33"/>
        <v>7.4505805969238281E-9</v>
      </c>
      <c r="M307" s="228"/>
      <c r="N307" s="93"/>
      <c r="P307" s="95"/>
    </row>
    <row r="308" spans="1:16" s="94" customFormat="1" ht="38.25">
      <c r="A308" s="343" t="s">
        <v>15473</v>
      </c>
      <c r="B308" s="147" t="s">
        <v>24621</v>
      </c>
      <c r="C308" s="351" t="s">
        <v>3240</v>
      </c>
      <c r="D308" s="351">
        <v>1</v>
      </c>
      <c r="E308" s="351">
        <v>1879.5500000000002</v>
      </c>
      <c r="F308" s="352">
        <v>0.2094</v>
      </c>
      <c r="G308" s="353">
        <f t="shared" si="30"/>
        <v>2273.1277700000001</v>
      </c>
      <c r="H308" s="353">
        <f t="shared" si="31"/>
        <v>2273.1277700000001</v>
      </c>
      <c r="I308" s="354">
        <f t="shared" si="28"/>
        <v>4.5697812860092177E-4</v>
      </c>
      <c r="J308" s="354">
        <f t="shared" si="32"/>
        <v>0.93752560640315952</v>
      </c>
      <c r="K308" s="682">
        <f>'018-21-CAPA'!$F$37</f>
        <v>4974259.4398541162</v>
      </c>
      <c r="L308" s="689">
        <f t="shared" si="33"/>
        <v>7.4505805969238281E-9</v>
      </c>
      <c r="M308" s="228"/>
      <c r="N308" s="93"/>
      <c r="P308" s="95"/>
    </row>
    <row r="309" spans="1:16" s="94" customFormat="1" ht="25.5">
      <c r="A309" s="343">
        <v>97645</v>
      </c>
      <c r="B309" s="147" t="s">
        <v>3741</v>
      </c>
      <c r="C309" s="351" t="s">
        <v>193</v>
      </c>
      <c r="D309" s="351">
        <v>68.19</v>
      </c>
      <c r="E309" s="351" t="s">
        <v>11500</v>
      </c>
      <c r="F309" s="352">
        <v>0.2094</v>
      </c>
      <c r="G309" s="353">
        <f t="shared" si="30"/>
        <v>33.258499999999998</v>
      </c>
      <c r="H309" s="353">
        <f t="shared" si="31"/>
        <v>2267.8971149999998</v>
      </c>
      <c r="I309" s="354">
        <f t="shared" si="28"/>
        <v>4.5592658413219303E-4</v>
      </c>
      <c r="J309" s="354">
        <f t="shared" si="32"/>
        <v>0.9379815329872917</v>
      </c>
      <c r="K309" s="682">
        <f>'018-21-CAPA'!$F$37</f>
        <v>4974259.4398541162</v>
      </c>
      <c r="L309" s="689">
        <f t="shared" si="33"/>
        <v>7.4505805969238281E-9</v>
      </c>
      <c r="M309" s="228"/>
      <c r="N309" s="93"/>
      <c r="P309" s="95"/>
    </row>
    <row r="310" spans="1:16" s="94" customFormat="1" ht="51">
      <c r="A310" s="343">
        <v>91872</v>
      </c>
      <c r="B310" s="147" t="s">
        <v>266</v>
      </c>
      <c r="C310" s="351" t="s">
        <v>5</v>
      </c>
      <c r="D310" s="351">
        <v>124.4</v>
      </c>
      <c r="E310" s="351" t="s">
        <v>10539</v>
      </c>
      <c r="F310" s="352">
        <v>0.2094</v>
      </c>
      <c r="G310" s="353">
        <f t="shared" si="30"/>
        <v>17.971684</v>
      </c>
      <c r="H310" s="353">
        <f t="shared" si="31"/>
        <v>2235.6774896000002</v>
      </c>
      <c r="I310" s="354">
        <f t="shared" si="28"/>
        <v>4.4944931333649356E-4</v>
      </c>
      <c r="J310" s="354">
        <f t="shared" si="32"/>
        <v>0.93843098230062816</v>
      </c>
      <c r="K310" s="682">
        <f>'018-21-CAPA'!$F$37</f>
        <v>4974259.4398541162</v>
      </c>
      <c r="L310" s="689">
        <f t="shared" si="33"/>
        <v>7.4505805969238281E-9</v>
      </c>
      <c r="M310" s="228"/>
      <c r="N310" s="93"/>
      <c r="P310" s="95"/>
    </row>
    <row r="311" spans="1:16" s="94" customFormat="1" ht="38.25">
      <c r="A311" s="343">
        <v>89451</v>
      </c>
      <c r="B311" s="147" t="s">
        <v>246</v>
      </c>
      <c r="C311" s="351" t="s">
        <v>5</v>
      </c>
      <c r="D311" s="351">
        <v>39.020000000000003</v>
      </c>
      <c r="E311" s="351" t="s">
        <v>20112</v>
      </c>
      <c r="F311" s="352">
        <v>0.2094</v>
      </c>
      <c r="G311" s="353">
        <f t="shared" si="30"/>
        <v>57.119962000000001</v>
      </c>
      <c r="H311" s="353">
        <f t="shared" si="31"/>
        <v>2228.8209172400002</v>
      </c>
      <c r="I311" s="354">
        <f t="shared" si="28"/>
        <v>4.4807090265186689E-4</v>
      </c>
      <c r="J311" s="354">
        <f t="shared" si="32"/>
        <v>0.93887905320328002</v>
      </c>
      <c r="K311" s="682">
        <f>'018-21-CAPA'!$F$37</f>
        <v>4974259.4398541162</v>
      </c>
      <c r="L311" s="689">
        <f t="shared" si="33"/>
        <v>7.4505805969238281E-9</v>
      </c>
      <c r="M311" s="228"/>
      <c r="N311" s="93"/>
      <c r="P311" s="95"/>
    </row>
    <row r="312" spans="1:16" s="94" customFormat="1" ht="38.25">
      <c r="A312" s="343">
        <v>96971</v>
      </c>
      <c r="B312" s="147" t="s">
        <v>3460</v>
      </c>
      <c r="C312" s="351" t="s">
        <v>5</v>
      </c>
      <c r="D312" s="351">
        <v>64</v>
      </c>
      <c r="E312" s="351" t="s">
        <v>22863</v>
      </c>
      <c r="F312" s="352">
        <v>0.2094</v>
      </c>
      <c r="G312" s="353">
        <f t="shared" si="30"/>
        <v>34.637216000000002</v>
      </c>
      <c r="H312" s="353">
        <f t="shared" si="31"/>
        <v>2216.7818240000001</v>
      </c>
      <c r="I312" s="354">
        <f t="shared" si="28"/>
        <v>4.4565062413894053E-4</v>
      </c>
      <c r="J312" s="354">
        <f t="shared" si="32"/>
        <v>0.93932470382741895</v>
      </c>
      <c r="K312" s="682">
        <f>'018-21-CAPA'!$F$37</f>
        <v>4974259.4398541162</v>
      </c>
      <c r="L312" s="689">
        <f t="shared" si="33"/>
        <v>7.4505805969238281E-9</v>
      </c>
      <c r="M312" s="228"/>
      <c r="N312" s="93"/>
      <c r="P312" s="95"/>
    </row>
    <row r="313" spans="1:16" s="94" customFormat="1" ht="38.25">
      <c r="A313" s="343" t="s">
        <v>17785</v>
      </c>
      <c r="B313" s="147" t="s">
        <v>24678</v>
      </c>
      <c r="C313" s="351" t="s">
        <v>3240</v>
      </c>
      <c r="D313" s="351">
        <v>1</v>
      </c>
      <c r="E313" s="351">
        <v>1825.4</v>
      </c>
      <c r="F313" s="352">
        <v>0.2094</v>
      </c>
      <c r="G313" s="353">
        <f t="shared" si="30"/>
        <v>2207.6387600000003</v>
      </c>
      <c r="H313" s="353">
        <f t="shared" si="31"/>
        <v>2207.6387600000003</v>
      </c>
      <c r="I313" s="354">
        <f t="shared" si="28"/>
        <v>4.4381254872076969E-4</v>
      </c>
      <c r="J313" s="354">
        <f t="shared" si="32"/>
        <v>0.93976851637613967</v>
      </c>
      <c r="K313" s="682">
        <f>'018-21-CAPA'!$F$37</f>
        <v>4974259.4398541162</v>
      </c>
      <c r="L313" s="689">
        <f t="shared" si="33"/>
        <v>7.4505805969238281E-9</v>
      </c>
      <c r="M313" s="228"/>
      <c r="N313" s="93"/>
      <c r="P313" s="95"/>
    </row>
    <row r="314" spans="1:16" s="94" customFormat="1" ht="51">
      <c r="A314" s="343">
        <v>89985</v>
      </c>
      <c r="B314" s="147" t="s">
        <v>2363</v>
      </c>
      <c r="C314" s="351" t="s">
        <v>109</v>
      </c>
      <c r="D314" s="351">
        <v>21</v>
      </c>
      <c r="E314" s="351" t="s">
        <v>23572</v>
      </c>
      <c r="F314" s="352">
        <v>0.2094</v>
      </c>
      <c r="G314" s="353">
        <f t="shared" si="30"/>
        <v>105.02429600000001</v>
      </c>
      <c r="H314" s="353">
        <f t="shared" si="31"/>
        <v>2205.5102160000001</v>
      </c>
      <c r="I314" s="354">
        <f t="shared" si="28"/>
        <v>4.433846369832061E-4</v>
      </c>
      <c r="J314" s="354">
        <f t="shared" si="32"/>
        <v>0.94021190101312291</v>
      </c>
      <c r="K314" s="682">
        <f>'018-21-CAPA'!$F$37</f>
        <v>4974259.4398541162</v>
      </c>
      <c r="L314" s="689">
        <f t="shared" si="33"/>
        <v>7.4505805969238281E-9</v>
      </c>
      <c r="M314" s="228"/>
      <c r="N314" s="93"/>
      <c r="P314" s="95"/>
    </row>
    <row r="315" spans="1:16" s="94" customFormat="1" ht="51">
      <c r="A315" s="343" t="s">
        <v>15442</v>
      </c>
      <c r="B315" s="147" t="s">
        <v>15565</v>
      </c>
      <c r="C315" s="351" t="s">
        <v>5</v>
      </c>
      <c r="D315" s="351">
        <v>220</v>
      </c>
      <c r="E315" s="351">
        <v>8.2200000000000006</v>
      </c>
      <c r="F315" s="352">
        <v>0.2094</v>
      </c>
      <c r="G315" s="353">
        <f t="shared" si="30"/>
        <v>9.9412680000000009</v>
      </c>
      <c r="H315" s="353">
        <f t="shared" si="31"/>
        <v>2187.0789600000003</v>
      </c>
      <c r="I315" s="354">
        <f t="shared" si="28"/>
        <v>4.3967931034657608E-4</v>
      </c>
      <c r="J315" s="354">
        <f t="shared" si="32"/>
        <v>0.94065158032346952</v>
      </c>
      <c r="K315" s="682">
        <f>'018-21-CAPA'!$F$37</f>
        <v>4974259.4398541162</v>
      </c>
      <c r="L315" s="689">
        <f t="shared" si="33"/>
        <v>7.4505805969238281E-9</v>
      </c>
      <c r="M315" s="228"/>
      <c r="N315" s="93"/>
      <c r="P315" s="95"/>
    </row>
    <row r="316" spans="1:16" s="94" customFormat="1" ht="25.5">
      <c r="A316" s="343" t="s">
        <v>15048</v>
      </c>
      <c r="B316" s="147" t="s">
        <v>18355</v>
      </c>
      <c r="C316" s="351" t="s">
        <v>109</v>
      </c>
      <c r="D316" s="351">
        <v>1</v>
      </c>
      <c r="E316" s="351">
        <v>1789.9</v>
      </c>
      <c r="F316" s="352">
        <v>0.2094</v>
      </c>
      <c r="G316" s="353">
        <f t="shared" si="30"/>
        <v>2164.7050600000002</v>
      </c>
      <c r="H316" s="353">
        <f t="shared" si="31"/>
        <v>2164.7050600000002</v>
      </c>
      <c r="I316" s="354">
        <f t="shared" si="28"/>
        <v>4.3518137446877709E-4</v>
      </c>
      <c r="J316" s="354">
        <f t="shared" si="32"/>
        <v>0.94108676169793826</v>
      </c>
      <c r="K316" s="682">
        <f>'018-21-CAPA'!$F$37</f>
        <v>4974259.4398541162</v>
      </c>
      <c r="L316" s="689">
        <f t="shared" si="33"/>
        <v>7.4505805969238281E-9</v>
      </c>
      <c r="M316" s="228"/>
      <c r="N316" s="93"/>
      <c r="P316" s="95"/>
    </row>
    <row r="317" spans="1:16" s="94" customFormat="1" ht="51">
      <c r="A317" s="343">
        <v>96560</v>
      </c>
      <c r="B317" s="147" t="s">
        <v>10796</v>
      </c>
      <c r="C317" s="351" t="s">
        <v>193</v>
      </c>
      <c r="D317" s="351">
        <v>102.65</v>
      </c>
      <c r="E317" s="351" t="s">
        <v>10299</v>
      </c>
      <c r="F317" s="352">
        <v>0.2094</v>
      </c>
      <c r="G317" s="353">
        <f t="shared" si="30"/>
        <v>21.031466000000002</v>
      </c>
      <c r="H317" s="353">
        <f t="shared" si="31"/>
        <v>2158.8799849000002</v>
      </c>
      <c r="I317" s="354">
        <f t="shared" si="28"/>
        <v>4.3401033078470039E-4</v>
      </c>
      <c r="J317" s="354">
        <f t="shared" si="32"/>
        <v>0.94152077202872297</v>
      </c>
      <c r="K317" s="682">
        <f>'018-21-CAPA'!$F$37</f>
        <v>4974259.4398541162</v>
      </c>
      <c r="L317" s="689">
        <f t="shared" si="33"/>
        <v>7.4505805969238281E-9</v>
      </c>
      <c r="M317" s="228"/>
      <c r="N317" s="93"/>
      <c r="P317" s="95"/>
    </row>
    <row r="318" spans="1:16" s="94" customFormat="1" ht="38.25">
      <c r="A318" s="343" t="s">
        <v>15722</v>
      </c>
      <c r="B318" s="147" t="s">
        <v>24672</v>
      </c>
      <c r="C318" s="351" t="s">
        <v>3240</v>
      </c>
      <c r="D318" s="351">
        <v>1</v>
      </c>
      <c r="E318" s="351">
        <v>1774.69</v>
      </c>
      <c r="F318" s="352">
        <v>0.2094</v>
      </c>
      <c r="G318" s="353">
        <f t="shared" si="30"/>
        <v>2146.310086</v>
      </c>
      <c r="H318" s="353">
        <f t="shared" si="31"/>
        <v>2146.310086</v>
      </c>
      <c r="I318" s="354">
        <f t="shared" si="28"/>
        <v>4.3148334178221904E-4</v>
      </c>
      <c r="J318" s="354">
        <f t="shared" si="32"/>
        <v>0.9419522553705052</v>
      </c>
      <c r="K318" s="682">
        <f>'018-21-CAPA'!$F$37</f>
        <v>4974259.4398541162</v>
      </c>
      <c r="L318" s="689">
        <f t="shared" si="33"/>
        <v>7.4505805969238281E-9</v>
      </c>
      <c r="M318" s="228"/>
      <c r="N318" s="93"/>
      <c r="P318" s="95"/>
    </row>
    <row r="319" spans="1:16" s="94" customFormat="1" ht="76.5">
      <c r="A319" s="343" t="s">
        <v>15451</v>
      </c>
      <c r="B319" s="147" t="s">
        <v>24598</v>
      </c>
      <c r="C319" s="351" t="s">
        <v>3240</v>
      </c>
      <c r="D319" s="351">
        <v>1</v>
      </c>
      <c r="E319" s="351">
        <v>1762.87</v>
      </c>
      <c r="F319" s="352">
        <v>0.2094</v>
      </c>
      <c r="G319" s="353">
        <f t="shared" si="30"/>
        <v>2132.0149779999997</v>
      </c>
      <c r="H319" s="353">
        <f t="shared" si="31"/>
        <v>2132.0149779999997</v>
      </c>
      <c r="I319" s="354">
        <f t="shared" si="28"/>
        <v>4.2860952545380909E-4</v>
      </c>
      <c r="J319" s="354">
        <f t="shared" si="32"/>
        <v>0.94238086489595896</v>
      </c>
      <c r="K319" s="682">
        <f>'018-21-CAPA'!$F$37</f>
        <v>4974259.4398541162</v>
      </c>
      <c r="L319" s="689">
        <f t="shared" si="33"/>
        <v>7.4505805969238281E-9</v>
      </c>
      <c r="M319" s="228"/>
      <c r="N319" s="93"/>
      <c r="P319" s="95"/>
    </row>
    <row r="320" spans="1:16" s="94" customFormat="1" ht="76.5">
      <c r="A320" s="343" t="s">
        <v>15450</v>
      </c>
      <c r="B320" s="147" t="s">
        <v>24599</v>
      </c>
      <c r="C320" s="351" t="s">
        <v>3240</v>
      </c>
      <c r="D320" s="351">
        <v>1</v>
      </c>
      <c r="E320" s="351">
        <v>1762.87</v>
      </c>
      <c r="F320" s="352">
        <v>0.2094</v>
      </c>
      <c r="G320" s="353">
        <f t="shared" si="30"/>
        <v>2132.0149779999997</v>
      </c>
      <c r="H320" s="353">
        <f t="shared" si="31"/>
        <v>2132.0149779999997</v>
      </c>
      <c r="I320" s="354">
        <f t="shared" si="28"/>
        <v>4.2860952545380909E-4</v>
      </c>
      <c r="J320" s="354">
        <f t="shared" si="32"/>
        <v>0.94280947442141272</v>
      </c>
      <c r="K320" s="682">
        <f>'018-21-CAPA'!$F$37</f>
        <v>4974259.4398541162</v>
      </c>
      <c r="L320" s="689">
        <f t="shared" si="33"/>
        <v>7.4505805969238281E-9</v>
      </c>
      <c r="M320" s="228"/>
      <c r="N320" s="93"/>
      <c r="P320" s="95"/>
    </row>
    <row r="321" spans="1:16" s="94" customFormat="1" ht="25.5">
      <c r="A321" s="343" t="s">
        <v>16875</v>
      </c>
      <c r="B321" s="147" t="s">
        <v>18356</v>
      </c>
      <c r="C321" s="351" t="s">
        <v>109</v>
      </c>
      <c r="D321" s="351">
        <v>1</v>
      </c>
      <c r="E321" s="351">
        <v>1762.1800000000003</v>
      </c>
      <c r="F321" s="352">
        <v>0.2094</v>
      </c>
      <c r="G321" s="353">
        <f t="shared" si="30"/>
        <v>2131.1804920000004</v>
      </c>
      <c r="H321" s="353">
        <f t="shared" si="31"/>
        <v>2131.1804920000004</v>
      </c>
      <c r="I321" s="354">
        <f t="shared" si="28"/>
        <v>4.284417646021508E-4</v>
      </c>
      <c r="J321" s="354">
        <f t="shared" si="32"/>
        <v>0.94323791618601482</v>
      </c>
      <c r="K321" s="682">
        <f>'018-21-CAPA'!$F$37</f>
        <v>4974259.4398541162</v>
      </c>
      <c r="L321" s="689">
        <f t="shared" si="33"/>
        <v>7.4505805969238281E-9</v>
      </c>
      <c r="M321" s="228"/>
      <c r="N321" s="93"/>
      <c r="P321" s="95"/>
    </row>
    <row r="322" spans="1:16" s="94" customFormat="1" ht="25.5">
      <c r="A322" s="343" t="s">
        <v>15552</v>
      </c>
      <c r="B322" s="147" t="s">
        <v>17698</v>
      </c>
      <c r="C322" s="351" t="s">
        <v>3240</v>
      </c>
      <c r="D322" s="351">
        <v>20</v>
      </c>
      <c r="E322" s="351">
        <v>87.58</v>
      </c>
      <c r="F322" s="352">
        <v>0.2094</v>
      </c>
      <c r="G322" s="353">
        <f t="shared" si="30"/>
        <v>105.919252</v>
      </c>
      <c r="H322" s="353">
        <f t="shared" si="31"/>
        <v>2118.3850400000001</v>
      </c>
      <c r="I322" s="354">
        <f t="shared" si="28"/>
        <v>4.2586943154338783E-4</v>
      </c>
      <c r="J322" s="354">
        <f t="shared" si="32"/>
        <v>0.94366378561755826</v>
      </c>
      <c r="K322" s="682">
        <f>'018-21-CAPA'!$F$37</f>
        <v>4974259.4398541162</v>
      </c>
      <c r="L322" s="689">
        <f t="shared" si="33"/>
        <v>7.4505805969238281E-9</v>
      </c>
      <c r="M322" s="228"/>
      <c r="N322" s="93"/>
      <c r="P322" s="95"/>
    </row>
    <row r="323" spans="1:16" s="94" customFormat="1" ht="38.25">
      <c r="A323" s="343" t="s">
        <v>15556</v>
      </c>
      <c r="B323" s="147" t="s">
        <v>15541</v>
      </c>
      <c r="C323" s="351" t="s">
        <v>3240</v>
      </c>
      <c r="D323" s="351">
        <v>2</v>
      </c>
      <c r="E323" s="351">
        <v>874.81</v>
      </c>
      <c r="F323" s="352">
        <v>0.2094</v>
      </c>
      <c r="G323" s="353">
        <f t="shared" si="30"/>
        <v>1057.995214</v>
      </c>
      <c r="H323" s="353">
        <f t="shared" si="31"/>
        <v>2115.9904280000001</v>
      </c>
      <c r="I323" s="354">
        <f t="shared" si="28"/>
        <v>4.2538803083862881E-4</v>
      </c>
      <c r="J323" s="354">
        <f t="shared" si="32"/>
        <v>0.94408917364839684</v>
      </c>
      <c r="K323" s="682">
        <f>'018-21-CAPA'!$F$37</f>
        <v>4974259.4398541162</v>
      </c>
      <c r="L323" s="689">
        <f t="shared" si="33"/>
        <v>7.4505805969238281E-9</v>
      </c>
      <c r="M323" s="228"/>
      <c r="N323" s="93"/>
      <c r="P323" s="95"/>
    </row>
    <row r="324" spans="1:16" s="94" customFormat="1" ht="51">
      <c r="A324" s="343">
        <v>87620</v>
      </c>
      <c r="B324" s="147" t="s">
        <v>218</v>
      </c>
      <c r="C324" s="351" t="s">
        <v>193</v>
      </c>
      <c r="D324" s="351">
        <v>59.4</v>
      </c>
      <c r="E324" s="351" t="s">
        <v>24074</v>
      </c>
      <c r="F324" s="352">
        <v>0.2094</v>
      </c>
      <c r="G324" s="353">
        <f t="shared" si="30"/>
        <v>35.580548</v>
      </c>
      <c r="H324" s="353">
        <f t="shared" si="31"/>
        <v>2113.4845512000002</v>
      </c>
      <c r="I324" s="354">
        <f t="shared" si="28"/>
        <v>4.2488426202031532E-4</v>
      </c>
      <c r="J324" s="354">
        <f t="shared" si="32"/>
        <v>0.9445140579104172</v>
      </c>
      <c r="K324" s="682">
        <f>'018-21-CAPA'!$F$37</f>
        <v>4974259.4398541162</v>
      </c>
      <c r="L324" s="689">
        <f t="shared" si="33"/>
        <v>7.4505805969238281E-9</v>
      </c>
      <c r="M324" s="228"/>
      <c r="N324" s="93"/>
      <c r="P324" s="95"/>
    </row>
    <row r="325" spans="1:16" s="94" customFormat="1" ht="25.5">
      <c r="A325" s="343" t="s">
        <v>15036</v>
      </c>
      <c r="B325" s="147" t="s">
        <v>18354</v>
      </c>
      <c r="C325" s="351" t="s">
        <v>109</v>
      </c>
      <c r="D325" s="351">
        <v>1</v>
      </c>
      <c r="E325" s="351">
        <v>1734.0000000000002</v>
      </c>
      <c r="F325" s="352">
        <v>0.2094</v>
      </c>
      <c r="G325" s="353">
        <f t="shared" si="30"/>
        <v>2097.0996000000005</v>
      </c>
      <c r="H325" s="353">
        <f t="shared" si="31"/>
        <v>2097.0996000000005</v>
      </c>
      <c r="I325" s="354">
        <f t="shared" si="28"/>
        <v>4.2159031416775215E-4</v>
      </c>
      <c r="J325" s="354">
        <f t="shared" si="32"/>
        <v>0.94493564822458498</v>
      </c>
      <c r="K325" s="682">
        <f>'018-21-CAPA'!$F$37</f>
        <v>4974259.4398541162</v>
      </c>
      <c r="L325" s="689">
        <f t="shared" si="33"/>
        <v>7.4505805969238281E-9</v>
      </c>
      <c r="M325" s="228"/>
      <c r="N325" s="93"/>
      <c r="P325" s="95"/>
    </row>
    <row r="326" spans="1:16" s="94" customFormat="1" ht="25.5">
      <c r="A326" s="343" t="s">
        <v>14459</v>
      </c>
      <c r="B326" s="147" t="s">
        <v>136</v>
      </c>
      <c r="C326" s="351" t="s">
        <v>128</v>
      </c>
      <c r="D326" s="351">
        <v>330.09</v>
      </c>
      <c r="E326" s="351">
        <v>5.25</v>
      </c>
      <c r="F326" s="352">
        <v>0.2094</v>
      </c>
      <c r="G326" s="353">
        <f t="shared" si="30"/>
        <v>6.3493500000000003</v>
      </c>
      <c r="H326" s="353">
        <f t="shared" si="31"/>
        <v>2095.8569414999997</v>
      </c>
      <c r="I326" s="354">
        <f t="shared" si="28"/>
        <v>4.2134049637778233E-4</v>
      </c>
      <c r="J326" s="354">
        <f t="shared" si="32"/>
        <v>0.94535698872096274</v>
      </c>
      <c r="K326" s="682">
        <f>'018-21-CAPA'!$F$37</f>
        <v>4974259.4398541162</v>
      </c>
      <c r="L326" s="689">
        <f t="shared" si="33"/>
        <v>7.4505805969238281E-9</v>
      </c>
      <c r="M326" s="228"/>
      <c r="N326" s="93"/>
      <c r="P326" s="95"/>
    </row>
    <row r="327" spans="1:16" s="94" customFormat="1" ht="63.75">
      <c r="A327" s="343">
        <v>94686</v>
      </c>
      <c r="B327" s="147" t="s">
        <v>2271</v>
      </c>
      <c r="C327" s="351" t="s">
        <v>109</v>
      </c>
      <c r="D327" s="351">
        <v>6</v>
      </c>
      <c r="E327" s="351" t="s">
        <v>23266</v>
      </c>
      <c r="F327" s="352">
        <v>0.2094</v>
      </c>
      <c r="G327" s="353">
        <f t="shared" si="30"/>
        <v>341.02661200000006</v>
      </c>
      <c r="H327" s="353">
        <f t="shared" si="31"/>
        <v>2046.1596720000002</v>
      </c>
      <c r="I327" s="354">
        <f t="shared" si="28"/>
        <v>4.1134960826651467E-4</v>
      </c>
      <c r="J327" s="354">
        <f t="shared" si="32"/>
        <v>0.94576833832922924</v>
      </c>
      <c r="K327" s="682">
        <f>'018-21-CAPA'!$F$37</f>
        <v>4974259.4398541162</v>
      </c>
      <c r="L327" s="689">
        <f t="shared" si="33"/>
        <v>7.4505805969238281E-9</v>
      </c>
      <c r="M327" s="228"/>
      <c r="N327" s="93"/>
      <c r="P327" s="95"/>
    </row>
    <row r="328" spans="1:16" s="94" customFormat="1" ht="25.5">
      <c r="A328" s="343" t="s">
        <v>14788</v>
      </c>
      <c r="B328" s="147" t="s">
        <v>14789</v>
      </c>
      <c r="C328" s="351" t="s">
        <v>109</v>
      </c>
      <c r="D328" s="351">
        <v>2</v>
      </c>
      <c r="E328" s="351">
        <v>835.88</v>
      </c>
      <c r="F328" s="352">
        <v>0.2094</v>
      </c>
      <c r="G328" s="353">
        <f t="shared" si="30"/>
        <v>1010.913272</v>
      </c>
      <c r="H328" s="353">
        <f t="shared" si="31"/>
        <v>2021.826544</v>
      </c>
      <c r="I328" s="354">
        <f t="shared" ref="I328:I391" si="34">H328/$F$772</f>
        <v>4.064577990848219E-4</v>
      </c>
      <c r="J328" s="354">
        <f t="shared" si="32"/>
        <v>0.94617479612831401</v>
      </c>
      <c r="K328" s="682">
        <f>'018-21-CAPA'!$F$37</f>
        <v>4974259.4398541162</v>
      </c>
      <c r="L328" s="689">
        <f t="shared" si="33"/>
        <v>7.4505805969238281E-9</v>
      </c>
      <c r="M328" s="228"/>
      <c r="N328" s="93"/>
      <c r="P328" s="95"/>
    </row>
    <row r="329" spans="1:16" s="94" customFormat="1" ht="25.5">
      <c r="A329" s="343" t="s">
        <v>18272</v>
      </c>
      <c r="B329" s="147" t="s">
        <v>24536</v>
      </c>
      <c r="C329" s="351" t="s">
        <v>193</v>
      </c>
      <c r="D329" s="351">
        <v>98.7</v>
      </c>
      <c r="E329" s="351">
        <v>16.510000000000002</v>
      </c>
      <c r="F329" s="352">
        <v>0.2094</v>
      </c>
      <c r="G329" s="353">
        <f t="shared" si="30"/>
        <v>19.967194000000003</v>
      </c>
      <c r="H329" s="353">
        <f t="shared" si="31"/>
        <v>1970.7620478000003</v>
      </c>
      <c r="I329" s="354">
        <f t="shared" si="34"/>
        <v>3.9619205062167028E-4</v>
      </c>
      <c r="J329" s="354">
        <f t="shared" si="32"/>
        <v>0.9465709881789357</v>
      </c>
      <c r="K329" s="682">
        <f>'018-21-CAPA'!$F$37</f>
        <v>4974259.4398541162</v>
      </c>
      <c r="L329" s="689">
        <f t="shared" si="33"/>
        <v>7.4505805969238281E-9</v>
      </c>
      <c r="M329" s="228"/>
      <c r="N329" s="93"/>
      <c r="P329" s="95"/>
    </row>
    <row r="330" spans="1:16" s="94" customFormat="1" ht="38.25">
      <c r="A330" s="343" t="s">
        <v>15436</v>
      </c>
      <c r="B330" s="147" t="s">
        <v>17441</v>
      </c>
      <c r="C330" s="351" t="s">
        <v>3240</v>
      </c>
      <c r="D330" s="351">
        <v>2</v>
      </c>
      <c r="E330" s="351">
        <v>805.4899999999999</v>
      </c>
      <c r="F330" s="352">
        <v>0.2094</v>
      </c>
      <c r="G330" s="353">
        <f t="shared" si="30"/>
        <v>974.15960599999994</v>
      </c>
      <c r="H330" s="353">
        <f t="shared" si="31"/>
        <v>1948.3192119999999</v>
      </c>
      <c r="I330" s="354">
        <f t="shared" si="34"/>
        <v>3.9168025623873421E-4</v>
      </c>
      <c r="J330" s="354">
        <f t="shared" si="32"/>
        <v>0.9469626684351744</v>
      </c>
      <c r="K330" s="682">
        <f>'018-21-CAPA'!$F$37</f>
        <v>4974259.4398541162</v>
      </c>
      <c r="L330" s="689">
        <f t="shared" si="33"/>
        <v>7.4505805969238281E-9</v>
      </c>
      <c r="M330" s="228"/>
      <c r="N330" s="93"/>
      <c r="P330" s="95"/>
    </row>
    <row r="331" spans="1:16" s="94" customFormat="1" ht="25.5">
      <c r="A331" s="343" t="s">
        <v>14842</v>
      </c>
      <c r="B331" s="147" t="s">
        <v>18334</v>
      </c>
      <c r="C331" s="351" t="s">
        <v>109</v>
      </c>
      <c r="D331" s="351">
        <v>8</v>
      </c>
      <c r="E331" s="351">
        <v>201.33</v>
      </c>
      <c r="F331" s="352">
        <v>0.2094</v>
      </c>
      <c r="G331" s="353">
        <f t="shared" ref="G331:G394" si="35">(E331*(1+F331))</f>
        <v>243.48850200000001</v>
      </c>
      <c r="H331" s="353">
        <f t="shared" ref="H331:H394" si="36">G331*D331</f>
        <v>1947.9080160000001</v>
      </c>
      <c r="I331" s="354">
        <f t="shared" si="34"/>
        <v>3.9159759147125038E-4</v>
      </c>
      <c r="J331" s="354">
        <f t="shared" si="32"/>
        <v>0.94735426602664563</v>
      </c>
      <c r="K331" s="682">
        <f>'018-21-CAPA'!$F$37</f>
        <v>4974259.4398541162</v>
      </c>
      <c r="L331" s="689">
        <f t="shared" si="33"/>
        <v>7.4505805969238281E-9</v>
      </c>
      <c r="M331" s="228"/>
      <c r="N331" s="93"/>
      <c r="P331" s="95"/>
    </row>
    <row r="332" spans="1:16" s="94" customFormat="1" ht="51">
      <c r="A332" s="343" t="s">
        <v>24694</v>
      </c>
      <c r="B332" s="147" t="s">
        <v>17467</v>
      </c>
      <c r="C332" s="351" t="s">
        <v>3240</v>
      </c>
      <c r="D332" s="351">
        <v>2</v>
      </c>
      <c r="E332" s="351">
        <v>801.59999999999991</v>
      </c>
      <c r="F332" s="352">
        <v>0.2094</v>
      </c>
      <c r="G332" s="353">
        <f t="shared" si="35"/>
        <v>969.45503999999994</v>
      </c>
      <c r="H332" s="353">
        <f t="shared" si="36"/>
        <v>1938.9100799999999</v>
      </c>
      <c r="I332" s="354">
        <f t="shared" si="34"/>
        <v>3.8978869185336796E-4</v>
      </c>
      <c r="J332" s="354">
        <f t="shared" si="32"/>
        <v>0.94774405471849898</v>
      </c>
      <c r="K332" s="682">
        <f>'018-21-CAPA'!$F$37</f>
        <v>4974259.4398541162</v>
      </c>
      <c r="L332" s="689">
        <f t="shared" si="33"/>
        <v>7.4505805969238281E-9</v>
      </c>
      <c r="M332" s="228"/>
      <c r="N332" s="93"/>
      <c r="P332" s="95"/>
    </row>
    <row r="333" spans="1:16" s="94" customFormat="1" ht="38.25">
      <c r="A333" s="343">
        <v>100875</v>
      </c>
      <c r="B333" s="147" t="s">
        <v>10776</v>
      </c>
      <c r="C333" s="351" t="s">
        <v>109</v>
      </c>
      <c r="D333" s="351">
        <v>2</v>
      </c>
      <c r="E333" s="351" t="s">
        <v>23513</v>
      </c>
      <c r="F333" s="352">
        <v>0.2094</v>
      </c>
      <c r="G333" s="353">
        <f t="shared" si="35"/>
        <v>966.9153</v>
      </c>
      <c r="H333" s="353">
        <f t="shared" si="36"/>
        <v>1933.8306</v>
      </c>
      <c r="I333" s="354">
        <f t="shared" si="34"/>
        <v>3.887675388432731E-4</v>
      </c>
      <c r="J333" s="354">
        <f t="shared" ref="J333:J396" si="37">I333+J332</f>
        <v>0.9481328222573423</v>
      </c>
      <c r="K333" s="682">
        <f>'018-21-CAPA'!$F$37</f>
        <v>4974259.4398541162</v>
      </c>
      <c r="L333" s="689">
        <f t="shared" si="33"/>
        <v>7.4505805969238281E-9</v>
      </c>
      <c r="M333" s="228"/>
      <c r="N333" s="93"/>
      <c r="P333" s="95"/>
    </row>
    <row r="334" spans="1:16" s="94" customFormat="1" ht="51">
      <c r="A334" s="343" t="s">
        <v>8986</v>
      </c>
      <c r="B334" s="147" t="s">
        <v>18723</v>
      </c>
      <c r="C334" s="351" t="s">
        <v>3241</v>
      </c>
      <c r="D334" s="351">
        <v>3.86</v>
      </c>
      <c r="E334" s="351">
        <v>408.62</v>
      </c>
      <c r="F334" s="352">
        <v>0.2094</v>
      </c>
      <c r="G334" s="353">
        <f t="shared" si="35"/>
        <v>494.18502800000005</v>
      </c>
      <c r="H334" s="353">
        <f t="shared" si="36"/>
        <v>1907.5542080800001</v>
      </c>
      <c r="I334" s="354">
        <f t="shared" si="34"/>
        <v>3.8348506569571837E-4</v>
      </c>
      <c r="J334" s="354">
        <f t="shared" si="37"/>
        <v>0.94851630732303804</v>
      </c>
      <c r="K334" s="682">
        <f>'018-21-CAPA'!$F$37</f>
        <v>4974259.4398541162</v>
      </c>
      <c r="L334" s="689">
        <f t="shared" si="33"/>
        <v>7.4505805969238281E-9</v>
      </c>
      <c r="M334" s="228"/>
      <c r="N334" s="93"/>
      <c r="P334" s="95"/>
    </row>
    <row r="335" spans="1:16" s="94" customFormat="1" ht="38.25">
      <c r="A335" s="343" t="s">
        <v>15537</v>
      </c>
      <c r="B335" s="147" t="s">
        <v>17624</v>
      </c>
      <c r="C335" s="351" t="s">
        <v>3240</v>
      </c>
      <c r="D335" s="351">
        <v>4</v>
      </c>
      <c r="E335" s="351">
        <v>393.7</v>
      </c>
      <c r="F335" s="352">
        <v>0.2094</v>
      </c>
      <c r="G335" s="353">
        <f t="shared" si="35"/>
        <v>476.14078000000001</v>
      </c>
      <c r="H335" s="353">
        <f t="shared" si="36"/>
        <v>1904.56312</v>
      </c>
      <c r="I335" s="354">
        <f t="shared" si="34"/>
        <v>3.8288375245177389E-4</v>
      </c>
      <c r="J335" s="354">
        <f t="shared" si="37"/>
        <v>0.94889919107548981</v>
      </c>
      <c r="K335" s="682">
        <f>'018-21-CAPA'!$F$37</f>
        <v>4974259.4398541162</v>
      </c>
      <c r="L335" s="689">
        <f t="shared" si="33"/>
        <v>7.4505805969238281E-9</v>
      </c>
      <c r="M335" s="228"/>
      <c r="N335" s="93"/>
      <c r="P335" s="95"/>
    </row>
    <row r="336" spans="1:16" s="94" customFormat="1" ht="38.25">
      <c r="A336" s="343" t="s">
        <v>15471</v>
      </c>
      <c r="B336" s="147" t="s">
        <v>24619</v>
      </c>
      <c r="C336" s="351" t="s">
        <v>3240</v>
      </c>
      <c r="D336" s="351">
        <v>1</v>
      </c>
      <c r="E336" s="351">
        <v>1555.48</v>
      </c>
      <c r="F336" s="352">
        <v>0.2094</v>
      </c>
      <c r="G336" s="353">
        <f t="shared" si="35"/>
        <v>1881.197512</v>
      </c>
      <c r="H336" s="353">
        <f t="shared" si="36"/>
        <v>1881.197512</v>
      </c>
      <c r="I336" s="354">
        <f t="shared" si="34"/>
        <v>3.7818644860533731E-4</v>
      </c>
      <c r="J336" s="354">
        <f t="shared" si="37"/>
        <v>0.94927737752409513</v>
      </c>
      <c r="K336" s="682">
        <f>'018-21-CAPA'!$F$37</f>
        <v>4974259.4398541162</v>
      </c>
      <c r="L336" s="689">
        <f t="shared" si="33"/>
        <v>7.4505805969238281E-9</v>
      </c>
      <c r="M336" s="228"/>
      <c r="N336" s="93"/>
      <c r="P336" s="95"/>
    </row>
    <row r="337" spans="1:16" s="94" customFormat="1" ht="38.25">
      <c r="A337" s="343" t="s">
        <v>15467</v>
      </c>
      <c r="B337" s="147" t="s">
        <v>24616</v>
      </c>
      <c r="C337" s="351" t="s">
        <v>3240</v>
      </c>
      <c r="D337" s="351">
        <v>2</v>
      </c>
      <c r="E337" s="351">
        <v>777.73000000000013</v>
      </c>
      <c r="F337" s="352">
        <v>0.2094</v>
      </c>
      <c r="G337" s="353">
        <f t="shared" si="35"/>
        <v>940.58666200000016</v>
      </c>
      <c r="H337" s="353">
        <f t="shared" si="36"/>
        <v>1881.1733240000003</v>
      </c>
      <c r="I337" s="354">
        <f t="shared" si="34"/>
        <v>3.7818158597195602E-4</v>
      </c>
      <c r="J337" s="354">
        <f t="shared" si="37"/>
        <v>0.94965555911006705</v>
      </c>
      <c r="K337" s="682">
        <f>'018-21-CAPA'!$F$37</f>
        <v>4974259.4398541162</v>
      </c>
      <c r="L337" s="689">
        <f t="shared" si="33"/>
        <v>7.4505805969238281E-9</v>
      </c>
      <c r="M337" s="228"/>
      <c r="N337" s="93"/>
      <c r="P337" s="95"/>
    </row>
    <row r="338" spans="1:16" s="94" customFormat="1" ht="25.5">
      <c r="A338" s="343">
        <v>96402</v>
      </c>
      <c r="B338" s="147" t="s">
        <v>9288</v>
      </c>
      <c r="C338" s="351" t="s">
        <v>193</v>
      </c>
      <c r="D338" s="351">
        <v>756.7</v>
      </c>
      <c r="E338" s="351" t="s">
        <v>9949</v>
      </c>
      <c r="F338" s="352">
        <v>0.2094</v>
      </c>
      <c r="G338" s="353">
        <f t="shared" si="35"/>
        <v>2.4308939999999999</v>
      </c>
      <c r="H338" s="353">
        <f t="shared" si="36"/>
        <v>1839.4574898000001</v>
      </c>
      <c r="I338" s="354">
        <f t="shared" si="34"/>
        <v>3.6979524531071702E-4</v>
      </c>
      <c r="J338" s="354">
        <f t="shared" si="37"/>
        <v>0.95002535435537772</v>
      </c>
      <c r="K338" s="682">
        <f>'018-21-CAPA'!$F$37</f>
        <v>4974259.4398541162</v>
      </c>
      <c r="L338" s="689">
        <f t="shared" si="33"/>
        <v>7.4505805969238281E-9</v>
      </c>
      <c r="M338" s="228"/>
      <c r="N338" s="93"/>
      <c r="P338" s="95"/>
    </row>
    <row r="339" spans="1:16" s="94" customFormat="1" ht="51">
      <c r="A339" s="343">
        <v>90467</v>
      </c>
      <c r="B339" s="147" t="s">
        <v>133</v>
      </c>
      <c r="C339" s="351" t="s">
        <v>5</v>
      </c>
      <c r="D339" s="351">
        <v>81.760000000000005</v>
      </c>
      <c r="E339" s="351" t="s">
        <v>23632</v>
      </c>
      <c r="F339" s="352">
        <v>0.2094</v>
      </c>
      <c r="G339" s="353">
        <f t="shared" si="35"/>
        <v>22.228771999999999</v>
      </c>
      <c r="H339" s="353">
        <f t="shared" si="36"/>
        <v>1817.42439872</v>
      </c>
      <c r="I339" s="354">
        <f t="shared" si="34"/>
        <v>3.6536582393726204E-4</v>
      </c>
      <c r="J339" s="354">
        <f t="shared" si="37"/>
        <v>0.95039072017931503</v>
      </c>
      <c r="K339" s="682">
        <f>'018-21-CAPA'!$F$37</f>
        <v>4974259.4398541162</v>
      </c>
      <c r="L339" s="689">
        <f t="shared" si="33"/>
        <v>7.4505805969238281E-9</v>
      </c>
      <c r="M339" s="228"/>
      <c r="N339" s="93"/>
      <c r="P339" s="95"/>
    </row>
    <row r="340" spans="1:16" s="94" customFormat="1" ht="38.25">
      <c r="A340" s="343" t="s">
        <v>15557</v>
      </c>
      <c r="B340" s="147" t="s">
        <v>24664</v>
      </c>
      <c r="C340" s="351" t="s">
        <v>3240</v>
      </c>
      <c r="D340" s="351">
        <v>1</v>
      </c>
      <c r="E340" s="351">
        <v>1502.15</v>
      </c>
      <c r="F340" s="352">
        <v>0.2094</v>
      </c>
      <c r="G340" s="353">
        <f t="shared" si="35"/>
        <v>1816.7002100000002</v>
      </c>
      <c r="H340" s="353">
        <f t="shared" si="36"/>
        <v>1816.7002100000002</v>
      </c>
      <c r="I340" s="354">
        <f t="shared" si="34"/>
        <v>3.6522023669382283E-4</v>
      </c>
      <c r="J340" s="354">
        <f t="shared" si="37"/>
        <v>0.95075594041600886</v>
      </c>
      <c r="K340" s="682">
        <f>'018-21-CAPA'!$F$37</f>
        <v>4974259.4398541162</v>
      </c>
      <c r="L340" s="689">
        <f t="shared" si="33"/>
        <v>7.4505805969238281E-9</v>
      </c>
      <c r="M340" s="228"/>
      <c r="N340" s="93"/>
      <c r="P340" s="95"/>
    </row>
    <row r="341" spans="1:16" s="94" customFormat="1" ht="25.5">
      <c r="A341" s="343" t="s">
        <v>15309</v>
      </c>
      <c r="B341" s="147" t="s">
        <v>17489</v>
      </c>
      <c r="C341" s="351" t="s">
        <v>109</v>
      </c>
      <c r="D341" s="351">
        <v>54</v>
      </c>
      <c r="E341" s="351">
        <v>27.79</v>
      </c>
      <c r="F341" s="352">
        <v>0.2094</v>
      </c>
      <c r="G341" s="353">
        <f t="shared" si="35"/>
        <v>33.609226</v>
      </c>
      <c r="H341" s="353">
        <f t="shared" si="36"/>
        <v>1814.8982040000001</v>
      </c>
      <c r="I341" s="354">
        <f t="shared" si="34"/>
        <v>3.6485797050690819E-4</v>
      </c>
      <c r="J341" s="354">
        <f t="shared" si="37"/>
        <v>0.95112079838651575</v>
      </c>
      <c r="K341" s="682">
        <f>'018-21-CAPA'!$F$37</f>
        <v>4974259.4398541162</v>
      </c>
      <c r="L341" s="689">
        <f t="shared" si="33"/>
        <v>7.4505805969238281E-9</v>
      </c>
      <c r="M341" s="228"/>
      <c r="N341" s="93"/>
      <c r="P341" s="95"/>
    </row>
    <row r="342" spans="1:16" s="94" customFormat="1" ht="38.25">
      <c r="A342" s="343">
        <v>89723</v>
      </c>
      <c r="B342" s="147" t="s">
        <v>2086</v>
      </c>
      <c r="C342" s="351" t="s">
        <v>109</v>
      </c>
      <c r="D342" s="351">
        <v>100</v>
      </c>
      <c r="E342" s="351" t="s">
        <v>10311</v>
      </c>
      <c r="F342" s="352">
        <v>0.2094</v>
      </c>
      <c r="G342" s="353">
        <f t="shared" si="35"/>
        <v>18.092624000000001</v>
      </c>
      <c r="H342" s="353">
        <f t="shared" si="36"/>
        <v>1809.2624000000001</v>
      </c>
      <c r="I342" s="354">
        <f t="shared" si="34"/>
        <v>3.6372497692904098E-4</v>
      </c>
      <c r="J342" s="354">
        <f t="shared" si="37"/>
        <v>0.9514845233634448</v>
      </c>
      <c r="K342" s="682">
        <f>'018-21-CAPA'!$F$37</f>
        <v>4974259.4398541162</v>
      </c>
      <c r="L342" s="689">
        <f t="shared" si="33"/>
        <v>7.4505805969238281E-9</v>
      </c>
      <c r="M342" s="228"/>
      <c r="N342" s="93"/>
      <c r="P342" s="95"/>
    </row>
    <row r="343" spans="1:16" s="94" customFormat="1" ht="25.5">
      <c r="A343" s="343" t="s">
        <v>18724</v>
      </c>
      <c r="B343" s="147" t="s">
        <v>18741</v>
      </c>
      <c r="C343" s="351" t="s">
        <v>5</v>
      </c>
      <c r="D343" s="351">
        <v>12.6</v>
      </c>
      <c r="E343" s="351">
        <v>118.57</v>
      </c>
      <c r="F343" s="352">
        <v>0.2094</v>
      </c>
      <c r="G343" s="353">
        <f t="shared" si="35"/>
        <v>143.39855800000001</v>
      </c>
      <c r="H343" s="353">
        <f t="shared" si="36"/>
        <v>1806.8218308</v>
      </c>
      <c r="I343" s="354">
        <f t="shared" si="34"/>
        <v>3.6323433722085729E-4</v>
      </c>
      <c r="J343" s="354">
        <f t="shared" si="37"/>
        <v>0.95184775770066565</v>
      </c>
      <c r="K343" s="682">
        <f>'018-21-CAPA'!$F$37</f>
        <v>4974259.4398541162</v>
      </c>
      <c r="L343" s="689">
        <f t="shared" si="33"/>
        <v>7.4505805969238281E-9</v>
      </c>
      <c r="M343" s="228"/>
      <c r="N343" s="93"/>
      <c r="P343" s="95"/>
    </row>
    <row r="344" spans="1:16" s="94" customFormat="1" ht="76.5">
      <c r="A344" s="343" t="s">
        <v>15448</v>
      </c>
      <c r="B344" s="147" t="s">
        <v>24591</v>
      </c>
      <c r="C344" s="351" t="s">
        <v>3240</v>
      </c>
      <c r="D344" s="351">
        <v>1</v>
      </c>
      <c r="E344" s="351">
        <v>1492.15</v>
      </c>
      <c r="F344" s="352">
        <v>0.2094</v>
      </c>
      <c r="G344" s="353">
        <f t="shared" si="35"/>
        <v>1804.6062100000001</v>
      </c>
      <c r="H344" s="353">
        <f t="shared" si="36"/>
        <v>1804.6062100000001</v>
      </c>
      <c r="I344" s="354">
        <f t="shared" si="34"/>
        <v>3.6278892000312068E-4</v>
      </c>
      <c r="J344" s="354">
        <f t="shared" si="37"/>
        <v>0.95221054662066873</v>
      </c>
      <c r="K344" s="682">
        <f>'018-21-CAPA'!$F$37</f>
        <v>4974259.4398541162</v>
      </c>
      <c r="L344" s="689">
        <f t="shared" si="33"/>
        <v>7.4505805969238281E-9</v>
      </c>
      <c r="M344" s="228"/>
      <c r="N344" s="93"/>
      <c r="P344" s="95"/>
    </row>
    <row r="345" spans="1:16" s="94" customFormat="1" ht="51">
      <c r="A345" s="343" t="s">
        <v>15485</v>
      </c>
      <c r="B345" s="147" t="s">
        <v>24643</v>
      </c>
      <c r="C345" s="351" t="s">
        <v>3240</v>
      </c>
      <c r="D345" s="351">
        <v>2</v>
      </c>
      <c r="E345" s="351">
        <v>743.8</v>
      </c>
      <c r="F345" s="352">
        <v>0.2094</v>
      </c>
      <c r="G345" s="353">
        <f t="shared" si="35"/>
        <v>899.55171999999993</v>
      </c>
      <c r="H345" s="353">
        <f t="shared" si="36"/>
        <v>1799.1034399999999</v>
      </c>
      <c r="I345" s="354">
        <f t="shared" si="34"/>
        <v>3.6168267090885115E-4</v>
      </c>
      <c r="J345" s="354">
        <f t="shared" si="37"/>
        <v>0.95257222929157759</v>
      </c>
      <c r="K345" s="682">
        <f>'018-21-CAPA'!$F$37</f>
        <v>4974259.4398541162</v>
      </c>
      <c r="L345" s="689">
        <f t="shared" si="33"/>
        <v>7.4505805969238281E-9</v>
      </c>
      <c r="M345" s="228"/>
      <c r="N345" s="93"/>
      <c r="P345" s="95"/>
    </row>
    <row r="346" spans="1:16" s="94" customFormat="1" ht="51">
      <c r="A346" s="343" t="s">
        <v>18542</v>
      </c>
      <c r="B346" s="147" t="s">
        <v>18544</v>
      </c>
      <c r="C346" s="351" t="s">
        <v>3240</v>
      </c>
      <c r="D346" s="351">
        <v>1</v>
      </c>
      <c r="E346" s="351">
        <v>1479.7800000000002</v>
      </c>
      <c r="F346" s="352">
        <v>0.2094</v>
      </c>
      <c r="G346" s="353">
        <f t="shared" si="35"/>
        <v>1789.6459320000004</v>
      </c>
      <c r="H346" s="353">
        <f t="shared" si="36"/>
        <v>1789.6459320000004</v>
      </c>
      <c r="I346" s="354">
        <f t="shared" si="34"/>
        <v>3.5978138125672215E-4</v>
      </c>
      <c r="J346" s="354">
        <f t="shared" si="37"/>
        <v>0.95293201067283428</v>
      </c>
      <c r="K346" s="682">
        <f>'018-21-CAPA'!$F$37</f>
        <v>4974259.4398541162</v>
      </c>
      <c r="L346" s="689">
        <f t="shared" si="33"/>
        <v>7.4505805969238281E-9</v>
      </c>
      <c r="M346" s="228"/>
      <c r="N346" s="93"/>
      <c r="P346" s="95"/>
    </row>
    <row r="347" spans="1:16" s="94" customFormat="1" ht="38.25">
      <c r="A347" s="343">
        <v>86872</v>
      </c>
      <c r="B347" s="147" t="s">
        <v>10675</v>
      </c>
      <c r="C347" s="351" t="s">
        <v>109</v>
      </c>
      <c r="D347" s="351">
        <v>2</v>
      </c>
      <c r="E347" s="351" t="s">
        <v>23444</v>
      </c>
      <c r="F347" s="352">
        <v>0.2094</v>
      </c>
      <c r="G347" s="353">
        <f t="shared" si="35"/>
        <v>891.55758600000013</v>
      </c>
      <c r="H347" s="353">
        <f t="shared" si="36"/>
        <v>1783.1151720000003</v>
      </c>
      <c r="I347" s="354">
        <f t="shared" si="34"/>
        <v>3.58468470243743E-4</v>
      </c>
      <c r="J347" s="354">
        <f t="shared" si="37"/>
        <v>0.95329047914307807</v>
      </c>
      <c r="K347" s="682">
        <f>'018-21-CAPA'!$F$37</f>
        <v>4974259.4398541162</v>
      </c>
      <c r="L347" s="689">
        <f t="shared" si="33"/>
        <v>7.4505805969238281E-9</v>
      </c>
      <c r="M347" s="228"/>
      <c r="N347" s="93"/>
      <c r="P347" s="95"/>
    </row>
    <row r="348" spans="1:16" s="94" customFormat="1" ht="51">
      <c r="A348" s="343" t="s">
        <v>17871</v>
      </c>
      <c r="B348" s="147" t="s">
        <v>24761</v>
      </c>
      <c r="C348" s="351" t="s">
        <v>3244</v>
      </c>
      <c r="D348" s="351">
        <v>128</v>
      </c>
      <c r="E348" s="351">
        <v>11.48</v>
      </c>
      <c r="F348" s="352">
        <v>0.2094</v>
      </c>
      <c r="G348" s="353">
        <f t="shared" si="35"/>
        <v>13.883912</v>
      </c>
      <c r="H348" s="353">
        <f t="shared" si="36"/>
        <v>1777.1407360000001</v>
      </c>
      <c r="I348" s="354">
        <f t="shared" si="34"/>
        <v>3.5726739979853611E-4</v>
      </c>
      <c r="J348" s="354">
        <f t="shared" si="37"/>
        <v>0.95364774654287665</v>
      </c>
      <c r="K348" s="682">
        <f>'018-21-CAPA'!$F$37</f>
        <v>4974259.4398541162</v>
      </c>
      <c r="L348" s="689">
        <f t="shared" si="33"/>
        <v>7.4505805969238281E-9</v>
      </c>
      <c r="M348" s="228"/>
      <c r="N348" s="93"/>
      <c r="P348" s="95"/>
    </row>
    <row r="349" spans="1:16" s="94" customFormat="1" ht="63.75">
      <c r="A349" s="343">
        <v>95249</v>
      </c>
      <c r="B349" s="147" t="s">
        <v>2384</v>
      </c>
      <c r="C349" s="351" t="s">
        <v>109</v>
      </c>
      <c r="D349" s="351">
        <v>17</v>
      </c>
      <c r="E349" s="351" t="s">
        <v>16346</v>
      </c>
      <c r="F349" s="352">
        <v>0.2094</v>
      </c>
      <c r="G349" s="353">
        <f t="shared" si="35"/>
        <v>104.201904</v>
      </c>
      <c r="H349" s="353">
        <f t="shared" si="36"/>
        <v>1771.432368</v>
      </c>
      <c r="I349" s="354">
        <f t="shared" si="34"/>
        <v>3.5611981832052469E-4</v>
      </c>
      <c r="J349" s="354">
        <f t="shared" si="37"/>
        <v>0.95400386636119716</v>
      </c>
      <c r="K349" s="682">
        <f>'018-21-CAPA'!$F$37</f>
        <v>4974259.4398541162</v>
      </c>
      <c r="L349" s="689">
        <f t="shared" si="33"/>
        <v>7.4505805969238281E-9</v>
      </c>
      <c r="M349" s="228"/>
      <c r="N349" s="93"/>
      <c r="P349" s="95"/>
    </row>
    <row r="350" spans="1:16" s="94" customFormat="1" ht="51">
      <c r="A350" s="343">
        <v>92644</v>
      </c>
      <c r="B350" s="147" t="s">
        <v>13316</v>
      </c>
      <c r="C350" s="351" t="s">
        <v>109</v>
      </c>
      <c r="D350" s="351">
        <v>8</v>
      </c>
      <c r="E350" s="351" t="s">
        <v>23168</v>
      </c>
      <c r="F350" s="352">
        <v>0.2094</v>
      </c>
      <c r="G350" s="353">
        <f t="shared" si="35"/>
        <v>220.36477400000001</v>
      </c>
      <c r="H350" s="353">
        <f t="shared" si="36"/>
        <v>1762.9181920000001</v>
      </c>
      <c r="I350" s="354">
        <f t="shared" si="34"/>
        <v>3.5440817137027036E-4</v>
      </c>
      <c r="J350" s="354">
        <f t="shared" si="37"/>
        <v>0.95435827453256739</v>
      </c>
      <c r="K350" s="682">
        <f>'018-21-CAPA'!$F$37</f>
        <v>4974259.4398541162</v>
      </c>
      <c r="L350" s="689">
        <f t="shared" si="33"/>
        <v>7.4505805969238281E-9</v>
      </c>
      <c r="M350" s="228"/>
      <c r="N350" s="93"/>
      <c r="P350" s="95"/>
    </row>
    <row r="351" spans="1:16" s="94" customFormat="1" ht="38.25">
      <c r="A351" s="343" t="s">
        <v>9013</v>
      </c>
      <c r="B351" s="147" t="s">
        <v>16965</v>
      </c>
      <c r="C351" s="351" t="s">
        <v>109</v>
      </c>
      <c r="D351" s="351">
        <v>1</v>
      </c>
      <c r="E351" s="351">
        <v>1435.95</v>
      </c>
      <c r="F351" s="352">
        <v>0.2094</v>
      </c>
      <c r="G351" s="353">
        <f t="shared" si="35"/>
        <v>1736.6379300000001</v>
      </c>
      <c r="H351" s="353">
        <f t="shared" si="36"/>
        <v>1736.6379300000001</v>
      </c>
      <c r="I351" s="354">
        <f t="shared" si="34"/>
        <v>3.491249202013746E-4</v>
      </c>
      <c r="J351" s="354">
        <f t="shared" si="37"/>
        <v>0.95470739945276872</v>
      </c>
      <c r="K351" s="682">
        <f>'018-21-CAPA'!$F$37</f>
        <v>4974259.4398541162</v>
      </c>
      <c r="L351" s="689">
        <f t="shared" si="33"/>
        <v>7.4505805969238281E-9</v>
      </c>
      <c r="M351" s="228"/>
      <c r="N351" s="93"/>
      <c r="P351" s="95"/>
    </row>
    <row r="352" spans="1:16" s="94" customFormat="1" ht="38.25">
      <c r="A352" s="343" t="s">
        <v>15449</v>
      </c>
      <c r="B352" s="147" t="s">
        <v>24607</v>
      </c>
      <c r="C352" s="351" t="s">
        <v>3240</v>
      </c>
      <c r="D352" s="351">
        <v>2</v>
      </c>
      <c r="E352" s="351">
        <v>715.98</v>
      </c>
      <c r="F352" s="352">
        <v>0.2094</v>
      </c>
      <c r="G352" s="353">
        <f t="shared" si="35"/>
        <v>865.9062120000001</v>
      </c>
      <c r="H352" s="353">
        <f t="shared" si="36"/>
        <v>1731.8124240000002</v>
      </c>
      <c r="I352" s="354">
        <f t="shared" si="34"/>
        <v>3.4815482484178449E-4</v>
      </c>
      <c r="J352" s="354">
        <f t="shared" si="37"/>
        <v>0.95505555427761046</v>
      </c>
      <c r="K352" s="682">
        <f>'018-21-CAPA'!$F$37</f>
        <v>4974259.4398541162</v>
      </c>
      <c r="L352" s="689">
        <f t="shared" si="33"/>
        <v>7.4505805969238281E-9</v>
      </c>
      <c r="M352" s="228"/>
      <c r="N352" s="93"/>
      <c r="P352" s="95"/>
    </row>
    <row r="353" spans="1:16" s="94" customFormat="1" ht="51">
      <c r="A353" s="343" t="s">
        <v>17860</v>
      </c>
      <c r="B353" s="147" t="s">
        <v>24498</v>
      </c>
      <c r="C353" s="351" t="s">
        <v>3244</v>
      </c>
      <c r="D353" s="351">
        <v>104.2</v>
      </c>
      <c r="E353" s="351">
        <v>13.68</v>
      </c>
      <c r="F353" s="352">
        <v>0.2094</v>
      </c>
      <c r="G353" s="353">
        <f t="shared" si="35"/>
        <v>16.544592000000002</v>
      </c>
      <c r="H353" s="353">
        <f t="shared" si="36"/>
        <v>1723.9464864000001</v>
      </c>
      <c r="I353" s="354">
        <f t="shared" si="34"/>
        <v>3.465734964661518E-4</v>
      </c>
      <c r="J353" s="354">
        <f t="shared" si="37"/>
        <v>0.95540212777407663</v>
      </c>
      <c r="K353" s="682">
        <f>'018-21-CAPA'!$F$37</f>
        <v>4974259.4398541162</v>
      </c>
      <c r="L353" s="689">
        <f t="shared" si="33"/>
        <v>7.4505805969238281E-9</v>
      </c>
      <c r="M353" s="228"/>
      <c r="N353" s="93"/>
      <c r="P353" s="95"/>
    </row>
    <row r="354" spans="1:16" s="94" customFormat="1" ht="51">
      <c r="A354" s="343">
        <v>95795</v>
      </c>
      <c r="B354" s="147" t="s">
        <v>269</v>
      </c>
      <c r="C354" s="351" t="s">
        <v>109</v>
      </c>
      <c r="D354" s="351">
        <v>54</v>
      </c>
      <c r="E354" s="351" t="s">
        <v>22605</v>
      </c>
      <c r="F354" s="352">
        <v>0.2094</v>
      </c>
      <c r="G354" s="353">
        <f t="shared" si="35"/>
        <v>31.831408</v>
      </c>
      <c r="H354" s="353">
        <f t="shared" si="36"/>
        <v>1718.8960319999999</v>
      </c>
      <c r="I354" s="354">
        <f t="shared" si="34"/>
        <v>3.4555817861611451E-4</v>
      </c>
      <c r="J354" s="354">
        <f t="shared" si="37"/>
        <v>0.95574768595269277</v>
      </c>
      <c r="K354" s="682">
        <f>'018-21-CAPA'!$F$37</f>
        <v>4974259.4398541162</v>
      </c>
      <c r="L354" s="689">
        <f t="shared" si="33"/>
        <v>7.4505805969238281E-9</v>
      </c>
      <c r="M354" s="228"/>
      <c r="N354" s="93"/>
      <c r="P354" s="95"/>
    </row>
    <row r="355" spans="1:16" s="94" customFormat="1">
      <c r="A355" s="343" t="s">
        <v>9674</v>
      </c>
      <c r="B355" s="147" t="s">
        <v>299</v>
      </c>
      <c r="C355" s="351" t="s">
        <v>109</v>
      </c>
      <c r="D355" s="351">
        <v>148</v>
      </c>
      <c r="E355" s="351">
        <v>9.6</v>
      </c>
      <c r="F355" s="352">
        <v>0.2094</v>
      </c>
      <c r="G355" s="353">
        <f t="shared" si="35"/>
        <v>11.610239999999999</v>
      </c>
      <c r="H355" s="353">
        <f t="shared" si="36"/>
        <v>1718.3155199999999</v>
      </c>
      <c r="I355" s="354">
        <f t="shared" si="34"/>
        <v>3.454414754149608E-4</v>
      </c>
      <c r="J355" s="354">
        <f t="shared" si="37"/>
        <v>0.9560931274281077</v>
      </c>
      <c r="K355" s="682">
        <f>'018-21-CAPA'!$F$37</f>
        <v>4974259.4398541162</v>
      </c>
      <c r="L355" s="689">
        <f t="shared" si="33"/>
        <v>7.4505805969238281E-9</v>
      </c>
      <c r="M355" s="228"/>
      <c r="N355" s="93"/>
      <c r="P355" s="95"/>
    </row>
    <row r="356" spans="1:16" s="94" customFormat="1" ht="25.5">
      <c r="A356" s="343">
        <v>99814</v>
      </c>
      <c r="B356" s="147" t="s">
        <v>4483</v>
      </c>
      <c r="C356" s="351" t="s">
        <v>193</v>
      </c>
      <c r="D356" s="351">
        <v>900.9</v>
      </c>
      <c r="E356" s="351" t="s">
        <v>12214</v>
      </c>
      <c r="F356" s="352">
        <v>0.2094</v>
      </c>
      <c r="G356" s="353">
        <f t="shared" si="35"/>
        <v>1.8987580000000002</v>
      </c>
      <c r="H356" s="353">
        <f t="shared" si="36"/>
        <v>1710.5910822000001</v>
      </c>
      <c r="I356" s="354">
        <f t="shared" si="34"/>
        <v>3.4388859344460941E-4</v>
      </c>
      <c r="J356" s="354">
        <f t="shared" si="37"/>
        <v>0.95643701602155229</v>
      </c>
      <c r="K356" s="682">
        <f>'018-21-CAPA'!$F$37</f>
        <v>4974259.4398541162</v>
      </c>
      <c r="L356" s="689">
        <f t="shared" si="33"/>
        <v>7.4505805969238281E-9</v>
      </c>
      <c r="M356" s="228"/>
      <c r="N356" s="93"/>
      <c r="P356" s="95"/>
    </row>
    <row r="357" spans="1:16" s="94" customFormat="1" ht="51">
      <c r="A357" s="343">
        <v>89584</v>
      </c>
      <c r="B357" s="147" t="s">
        <v>1981</v>
      </c>
      <c r="C357" s="351" t="s">
        <v>109</v>
      </c>
      <c r="D357" s="351">
        <v>36</v>
      </c>
      <c r="E357" s="351" t="s">
        <v>14050</v>
      </c>
      <c r="F357" s="352">
        <v>0.2094</v>
      </c>
      <c r="G357" s="353">
        <f t="shared" si="35"/>
        <v>47.396386</v>
      </c>
      <c r="H357" s="353">
        <f t="shared" si="36"/>
        <v>1706.269896</v>
      </c>
      <c r="I357" s="354">
        <f t="shared" si="34"/>
        <v>3.4301988399102151E-4</v>
      </c>
      <c r="J357" s="354">
        <f t="shared" si="37"/>
        <v>0.95678003590554328</v>
      </c>
      <c r="K357" s="682">
        <f>'018-21-CAPA'!$F$37</f>
        <v>4974259.4398541162</v>
      </c>
      <c r="L357" s="689">
        <f t="shared" ref="L357:L403" si="38">K357-$F$772</f>
        <v>7.4505805969238281E-9</v>
      </c>
      <c r="M357" s="228"/>
      <c r="N357" s="93"/>
      <c r="P357" s="95"/>
    </row>
    <row r="358" spans="1:16" s="94" customFormat="1" ht="38.25">
      <c r="A358" s="343">
        <v>91928</v>
      </c>
      <c r="B358" s="147" t="s">
        <v>125</v>
      </c>
      <c r="C358" s="351" t="s">
        <v>5</v>
      </c>
      <c r="D358" s="351">
        <v>207.99</v>
      </c>
      <c r="E358" s="351" t="s">
        <v>10232</v>
      </c>
      <c r="F358" s="352">
        <v>0.2094</v>
      </c>
      <c r="G358" s="353">
        <f t="shared" si="35"/>
        <v>8.0546040000000012</v>
      </c>
      <c r="H358" s="353">
        <f t="shared" si="36"/>
        <v>1675.2770859600002</v>
      </c>
      <c r="I358" s="354">
        <f t="shared" si="34"/>
        <v>3.3678924596042682E-4</v>
      </c>
      <c r="J358" s="354">
        <f t="shared" si="37"/>
        <v>0.95711682515150376</v>
      </c>
      <c r="K358" s="682">
        <f>'018-21-CAPA'!$F$37</f>
        <v>4974259.4398541162</v>
      </c>
      <c r="L358" s="689">
        <f t="shared" si="38"/>
        <v>7.4505805969238281E-9</v>
      </c>
      <c r="M358" s="228"/>
      <c r="N358" s="93"/>
      <c r="P358" s="95"/>
    </row>
    <row r="359" spans="1:16" s="94" customFormat="1" ht="38.25">
      <c r="A359" s="343">
        <v>96544</v>
      </c>
      <c r="B359" s="147" t="s">
        <v>1440</v>
      </c>
      <c r="C359" s="351" t="s">
        <v>108</v>
      </c>
      <c r="D359" s="351">
        <v>79.89</v>
      </c>
      <c r="E359" s="351" t="s">
        <v>10577</v>
      </c>
      <c r="F359" s="352">
        <v>0.2094</v>
      </c>
      <c r="G359" s="353">
        <f t="shared" si="35"/>
        <v>20.813774000000002</v>
      </c>
      <c r="H359" s="353">
        <f t="shared" si="36"/>
        <v>1662.8124048600002</v>
      </c>
      <c r="I359" s="354">
        <f t="shared" si="34"/>
        <v>3.3428340941315463E-4</v>
      </c>
      <c r="J359" s="354">
        <f t="shared" si="37"/>
        <v>0.95745110856091686</v>
      </c>
      <c r="K359" s="682">
        <f>'018-21-CAPA'!$F$37</f>
        <v>4974259.4398541162</v>
      </c>
      <c r="L359" s="689">
        <f t="shared" si="38"/>
        <v>7.4505805969238281E-9</v>
      </c>
      <c r="M359" s="228"/>
      <c r="N359" s="93"/>
      <c r="P359" s="95"/>
    </row>
    <row r="360" spans="1:16" s="94" customFormat="1" ht="51">
      <c r="A360" s="343">
        <v>94701</v>
      </c>
      <c r="B360" s="147" t="s">
        <v>2286</v>
      </c>
      <c r="C360" s="351" t="s">
        <v>109</v>
      </c>
      <c r="D360" s="351">
        <v>6</v>
      </c>
      <c r="E360" s="351" t="s">
        <v>23272</v>
      </c>
      <c r="F360" s="352">
        <v>0.2094</v>
      </c>
      <c r="G360" s="353">
        <f t="shared" si="35"/>
        <v>276.67443800000001</v>
      </c>
      <c r="H360" s="353">
        <f t="shared" si="36"/>
        <v>1660.0466280000001</v>
      </c>
      <c r="I360" s="354">
        <f t="shared" si="34"/>
        <v>3.3372739159915791E-4</v>
      </c>
      <c r="J360" s="354">
        <f t="shared" si="37"/>
        <v>0.95778483595251607</v>
      </c>
      <c r="K360" s="682">
        <f>'018-21-CAPA'!$F$37</f>
        <v>4974259.4398541162</v>
      </c>
      <c r="L360" s="689">
        <f t="shared" si="38"/>
        <v>7.4505805969238281E-9</v>
      </c>
      <c r="M360" s="228"/>
      <c r="N360" s="93"/>
      <c r="P360" s="95"/>
    </row>
    <row r="361" spans="1:16" s="94" customFormat="1" ht="63.75">
      <c r="A361" s="343">
        <v>94501</v>
      </c>
      <c r="B361" s="147" t="s">
        <v>2379</v>
      </c>
      <c r="C361" s="351" t="s">
        <v>109</v>
      </c>
      <c r="D361" s="351">
        <v>2</v>
      </c>
      <c r="E361" s="351" t="s">
        <v>23584</v>
      </c>
      <c r="F361" s="352">
        <v>0.2094</v>
      </c>
      <c r="G361" s="353">
        <f t="shared" si="35"/>
        <v>828.51156399999991</v>
      </c>
      <c r="H361" s="353">
        <f t="shared" si="36"/>
        <v>1657.0231279999998</v>
      </c>
      <c r="I361" s="354">
        <f t="shared" si="34"/>
        <v>3.3311956242648233E-4</v>
      </c>
      <c r="J361" s="354">
        <f t="shared" si="37"/>
        <v>0.9581179555149425</v>
      </c>
      <c r="K361" s="682">
        <f>'018-21-CAPA'!$F$37</f>
        <v>4974259.4398541162</v>
      </c>
      <c r="L361" s="689">
        <f t="shared" si="38"/>
        <v>7.4505805969238281E-9</v>
      </c>
      <c r="M361" s="228"/>
      <c r="N361" s="93"/>
      <c r="P361" s="95"/>
    </row>
    <row r="362" spans="1:16" s="94" customFormat="1" ht="25.5">
      <c r="A362" s="343" t="s">
        <v>14511</v>
      </c>
      <c r="B362" s="147" t="s">
        <v>17265</v>
      </c>
      <c r="C362" s="351" t="s">
        <v>5</v>
      </c>
      <c r="D362" s="351">
        <v>120</v>
      </c>
      <c r="E362" s="351">
        <v>11.38</v>
      </c>
      <c r="F362" s="352">
        <v>0.2094</v>
      </c>
      <c r="G362" s="353">
        <f t="shared" si="35"/>
        <v>13.762972000000001</v>
      </c>
      <c r="H362" s="353">
        <f t="shared" si="36"/>
        <v>1651.5566400000002</v>
      </c>
      <c r="I362" s="354">
        <f t="shared" si="34"/>
        <v>3.3202060728228504E-4</v>
      </c>
      <c r="J362" s="354">
        <f t="shared" si="37"/>
        <v>0.95844997612222482</v>
      </c>
      <c r="K362" s="682">
        <f>'018-21-CAPA'!$F$37</f>
        <v>4974259.4398541162</v>
      </c>
      <c r="L362" s="689">
        <f t="shared" si="38"/>
        <v>7.4505805969238281E-9</v>
      </c>
      <c r="M362" s="228"/>
      <c r="N362" s="93"/>
      <c r="P362" s="95"/>
    </row>
    <row r="363" spans="1:16" s="94" customFormat="1" ht="38.25">
      <c r="A363" s="343" t="s">
        <v>15443</v>
      </c>
      <c r="B363" s="147" t="s">
        <v>24675</v>
      </c>
      <c r="C363" s="351" t="s">
        <v>3240</v>
      </c>
      <c r="D363" s="351">
        <v>1</v>
      </c>
      <c r="E363" s="351">
        <v>1353.83</v>
      </c>
      <c r="F363" s="352">
        <v>0.2094</v>
      </c>
      <c r="G363" s="353">
        <f t="shared" si="35"/>
        <v>1637.3220019999999</v>
      </c>
      <c r="H363" s="353">
        <f t="shared" si="36"/>
        <v>1637.3220019999999</v>
      </c>
      <c r="I363" s="354">
        <f t="shared" si="34"/>
        <v>3.2915894753732857E-4</v>
      </c>
      <c r="J363" s="354">
        <f t="shared" si="37"/>
        <v>0.9587791350697622</v>
      </c>
      <c r="K363" s="682">
        <f>'018-21-CAPA'!$F$37</f>
        <v>4974259.4398541162</v>
      </c>
      <c r="L363" s="689">
        <f t="shared" si="38"/>
        <v>7.4505805969238281E-9</v>
      </c>
      <c r="M363" s="228"/>
      <c r="N363" s="93"/>
      <c r="P363" s="95"/>
    </row>
    <row r="364" spans="1:16" s="94" customFormat="1" ht="25.5">
      <c r="A364" s="343">
        <v>93194</v>
      </c>
      <c r="B364" s="147" t="s">
        <v>1496</v>
      </c>
      <c r="C364" s="351" t="s">
        <v>5</v>
      </c>
      <c r="D364" s="351">
        <v>32.700000000000003</v>
      </c>
      <c r="E364" s="351" t="s">
        <v>22520</v>
      </c>
      <c r="F364" s="352">
        <v>0.2094</v>
      </c>
      <c r="G364" s="353">
        <f t="shared" si="35"/>
        <v>50.020783999999999</v>
      </c>
      <c r="H364" s="353">
        <f t="shared" si="36"/>
        <v>1635.6796368</v>
      </c>
      <c r="I364" s="354">
        <f t="shared" si="34"/>
        <v>3.288287747307312E-4</v>
      </c>
      <c r="J364" s="354">
        <f t="shared" si="37"/>
        <v>0.95910796384449293</v>
      </c>
      <c r="K364" s="682">
        <f>'018-21-CAPA'!$F$37</f>
        <v>4974259.4398541162</v>
      </c>
      <c r="L364" s="689">
        <f t="shared" si="38"/>
        <v>7.4505805969238281E-9</v>
      </c>
      <c r="M364" s="228"/>
      <c r="N364" s="93"/>
      <c r="P364" s="95"/>
    </row>
    <row r="365" spans="1:16" s="94" customFormat="1" ht="38.25">
      <c r="A365" s="343">
        <v>89449</v>
      </c>
      <c r="B365" s="147" t="s">
        <v>244</v>
      </c>
      <c r="C365" s="351" t="s">
        <v>5</v>
      </c>
      <c r="D365" s="351">
        <v>78.02</v>
      </c>
      <c r="E365" s="351" t="s">
        <v>22906</v>
      </c>
      <c r="F365" s="352">
        <v>0.2094</v>
      </c>
      <c r="G365" s="353">
        <f t="shared" si="35"/>
        <v>20.922620000000002</v>
      </c>
      <c r="H365" s="353">
        <f t="shared" si="36"/>
        <v>1632.3828124000001</v>
      </c>
      <c r="I365" s="354">
        <f t="shared" si="34"/>
        <v>3.2816599780084585E-4</v>
      </c>
      <c r="J365" s="354">
        <f t="shared" si="37"/>
        <v>0.95943612984229376</v>
      </c>
      <c r="K365" s="682">
        <f>'018-21-CAPA'!$F$37</f>
        <v>4974259.4398541162</v>
      </c>
      <c r="L365" s="689">
        <f t="shared" si="38"/>
        <v>7.4505805969238281E-9</v>
      </c>
      <c r="M365" s="228"/>
      <c r="N365" s="93"/>
      <c r="P365" s="95"/>
    </row>
    <row r="366" spans="1:16" s="94" customFormat="1" ht="38.25">
      <c r="A366" s="343" t="s">
        <v>15123</v>
      </c>
      <c r="B366" s="147" t="s">
        <v>15129</v>
      </c>
      <c r="C366" s="351" t="s">
        <v>3240</v>
      </c>
      <c r="D366" s="351">
        <v>1</v>
      </c>
      <c r="E366" s="351">
        <v>1334.53</v>
      </c>
      <c r="F366" s="352">
        <v>0.2094</v>
      </c>
      <c r="G366" s="353">
        <f t="shared" si="35"/>
        <v>1613.9805819999999</v>
      </c>
      <c r="H366" s="353">
        <f t="shared" si="36"/>
        <v>1613.9805819999999</v>
      </c>
      <c r="I366" s="354">
        <f t="shared" si="34"/>
        <v>3.244665063242734E-4</v>
      </c>
      <c r="J366" s="354">
        <f t="shared" si="37"/>
        <v>0.95976059634861799</v>
      </c>
      <c r="K366" s="682">
        <f>'018-21-CAPA'!$F$37</f>
        <v>4974259.4398541162</v>
      </c>
      <c r="L366" s="689">
        <f t="shared" si="38"/>
        <v>7.4505805969238281E-9</v>
      </c>
      <c r="M366" s="228"/>
      <c r="N366" s="93"/>
      <c r="P366" s="95"/>
    </row>
    <row r="367" spans="1:16" s="94" customFormat="1" ht="25.5">
      <c r="A367" s="343" t="s">
        <v>9675</v>
      </c>
      <c r="B367" s="147" t="s">
        <v>9677</v>
      </c>
      <c r="C367" s="351" t="s">
        <v>10</v>
      </c>
      <c r="D367" s="351">
        <v>17</v>
      </c>
      <c r="E367" s="351">
        <v>77.039999999999992</v>
      </c>
      <c r="F367" s="352">
        <v>0.2094</v>
      </c>
      <c r="G367" s="353">
        <f t="shared" si="35"/>
        <v>93.172175999999993</v>
      </c>
      <c r="H367" s="353">
        <f t="shared" si="36"/>
        <v>1583.9269919999999</v>
      </c>
      <c r="I367" s="354">
        <f t="shared" si="34"/>
        <v>3.1842468434787859E-4</v>
      </c>
      <c r="J367" s="354">
        <f t="shared" si="37"/>
        <v>0.96007902103296583</v>
      </c>
      <c r="K367" s="682">
        <f>'018-21-CAPA'!$F$37</f>
        <v>4974259.4398541162</v>
      </c>
      <c r="L367" s="689">
        <f t="shared" si="38"/>
        <v>7.4505805969238281E-9</v>
      </c>
      <c r="M367" s="228"/>
      <c r="N367" s="93"/>
      <c r="P367" s="95"/>
    </row>
    <row r="368" spans="1:16" s="94" customFormat="1" ht="63.75">
      <c r="A368" s="343" t="s">
        <v>9619</v>
      </c>
      <c r="B368" s="147" t="s">
        <v>17318</v>
      </c>
      <c r="C368" s="351" t="s">
        <v>109</v>
      </c>
      <c r="D368" s="351">
        <v>5</v>
      </c>
      <c r="E368" s="351">
        <v>260.69</v>
      </c>
      <c r="F368" s="352">
        <v>0.2094</v>
      </c>
      <c r="G368" s="353">
        <f t="shared" si="35"/>
        <v>315.27848599999999</v>
      </c>
      <c r="H368" s="353">
        <f t="shared" si="36"/>
        <v>1576.3924299999999</v>
      </c>
      <c r="I368" s="354">
        <f t="shared" si="34"/>
        <v>3.1690997404957113E-4</v>
      </c>
      <c r="J368" s="354">
        <f t="shared" si="37"/>
        <v>0.96039593100701537</v>
      </c>
      <c r="K368" s="682">
        <f>'018-21-CAPA'!$F$37</f>
        <v>4974259.4398541162</v>
      </c>
      <c r="L368" s="689">
        <f t="shared" si="38"/>
        <v>7.4505805969238281E-9</v>
      </c>
      <c r="M368" s="228"/>
      <c r="N368" s="93"/>
      <c r="P368" s="95"/>
    </row>
    <row r="369" spans="1:16" s="94" customFormat="1" ht="25.5">
      <c r="A369" s="343">
        <v>96985</v>
      </c>
      <c r="B369" s="147" t="s">
        <v>3471</v>
      </c>
      <c r="C369" s="351" t="s">
        <v>109</v>
      </c>
      <c r="D369" s="351">
        <v>20</v>
      </c>
      <c r="E369" s="351" t="s">
        <v>22869</v>
      </c>
      <c r="F369" s="352">
        <v>0.2094</v>
      </c>
      <c r="G369" s="353">
        <f t="shared" si="35"/>
        <v>78.756128000000004</v>
      </c>
      <c r="H369" s="353">
        <f t="shared" si="36"/>
        <v>1575.12256</v>
      </c>
      <c r="I369" s="354">
        <f t="shared" si="34"/>
        <v>3.1665468579704744E-4</v>
      </c>
      <c r="J369" s="354">
        <f t="shared" si="37"/>
        <v>0.96071258569281237</v>
      </c>
      <c r="K369" s="682">
        <f>'018-21-CAPA'!$F$37</f>
        <v>4974259.4398541162</v>
      </c>
      <c r="L369" s="689">
        <f t="shared" si="38"/>
        <v>7.4505805969238281E-9</v>
      </c>
      <c r="M369" s="228"/>
      <c r="N369" s="93"/>
      <c r="P369" s="95"/>
    </row>
    <row r="370" spans="1:16" s="94" customFormat="1" ht="38.25">
      <c r="A370" s="343" t="s">
        <v>16956</v>
      </c>
      <c r="B370" s="147" t="s">
        <v>14987</v>
      </c>
      <c r="C370" s="351" t="s">
        <v>109</v>
      </c>
      <c r="D370" s="351">
        <v>1</v>
      </c>
      <c r="E370" s="351">
        <v>1302.23</v>
      </c>
      <c r="F370" s="352">
        <v>0.2094</v>
      </c>
      <c r="G370" s="353">
        <f t="shared" si="35"/>
        <v>1574.916962</v>
      </c>
      <c r="H370" s="353">
        <f t="shared" si="36"/>
        <v>1574.916962</v>
      </c>
      <c r="I370" s="354">
        <f t="shared" si="34"/>
        <v>3.166133534133055E-4</v>
      </c>
      <c r="J370" s="354">
        <f t="shared" si="37"/>
        <v>0.96102919904622564</v>
      </c>
      <c r="K370" s="682">
        <f>'018-21-CAPA'!$F$37</f>
        <v>4974259.4398541162</v>
      </c>
      <c r="L370" s="689">
        <f t="shared" si="38"/>
        <v>7.4505805969238281E-9</v>
      </c>
      <c r="M370" s="228"/>
      <c r="N370" s="93"/>
      <c r="P370" s="95"/>
    </row>
    <row r="371" spans="1:16" s="94" customFormat="1" ht="38.25">
      <c r="A371" s="343">
        <v>95547</v>
      </c>
      <c r="B371" s="147" t="s">
        <v>10750</v>
      </c>
      <c r="C371" s="351" t="s">
        <v>109</v>
      </c>
      <c r="D371" s="351">
        <v>24</v>
      </c>
      <c r="E371" s="351" t="s">
        <v>16195</v>
      </c>
      <c r="F371" s="352">
        <v>0.2094</v>
      </c>
      <c r="G371" s="353">
        <f t="shared" si="35"/>
        <v>64.835933999999995</v>
      </c>
      <c r="H371" s="353">
        <f t="shared" si="36"/>
        <v>1556.0624159999998</v>
      </c>
      <c r="I371" s="354">
        <f t="shared" si="34"/>
        <v>3.128229306925008E-4</v>
      </c>
      <c r="J371" s="354">
        <f t="shared" si="37"/>
        <v>0.96134202197691809</v>
      </c>
      <c r="K371" s="682">
        <f>'018-21-CAPA'!$F$37</f>
        <v>4974259.4398541162</v>
      </c>
      <c r="L371" s="689">
        <f t="shared" si="38"/>
        <v>7.4505805969238281E-9</v>
      </c>
      <c r="M371" s="228"/>
      <c r="N371" s="93"/>
      <c r="P371" s="95"/>
    </row>
    <row r="372" spans="1:16" s="94" customFormat="1" ht="38.25">
      <c r="A372" s="343" t="s">
        <v>15444</v>
      </c>
      <c r="B372" s="147" t="s">
        <v>24676</v>
      </c>
      <c r="C372" s="351" t="s">
        <v>3240</v>
      </c>
      <c r="D372" s="351">
        <v>1</v>
      </c>
      <c r="E372" s="351">
        <v>1262.56</v>
      </c>
      <c r="F372" s="352">
        <v>0.2094</v>
      </c>
      <c r="G372" s="353">
        <f t="shared" si="35"/>
        <v>1526.9400639999999</v>
      </c>
      <c r="H372" s="353">
        <f t="shared" si="36"/>
        <v>1526.9400639999999</v>
      </c>
      <c r="I372" s="354">
        <f t="shared" si="34"/>
        <v>3.0696832010129006E-4</v>
      </c>
      <c r="J372" s="354">
        <f t="shared" si="37"/>
        <v>0.96164899029701933</v>
      </c>
      <c r="K372" s="682">
        <f>'018-21-CAPA'!$F$37</f>
        <v>4974259.4398541162</v>
      </c>
      <c r="L372" s="689">
        <f t="shared" si="38"/>
        <v>7.4505805969238281E-9</v>
      </c>
      <c r="M372" s="228"/>
      <c r="N372" s="93"/>
      <c r="P372" s="95"/>
    </row>
    <row r="373" spans="1:16" s="94" customFormat="1" ht="38.25">
      <c r="A373" s="343" t="s">
        <v>15560</v>
      </c>
      <c r="B373" s="147" t="s">
        <v>24667</v>
      </c>
      <c r="C373" s="351" t="s">
        <v>3240</v>
      </c>
      <c r="D373" s="351">
        <v>1</v>
      </c>
      <c r="E373" s="351">
        <v>1254.96</v>
      </c>
      <c r="F373" s="352">
        <v>0.2094</v>
      </c>
      <c r="G373" s="353">
        <f t="shared" si="35"/>
        <v>1517.7486240000001</v>
      </c>
      <c r="H373" s="353">
        <f t="shared" si="36"/>
        <v>1517.7486240000001</v>
      </c>
      <c r="I373" s="354">
        <f t="shared" si="34"/>
        <v>3.0512051941635648E-4</v>
      </c>
      <c r="J373" s="354">
        <f t="shared" si="37"/>
        <v>0.96195411081643567</v>
      </c>
      <c r="K373" s="682">
        <f>'018-21-CAPA'!$F$37</f>
        <v>4974259.4398541162</v>
      </c>
      <c r="L373" s="689">
        <f t="shared" si="38"/>
        <v>7.4505805969238281E-9</v>
      </c>
      <c r="M373" s="228"/>
      <c r="N373" s="93"/>
      <c r="P373" s="95"/>
    </row>
    <row r="374" spans="1:16" s="94" customFormat="1" ht="38.25">
      <c r="A374" s="343">
        <v>100576</v>
      </c>
      <c r="B374" s="147" t="s">
        <v>9279</v>
      </c>
      <c r="C374" s="351" t="s">
        <v>193</v>
      </c>
      <c r="D374" s="351">
        <v>756.7</v>
      </c>
      <c r="E374" s="351" t="s">
        <v>10022</v>
      </c>
      <c r="F374" s="352">
        <v>0.2094</v>
      </c>
      <c r="G374" s="353">
        <f t="shared" si="35"/>
        <v>1.971322</v>
      </c>
      <c r="H374" s="353">
        <f t="shared" si="36"/>
        <v>1491.6993574000001</v>
      </c>
      <c r="I374" s="354">
        <f t="shared" si="34"/>
        <v>2.998837063962531E-4</v>
      </c>
      <c r="J374" s="354">
        <f t="shared" si="37"/>
        <v>0.96225399452283189</v>
      </c>
      <c r="K374" s="682">
        <f>'018-21-CAPA'!$F$37</f>
        <v>4974259.4398541162</v>
      </c>
      <c r="L374" s="689">
        <f t="shared" si="38"/>
        <v>7.4505805969238281E-9</v>
      </c>
      <c r="M374" s="228"/>
      <c r="N374" s="93"/>
      <c r="P374" s="95"/>
    </row>
    <row r="375" spans="1:16" s="94" customFormat="1" ht="51">
      <c r="A375" s="343" t="s">
        <v>14399</v>
      </c>
      <c r="B375" s="147" t="s">
        <v>17131</v>
      </c>
      <c r="C375" s="351" t="s">
        <v>109</v>
      </c>
      <c r="D375" s="351">
        <v>28</v>
      </c>
      <c r="E375" s="351">
        <v>44.04</v>
      </c>
      <c r="F375" s="352">
        <v>0.2094</v>
      </c>
      <c r="G375" s="353">
        <f t="shared" si="35"/>
        <v>53.261975999999997</v>
      </c>
      <c r="H375" s="353">
        <f t="shared" si="36"/>
        <v>1491.3353279999999</v>
      </c>
      <c r="I375" s="354">
        <f t="shared" si="34"/>
        <v>2.9981052376386297E-4</v>
      </c>
      <c r="J375" s="354">
        <f t="shared" si="37"/>
        <v>0.96255380504659571</v>
      </c>
      <c r="K375" s="682">
        <f>'018-21-CAPA'!$F$37</f>
        <v>4974259.4398541162</v>
      </c>
      <c r="L375" s="689">
        <f t="shared" si="38"/>
        <v>7.4505805969238281E-9</v>
      </c>
      <c r="M375" s="228"/>
      <c r="N375" s="93"/>
      <c r="P375" s="95"/>
    </row>
    <row r="376" spans="1:16" s="94" customFormat="1" ht="51">
      <c r="A376" s="343">
        <v>95787</v>
      </c>
      <c r="B376" s="147" t="s">
        <v>271</v>
      </c>
      <c r="C376" s="351" t="s">
        <v>109</v>
      </c>
      <c r="D376" s="351">
        <v>54</v>
      </c>
      <c r="E376" s="351" t="s">
        <v>10673</v>
      </c>
      <c r="F376" s="352">
        <v>0.2094</v>
      </c>
      <c r="G376" s="353">
        <f t="shared" si="35"/>
        <v>27.598508000000002</v>
      </c>
      <c r="H376" s="353">
        <f t="shared" si="36"/>
        <v>1490.3194320000002</v>
      </c>
      <c r="I376" s="354">
        <f t="shared" si="34"/>
        <v>2.9960629316184403E-4</v>
      </c>
      <c r="J376" s="354">
        <f t="shared" si="37"/>
        <v>0.96285341133975755</v>
      </c>
      <c r="K376" s="682">
        <f>'018-21-CAPA'!$F$37</f>
        <v>4974259.4398541162</v>
      </c>
      <c r="L376" s="689">
        <f t="shared" si="38"/>
        <v>7.4505805969238281E-9</v>
      </c>
      <c r="M376" s="228"/>
      <c r="N376" s="93"/>
      <c r="P376" s="95"/>
    </row>
    <row r="377" spans="1:16" s="94" customFormat="1" ht="25.5">
      <c r="A377" s="343" t="s">
        <v>9005</v>
      </c>
      <c r="B377" s="147" t="s">
        <v>3284</v>
      </c>
      <c r="C377" s="351" t="s">
        <v>193</v>
      </c>
      <c r="D377" s="351">
        <v>1497</v>
      </c>
      <c r="E377" s="351">
        <v>0.82</v>
      </c>
      <c r="F377" s="352">
        <v>0.2094</v>
      </c>
      <c r="G377" s="353">
        <f t="shared" si="35"/>
        <v>0.99170799999999992</v>
      </c>
      <c r="H377" s="353">
        <f t="shared" si="36"/>
        <v>1484.5868759999998</v>
      </c>
      <c r="I377" s="354">
        <f t="shared" si="34"/>
        <v>2.9845384905045116E-4</v>
      </c>
      <c r="J377" s="354">
        <f t="shared" si="37"/>
        <v>0.96315186518880802</v>
      </c>
      <c r="K377" s="682">
        <f>'018-21-CAPA'!$F$37</f>
        <v>4974259.4398541162</v>
      </c>
      <c r="L377" s="689">
        <f t="shared" si="38"/>
        <v>7.4505805969238281E-9</v>
      </c>
      <c r="M377" s="228"/>
      <c r="N377" s="93"/>
      <c r="P377" s="95"/>
    </row>
    <row r="378" spans="1:16" s="94" customFormat="1" ht="38.25">
      <c r="A378" s="343" t="s">
        <v>15562</v>
      </c>
      <c r="B378" s="147" t="s">
        <v>24670</v>
      </c>
      <c r="C378" s="351" t="s">
        <v>3240</v>
      </c>
      <c r="D378" s="351">
        <v>1</v>
      </c>
      <c r="E378" s="351">
        <v>1227.07</v>
      </c>
      <c r="F378" s="352">
        <v>0.2094</v>
      </c>
      <c r="G378" s="353">
        <f t="shared" si="35"/>
        <v>1484.018458</v>
      </c>
      <c r="H378" s="353">
        <f t="shared" si="36"/>
        <v>1484.018458</v>
      </c>
      <c r="I378" s="354">
        <f t="shared" si="34"/>
        <v>2.9833957716598818E-4</v>
      </c>
      <c r="J378" s="354">
        <f t="shared" si="37"/>
        <v>0.96345020476597398</v>
      </c>
      <c r="K378" s="682">
        <f>'018-21-CAPA'!$F$37</f>
        <v>4974259.4398541162</v>
      </c>
      <c r="L378" s="689">
        <f t="shared" si="38"/>
        <v>7.4505805969238281E-9</v>
      </c>
      <c r="M378" s="228"/>
      <c r="N378" s="93"/>
      <c r="P378" s="95"/>
    </row>
    <row r="379" spans="1:16" s="94" customFormat="1" ht="63.75">
      <c r="A379" s="343" t="s">
        <v>16789</v>
      </c>
      <c r="B379" s="147" t="s">
        <v>16818</v>
      </c>
      <c r="C379" s="351" t="s">
        <v>5</v>
      </c>
      <c r="D379" s="351">
        <v>32.56</v>
      </c>
      <c r="E379" s="351">
        <v>37.25</v>
      </c>
      <c r="F379" s="352">
        <v>0.2094</v>
      </c>
      <c r="G379" s="353">
        <f t="shared" si="35"/>
        <v>45.050150000000002</v>
      </c>
      <c r="H379" s="353">
        <f t="shared" si="36"/>
        <v>1466.8328840000001</v>
      </c>
      <c r="I379" s="354">
        <f t="shared" si="34"/>
        <v>2.9488467614850045E-4</v>
      </c>
      <c r="J379" s="354">
        <f t="shared" si="37"/>
        <v>0.96374508944212245</v>
      </c>
      <c r="K379" s="682">
        <f>'018-21-CAPA'!$F$37</f>
        <v>4974259.4398541162</v>
      </c>
      <c r="L379" s="689">
        <f t="shared" si="38"/>
        <v>7.4505805969238281E-9</v>
      </c>
      <c r="M379" s="228"/>
      <c r="N379" s="93"/>
      <c r="P379" s="95"/>
    </row>
    <row r="380" spans="1:16" s="94" customFormat="1" ht="25.5">
      <c r="A380" s="343" t="s">
        <v>15422</v>
      </c>
      <c r="B380" s="147" t="s">
        <v>15423</v>
      </c>
      <c r="C380" s="351" t="s">
        <v>10</v>
      </c>
      <c r="D380" s="351">
        <v>1</v>
      </c>
      <c r="E380" s="351">
        <v>1203.05</v>
      </c>
      <c r="F380" s="352">
        <v>0.2094</v>
      </c>
      <c r="G380" s="353">
        <f t="shared" si="35"/>
        <v>1454.96867</v>
      </c>
      <c r="H380" s="353">
        <f t="shared" si="36"/>
        <v>1454.96867</v>
      </c>
      <c r="I380" s="354">
        <f t="shared" si="34"/>
        <v>2.9249955447492164E-4</v>
      </c>
      <c r="J380" s="354">
        <f t="shared" si="37"/>
        <v>0.96403758899659742</v>
      </c>
      <c r="K380" s="682">
        <f>'018-21-CAPA'!$F$37</f>
        <v>4974259.4398541162</v>
      </c>
      <c r="L380" s="689">
        <f t="shared" si="38"/>
        <v>7.4505805969238281E-9</v>
      </c>
      <c r="M380" s="228"/>
      <c r="N380" s="93"/>
      <c r="P380" s="95"/>
    </row>
    <row r="381" spans="1:16" s="94" customFormat="1" ht="25.5">
      <c r="A381" s="343" t="s">
        <v>15522</v>
      </c>
      <c r="B381" s="147" t="s">
        <v>15379</v>
      </c>
      <c r="C381" s="351" t="s">
        <v>10</v>
      </c>
      <c r="D381" s="351">
        <v>8</v>
      </c>
      <c r="E381" s="351">
        <v>149.89999999999998</v>
      </c>
      <c r="F381" s="352">
        <v>0.2094</v>
      </c>
      <c r="G381" s="353">
        <f t="shared" si="35"/>
        <v>181.28905999999998</v>
      </c>
      <c r="H381" s="353">
        <f t="shared" si="36"/>
        <v>1450.3124799999998</v>
      </c>
      <c r="I381" s="354">
        <f t="shared" si="34"/>
        <v>2.9156349754900124E-4</v>
      </c>
      <c r="J381" s="354">
        <f t="shared" si="37"/>
        <v>0.96432915249414641</v>
      </c>
      <c r="K381" s="682">
        <f>'018-21-CAPA'!$F$37</f>
        <v>4974259.4398541162</v>
      </c>
      <c r="L381" s="689">
        <f t="shared" si="38"/>
        <v>7.4505805969238281E-9</v>
      </c>
      <c r="M381" s="228"/>
      <c r="N381" s="93"/>
      <c r="P381" s="95"/>
    </row>
    <row r="382" spans="1:16" s="94" customFormat="1" ht="25.5">
      <c r="A382" s="343">
        <v>97087</v>
      </c>
      <c r="B382" s="147" t="s">
        <v>12806</v>
      </c>
      <c r="C382" s="351" t="s">
        <v>193</v>
      </c>
      <c r="D382" s="351">
        <v>746.17</v>
      </c>
      <c r="E382" s="351" t="s">
        <v>11077</v>
      </c>
      <c r="F382" s="352">
        <v>0.2094</v>
      </c>
      <c r="G382" s="353">
        <f t="shared" si="35"/>
        <v>1.9350400000000001</v>
      </c>
      <c r="H382" s="353">
        <f t="shared" si="36"/>
        <v>1443.8687967999999</v>
      </c>
      <c r="I382" s="354">
        <f t="shared" si="34"/>
        <v>2.9026809201619517E-4</v>
      </c>
      <c r="J382" s="354">
        <f t="shared" si="37"/>
        <v>0.96461942058616257</v>
      </c>
      <c r="K382" s="682">
        <f>'018-21-CAPA'!$F$37</f>
        <v>4974259.4398541162</v>
      </c>
      <c r="L382" s="689">
        <f t="shared" si="38"/>
        <v>7.4505805969238281E-9</v>
      </c>
      <c r="M382" s="228"/>
      <c r="N382" s="93"/>
      <c r="P382" s="95"/>
    </row>
    <row r="383" spans="1:16" s="94" customFormat="1" ht="25.5">
      <c r="A383" s="343">
        <v>98302</v>
      </c>
      <c r="B383" s="147" t="s">
        <v>9272</v>
      </c>
      <c r="C383" s="351" t="s">
        <v>109</v>
      </c>
      <c r="D383" s="351">
        <v>2</v>
      </c>
      <c r="E383" s="351" t="s">
        <v>22899</v>
      </c>
      <c r="F383" s="352">
        <v>0.2094</v>
      </c>
      <c r="G383" s="353">
        <f t="shared" si="35"/>
        <v>721.55222800000001</v>
      </c>
      <c r="H383" s="353">
        <f t="shared" si="36"/>
        <v>1443.104456</v>
      </c>
      <c r="I383" s="354">
        <f t="shared" si="34"/>
        <v>2.9011443280134284E-4</v>
      </c>
      <c r="J383" s="354">
        <f t="shared" si="37"/>
        <v>0.96490953501896393</v>
      </c>
      <c r="K383" s="682">
        <f>'018-21-CAPA'!$F$37</f>
        <v>4974259.4398541162</v>
      </c>
      <c r="L383" s="689">
        <f t="shared" si="38"/>
        <v>7.4505805969238281E-9</v>
      </c>
      <c r="M383" s="228"/>
      <c r="N383" s="93"/>
      <c r="P383" s="95"/>
    </row>
    <row r="384" spans="1:16" s="94" customFormat="1" ht="25.5">
      <c r="A384" s="343">
        <v>86887</v>
      </c>
      <c r="B384" s="147" t="s">
        <v>10690</v>
      </c>
      <c r="C384" s="351" t="s">
        <v>109</v>
      </c>
      <c r="D384" s="351">
        <v>28</v>
      </c>
      <c r="E384" s="351" t="s">
        <v>23450</v>
      </c>
      <c r="F384" s="352">
        <v>0.2094</v>
      </c>
      <c r="G384" s="353">
        <f t="shared" si="35"/>
        <v>50.274757999999999</v>
      </c>
      <c r="H384" s="353">
        <f t="shared" si="36"/>
        <v>1407.6932239999999</v>
      </c>
      <c r="I384" s="354">
        <f t="shared" si="34"/>
        <v>2.8299553753096692E-4</v>
      </c>
      <c r="J384" s="354">
        <f t="shared" si="37"/>
        <v>0.9651925305564949</v>
      </c>
      <c r="K384" s="682">
        <f>'018-21-CAPA'!$F$37</f>
        <v>4974259.4398541162</v>
      </c>
      <c r="L384" s="689">
        <f t="shared" si="38"/>
        <v>7.4505805969238281E-9</v>
      </c>
      <c r="M384" s="228"/>
      <c r="N384" s="93"/>
      <c r="P384" s="95"/>
    </row>
    <row r="385" spans="1:16" s="94" customFormat="1" ht="25.5">
      <c r="A385" s="343">
        <v>97644</v>
      </c>
      <c r="B385" s="147" t="s">
        <v>3740</v>
      </c>
      <c r="C385" s="351" t="s">
        <v>193</v>
      </c>
      <c r="D385" s="351">
        <v>151.19999999999999</v>
      </c>
      <c r="E385" s="351" t="s">
        <v>10235</v>
      </c>
      <c r="F385" s="352">
        <v>0.2094</v>
      </c>
      <c r="G385" s="353">
        <f t="shared" si="35"/>
        <v>9.2881920000000004</v>
      </c>
      <c r="H385" s="353">
        <f t="shared" si="36"/>
        <v>1404.3746303999999</v>
      </c>
      <c r="I385" s="354">
        <f t="shared" si="34"/>
        <v>2.8232838423103825E-4</v>
      </c>
      <c r="J385" s="354">
        <f t="shared" si="37"/>
        <v>0.96547485894072593</v>
      </c>
      <c r="K385" s="682">
        <f>'018-21-CAPA'!$F$37</f>
        <v>4974259.4398541162</v>
      </c>
      <c r="L385" s="689">
        <f t="shared" si="38"/>
        <v>7.4505805969238281E-9</v>
      </c>
      <c r="M385" s="228"/>
      <c r="N385" s="93"/>
      <c r="P385" s="95"/>
    </row>
    <row r="386" spans="1:16" s="94" customFormat="1" ht="25.5">
      <c r="A386" s="343" t="s">
        <v>11600</v>
      </c>
      <c r="B386" s="147" t="s">
        <v>16988</v>
      </c>
      <c r="C386" s="351" t="s">
        <v>109</v>
      </c>
      <c r="D386" s="351">
        <v>112</v>
      </c>
      <c r="E386" s="351">
        <v>10.330000000000002</v>
      </c>
      <c r="F386" s="352">
        <v>0.2094</v>
      </c>
      <c r="G386" s="353">
        <f t="shared" si="35"/>
        <v>12.493102000000002</v>
      </c>
      <c r="H386" s="353">
        <f t="shared" si="36"/>
        <v>1399.2274240000002</v>
      </c>
      <c r="I386" s="354">
        <f t="shared" si="34"/>
        <v>2.8129361584747545E-4</v>
      </c>
      <c r="J386" s="354">
        <f t="shared" si="37"/>
        <v>0.96575615255657343</v>
      </c>
      <c r="K386" s="682">
        <f>'018-21-CAPA'!$F$37</f>
        <v>4974259.4398541162</v>
      </c>
      <c r="L386" s="689">
        <f t="shared" si="38"/>
        <v>7.4505805969238281E-9</v>
      </c>
      <c r="M386" s="228"/>
      <c r="N386" s="93"/>
      <c r="P386" s="95"/>
    </row>
    <row r="387" spans="1:16" s="94" customFormat="1" ht="25.5">
      <c r="A387" s="343" t="s">
        <v>14798</v>
      </c>
      <c r="B387" s="147" t="s">
        <v>14810</v>
      </c>
      <c r="C387" s="351" t="s">
        <v>3240</v>
      </c>
      <c r="D387" s="351">
        <v>14</v>
      </c>
      <c r="E387" s="351">
        <v>81.48</v>
      </c>
      <c r="F387" s="352">
        <v>0.2094</v>
      </c>
      <c r="G387" s="353">
        <f t="shared" si="35"/>
        <v>98.541912000000011</v>
      </c>
      <c r="H387" s="353">
        <f t="shared" si="36"/>
        <v>1379.5867680000001</v>
      </c>
      <c r="I387" s="354">
        <f t="shared" si="34"/>
        <v>2.7734515754177517E-4</v>
      </c>
      <c r="J387" s="354">
        <f t="shared" si="37"/>
        <v>0.96603349771411517</v>
      </c>
      <c r="K387" s="682">
        <f>'018-21-CAPA'!$F$37</f>
        <v>4974259.4398541162</v>
      </c>
      <c r="L387" s="689">
        <f t="shared" si="38"/>
        <v>7.4505805969238281E-9</v>
      </c>
      <c r="M387" s="228"/>
      <c r="N387" s="93"/>
      <c r="P387" s="95"/>
    </row>
    <row r="388" spans="1:16" s="94" customFormat="1" ht="38.25">
      <c r="A388" s="343">
        <v>97064</v>
      </c>
      <c r="B388" s="147" t="s">
        <v>3715</v>
      </c>
      <c r="C388" s="351" t="s">
        <v>5</v>
      </c>
      <c r="D388" s="351">
        <v>75</v>
      </c>
      <c r="E388" s="351" t="s">
        <v>9956</v>
      </c>
      <c r="F388" s="352">
        <v>0.2094</v>
      </c>
      <c r="G388" s="353">
        <f t="shared" si="35"/>
        <v>18.358692000000001</v>
      </c>
      <c r="H388" s="353">
        <f t="shared" si="36"/>
        <v>1376.9019000000001</v>
      </c>
      <c r="I388" s="354">
        <f t="shared" si="34"/>
        <v>2.7680540523643927E-4</v>
      </c>
      <c r="J388" s="354">
        <f t="shared" si="37"/>
        <v>0.96631030311935162</v>
      </c>
      <c r="K388" s="682">
        <f>'018-21-CAPA'!$F$37</f>
        <v>4974259.4398541162</v>
      </c>
      <c r="L388" s="689">
        <f t="shared" si="38"/>
        <v>7.4505805969238281E-9</v>
      </c>
      <c r="M388" s="228"/>
      <c r="N388" s="93"/>
      <c r="P388" s="95"/>
    </row>
    <row r="389" spans="1:16" s="94" customFormat="1" ht="76.5">
      <c r="A389" s="343" t="s">
        <v>14428</v>
      </c>
      <c r="B389" s="147" t="s">
        <v>18435</v>
      </c>
      <c r="C389" s="351" t="s">
        <v>109</v>
      </c>
      <c r="D389" s="351">
        <v>1</v>
      </c>
      <c r="E389" s="351">
        <v>1136.5</v>
      </c>
      <c r="F389" s="352">
        <v>0.2094</v>
      </c>
      <c r="G389" s="353">
        <f t="shared" si="35"/>
        <v>1374.4830999999999</v>
      </c>
      <c r="H389" s="353">
        <f t="shared" si="36"/>
        <v>1374.4830999999999</v>
      </c>
      <c r="I389" s="354">
        <f t="shared" si="34"/>
        <v>2.7631914189829885E-4</v>
      </c>
      <c r="J389" s="354">
        <f t="shared" si="37"/>
        <v>0.96658662226124992</v>
      </c>
      <c r="K389" s="682">
        <f>'018-21-CAPA'!$F$37</f>
        <v>4974259.4398541162</v>
      </c>
      <c r="L389" s="689">
        <f t="shared" si="38"/>
        <v>7.4505805969238281E-9</v>
      </c>
      <c r="M389" s="228"/>
      <c r="N389" s="93"/>
      <c r="P389" s="95"/>
    </row>
    <row r="390" spans="1:16" s="94" customFormat="1" ht="25.5">
      <c r="A390" s="343" t="s">
        <v>14786</v>
      </c>
      <c r="B390" s="147" t="s">
        <v>18333</v>
      </c>
      <c r="C390" s="351" t="s">
        <v>109</v>
      </c>
      <c r="D390" s="351">
        <v>2</v>
      </c>
      <c r="E390" s="351">
        <v>566.88</v>
      </c>
      <c r="F390" s="352">
        <v>0.2094</v>
      </c>
      <c r="G390" s="353">
        <f t="shared" si="35"/>
        <v>685.58467199999996</v>
      </c>
      <c r="H390" s="353">
        <f t="shared" si="36"/>
        <v>1371.1693439999999</v>
      </c>
      <c r="I390" s="354">
        <f t="shared" si="34"/>
        <v>2.7565296112504645E-4</v>
      </c>
      <c r="J390" s="354">
        <f t="shared" si="37"/>
        <v>0.966862275222375</v>
      </c>
      <c r="K390" s="682">
        <f>'018-21-CAPA'!$F$37</f>
        <v>4974259.4398541162</v>
      </c>
      <c r="L390" s="689">
        <f t="shared" si="38"/>
        <v>7.4505805969238281E-9</v>
      </c>
      <c r="M390" s="228"/>
      <c r="N390" s="93"/>
      <c r="P390" s="95"/>
    </row>
    <row r="391" spans="1:16" s="94" customFormat="1" ht="25.5">
      <c r="A391" s="343">
        <v>93182</v>
      </c>
      <c r="B391" s="147" t="s">
        <v>1484</v>
      </c>
      <c r="C391" s="351" t="s">
        <v>5</v>
      </c>
      <c r="D391" s="351">
        <v>26.7</v>
      </c>
      <c r="E391" s="351" t="s">
        <v>22512</v>
      </c>
      <c r="F391" s="352">
        <v>0.2094</v>
      </c>
      <c r="G391" s="353">
        <f t="shared" si="35"/>
        <v>51.036680000000004</v>
      </c>
      <c r="H391" s="353">
        <f t="shared" si="36"/>
        <v>1362.6793560000001</v>
      </c>
      <c r="I391" s="354">
        <f t="shared" si="34"/>
        <v>2.7394617680817358E-4</v>
      </c>
      <c r="J391" s="354">
        <f t="shared" si="37"/>
        <v>0.9671362213991832</v>
      </c>
      <c r="K391" s="682">
        <f>'018-21-CAPA'!$F$37</f>
        <v>4974259.4398541162</v>
      </c>
      <c r="L391" s="689">
        <f t="shared" si="38"/>
        <v>7.4505805969238281E-9</v>
      </c>
      <c r="M391" s="228"/>
      <c r="N391" s="93"/>
      <c r="P391" s="95"/>
    </row>
    <row r="392" spans="1:16" s="94" customFormat="1" ht="25.5">
      <c r="A392" s="343">
        <v>97661</v>
      </c>
      <c r="B392" s="147" t="s">
        <v>3756</v>
      </c>
      <c r="C392" s="351" t="s">
        <v>5</v>
      </c>
      <c r="D392" s="351">
        <v>2000</v>
      </c>
      <c r="E392" s="351" t="s">
        <v>10906</v>
      </c>
      <c r="F392" s="352">
        <v>0.2094</v>
      </c>
      <c r="G392" s="353">
        <f t="shared" si="35"/>
        <v>0.67726400000000009</v>
      </c>
      <c r="H392" s="353">
        <f t="shared" si="36"/>
        <v>1354.5280000000002</v>
      </c>
      <c r="I392" s="354">
        <f t="shared" ref="I392:I455" si="39">H392/$F$772</f>
        <v>2.7230746935864034E-4</v>
      </c>
      <c r="J392" s="354">
        <f t="shared" si="37"/>
        <v>0.96740852886854189</v>
      </c>
      <c r="K392" s="682">
        <f>'018-21-CAPA'!$F$37</f>
        <v>4974259.4398541162</v>
      </c>
      <c r="L392" s="689">
        <f t="shared" si="38"/>
        <v>7.4505805969238281E-9</v>
      </c>
      <c r="M392" s="228"/>
      <c r="N392" s="93"/>
      <c r="P392" s="95"/>
    </row>
    <row r="393" spans="1:16" s="94" customFormat="1" ht="25.5">
      <c r="A393" s="343" t="s">
        <v>14465</v>
      </c>
      <c r="B393" s="147" t="s">
        <v>18507</v>
      </c>
      <c r="C393" s="351" t="s">
        <v>5</v>
      </c>
      <c r="D393" s="351">
        <v>22</v>
      </c>
      <c r="E393" s="351">
        <v>50.5</v>
      </c>
      <c r="F393" s="352">
        <v>0.2094</v>
      </c>
      <c r="G393" s="353">
        <f t="shared" si="35"/>
        <v>61.0747</v>
      </c>
      <c r="H393" s="353">
        <f t="shared" si="36"/>
        <v>1343.6433999999999</v>
      </c>
      <c r="I393" s="354">
        <f t="shared" si="39"/>
        <v>2.7011928433700835E-4</v>
      </c>
      <c r="J393" s="354">
        <f t="shared" si="37"/>
        <v>0.96767864815287885</v>
      </c>
      <c r="K393" s="682">
        <f>'018-21-CAPA'!$F$37</f>
        <v>4974259.4398541162</v>
      </c>
      <c r="L393" s="689">
        <f t="shared" si="38"/>
        <v>7.4505805969238281E-9</v>
      </c>
      <c r="M393" s="228"/>
      <c r="N393" s="93"/>
      <c r="P393" s="95"/>
    </row>
    <row r="394" spans="1:16" s="94" customFormat="1" ht="25.5">
      <c r="A394" s="343" t="s">
        <v>15526</v>
      </c>
      <c r="B394" s="147" t="s">
        <v>15535</v>
      </c>
      <c r="C394" s="351" t="s">
        <v>3240</v>
      </c>
      <c r="D394" s="351">
        <v>20</v>
      </c>
      <c r="E394" s="351">
        <v>55.43</v>
      </c>
      <c r="F394" s="352">
        <v>0.2094</v>
      </c>
      <c r="G394" s="353">
        <f t="shared" si="35"/>
        <v>67.037042</v>
      </c>
      <c r="H394" s="353">
        <f t="shared" si="36"/>
        <v>1340.7408399999999</v>
      </c>
      <c r="I394" s="354">
        <f t="shared" si="39"/>
        <v>2.6953576833123983E-4</v>
      </c>
      <c r="J394" s="354">
        <f t="shared" si="37"/>
        <v>0.96794818392121007</v>
      </c>
      <c r="K394" s="682">
        <f>'018-21-CAPA'!$F$37</f>
        <v>4974259.4398541162</v>
      </c>
      <c r="L394" s="689">
        <f t="shared" si="38"/>
        <v>7.4505805969238281E-9</v>
      </c>
      <c r="M394" s="228"/>
      <c r="N394" s="93"/>
      <c r="P394" s="95"/>
    </row>
    <row r="395" spans="1:16" s="94" customFormat="1" ht="38.25">
      <c r="A395" s="343" t="s">
        <v>24583</v>
      </c>
      <c r="B395" s="147" t="s">
        <v>15434</v>
      </c>
      <c r="C395" s="351" t="s">
        <v>193</v>
      </c>
      <c r="D395" s="351">
        <v>94</v>
      </c>
      <c r="E395" s="351">
        <v>11.79</v>
      </c>
      <c r="F395" s="352">
        <v>0.2094</v>
      </c>
      <c r="G395" s="353">
        <f t="shared" ref="G395:G458" si="40">(E395*(1+F395))</f>
        <v>14.258825999999999</v>
      </c>
      <c r="H395" s="353">
        <f t="shared" ref="H395:H458" si="41">G395*D395</f>
        <v>1340.3296439999999</v>
      </c>
      <c r="I395" s="354">
        <f t="shared" si="39"/>
        <v>2.6945310356375594E-4</v>
      </c>
      <c r="J395" s="354">
        <f t="shared" si="37"/>
        <v>0.96821763702477381</v>
      </c>
      <c r="K395" s="682">
        <f>'018-21-CAPA'!$F$37</f>
        <v>4974259.4398541162</v>
      </c>
      <c r="L395" s="689">
        <f t="shared" si="38"/>
        <v>7.4505805969238281E-9</v>
      </c>
      <c r="M395" s="228"/>
      <c r="N395" s="93"/>
      <c r="P395" s="95"/>
    </row>
    <row r="396" spans="1:16" s="94" customFormat="1" ht="38.25">
      <c r="A396" s="343">
        <v>89686</v>
      </c>
      <c r="B396" s="147" t="s">
        <v>2062</v>
      </c>
      <c r="C396" s="351" t="s">
        <v>109</v>
      </c>
      <c r="D396" s="351">
        <v>8</v>
      </c>
      <c r="E396" s="351" t="s">
        <v>23096</v>
      </c>
      <c r="F396" s="352">
        <v>0.2094</v>
      </c>
      <c r="G396" s="353">
        <f t="shared" si="40"/>
        <v>167.19955000000002</v>
      </c>
      <c r="H396" s="353">
        <f t="shared" si="41"/>
        <v>1337.5964000000001</v>
      </c>
      <c r="I396" s="354">
        <f t="shared" si="39"/>
        <v>2.6890362599165735E-4</v>
      </c>
      <c r="J396" s="354">
        <f t="shared" si="37"/>
        <v>0.96848654065076545</v>
      </c>
      <c r="K396" s="682">
        <f>'018-21-CAPA'!$F$37</f>
        <v>4974259.4398541162</v>
      </c>
      <c r="L396" s="689">
        <f t="shared" si="38"/>
        <v>7.4505805969238281E-9</v>
      </c>
      <c r="M396" s="228"/>
      <c r="N396" s="93"/>
      <c r="P396" s="95"/>
    </row>
    <row r="397" spans="1:16" s="94" customFormat="1" ht="51">
      <c r="A397" s="343">
        <v>89708</v>
      </c>
      <c r="B397" s="147" t="s">
        <v>2347</v>
      </c>
      <c r="C397" s="351" t="s">
        <v>109</v>
      </c>
      <c r="D397" s="351">
        <v>13</v>
      </c>
      <c r="E397" s="351" t="s">
        <v>19974</v>
      </c>
      <c r="F397" s="352">
        <v>0.2094</v>
      </c>
      <c r="G397" s="353">
        <f t="shared" si="40"/>
        <v>102.77481200000001</v>
      </c>
      <c r="H397" s="353">
        <f t="shared" si="41"/>
        <v>1336.0725560000001</v>
      </c>
      <c r="I397" s="354">
        <f t="shared" si="39"/>
        <v>2.6859728008862886E-4</v>
      </c>
      <c r="J397" s="354">
        <f t="shared" ref="J397:J460" si="42">I397+J396</f>
        <v>0.9687551379308541</v>
      </c>
      <c r="K397" s="682">
        <f>'018-21-CAPA'!$F$37</f>
        <v>4974259.4398541162</v>
      </c>
      <c r="L397" s="689">
        <f t="shared" si="38"/>
        <v>7.4505805969238281E-9</v>
      </c>
      <c r="M397" s="228"/>
      <c r="N397" s="93"/>
      <c r="P397" s="95"/>
    </row>
    <row r="398" spans="1:16" s="94" customFormat="1" ht="51">
      <c r="A398" s="343">
        <v>89711</v>
      </c>
      <c r="B398" s="147" t="s">
        <v>1776</v>
      </c>
      <c r="C398" s="351" t="s">
        <v>5</v>
      </c>
      <c r="D398" s="351">
        <v>59.57</v>
      </c>
      <c r="E398" s="351" t="s">
        <v>10351</v>
      </c>
      <c r="F398" s="352">
        <v>0.2094</v>
      </c>
      <c r="G398" s="353">
        <f t="shared" si="40"/>
        <v>21.962704000000002</v>
      </c>
      <c r="H398" s="353">
        <f t="shared" si="41"/>
        <v>1308.3182772800001</v>
      </c>
      <c r="I398" s="354">
        <f t="shared" si="39"/>
        <v>2.6301770004147031E-4</v>
      </c>
      <c r="J398" s="354">
        <f t="shared" si="42"/>
        <v>0.96901815563089555</v>
      </c>
      <c r="K398" s="682">
        <f>'018-21-CAPA'!$F$37</f>
        <v>4974259.4398541162</v>
      </c>
      <c r="L398" s="689">
        <f t="shared" si="38"/>
        <v>7.4505805969238281E-9</v>
      </c>
      <c r="M398" s="228"/>
      <c r="N398" s="93"/>
      <c r="P398" s="95"/>
    </row>
    <row r="399" spans="1:16" s="94" customFormat="1" ht="25.5">
      <c r="A399" s="343">
        <v>88484</v>
      </c>
      <c r="B399" s="147" t="s">
        <v>2709</v>
      </c>
      <c r="C399" s="351" t="s">
        <v>193</v>
      </c>
      <c r="D399" s="351">
        <v>368.85</v>
      </c>
      <c r="E399" s="351" t="s">
        <v>9889</v>
      </c>
      <c r="F399" s="352">
        <v>0.2094</v>
      </c>
      <c r="G399" s="353">
        <f t="shared" si="40"/>
        <v>3.5314480000000001</v>
      </c>
      <c r="H399" s="353">
        <f t="shared" si="41"/>
        <v>1302.5745948000001</v>
      </c>
      <c r="I399" s="354">
        <f t="shared" si="39"/>
        <v>2.6186301911872205E-4</v>
      </c>
      <c r="J399" s="354">
        <f t="shared" si="42"/>
        <v>0.96928001865001423</v>
      </c>
      <c r="K399" s="682">
        <f>'018-21-CAPA'!$F$37</f>
        <v>4974259.4398541162</v>
      </c>
      <c r="L399" s="689">
        <f t="shared" si="38"/>
        <v>7.4505805969238281E-9</v>
      </c>
      <c r="M399" s="228"/>
      <c r="N399" s="93"/>
      <c r="P399" s="95"/>
    </row>
    <row r="400" spans="1:16" s="94" customFormat="1" ht="51">
      <c r="A400" s="343">
        <v>92390</v>
      </c>
      <c r="B400" s="147" t="s">
        <v>13308</v>
      </c>
      <c r="C400" s="351" t="s">
        <v>109</v>
      </c>
      <c r="D400" s="351">
        <v>10</v>
      </c>
      <c r="E400" s="351" t="s">
        <v>15805</v>
      </c>
      <c r="F400" s="352">
        <v>0.2094</v>
      </c>
      <c r="G400" s="353">
        <f t="shared" si="40"/>
        <v>129.34533000000002</v>
      </c>
      <c r="H400" s="353">
        <f t="shared" si="41"/>
        <v>1293.4533000000001</v>
      </c>
      <c r="I400" s="354">
        <f t="shared" si="39"/>
        <v>2.6002932007059449E-4</v>
      </c>
      <c r="J400" s="354">
        <f t="shared" si="42"/>
        <v>0.96954004797008486</v>
      </c>
      <c r="K400" s="682">
        <f>'018-21-CAPA'!$F$37</f>
        <v>4974259.4398541162</v>
      </c>
      <c r="L400" s="689">
        <f t="shared" si="38"/>
        <v>7.4505805969238281E-9</v>
      </c>
      <c r="M400" s="228"/>
      <c r="N400" s="93"/>
      <c r="P400" s="95"/>
    </row>
    <row r="401" spans="1:16" s="94" customFormat="1" ht="38.25">
      <c r="A401" s="343">
        <v>99633</v>
      </c>
      <c r="B401" s="147" t="s">
        <v>4346</v>
      </c>
      <c r="C401" s="351" t="s">
        <v>109</v>
      </c>
      <c r="D401" s="351">
        <v>3</v>
      </c>
      <c r="E401" s="351" t="s">
        <v>23608</v>
      </c>
      <c r="F401" s="352">
        <v>0.2094</v>
      </c>
      <c r="G401" s="353">
        <f t="shared" si="40"/>
        <v>424.48730600000005</v>
      </c>
      <c r="H401" s="353">
        <f t="shared" si="41"/>
        <v>1273.4619180000002</v>
      </c>
      <c r="I401" s="354">
        <f t="shared" si="39"/>
        <v>2.5601035358086384E-4</v>
      </c>
      <c r="J401" s="354">
        <f t="shared" si="42"/>
        <v>0.96979605832366578</v>
      </c>
      <c r="K401" s="682">
        <f>'018-21-CAPA'!$F$37</f>
        <v>4974259.4398541162</v>
      </c>
      <c r="L401" s="689">
        <f t="shared" si="38"/>
        <v>7.4505805969238281E-9</v>
      </c>
      <c r="M401" s="228"/>
      <c r="N401" s="93"/>
      <c r="P401" s="95"/>
    </row>
    <row r="402" spans="1:16" s="94" customFormat="1" ht="38.25">
      <c r="A402" s="343" t="s">
        <v>15466</v>
      </c>
      <c r="B402" s="147" t="s">
        <v>24615</v>
      </c>
      <c r="C402" s="351" t="s">
        <v>3240</v>
      </c>
      <c r="D402" s="351">
        <v>2</v>
      </c>
      <c r="E402" s="351">
        <v>518.49</v>
      </c>
      <c r="F402" s="352">
        <v>0.2094</v>
      </c>
      <c r="G402" s="353">
        <f t="shared" si="40"/>
        <v>627.06180600000005</v>
      </c>
      <c r="H402" s="353">
        <f t="shared" si="41"/>
        <v>1254.1236120000001</v>
      </c>
      <c r="I402" s="354">
        <f t="shared" si="39"/>
        <v>2.5212267819243111E-4</v>
      </c>
      <c r="J402" s="354">
        <f t="shared" si="42"/>
        <v>0.97004818100185819</v>
      </c>
      <c r="K402" s="682">
        <f>'018-21-CAPA'!$F$37</f>
        <v>4974259.4398541162</v>
      </c>
      <c r="L402" s="689">
        <f t="shared" si="38"/>
        <v>7.4505805969238281E-9</v>
      </c>
      <c r="M402" s="228"/>
      <c r="N402" s="93"/>
      <c r="P402" s="95"/>
    </row>
    <row r="403" spans="1:16" s="94" customFormat="1" ht="38.25">
      <c r="A403" s="343">
        <v>91222</v>
      </c>
      <c r="B403" s="147" t="s">
        <v>135</v>
      </c>
      <c r="C403" s="351" t="s">
        <v>5</v>
      </c>
      <c r="D403" s="351">
        <v>81.760000000000005</v>
      </c>
      <c r="E403" s="351" t="s">
        <v>11527</v>
      </c>
      <c r="F403" s="352">
        <v>0.2094</v>
      </c>
      <c r="G403" s="353">
        <f t="shared" si="40"/>
        <v>15.335191999999999</v>
      </c>
      <c r="H403" s="353">
        <f t="shared" si="41"/>
        <v>1253.8052979199999</v>
      </c>
      <c r="I403" s="354">
        <f t="shared" si="39"/>
        <v>2.5205868593713179E-4</v>
      </c>
      <c r="J403" s="354">
        <f t="shared" si="42"/>
        <v>0.97030023968779533</v>
      </c>
      <c r="K403" s="682">
        <f>'018-21-CAPA'!$F$37</f>
        <v>4974259.4398541162</v>
      </c>
      <c r="L403" s="689">
        <f t="shared" si="38"/>
        <v>7.4505805969238281E-9</v>
      </c>
      <c r="M403" s="228"/>
      <c r="N403" s="93"/>
      <c r="P403" s="95"/>
    </row>
    <row r="404" spans="1:16" s="94" customFormat="1" ht="25.5">
      <c r="A404" s="343" t="s">
        <v>15324</v>
      </c>
      <c r="B404" s="147" t="s">
        <v>17493</v>
      </c>
      <c r="C404" s="351" t="s">
        <v>109</v>
      </c>
      <c r="D404" s="351">
        <v>26</v>
      </c>
      <c r="E404" s="351">
        <v>39.08</v>
      </c>
      <c r="F404" s="352">
        <v>0.2094</v>
      </c>
      <c r="G404" s="353">
        <f t="shared" si="40"/>
        <v>47.263351999999998</v>
      </c>
      <c r="H404" s="353">
        <f t="shared" si="41"/>
        <v>1228.8471519999998</v>
      </c>
      <c r="I404" s="354">
        <f t="shared" si="39"/>
        <v>2.4704122630886356E-4</v>
      </c>
      <c r="J404" s="354">
        <f t="shared" si="42"/>
        <v>0.97054728091410414</v>
      </c>
      <c r="K404" s="682">
        <f>'018-21-CAPA'!$F$37</f>
        <v>4974259.4398541162</v>
      </c>
      <c r="L404" s="689">
        <f>K404-$F$772</f>
        <v>7.4505805969238281E-9</v>
      </c>
      <c r="M404" s="228"/>
      <c r="N404" s="93"/>
      <c r="P404" s="95"/>
    </row>
    <row r="405" spans="1:16" s="94" customFormat="1" ht="25.5">
      <c r="A405" s="343" t="s">
        <v>16883</v>
      </c>
      <c r="B405" s="147" t="s">
        <v>16884</v>
      </c>
      <c r="C405" s="351" t="s">
        <v>109</v>
      </c>
      <c r="D405" s="351">
        <v>2</v>
      </c>
      <c r="E405" s="351">
        <v>506.52000000000004</v>
      </c>
      <c r="F405" s="352">
        <v>0.2094</v>
      </c>
      <c r="G405" s="353">
        <f t="shared" si="40"/>
        <v>612.58528800000011</v>
      </c>
      <c r="H405" s="353">
        <f t="shared" si="41"/>
        <v>1225.1705760000002</v>
      </c>
      <c r="I405" s="354">
        <f t="shared" si="39"/>
        <v>2.4630210603489018E-4</v>
      </c>
      <c r="J405" s="354">
        <f t="shared" si="42"/>
        <v>0.97079358302013907</v>
      </c>
      <c r="K405" s="682">
        <f>'018-21-CAPA'!$F$37</f>
        <v>4974259.4398541162</v>
      </c>
      <c r="L405" s="689">
        <f>K405-$F$772</f>
        <v>7.4505805969238281E-9</v>
      </c>
      <c r="M405" s="228"/>
      <c r="N405" s="93"/>
      <c r="P405" s="95"/>
    </row>
    <row r="406" spans="1:16" s="94" customFormat="1" ht="25.5">
      <c r="A406" s="343" t="s">
        <v>14445</v>
      </c>
      <c r="B406" s="147" t="s">
        <v>18587</v>
      </c>
      <c r="C406" s="351" t="s">
        <v>109</v>
      </c>
      <c r="D406" s="351">
        <v>1</v>
      </c>
      <c r="E406" s="351">
        <v>1005.3199999999999</v>
      </c>
      <c r="F406" s="352">
        <v>0.2094</v>
      </c>
      <c r="G406" s="353">
        <f t="shared" si="40"/>
        <v>1215.834008</v>
      </c>
      <c r="H406" s="353">
        <f t="shared" si="41"/>
        <v>1215.834008</v>
      </c>
      <c r="I406" s="354">
        <f t="shared" si="39"/>
        <v>2.4442512954966813E-4</v>
      </c>
      <c r="J406" s="354">
        <f t="shared" si="42"/>
        <v>0.97103800814968877</v>
      </c>
      <c r="K406" s="682">
        <f>'018-21-CAPA'!$F$37</f>
        <v>4974259.4398541162</v>
      </c>
      <c r="L406" s="689">
        <f>K406-$F$772</f>
        <v>7.4505805969238281E-9</v>
      </c>
      <c r="M406" s="228"/>
      <c r="N406" s="93"/>
      <c r="P406" s="95"/>
    </row>
    <row r="407" spans="1:16" s="94" customFormat="1" ht="38.25">
      <c r="A407" s="343">
        <v>95601</v>
      </c>
      <c r="B407" s="147" t="s">
        <v>22177</v>
      </c>
      <c r="C407" s="351" t="s">
        <v>109</v>
      </c>
      <c r="D407" s="351">
        <v>71</v>
      </c>
      <c r="E407" s="351" t="s">
        <v>22178</v>
      </c>
      <c r="F407" s="352">
        <v>0.2094</v>
      </c>
      <c r="G407" s="353">
        <f t="shared" si="40"/>
        <v>16.665531999999999</v>
      </c>
      <c r="H407" s="353">
        <f t="shared" si="41"/>
        <v>1183.2527719999998</v>
      </c>
      <c r="I407" s="354">
        <f t="shared" si="39"/>
        <v>2.3787516238491649E-4</v>
      </c>
      <c r="J407" s="354">
        <f t="shared" si="42"/>
        <v>0.97127588331207371</v>
      </c>
      <c r="K407" s="682">
        <f>'018-21-CAPA'!$F$37</f>
        <v>4974259.4398541162</v>
      </c>
      <c r="L407" s="689">
        <f t="shared" ref="L407:L428" si="43">K407-$F$772</f>
        <v>7.4505805969238281E-9</v>
      </c>
      <c r="M407" s="228"/>
      <c r="N407" s="93"/>
      <c r="P407" s="95"/>
    </row>
    <row r="408" spans="1:16" s="94" customFormat="1" ht="38.25">
      <c r="A408" s="343" t="s">
        <v>24679</v>
      </c>
      <c r="B408" s="147" t="s">
        <v>24680</v>
      </c>
      <c r="C408" s="351" t="s">
        <v>5</v>
      </c>
      <c r="D408" s="351">
        <v>14.93</v>
      </c>
      <c r="E408" s="351">
        <v>65.14</v>
      </c>
      <c r="F408" s="352">
        <v>0.2094</v>
      </c>
      <c r="G408" s="353">
        <f t="shared" si="40"/>
        <v>78.780315999999999</v>
      </c>
      <c r="H408" s="353">
        <f t="shared" si="41"/>
        <v>1176.1901178799999</v>
      </c>
      <c r="I408" s="354">
        <f t="shared" si="39"/>
        <v>2.3645532206388026E-4</v>
      </c>
      <c r="J408" s="354">
        <f t="shared" si="42"/>
        <v>0.97151233863413755</v>
      </c>
      <c r="K408" s="682">
        <f>'018-21-CAPA'!$F$37</f>
        <v>4974259.4398541162</v>
      </c>
      <c r="L408" s="689">
        <f t="shared" si="43"/>
        <v>7.4505805969238281E-9</v>
      </c>
      <c r="M408" s="228"/>
      <c r="N408" s="93"/>
      <c r="P408" s="95"/>
    </row>
    <row r="409" spans="1:16" s="94" customFormat="1" ht="25.5">
      <c r="A409" s="343" t="s">
        <v>14954</v>
      </c>
      <c r="B409" s="147" t="s">
        <v>16840</v>
      </c>
      <c r="C409" s="351" t="s">
        <v>109</v>
      </c>
      <c r="D409" s="351">
        <v>2</v>
      </c>
      <c r="E409" s="351">
        <v>483.05</v>
      </c>
      <c r="F409" s="352">
        <v>0.2094</v>
      </c>
      <c r="G409" s="353">
        <f t="shared" si="40"/>
        <v>584.20067000000006</v>
      </c>
      <c r="H409" s="353">
        <f t="shared" si="41"/>
        <v>1168.4013400000001</v>
      </c>
      <c r="I409" s="354">
        <f t="shared" si="39"/>
        <v>2.3488950548873432E-4</v>
      </c>
      <c r="J409" s="354">
        <f t="shared" si="42"/>
        <v>0.97174722813962633</v>
      </c>
      <c r="K409" s="682">
        <f>'018-21-CAPA'!$F$37</f>
        <v>4974259.4398541162</v>
      </c>
      <c r="L409" s="689">
        <f t="shared" si="43"/>
        <v>7.4505805969238281E-9</v>
      </c>
      <c r="M409" s="228"/>
      <c r="N409" s="93"/>
      <c r="P409" s="95"/>
    </row>
    <row r="410" spans="1:16" s="94" customFormat="1" ht="51">
      <c r="A410" s="343">
        <v>92636</v>
      </c>
      <c r="B410" s="147" t="s">
        <v>13310</v>
      </c>
      <c r="C410" s="351" t="s">
        <v>109</v>
      </c>
      <c r="D410" s="351">
        <v>7</v>
      </c>
      <c r="E410" s="351" t="s">
        <v>23164</v>
      </c>
      <c r="F410" s="352">
        <v>0.2094</v>
      </c>
      <c r="G410" s="353">
        <f t="shared" si="40"/>
        <v>166.37715800000001</v>
      </c>
      <c r="H410" s="353">
        <f t="shared" si="41"/>
        <v>1164.6401060000001</v>
      </c>
      <c r="I410" s="354">
        <f t="shared" si="39"/>
        <v>2.3413336599792593E-4</v>
      </c>
      <c r="J410" s="354">
        <f t="shared" si="42"/>
        <v>0.97198136150562431</v>
      </c>
      <c r="K410" s="682">
        <f>'018-21-CAPA'!$F$37</f>
        <v>4974259.4398541162</v>
      </c>
      <c r="L410" s="689">
        <f t="shared" si="43"/>
        <v>7.4505805969238281E-9</v>
      </c>
      <c r="M410" s="228"/>
      <c r="N410" s="93"/>
      <c r="P410" s="95"/>
    </row>
    <row r="411" spans="1:16" s="94" customFormat="1" ht="25.5">
      <c r="A411" s="343">
        <v>98524</v>
      </c>
      <c r="B411" s="147" t="s">
        <v>4508</v>
      </c>
      <c r="C411" s="351" t="s">
        <v>193</v>
      </c>
      <c r="D411" s="351">
        <v>321.91000000000003</v>
      </c>
      <c r="E411" s="351" t="s">
        <v>9889</v>
      </c>
      <c r="F411" s="352">
        <v>0.2094</v>
      </c>
      <c r="G411" s="353">
        <f t="shared" si="40"/>
        <v>3.5314480000000001</v>
      </c>
      <c r="H411" s="353">
        <f t="shared" si="41"/>
        <v>1136.80842568</v>
      </c>
      <c r="I411" s="354">
        <f t="shared" si="39"/>
        <v>2.285382255239469E-4</v>
      </c>
      <c r="J411" s="354">
        <f t="shared" si="42"/>
        <v>0.97220989973114824</v>
      </c>
      <c r="K411" s="682">
        <f>'018-21-CAPA'!$F$37</f>
        <v>4974259.4398541162</v>
      </c>
      <c r="L411" s="689">
        <f t="shared" si="43"/>
        <v>7.4505805969238281E-9</v>
      </c>
      <c r="M411" s="228"/>
      <c r="N411" s="93"/>
      <c r="P411" s="95"/>
    </row>
    <row r="412" spans="1:16" s="94" customFormat="1" ht="51">
      <c r="A412" s="343">
        <v>101795</v>
      </c>
      <c r="B412" s="147" t="s">
        <v>13213</v>
      </c>
      <c r="C412" s="351" t="s">
        <v>109</v>
      </c>
      <c r="D412" s="351">
        <v>2</v>
      </c>
      <c r="E412" s="351" t="s">
        <v>22893</v>
      </c>
      <c r="F412" s="352">
        <v>0.2094</v>
      </c>
      <c r="G412" s="353">
        <f t="shared" si="40"/>
        <v>567.11184800000001</v>
      </c>
      <c r="H412" s="353">
        <f t="shared" si="41"/>
        <v>1134.223696</v>
      </c>
      <c r="I412" s="354">
        <f t="shared" si="39"/>
        <v>2.2801860452081004E-4</v>
      </c>
      <c r="J412" s="354">
        <f t="shared" si="42"/>
        <v>0.97243791833566906</v>
      </c>
      <c r="K412" s="682">
        <f>'018-21-CAPA'!$F$37</f>
        <v>4974259.4398541162</v>
      </c>
      <c r="L412" s="689">
        <f t="shared" si="43"/>
        <v>7.4505805969238281E-9</v>
      </c>
      <c r="M412" s="228"/>
      <c r="N412" s="93"/>
      <c r="P412" s="95"/>
    </row>
    <row r="413" spans="1:16" s="94" customFormat="1" ht="25.5">
      <c r="A413" s="343" t="s">
        <v>14791</v>
      </c>
      <c r="B413" s="147" t="s">
        <v>14792</v>
      </c>
      <c r="C413" s="351" t="s">
        <v>3243</v>
      </c>
      <c r="D413" s="351">
        <v>16.2</v>
      </c>
      <c r="E413" s="351">
        <v>57.86</v>
      </c>
      <c r="F413" s="352">
        <v>0.2094</v>
      </c>
      <c r="G413" s="353">
        <f t="shared" si="40"/>
        <v>69.975884000000008</v>
      </c>
      <c r="H413" s="353">
        <f t="shared" si="41"/>
        <v>1133.6093208</v>
      </c>
      <c r="I413" s="354">
        <f t="shared" si="39"/>
        <v>2.2789509363292234E-4</v>
      </c>
      <c r="J413" s="354">
        <f t="shared" si="42"/>
        <v>0.97266581342930203</v>
      </c>
      <c r="K413" s="682">
        <f>'018-21-CAPA'!$F$37</f>
        <v>4974259.4398541162</v>
      </c>
      <c r="L413" s="689">
        <f t="shared" si="43"/>
        <v>7.4505805969238281E-9</v>
      </c>
      <c r="M413" s="228"/>
      <c r="N413" s="93"/>
      <c r="P413" s="95"/>
    </row>
    <row r="414" spans="1:16" s="94" customFormat="1" ht="63.75">
      <c r="A414" s="343">
        <v>94746</v>
      </c>
      <c r="B414" s="147" t="s">
        <v>2316</v>
      </c>
      <c r="C414" s="351" t="s">
        <v>109</v>
      </c>
      <c r="D414" s="351">
        <v>30</v>
      </c>
      <c r="E414" s="351" t="s">
        <v>12420</v>
      </c>
      <c r="F414" s="352">
        <v>0.2094</v>
      </c>
      <c r="G414" s="353">
        <f t="shared" si="40"/>
        <v>37.285801999999997</v>
      </c>
      <c r="H414" s="353">
        <f t="shared" si="41"/>
        <v>1118.5740599999999</v>
      </c>
      <c r="I414" s="354">
        <f t="shared" si="39"/>
        <v>2.2487248072304144E-4</v>
      </c>
      <c r="J414" s="354">
        <f t="shared" si="42"/>
        <v>0.97289068591002503</v>
      </c>
      <c r="K414" s="682">
        <f>'018-21-CAPA'!$F$37</f>
        <v>4974259.4398541162</v>
      </c>
      <c r="L414" s="689">
        <f t="shared" si="43"/>
        <v>7.4505805969238281E-9</v>
      </c>
      <c r="M414" s="228"/>
      <c r="N414" s="93"/>
      <c r="P414" s="95"/>
    </row>
    <row r="415" spans="1:16" s="94" customFormat="1" ht="25.5">
      <c r="A415" s="343" t="s">
        <v>16902</v>
      </c>
      <c r="B415" s="147" t="s">
        <v>14988</v>
      </c>
      <c r="C415" s="351" t="s">
        <v>109</v>
      </c>
      <c r="D415" s="351">
        <v>10</v>
      </c>
      <c r="E415" s="351">
        <v>90.81</v>
      </c>
      <c r="F415" s="352">
        <v>0.2094</v>
      </c>
      <c r="G415" s="353">
        <f t="shared" si="40"/>
        <v>109.825614</v>
      </c>
      <c r="H415" s="353">
        <f t="shared" si="41"/>
        <v>1098.25614</v>
      </c>
      <c r="I415" s="354">
        <f t="shared" si="39"/>
        <v>2.2078786868266184E-4</v>
      </c>
      <c r="J415" s="354">
        <f t="shared" si="42"/>
        <v>0.97311147377870766</v>
      </c>
      <c r="K415" s="682">
        <f>'018-21-CAPA'!$F$37</f>
        <v>4974259.4398541162</v>
      </c>
      <c r="L415" s="689">
        <f t="shared" si="43"/>
        <v>7.4505805969238281E-9</v>
      </c>
      <c r="M415" s="228"/>
      <c r="N415" s="93"/>
      <c r="P415" s="95"/>
    </row>
    <row r="416" spans="1:16" s="94" customFormat="1" ht="38.25">
      <c r="A416" s="343" t="s">
        <v>15558</v>
      </c>
      <c r="B416" s="147" t="s">
        <v>24665</v>
      </c>
      <c r="C416" s="351" t="s">
        <v>3240</v>
      </c>
      <c r="D416" s="351">
        <v>1</v>
      </c>
      <c r="E416" s="351">
        <v>905.09</v>
      </c>
      <c r="F416" s="352">
        <v>0.2094</v>
      </c>
      <c r="G416" s="353">
        <f t="shared" si="40"/>
        <v>1094.6158460000001</v>
      </c>
      <c r="H416" s="353">
        <f t="shared" si="41"/>
        <v>1094.6158460000001</v>
      </c>
      <c r="I416" s="354">
        <f t="shared" si="39"/>
        <v>2.2005604235876054E-4</v>
      </c>
      <c r="J416" s="354">
        <f t="shared" si="42"/>
        <v>0.97333152982106641</v>
      </c>
      <c r="K416" s="682">
        <f>'018-21-CAPA'!$F$37</f>
        <v>4974259.4398541162</v>
      </c>
      <c r="L416" s="689">
        <f t="shared" si="43"/>
        <v>7.4505805969238281E-9</v>
      </c>
      <c r="M416" s="228"/>
      <c r="N416" s="93"/>
      <c r="P416" s="95"/>
    </row>
    <row r="417" spans="1:16" s="94" customFormat="1" ht="25.5">
      <c r="A417" s="343" t="s">
        <v>16901</v>
      </c>
      <c r="B417" s="147" t="s">
        <v>15050</v>
      </c>
      <c r="C417" s="351" t="s">
        <v>5</v>
      </c>
      <c r="D417" s="351">
        <v>111.8</v>
      </c>
      <c r="E417" s="351">
        <v>8.0399999999999991</v>
      </c>
      <c r="F417" s="352">
        <v>0.2094</v>
      </c>
      <c r="G417" s="353">
        <f t="shared" si="40"/>
        <v>9.7235759999999996</v>
      </c>
      <c r="H417" s="353">
        <f t="shared" si="41"/>
        <v>1087.0957968</v>
      </c>
      <c r="I417" s="354">
        <f t="shared" si="39"/>
        <v>2.1854424964048191E-4</v>
      </c>
      <c r="J417" s="354">
        <f t="shared" si="42"/>
        <v>0.97355007407070693</v>
      </c>
      <c r="K417" s="682">
        <f>'018-21-CAPA'!$F$37</f>
        <v>4974259.4398541162</v>
      </c>
      <c r="L417" s="689">
        <f t="shared" si="43"/>
        <v>7.4505805969238281E-9</v>
      </c>
      <c r="M417" s="228"/>
      <c r="N417" s="93"/>
      <c r="P417" s="95"/>
    </row>
    <row r="418" spans="1:16" s="94" customFormat="1" ht="25.5">
      <c r="A418" s="343" t="s">
        <v>14700</v>
      </c>
      <c r="B418" s="147" t="s">
        <v>14701</v>
      </c>
      <c r="C418" s="351" t="s">
        <v>193</v>
      </c>
      <c r="D418" s="351">
        <v>45.21</v>
      </c>
      <c r="E418" s="351">
        <v>19.88</v>
      </c>
      <c r="F418" s="352">
        <v>0.2094</v>
      </c>
      <c r="G418" s="353">
        <f t="shared" si="40"/>
        <v>24.042871999999999</v>
      </c>
      <c r="H418" s="353">
        <f t="shared" si="41"/>
        <v>1086.9782431199999</v>
      </c>
      <c r="I418" s="354">
        <f t="shared" si="39"/>
        <v>2.1852061724224824E-4</v>
      </c>
      <c r="J418" s="354">
        <f t="shared" si="42"/>
        <v>0.97376859468794918</v>
      </c>
      <c r="K418" s="682">
        <f>'018-21-CAPA'!$F$37</f>
        <v>4974259.4398541162</v>
      </c>
      <c r="L418" s="689">
        <f t="shared" si="43"/>
        <v>7.4505805969238281E-9</v>
      </c>
      <c r="M418" s="228"/>
      <c r="N418" s="93"/>
      <c r="P418" s="95"/>
    </row>
    <row r="419" spans="1:16" s="94" customFormat="1" ht="38.25">
      <c r="A419" s="343" t="s">
        <v>24784</v>
      </c>
      <c r="B419" s="147" t="s">
        <v>24791</v>
      </c>
      <c r="C419" s="351" t="s">
        <v>193</v>
      </c>
      <c r="D419" s="351">
        <v>450</v>
      </c>
      <c r="E419" s="351">
        <v>1.97</v>
      </c>
      <c r="F419" s="352">
        <v>0.2094</v>
      </c>
      <c r="G419" s="353">
        <f t="shared" si="40"/>
        <v>2.3825180000000001</v>
      </c>
      <c r="H419" s="353">
        <f t="shared" si="41"/>
        <v>1072.1331</v>
      </c>
      <c r="I419" s="354">
        <f t="shared" si="39"/>
        <v>2.1553622463074522E-4</v>
      </c>
      <c r="J419" s="354">
        <f t="shared" si="42"/>
        <v>0.97398413091257996</v>
      </c>
      <c r="K419" s="682">
        <f>'018-21-CAPA'!$F$37</f>
        <v>4974259.4398541162</v>
      </c>
      <c r="L419" s="689">
        <f t="shared" si="43"/>
        <v>7.4505805969238281E-9</v>
      </c>
      <c r="M419" s="228"/>
      <c r="N419" s="93"/>
      <c r="P419" s="95"/>
    </row>
    <row r="420" spans="1:16" s="94" customFormat="1" ht="51">
      <c r="A420" s="343">
        <v>89692</v>
      </c>
      <c r="B420" s="147" t="s">
        <v>2067</v>
      </c>
      <c r="C420" s="351" t="s">
        <v>109</v>
      </c>
      <c r="D420" s="351">
        <v>13</v>
      </c>
      <c r="E420" s="351" t="s">
        <v>23098</v>
      </c>
      <c r="F420" s="352">
        <v>0.2094</v>
      </c>
      <c r="G420" s="353">
        <f t="shared" si="40"/>
        <v>82.021507999999997</v>
      </c>
      <c r="H420" s="353">
        <f t="shared" si="41"/>
        <v>1066.2796040000001</v>
      </c>
      <c r="I420" s="354">
        <f t="shared" si="39"/>
        <v>2.1435946735244538E-4</v>
      </c>
      <c r="J420" s="354">
        <f t="shared" si="42"/>
        <v>0.97419849037993245</v>
      </c>
      <c r="K420" s="682">
        <f>'018-21-CAPA'!$F$37</f>
        <v>4974259.4398541162</v>
      </c>
      <c r="L420" s="689">
        <f t="shared" si="43"/>
        <v>7.4505805969238281E-9</v>
      </c>
      <c r="M420" s="228"/>
      <c r="N420" s="93"/>
      <c r="P420" s="95"/>
    </row>
    <row r="421" spans="1:16" s="94" customFormat="1">
      <c r="A421" s="343" t="s">
        <v>15457</v>
      </c>
      <c r="B421" s="147" t="s">
        <v>24660</v>
      </c>
      <c r="C421" s="351" t="s">
        <v>193</v>
      </c>
      <c r="D421" s="351">
        <v>2.7450000000000001</v>
      </c>
      <c r="E421" s="351">
        <v>318.83000000000004</v>
      </c>
      <c r="F421" s="352">
        <v>0.2094</v>
      </c>
      <c r="G421" s="353">
        <f t="shared" si="40"/>
        <v>385.59300200000007</v>
      </c>
      <c r="H421" s="353">
        <f t="shared" si="41"/>
        <v>1058.4527904900003</v>
      </c>
      <c r="I421" s="354">
        <f t="shared" si="39"/>
        <v>2.1278600428630717E-4</v>
      </c>
      <c r="J421" s="354">
        <f t="shared" si="42"/>
        <v>0.97441127638421876</v>
      </c>
      <c r="K421" s="682">
        <f>'018-21-CAPA'!$F$37</f>
        <v>4974259.4398541162</v>
      </c>
      <c r="L421" s="689">
        <f t="shared" si="43"/>
        <v>7.4505805969238281E-9</v>
      </c>
      <c r="M421" s="228"/>
      <c r="N421" s="93"/>
      <c r="P421" s="95"/>
    </row>
    <row r="422" spans="1:16" s="94" customFormat="1" ht="25.5">
      <c r="A422" s="343" t="s">
        <v>18696</v>
      </c>
      <c r="B422" s="147" t="s">
        <v>18699</v>
      </c>
      <c r="C422" s="351" t="s">
        <v>5</v>
      </c>
      <c r="D422" s="351">
        <v>89.59</v>
      </c>
      <c r="E422" s="351">
        <v>9.629999999999999</v>
      </c>
      <c r="F422" s="352">
        <v>0.2094</v>
      </c>
      <c r="G422" s="353">
        <f t="shared" si="40"/>
        <v>11.646521999999999</v>
      </c>
      <c r="H422" s="353">
        <f t="shared" si="41"/>
        <v>1043.41190598</v>
      </c>
      <c r="I422" s="354">
        <f t="shared" si="39"/>
        <v>2.0976226081416503E-4</v>
      </c>
      <c r="J422" s="354">
        <f t="shared" si="42"/>
        <v>0.97462103864503291</v>
      </c>
      <c r="K422" s="682">
        <f>'018-21-CAPA'!$F$37</f>
        <v>4974259.4398541162</v>
      </c>
      <c r="L422" s="689">
        <f t="shared" si="43"/>
        <v>7.4505805969238281E-9</v>
      </c>
      <c r="M422" s="228"/>
      <c r="N422" s="93"/>
      <c r="P422" s="95"/>
    </row>
    <row r="423" spans="1:16" s="94" customFormat="1" ht="38.25">
      <c r="A423" s="343">
        <v>89576</v>
      </c>
      <c r="B423" s="147" t="s">
        <v>1769</v>
      </c>
      <c r="C423" s="351" t="s">
        <v>5</v>
      </c>
      <c r="D423" s="351">
        <v>34.75</v>
      </c>
      <c r="E423" s="351" t="s">
        <v>9893</v>
      </c>
      <c r="F423" s="352">
        <v>0.2094</v>
      </c>
      <c r="G423" s="353">
        <f t="shared" si="40"/>
        <v>29.920555999999998</v>
      </c>
      <c r="H423" s="353">
        <f t="shared" si="41"/>
        <v>1039.739321</v>
      </c>
      <c r="I423" s="354">
        <f t="shared" si="39"/>
        <v>2.0902394287469951E-4</v>
      </c>
      <c r="J423" s="354">
        <f t="shared" si="42"/>
        <v>0.97483006258790761</v>
      </c>
      <c r="K423" s="682">
        <f>'018-21-CAPA'!$F$37</f>
        <v>4974259.4398541162</v>
      </c>
      <c r="L423" s="689">
        <f t="shared" si="43"/>
        <v>7.4505805969238281E-9</v>
      </c>
      <c r="M423" s="228"/>
      <c r="N423" s="93"/>
      <c r="P423" s="95"/>
    </row>
    <row r="424" spans="1:16" s="94" customFormat="1" ht="51">
      <c r="A424" s="343">
        <v>92785</v>
      </c>
      <c r="B424" s="147" t="s">
        <v>1390</v>
      </c>
      <c r="C424" s="351" t="s">
        <v>108</v>
      </c>
      <c r="D424" s="351">
        <v>55</v>
      </c>
      <c r="E424" s="351" t="s">
        <v>12213</v>
      </c>
      <c r="F424" s="352">
        <v>0.2094</v>
      </c>
      <c r="G424" s="353">
        <f t="shared" si="40"/>
        <v>18.854545999999999</v>
      </c>
      <c r="H424" s="353">
        <f t="shared" si="41"/>
        <v>1037.0000299999999</v>
      </c>
      <c r="I424" s="354">
        <f t="shared" si="39"/>
        <v>2.0847324964425547E-4</v>
      </c>
      <c r="J424" s="354">
        <f t="shared" si="42"/>
        <v>0.97503853583755185</v>
      </c>
      <c r="K424" s="682">
        <f>'018-21-CAPA'!$F$37</f>
        <v>4974259.4398541162</v>
      </c>
      <c r="L424" s="689">
        <f t="shared" si="43"/>
        <v>7.4505805969238281E-9</v>
      </c>
      <c r="M424" s="228"/>
      <c r="N424" s="93"/>
      <c r="P424" s="95"/>
    </row>
    <row r="425" spans="1:16" s="94" customFormat="1" ht="38.25">
      <c r="A425" s="343" t="s">
        <v>15445</v>
      </c>
      <c r="B425" s="147" t="s">
        <v>24677</v>
      </c>
      <c r="C425" s="351" t="s">
        <v>3240</v>
      </c>
      <c r="D425" s="351">
        <v>1</v>
      </c>
      <c r="E425" s="351">
        <v>844.24</v>
      </c>
      <c r="F425" s="352">
        <v>0.2094</v>
      </c>
      <c r="G425" s="353">
        <f t="shared" si="40"/>
        <v>1021.023856</v>
      </c>
      <c r="H425" s="353">
        <f t="shared" si="41"/>
        <v>1021.023856</v>
      </c>
      <c r="I425" s="354">
        <f t="shared" si="39"/>
        <v>2.0526148029583794E-4</v>
      </c>
      <c r="J425" s="354">
        <f t="shared" si="42"/>
        <v>0.97524379731784772</v>
      </c>
      <c r="K425" s="682">
        <f>'018-21-CAPA'!$F$37</f>
        <v>4974259.4398541162</v>
      </c>
      <c r="L425" s="689">
        <f t="shared" si="43"/>
        <v>7.4505805969238281E-9</v>
      </c>
      <c r="M425" s="228"/>
      <c r="N425" s="93"/>
      <c r="P425" s="95"/>
    </row>
    <row r="426" spans="1:16" s="94" customFormat="1" ht="25.5">
      <c r="A426" s="343" t="s">
        <v>17903</v>
      </c>
      <c r="B426" s="147" t="s">
        <v>18713</v>
      </c>
      <c r="C426" s="351" t="s">
        <v>3240</v>
      </c>
      <c r="D426" s="351">
        <v>18</v>
      </c>
      <c r="E426" s="351">
        <v>46.39</v>
      </c>
      <c r="F426" s="352">
        <v>0.2094</v>
      </c>
      <c r="G426" s="353">
        <f t="shared" si="40"/>
        <v>56.104066000000003</v>
      </c>
      <c r="H426" s="353">
        <f t="shared" si="41"/>
        <v>1009.873188</v>
      </c>
      <c r="I426" s="354">
        <f t="shared" si="39"/>
        <v>2.0301980630701055E-4</v>
      </c>
      <c r="J426" s="354">
        <f t="shared" si="42"/>
        <v>0.97544681712415471</v>
      </c>
      <c r="K426" s="682">
        <f>'018-21-CAPA'!$F$37</f>
        <v>4974259.4398541162</v>
      </c>
      <c r="L426" s="689">
        <f t="shared" si="43"/>
        <v>7.4505805969238281E-9</v>
      </c>
      <c r="M426" s="228"/>
      <c r="N426" s="93"/>
      <c r="P426" s="95"/>
    </row>
    <row r="427" spans="1:16" s="94" customFormat="1" ht="38.25">
      <c r="A427" s="343">
        <v>86877</v>
      </c>
      <c r="B427" s="147" t="s">
        <v>10679</v>
      </c>
      <c r="C427" s="351" t="s">
        <v>109</v>
      </c>
      <c r="D427" s="351">
        <v>30</v>
      </c>
      <c r="E427" s="351" t="s">
        <v>23448</v>
      </c>
      <c r="F427" s="352">
        <v>0.2094</v>
      </c>
      <c r="G427" s="353">
        <f t="shared" si="40"/>
        <v>33.621320000000004</v>
      </c>
      <c r="H427" s="353">
        <f t="shared" si="41"/>
        <v>1008.6396000000001</v>
      </c>
      <c r="I427" s="354">
        <f t="shared" si="39"/>
        <v>2.0277181200455897E-4</v>
      </c>
      <c r="J427" s="354">
        <f t="shared" si="42"/>
        <v>0.97564958893615927</v>
      </c>
      <c r="K427" s="682">
        <f>'018-21-CAPA'!$F$37</f>
        <v>4974259.4398541162</v>
      </c>
      <c r="L427" s="689">
        <f t="shared" si="43"/>
        <v>7.4505805969238281E-9</v>
      </c>
      <c r="M427" s="228"/>
      <c r="N427" s="93"/>
      <c r="P427" s="95"/>
    </row>
    <row r="428" spans="1:16" s="94" customFormat="1" ht="25.5">
      <c r="A428" s="343" t="s">
        <v>15523</v>
      </c>
      <c r="B428" s="147" t="s">
        <v>15538</v>
      </c>
      <c r="C428" s="351" t="s">
        <v>3240</v>
      </c>
      <c r="D428" s="351">
        <v>15</v>
      </c>
      <c r="E428" s="351">
        <v>55.43</v>
      </c>
      <c r="F428" s="352">
        <v>0.2094</v>
      </c>
      <c r="G428" s="353">
        <f t="shared" si="40"/>
        <v>67.037042</v>
      </c>
      <c r="H428" s="353">
        <f t="shared" si="41"/>
        <v>1005.55563</v>
      </c>
      <c r="I428" s="354">
        <f t="shared" si="39"/>
        <v>2.0215182624842989E-4</v>
      </c>
      <c r="J428" s="354">
        <f t="shared" si="42"/>
        <v>0.97585174076240766</v>
      </c>
      <c r="K428" s="682">
        <f>'018-21-CAPA'!$F$37</f>
        <v>4974259.4398541162</v>
      </c>
      <c r="L428" s="689">
        <f t="shared" si="43"/>
        <v>7.4505805969238281E-9</v>
      </c>
      <c r="M428" s="228"/>
      <c r="N428" s="93"/>
      <c r="P428" s="95"/>
    </row>
    <row r="429" spans="1:16" s="94" customFormat="1" ht="25.5">
      <c r="A429" s="343" t="s">
        <v>15547</v>
      </c>
      <c r="B429" s="147" t="s">
        <v>15532</v>
      </c>
      <c r="C429" s="351" t="s">
        <v>3240</v>
      </c>
      <c r="D429" s="351">
        <v>4</v>
      </c>
      <c r="E429" s="351">
        <v>205.91</v>
      </c>
      <c r="F429" s="352">
        <v>0.2094</v>
      </c>
      <c r="G429" s="353">
        <f t="shared" si="40"/>
        <v>249.02755400000001</v>
      </c>
      <c r="H429" s="353">
        <f t="shared" si="41"/>
        <v>996.11021600000004</v>
      </c>
      <c r="I429" s="354">
        <f t="shared" si="39"/>
        <v>2.0025296791299153E-4</v>
      </c>
      <c r="J429" s="354">
        <f t="shared" si="42"/>
        <v>0.9760519937303207</v>
      </c>
      <c r="K429" s="682">
        <f>'018-21-CAPA'!$F$37</f>
        <v>4974259.4398541162</v>
      </c>
      <c r="L429" s="689">
        <f t="shared" ref="L429:L434" si="44">K429-$F$772</f>
        <v>7.4505805969238281E-9</v>
      </c>
      <c r="M429" s="228"/>
      <c r="N429" s="93"/>
      <c r="P429" s="95"/>
    </row>
    <row r="430" spans="1:16" s="94" customFormat="1" ht="38.25">
      <c r="A430" s="343">
        <v>98527</v>
      </c>
      <c r="B430" s="147" t="s">
        <v>4514</v>
      </c>
      <c r="C430" s="351" t="s">
        <v>109</v>
      </c>
      <c r="D430" s="351">
        <v>6</v>
      </c>
      <c r="E430" s="351" t="s">
        <v>24375</v>
      </c>
      <c r="F430" s="352">
        <v>0.2094</v>
      </c>
      <c r="G430" s="353">
        <f t="shared" si="40"/>
        <v>164.91378400000002</v>
      </c>
      <c r="H430" s="353">
        <f t="shared" si="41"/>
        <v>989.48270400000013</v>
      </c>
      <c r="I430" s="354">
        <f t="shared" si="39"/>
        <v>1.9892060636648678E-4</v>
      </c>
      <c r="J430" s="354">
        <f t="shared" si="42"/>
        <v>0.9762509143366872</v>
      </c>
      <c r="K430" s="682">
        <f>'018-21-CAPA'!$F$37</f>
        <v>4974259.4398541162</v>
      </c>
      <c r="L430" s="689">
        <f t="shared" si="44"/>
        <v>7.4505805969238281E-9</v>
      </c>
      <c r="M430" s="228"/>
      <c r="N430" s="93"/>
      <c r="P430" s="95"/>
    </row>
    <row r="431" spans="1:16" s="94" customFormat="1" ht="51">
      <c r="A431" s="343">
        <v>89731</v>
      </c>
      <c r="B431" s="147" t="s">
        <v>2094</v>
      </c>
      <c r="C431" s="351" t="s">
        <v>109</v>
      </c>
      <c r="D431" s="351">
        <v>81</v>
      </c>
      <c r="E431" s="351" t="s">
        <v>10541</v>
      </c>
      <c r="F431" s="352">
        <v>0.2094</v>
      </c>
      <c r="G431" s="353">
        <f t="shared" si="40"/>
        <v>12.21494</v>
      </c>
      <c r="H431" s="353">
        <f t="shared" si="41"/>
        <v>989.41014000000007</v>
      </c>
      <c r="I431" s="354">
        <f t="shared" si="39"/>
        <v>1.9890601846634255E-4</v>
      </c>
      <c r="J431" s="354">
        <f t="shared" si="42"/>
        <v>0.9764498203551536</v>
      </c>
      <c r="K431" s="682">
        <f>'018-21-CAPA'!$F$37</f>
        <v>4974259.4398541162</v>
      </c>
      <c r="L431" s="689">
        <f t="shared" si="44"/>
        <v>7.4505805969238281E-9</v>
      </c>
      <c r="M431" s="228"/>
      <c r="N431" s="93"/>
      <c r="P431" s="95"/>
    </row>
    <row r="432" spans="1:16" s="94" customFormat="1" ht="38.25">
      <c r="A432" s="343">
        <v>89450</v>
      </c>
      <c r="B432" s="147" t="s">
        <v>245</v>
      </c>
      <c r="C432" s="351" t="s">
        <v>5</v>
      </c>
      <c r="D432" s="351">
        <v>28.55</v>
      </c>
      <c r="E432" s="351" t="s">
        <v>15799</v>
      </c>
      <c r="F432" s="352">
        <v>0.2094</v>
      </c>
      <c r="G432" s="353">
        <f t="shared" si="40"/>
        <v>34.552558000000005</v>
      </c>
      <c r="H432" s="353">
        <f t="shared" si="41"/>
        <v>986.47553090000019</v>
      </c>
      <c r="I432" s="354">
        <f t="shared" si="39"/>
        <v>1.9831605947134371E-4</v>
      </c>
      <c r="J432" s="354">
        <f t="shared" si="42"/>
        <v>0.97664813641462489</v>
      </c>
      <c r="K432" s="682">
        <f>'018-21-CAPA'!$F$37</f>
        <v>4974259.4398541162</v>
      </c>
      <c r="L432" s="689">
        <f t="shared" si="44"/>
        <v>7.4505805969238281E-9</v>
      </c>
      <c r="M432" s="228"/>
      <c r="N432" s="93"/>
      <c r="P432" s="95"/>
    </row>
    <row r="433" spans="1:16" s="94" customFormat="1" ht="51">
      <c r="A433" s="343" t="s">
        <v>9019</v>
      </c>
      <c r="B433" s="147" t="s">
        <v>16969</v>
      </c>
      <c r="C433" s="351" t="s">
        <v>5</v>
      </c>
      <c r="D433" s="351">
        <v>19.02</v>
      </c>
      <c r="E433" s="351">
        <v>42.64</v>
      </c>
      <c r="F433" s="352">
        <v>0.2094</v>
      </c>
      <c r="G433" s="353">
        <f t="shared" si="40"/>
        <v>51.568816000000005</v>
      </c>
      <c r="H433" s="353">
        <f t="shared" si="41"/>
        <v>980.83888032000004</v>
      </c>
      <c r="I433" s="354">
        <f t="shared" si="39"/>
        <v>1.9718289570130811E-4</v>
      </c>
      <c r="J433" s="354">
        <f t="shared" si="42"/>
        <v>0.97684531931032614</v>
      </c>
      <c r="K433" s="682">
        <f>'018-21-CAPA'!$F$37</f>
        <v>4974259.4398541162</v>
      </c>
      <c r="L433" s="689">
        <f t="shared" si="44"/>
        <v>7.4505805969238281E-9</v>
      </c>
      <c r="M433" s="228"/>
      <c r="N433" s="93"/>
      <c r="P433" s="95"/>
    </row>
    <row r="434" spans="1:16" s="94" customFormat="1" ht="63.75">
      <c r="A434" s="343" t="s">
        <v>14850</v>
      </c>
      <c r="B434" s="147" t="s">
        <v>16817</v>
      </c>
      <c r="C434" s="351" t="s">
        <v>5</v>
      </c>
      <c r="D434" s="351">
        <v>32.56</v>
      </c>
      <c r="E434" s="351">
        <v>24.890000000000004</v>
      </c>
      <c r="F434" s="352">
        <v>0.2094</v>
      </c>
      <c r="G434" s="353">
        <f t="shared" si="40"/>
        <v>30.101966000000004</v>
      </c>
      <c r="H434" s="353">
        <f t="shared" si="41"/>
        <v>980.12001296000017</v>
      </c>
      <c r="I434" s="354">
        <f t="shared" si="39"/>
        <v>1.9703837823721281E-4</v>
      </c>
      <c r="J434" s="354">
        <f t="shared" si="42"/>
        <v>0.9770423576885634</v>
      </c>
      <c r="K434" s="682">
        <f>'018-21-CAPA'!$F$37</f>
        <v>4974259.4398541162</v>
      </c>
      <c r="L434" s="689">
        <f t="shared" si="44"/>
        <v>7.4505805969238281E-9</v>
      </c>
      <c r="M434" s="228"/>
      <c r="N434" s="93"/>
      <c r="P434" s="95"/>
    </row>
    <row r="435" spans="1:16" s="94" customFormat="1" ht="38.25">
      <c r="A435" s="343" t="s">
        <v>18352</v>
      </c>
      <c r="B435" s="147" t="s">
        <v>18353</v>
      </c>
      <c r="C435" s="351" t="s">
        <v>109</v>
      </c>
      <c r="D435" s="351">
        <v>18</v>
      </c>
      <c r="E435" s="351">
        <v>44.949999999999996</v>
      </c>
      <c r="F435" s="352">
        <v>0.2094</v>
      </c>
      <c r="G435" s="353">
        <f t="shared" si="40"/>
        <v>54.36253</v>
      </c>
      <c r="H435" s="353">
        <f t="shared" si="41"/>
        <v>978.52553999999998</v>
      </c>
      <c r="I435" s="354">
        <f t="shared" si="39"/>
        <v>1.9671783344471061E-4</v>
      </c>
      <c r="J435" s="354">
        <f t="shared" si="42"/>
        <v>0.97723907552200806</v>
      </c>
      <c r="K435" s="682">
        <f>'018-21-CAPA'!$F$37</f>
        <v>4974259.4398541162</v>
      </c>
      <c r="L435" s="689">
        <f t="shared" ref="L435:L498" si="45">K435-$F$772</f>
        <v>7.4505805969238281E-9</v>
      </c>
      <c r="M435" s="228"/>
      <c r="N435" s="93"/>
      <c r="P435" s="95"/>
    </row>
    <row r="436" spans="1:16" s="94" customFormat="1" ht="25.5">
      <c r="A436" s="343" t="s">
        <v>16958</v>
      </c>
      <c r="B436" s="147" t="s">
        <v>14991</v>
      </c>
      <c r="C436" s="351" t="s">
        <v>109</v>
      </c>
      <c r="D436" s="351">
        <v>5</v>
      </c>
      <c r="E436" s="351">
        <v>161.65</v>
      </c>
      <c r="F436" s="352">
        <v>0.2094</v>
      </c>
      <c r="G436" s="353">
        <f t="shared" si="40"/>
        <v>195.49951000000001</v>
      </c>
      <c r="H436" s="353">
        <f t="shared" si="41"/>
        <v>977.49755000000005</v>
      </c>
      <c r="I436" s="354">
        <f t="shared" si="39"/>
        <v>1.9651117152600094E-4</v>
      </c>
      <c r="J436" s="354">
        <f t="shared" si="42"/>
        <v>0.97743558669353403</v>
      </c>
      <c r="K436" s="682">
        <f>'018-21-CAPA'!$F$37</f>
        <v>4974259.4398541162</v>
      </c>
      <c r="L436" s="689">
        <f t="shared" si="45"/>
        <v>7.4505805969238281E-9</v>
      </c>
      <c r="M436" s="228"/>
      <c r="N436" s="93"/>
      <c r="P436" s="95"/>
    </row>
    <row r="437" spans="1:16" s="94" customFormat="1" ht="38.25">
      <c r="A437" s="343" t="s">
        <v>15464</v>
      </c>
      <c r="B437" s="147" t="s">
        <v>24606</v>
      </c>
      <c r="C437" s="351" t="s">
        <v>3240</v>
      </c>
      <c r="D437" s="351">
        <v>1</v>
      </c>
      <c r="E437" s="351">
        <v>805.4899999999999</v>
      </c>
      <c r="F437" s="352">
        <v>0.2094</v>
      </c>
      <c r="G437" s="353">
        <f t="shared" si="40"/>
        <v>974.15960599999994</v>
      </c>
      <c r="H437" s="353">
        <f t="shared" si="41"/>
        <v>974.15960599999994</v>
      </c>
      <c r="I437" s="354">
        <f t="shared" si="39"/>
        <v>1.9584012811936711E-4</v>
      </c>
      <c r="J437" s="354">
        <f t="shared" si="42"/>
        <v>0.97763142682165338</v>
      </c>
      <c r="K437" s="682">
        <f>'018-21-CAPA'!$F$37</f>
        <v>4974259.4398541162</v>
      </c>
      <c r="L437" s="689">
        <f t="shared" si="45"/>
        <v>7.4505805969238281E-9</v>
      </c>
      <c r="M437" s="228"/>
      <c r="N437" s="93"/>
      <c r="P437" s="95"/>
    </row>
    <row r="438" spans="1:16" s="94" customFormat="1" ht="38.25">
      <c r="A438" s="343">
        <v>97599</v>
      </c>
      <c r="B438" s="147" t="s">
        <v>10386</v>
      </c>
      <c r="C438" s="351" t="s">
        <v>109</v>
      </c>
      <c r="D438" s="351">
        <v>27</v>
      </c>
      <c r="E438" s="351" t="s">
        <v>12430</v>
      </c>
      <c r="F438" s="352">
        <v>0.2094</v>
      </c>
      <c r="G438" s="353">
        <f t="shared" si="40"/>
        <v>35.774051999999998</v>
      </c>
      <c r="H438" s="353">
        <f t="shared" si="41"/>
        <v>965.89940399999989</v>
      </c>
      <c r="I438" s="354">
        <f t="shared" si="39"/>
        <v>1.9417953881961753E-4</v>
      </c>
      <c r="J438" s="354">
        <f t="shared" si="42"/>
        <v>0.977825606360473</v>
      </c>
      <c r="K438" s="682">
        <f>'018-21-CAPA'!$F$37</f>
        <v>4974259.4398541162</v>
      </c>
      <c r="L438" s="689">
        <f t="shared" si="45"/>
        <v>7.4505805969238281E-9</v>
      </c>
      <c r="M438" s="228"/>
      <c r="N438" s="93"/>
      <c r="P438" s="95"/>
    </row>
    <row r="439" spans="1:16" s="94" customFormat="1" ht="38.25">
      <c r="A439" s="343">
        <v>97549</v>
      </c>
      <c r="B439" s="147" t="s">
        <v>13515</v>
      </c>
      <c r="C439" s="351" t="s">
        <v>109</v>
      </c>
      <c r="D439" s="351">
        <v>20</v>
      </c>
      <c r="E439" s="351" t="s">
        <v>23410</v>
      </c>
      <c r="F439" s="352">
        <v>0.2094</v>
      </c>
      <c r="G439" s="353">
        <f t="shared" si="40"/>
        <v>48.073650000000001</v>
      </c>
      <c r="H439" s="353">
        <f t="shared" si="41"/>
        <v>961.47299999999996</v>
      </c>
      <c r="I439" s="354">
        <f t="shared" si="39"/>
        <v>1.9328967691082055E-4</v>
      </c>
      <c r="J439" s="354">
        <f t="shared" si="42"/>
        <v>0.97801889603738379</v>
      </c>
      <c r="K439" s="682">
        <f>'018-21-CAPA'!$F$37</f>
        <v>4974259.4398541162</v>
      </c>
      <c r="L439" s="689">
        <f t="shared" si="45"/>
        <v>7.4505805969238281E-9</v>
      </c>
      <c r="M439" s="228"/>
      <c r="N439" s="93"/>
      <c r="P439" s="95"/>
    </row>
    <row r="440" spans="1:16" s="94" customFormat="1" ht="63.75">
      <c r="A440" s="343">
        <v>94715</v>
      </c>
      <c r="B440" s="147" t="s">
        <v>2300</v>
      </c>
      <c r="C440" s="351" t="s">
        <v>109</v>
      </c>
      <c r="D440" s="351">
        <v>2</v>
      </c>
      <c r="E440" s="351" t="s">
        <v>23280</v>
      </c>
      <c r="F440" s="352">
        <v>0.2094</v>
      </c>
      <c r="G440" s="353">
        <f t="shared" si="40"/>
        <v>479.73269800000003</v>
      </c>
      <c r="H440" s="353">
        <f t="shared" si="41"/>
        <v>959.46539600000006</v>
      </c>
      <c r="I440" s="354">
        <f t="shared" si="39"/>
        <v>1.9288607834016402E-4</v>
      </c>
      <c r="J440" s="354">
        <f t="shared" si="42"/>
        <v>0.9782117821157239</v>
      </c>
      <c r="K440" s="682">
        <f>'018-21-CAPA'!$F$37</f>
        <v>4974259.4398541162</v>
      </c>
      <c r="L440" s="689">
        <f t="shared" si="45"/>
        <v>7.4505805969238281E-9</v>
      </c>
      <c r="M440" s="228"/>
      <c r="N440" s="93"/>
      <c r="P440" s="95"/>
    </row>
    <row r="441" spans="1:16" s="94" customFormat="1" ht="38.25">
      <c r="A441" s="343">
        <v>95745</v>
      </c>
      <c r="B441" s="147" t="s">
        <v>1542</v>
      </c>
      <c r="C441" s="351" t="s">
        <v>5</v>
      </c>
      <c r="D441" s="351">
        <v>42.65</v>
      </c>
      <c r="E441" s="351" t="s">
        <v>22575</v>
      </c>
      <c r="F441" s="352">
        <v>0.2094</v>
      </c>
      <c r="G441" s="353">
        <f t="shared" si="40"/>
        <v>22.422276</v>
      </c>
      <c r="H441" s="353">
        <f t="shared" si="41"/>
        <v>956.31007139999997</v>
      </c>
      <c r="I441" s="354">
        <f t="shared" si="39"/>
        <v>1.9225174781555983E-4</v>
      </c>
      <c r="J441" s="354">
        <f t="shared" si="42"/>
        <v>0.97840403386353947</v>
      </c>
      <c r="K441" s="682">
        <f>'018-21-CAPA'!$F$37</f>
        <v>4974259.4398541162</v>
      </c>
      <c r="L441" s="689">
        <f t="shared" si="45"/>
        <v>7.4505805969238281E-9</v>
      </c>
      <c r="M441" s="228"/>
      <c r="N441" s="93"/>
      <c r="P441" s="95"/>
    </row>
    <row r="442" spans="1:16" s="94" customFormat="1" ht="38.25">
      <c r="A442" s="343" t="s">
        <v>24691</v>
      </c>
      <c r="B442" s="147" t="s">
        <v>17783</v>
      </c>
      <c r="C442" s="351" t="s">
        <v>3240</v>
      </c>
      <c r="D442" s="351">
        <v>4</v>
      </c>
      <c r="E442" s="351">
        <v>196.21</v>
      </c>
      <c r="F442" s="352">
        <v>0.2094</v>
      </c>
      <c r="G442" s="353">
        <f t="shared" si="40"/>
        <v>237.29637400000001</v>
      </c>
      <c r="H442" s="353">
        <f t="shared" si="41"/>
        <v>949.18549600000006</v>
      </c>
      <c r="I442" s="354">
        <f t="shared" si="39"/>
        <v>1.9081945915306721E-4</v>
      </c>
      <c r="J442" s="354">
        <f t="shared" si="42"/>
        <v>0.97859485332269258</v>
      </c>
      <c r="K442" s="682">
        <f>'018-21-CAPA'!$F$37</f>
        <v>4974259.4398541162</v>
      </c>
      <c r="L442" s="689">
        <f t="shared" si="45"/>
        <v>7.4505805969238281E-9</v>
      </c>
      <c r="M442" s="228"/>
      <c r="N442" s="93"/>
      <c r="P442" s="95"/>
    </row>
    <row r="443" spans="1:16" s="94" customFormat="1" ht="76.5">
      <c r="A443" s="343">
        <v>94792</v>
      </c>
      <c r="B443" s="147" t="s">
        <v>2380</v>
      </c>
      <c r="C443" s="351" t="s">
        <v>109</v>
      </c>
      <c r="D443" s="351">
        <v>6</v>
      </c>
      <c r="E443" s="351" t="s">
        <v>23585</v>
      </c>
      <c r="F443" s="352">
        <v>0.2094</v>
      </c>
      <c r="G443" s="353">
        <f t="shared" si="40"/>
        <v>157.58482000000001</v>
      </c>
      <c r="H443" s="353">
        <f t="shared" si="41"/>
        <v>945.50891999999999</v>
      </c>
      <c r="I443" s="354">
        <f t="shared" si="39"/>
        <v>1.9008033887909373E-4</v>
      </c>
      <c r="J443" s="354">
        <f t="shared" si="42"/>
        <v>0.97878493366157171</v>
      </c>
      <c r="K443" s="682">
        <f>'018-21-CAPA'!$F$37</f>
        <v>4974259.4398541162</v>
      </c>
      <c r="L443" s="689">
        <f t="shared" si="45"/>
        <v>7.4505805969238281E-9</v>
      </c>
      <c r="M443" s="228"/>
      <c r="N443" s="93"/>
      <c r="P443" s="95"/>
    </row>
    <row r="444" spans="1:16" s="94" customFormat="1" ht="51">
      <c r="A444" s="343" t="s">
        <v>11602</v>
      </c>
      <c r="B444" s="147" t="s">
        <v>16991</v>
      </c>
      <c r="C444" s="351" t="s">
        <v>109</v>
      </c>
      <c r="D444" s="351">
        <v>10</v>
      </c>
      <c r="E444" s="351">
        <v>77.92</v>
      </c>
      <c r="F444" s="352">
        <v>0.2094</v>
      </c>
      <c r="G444" s="353">
        <f t="shared" si="40"/>
        <v>94.23644800000001</v>
      </c>
      <c r="H444" s="353">
        <f t="shared" si="41"/>
        <v>942.36448000000007</v>
      </c>
      <c r="I444" s="354">
        <f t="shared" si="39"/>
        <v>1.8944819653951119E-4</v>
      </c>
      <c r="J444" s="354">
        <f t="shared" si="42"/>
        <v>0.97897438185811125</v>
      </c>
      <c r="K444" s="682">
        <f>'018-21-CAPA'!$F$37</f>
        <v>4974259.4398541162</v>
      </c>
      <c r="L444" s="689">
        <f t="shared" si="45"/>
        <v>7.4505805969238281E-9</v>
      </c>
      <c r="M444" s="228"/>
      <c r="N444" s="93"/>
      <c r="P444" s="95"/>
    </row>
    <row r="445" spans="1:16" s="94" customFormat="1" ht="25.5">
      <c r="A445" s="343" t="s">
        <v>24792</v>
      </c>
      <c r="B445" s="147" t="s">
        <v>24794</v>
      </c>
      <c r="C445" s="351" t="s">
        <v>193</v>
      </c>
      <c r="D445" s="351">
        <v>450</v>
      </c>
      <c r="E445" s="351">
        <v>1.73</v>
      </c>
      <c r="F445" s="352">
        <v>0.2094</v>
      </c>
      <c r="G445" s="353">
        <f t="shared" si="40"/>
        <v>2.0922619999999998</v>
      </c>
      <c r="H445" s="353">
        <f t="shared" si="41"/>
        <v>941.51789999999994</v>
      </c>
      <c r="I445" s="354">
        <f t="shared" si="39"/>
        <v>1.8927800437116201E-4</v>
      </c>
      <c r="J445" s="354">
        <f t="shared" si="42"/>
        <v>0.97916365986248244</v>
      </c>
      <c r="K445" s="682">
        <f>'018-21-CAPA'!$F$37</f>
        <v>4974259.4398541162</v>
      </c>
      <c r="L445" s="689">
        <f t="shared" si="45"/>
        <v>7.4505805969238281E-9</v>
      </c>
      <c r="M445" s="228"/>
      <c r="N445" s="93"/>
      <c r="P445" s="95"/>
    </row>
    <row r="446" spans="1:16" s="94" customFormat="1" ht="38.25">
      <c r="A446" s="343" t="s">
        <v>15561</v>
      </c>
      <c r="B446" s="147" t="s">
        <v>24669</v>
      </c>
      <c r="C446" s="351" t="s">
        <v>3240</v>
      </c>
      <c r="D446" s="351">
        <v>1</v>
      </c>
      <c r="E446" s="351">
        <v>765.65</v>
      </c>
      <c r="F446" s="352">
        <v>0.2094</v>
      </c>
      <c r="G446" s="353">
        <f t="shared" si="40"/>
        <v>925.97711000000004</v>
      </c>
      <c r="H446" s="353">
        <f t="shared" si="41"/>
        <v>925.97711000000004</v>
      </c>
      <c r="I446" s="354">
        <f t="shared" si="39"/>
        <v>1.8615376242360978E-4</v>
      </c>
      <c r="J446" s="354">
        <f t="shared" si="42"/>
        <v>0.97934981362490603</v>
      </c>
      <c r="K446" s="682">
        <f>'018-21-CAPA'!$F$37</f>
        <v>4974259.4398541162</v>
      </c>
      <c r="L446" s="689">
        <f t="shared" si="45"/>
        <v>7.4505805969238281E-9</v>
      </c>
      <c r="M446" s="228"/>
      <c r="N446" s="93"/>
      <c r="P446" s="95"/>
    </row>
    <row r="447" spans="1:16" s="94" customFormat="1" ht="38.25">
      <c r="A447" s="343" t="s">
        <v>24613</v>
      </c>
      <c r="B447" s="147" t="s">
        <v>17786</v>
      </c>
      <c r="C447" s="351" t="s">
        <v>3240</v>
      </c>
      <c r="D447" s="351">
        <v>2</v>
      </c>
      <c r="E447" s="351">
        <v>382.61</v>
      </c>
      <c r="F447" s="352">
        <v>0.2094</v>
      </c>
      <c r="G447" s="353">
        <f t="shared" si="40"/>
        <v>462.72853400000002</v>
      </c>
      <c r="H447" s="353">
        <f t="shared" si="41"/>
        <v>925.45706800000005</v>
      </c>
      <c r="I447" s="354">
        <f t="shared" si="39"/>
        <v>1.8604921580590958E-4</v>
      </c>
      <c r="J447" s="354">
        <f t="shared" si="42"/>
        <v>0.97953586284071192</v>
      </c>
      <c r="K447" s="682">
        <f>'018-21-CAPA'!$F$37</f>
        <v>4974259.4398541162</v>
      </c>
      <c r="L447" s="689">
        <f t="shared" si="45"/>
        <v>7.4505805969238281E-9</v>
      </c>
      <c r="M447" s="228"/>
      <c r="N447" s="93"/>
      <c r="P447" s="95"/>
    </row>
    <row r="448" spans="1:16" s="94" customFormat="1" ht="63.75">
      <c r="A448" s="343">
        <v>92366</v>
      </c>
      <c r="B448" s="147" t="s">
        <v>13232</v>
      </c>
      <c r="C448" s="351" t="s">
        <v>5</v>
      </c>
      <c r="D448" s="351">
        <v>7.5</v>
      </c>
      <c r="E448" s="351" t="s">
        <v>22949</v>
      </c>
      <c r="F448" s="352">
        <v>0.2094</v>
      </c>
      <c r="G448" s="353">
        <f t="shared" si="40"/>
        <v>123.10482600000002</v>
      </c>
      <c r="H448" s="353">
        <f t="shared" si="41"/>
        <v>923.28619500000013</v>
      </c>
      <c r="I448" s="354">
        <f t="shared" si="39"/>
        <v>1.8561279445992857E-4</v>
      </c>
      <c r="J448" s="354">
        <f t="shared" si="42"/>
        <v>0.97972147563517187</v>
      </c>
      <c r="K448" s="682">
        <f>'018-21-CAPA'!$F$37</f>
        <v>4974259.4398541162</v>
      </c>
      <c r="L448" s="689">
        <f t="shared" si="45"/>
        <v>7.4505805969238281E-9</v>
      </c>
      <c r="M448" s="228"/>
      <c r="N448" s="93"/>
      <c r="P448" s="95"/>
    </row>
    <row r="449" spans="1:16" s="94" customFormat="1" ht="38.25">
      <c r="A449" s="343">
        <v>89629</v>
      </c>
      <c r="B449" s="147" t="s">
        <v>258</v>
      </c>
      <c r="C449" s="351" t="s">
        <v>109</v>
      </c>
      <c r="D449" s="351">
        <v>9</v>
      </c>
      <c r="E449" s="351" t="s">
        <v>23084</v>
      </c>
      <c r="F449" s="352">
        <v>0.2094</v>
      </c>
      <c r="G449" s="353">
        <f t="shared" si="40"/>
        <v>102.49665</v>
      </c>
      <c r="H449" s="353">
        <f t="shared" si="41"/>
        <v>922.46985000000006</v>
      </c>
      <c r="I449" s="354">
        <f t="shared" si="39"/>
        <v>1.8544868058330616E-4</v>
      </c>
      <c r="J449" s="354">
        <f t="shared" si="42"/>
        <v>0.97990692431575521</v>
      </c>
      <c r="K449" s="682">
        <f>'018-21-CAPA'!$F$37</f>
        <v>4974259.4398541162</v>
      </c>
      <c r="L449" s="689">
        <f t="shared" si="45"/>
        <v>7.4505805969238281E-9</v>
      </c>
      <c r="M449" s="228"/>
      <c r="N449" s="93"/>
      <c r="P449" s="95"/>
    </row>
    <row r="450" spans="1:16" s="94" customFormat="1" ht="38.25">
      <c r="A450" s="343">
        <v>101798</v>
      </c>
      <c r="B450" s="147" t="s">
        <v>13214</v>
      </c>
      <c r="C450" s="351" t="s">
        <v>109</v>
      </c>
      <c r="D450" s="351">
        <v>2</v>
      </c>
      <c r="E450" s="351" t="s">
        <v>22894</v>
      </c>
      <c r="F450" s="352">
        <v>0.2094</v>
      </c>
      <c r="G450" s="353">
        <f t="shared" si="40"/>
        <v>456.56059399999998</v>
      </c>
      <c r="H450" s="353">
        <f t="shared" si="41"/>
        <v>913.12118799999996</v>
      </c>
      <c r="I450" s="354">
        <f t="shared" si="39"/>
        <v>1.8356927278139338E-4</v>
      </c>
      <c r="J450" s="354">
        <f t="shared" si="42"/>
        <v>0.98009049358853662</v>
      </c>
      <c r="K450" s="682">
        <f>'018-21-CAPA'!$F$37</f>
        <v>4974259.4398541162</v>
      </c>
      <c r="L450" s="689">
        <f t="shared" si="45"/>
        <v>7.4505805969238281E-9</v>
      </c>
      <c r="M450" s="228"/>
      <c r="N450" s="93"/>
      <c r="P450" s="95"/>
    </row>
    <row r="451" spans="1:16" s="94" customFormat="1" ht="25.5">
      <c r="A451" s="343">
        <v>100848</v>
      </c>
      <c r="B451" s="147" t="s">
        <v>10751</v>
      </c>
      <c r="C451" s="351" t="s">
        <v>109</v>
      </c>
      <c r="D451" s="351">
        <v>2</v>
      </c>
      <c r="E451" s="351" t="s">
        <v>23495</v>
      </c>
      <c r="F451" s="352">
        <v>0.2094</v>
      </c>
      <c r="G451" s="353">
        <f t="shared" si="40"/>
        <v>450.65872200000001</v>
      </c>
      <c r="H451" s="353">
        <f t="shared" si="41"/>
        <v>901.31744400000002</v>
      </c>
      <c r="I451" s="354">
        <f t="shared" si="39"/>
        <v>1.8119630769126811E-4</v>
      </c>
      <c r="J451" s="354">
        <f t="shared" si="42"/>
        <v>0.98027168989622793</v>
      </c>
      <c r="K451" s="682">
        <f>'018-21-CAPA'!$F$37</f>
        <v>4974259.4398541162</v>
      </c>
      <c r="L451" s="689">
        <f t="shared" si="45"/>
        <v>7.4505805969238281E-9</v>
      </c>
      <c r="M451" s="228"/>
      <c r="N451" s="93"/>
      <c r="P451" s="95"/>
    </row>
    <row r="452" spans="1:16" s="94" customFormat="1">
      <c r="A452" s="343" t="s">
        <v>18676</v>
      </c>
      <c r="B452" s="147" t="s">
        <v>18677</v>
      </c>
      <c r="C452" s="351" t="s">
        <v>193</v>
      </c>
      <c r="D452" s="351">
        <v>4</v>
      </c>
      <c r="E452" s="351">
        <v>184.9</v>
      </c>
      <c r="F452" s="352">
        <v>0.2094</v>
      </c>
      <c r="G452" s="353">
        <f t="shared" si="40"/>
        <v>223.61806000000001</v>
      </c>
      <c r="H452" s="353">
        <f t="shared" si="41"/>
        <v>894.47224000000006</v>
      </c>
      <c r="I452" s="354">
        <f t="shared" si="39"/>
        <v>1.7982018244433069E-4</v>
      </c>
      <c r="J452" s="354">
        <f t="shared" si="42"/>
        <v>0.98045151007867226</v>
      </c>
      <c r="K452" s="682">
        <f>'018-21-CAPA'!$F$37</f>
        <v>4974259.4398541162</v>
      </c>
      <c r="L452" s="689">
        <f t="shared" si="45"/>
        <v>7.4505805969238281E-9</v>
      </c>
      <c r="M452" s="228"/>
      <c r="N452" s="93"/>
      <c r="P452" s="95"/>
    </row>
    <row r="453" spans="1:16" s="94" customFormat="1" ht="38.25">
      <c r="A453" s="343">
        <v>89668</v>
      </c>
      <c r="B453" s="147" t="s">
        <v>2045</v>
      </c>
      <c r="C453" s="351" t="s">
        <v>109</v>
      </c>
      <c r="D453" s="351">
        <v>29</v>
      </c>
      <c r="E453" s="351" t="s">
        <v>23089</v>
      </c>
      <c r="F453" s="352">
        <v>0.2094</v>
      </c>
      <c r="G453" s="353">
        <f t="shared" si="40"/>
        <v>30.682478000000003</v>
      </c>
      <c r="H453" s="353">
        <f t="shared" si="41"/>
        <v>889.79186200000004</v>
      </c>
      <c r="I453" s="354">
        <f t="shared" si="39"/>
        <v>1.7887926288502896E-4</v>
      </c>
      <c r="J453" s="354">
        <f t="shared" si="42"/>
        <v>0.98063038934155733</v>
      </c>
      <c r="K453" s="682">
        <f>'018-21-CAPA'!$F$37</f>
        <v>4974259.4398541162</v>
      </c>
      <c r="L453" s="689">
        <f t="shared" si="45"/>
        <v>7.4505805969238281E-9</v>
      </c>
      <c r="M453" s="228"/>
      <c r="N453" s="93"/>
      <c r="P453" s="95"/>
    </row>
    <row r="454" spans="1:16" s="94" customFormat="1" ht="63.75">
      <c r="A454" s="343">
        <v>94497</v>
      </c>
      <c r="B454" s="147" t="s">
        <v>2375</v>
      </c>
      <c r="C454" s="351" t="s">
        <v>109</v>
      </c>
      <c r="D454" s="351">
        <v>6</v>
      </c>
      <c r="E454" s="351" t="s">
        <v>23580</v>
      </c>
      <c r="F454" s="352">
        <v>0.2094</v>
      </c>
      <c r="G454" s="353">
        <f t="shared" si="40"/>
        <v>147.76449200000002</v>
      </c>
      <c r="H454" s="353">
        <f t="shared" si="41"/>
        <v>886.58695200000011</v>
      </c>
      <c r="I454" s="354">
        <f t="shared" si="39"/>
        <v>1.782349639619929E-4</v>
      </c>
      <c r="J454" s="354">
        <f t="shared" si="42"/>
        <v>0.98080862430551929</v>
      </c>
      <c r="K454" s="682">
        <f>'018-21-CAPA'!$F$37</f>
        <v>4974259.4398541162</v>
      </c>
      <c r="L454" s="689">
        <f t="shared" si="45"/>
        <v>7.4505805969238281E-9</v>
      </c>
      <c r="M454" s="228"/>
      <c r="N454" s="93"/>
      <c r="P454" s="95"/>
    </row>
    <row r="455" spans="1:16" s="94" customFormat="1" ht="38.25">
      <c r="A455" s="343" t="s">
        <v>15724</v>
      </c>
      <c r="B455" s="147" t="s">
        <v>24673</v>
      </c>
      <c r="C455" s="351" t="s">
        <v>3240</v>
      </c>
      <c r="D455" s="351">
        <v>1</v>
      </c>
      <c r="E455" s="351">
        <v>732.69</v>
      </c>
      <c r="F455" s="352">
        <v>0.2094</v>
      </c>
      <c r="G455" s="353">
        <f t="shared" si="40"/>
        <v>886.11528600000008</v>
      </c>
      <c r="H455" s="353">
        <f t="shared" si="41"/>
        <v>886.11528600000008</v>
      </c>
      <c r="I455" s="354">
        <f t="shared" si="39"/>
        <v>1.7814014261105553E-4</v>
      </c>
      <c r="J455" s="354">
        <f t="shared" si="42"/>
        <v>0.98098676444813038</v>
      </c>
      <c r="K455" s="682">
        <f>'018-21-CAPA'!$F$37</f>
        <v>4974259.4398541162</v>
      </c>
      <c r="L455" s="689">
        <f t="shared" si="45"/>
        <v>7.4505805969238281E-9</v>
      </c>
      <c r="M455" s="228"/>
      <c r="N455" s="93"/>
      <c r="P455" s="95"/>
    </row>
    <row r="456" spans="1:16" s="94" customFormat="1" ht="25.5">
      <c r="A456" s="343" t="s">
        <v>16898</v>
      </c>
      <c r="B456" s="147" t="s">
        <v>16899</v>
      </c>
      <c r="C456" s="351" t="s">
        <v>109</v>
      </c>
      <c r="D456" s="351">
        <v>20</v>
      </c>
      <c r="E456" s="351">
        <v>36.6</v>
      </c>
      <c r="F456" s="352">
        <v>0.2094</v>
      </c>
      <c r="G456" s="353">
        <f t="shared" si="40"/>
        <v>44.264040000000001</v>
      </c>
      <c r="H456" s="353">
        <f t="shared" si="41"/>
        <v>885.2808</v>
      </c>
      <c r="I456" s="354">
        <f t="shared" ref="I456:I519" si="46">H456/$F$772</f>
        <v>1.7797238175939705E-4</v>
      </c>
      <c r="J456" s="354">
        <f t="shared" si="42"/>
        <v>0.98116473682988981</v>
      </c>
      <c r="K456" s="682">
        <f>'018-21-CAPA'!$F$37</f>
        <v>4974259.4398541162</v>
      </c>
      <c r="L456" s="689">
        <f t="shared" si="45"/>
        <v>7.4505805969238281E-9</v>
      </c>
      <c r="M456" s="228"/>
      <c r="N456" s="93"/>
      <c r="P456" s="95"/>
    </row>
    <row r="457" spans="1:16" s="94" customFormat="1" ht="38.25">
      <c r="A457" s="343">
        <v>97553</v>
      </c>
      <c r="B457" s="147" t="s">
        <v>13519</v>
      </c>
      <c r="C457" s="351" t="s">
        <v>109</v>
      </c>
      <c r="D457" s="351">
        <v>13</v>
      </c>
      <c r="E457" s="351" t="s">
        <v>23413</v>
      </c>
      <c r="F457" s="352">
        <v>0.2094</v>
      </c>
      <c r="G457" s="353">
        <f t="shared" si="40"/>
        <v>67.883622000000003</v>
      </c>
      <c r="H457" s="353">
        <f t="shared" si="41"/>
        <v>882.48708600000009</v>
      </c>
      <c r="I457" s="354">
        <f t="shared" si="46"/>
        <v>1.7741074760384488E-4</v>
      </c>
      <c r="J457" s="354">
        <f t="shared" si="42"/>
        <v>0.98134214757749361</v>
      </c>
      <c r="K457" s="682">
        <f>'018-21-CAPA'!$F$37</f>
        <v>4974259.4398541162</v>
      </c>
      <c r="L457" s="689">
        <f t="shared" si="45"/>
        <v>7.4505805969238281E-9</v>
      </c>
      <c r="M457" s="228"/>
      <c r="N457" s="93"/>
      <c r="P457" s="95"/>
    </row>
    <row r="458" spans="1:16" s="94" customFormat="1" ht="25.5">
      <c r="A458" s="343">
        <v>93185</v>
      </c>
      <c r="B458" s="147" t="s">
        <v>1487</v>
      </c>
      <c r="C458" s="351" t="s">
        <v>5</v>
      </c>
      <c r="D458" s="351">
        <v>13.7</v>
      </c>
      <c r="E458" s="351" t="s">
        <v>10176</v>
      </c>
      <c r="F458" s="352">
        <v>0.2094</v>
      </c>
      <c r="G458" s="353">
        <f t="shared" si="40"/>
        <v>64.412644</v>
      </c>
      <c r="H458" s="353">
        <f t="shared" si="41"/>
        <v>882.45322279999993</v>
      </c>
      <c r="I458" s="354">
        <f t="shared" si="46"/>
        <v>1.7740393991711088E-4</v>
      </c>
      <c r="J458" s="354">
        <f t="shared" si="42"/>
        <v>0.98151955151741077</v>
      </c>
      <c r="K458" s="682">
        <f>'018-21-CAPA'!$F$37</f>
        <v>4974259.4398541162</v>
      </c>
      <c r="L458" s="689">
        <f t="shared" si="45"/>
        <v>7.4505805969238281E-9</v>
      </c>
      <c r="M458" s="228"/>
      <c r="N458" s="93"/>
      <c r="P458" s="95"/>
    </row>
    <row r="459" spans="1:16" s="94" customFormat="1" ht="63.75">
      <c r="A459" s="343">
        <v>94496</v>
      </c>
      <c r="B459" s="147" t="s">
        <v>2374</v>
      </c>
      <c r="C459" s="351" t="s">
        <v>109</v>
      </c>
      <c r="D459" s="351">
        <v>7</v>
      </c>
      <c r="E459" s="351" t="s">
        <v>23579</v>
      </c>
      <c r="F459" s="352">
        <v>0.2094</v>
      </c>
      <c r="G459" s="353">
        <f t="shared" ref="G459:G522" si="47">(E459*(1+F459))</f>
        <v>125.366404</v>
      </c>
      <c r="H459" s="353">
        <f t="shared" ref="H459:H522" si="48">G459*D459</f>
        <v>877.56482800000003</v>
      </c>
      <c r="I459" s="354">
        <f t="shared" si="46"/>
        <v>1.764212017107291E-4</v>
      </c>
      <c r="J459" s="354">
        <f t="shared" si="42"/>
        <v>0.98169597271912146</v>
      </c>
      <c r="K459" s="682">
        <f>'018-21-CAPA'!$F$37</f>
        <v>4974259.4398541162</v>
      </c>
      <c r="L459" s="689">
        <f t="shared" si="45"/>
        <v>7.4505805969238281E-9</v>
      </c>
      <c r="M459" s="228"/>
      <c r="N459" s="93"/>
      <c r="P459" s="95"/>
    </row>
    <row r="460" spans="1:16" s="94" customFormat="1" ht="25.5">
      <c r="A460" s="343" t="s">
        <v>15494</v>
      </c>
      <c r="B460" s="147" t="s">
        <v>15474</v>
      </c>
      <c r="C460" s="351" t="s">
        <v>193</v>
      </c>
      <c r="D460" s="351">
        <v>2</v>
      </c>
      <c r="E460" s="351">
        <v>361.03</v>
      </c>
      <c r="F460" s="352">
        <v>0.2094</v>
      </c>
      <c r="G460" s="353">
        <f t="shared" si="47"/>
        <v>436.629682</v>
      </c>
      <c r="H460" s="353">
        <f t="shared" si="48"/>
        <v>873.25936400000001</v>
      </c>
      <c r="I460" s="354">
        <f t="shared" si="46"/>
        <v>1.7555565296883914E-4</v>
      </c>
      <c r="J460" s="354">
        <f t="shared" si="42"/>
        <v>0.98187152837209024</v>
      </c>
      <c r="K460" s="682">
        <f>'018-21-CAPA'!$F$37</f>
        <v>4974259.4398541162</v>
      </c>
      <c r="L460" s="689">
        <f t="shared" si="45"/>
        <v>7.4505805969238281E-9</v>
      </c>
      <c r="M460" s="228"/>
      <c r="N460" s="93"/>
      <c r="P460" s="95"/>
    </row>
    <row r="461" spans="1:16" s="94" customFormat="1" ht="38.25">
      <c r="A461" s="343">
        <v>91940</v>
      </c>
      <c r="B461" s="147" t="s">
        <v>138</v>
      </c>
      <c r="C461" s="351" t="s">
        <v>109</v>
      </c>
      <c r="D461" s="351">
        <v>55</v>
      </c>
      <c r="E461" s="351" t="s">
        <v>16204</v>
      </c>
      <c r="F461" s="352">
        <v>0.2094</v>
      </c>
      <c r="G461" s="353">
        <f t="shared" si="47"/>
        <v>15.855233999999999</v>
      </c>
      <c r="H461" s="353">
        <f t="shared" si="48"/>
        <v>872.03787</v>
      </c>
      <c r="I461" s="354">
        <f t="shared" si="46"/>
        <v>1.753100899830782E-4</v>
      </c>
      <c r="J461" s="354">
        <f t="shared" ref="J461:J524" si="49">I461+J460</f>
        <v>0.9820468384620733</v>
      </c>
      <c r="K461" s="682">
        <f>'018-21-CAPA'!$F$37</f>
        <v>4974259.4398541162</v>
      </c>
      <c r="L461" s="689">
        <f t="shared" si="45"/>
        <v>7.4505805969238281E-9</v>
      </c>
      <c r="M461" s="228"/>
      <c r="N461" s="93"/>
      <c r="P461" s="95"/>
    </row>
    <row r="462" spans="1:16" s="94" customFormat="1" ht="25.5">
      <c r="A462" s="343" t="s">
        <v>14956</v>
      </c>
      <c r="B462" s="147" t="s">
        <v>18329</v>
      </c>
      <c r="C462" s="351" t="s">
        <v>109</v>
      </c>
      <c r="D462" s="351">
        <v>2</v>
      </c>
      <c r="E462" s="351">
        <v>360.02000000000004</v>
      </c>
      <c r="F462" s="352">
        <v>0.2094</v>
      </c>
      <c r="G462" s="353">
        <f t="shared" si="47"/>
        <v>435.40818800000005</v>
      </c>
      <c r="H462" s="353">
        <f t="shared" si="48"/>
        <v>870.8163760000001</v>
      </c>
      <c r="I462" s="354">
        <f t="shared" si="46"/>
        <v>1.7506452699731732E-4</v>
      </c>
      <c r="J462" s="354">
        <f t="shared" si="49"/>
        <v>0.98222190298907064</v>
      </c>
      <c r="K462" s="682">
        <f>'018-21-CAPA'!$F$37</f>
        <v>4974259.4398541162</v>
      </c>
      <c r="L462" s="689">
        <f t="shared" si="45"/>
        <v>7.4505805969238281E-9</v>
      </c>
      <c r="M462" s="228"/>
      <c r="N462" s="93"/>
      <c r="P462" s="95"/>
    </row>
    <row r="463" spans="1:16" s="94" customFormat="1" ht="38.25">
      <c r="A463" s="343">
        <v>89706</v>
      </c>
      <c r="B463" s="147" t="s">
        <v>2081</v>
      </c>
      <c r="C463" s="351" t="s">
        <v>109</v>
      </c>
      <c r="D463" s="351">
        <v>16</v>
      </c>
      <c r="E463" s="351" t="s">
        <v>23105</v>
      </c>
      <c r="F463" s="352">
        <v>0.2094</v>
      </c>
      <c r="G463" s="353">
        <f t="shared" si="47"/>
        <v>54.326248000000007</v>
      </c>
      <c r="H463" s="353">
        <f t="shared" si="48"/>
        <v>869.21996800000011</v>
      </c>
      <c r="I463" s="354">
        <f t="shared" si="46"/>
        <v>1.7474359319414462E-4</v>
      </c>
      <c r="J463" s="354">
        <f t="shared" si="49"/>
        <v>0.98239664658226478</v>
      </c>
      <c r="K463" s="682">
        <f>'018-21-CAPA'!$F$37</f>
        <v>4974259.4398541162</v>
      </c>
      <c r="L463" s="689">
        <f t="shared" si="45"/>
        <v>7.4505805969238281E-9</v>
      </c>
      <c r="M463" s="228"/>
      <c r="N463" s="93"/>
      <c r="P463" s="95"/>
    </row>
    <row r="464" spans="1:16" s="94" customFormat="1">
      <c r="A464" s="343" t="s">
        <v>17858</v>
      </c>
      <c r="B464" s="147" t="s">
        <v>24751</v>
      </c>
      <c r="C464" s="351" t="s">
        <v>3244</v>
      </c>
      <c r="D464" s="351">
        <v>47</v>
      </c>
      <c r="E464" s="351">
        <v>15.28</v>
      </c>
      <c r="F464" s="352">
        <v>0.2094</v>
      </c>
      <c r="G464" s="353">
        <f t="shared" si="47"/>
        <v>18.479631999999999</v>
      </c>
      <c r="H464" s="353">
        <f t="shared" si="48"/>
        <v>868.54270399999996</v>
      </c>
      <c r="I464" s="354">
        <f t="shared" si="46"/>
        <v>1.7460743945946528E-4</v>
      </c>
      <c r="J464" s="354">
        <f t="shared" si="49"/>
        <v>0.98257125402172429</v>
      </c>
      <c r="K464" s="682">
        <f>'018-21-CAPA'!$F$37</f>
        <v>4974259.4398541162</v>
      </c>
      <c r="L464" s="689">
        <f t="shared" si="45"/>
        <v>7.4505805969238281E-9</v>
      </c>
      <c r="M464" s="228"/>
      <c r="N464" s="93"/>
      <c r="P464" s="95"/>
    </row>
    <row r="465" spans="1:16" s="94" customFormat="1" ht="51">
      <c r="A465" s="343">
        <v>92894</v>
      </c>
      <c r="B465" s="147" t="s">
        <v>13367</v>
      </c>
      <c r="C465" s="351" t="s">
        <v>109</v>
      </c>
      <c r="D465" s="351">
        <v>10</v>
      </c>
      <c r="E465" s="351" t="s">
        <v>23191</v>
      </c>
      <c r="F465" s="352">
        <v>0.2094</v>
      </c>
      <c r="G465" s="353">
        <f t="shared" si="47"/>
        <v>85.468298000000004</v>
      </c>
      <c r="H465" s="353">
        <f t="shared" si="48"/>
        <v>854.68298000000004</v>
      </c>
      <c r="I465" s="354">
        <f t="shared" si="46"/>
        <v>1.7182115053192065E-4</v>
      </c>
      <c r="J465" s="354">
        <f t="shared" si="49"/>
        <v>0.98274307517225623</v>
      </c>
      <c r="K465" s="682">
        <f>'018-21-CAPA'!$F$37</f>
        <v>4974259.4398541162</v>
      </c>
      <c r="L465" s="689">
        <f t="shared" si="45"/>
        <v>7.4505805969238281E-9</v>
      </c>
      <c r="M465" s="228"/>
      <c r="N465" s="93"/>
      <c r="P465" s="95"/>
    </row>
    <row r="466" spans="1:16" s="94" customFormat="1" ht="38.25">
      <c r="A466" s="343" t="s">
        <v>17769</v>
      </c>
      <c r="B466" s="147" t="s">
        <v>17770</v>
      </c>
      <c r="C466" s="351" t="s">
        <v>3240</v>
      </c>
      <c r="D466" s="351">
        <v>1</v>
      </c>
      <c r="E466" s="351">
        <v>705.25</v>
      </c>
      <c r="F466" s="352">
        <v>0.2094</v>
      </c>
      <c r="G466" s="353">
        <f t="shared" si="47"/>
        <v>852.92935</v>
      </c>
      <c r="H466" s="353">
        <f t="shared" si="48"/>
        <v>852.92935</v>
      </c>
      <c r="I466" s="354">
        <f t="shared" si="46"/>
        <v>1.7146860961176881E-4</v>
      </c>
      <c r="J466" s="354">
        <f t="shared" si="49"/>
        <v>0.98291454378186804</v>
      </c>
      <c r="K466" s="682">
        <f>'018-21-CAPA'!$F$37</f>
        <v>4974259.4398541162</v>
      </c>
      <c r="L466" s="689">
        <f t="shared" si="45"/>
        <v>7.4505805969238281E-9</v>
      </c>
      <c r="M466" s="228"/>
      <c r="N466" s="93"/>
      <c r="P466" s="95"/>
    </row>
    <row r="467" spans="1:16" s="94" customFormat="1" ht="76.5">
      <c r="A467" s="343">
        <v>94275</v>
      </c>
      <c r="B467" s="147" t="s">
        <v>282</v>
      </c>
      <c r="C467" s="351" t="s">
        <v>5</v>
      </c>
      <c r="D467" s="351">
        <v>16</v>
      </c>
      <c r="E467" s="351" t="s">
        <v>21972</v>
      </c>
      <c r="F467" s="352">
        <v>0.2094</v>
      </c>
      <c r="G467" s="353">
        <f t="shared" si="47"/>
        <v>52.451678000000001</v>
      </c>
      <c r="H467" s="353">
        <f t="shared" si="48"/>
        <v>839.22684800000002</v>
      </c>
      <c r="I467" s="354">
        <f t="shared" si="46"/>
        <v>1.6871392780120329E-4</v>
      </c>
      <c r="J467" s="354">
        <f t="shared" si="49"/>
        <v>0.9830832577096692</v>
      </c>
      <c r="K467" s="682">
        <f>'018-21-CAPA'!$F$37</f>
        <v>4974259.4398541162</v>
      </c>
      <c r="L467" s="689">
        <f t="shared" si="45"/>
        <v>7.4505805969238281E-9</v>
      </c>
      <c r="M467" s="228"/>
      <c r="N467" s="93"/>
      <c r="P467" s="95"/>
    </row>
    <row r="468" spans="1:16" s="94" customFormat="1" ht="51">
      <c r="A468" s="343">
        <v>89784</v>
      </c>
      <c r="B468" s="147" t="s">
        <v>2143</v>
      </c>
      <c r="C468" s="351" t="s">
        <v>109</v>
      </c>
      <c r="D468" s="351">
        <v>37</v>
      </c>
      <c r="E468" s="351" t="s">
        <v>10985</v>
      </c>
      <c r="F468" s="352">
        <v>0.2094</v>
      </c>
      <c r="G468" s="353">
        <f t="shared" si="47"/>
        <v>22.385994000000004</v>
      </c>
      <c r="H468" s="353">
        <f t="shared" si="48"/>
        <v>828.28177800000014</v>
      </c>
      <c r="I468" s="354">
        <f t="shared" si="46"/>
        <v>1.6651358619611787E-4</v>
      </c>
      <c r="J468" s="354">
        <f t="shared" si="49"/>
        <v>0.98324977129586533</v>
      </c>
      <c r="K468" s="682">
        <f>'018-21-CAPA'!$F$37</f>
        <v>4974259.4398541162</v>
      </c>
      <c r="L468" s="689">
        <f t="shared" si="45"/>
        <v>7.4505805969238281E-9</v>
      </c>
      <c r="M468" s="228"/>
      <c r="N468" s="93"/>
      <c r="P468" s="95"/>
    </row>
    <row r="469" spans="1:16" s="94" customFormat="1" ht="38.25">
      <c r="A469" s="343">
        <v>98530</v>
      </c>
      <c r="B469" s="147" t="s">
        <v>4517</v>
      </c>
      <c r="C469" s="351" t="s">
        <v>109</v>
      </c>
      <c r="D469" s="351">
        <v>6</v>
      </c>
      <c r="E469" s="351" t="s">
        <v>24377</v>
      </c>
      <c r="F469" s="352">
        <v>0.2094</v>
      </c>
      <c r="G469" s="353">
        <f t="shared" si="47"/>
        <v>135.50117600000002</v>
      </c>
      <c r="H469" s="353">
        <f t="shared" si="48"/>
        <v>813.00705600000015</v>
      </c>
      <c r="I469" s="354">
        <f t="shared" si="46"/>
        <v>1.6344283321576106E-4</v>
      </c>
      <c r="J469" s="354">
        <f t="shared" si="49"/>
        <v>0.98341321412908111</v>
      </c>
      <c r="K469" s="682">
        <f>'018-21-CAPA'!$F$37</f>
        <v>4974259.4398541162</v>
      </c>
      <c r="L469" s="689">
        <f t="shared" si="45"/>
        <v>7.4505805969238281E-9</v>
      </c>
      <c r="M469" s="228"/>
      <c r="N469" s="93"/>
      <c r="P469" s="95"/>
    </row>
    <row r="470" spans="1:16" s="94" customFormat="1" ht="38.25">
      <c r="A470" s="343">
        <v>91996</v>
      </c>
      <c r="B470" s="147" t="s">
        <v>122</v>
      </c>
      <c r="C470" s="351" t="s">
        <v>109</v>
      </c>
      <c r="D470" s="351">
        <v>25</v>
      </c>
      <c r="E470" s="351" t="s">
        <v>22677</v>
      </c>
      <c r="F470" s="352">
        <v>0.2094</v>
      </c>
      <c r="G470" s="353">
        <f t="shared" si="47"/>
        <v>32.484484000000002</v>
      </c>
      <c r="H470" s="353">
        <f t="shared" si="48"/>
        <v>812.11210000000005</v>
      </c>
      <c r="I470" s="354">
        <f t="shared" si="46"/>
        <v>1.6326291578064908E-4</v>
      </c>
      <c r="J470" s="354">
        <f t="shared" si="49"/>
        <v>0.98357647704486173</v>
      </c>
      <c r="K470" s="682">
        <f>'018-21-CAPA'!$F$37</f>
        <v>4974259.4398541162</v>
      </c>
      <c r="L470" s="689">
        <f t="shared" si="45"/>
        <v>7.4505805969238281E-9</v>
      </c>
      <c r="M470" s="228"/>
      <c r="N470" s="93"/>
      <c r="P470" s="95"/>
    </row>
    <row r="471" spans="1:16" s="94" customFormat="1" ht="38.25">
      <c r="A471" s="343">
        <v>97935</v>
      </c>
      <c r="B471" s="147" t="s">
        <v>12542</v>
      </c>
      <c r="C471" s="351" t="s">
        <v>109</v>
      </c>
      <c r="D471" s="351">
        <v>1</v>
      </c>
      <c r="E471" s="351" t="s">
        <v>21787</v>
      </c>
      <c r="F471" s="352">
        <v>0.2094</v>
      </c>
      <c r="G471" s="353">
        <f t="shared" si="47"/>
        <v>802.17083200000002</v>
      </c>
      <c r="H471" s="353">
        <f t="shared" si="48"/>
        <v>802.17083200000002</v>
      </c>
      <c r="I471" s="354">
        <f t="shared" si="46"/>
        <v>1.6126437346089192E-4</v>
      </c>
      <c r="J471" s="354">
        <f t="shared" si="49"/>
        <v>0.9837377414183226</v>
      </c>
      <c r="K471" s="682">
        <f>'018-21-CAPA'!$F$37</f>
        <v>4974259.4398541162</v>
      </c>
      <c r="L471" s="689">
        <f t="shared" si="45"/>
        <v>7.4505805969238281E-9</v>
      </c>
      <c r="M471" s="228"/>
      <c r="N471" s="93"/>
      <c r="P471" s="95"/>
    </row>
    <row r="472" spans="1:16" s="94" customFormat="1" ht="25.5">
      <c r="A472" s="343" t="s">
        <v>15424</v>
      </c>
      <c r="B472" s="147" t="s">
        <v>15425</v>
      </c>
      <c r="C472" s="351" t="s">
        <v>10</v>
      </c>
      <c r="D472" s="351">
        <v>1</v>
      </c>
      <c r="E472" s="351">
        <v>658.82</v>
      </c>
      <c r="F472" s="352">
        <v>0.2094</v>
      </c>
      <c r="G472" s="353">
        <f t="shared" si="47"/>
        <v>796.77690800000005</v>
      </c>
      <c r="H472" s="353">
        <f t="shared" si="48"/>
        <v>796.77690800000005</v>
      </c>
      <c r="I472" s="354">
        <f t="shared" si="46"/>
        <v>1.6018000621683876E-4</v>
      </c>
      <c r="J472" s="354">
        <f t="shared" si="49"/>
        <v>0.98389792142453947</v>
      </c>
      <c r="K472" s="682">
        <f>'018-21-CAPA'!$F$37</f>
        <v>4974259.4398541162</v>
      </c>
      <c r="L472" s="689">
        <f t="shared" si="45"/>
        <v>7.4505805969238281E-9</v>
      </c>
      <c r="M472" s="228"/>
      <c r="N472" s="93"/>
      <c r="P472" s="95"/>
    </row>
    <row r="473" spans="1:16" s="94" customFormat="1" ht="38.25">
      <c r="A473" s="343" t="s">
        <v>14693</v>
      </c>
      <c r="B473" s="147" t="s">
        <v>18527</v>
      </c>
      <c r="C473" s="351" t="s">
        <v>3240</v>
      </c>
      <c r="D473" s="351">
        <v>9</v>
      </c>
      <c r="E473" s="351">
        <v>73.2</v>
      </c>
      <c r="F473" s="352">
        <v>0.2094</v>
      </c>
      <c r="G473" s="353">
        <f t="shared" si="47"/>
        <v>88.528080000000003</v>
      </c>
      <c r="H473" s="353">
        <f t="shared" si="48"/>
        <v>796.75272000000007</v>
      </c>
      <c r="I473" s="354">
        <f t="shared" si="46"/>
        <v>1.6017514358345736E-4</v>
      </c>
      <c r="J473" s="354">
        <f t="shared" si="49"/>
        <v>0.98405809656812293</v>
      </c>
      <c r="K473" s="682">
        <f>'018-21-CAPA'!$F$37</f>
        <v>4974259.4398541162</v>
      </c>
      <c r="L473" s="689">
        <f t="shared" si="45"/>
        <v>7.4505805969238281E-9</v>
      </c>
      <c r="M473" s="228"/>
      <c r="N473" s="93"/>
      <c r="P473" s="95"/>
    </row>
    <row r="474" spans="1:16" s="94" customFormat="1" ht="63.75">
      <c r="A474" s="343">
        <v>95252</v>
      </c>
      <c r="B474" s="147" t="s">
        <v>2387</v>
      </c>
      <c r="C474" s="351" t="s">
        <v>109</v>
      </c>
      <c r="D474" s="351">
        <v>4</v>
      </c>
      <c r="E474" s="351" t="s">
        <v>23596</v>
      </c>
      <c r="F474" s="352">
        <v>0.2094</v>
      </c>
      <c r="G474" s="353">
        <f t="shared" si="47"/>
        <v>197.79737000000003</v>
      </c>
      <c r="H474" s="353">
        <f t="shared" si="48"/>
        <v>791.18948000000012</v>
      </c>
      <c r="I474" s="354">
        <f t="shared" si="46"/>
        <v>1.5905673790573438E-4</v>
      </c>
      <c r="J474" s="354">
        <f t="shared" si="49"/>
        <v>0.98421715330602866</v>
      </c>
      <c r="K474" s="682">
        <f>'018-21-CAPA'!$F$37</f>
        <v>4974259.4398541162</v>
      </c>
      <c r="L474" s="689">
        <f t="shared" si="45"/>
        <v>7.4505805969238281E-9</v>
      </c>
      <c r="M474" s="228"/>
      <c r="N474" s="93"/>
      <c r="P474" s="95"/>
    </row>
    <row r="475" spans="1:16" s="94" customFormat="1" ht="25.5">
      <c r="A475" s="343" t="s">
        <v>14545</v>
      </c>
      <c r="B475" s="147" t="s">
        <v>17281</v>
      </c>
      <c r="C475" s="351" t="s">
        <v>109</v>
      </c>
      <c r="D475" s="351">
        <v>84</v>
      </c>
      <c r="E475" s="351">
        <v>7.72</v>
      </c>
      <c r="F475" s="352">
        <v>0.2094</v>
      </c>
      <c r="G475" s="353">
        <f t="shared" si="47"/>
        <v>9.3365679999999998</v>
      </c>
      <c r="H475" s="353">
        <f t="shared" si="48"/>
        <v>784.27171199999998</v>
      </c>
      <c r="I475" s="354">
        <f t="shared" si="46"/>
        <v>1.5766602475865272E-4</v>
      </c>
      <c r="J475" s="354">
        <f t="shared" si="49"/>
        <v>0.9843748193307873</v>
      </c>
      <c r="K475" s="682">
        <f>'018-21-CAPA'!$F$37</f>
        <v>4974259.4398541162</v>
      </c>
      <c r="L475" s="689">
        <f t="shared" si="45"/>
        <v>7.4505805969238281E-9</v>
      </c>
      <c r="M475" s="228"/>
      <c r="N475" s="93"/>
      <c r="P475" s="95"/>
    </row>
    <row r="476" spans="1:16" s="94" customFormat="1" ht="51">
      <c r="A476" s="343" t="s">
        <v>17762</v>
      </c>
      <c r="B476" s="147" t="s">
        <v>17766</v>
      </c>
      <c r="C476" s="351" t="s">
        <v>3240</v>
      </c>
      <c r="D476" s="351">
        <v>19</v>
      </c>
      <c r="E476" s="351">
        <v>33.43</v>
      </c>
      <c r="F476" s="352">
        <v>0.2094</v>
      </c>
      <c r="G476" s="353">
        <f t="shared" si="47"/>
        <v>40.430242</v>
      </c>
      <c r="H476" s="353">
        <f t="shared" si="48"/>
        <v>768.17459799999995</v>
      </c>
      <c r="I476" s="354">
        <f t="shared" si="46"/>
        <v>1.5442994224332818E-4</v>
      </c>
      <c r="J476" s="354">
        <f t="shared" si="49"/>
        <v>0.98452924927303065</v>
      </c>
      <c r="K476" s="682">
        <f>'018-21-CAPA'!$F$37</f>
        <v>4974259.4398541162</v>
      </c>
      <c r="L476" s="689">
        <f t="shared" si="45"/>
        <v>7.4505805969238281E-9</v>
      </c>
      <c r="M476" s="228"/>
      <c r="N476" s="93"/>
      <c r="P476" s="95"/>
    </row>
    <row r="477" spans="1:16" s="94" customFormat="1" ht="38.25">
      <c r="A477" s="343" t="s">
        <v>14742</v>
      </c>
      <c r="B477" s="147" t="s">
        <v>14802</v>
      </c>
      <c r="C477" s="351" t="s">
        <v>3240</v>
      </c>
      <c r="D477" s="351">
        <v>17</v>
      </c>
      <c r="E477" s="351">
        <v>36.04</v>
      </c>
      <c r="F477" s="352">
        <v>0.2094</v>
      </c>
      <c r="G477" s="353">
        <f t="shared" si="47"/>
        <v>43.586776</v>
      </c>
      <c r="H477" s="353">
        <f t="shared" si="48"/>
        <v>740.97519199999999</v>
      </c>
      <c r="I477" s="354">
        <f t="shared" si="46"/>
        <v>1.4896191100593906E-4</v>
      </c>
      <c r="J477" s="354">
        <f t="shared" si="49"/>
        <v>0.98467821118403653</v>
      </c>
      <c r="K477" s="682">
        <f>'018-21-CAPA'!$F$37</f>
        <v>4974259.4398541162</v>
      </c>
      <c r="L477" s="689">
        <f t="shared" si="45"/>
        <v>7.4505805969238281E-9</v>
      </c>
      <c r="M477" s="228"/>
      <c r="N477" s="93"/>
      <c r="P477" s="95"/>
    </row>
    <row r="478" spans="1:16" s="94" customFormat="1" ht="38.25">
      <c r="A478" s="343">
        <v>89362</v>
      </c>
      <c r="B478" s="147" t="s">
        <v>1827</v>
      </c>
      <c r="C478" s="351" t="s">
        <v>109</v>
      </c>
      <c r="D478" s="351">
        <v>74</v>
      </c>
      <c r="E478" s="351" t="s">
        <v>10312</v>
      </c>
      <c r="F478" s="352">
        <v>0.2094</v>
      </c>
      <c r="G478" s="353">
        <f t="shared" si="47"/>
        <v>9.9775500000000008</v>
      </c>
      <c r="H478" s="353">
        <f t="shared" si="48"/>
        <v>738.33870000000002</v>
      </c>
      <c r="I478" s="354">
        <f t="shared" si="46"/>
        <v>1.48431883967366E-4</v>
      </c>
      <c r="J478" s="354">
        <f t="shared" si="49"/>
        <v>0.98482664306800394</v>
      </c>
      <c r="K478" s="682">
        <f>'018-21-CAPA'!$F$37</f>
        <v>4974259.4398541162</v>
      </c>
      <c r="L478" s="689">
        <f t="shared" si="45"/>
        <v>7.4505805969238281E-9</v>
      </c>
      <c r="M478" s="228"/>
      <c r="N478" s="93"/>
      <c r="P478" s="95"/>
    </row>
    <row r="479" spans="1:16" s="94" customFormat="1" ht="38.25">
      <c r="A479" s="343">
        <v>97629</v>
      </c>
      <c r="B479" s="147" t="s">
        <v>3726</v>
      </c>
      <c r="C479" s="351" t="s">
        <v>209</v>
      </c>
      <c r="D479" s="351">
        <v>5.68</v>
      </c>
      <c r="E479" s="351" t="s">
        <v>24339</v>
      </c>
      <c r="F479" s="352">
        <v>0.2094</v>
      </c>
      <c r="G479" s="353">
        <f t="shared" si="47"/>
        <v>127.85776800000001</v>
      </c>
      <c r="H479" s="353">
        <f t="shared" si="48"/>
        <v>726.23212223999997</v>
      </c>
      <c r="I479" s="354">
        <f t="shared" si="46"/>
        <v>1.459980387073055E-4</v>
      </c>
      <c r="J479" s="354">
        <f t="shared" si="49"/>
        <v>0.98497264110671123</v>
      </c>
      <c r="K479" s="682">
        <f>'018-21-CAPA'!$F$37</f>
        <v>4974259.4398541162</v>
      </c>
      <c r="L479" s="689">
        <f t="shared" si="45"/>
        <v>7.4505805969238281E-9</v>
      </c>
      <c r="M479" s="228"/>
      <c r="N479" s="93"/>
      <c r="P479" s="95"/>
    </row>
    <row r="480" spans="1:16" s="94" customFormat="1" ht="51">
      <c r="A480" s="343">
        <v>89744</v>
      </c>
      <c r="B480" s="147" t="s">
        <v>2107</v>
      </c>
      <c r="C480" s="351" t="s">
        <v>109</v>
      </c>
      <c r="D480" s="351">
        <v>26</v>
      </c>
      <c r="E480" s="351" t="s">
        <v>12451</v>
      </c>
      <c r="F480" s="352">
        <v>0.2094</v>
      </c>
      <c r="G480" s="353">
        <f t="shared" si="47"/>
        <v>27.646884</v>
      </c>
      <c r="H480" s="353">
        <f t="shared" si="48"/>
        <v>718.818984</v>
      </c>
      <c r="I480" s="354">
        <f t="shared" si="46"/>
        <v>1.4450773882857272E-4</v>
      </c>
      <c r="J480" s="354">
        <f t="shared" si="49"/>
        <v>0.9851171488455398</v>
      </c>
      <c r="K480" s="682">
        <f>'018-21-CAPA'!$F$37</f>
        <v>4974259.4398541162</v>
      </c>
      <c r="L480" s="689">
        <f t="shared" si="45"/>
        <v>7.4505805969238281E-9</v>
      </c>
      <c r="M480" s="228"/>
      <c r="N480" s="93"/>
      <c r="P480" s="95"/>
    </row>
    <row r="481" spans="1:16" s="94" customFormat="1" ht="51">
      <c r="A481" s="343">
        <v>90373</v>
      </c>
      <c r="B481" s="147" t="s">
        <v>2223</v>
      </c>
      <c r="C481" s="351" t="s">
        <v>109</v>
      </c>
      <c r="D481" s="351">
        <v>42</v>
      </c>
      <c r="E481" s="351" t="s">
        <v>9786</v>
      </c>
      <c r="F481" s="352">
        <v>0.2094</v>
      </c>
      <c r="G481" s="353">
        <f t="shared" si="47"/>
        <v>17.076727999999999</v>
      </c>
      <c r="H481" s="353">
        <f t="shared" si="48"/>
        <v>717.222576</v>
      </c>
      <c r="I481" s="354">
        <f t="shared" si="46"/>
        <v>1.4418680502540005E-4</v>
      </c>
      <c r="J481" s="354">
        <f t="shared" si="49"/>
        <v>0.98526133565056517</v>
      </c>
      <c r="K481" s="682">
        <f>'018-21-CAPA'!$F$37</f>
        <v>4974259.4398541162</v>
      </c>
      <c r="L481" s="689">
        <f t="shared" si="45"/>
        <v>7.4505805969238281E-9</v>
      </c>
      <c r="M481" s="228"/>
      <c r="N481" s="93"/>
      <c r="P481" s="95"/>
    </row>
    <row r="482" spans="1:16" s="94" customFormat="1" ht="25.5">
      <c r="A482" s="343" t="s">
        <v>14839</v>
      </c>
      <c r="B482" s="147" t="s">
        <v>16785</v>
      </c>
      <c r="C482" s="351" t="s">
        <v>5</v>
      </c>
      <c r="D482" s="351">
        <v>40.520000000000003</v>
      </c>
      <c r="E482" s="351">
        <v>14.4</v>
      </c>
      <c r="F482" s="352">
        <v>0.2094</v>
      </c>
      <c r="G482" s="353">
        <f t="shared" si="47"/>
        <v>17.41536</v>
      </c>
      <c r="H482" s="353">
        <f t="shared" si="48"/>
        <v>705.67038720000005</v>
      </c>
      <c r="I482" s="354">
        <f t="shared" si="46"/>
        <v>1.4186441132244137E-4</v>
      </c>
      <c r="J482" s="354">
        <f t="shared" si="49"/>
        <v>0.98540320006188764</v>
      </c>
      <c r="K482" s="682">
        <f>'018-21-CAPA'!$F$37</f>
        <v>4974259.4398541162</v>
      </c>
      <c r="L482" s="689">
        <f t="shared" si="45"/>
        <v>7.4505805969238281E-9</v>
      </c>
      <c r="M482" s="228"/>
      <c r="N482" s="93"/>
      <c r="P482" s="95"/>
    </row>
    <row r="483" spans="1:16" s="94" customFormat="1" ht="25.5">
      <c r="A483" s="343" t="s">
        <v>14462</v>
      </c>
      <c r="B483" s="147" t="s">
        <v>18455</v>
      </c>
      <c r="C483" s="351" t="s">
        <v>10</v>
      </c>
      <c r="D483" s="351">
        <v>1</v>
      </c>
      <c r="E483" s="351">
        <v>576.5</v>
      </c>
      <c r="F483" s="352">
        <v>0.2094</v>
      </c>
      <c r="G483" s="353">
        <f t="shared" si="47"/>
        <v>697.21910000000003</v>
      </c>
      <c r="H483" s="353">
        <f t="shared" si="48"/>
        <v>697.21910000000003</v>
      </c>
      <c r="I483" s="354">
        <f t="shared" si="46"/>
        <v>1.4016540721897871E-4</v>
      </c>
      <c r="J483" s="354">
        <f t="shared" si="49"/>
        <v>0.98554336546910659</v>
      </c>
      <c r="K483" s="682">
        <f>'018-21-CAPA'!$F$37</f>
        <v>4974259.4398541162</v>
      </c>
      <c r="L483" s="689">
        <f t="shared" si="45"/>
        <v>7.4505805969238281E-9</v>
      </c>
      <c r="M483" s="228"/>
      <c r="N483" s="93"/>
      <c r="P483" s="95"/>
    </row>
    <row r="484" spans="1:16" s="94" customFormat="1" ht="38.25">
      <c r="A484" s="343" t="s">
        <v>9014</v>
      </c>
      <c r="B484" s="147" t="s">
        <v>18458</v>
      </c>
      <c r="C484" s="351" t="s">
        <v>109</v>
      </c>
      <c r="D484" s="351">
        <v>1</v>
      </c>
      <c r="E484" s="351">
        <v>556.15</v>
      </c>
      <c r="F484" s="352">
        <v>0.2094</v>
      </c>
      <c r="G484" s="353">
        <f t="shared" si="47"/>
        <v>672.60780999999997</v>
      </c>
      <c r="H484" s="353">
        <f t="shared" si="48"/>
        <v>672.60780999999997</v>
      </c>
      <c r="I484" s="354">
        <f t="shared" si="46"/>
        <v>1.3521767775339982E-4</v>
      </c>
      <c r="J484" s="354">
        <f t="shared" si="49"/>
        <v>0.98567858314685997</v>
      </c>
      <c r="K484" s="682">
        <f>'018-21-CAPA'!$F$37</f>
        <v>4974259.4398541162</v>
      </c>
      <c r="L484" s="689">
        <f t="shared" si="45"/>
        <v>7.4505805969238281E-9</v>
      </c>
      <c r="M484" s="228"/>
      <c r="N484" s="93"/>
      <c r="P484" s="95"/>
    </row>
    <row r="485" spans="1:16" s="94" customFormat="1" ht="38.25">
      <c r="A485" s="343">
        <v>89697</v>
      </c>
      <c r="B485" s="147" t="s">
        <v>2072</v>
      </c>
      <c r="C485" s="351" t="s">
        <v>109</v>
      </c>
      <c r="D485" s="351">
        <v>43</v>
      </c>
      <c r="E485" s="351" t="s">
        <v>10319</v>
      </c>
      <c r="F485" s="352">
        <v>0.2094</v>
      </c>
      <c r="G485" s="353">
        <f t="shared" si="47"/>
        <v>15.250534</v>
      </c>
      <c r="H485" s="353">
        <f t="shared" si="48"/>
        <v>655.77296200000001</v>
      </c>
      <c r="I485" s="354">
        <f t="shared" si="46"/>
        <v>1.3183328491994244E-4</v>
      </c>
      <c r="J485" s="354">
        <f t="shared" si="49"/>
        <v>0.98581041643177991</v>
      </c>
      <c r="K485" s="682">
        <f>'018-21-CAPA'!$F$37</f>
        <v>4974259.4398541162</v>
      </c>
      <c r="L485" s="689">
        <f t="shared" si="45"/>
        <v>7.4505805969238281E-9</v>
      </c>
      <c r="M485" s="228"/>
      <c r="N485" s="93"/>
      <c r="P485" s="95"/>
    </row>
    <row r="486" spans="1:16" s="94" customFormat="1" ht="38.25">
      <c r="A486" s="343" t="s">
        <v>14348</v>
      </c>
      <c r="B486" s="147" t="s">
        <v>17042</v>
      </c>
      <c r="C486" s="351" t="s">
        <v>109</v>
      </c>
      <c r="D486" s="351">
        <v>18</v>
      </c>
      <c r="E486" s="351">
        <v>29.979999999999997</v>
      </c>
      <c r="F486" s="352">
        <v>0.2094</v>
      </c>
      <c r="G486" s="353">
        <f t="shared" si="47"/>
        <v>36.257811999999994</v>
      </c>
      <c r="H486" s="353">
        <f t="shared" si="48"/>
        <v>652.64061599999991</v>
      </c>
      <c r="I486" s="354">
        <f t="shared" si="46"/>
        <v>1.3120357389705055E-4</v>
      </c>
      <c r="J486" s="354">
        <f t="shared" si="49"/>
        <v>0.98594162000567698</v>
      </c>
      <c r="K486" s="682">
        <f>'018-21-CAPA'!$F$37</f>
        <v>4974259.4398541162</v>
      </c>
      <c r="L486" s="689">
        <f t="shared" si="45"/>
        <v>7.4505805969238281E-9</v>
      </c>
      <c r="M486" s="228"/>
      <c r="N486" s="93"/>
      <c r="P486" s="95"/>
    </row>
    <row r="487" spans="1:16" s="94" customFormat="1" ht="25.5">
      <c r="A487" s="343" t="s">
        <v>15301</v>
      </c>
      <c r="B487" s="147" t="s">
        <v>17486</v>
      </c>
      <c r="C487" s="351" t="s">
        <v>109</v>
      </c>
      <c r="D487" s="351">
        <v>82</v>
      </c>
      <c r="E487" s="351">
        <v>6.52</v>
      </c>
      <c r="F487" s="352">
        <v>0.2094</v>
      </c>
      <c r="G487" s="353">
        <f t="shared" si="47"/>
        <v>7.8852880000000001</v>
      </c>
      <c r="H487" s="353">
        <f t="shared" si="48"/>
        <v>646.593616</v>
      </c>
      <c r="I487" s="354">
        <f t="shared" si="46"/>
        <v>1.299879155516995E-4</v>
      </c>
      <c r="J487" s="354">
        <f t="shared" si="49"/>
        <v>0.98607160792122872</v>
      </c>
      <c r="K487" s="682">
        <f>'018-21-CAPA'!$F$37</f>
        <v>4974259.4398541162</v>
      </c>
      <c r="L487" s="689">
        <f t="shared" si="45"/>
        <v>7.4505805969238281E-9</v>
      </c>
      <c r="M487" s="228"/>
      <c r="N487" s="93"/>
      <c r="P487" s="95"/>
    </row>
    <row r="488" spans="1:16" s="94" customFormat="1" ht="51">
      <c r="A488" s="343">
        <v>89707</v>
      </c>
      <c r="B488" s="147" t="s">
        <v>2346</v>
      </c>
      <c r="C488" s="351" t="s">
        <v>109</v>
      </c>
      <c r="D488" s="351">
        <v>15</v>
      </c>
      <c r="E488" s="351" t="s">
        <v>23443</v>
      </c>
      <c r="F488" s="352">
        <v>0.2094</v>
      </c>
      <c r="G488" s="353">
        <f t="shared" si="47"/>
        <v>42.982075999999999</v>
      </c>
      <c r="H488" s="353">
        <f t="shared" si="48"/>
        <v>644.73113999999998</v>
      </c>
      <c r="I488" s="354">
        <f t="shared" si="46"/>
        <v>1.2961349278133139E-4</v>
      </c>
      <c r="J488" s="354">
        <f t="shared" si="49"/>
        <v>0.98620122141401001</v>
      </c>
      <c r="K488" s="682">
        <f>'018-21-CAPA'!$F$37</f>
        <v>4974259.4398541162</v>
      </c>
      <c r="L488" s="689">
        <f t="shared" si="45"/>
        <v>7.4505805969238281E-9</v>
      </c>
      <c r="M488" s="228"/>
      <c r="N488" s="93"/>
      <c r="P488" s="95"/>
    </row>
    <row r="489" spans="1:16" s="94" customFormat="1" ht="25.5">
      <c r="A489" s="343" t="s">
        <v>15531</v>
      </c>
      <c r="B489" s="147" t="s">
        <v>17609</v>
      </c>
      <c r="C489" s="351" t="s">
        <v>3240</v>
      </c>
      <c r="D489" s="351">
        <v>8</v>
      </c>
      <c r="E489" s="351">
        <v>66.509999999999991</v>
      </c>
      <c r="F489" s="352">
        <v>0.2094</v>
      </c>
      <c r="G489" s="353">
        <f t="shared" si="47"/>
        <v>80.437193999999991</v>
      </c>
      <c r="H489" s="353">
        <f t="shared" si="48"/>
        <v>643.49755199999993</v>
      </c>
      <c r="I489" s="354">
        <f t="shared" si="46"/>
        <v>1.2936549847887975E-4</v>
      </c>
      <c r="J489" s="354">
        <f t="shared" si="49"/>
        <v>0.98633058691248887</v>
      </c>
      <c r="K489" s="682">
        <f>'018-21-CAPA'!$F$37</f>
        <v>4974259.4398541162</v>
      </c>
      <c r="L489" s="689">
        <f t="shared" si="45"/>
        <v>7.4505805969238281E-9</v>
      </c>
      <c r="M489" s="228"/>
      <c r="N489" s="93"/>
      <c r="P489" s="95"/>
    </row>
    <row r="490" spans="1:16" s="94" customFormat="1" ht="25.5">
      <c r="A490" s="343" t="s">
        <v>14409</v>
      </c>
      <c r="B490" s="147" t="s">
        <v>17139</v>
      </c>
      <c r="C490" s="351" t="s">
        <v>3243</v>
      </c>
      <c r="D490" s="351">
        <v>209.2</v>
      </c>
      <c r="E490" s="351">
        <v>2.54</v>
      </c>
      <c r="F490" s="352">
        <v>0.2094</v>
      </c>
      <c r="G490" s="353">
        <f t="shared" si="47"/>
        <v>3.0718760000000001</v>
      </c>
      <c r="H490" s="353">
        <f t="shared" si="48"/>
        <v>642.63645919999999</v>
      </c>
      <c r="I490" s="354">
        <f t="shared" si="46"/>
        <v>1.2919238873050176E-4</v>
      </c>
      <c r="J490" s="354">
        <f t="shared" si="49"/>
        <v>0.98645977930121942</v>
      </c>
      <c r="K490" s="682">
        <f>'018-21-CAPA'!$F$37</f>
        <v>4974259.4398541162</v>
      </c>
      <c r="L490" s="689">
        <f t="shared" si="45"/>
        <v>7.4505805969238281E-9</v>
      </c>
      <c r="M490" s="228"/>
      <c r="N490" s="93"/>
      <c r="P490" s="95"/>
    </row>
    <row r="491" spans="1:16" s="94" customFormat="1" ht="38.25">
      <c r="A491" s="343" t="s">
        <v>24866</v>
      </c>
      <c r="B491" s="147" t="s">
        <v>24867</v>
      </c>
      <c r="C491" s="351" t="s">
        <v>109</v>
      </c>
      <c r="D491" s="351">
        <v>1</v>
      </c>
      <c r="E491" s="351">
        <v>529.38000000000011</v>
      </c>
      <c r="F491" s="352">
        <v>0.2094</v>
      </c>
      <c r="G491" s="353">
        <f t="shared" si="47"/>
        <v>640.23217200000011</v>
      </c>
      <c r="H491" s="353">
        <f t="shared" si="48"/>
        <v>640.23217200000011</v>
      </c>
      <c r="I491" s="354">
        <f t="shared" si="46"/>
        <v>1.287090429723902E-4</v>
      </c>
      <c r="J491" s="354">
        <f t="shared" si="49"/>
        <v>0.98658848834419177</v>
      </c>
      <c r="K491" s="682">
        <f>'018-21-CAPA'!$F$37</f>
        <v>4974259.4398541162</v>
      </c>
      <c r="L491" s="689">
        <f t="shared" si="45"/>
        <v>7.4505805969238281E-9</v>
      </c>
      <c r="M491" s="228"/>
      <c r="N491" s="93"/>
      <c r="P491" s="95"/>
    </row>
    <row r="492" spans="1:16" s="94" customFormat="1" ht="25.5">
      <c r="A492" s="343" t="s">
        <v>14513</v>
      </c>
      <c r="B492" s="147" t="s">
        <v>17267</v>
      </c>
      <c r="C492" s="351" t="s">
        <v>5</v>
      </c>
      <c r="D492" s="351">
        <v>40</v>
      </c>
      <c r="E492" s="351">
        <v>13.18</v>
      </c>
      <c r="F492" s="352">
        <v>0.2094</v>
      </c>
      <c r="G492" s="353">
        <f t="shared" si="47"/>
        <v>15.939892</v>
      </c>
      <c r="H492" s="353">
        <f t="shared" si="48"/>
        <v>637.59568000000002</v>
      </c>
      <c r="I492" s="354">
        <f t="shared" si="46"/>
        <v>1.2817901593381711E-4</v>
      </c>
      <c r="J492" s="354">
        <f t="shared" si="49"/>
        <v>0.98671666736012564</v>
      </c>
      <c r="K492" s="682">
        <f>'018-21-CAPA'!$F$37</f>
        <v>4974259.4398541162</v>
      </c>
      <c r="L492" s="689">
        <f t="shared" si="45"/>
        <v>7.4505805969238281E-9</v>
      </c>
      <c r="M492" s="228"/>
      <c r="N492" s="93"/>
      <c r="P492" s="95"/>
    </row>
    <row r="493" spans="1:16" s="94" customFormat="1" ht="25.5">
      <c r="A493" s="343" t="s">
        <v>15465</v>
      </c>
      <c r="B493" s="147" t="s">
        <v>17527</v>
      </c>
      <c r="C493" s="351" t="s">
        <v>3240</v>
      </c>
      <c r="D493" s="351">
        <v>2</v>
      </c>
      <c r="E493" s="351">
        <v>263.21999999999997</v>
      </c>
      <c r="F493" s="352">
        <v>0.2094</v>
      </c>
      <c r="G493" s="353">
        <f t="shared" si="47"/>
        <v>318.33826799999997</v>
      </c>
      <c r="H493" s="353">
        <f t="shared" si="48"/>
        <v>636.67653599999994</v>
      </c>
      <c r="I493" s="354">
        <f t="shared" si="46"/>
        <v>1.2799423586532373E-4</v>
      </c>
      <c r="J493" s="354">
        <f t="shared" si="49"/>
        <v>0.98684466159599094</v>
      </c>
      <c r="K493" s="682">
        <f>'018-21-CAPA'!$F$37</f>
        <v>4974259.4398541162</v>
      </c>
      <c r="L493" s="689">
        <f t="shared" si="45"/>
        <v>7.4505805969238281E-9</v>
      </c>
      <c r="M493" s="228"/>
      <c r="N493" s="93"/>
      <c r="P493" s="95"/>
    </row>
    <row r="494" spans="1:16" s="94" customFormat="1" ht="38.25">
      <c r="A494" s="343">
        <v>89689</v>
      </c>
      <c r="B494" s="147" t="s">
        <v>2064</v>
      </c>
      <c r="C494" s="351" t="s">
        <v>109</v>
      </c>
      <c r="D494" s="351">
        <v>18</v>
      </c>
      <c r="E494" s="351" t="s">
        <v>10181</v>
      </c>
      <c r="F494" s="352">
        <v>0.2094</v>
      </c>
      <c r="G494" s="353">
        <f t="shared" si="47"/>
        <v>35.302386000000006</v>
      </c>
      <c r="H494" s="353">
        <f t="shared" si="48"/>
        <v>635.44294800000011</v>
      </c>
      <c r="I494" s="354">
        <f t="shared" si="46"/>
        <v>1.2774624156287217E-4</v>
      </c>
      <c r="J494" s="354">
        <f t="shared" si="49"/>
        <v>0.9869724078375538</v>
      </c>
      <c r="K494" s="682">
        <f>'018-21-CAPA'!$F$37</f>
        <v>4974259.4398541162</v>
      </c>
      <c r="L494" s="689">
        <f t="shared" si="45"/>
        <v>7.4505805969238281E-9</v>
      </c>
      <c r="M494" s="228"/>
      <c r="N494" s="93"/>
      <c r="P494" s="95"/>
    </row>
    <row r="495" spans="1:16" s="94" customFormat="1" ht="38.25">
      <c r="A495" s="343">
        <v>92000</v>
      </c>
      <c r="B495" s="147" t="s">
        <v>123</v>
      </c>
      <c r="C495" s="351" t="s">
        <v>109</v>
      </c>
      <c r="D495" s="351">
        <v>22</v>
      </c>
      <c r="E495" s="351" t="s">
        <v>22680</v>
      </c>
      <c r="F495" s="352">
        <v>0.2094</v>
      </c>
      <c r="G495" s="353">
        <f t="shared" si="47"/>
        <v>28.699062000000001</v>
      </c>
      <c r="H495" s="353">
        <f t="shared" si="48"/>
        <v>631.37936400000001</v>
      </c>
      <c r="I495" s="354">
        <f t="shared" si="46"/>
        <v>1.2692931915479622E-4</v>
      </c>
      <c r="J495" s="354">
        <f t="shared" si="49"/>
        <v>0.98709933715670861</v>
      </c>
      <c r="K495" s="682">
        <f>'018-21-CAPA'!$F$37</f>
        <v>4974259.4398541162</v>
      </c>
      <c r="L495" s="689">
        <f t="shared" si="45"/>
        <v>7.4505805969238281E-9</v>
      </c>
      <c r="M495" s="228"/>
      <c r="N495" s="93"/>
      <c r="P495" s="95"/>
    </row>
    <row r="496" spans="1:16" s="94" customFormat="1" ht="25.5">
      <c r="A496" s="343" t="s">
        <v>18715</v>
      </c>
      <c r="B496" s="147" t="s">
        <v>18716</v>
      </c>
      <c r="C496" s="351" t="s">
        <v>3240</v>
      </c>
      <c r="D496" s="351">
        <v>13</v>
      </c>
      <c r="E496" s="351">
        <v>39.97</v>
      </c>
      <c r="F496" s="352">
        <v>0.2094</v>
      </c>
      <c r="G496" s="353">
        <f t="shared" si="47"/>
        <v>48.339717999999998</v>
      </c>
      <c r="H496" s="353">
        <f t="shared" si="48"/>
        <v>628.41633400000001</v>
      </c>
      <c r="I496" s="354">
        <f t="shared" si="46"/>
        <v>1.2633364656557418E-4</v>
      </c>
      <c r="J496" s="354">
        <f t="shared" si="49"/>
        <v>0.98722567080327417</v>
      </c>
      <c r="K496" s="682">
        <f>'018-21-CAPA'!$F$37</f>
        <v>4974259.4398541162</v>
      </c>
      <c r="L496" s="689">
        <f t="shared" si="45"/>
        <v>7.4505805969238281E-9</v>
      </c>
      <c r="M496" s="228"/>
      <c r="N496" s="93"/>
      <c r="P496" s="95"/>
    </row>
    <row r="497" spans="1:16" s="94" customFormat="1" ht="51">
      <c r="A497" s="343">
        <v>89596</v>
      </c>
      <c r="B497" s="147" t="s">
        <v>1991</v>
      </c>
      <c r="C497" s="351" t="s">
        <v>109</v>
      </c>
      <c r="D497" s="351">
        <v>48</v>
      </c>
      <c r="E497" s="351" t="s">
        <v>16073</v>
      </c>
      <c r="F497" s="352">
        <v>0.2094</v>
      </c>
      <c r="G497" s="353">
        <f t="shared" si="47"/>
        <v>13.085708</v>
      </c>
      <c r="H497" s="353">
        <f t="shared" si="48"/>
        <v>628.11398400000007</v>
      </c>
      <c r="I497" s="354">
        <f t="shared" si="46"/>
        <v>1.2627286364830665E-4</v>
      </c>
      <c r="J497" s="354">
        <f t="shared" si="49"/>
        <v>0.98735194366692247</v>
      </c>
      <c r="K497" s="682">
        <f>'018-21-CAPA'!$F$37</f>
        <v>4974259.4398541162</v>
      </c>
      <c r="L497" s="689">
        <f t="shared" si="45"/>
        <v>7.4505805969238281E-9</v>
      </c>
      <c r="M497" s="228"/>
      <c r="N497" s="93"/>
      <c r="P497" s="95"/>
    </row>
    <row r="498" spans="1:16" s="94" customFormat="1" ht="63.75">
      <c r="A498" s="343" t="s">
        <v>15089</v>
      </c>
      <c r="B498" s="147" t="s">
        <v>15144</v>
      </c>
      <c r="C498" s="351" t="s">
        <v>109</v>
      </c>
      <c r="D498" s="351">
        <v>1</v>
      </c>
      <c r="E498" s="351">
        <v>518.98000000000013</v>
      </c>
      <c r="F498" s="352">
        <v>0.2094</v>
      </c>
      <c r="G498" s="353">
        <f t="shared" si="47"/>
        <v>627.65441200000021</v>
      </c>
      <c r="H498" s="353">
        <f t="shared" si="48"/>
        <v>627.65441200000021</v>
      </c>
      <c r="I498" s="354">
        <f t="shared" si="46"/>
        <v>1.2618047361405999E-4</v>
      </c>
      <c r="J498" s="354">
        <f t="shared" si="49"/>
        <v>0.98747812414053648</v>
      </c>
      <c r="K498" s="682">
        <f>'018-21-CAPA'!$F$37</f>
        <v>4974259.4398541162</v>
      </c>
      <c r="L498" s="689">
        <f t="shared" si="45"/>
        <v>7.4505805969238281E-9</v>
      </c>
      <c r="M498" s="228"/>
      <c r="N498" s="93"/>
      <c r="P498" s="95"/>
    </row>
    <row r="499" spans="1:16" s="94" customFormat="1" ht="38.25">
      <c r="A499" s="343">
        <v>92023</v>
      </c>
      <c r="B499" s="147" t="s">
        <v>1734</v>
      </c>
      <c r="C499" s="351" t="s">
        <v>109</v>
      </c>
      <c r="D499" s="351">
        <v>13</v>
      </c>
      <c r="E499" s="351" t="s">
        <v>22693</v>
      </c>
      <c r="F499" s="352">
        <v>0.2094</v>
      </c>
      <c r="G499" s="353">
        <f t="shared" si="47"/>
        <v>48.230872000000005</v>
      </c>
      <c r="H499" s="353">
        <f t="shared" si="48"/>
        <v>627.00133600000004</v>
      </c>
      <c r="I499" s="354">
        <f t="shared" si="46"/>
        <v>1.2604918251276205E-4</v>
      </c>
      <c r="J499" s="354">
        <f t="shared" si="49"/>
        <v>0.98760417332304928</v>
      </c>
      <c r="K499" s="682">
        <f>'018-21-CAPA'!$F$37</f>
        <v>4974259.4398541162</v>
      </c>
      <c r="L499" s="689">
        <f t="shared" ref="L499:L546" si="50">K499-$F$772</f>
        <v>7.4505805969238281E-9</v>
      </c>
      <c r="M499" s="228"/>
      <c r="N499" s="93"/>
      <c r="P499" s="95"/>
    </row>
    <row r="500" spans="1:16" s="94" customFormat="1" ht="25.5">
      <c r="A500" s="343" t="s">
        <v>14918</v>
      </c>
      <c r="B500" s="147" t="s">
        <v>16837</v>
      </c>
      <c r="C500" s="351" t="s">
        <v>109</v>
      </c>
      <c r="D500" s="351">
        <v>1</v>
      </c>
      <c r="E500" s="351">
        <v>510.41</v>
      </c>
      <c r="F500" s="352">
        <v>0.2094</v>
      </c>
      <c r="G500" s="353">
        <f t="shared" si="47"/>
        <v>617.28985399999999</v>
      </c>
      <c r="H500" s="353">
        <f t="shared" si="48"/>
        <v>617.28985399999999</v>
      </c>
      <c r="I500" s="354">
        <f t="shared" si="46"/>
        <v>1.2409683521012822E-4</v>
      </c>
      <c r="J500" s="354">
        <f t="shared" si="49"/>
        <v>0.98772827015825937</v>
      </c>
      <c r="K500" s="682">
        <f>'018-21-CAPA'!$F$37</f>
        <v>4974259.4398541162</v>
      </c>
      <c r="L500" s="689">
        <f t="shared" si="50"/>
        <v>7.4505805969238281E-9</v>
      </c>
      <c r="M500" s="228"/>
      <c r="N500" s="93"/>
      <c r="P500" s="95"/>
    </row>
    <row r="501" spans="1:16" s="94" customFormat="1" ht="51">
      <c r="A501" s="343">
        <v>91854</v>
      </c>
      <c r="B501" s="147" t="s">
        <v>1520</v>
      </c>
      <c r="C501" s="351" t="s">
        <v>5</v>
      </c>
      <c r="D501" s="351">
        <v>60.8</v>
      </c>
      <c r="E501" s="351" t="s">
        <v>14073</v>
      </c>
      <c r="F501" s="352">
        <v>0.2094</v>
      </c>
      <c r="G501" s="353">
        <f t="shared" si="47"/>
        <v>10.110583999999999</v>
      </c>
      <c r="H501" s="353">
        <f t="shared" si="48"/>
        <v>614.72350719999997</v>
      </c>
      <c r="I501" s="354">
        <f t="shared" si="46"/>
        <v>1.2358090980836122E-4</v>
      </c>
      <c r="J501" s="354">
        <f t="shared" si="49"/>
        <v>0.98785185106806772</v>
      </c>
      <c r="K501" s="682">
        <f>'018-21-CAPA'!$F$37</f>
        <v>4974259.4398541162</v>
      </c>
      <c r="L501" s="689">
        <f t="shared" si="50"/>
        <v>7.4505805969238281E-9</v>
      </c>
      <c r="M501" s="228"/>
      <c r="N501" s="93"/>
      <c r="P501" s="95"/>
    </row>
    <row r="502" spans="1:16" s="94" customFormat="1" ht="25.5">
      <c r="A502" s="343" t="s">
        <v>14838</v>
      </c>
      <c r="B502" s="147" t="s">
        <v>16784</v>
      </c>
      <c r="C502" s="351" t="s">
        <v>5</v>
      </c>
      <c r="D502" s="351">
        <v>40.520000000000003</v>
      </c>
      <c r="E502" s="351">
        <v>12.32</v>
      </c>
      <c r="F502" s="352">
        <v>0.2094</v>
      </c>
      <c r="G502" s="353">
        <f t="shared" si="47"/>
        <v>14.899808</v>
      </c>
      <c r="H502" s="353">
        <f t="shared" si="48"/>
        <v>603.74022016000004</v>
      </c>
      <c r="I502" s="354">
        <f t="shared" si="46"/>
        <v>1.2137288524253317E-4</v>
      </c>
      <c r="J502" s="354">
        <f t="shared" si="49"/>
        <v>0.98797322395331022</v>
      </c>
      <c r="K502" s="682">
        <f>'018-21-CAPA'!$F$37</f>
        <v>4974259.4398541162</v>
      </c>
      <c r="L502" s="689">
        <f t="shared" si="50"/>
        <v>7.4505805969238281E-9</v>
      </c>
      <c r="M502" s="228"/>
      <c r="N502" s="93"/>
      <c r="P502" s="95"/>
    </row>
    <row r="503" spans="1:16" s="94" customFormat="1" ht="38.25">
      <c r="A503" s="343">
        <v>89395</v>
      </c>
      <c r="B503" s="147" t="s">
        <v>1858</v>
      </c>
      <c r="C503" s="351" t="s">
        <v>109</v>
      </c>
      <c r="D503" s="351">
        <v>43</v>
      </c>
      <c r="E503" s="351" t="s">
        <v>10997</v>
      </c>
      <c r="F503" s="352">
        <v>0.2094</v>
      </c>
      <c r="G503" s="353">
        <f t="shared" si="47"/>
        <v>13.944381999999999</v>
      </c>
      <c r="H503" s="353">
        <f t="shared" si="48"/>
        <v>599.60842600000001</v>
      </c>
      <c r="I503" s="354">
        <f t="shared" si="46"/>
        <v>1.2054225020832167E-4</v>
      </c>
      <c r="J503" s="354">
        <f t="shared" si="49"/>
        <v>0.98809376620351852</v>
      </c>
      <c r="K503" s="682">
        <f>'018-21-CAPA'!$F$37</f>
        <v>4974259.4398541162</v>
      </c>
      <c r="L503" s="689">
        <f t="shared" si="50"/>
        <v>7.4505805969238281E-9</v>
      </c>
      <c r="M503" s="228"/>
      <c r="N503" s="93"/>
      <c r="P503" s="95"/>
    </row>
    <row r="504" spans="1:16" s="94" customFormat="1" ht="38.25">
      <c r="A504" s="343">
        <v>91939</v>
      </c>
      <c r="B504" s="147" t="s">
        <v>137</v>
      </c>
      <c r="C504" s="351" t="s">
        <v>109</v>
      </c>
      <c r="D504" s="351">
        <v>20</v>
      </c>
      <c r="E504" s="351" t="s">
        <v>16594</v>
      </c>
      <c r="F504" s="352">
        <v>0.2094</v>
      </c>
      <c r="G504" s="353">
        <f t="shared" si="47"/>
        <v>29.944744000000004</v>
      </c>
      <c r="H504" s="353">
        <f t="shared" si="48"/>
        <v>598.89488000000006</v>
      </c>
      <c r="I504" s="354">
        <f t="shared" si="46"/>
        <v>1.2039880252357026E-4</v>
      </c>
      <c r="J504" s="354">
        <f t="shared" si="49"/>
        <v>0.98821416500604209</v>
      </c>
      <c r="K504" s="682">
        <f>'018-21-CAPA'!$F$37</f>
        <v>4974259.4398541162</v>
      </c>
      <c r="L504" s="689">
        <f t="shared" si="50"/>
        <v>7.4505805969238281E-9</v>
      </c>
      <c r="M504" s="228"/>
      <c r="N504" s="93"/>
      <c r="P504" s="95"/>
    </row>
    <row r="505" spans="1:16" s="94" customFormat="1" ht="63.75">
      <c r="A505" s="343">
        <v>91180</v>
      </c>
      <c r="B505" s="147" t="s">
        <v>2435</v>
      </c>
      <c r="C505" s="351" t="s">
        <v>5</v>
      </c>
      <c r="D505" s="351">
        <v>92.57</v>
      </c>
      <c r="E505" s="351" t="s">
        <v>11188</v>
      </c>
      <c r="F505" s="352">
        <v>0.2094</v>
      </c>
      <c r="G505" s="353">
        <f t="shared" si="47"/>
        <v>6.3856320000000002</v>
      </c>
      <c r="H505" s="353">
        <f t="shared" si="48"/>
        <v>591.11795424000002</v>
      </c>
      <c r="I505" s="354">
        <f t="shared" si="46"/>
        <v>1.1883536863878115E-4</v>
      </c>
      <c r="J505" s="354">
        <f t="shared" si="49"/>
        <v>0.98833300037468086</v>
      </c>
      <c r="K505" s="682">
        <f>'018-21-CAPA'!$F$37</f>
        <v>4974259.4398541162</v>
      </c>
      <c r="L505" s="689">
        <f t="shared" si="50"/>
        <v>7.4505805969238281E-9</v>
      </c>
      <c r="M505" s="228"/>
      <c r="N505" s="93"/>
      <c r="P505" s="95"/>
    </row>
    <row r="506" spans="1:16" s="94" customFormat="1" ht="63.75">
      <c r="A506" s="343" t="s">
        <v>15137</v>
      </c>
      <c r="B506" s="147" t="s">
        <v>15113</v>
      </c>
      <c r="C506" s="351" t="s">
        <v>109</v>
      </c>
      <c r="D506" s="351">
        <v>14</v>
      </c>
      <c r="E506" s="351">
        <v>34.21</v>
      </c>
      <c r="F506" s="352">
        <v>0.2094</v>
      </c>
      <c r="G506" s="353">
        <f t="shared" si="47"/>
        <v>41.373574000000005</v>
      </c>
      <c r="H506" s="353">
        <f t="shared" si="48"/>
        <v>579.23003600000004</v>
      </c>
      <c r="I506" s="354">
        <f t="shared" si="46"/>
        <v>1.1644548158448857E-4</v>
      </c>
      <c r="J506" s="354">
        <f t="shared" si="49"/>
        <v>0.98844944585626537</v>
      </c>
      <c r="K506" s="682">
        <f>'018-21-CAPA'!$F$37</f>
        <v>4974259.4398541162</v>
      </c>
      <c r="L506" s="689">
        <f t="shared" si="50"/>
        <v>7.4505805969238281E-9</v>
      </c>
      <c r="M506" s="228"/>
      <c r="N506" s="93"/>
      <c r="P506" s="95"/>
    </row>
    <row r="507" spans="1:16" s="94" customFormat="1" ht="38.25">
      <c r="A507" s="343">
        <v>89501</v>
      </c>
      <c r="B507" s="147" t="s">
        <v>250</v>
      </c>
      <c r="C507" s="351" t="s">
        <v>109</v>
      </c>
      <c r="D507" s="351">
        <v>35</v>
      </c>
      <c r="E507" s="351" t="s">
        <v>16081</v>
      </c>
      <c r="F507" s="352">
        <v>0.2094</v>
      </c>
      <c r="G507" s="353">
        <f t="shared" si="47"/>
        <v>16.459934000000001</v>
      </c>
      <c r="H507" s="353">
        <f t="shared" si="48"/>
        <v>576.09769000000006</v>
      </c>
      <c r="I507" s="354">
        <f t="shared" si="46"/>
        <v>1.1581577056159671E-4</v>
      </c>
      <c r="J507" s="354">
        <f t="shared" si="49"/>
        <v>0.98856526162682701</v>
      </c>
      <c r="K507" s="682">
        <f>'018-21-CAPA'!$F$37</f>
        <v>4974259.4398541162</v>
      </c>
      <c r="L507" s="689">
        <f t="shared" si="50"/>
        <v>7.4505805969238281E-9</v>
      </c>
      <c r="M507" s="228"/>
      <c r="N507" s="93"/>
      <c r="P507" s="95"/>
    </row>
    <row r="508" spans="1:16" s="94" customFormat="1" ht="63.75">
      <c r="A508" s="343">
        <v>94498</v>
      </c>
      <c r="B508" s="147" t="s">
        <v>2376</v>
      </c>
      <c r="C508" s="351" t="s">
        <v>109</v>
      </c>
      <c r="D508" s="351">
        <v>3</v>
      </c>
      <c r="E508" s="351" t="s">
        <v>23581</v>
      </c>
      <c r="F508" s="352">
        <v>0.2094</v>
      </c>
      <c r="G508" s="353">
        <f t="shared" si="47"/>
        <v>191.85921599999998</v>
      </c>
      <c r="H508" s="353">
        <f t="shared" si="48"/>
        <v>575.57764799999995</v>
      </c>
      <c r="I508" s="354">
        <f t="shared" si="46"/>
        <v>1.157112239438965E-4</v>
      </c>
      <c r="J508" s="354">
        <f t="shared" si="49"/>
        <v>0.98868097285077094</v>
      </c>
      <c r="K508" s="682">
        <f>'018-21-CAPA'!$F$37</f>
        <v>4974259.4398541162</v>
      </c>
      <c r="L508" s="689">
        <f t="shared" si="50"/>
        <v>7.4505805969238281E-9</v>
      </c>
      <c r="M508" s="228"/>
      <c r="N508" s="93"/>
      <c r="P508" s="95"/>
    </row>
    <row r="509" spans="1:16" s="94" customFormat="1" ht="38.25">
      <c r="A509" s="343">
        <v>98111</v>
      </c>
      <c r="B509" s="147" t="s">
        <v>13597</v>
      </c>
      <c r="C509" s="351" t="s">
        <v>109</v>
      </c>
      <c r="D509" s="351">
        <v>15</v>
      </c>
      <c r="E509" s="351" t="s">
        <v>12470</v>
      </c>
      <c r="F509" s="352">
        <v>0.2094</v>
      </c>
      <c r="G509" s="353">
        <f t="shared" si="47"/>
        <v>37.866314000000003</v>
      </c>
      <c r="H509" s="353">
        <f t="shared" si="48"/>
        <v>567.99471000000005</v>
      </c>
      <c r="I509" s="354">
        <f t="shared" si="46"/>
        <v>1.1418678837882627E-4</v>
      </c>
      <c r="J509" s="354">
        <f t="shared" si="49"/>
        <v>0.98879515963914977</v>
      </c>
      <c r="K509" s="682">
        <f>'018-21-CAPA'!$F$37</f>
        <v>4974259.4398541162</v>
      </c>
      <c r="L509" s="689">
        <f t="shared" si="50"/>
        <v>7.4505805969238281E-9</v>
      </c>
      <c r="M509" s="228"/>
      <c r="N509" s="93"/>
      <c r="P509" s="95"/>
    </row>
    <row r="510" spans="1:16" s="94" customFormat="1" ht="38.25">
      <c r="A510" s="343" t="s">
        <v>18424</v>
      </c>
      <c r="B510" s="147" t="s">
        <v>18600</v>
      </c>
      <c r="C510" s="351" t="s">
        <v>10</v>
      </c>
      <c r="D510" s="351">
        <v>1</v>
      </c>
      <c r="E510" s="351">
        <v>462.71</v>
      </c>
      <c r="F510" s="352">
        <v>0.2094</v>
      </c>
      <c r="G510" s="353">
        <f t="shared" si="47"/>
        <v>559.60147399999994</v>
      </c>
      <c r="H510" s="353">
        <f t="shared" si="48"/>
        <v>559.60147399999994</v>
      </c>
      <c r="I510" s="354">
        <f t="shared" si="46"/>
        <v>1.1249945459547897E-4</v>
      </c>
      <c r="J510" s="354">
        <f t="shared" si="49"/>
        <v>0.98890765909374523</v>
      </c>
      <c r="K510" s="682">
        <f>'018-21-CAPA'!$F$37</f>
        <v>4974259.4398541162</v>
      </c>
      <c r="L510" s="689">
        <f t="shared" si="50"/>
        <v>7.4505805969238281E-9</v>
      </c>
      <c r="M510" s="228"/>
      <c r="N510" s="93"/>
      <c r="P510" s="95"/>
    </row>
    <row r="511" spans="1:16" s="94" customFormat="1" ht="51">
      <c r="A511" s="343">
        <v>91181</v>
      </c>
      <c r="B511" s="147" t="s">
        <v>2436</v>
      </c>
      <c r="C511" s="351" t="s">
        <v>5</v>
      </c>
      <c r="D511" s="351">
        <v>75.8</v>
      </c>
      <c r="E511" s="351" t="s">
        <v>10284</v>
      </c>
      <c r="F511" s="352">
        <v>0.2094</v>
      </c>
      <c r="G511" s="353">
        <f t="shared" si="47"/>
        <v>7.3410580000000003</v>
      </c>
      <c r="H511" s="353">
        <f t="shared" si="48"/>
        <v>556.45219640000005</v>
      </c>
      <c r="I511" s="354">
        <f t="shared" si="46"/>
        <v>1.1186633972922015E-4</v>
      </c>
      <c r="J511" s="354">
        <f t="shared" si="49"/>
        <v>0.98901952543347449</v>
      </c>
      <c r="K511" s="682">
        <f>'018-21-CAPA'!$F$37</f>
        <v>4974259.4398541162</v>
      </c>
      <c r="L511" s="689">
        <f t="shared" si="50"/>
        <v>7.4505805969238281E-9</v>
      </c>
      <c r="M511" s="228"/>
      <c r="N511" s="93"/>
      <c r="P511" s="95"/>
    </row>
    <row r="512" spans="1:16" s="94" customFormat="1" ht="51">
      <c r="A512" s="343">
        <v>101161</v>
      </c>
      <c r="B512" s="147" t="s">
        <v>10924</v>
      </c>
      <c r="C512" s="351" t="s">
        <v>193</v>
      </c>
      <c r="D512" s="351">
        <v>2.56</v>
      </c>
      <c r="E512" s="351" t="s">
        <v>23813</v>
      </c>
      <c r="F512" s="352">
        <v>0.2094</v>
      </c>
      <c r="G512" s="353">
        <f t="shared" si="47"/>
        <v>214.52337199999999</v>
      </c>
      <c r="H512" s="353">
        <f t="shared" si="48"/>
        <v>549.17983231999995</v>
      </c>
      <c r="I512" s="354">
        <f t="shared" si="46"/>
        <v>1.1040434037676712E-4</v>
      </c>
      <c r="J512" s="354">
        <f t="shared" si="49"/>
        <v>0.98912992977385128</v>
      </c>
      <c r="K512" s="682">
        <f>'018-21-CAPA'!$F$37</f>
        <v>4974259.4398541162</v>
      </c>
      <c r="L512" s="689">
        <f t="shared" si="50"/>
        <v>7.4505805969238281E-9</v>
      </c>
      <c r="M512" s="228"/>
      <c r="N512" s="93"/>
      <c r="P512" s="95"/>
    </row>
    <row r="513" spans="1:16" s="94" customFormat="1" ht="25.5">
      <c r="A513" s="343" t="s">
        <v>17906</v>
      </c>
      <c r="B513" s="147" t="s">
        <v>14800</v>
      </c>
      <c r="C513" s="351" t="s">
        <v>3243</v>
      </c>
      <c r="D513" s="351">
        <v>3.2</v>
      </c>
      <c r="E513" s="351">
        <v>140.08000000000001</v>
      </c>
      <c r="F513" s="352">
        <v>0.2094</v>
      </c>
      <c r="G513" s="353">
        <f t="shared" si="47"/>
        <v>169.41275200000001</v>
      </c>
      <c r="H513" s="353">
        <f t="shared" si="48"/>
        <v>542.12080640000011</v>
      </c>
      <c r="I513" s="354">
        <f t="shared" si="46"/>
        <v>1.0898522945073811E-4</v>
      </c>
      <c r="J513" s="354">
        <f t="shared" si="49"/>
        <v>0.98923891500330197</v>
      </c>
      <c r="K513" s="682">
        <f>'018-21-CAPA'!$F$37</f>
        <v>4974259.4398541162</v>
      </c>
      <c r="L513" s="689">
        <f t="shared" si="50"/>
        <v>7.4505805969238281E-9</v>
      </c>
      <c r="M513" s="228"/>
      <c r="N513" s="93"/>
      <c r="P513" s="95"/>
    </row>
    <row r="514" spans="1:16" s="94" customFormat="1" ht="38.25">
      <c r="A514" s="343">
        <v>97637</v>
      </c>
      <c r="B514" s="147" t="s">
        <v>3733</v>
      </c>
      <c r="C514" s="351" t="s">
        <v>193</v>
      </c>
      <c r="D514" s="351">
        <v>207.10999999999999</v>
      </c>
      <c r="E514" s="351" t="s">
        <v>11163</v>
      </c>
      <c r="F514" s="352">
        <v>0.2094</v>
      </c>
      <c r="G514" s="353">
        <f t="shared" si="47"/>
        <v>2.6002100000000001</v>
      </c>
      <c r="H514" s="353">
        <f t="shared" si="48"/>
        <v>538.52949309999997</v>
      </c>
      <c r="I514" s="354">
        <f t="shared" si="46"/>
        <v>1.0826324995943408E-4</v>
      </c>
      <c r="J514" s="354">
        <f t="shared" si="49"/>
        <v>0.98934717825326135</v>
      </c>
      <c r="K514" s="682">
        <f>'018-21-CAPA'!$F$37</f>
        <v>4974259.4398541162</v>
      </c>
      <c r="L514" s="689">
        <f t="shared" si="50"/>
        <v>7.4505805969238281E-9</v>
      </c>
      <c r="M514" s="228"/>
      <c r="N514" s="93"/>
      <c r="P514" s="95"/>
    </row>
    <row r="515" spans="1:16" s="94" customFormat="1" ht="51">
      <c r="A515" s="343">
        <v>92694</v>
      </c>
      <c r="B515" s="147" t="s">
        <v>13349</v>
      </c>
      <c r="C515" s="351" t="s">
        <v>109</v>
      </c>
      <c r="D515" s="351">
        <v>25</v>
      </c>
      <c r="E515" s="351" t="s">
        <v>11042</v>
      </c>
      <c r="F515" s="352">
        <v>0.2094</v>
      </c>
      <c r="G515" s="353">
        <f t="shared" si="47"/>
        <v>21.527320000000003</v>
      </c>
      <c r="H515" s="353">
        <f t="shared" si="48"/>
        <v>538.18300000000011</v>
      </c>
      <c r="I515" s="354">
        <f t="shared" si="46"/>
        <v>1.081935927362455E-4</v>
      </c>
      <c r="J515" s="354">
        <f t="shared" si="49"/>
        <v>0.98945537184599763</v>
      </c>
      <c r="K515" s="682">
        <f>'018-21-CAPA'!$F$37</f>
        <v>4974259.4398541162</v>
      </c>
      <c r="L515" s="689">
        <f t="shared" si="50"/>
        <v>7.4505805969238281E-9</v>
      </c>
      <c r="M515" s="228"/>
      <c r="N515" s="93"/>
      <c r="P515" s="95"/>
    </row>
    <row r="516" spans="1:16" s="94" customFormat="1" ht="25.5">
      <c r="A516" s="343" t="s">
        <v>18360</v>
      </c>
      <c r="B516" s="147" t="s">
        <v>18361</v>
      </c>
      <c r="C516" s="351" t="s">
        <v>109</v>
      </c>
      <c r="D516" s="351">
        <v>1</v>
      </c>
      <c r="E516" s="351">
        <v>442.23</v>
      </c>
      <c r="F516" s="352">
        <v>0.2094</v>
      </c>
      <c r="G516" s="353">
        <f t="shared" si="47"/>
        <v>534.83296200000007</v>
      </c>
      <c r="H516" s="353">
        <f t="shared" si="48"/>
        <v>534.83296200000007</v>
      </c>
      <c r="I516" s="354">
        <f t="shared" si="46"/>
        <v>1.07520118012921E-4</v>
      </c>
      <c r="J516" s="354">
        <f t="shared" si="49"/>
        <v>0.98956289196401059</v>
      </c>
      <c r="K516" s="682">
        <f>'018-21-CAPA'!$F$37</f>
        <v>4974259.4398541162</v>
      </c>
      <c r="L516" s="689">
        <f t="shared" si="50"/>
        <v>7.4505805969238281E-9</v>
      </c>
      <c r="M516" s="228"/>
      <c r="N516" s="93"/>
      <c r="P516" s="95"/>
    </row>
    <row r="517" spans="1:16" s="94" customFormat="1" ht="25.5">
      <c r="A517" s="343" t="s">
        <v>14852</v>
      </c>
      <c r="B517" s="147" t="s">
        <v>16814</v>
      </c>
      <c r="C517" s="351" t="s">
        <v>5</v>
      </c>
      <c r="D517" s="351">
        <v>225.74</v>
      </c>
      <c r="E517" s="351">
        <v>1.94</v>
      </c>
      <c r="F517" s="352">
        <v>0.2094</v>
      </c>
      <c r="G517" s="353">
        <f t="shared" si="47"/>
        <v>2.3462360000000002</v>
      </c>
      <c r="H517" s="353">
        <f t="shared" si="48"/>
        <v>529.63931464000007</v>
      </c>
      <c r="I517" s="354">
        <f t="shared" si="46"/>
        <v>1.0647601337326586E-4</v>
      </c>
      <c r="J517" s="354">
        <f t="shared" si="49"/>
        <v>0.98966936797738381</v>
      </c>
      <c r="K517" s="682">
        <f>'018-21-CAPA'!$F$37</f>
        <v>4974259.4398541162</v>
      </c>
      <c r="L517" s="689">
        <f t="shared" si="50"/>
        <v>7.4505805969238281E-9</v>
      </c>
      <c r="M517" s="228"/>
      <c r="N517" s="93"/>
      <c r="P517" s="95"/>
    </row>
    <row r="518" spans="1:16" s="94" customFormat="1" ht="51">
      <c r="A518" s="343">
        <v>92642</v>
      </c>
      <c r="B518" s="147" t="s">
        <v>13315</v>
      </c>
      <c r="C518" s="351" t="s">
        <v>109</v>
      </c>
      <c r="D518" s="351">
        <v>3</v>
      </c>
      <c r="E518" s="351" t="s">
        <v>23167</v>
      </c>
      <c r="F518" s="352">
        <v>0.2094</v>
      </c>
      <c r="G518" s="353">
        <f t="shared" si="47"/>
        <v>176.47564799999998</v>
      </c>
      <c r="H518" s="353">
        <f t="shared" si="48"/>
        <v>529.42694399999993</v>
      </c>
      <c r="I518" s="354">
        <f t="shared" si="46"/>
        <v>1.0643331945217712E-4</v>
      </c>
      <c r="J518" s="354">
        <f t="shared" si="49"/>
        <v>0.98977580129683596</v>
      </c>
      <c r="K518" s="682">
        <f>'018-21-CAPA'!$F$37</f>
        <v>4974259.4398541162</v>
      </c>
      <c r="L518" s="689">
        <f t="shared" si="50"/>
        <v>7.4505805969238281E-9</v>
      </c>
      <c r="M518" s="228"/>
      <c r="N518" s="93"/>
      <c r="P518" s="95"/>
    </row>
    <row r="519" spans="1:16" s="94" customFormat="1" ht="38.25">
      <c r="A519" s="343">
        <v>97084</v>
      </c>
      <c r="B519" s="147" t="s">
        <v>3422</v>
      </c>
      <c r="C519" s="351" t="s">
        <v>193</v>
      </c>
      <c r="D519" s="351">
        <v>746.17</v>
      </c>
      <c r="E519" s="351" t="s">
        <v>12166</v>
      </c>
      <c r="F519" s="352">
        <v>0.2094</v>
      </c>
      <c r="G519" s="353">
        <f t="shared" si="47"/>
        <v>0.70145199999999996</v>
      </c>
      <c r="H519" s="353">
        <f t="shared" si="48"/>
        <v>523.40243883999995</v>
      </c>
      <c r="I519" s="354">
        <f t="shared" si="46"/>
        <v>1.0522218335587075E-4</v>
      </c>
      <c r="J519" s="354">
        <f t="shared" si="49"/>
        <v>0.9898810234801918</v>
      </c>
      <c r="K519" s="682">
        <f>'018-21-CAPA'!$F$37</f>
        <v>4974259.4398541162</v>
      </c>
      <c r="L519" s="689">
        <f t="shared" si="50"/>
        <v>7.4505805969238281E-9</v>
      </c>
      <c r="M519" s="228"/>
      <c r="N519" s="93"/>
      <c r="P519" s="95"/>
    </row>
    <row r="520" spans="1:16" s="94" customFormat="1" ht="51">
      <c r="A520" s="343">
        <v>100561</v>
      </c>
      <c r="B520" s="147" t="s">
        <v>9264</v>
      </c>
      <c r="C520" s="351" t="s">
        <v>109</v>
      </c>
      <c r="D520" s="351">
        <v>2</v>
      </c>
      <c r="E520" s="351" t="s">
        <v>22890</v>
      </c>
      <c r="F520" s="352">
        <v>0.2094</v>
      </c>
      <c r="G520" s="353">
        <f t="shared" si="47"/>
        <v>257.77151599999996</v>
      </c>
      <c r="H520" s="353">
        <f t="shared" si="48"/>
        <v>515.54303199999993</v>
      </c>
      <c r="I520" s="354">
        <f t="shared" ref="I520:I583" si="51">H520/$F$772</f>
        <v>1.0364216789125104E-4</v>
      </c>
      <c r="J520" s="354">
        <f t="shared" si="49"/>
        <v>0.98998466564808307</v>
      </c>
      <c r="K520" s="682">
        <f>'018-21-CAPA'!$F$37</f>
        <v>4974259.4398541162</v>
      </c>
      <c r="L520" s="689">
        <f t="shared" si="50"/>
        <v>7.4505805969238281E-9</v>
      </c>
      <c r="M520" s="228"/>
      <c r="N520" s="93"/>
      <c r="P520" s="95"/>
    </row>
    <row r="521" spans="1:16" s="94" customFormat="1" ht="25.5">
      <c r="A521" s="343" t="s">
        <v>24577</v>
      </c>
      <c r="B521" s="147" t="s">
        <v>24578</v>
      </c>
      <c r="C521" s="351" t="s">
        <v>193</v>
      </c>
      <c r="D521" s="351">
        <v>20.02</v>
      </c>
      <c r="E521" s="351">
        <v>21.19</v>
      </c>
      <c r="F521" s="352">
        <v>0.2094</v>
      </c>
      <c r="G521" s="353">
        <f t="shared" si="47"/>
        <v>25.627186000000002</v>
      </c>
      <c r="H521" s="353">
        <f t="shared" si="48"/>
        <v>513.05626372000006</v>
      </c>
      <c r="I521" s="354">
        <f t="shared" si="51"/>
        <v>1.031422405533089E-4</v>
      </c>
      <c r="J521" s="354">
        <f t="shared" si="49"/>
        <v>0.99008780788863637</v>
      </c>
      <c r="K521" s="682">
        <f>'018-21-CAPA'!$F$37</f>
        <v>4974259.4398541162</v>
      </c>
      <c r="L521" s="689">
        <f t="shared" si="50"/>
        <v>7.4505805969238281E-9</v>
      </c>
      <c r="M521" s="228"/>
      <c r="N521" s="93"/>
      <c r="P521" s="95"/>
    </row>
    <row r="522" spans="1:16" s="94" customFormat="1" ht="25.5">
      <c r="A522" s="343" t="s">
        <v>16886</v>
      </c>
      <c r="B522" s="147" t="s">
        <v>18357</v>
      </c>
      <c r="C522" s="351" t="s">
        <v>109</v>
      </c>
      <c r="D522" s="351">
        <v>4</v>
      </c>
      <c r="E522" s="351">
        <v>105.60000000000001</v>
      </c>
      <c r="F522" s="352">
        <v>0.2094</v>
      </c>
      <c r="G522" s="353">
        <f t="shared" si="47"/>
        <v>127.71264000000001</v>
      </c>
      <c r="H522" s="353">
        <f t="shared" si="48"/>
        <v>510.85056000000003</v>
      </c>
      <c r="I522" s="354">
        <f t="shared" si="51"/>
        <v>1.0269881701525864E-4</v>
      </c>
      <c r="J522" s="354">
        <f t="shared" si="49"/>
        <v>0.99019050670565167</v>
      </c>
      <c r="K522" s="682">
        <f>'018-21-CAPA'!$F$37</f>
        <v>4974259.4398541162</v>
      </c>
      <c r="L522" s="689">
        <f t="shared" si="50"/>
        <v>7.4505805969238281E-9</v>
      </c>
      <c r="M522" s="228"/>
      <c r="N522" s="93"/>
      <c r="P522" s="95"/>
    </row>
    <row r="523" spans="1:16" s="94" customFormat="1" ht="38.25">
      <c r="A523" s="343" t="s">
        <v>14400</v>
      </c>
      <c r="B523" s="147" t="s">
        <v>17133</v>
      </c>
      <c r="C523" s="351" t="s">
        <v>109</v>
      </c>
      <c r="D523" s="351">
        <v>28</v>
      </c>
      <c r="E523" s="351">
        <v>15.07</v>
      </c>
      <c r="F523" s="352">
        <v>0.2094</v>
      </c>
      <c r="G523" s="353">
        <f t="shared" ref="G523:G586" si="52">(E523*(1+F523))</f>
        <v>18.225657999999999</v>
      </c>
      <c r="H523" s="353">
        <f t="shared" ref="H523:H586" si="53">G523*D523</f>
        <v>510.31842399999999</v>
      </c>
      <c r="I523" s="354">
        <f t="shared" si="51"/>
        <v>1.0259183908086773E-4</v>
      </c>
      <c r="J523" s="354">
        <f t="shared" si="49"/>
        <v>0.99029309854473258</v>
      </c>
      <c r="K523" s="682">
        <f>'018-21-CAPA'!$F$37</f>
        <v>4974259.4398541162</v>
      </c>
      <c r="L523" s="689">
        <f t="shared" si="50"/>
        <v>7.4505805969238281E-9</v>
      </c>
      <c r="M523" s="228"/>
      <c r="N523" s="93"/>
      <c r="P523" s="95"/>
    </row>
    <row r="524" spans="1:16" s="94" customFormat="1" ht="38.25">
      <c r="A524" s="343" t="s">
        <v>17862</v>
      </c>
      <c r="B524" s="147" t="s">
        <v>7555</v>
      </c>
      <c r="C524" s="351" t="s">
        <v>109</v>
      </c>
      <c r="D524" s="351">
        <v>678</v>
      </c>
      <c r="E524" s="351">
        <v>0.62</v>
      </c>
      <c r="F524" s="352">
        <v>0.2094</v>
      </c>
      <c r="G524" s="353">
        <f t="shared" si="52"/>
        <v>0.74982800000000005</v>
      </c>
      <c r="H524" s="353">
        <f t="shared" si="53"/>
        <v>508.38338400000004</v>
      </c>
      <c r="I524" s="354">
        <f t="shared" si="51"/>
        <v>1.022028284103554E-4</v>
      </c>
      <c r="J524" s="354">
        <f t="shared" si="49"/>
        <v>0.99039530137314291</v>
      </c>
      <c r="K524" s="682">
        <f>'018-21-CAPA'!$F$37</f>
        <v>4974259.4398541162</v>
      </c>
      <c r="L524" s="689">
        <f t="shared" si="50"/>
        <v>7.4505805969238281E-9</v>
      </c>
      <c r="M524" s="228"/>
      <c r="N524" s="93"/>
      <c r="P524" s="95"/>
    </row>
    <row r="525" spans="1:16" s="94" customFormat="1" ht="38.25">
      <c r="A525" s="343">
        <v>97540</v>
      </c>
      <c r="B525" s="147" t="s">
        <v>13508</v>
      </c>
      <c r="C525" s="351" t="s">
        <v>109</v>
      </c>
      <c r="D525" s="351">
        <v>16</v>
      </c>
      <c r="E525" s="351" t="s">
        <v>12221</v>
      </c>
      <c r="F525" s="352">
        <v>0.2094</v>
      </c>
      <c r="G525" s="353">
        <f t="shared" si="52"/>
        <v>31.178332000000001</v>
      </c>
      <c r="H525" s="353">
        <f t="shared" si="53"/>
        <v>498.85331200000002</v>
      </c>
      <c r="I525" s="354">
        <f t="shared" si="51"/>
        <v>1.002869508580821E-4</v>
      </c>
      <c r="J525" s="354">
        <f t="shared" ref="J525:J588" si="54">I525+J524</f>
        <v>0.99049558832400098</v>
      </c>
      <c r="K525" s="682">
        <f>'018-21-CAPA'!$F$37</f>
        <v>4974259.4398541162</v>
      </c>
      <c r="L525" s="689">
        <f t="shared" si="50"/>
        <v>7.4505805969238281E-9</v>
      </c>
      <c r="M525" s="228"/>
      <c r="N525" s="93"/>
      <c r="P525" s="95"/>
    </row>
    <row r="526" spans="1:16" s="94" customFormat="1" ht="51">
      <c r="A526" s="343">
        <v>89581</v>
      </c>
      <c r="B526" s="147" t="s">
        <v>1978</v>
      </c>
      <c r="C526" s="351" t="s">
        <v>109</v>
      </c>
      <c r="D526" s="351">
        <v>16</v>
      </c>
      <c r="E526" s="351" t="s">
        <v>12342</v>
      </c>
      <c r="F526" s="352">
        <v>0.2094</v>
      </c>
      <c r="G526" s="353">
        <f t="shared" si="52"/>
        <v>31.045298000000003</v>
      </c>
      <c r="H526" s="353">
        <f t="shared" si="53"/>
        <v>496.72476800000004</v>
      </c>
      <c r="I526" s="354">
        <f t="shared" si="51"/>
        <v>9.9859039120518532E-5</v>
      </c>
      <c r="J526" s="354">
        <f t="shared" si="54"/>
        <v>0.99059544736312144</v>
      </c>
      <c r="K526" s="682">
        <f>'018-21-CAPA'!$F$37</f>
        <v>4974259.4398541162</v>
      </c>
      <c r="L526" s="689">
        <f t="shared" si="50"/>
        <v>7.4505805969238281E-9</v>
      </c>
      <c r="M526" s="228"/>
      <c r="N526" s="93"/>
      <c r="P526" s="95"/>
    </row>
    <row r="527" spans="1:16" s="94" customFormat="1" ht="38.25">
      <c r="A527" s="343" t="s">
        <v>14335</v>
      </c>
      <c r="B527" s="147" t="s">
        <v>17035</v>
      </c>
      <c r="C527" s="351" t="s">
        <v>109</v>
      </c>
      <c r="D527" s="351">
        <v>2</v>
      </c>
      <c r="E527" s="351">
        <v>204.32</v>
      </c>
      <c r="F527" s="352">
        <v>0.2094</v>
      </c>
      <c r="G527" s="353">
        <f t="shared" si="52"/>
        <v>247.10460799999998</v>
      </c>
      <c r="H527" s="353">
        <f t="shared" si="53"/>
        <v>494.20921599999997</v>
      </c>
      <c r="I527" s="354">
        <f t="shared" si="51"/>
        <v>9.9353325248852477E-5</v>
      </c>
      <c r="J527" s="354">
        <f t="shared" si="54"/>
        <v>0.99069480068837035</v>
      </c>
      <c r="K527" s="682">
        <f>'018-21-CAPA'!$F$37</f>
        <v>4974259.4398541162</v>
      </c>
      <c r="L527" s="689">
        <f t="shared" si="50"/>
        <v>7.4505805969238281E-9</v>
      </c>
      <c r="M527" s="228"/>
      <c r="N527" s="93"/>
      <c r="P527" s="95"/>
    </row>
    <row r="528" spans="1:16" s="94" customFormat="1" ht="38.25">
      <c r="A528" s="343">
        <v>99624</v>
      </c>
      <c r="B528" s="147" t="s">
        <v>4337</v>
      </c>
      <c r="C528" s="351" t="s">
        <v>109</v>
      </c>
      <c r="D528" s="351">
        <v>1</v>
      </c>
      <c r="E528" s="351" t="s">
        <v>23602</v>
      </c>
      <c r="F528" s="352">
        <v>0.2094</v>
      </c>
      <c r="G528" s="353">
        <f t="shared" si="52"/>
        <v>491.39131400000002</v>
      </c>
      <c r="H528" s="353">
        <f t="shared" si="53"/>
        <v>491.39131400000002</v>
      </c>
      <c r="I528" s="354">
        <f t="shared" si="51"/>
        <v>9.8786828459918884E-5</v>
      </c>
      <c r="J528" s="354">
        <f t="shared" si="54"/>
        <v>0.99079358751683022</v>
      </c>
      <c r="K528" s="682">
        <f>'018-21-CAPA'!$F$37</f>
        <v>4974259.4398541162</v>
      </c>
      <c r="L528" s="689">
        <f t="shared" si="50"/>
        <v>7.4505805969238281E-9</v>
      </c>
      <c r="M528" s="228"/>
      <c r="N528" s="93"/>
      <c r="P528" s="95"/>
    </row>
    <row r="529" spans="1:16" s="94" customFormat="1" ht="25.5">
      <c r="A529" s="343">
        <v>94799</v>
      </c>
      <c r="B529" s="147" t="s">
        <v>4330</v>
      </c>
      <c r="C529" s="351" t="s">
        <v>109</v>
      </c>
      <c r="D529" s="351">
        <v>2</v>
      </c>
      <c r="E529" s="351" t="s">
        <v>23592</v>
      </c>
      <c r="F529" s="352">
        <v>0.2094</v>
      </c>
      <c r="G529" s="353">
        <f t="shared" si="52"/>
        <v>244.79465400000001</v>
      </c>
      <c r="H529" s="353">
        <f t="shared" si="53"/>
        <v>489.58930800000002</v>
      </c>
      <c r="I529" s="354">
        <f t="shared" si="51"/>
        <v>9.8424562273004257E-5</v>
      </c>
      <c r="J529" s="354">
        <f t="shared" si="54"/>
        <v>0.99089201207910327</v>
      </c>
      <c r="K529" s="682">
        <f>'018-21-CAPA'!$F$37</f>
        <v>4974259.4398541162</v>
      </c>
      <c r="L529" s="689">
        <f t="shared" si="50"/>
        <v>7.4505805969238281E-9</v>
      </c>
      <c r="M529" s="228"/>
      <c r="N529" s="93"/>
      <c r="P529" s="95"/>
    </row>
    <row r="530" spans="1:16" s="94" customFormat="1" ht="25.5">
      <c r="A530" s="343" t="s">
        <v>14429</v>
      </c>
      <c r="B530" s="147" t="s">
        <v>17172</v>
      </c>
      <c r="C530" s="351" t="s">
        <v>109</v>
      </c>
      <c r="D530" s="351">
        <v>1</v>
      </c>
      <c r="E530" s="351">
        <v>401.85</v>
      </c>
      <c r="F530" s="352">
        <v>0.2094</v>
      </c>
      <c r="G530" s="353">
        <f t="shared" si="52"/>
        <v>485.99739000000005</v>
      </c>
      <c r="H530" s="353">
        <f t="shared" si="53"/>
        <v>485.99739000000005</v>
      </c>
      <c r="I530" s="354">
        <f t="shared" si="51"/>
        <v>9.7702461215865732E-5</v>
      </c>
      <c r="J530" s="354">
        <f t="shared" si="54"/>
        <v>0.99098971454031914</v>
      </c>
      <c r="K530" s="682">
        <f>'018-21-CAPA'!$F$37</f>
        <v>4974259.4398541162</v>
      </c>
      <c r="L530" s="689">
        <f t="shared" si="50"/>
        <v>7.4505805969238281E-9</v>
      </c>
      <c r="M530" s="228"/>
      <c r="N530" s="93"/>
      <c r="P530" s="95"/>
    </row>
    <row r="531" spans="1:16" s="94" customFormat="1" ht="51">
      <c r="A531" s="343">
        <v>89366</v>
      </c>
      <c r="B531" s="147" t="s">
        <v>1831</v>
      </c>
      <c r="C531" s="351" t="s">
        <v>109</v>
      </c>
      <c r="D531" s="351">
        <v>26</v>
      </c>
      <c r="E531" s="351" t="s">
        <v>10968</v>
      </c>
      <c r="F531" s="352">
        <v>0.2094</v>
      </c>
      <c r="G531" s="353">
        <f t="shared" si="52"/>
        <v>18.576384000000001</v>
      </c>
      <c r="H531" s="353">
        <f t="shared" si="53"/>
        <v>482.98598400000003</v>
      </c>
      <c r="I531" s="354">
        <f t="shared" si="51"/>
        <v>9.7097063359880895E-5</v>
      </c>
      <c r="J531" s="354">
        <f t="shared" si="54"/>
        <v>0.99108681160367906</v>
      </c>
      <c r="K531" s="682">
        <f>'018-21-CAPA'!$F$37</f>
        <v>4974259.4398541162</v>
      </c>
      <c r="L531" s="689">
        <f t="shared" si="50"/>
        <v>7.4505805969238281E-9</v>
      </c>
      <c r="M531" s="228"/>
      <c r="N531" s="93"/>
      <c r="P531" s="95"/>
    </row>
    <row r="532" spans="1:16" s="94" customFormat="1" ht="38.25">
      <c r="A532" s="343">
        <v>99631</v>
      </c>
      <c r="B532" s="147" t="s">
        <v>4344</v>
      </c>
      <c r="C532" s="351" t="s">
        <v>109</v>
      </c>
      <c r="D532" s="351">
        <v>3</v>
      </c>
      <c r="E532" s="351" t="s">
        <v>22851</v>
      </c>
      <c r="F532" s="352">
        <v>0.2094</v>
      </c>
      <c r="G532" s="353">
        <f t="shared" si="52"/>
        <v>159.50776599999998</v>
      </c>
      <c r="H532" s="353">
        <f t="shared" si="53"/>
        <v>478.52329799999995</v>
      </c>
      <c r="I532" s="354">
        <f t="shared" si="51"/>
        <v>9.6199907501011788E-5</v>
      </c>
      <c r="J532" s="354">
        <f t="shared" si="54"/>
        <v>0.99118301151118005</v>
      </c>
      <c r="K532" s="682">
        <f>'018-21-CAPA'!$F$37</f>
        <v>4974259.4398541162</v>
      </c>
      <c r="L532" s="689">
        <f t="shared" si="50"/>
        <v>7.4505805969238281E-9</v>
      </c>
      <c r="M532" s="228"/>
      <c r="N532" s="93"/>
      <c r="P532" s="95"/>
    </row>
    <row r="533" spans="1:16" s="94" customFormat="1" ht="25.5">
      <c r="A533" s="343" t="s">
        <v>14549</v>
      </c>
      <c r="B533" s="147" t="s">
        <v>18461</v>
      </c>
      <c r="C533" s="351" t="s">
        <v>5</v>
      </c>
      <c r="D533" s="351">
        <v>41.5</v>
      </c>
      <c r="E533" s="351">
        <v>9.42</v>
      </c>
      <c r="F533" s="352">
        <v>0.2094</v>
      </c>
      <c r="G533" s="353">
        <f t="shared" si="52"/>
        <v>11.392548</v>
      </c>
      <c r="H533" s="353">
        <f t="shared" si="53"/>
        <v>472.79074199999997</v>
      </c>
      <c r="I533" s="354">
        <f t="shared" si="51"/>
        <v>9.5047463389618967E-5</v>
      </c>
      <c r="J533" s="354">
        <f t="shared" si="54"/>
        <v>0.99127805897456966</v>
      </c>
      <c r="K533" s="682">
        <f>'018-21-CAPA'!$F$37</f>
        <v>4974259.4398541162</v>
      </c>
      <c r="L533" s="689">
        <f t="shared" si="50"/>
        <v>7.4505805969238281E-9</v>
      </c>
      <c r="M533" s="228"/>
      <c r="N533" s="93"/>
      <c r="P533" s="95"/>
    </row>
    <row r="534" spans="1:16" s="94" customFormat="1" ht="25.5">
      <c r="A534" s="343" t="s">
        <v>18697</v>
      </c>
      <c r="B534" s="147" t="s">
        <v>18698</v>
      </c>
      <c r="C534" s="351" t="s">
        <v>5</v>
      </c>
      <c r="D534" s="351">
        <v>34.770000000000003</v>
      </c>
      <c r="E534" s="351">
        <v>11.14</v>
      </c>
      <c r="F534" s="352">
        <v>0.2094</v>
      </c>
      <c r="G534" s="353">
        <f t="shared" si="52"/>
        <v>13.472716000000002</v>
      </c>
      <c r="H534" s="353">
        <f t="shared" si="53"/>
        <v>468.44633532000012</v>
      </c>
      <c r="I534" s="354">
        <f t="shared" si="51"/>
        <v>9.4174085807984982E-5</v>
      </c>
      <c r="J534" s="354">
        <f t="shared" si="54"/>
        <v>0.99137223306037769</v>
      </c>
      <c r="K534" s="682">
        <f>'018-21-CAPA'!$F$37</f>
        <v>4974259.4398541162</v>
      </c>
      <c r="L534" s="689">
        <f t="shared" si="50"/>
        <v>7.4505805969238281E-9</v>
      </c>
      <c r="M534" s="228"/>
      <c r="N534" s="93"/>
      <c r="P534" s="95"/>
    </row>
    <row r="535" spans="1:16" s="94" customFormat="1" ht="38.25">
      <c r="A535" s="343">
        <v>89625</v>
      </c>
      <c r="B535" s="147" t="s">
        <v>256</v>
      </c>
      <c r="C535" s="351" t="s">
        <v>109</v>
      </c>
      <c r="D535" s="351">
        <v>18</v>
      </c>
      <c r="E535" s="351" t="s">
        <v>11407</v>
      </c>
      <c r="F535" s="352">
        <v>0.2094</v>
      </c>
      <c r="G535" s="353">
        <f t="shared" si="52"/>
        <v>25.965817999999999</v>
      </c>
      <c r="H535" s="353">
        <f t="shared" si="53"/>
        <v>467.38472400000001</v>
      </c>
      <c r="I535" s="354">
        <f t="shared" si="51"/>
        <v>9.3960664828875113E-5</v>
      </c>
      <c r="J535" s="354">
        <f t="shared" si="54"/>
        <v>0.99146619372520661</v>
      </c>
      <c r="K535" s="682">
        <f>'018-21-CAPA'!$F$37</f>
        <v>4974259.4398541162</v>
      </c>
      <c r="L535" s="689">
        <f t="shared" si="50"/>
        <v>7.4505805969238281E-9</v>
      </c>
      <c r="M535" s="228"/>
      <c r="N535" s="93"/>
      <c r="P535" s="95"/>
    </row>
    <row r="536" spans="1:16" s="94" customFormat="1" ht="51">
      <c r="A536" s="343" t="s">
        <v>11610</v>
      </c>
      <c r="B536" s="147" t="s">
        <v>18392</v>
      </c>
      <c r="C536" s="351" t="s">
        <v>109</v>
      </c>
      <c r="D536" s="351">
        <v>3</v>
      </c>
      <c r="E536" s="351">
        <v>127.39</v>
      </c>
      <c r="F536" s="352">
        <v>0.2094</v>
      </c>
      <c r="G536" s="353">
        <f t="shared" si="52"/>
        <v>154.06546600000001</v>
      </c>
      <c r="H536" s="353">
        <f t="shared" si="53"/>
        <v>462.19639800000004</v>
      </c>
      <c r="I536" s="354">
        <f t="shared" si="51"/>
        <v>9.2917629968563905E-5</v>
      </c>
      <c r="J536" s="354">
        <f t="shared" si="54"/>
        <v>0.99155911135517516</v>
      </c>
      <c r="K536" s="682">
        <f>'018-21-CAPA'!$F$37</f>
        <v>4974259.4398541162</v>
      </c>
      <c r="L536" s="689">
        <f t="shared" si="50"/>
        <v>7.4505805969238281E-9</v>
      </c>
      <c r="M536" s="228"/>
      <c r="N536" s="93"/>
      <c r="P536" s="95"/>
    </row>
    <row r="537" spans="1:16" s="94" customFormat="1" ht="51">
      <c r="A537" s="343">
        <v>89644</v>
      </c>
      <c r="B537" s="147" t="s">
        <v>4190</v>
      </c>
      <c r="C537" s="351" t="s">
        <v>109</v>
      </c>
      <c r="D537" s="351">
        <v>18</v>
      </c>
      <c r="E537" s="351" t="s">
        <v>14222</v>
      </c>
      <c r="F537" s="352">
        <v>0.2094</v>
      </c>
      <c r="G537" s="353">
        <f t="shared" si="52"/>
        <v>25.615092000000001</v>
      </c>
      <c r="H537" s="353">
        <f t="shared" si="53"/>
        <v>461.07165600000002</v>
      </c>
      <c r="I537" s="354">
        <f t="shared" si="51"/>
        <v>9.2691517516328603E-5</v>
      </c>
      <c r="J537" s="354">
        <f t="shared" si="54"/>
        <v>0.9916518028726915</v>
      </c>
      <c r="K537" s="682">
        <f>'018-21-CAPA'!$F$37</f>
        <v>4974259.4398541162</v>
      </c>
      <c r="L537" s="689">
        <f t="shared" si="50"/>
        <v>7.4505805969238281E-9</v>
      </c>
      <c r="M537" s="228"/>
      <c r="N537" s="93"/>
      <c r="P537" s="95"/>
    </row>
    <row r="538" spans="1:16" s="94" customFormat="1" ht="25.5">
      <c r="A538" s="343" t="s">
        <v>14938</v>
      </c>
      <c r="B538" s="147" t="s">
        <v>16839</v>
      </c>
      <c r="C538" s="351" t="s">
        <v>109</v>
      </c>
      <c r="D538" s="351">
        <v>1</v>
      </c>
      <c r="E538" s="351">
        <v>379.71</v>
      </c>
      <c r="F538" s="352">
        <v>0.2094</v>
      </c>
      <c r="G538" s="353">
        <f t="shared" si="52"/>
        <v>459.22127399999999</v>
      </c>
      <c r="H538" s="353">
        <f t="shared" si="53"/>
        <v>459.22127399999999</v>
      </c>
      <c r="I538" s="354">
        <f t="shared" si="51"/>
        <v>9.2319526062651172E-5</v>
      </c>
      <c r="J538" s="354">
        <f t="shared" si="54"/>
        <v>0.9917441223987542</v>
      </c>
      <c r="K538" s="682">
        <f>'018-21-CAPA'!$F$37</f>
        <v>4974259.4398541162</v>
      </c>
      <c r="L538" s="689">
        <f t="shared" si="50"/>
        <v>7.4505805969238281E-9</v>
      </c>
      <c r="M538" s="228"/>
      <c r="N538" s="93"/>
      <c r="P538" s="95"/>
    </row>
    <row r="539" spans="1:16" s="94" customFormat="1" ht="38.25">
      <c r="A539" s="343">
        <v>86904</v>
      </c>
      <c r="B539" s="147" t="s">
        <v>10701</v>
      </c>
      <c r="C539" s="351" t="s">
        <v>109</v>
      </c>
      <c r="D539" s="351">
        <v>3</v>
      </c>
      <c r="E539" s="351" t="s">
        <v>23460</v>
      </c>
      <c r="F539" s="352">
        <v>0.2094</v>
      </c>
      <c r="G539" s="353">
        <f t="shared" si="52"/>
        <v>152.130426</v>
      </c>
      <c r="H539" s="353">
        <f t="shared" si="53"/>
        <v>456.391278</v>
      </c>
      <c r="I539" s="354">
        <f t="shared" si="51"/>
        <v>9.1750597957026864E-5</v>
      </c>
      <c r="J539" s="354">
        <f t="shared" si="54"/>
        <v>0.99183587299671128</v>
      </c>
      <c r="K539" s="682">
        <f>'018-21-CAPA'!$F$37</f>
        <v>4974259.4398541162</v>
      </c>
      <c r="L539" s="689">
        <f t="shared" si="50"/>
        <v>7.4505805969238281E-9</v>
      </c>
      <c r="M539" s="228"/>
      <c r="N539" s="93"/>
      <c r="P539" s="95"/>
    </row>
    <row r="540" spans="1:16" s="94" customFormat="1" ht="51">
      <c r="A540" s="343">
        <v>91175</v>
      </c>
      <c r="B540" s="147" t="s">
        <v>2430</v>
      </c>
      <c r="C540" s="351" t="s">
        <v>5</v>
      </c>
      <c r="D540" s="351">
        <v>89.64</v>
      </c>
      <c r="E540" s="351" t="s">
        <v>9857</v>
      </c>
      <c r="F540" s="352">
        <v>0.2094</v>
      </c>
      <c r="G540" s="353">
        <f t="shared" si="52"/>
        <v>5.0794800000000002</v>
      </c>
      <c r="H540" s="353">
        <f t="shared" si="53"/>
        <v>455.3245872</v>
      </c>
      <c r="I540" s="354">
        <f t="shared" si="51"/>
        <v>9.1536155824906932E-5</v>
      </c>
      <c r="J540" s="354">
        <f t="shared" si="54"/>
        <v>0.99192740915253619</v>
      </c>
      <c r="K540" s="682">
        <f>'018-21-CAPA'!$F$37</f>
        <v>4974259.4398541162</v>
      </c>
      <c r="L540" s="689">
        <f t="shared" ref="L540" si="55">K540-$F$772</f>
        <v>7.4505805969238281E-9</v>
      </c>
      <c r="M540" s="228"/>
      <c r="N540" s="93"/>
      <c r="P540" s="95"/>
    </row>
    <row r="541" spans="1:16" s="94" customFormat="1" ht="25.5">
      <c r="A541" s="343" t="s">
        <v>14393</v>
      </c>
      <c r="B541" s="147" t="s">
        <v>17112</v>
      </c>
      <c r="C541" s="351" t="s">
        <v>10</v>
      </c>
      <c r="D541" s="351">
        <v>14</v>
      </c>
      <c r="E541" s="351">
        <v>26.880000000000003</v>
      </c>
      <c r="F541" s="352">
        <v>0.2094</v>
      </c>
      <c r="G541" s="353">
        <f t="shared" si="52"/>
        <v>32.508672000000004</v>
      </c>
      <c r="H541" s="353">
        <f t="shared" si="53"/>
        <v>455.12140800000009</v>
      </c>
      <c r="I541" s="354">
        <f t="shared" si="51"/>
        <v>9.1495309704503163E-5</v>
      </c>
      <c r="J541" s="354">
        <f t="shared" si="54"/>
        <v>0.99201890446224072</v>
      </c>
      <c r="K541" s="682">
        <f>'018-21-CAPA'!$F$37</f>
        <v>4974259.4398541162</v>
      </c>
      <c r="L541" s="689">
        <f t="shared" si="50"/>
        <v>7.4505805969238281E-9</v>
      </c>
      <c r="M541" s="228"/>
      <c r="N541" s="93"/>
      <c r="P541" s="95"/>
    </row>
    <row r="542" spans="1:16" s="94" customFormat="1" ht="38.25">
      <c r="A542" s="343" t="s">
        <v>9621</v>
      </c>
      <c r="B542" s="147" t="s">
        <v>14640</v>
      </c>
      <c r="C542" s="351" t="s">
        <v>3240</v>
      </c>
      <c r="D542" s="351">
        <v>9</v>
      </c>
      <c r="E542" s="351">
        <v>41.67</v>
      </c>
      <c r="F542" s="352">
        <v>0.2094</v>
      </c>
      <c r="G542" s="353">
        <f t="shared" si="52"/>
        <v>50.395698000000003</v>
      </c>
      <c r="H542" s="353">
        <f t="shared" si="53"/>
        <v>453.56128200000001</v>
      </c>
      <c r="I542" s="354">
        <f t="shared" si="51"/>
        <v>9.118166985140257E-5</v>
      </c>
      <c r="J542" s="354">
        <f t="shared" si="54"/>
        <v>0.99211008613209217</v>
      </c>
      <c r="K542" s="682">
        <f>'018-21-CAPA'!$F$37</f>
        <v>4974259.4398541162</v>
      </c>
      <c r="L542" s="689">
        <f t="shared" si="50"/>
        <v>7.4505805969238281E-9</v>
      </c>
      <c r="M542" s="228"/>
      <c r="N542" s="93"/>
      <c r="P542" s="95"/>
    </row>
    <row r="543" spans="1:16" s="94" customFormat="1" ht="25.5">
      <c r="A543" s="343" t="s">
        <v>15130</v>
      </c>
      <c r="B543" s="147" t="s">
        <v>15138</v>
      </c>
      <c r="C543" s="351" t="s">
        <v>5</v>
      </c>
      <c r="D543" s="351">
        <v>42.65</v>
      </c>
      <c r="E543" s="351">
        <v>8.7900000000000009</v>
      </c>
      <c r="F543" s="352">
        <v>0.2094</v>
      </c>
      <c r="G543" s="353">
        <f t="shared" si="52"/>
        <v>10.630626000000001</v>
      </c>
      <c r="H543" s="353">
        <f t="shared" si="53"/>
        <v>453.39619890000006</v>
      </c>
      <c r="I543" s="354">
        <f t="shared" si="51"/>
        <v>9.1148482378574492E-5</v>
      </c>
      <c r="J543" s="354">
        <f t="shared" si="54"/>
        <v>0.99220123461447074</v>
      </c>
      <c r="K543" s="682">
        <f>'018-21-CAPA'!$F$37</f>
        <v>4974259.4398541162</v>
      </c>
      <c r="L543" s="689">
        <f t="shared" si="50"/>
        <v>7.4505805969238281E-9</v>
      </c>
      <c r="M543" s="228"/>
      <c r="N543" s="93"/>
      <c r="P543" s="95"/>
    </row>
    <row r="544" spans="1:16" s="94" customFormat="1" ht="25.5">
      <c r="A544" s="343" t="s">
        <v>17819</v>
      </c>
      <c r="B544" s="147" t="s">
        <v>17821</v>
      </c>
      <c r="C544" s="351" t="s">
        <v>109</v>
      </c>
      <c r="D544" s="351">
        <v>2</v>
      </c>
      <c r="E544" s="351">
        <v>187.37</v>
      </c>
      <c r="F544" s="352">
        <v>0.2094</v>
      </c>
      <c r="G544" s="353">
        <f t="shared" si="52"/>
        <v>226.605278</v>
      </c>
      <c r="H544" s="353">
        <f t="shared" si="53"/>
        <v>453.210556</v>
      </c>
      <c r="I544" s="354">
        <f t="shared" si="51"/>
        <v>9.11111616673722E-5</v>
      </c>
      <c r="J544" s="354">
        <f t="shared" si="54"/>
        <v>0.99229234577613812</v>
      </c>
      <c r="K544" s="682">
        <f>'018-21-CAPA'!$F$37</f>
        <v>4974259.4398541162</v>
      </c>
      <c r="L544" s="689">
        <f t="shared" si="50"/>
        <v>7.4505805969238281E-9</v>
      </c>
      <c r="M544" s="228"/>
      <c r="N544" s="93"/>
      <c r="P544" s="95"/>
    </row>
    <row r="545" spans="1:16" s="94" customFormat="1" ht="51">
      <c r="A545" s="343">
        <v>92905</v>
      </c>
      <c r="B545" s="147" t="s">
        <v>13378</v>
      </c>
      <c r="C545" s="351" t="s">
        <v>109</v>
      </c>
      <c r="D545" s="351">
        <v>11</v>
      </c>
      <c r="E545" s="351" t="s">
        <v>20561</v>
      </c>
      <c r="F545" s="352">
        <v>0.2094</v>
      </c>
      <c r="G545" s="353">
        <f t="shared" si="52"/>
        <v>41.083317999999998</v>
      </c>
      <c r="H545" s="353">
        <f t="shared" si="53"/>
        <v>451.91649799999999</v>
      </c>
      <c r="I545" s="354">
        <f t="shared" si="51"/>
        <v>9.085101078146707E-5</v>
      </c>
      <c r="J545" s="354">
        <f t="shared" si="54"/>
        <v>0.99238319678691955</v>
      </c>
      <c r="K545" s="682">
        <f>'018-21-CAPA'!$F$37</f>
        <v>4974259.4398541162</v>
      </c>
      <c r="L545" s="689">
        <f t="shared" si="50"/>
        <v>7.4505805969238281E-9</v>
      </c>
      <c r="M545" s="228"/>
      <c r="N545" s="93"/>
      <c r="P545" s="95"/>
    </row>
    <row r="546" spans="1:16" s="94" customFormat="1" ht="38.25">
      <c r="A546" s="343">
        <v>89628</v>
      </c>
      <c r="B546" s="147" t="s">
        <v>257</v>
      </c>
      <c r="C546" s="351" t="s">
        <v>109</v>
      </c>
      <c r="D546" s="351">
        <v>8</v>
      </c>
      <c r="E546" s="351" t="s">
        <v>23083</v>
      </c>
      <c r="F546" s="352">
        <v>0.2094</v>
      </c>
      <c r="G546" s="353">
        <f t="shared" si="52"/>
        <v>55.547742</v>
      </c>
      <c r="H546" s="353">
        <f t="shared" si="53"/>
        <v>444.381936</v>
      </c>
      <c r="I546" s="354">
        <f t="shared" si="51"/>
        <v>8.9336300483159635E-5</v>
      </c>
      <c r="J546" s="354">
        <f t="shared" si="54"/>
        <v>0.99247253308740269</v>
      </c>
      <c r="K546" s="682">
        <f>'018-21-CAPA'!$F$37</f>
        <v>4974259.4398541162</v>
      </c>
      <c r="L546" s="689">
        <f t="shared" si="50"/>
        <v>7.4505805969238281E-9</v>
      </c>
      <c r="M546" s="228"/>
      <c r="N546" s="93"/>
      <c r="P546" s="95"/>
    </row>
    <row r="547" spans="1:16" s="94" customFormat="1" ht="25.5">
      <c r="A547" s="343">
        <v>91192</v>
      </c>
      <c r="B547" s="147" t="s">
        <v>2447</v>
      </c>
      <c r="C547" s="351" t="s">
        <v>109</v>
      </c>
      <c r="D547" s="351">
        <v>69</v>
      </c>
      <c r="E547" s="351" t="s">
        <v>18766</v>
      </c>
      <c r="F547" s="352">
        <v>0.2094</v>
      </c>
      <c r="G547" s="353">
        <f t="shared" si="52"/>
        <v>6.4219140000000001</v>
      </c>
      <c r="H547" s="353">
        <f t="shared" si="53"/>
        <v>443.11206600000003</v>
      </c>
      <c r="I547" s="354">
        <f t="shared" si="51"/>
        <v>8.908101223063592E-5</v>
      </c>
      <c r="J547" s="354">
        <f t="shared" si="54"/>
        <v>0.99256161409963328</v>
      </c>
      <c r="K547" s="682">
        <f>'018-21-CAPA'!$F$37</f>
        <v>4974259.4398541162</v>
      </c>
      <c r="L547" s="689">
        <f>K547-$F$772</f>
        <v>7.4505805969238281E-9</v>
      </c>
      <c r="M547" s="228"/>
      <c r="N547" s="93"/>
      <c r="P547" s="95"/>
    </row>
    <row r="548" spans="1:16" s="94" customFormat="1" ht="51">
      <c r="A548" s="343">
        <v>89383</v>
      </c>
      <c r="B548" s="147" t="s">
        <v>1846</v>
      </c>
      <c r="C548" s="351" t="s">
        <v>109</v>
      </c>
      <c r="D548" s="351">
        <v>56</v>
      </c>
      <c r="E548" s="351" t="s">
        <v>10198</v>
      </c>
      <c r="F548" s="352">
        <v>0.2094</v>
      </c>
      <c r="G548" s="353">
        <f t="shared" si="52"/>
        <v>7.6555020000000003</v>
      </c>
      <c r="H548" s="353">
        <f t="shared" si="53"/>
        <v>428.70811200000003</v>
      </c>
      <c r="I548" s="354">
        <f t="shared" si="51"/>
        <v>8.6185314052009661E-5</v>
      </c>
      <c r="J548" s="354">
        <f t="shared" si="54"/>
        <v>0.99264779941368531</v>
      </c>
      <c r="K548" s="682">
        <f>'018-21-CAPA'!$F$37</f>
        <v>4974259.4398541162</v>
      </c>
      <c r="L548" s="689">
        <f>K548-$F$772</f>
        <v>7.4505805969238281E-9</v>
      </c>
      <c r="M548" s="228"/>
      <c r="N548" s="93"/>
      <c r="P548" s="95"/>
    </row>
    <row r="549" spans="1:16" s="94" customFormat="1">
      <c r="A549" s="343" t="s">
        <v>14446</v>
      </c>
      <c r="B549" s="147" t="s">
        <v>17186</v>
      </c>
      <c r="C549" s="351" t="s">
        <v>109</v>
      </c>
      <c r="D549" s="351">
        <v>2</v>
      </c>
      <c r="E549" s="351">
        <v>173.57</v>
      </c>
      <c r="F549" s="352">
        <v>0.2094</v>
      </c>
      <c r="G549" s="353">
        <f t="shared" si="52"/>
        <v>209.915558</v>
      </c>
      <c r="H549" s="353">
        <f t="shared" si="53"/>
        <v>419.83111600000001</v>
      </c>
      <c r="I549" s="354">
        <f t="shared" si="51"/>
        <v>8.4400727601034278E-5</v>
      </c>
      <c r="J549" s="354">
        <f t="shared" si="54"/>
        <v>0.99273220014128638</v>
      </c>
      <c r="K549" s="682">
        <f>'018-21-CAPA'!$F$37</f>
        <v>4974259.4398541162</v>
      </c>
      <c r="L549" s="689">
        <f>K549-$F$772</f>
        <v>7.4505805969238281E-9</v>
      </c>
      <c r="M549" s="228"/>
      <c r="N549" s="93"/>
      <c r="P549" s="95"/>
    </row>
    <row r="550" spans="1:16" s="94" customFormat="1" ht="38.25">
      <c r="A550" s="343" t="s">
        <v>11607</v>
      </c>
      <c r="B550" s="147" t="s">
        <v>17135</v>
      </c>
      <c r="C550" s="351" t="s">
        <v>5</v>
      </c>
      <c r="D550" s="351">
        <v>19.02</v>
      </c>
      <c r="E550" s="351">
        <v>18.079999999999998</v>
      </c>
      <c r="F550" s="352">
        <v>0.2094</v>
      </c>
      <c r="G550" s="353">
        <f t="shared" si="52"/>
        <v>21.865952</v>
      </c>
      <c r="H550" s="353">
        <f t="shared" si="53"/>
        <v>415.89040704000001</v>
      </c>
      <c r="I550" s="354">
        <f t="shared" si="51"/>
        <v>8.3608507370535901E-5</v>
      </c>
      <c r="J550" s="354">
        <f t="shared" si="54"/>
        <v>0.99281580864865693</v>
      </c>
      <c r="K550" s="682">
        <f>'018-21-CAPA'!$F$37</f>
        <v>4974259.4398541162</v>
      </c>
      <c r="L550" s="689">
        <f t="shared" ref="L550:L571" si="56">K550-$F$772</f>
        <v>7.4505805969238281E-9</v>
      </c>
      <c r="M550" s="228"/>
      <c r="N550" s="93"/>
      <c r="P550" s="95"/>
    </row>
    <row r="551" spans="1:16" s="94" customFormat="1" ht="25.5">
      <c r="A551" s="343" t="s">
        <v>24569</v>
      </c>
      <c r="B551" s="147" t="s">
        <v>24567</v>
      </c>
      <c r="C551" s="351" t="s">
        <v>10</v>
      </c>
      <c r="D551" s="351">
        <v>8</v>
      </c>
      <c r="E551" s="351">
        <v>42.84</v>
      </c>
      <c r="F551" s="352">
        <v>0.2094</v>
      </c>
      <c r="G551" s="353">
        <f t="shared" si="52"/>
        <v>51.810696000000007</v>
      </c>
      <c r="H551" s="353">
        <f t="shared" si="53"/>
        <v>414.48556800000006</v>
      </c>
      <c r="I551" s="354">
        <f t="shared" si="51"/>
        <v>8.3326085623743943E-5</v>
      </c>
      <c r="J551" s="354">
        <f t="shared" si="54"/>
        <v>0.99289913473428071</v>
      </c>
      <c r="K551" s="682">
        <f>'018-21-CAPA'!$F$37</f>
        <v>4974259.4398541162</v>
      </c>
      <c r="L551" s="689">
        <f t="shared" si="56"/>
        <v>7.4505805969238281E-9</v>
      </c>
      <c r="M551" s="228"/>
      <c r="N551" s="93"/>
      <c r="P551" s="95"/>
    </row>
    <row r="552" spans="1:16" s="94" customFormat="1" ht="63.75">
      <c r="A552" s="343" t="s">
        <v>15116</v>
      </c>
      <c r="B552" s="147" t="s">
        <v>15120</v>
      </c>
      <c r="C552" s="351" t="s">
        <v>109</v>
      </c>
      <c r="D552" s="351">
        <v>10</v>
      </c>
      <c r="E552" s="351">
        <v>34.21</v>
      </c>
      <c r="F552" s="352">
        <v>0.2094</v>
      </c>
      <c r="G552" s="353">
        <f t="shared" si="52"/>
        <v>41.373574000000005</v>
      </c>
      <c r="H552" s="353">
        <f t="shared" si="53"/>
        <v>413.73574000000008</v>
      </c>
      <c r="I552" s="354">
        <f t="shared" si="51"/>
        <v>8.3175343988920413E-5</v>
      </c>
      <c r="J552" s="354">
        <f t="shared" si="54"/>
        <v>0.99298231007826965</v>
      </c>
      <c r="K552" s="682">
        <f>'018-21-CAPA'!$F$37</f>
        <v>4974259.4398541162</v>
      </c>
      <c r="L552" s="689">
        <f t="shared" si="56"/>
        <v>7.4505805969238281E-9</v>
      </c>
      <c r="M552" s="228"/>
      <c r="N552" s="93"/>
      <c r="P552" s="95"/>
    </row>
    <row r="553" spans="1:16" s="94" customFormat="1" ht="51">
      <c r="A553" s="343" t="s">
        <v>14739</v>
      </c>
      <c r="B553" s="147" t="s">
        <v>17373</v>
      </c>
      <c r="C553" s="351" t="s">
        <v>3240</v>
      </c>
      <c r="D553" s="351">
        <v>34</v>
      </c>
      <c r="E553" s="351">
        <v>9.99</v>
      </c>
      <c r="F553" s="352">
        <v>0.2094</v>
      </c>
      <c r="G553" s="353">
        <f t="shared" si="52"/>
        <v>12.081906</v>
      </c>
      <c r="H553" s="353">
        <f t="shared" si="53"/>
        <v>410.78480400000001</v>
      </c>
      <c r="I553" s="354">
        <f t="shared" si="51"/>
        <v>8.2582102716389081E-5</v>
      </c>
      <c r="J553" s="354">
        <f t="shared" si="54"/>
        <v>0.99306489218098604</v>
      </c>
      <c r="K553" s="682">
        <f>'018-21-CAPA'!$F$37</f>
        <v>4974259.4398541162</v>
      </c>
      <c r="L553" s="689">
        <f t="shared" si="56"/>
        <v>7.4505805969238281E-9</v>
      </c>
      <c r="M553" s="228"/>
      <c r="N553" s="93"/>
      <c r="P553" s="95"/>
    </row>
    <row r="554" spans="1:16" s="94" customFormat="1" ht="51">
      <c r="A554" s="343" t="s">
        <v>14398</v>
      </c>
      <c r="B554" s="147" t="s">
        <v>18383</v>
      </c>
      <c r="C554" s="351" t="s">
        <v>109</v>
      </c>
      <c r="D554" s="351">
        <v>4</v>
      </c>
      <c r="E554" s="351">
        <v>84.850000000000009</v>
      </c>
      <c r="F554" s="352">
        <v>0.2094</v>
      </c>
      <c r="G554" s="353">
        <f t="shared" si="52"/>
        <v>102.61759000000001</v>
      </c>
      <c r="H554" s="353">
        <f t="shared" si="53"/>
        <v>410.47036000000003</v>
      </c>
      <c r="I554" s="354">
        <f t="shared" si="51"/>
        <v>8.2518888482430828E-5</v>
      </c>
      <c r="J554" s="354">
        <f t="shared" si="54"/>
        <v>0.99314741106946847</v>
      </c>
      <c r="K554" s="682">
        <f>'018-21-CAPA'!$F$37</f>
        <v>4974259.4398541162</v>
      </c>
      <c r="L554" s="689">
        <f t="shared" si="56"/>
        <v>7.4505805969238281E-9</v>
      </c>
      <c r="M554" s="228"/>
      <c r="N554" s="93"/>
      <c r="P554" s="95"/>
    </row>
    <row r="555" spans="1:16" s="94" customFormat="1" ht="25.5">
      <c r="A555" s="343" t="s">
        <v>18430</v>
      </c>
      <c r="B555" s="147" t="s">
        <v>18431</v>
      </c>
      <c r="C555" s="351" t="s">
        <v>10</v>
      </c>
      <c r="D555" s="351">
        <v>66</v>
      </c>
      <c r="E555" s="351">
        <v>4.99</v>
      </c>
      <c r="F555" s="352">
        <v>0.2094</v>
      </c>
      <c r="G555" s="353">
        <f t="shared" si="52"/>
        <v>6.0349060000000003</v>
      </c>
      <c r="H555" s="353">
        <f t="shared" si="53"/>
        <v>398.30379600000003</v>
      </c>
      <c r="I555" s="354">
        <f t="shared" si="51"/>
        <v>8.0072983891584472E-5</v>
      </c>
      <c r="J555" s="354">
        <f t="shared" si="54"/>
        <v>0.99322748405336003</v>
      </c>
      <c r="K555" s="682">
        <f>'018-21-CAPA'!$F$37</f>
        <v>4974259.4398541162</v>
      </c>
      <c r="L555" s="689">
        <f t="shared" si="56"/>
        <v>7.4505805969238281E-9</v>
      </c>
      <c r="M555" s="228"/>
      <c r="N555" s="93"/>
      <c r="P555" s="95"/>
    </row>
    <row r="556" spans="1:16" s="94" customFormat="1" ht="51">
      <c r="A556" s="343">
        <v>89673</v>
      </c>
      <c r="B556" s="147" t="s">
        <v>2050</v>
      </c>
      <c r="C556" s="351" t="s">
        <v>109</v>
      </c>
      <c r="D556" s="351">
        <v>13</v>
      </c>
      <c r="E556" s="351" t="s">
        <v>21088</v>
      </c>
      <c r="F556" s="352">
        <v>0.2094</v>
      </c>
      <c r="G556" s="353">
        <f t="shared" si="52"/>
        <v>30.634101999999999</v>
      </c>
      <c r="H556" s="353">
        <f t="shared" si="53"/>
        <v>398.24332599999997</v>
      </c>
      <c r="I556" s="354">
        <f t="shared" si="51"/>
        <v>8.006082730813094E-5</v>
      </c>
      <c r="J556" s="354">
        <f t="shared" si="54"/>
        <v>0.99330754488066819</v>
      </c>
      <c r="K556" s="682">
        <f>'018-21-CAPA'!$F$37</f>
        <v>4974259.4398541162</v>
      </c>
      <c r="L556" s="689">
        <f t="shared" si="56"/>
        <v>7.4505805969238281E-9</v>
      </c>
      <c r="M556" s="228"/>
      <c r="N556" s="93"/>
      <c r="P556" s="95"/>
    </row>
    <row r="557" spans="1:16" s="94" customFormat="1" ht="51">
      <c r="A557" s="343">
        <v>89724</v>
      </c>
      <c r="B557" s="147" t="s">
        <v>2087</v>
      </c>
      <c r="C557" s="351" t="s">
        <v>109</v>
      </c>
      <c r="D557" s="351">
        <v>34</v>
      </c>
      <c r="E557" s="351" t="s">
        <v>18771</v>
      </c>
      <c r="F557" s="352">
        <v>0.2094</v>
      </c>
      <c r="G557" s="353">
        <f t="shared" si="52"/>
        <v>11.670710000000001</v>
      </c>
      <c r="H557" s="353">
        <f t="shared" si="53"/>
        <v>396.80414000000007</v>
      </c>
      <c r="I557" s="354">
        <f t="shared" si="51"/>
        <v>7.9771500621937411E-5</v>
      </c>
      <c r="J557" s="354">
        <f t="shared" si="54"/>
        <v>0.99338731638129008</v>
      </c>
      <c r="K557" s="682">
        <f>'018-21-CAPA'!$F$37</f>
        <v>4974259.4398541162</v>
      </c>
      <c r="L557" s="689">
        <f t="shared" si="56"/>
        <v>7.4505805969238281E-9</v>
      </c>
      <c r="M557" s="228"/>
      <c r="N557" s="93"/>
      <c r="P557" s="95"/>
    </row>
    <row r="558" spans="1:16" s="94" customFormat="1" ht="38.25">
      <c r="A558" s="343">
        <v>89719</v>
      </c>
      <c r="B558" s="147" t="s">
        <v>2083</v>
      </c>
      <c r="C558" s="351" t="s">
        <v>109</v>
      </c>
      <c r="D558" s="351">
        <v>35</v>
      </c>
      <c r="E558" s="351" t="s">
        <v>16691</v>
      </c>
      <c r="F558" s="352">
        <v>0.2094</v>
      </c>
      <c r="G558" s="353">
        <f t="shared" si="52"/>
        <v>11.174856</v>
      </c>
      <c r="H558" s="353">
        <f t="shared" si="53"/>
        <v>391.11995999999999</v>
      </c>
      <c r="I558" s="354">
        <f t="shared" si="51"/>
        <v>7.862878177730738E-5</v>
      </c>
      <c r="J558" s="354">
        <f t="shared" si="54"/>
        <v>0.99346594516306741</v>
      </c>
      <c r="K558" s="682">
        <f>'018-21-CAPA'!$F$37</f>
        <v>4974259.4398541162</v>
      </c>
      <c r="L558" s="689">
        <f t="shared" si="56"/>
        <v>7.4505805969238281E-9</v>
      </c>
      <c r="M558" s="228"/>
      <c r="N558" s="93"/>
      <c r="P558" s="95"/>
    </row>
    <row r="559" spans="1:16" s="94" customFormat="1" ht="51">
      <c r="A559" s="343" t="s">
        <v>17853</v>
      </c>
      <c r="B559" s="147" t="s">
        <v>24492</v>
      </c>
      <c r="C559" s="351" t="s">
        <v>3244</v>
      </c>
      <c r="D559" s="351">
        <v>30.2</v>
      </c>
      <c r="E559" s="351">
        <v>10.62</v>
      </c>
      <c r="F559" s="352">
        <v>0.2094</v>
      </c>
      <c r="G559" s="353">
        <f t="shared" si="52"/>
        <v>12.843828</v>
      </c>
      <c r="H559" s="353">
        <f t="shared" si="53"/>
        <v>387.88360560000001</v>
      </c>
      <c r="I559" s="354">
        <f t="shared" si="51"/>
        <v>7.7978161430875494E-5</v>
      </c>
      <c r="J559" s="354">
        <f t="shared" si="54"/>
        <v>0.99354392332449826</v>
      </c>
      <c r="K559" s="682">
        <f>'018-21-CAPA'!$F$37</f>
        <v>4974259.4398541162</v>
      </c>
      <c r="L559" s="689">
        <f t="shared" si="56"/>
        <v>7.4505805969238281E-9</v>
      </c>
      <c r="M559" s="228"/>
      <c r="N559" s="93"/>
      <c r="P559" s="95"/>
    </row>
    <row r="560" spans="1:16" s="94" customFormat="1" ht="38.25">
      <c r="A560" s="343">
        <v>91953</v>
      </c>
      <c r="B560" s="147" t="s">
        <v>120</v>
      </c>
      <c r="C560" s="351" t="s">
        <v>109</v>
      </c>
      <c r="D560" s="351">
        <v>14</v>
      </c>
      <c r="E560" s="351" t="s">
        <v>19802</v>
      </c>
      <c r="F560" s="352">
        <v>0.2094</v>
      </c>
      <c r="G560" s="353">
        <f t="shared" si="52"/>
        <v>27.175218000000001</v>
      </c>
      <c r="H560" s="353">
        <f t="shared" si="53"/>
        <v>380.45305200000001</v>
      </c>
      <c r="I560" s="354">
        <f t="shared" si="51"/>
        <v>7.6484360456108099E-5</v>
      </c>
      <c r="J560" s="354">
        <f t="shared" si="54"/>
        <v>0.99362040768495441</v>
      </c>
      <c r="K560" s="682">
        <f>'018-21-CAPA'!$F$37</f>
        <v>4974259.4398541162</v>
      </c>
      <c r="L560" s="689">
        <f t="shared" si="56"/>
        <v>7.4505805969238281E-9</v>
      </c>
      <c r="M560" s="228"/>
      <c r="N560" s="93"/>
      <c r="P560" s="95"/>
    </row>
    <row r="561" spans="1:16" s="94" customFormat="1" ht="25.5">
      <c r="A561" s="343">
        <v>91191</v>
      </c>
      <c r="B561" s="147" t="s">
        <v>2446</v>
      </c>
      <c r="C561" s="351" t="s">
        <v>109</v>
      </c>
      <c r="D561" s="351">
        <v>65</v>
      </c>
      <c r="E561" s="351" t="s">
        <v>10038</v>
      </c>
      <c r="F561" s="352">
        <v>0.2094</v>
      </c>
      <c r="G561" s="353">
        <f t="shared" si="52"/>
        <v>5.7809320000000008</v>
      </c>
      <c r="H561" s="353">
        <f t="shared" si="53"/>
        <v>375.76058000000006</v>
      </c>
      <c r="I561" s="354">
        <f t="shared" si="51"/>
        <v>7.5541009580115673E-5</v>
      </c>
      <c r="J561" s="354">
        <f t="shared" si="54"/>
        <v>0.99369594869453448</v>
      </c>
      <c r="K561" s="682">
        <f>'018-21-CAPA'!$F$37</f>
        <v>4974259.4398541162</v>
      </c>
      <c r="L561" s="689">
        <f t="shared" si="56"/>
        <v>7.4505805969238281E-9</v>
      </c>
      <c r="M561" s="228"/>
      <c r="N561" s="93"/>
      <c r="P561" s="95"/>
    </row>
    <row r="562" spans="1:16" s="94" customFormat="1" ht="38.25">
      <c r="A562" s="343" t="s">
        <v>15564</v>
      </c>
      <c r="B562" s="147" t="s">
        <v>24671</v>
      </c>
      <c r="C562" s="351" t="s">
        <v>3240</v>
      </c>
      <c r="D562" s="351">
        <v>1</v>
      </c>
      <c r="E562" s="351">
        <v>308.98</v>
      </c>
      <c r="F562" s="352">
        <v>0.2094</v>
      </c>
      <c r="G562" s="353">
        <f t="shared" si="52"/>
        <v>373.68041200000005</v>
      </c>
      <c r="H562" s="353">
        <f t="shared" si="53"/>
        <v>373.68041200000005</v>
      </c>
      <c r="I562" s="354">
        <f t="shared" si="51"/>
        <v>7.5122823109314909E-5</v>
      </c>
      <c r="J562" s="354">
        <f t="shared" si="54"/>
        <v>0.99377107151764377</v>
      </c>
      <c r="K562" s="682">
        <f>'018-21-CAPA'!$F$37</f>
        <v>4974259.4398541162</v>
      </c>
      <c r="L562" s="689">
        <f t="shared" si="56"/>
        <v>7.4505805969238281E-9</v>
      </c>
      <c r="M562" s="228"/>
      <c r="N562" s="93"/>
      <c r="P562" s="95"/>
    </row>
    <row r="563" spans="1:16" s="94" customFormat="1" ht="25.5">
      <c r="A563" s="343" t="s">
        <v>15090</v>
      </c>
      <c r="B563" s="147" t="s">
        <v>15150</v>
      </c>
      <c r="C563" s="351" t="s">
        <v>3240</v>
      </c>
      <c r="D563" s="351">
        <v>1</v>
      </c>
      <c r="E563" s="351">
        <v>305.45000000000005</v>
      </c>
      <c r="F563" s="352">
        <v>0.2094</v>
      </c>
      <c r="G563" s="353">
        <f t="shared" si="52"/>
        <v>369.41123000000005</v>
      </c>
      <c r="H563" s="353">
        <f t="shared" si="53"/>
        <v>369.41123000000005</v>
      </c>
      <c r="I563" s="354">
        <f t="shared" si="51"/>
        <v>7.4264568317497045E-5</v>
      </c>
      <c r="J563" s="354">
        <f t="shared" si="54"/>
        <v>0.99384533608596126</v>
      </c>
      <c r="K563" s="682">
        <f>'018-21-CAPA'!$F$37</f>
        <v>4974259.4398541162</v>
      </c>
      <c r="L563" s="689">
        <f t="shared" si="56"/>
        <v>7.4505805969238281E-9</v>
      </c>
      <c r="M563" s="228"/>
      <c r="N563" s="93"/>
      <c r="P563" s="95"/>
    </row>
    <row r="564" spans="1:16" s="94" customFormat="1" ht="76.5">
      <c r="A564" s="343">
        <v>94670</v>
      </c>
      <c r="B564" s="147" t="s">
        <v>2255</v>
      </c>
      <c r="C564" s="351" t="s">
        <v>109</v>
      </c>
      <c r="D564" s="351">
        <v>4</v>
      </c>
      <c r="E564" s="351" t="s">
        <v>23259</v>
      </c>
      <c r="F564" s="352">
        <v>0.2094</v>
      </c>
      <c r="G564" s="353">
        <f t="shared" si="52"/>
        <v>91.79346000000001</v>
      </c>
      <c r="H564" s="353">
        <f t="shared" si="53"/>
        <v>367.17384000000004</v>
      </c>
      <c r="I564" s="354">
        <f t="shared" si="51"/>
        <v>7.3814774729717142E-5</v>
      </c>
      <c r="J564" s="354">
        <f t="shared" si="54"/>
        <v>0.99391915086069094</v>
      </c>
      <c r="K564" s="682">
        <f>'018-21-CAPA'!$F$37</f>
        <v>4974259.4398541162</v>
      </c>
      <c r="L564" s="689">
        <f t="shared" si="56"/>
        <v>7.4505805969238281E-9</v>
      </c>
      <c r="M564" s="228"/>
      <c r="N564" s="93"/>
      <c r="P564" s="95"/>
    </row>
    <row r="565" spans="1:16" s="94" customFormat="1" ht="51">
      <c r="A565" s="343">
        <v>92662</v>
      </c>
      <c r="B565" s="147" t="s">
        <v>13322</v>
      </c>
      <c r="C565" s="351" t="s">
        <v>109</v>
      </c>
      <c r="D565" s="351">
        <v>10</v>
      </c>
      <c r="E565" s="351" t="s">
        <v>10443</v>
      </c>
      <c r="F565" s="352">
        <v>0.2094</v>
      </c>
      <c r="G565" s="353">
        <f t="shared" si="52"/>
        <v>35.894992000000002</v>
      </c>
      <c r="H565" s="353">
        <f t="shared" si="53"/>
        <v>358.94992000000002</v>
      </c>
      <c r="I565" s="354">
        <f t="shared" si="51"/>
        <v>7.2161479380039681E-5</v>
      </c>
      <c r="J565" s="354">
        <f t="shared" si="54"/>
        <v>0.99399131234007099</v>
      </c>
      <c r="K565" s="682">
        <f>'018-21-CAPA'!$F$37</f>
        <v>4974259.4398541162</v>
      </c>
      <c r="L565" s="689">
        <f t="shared" si="56"/>
        <v>7.4505805969238281E-9</v>
      </c>
      <c r="M565" s="228"/>
      <c r="N565" s="93"/>
      <c r="P565" s="95"/>
    </row>
    <row r="566" spans="1:16" s="94" customFormat="1" ht="51">
      <c r="A566" s="343" t="s">
        <v>18535</v>
      </c>
      <c r="B566" s="147" t="s">
        <v>18536</v>
      </c>
      <c r="C566" s="351" t="s">
        <v>3240</v>
      </c>
      <c r="D566" s="351">
        <v>10</v>
      </c>
      <c r="E566" s="351">
        <v>29.65</v>
      </c>
      <c r="F566" s="352">
        <v>0.2094</v>
      </c>
      <c r="G566" s="353">
        <f t="shared" si="52"/>
        <v>35.858710000000002</v>
      </c>
      <c r="H566" s="353">
        <f t="shared" si="53"/>
        <v>358.58710000000002</v>
      </c>
      <c r="I566" s="354">
        <f t="shared" si="51"/>
        <v>7.2088539879318624E-5</v>
      </c>
      <c r="J566" s="354">
        <f t="shared" si="54"/>
        <v>0.99406340087995027</v>
      </c>
      <c r="K566" s="682">
        <f>'018-21-CAPA'!$F$37</f>
        <v>4974259.4398541162</v>
      </c>
      <c r="L566" s="689">
        <f t="shared" si="56"/>
        <v>7.4505805969238281E-9</v>
      </c>
      <c r="M566" s="228"/>
      <c r="N566" s="93"/>
      <c r="P566" s="95"/>
    </row>
    <row r="567" spans="1:16" s="94" customFormat="1" ht="38.25">
      <c r="A567" s="343">
        <v>89844</v>
      </c>
      <c r="B567" s="147" t="s">
        <v>2199</v>
      </c>
      <c r="C567" s="351" t="s">
        <v>109</v>
      </c>
      <c r="D567" s="351">
        <v>6</v>
      </c>
      <c r="E567" s="351" t="s">
        <v>23126</v>
      </c>
      <c r="F567" s="352">
        <v>0.2094</v>
      </c>
      <c r="G567" s="353">
        <f t="shared" si="52"/>
        <v>59.587138000000003</v>
      </c>
      <c r="H567" s="353">
        <f t="shared" si="53"/>
        <v>357.522828</v>
      </c>
      <c r="I567" s="354">
        <f t="shared" si="51"/>
        <v>7.1874584010536826E-5</v>
      </c>
      <c r="J567" s="354">
        <f t="shared" si="54"/>
        <v>0.99413527546396085</v>
      </c>
      <c r="K567" s="682">
        <f>'018-21-CAPA'!$F$37</f>
        <v>4974259.4398541162</v>
      </c>
      <c r="L567" s="689">
        <f t="shared" si="56"/>
        <v>7.4505805969238281E-9</v>
      </c>
      <c r="M567" s="228"/>
      <c r="N567" s="93"/>
      <c r="P567" s="95"/>
    </row>
    <row r="568" spans="1:16" s="94" customFormat="1" ht="51">
      <c r="A568" s="343">
        <v>92661</v>
      </c>
      <c r="B568" s="147" t="s">
        <v>13321</v>
      </c>
      <c r="C568" s="351" t="s">
        <v>109</v>
      </c>
      <c r="D568" s="351">
        <v>10</v>
      </c>
      <c r="E568" s="351" t="s">
        <v>10127</v>
      </c>
      <c r="F568" s="352">
        <v>0.2094</v>
      </c>
      <c r="G568" s="353">
        <f t="shared" si="52"/>
        <v>35.628924000000005</v>
      </c>
      <c r="H568" s="353">
        <f t="shared" si="53"/>
        <v>356.28924000000006</v>
      </c>
      <c r="I568" s="354">
        <f t="shared" si="51"/>
        <v>7.1626589708085215E-5</v>
      </c>
      <c r="J568" s="354">
        <f t="shared" si="54"/>
        <v>0.99420690205366891</v>
      </c>
      <c r="K568" s="682">
        <f>'018-21-CAPA'!$F$37</f>
        <v>4974259.4398541162</v>
      </c>
      <c r="L568" s="689">
        <f t="shared" si="56"/>
        <v>7.4505805969238281E-9</v>
      </c>
      <c r="M568" s="228"/>
      <c r="N568" s="93"/>
      <c r="P568" s="95"/>
    </row>
    <row r="569" spans="1:16" s="94" customFormat="1" ht="25.5">
      <c r="A569" s="343" t="s">
        <v>18359</v>
      </c>
      <c r="B569" s="147" t="s">
        <v>18362</v>
      </c>
      <c r="C569" s="351" t="s">
        <v>109</v>
      </c>
      <c r="D569" s="351">
        <v>1</v>
      </c>
      <c r="E569" s="351">
        <v>294.39999999999998</v>
      </c>
      <c r="F569" s="352">
        <v>0.2094</v>
      </c>
      <c r="G569" s="353">
        <f t="shared" si="52"/>
        <v>356.04735999999997</v>
      </c>
      <c r="H569" s="353">
        <f t="shared" si="53"/>
        <v>356.04735999999997</v>
      </c>
      <c r="I569" s="354">
        <f t="shared" si="51"/>
        <v>7.1577963374271154E-5</v>
      </c>
      <c r="J569" s="354">
        <f t="shared" si="54"/>
        <v>0.99427848001704322</v>
      </c>
      <c r="K569" s="682">
        <f>'018-21-CAPA'!$F$37</f>
        <v>4974259.4398541162</v>
      </c>
      <c r="L569" s="689">
        <f t="shared" si="56"/>
        <v>7.4505805969238281E-9</v>
      </c>
      <c r="M569" s="228"/>
      <c r="N569" s="93"/>
      <c r="P569" s="95"/>
    </row>
    <row r="570" spans="1:16" s="94" customFormat="1" ht="63.75">
      <c r="A570" s="343">
        <v>94499</v>
      </c>
      <c r="B570" s="147" t="s">
        <v>2377</v>
      </c>
      <c r="C570" s="351" t="s">
        <v>109</v>
      </c>
      <c r="D570" s="351">
        <v>1</v>
      </c>
      <c r="E570" s="351" t="s">
        <v>23582</v>
      </c>
      <c r="F570" s="352">
        <v>0.2094</v>
      </c>
      <c r="G570" s="353">
        <f t="shared" si="52"/>
        <v>352.97548400000005</v>
      </c>
      <c r="H570" s="353">
        <f t="shared" si="53"/>
        <v>352.97548400000005</v>
      </c>
      <c r="I570" s="354">
        <f t="shared" si="51"/>
        <v>7.0960408934832826E-5</v>
      </c>
      <c r="J570" s="354">
        <f t="shared" si="54"/>
        <v>0.99434944042597806</v>
      </c>
      <c r="K570" s="682">
        <f>'018-21-CAPA'!$F$37</f>
        <v>4974259.4398541162</v>
      </c>
      <c r="L570" s="689">
        <f t="shared" si="56"/>
        <v>7.4505805969238281E-9</v>
      </c>
      <c r="M570" s="228"/>
      <c r="N570" s="93"/>
      <c r="P570" s="95"/>
    </row>
    <row r="571" spans="1:16" s="94" customFormat="1" ht="38.25">
      <c r="A571" s="343" t="s">
        <v>14411</v>
      </c>
      <c r="B571" s="147" t="s">
        <v>17156</v>
      </c>
      <c r="C571" s="351" t="s">
        <v>109</v>
      </c>
      <c r="D571" s="351">
        <v>5</v>
      </c>
      <c r="E571" s="351">
        <v>58.25</v>
      </c>
      <c r="F571" s="352">
        <v>0.2094</v>
      </c>
      <c r="G571" s="353">
        <f t="shared" si="52"/>
        <v>70.447550000000007</v>
      </c>
      <c r="H571" s="353">
        <f t="shared" si="53"/>
        <v>352.23775000000001</v>
      </c>
      <c r="I571" s="354">
        <f t="shared" si="51"/>
        <v>7.0812098616699997E-5</v>
      </c>
      <c r="J571" s="354">
        <f t="shared" si="54"/>
        <v>0.99442025252459476</v>
      </c>
      <c r="K571" s="682">
        <f>'018-21-CAPA'!$F$37</f>
        <v>4974259.4398541162</v>
      </c>
      <c r="L571" s="689">
        <f t="shared" si="56"/>
        <v>7.4505805969238281E-9</v>
      </c>
      <c r="M571" s="228"/>
      <c r="N571" s="93"/>
      <c r="P571" s="95"/>
    </row>
    <row r="572" spans="1:16" s="94" customFormat="1" ht="38.25">
      <c r="A572" s="343">
        <v>89505</v>
      </c>
      <c r="B572" s="147" t="s">
        <v>251</v>
      </c>
      <c r="C572" s="351" t="s">
        <v>109</v>
      </c>
      <c r="D572" s="351">
        <v>8</v>
      </c>
      <c r="E572" s="351" t="s">
        <v>10275</v>
      </c>
      <c r="F572" s="352">
        <v>0.2094</v>
      </c>
      <c r="G572" s="353">
        <f t="shared" si="52"/>
        <v>43.465835999999996</v>
      </c>
      <c r="H572" s="353">
        <f t="shared" si="53"/>
        <v>347.72668799999997</v>
      </c>
      <c r="I572" s="354">
        <f t="shared" si="51"/>
        <v>6.9905217491068086E-5</v>
      </c>
      <c r="J572" s="354">
        <f t="shared" si="54"/>
        <v>0.99449015774208582</v>
      </c>
      <c r="K572" s="682">
        <f>'018-21-CAPA'!$F$37</f>
        <v>4974259.4398541162</v>
      </c>
      <c r="L572" s="689">
        <f t="shared" ref="L572:L603" si="57">K572-$F$772</f>
        <v>7.4505805969238281E-9</v>
      </c>
      <c r="M572" s="228"/>
      <c r="N572" s="93"/>
      <c r="P572" s="95"/>
    </row>
    <row r="573" spans="1:16" s="94" customFormat="1" ht="25.5">
      <c r="A573" s="343" t="s">
        <v>15121</v>
      </c>
      <c r="B573" s="147" t="s">
        <v>24509</v>
      </c>
      <c r="C573" s="351" t="s">
        <v>109</v>
      </c>
      <c r="D573" s="351">
        <v>2.31</v>
      </c>
      <c r="E573" s="351">
        <v>124.11000000000001</v>
      </c>
      <c r="F573" s="352">
        <v>0.2094</v>
      </c>
      <c r="G573" s="353">
        <f t="shared" si="52"/>
        <v>150.09863400000003</v>
      </c>
      <c r="H573" s="353">
        <f t="shared" si="53"/>
        <v>346.72784454000009</v>
      </c>
      <c r="I573" s="354">
        <f t="shared" si="51"/>
        <v>6.9704415045583021E-5</v>
      </c>
      <c r="J573" s="354">
        <f t="shared" si="54"/>
        <v>0.99455986215713144</v>
      </c>
      <c r="K573" s="682">
        <f>'018-21-CAPA'!$F$37</f>
        <v>4974259.4398541162</v>
      </c>
      <c r="L573" s="689">
        <f t="shared" si="57"/>
        <v>7.4505805969238281E-9</v>
      </c>
      <c r="M573" s="228"/>
      <c r="N573" s="93"/>
      <c r="P573" s="95"/>
    </row>
    <row r="574" spans="1:16" s="94" customFormat="1" ht="25.5">
      <c r="A574" s="343" t="s">
        <v>9018</v>
      </c>
      <c r="B574" s="147" t="s">
        <v>18459</v>
      </c>
      <c r="C574" s="351" t="s">
        <v>5</v>
      </c>
      <c r="D574" s="351">
        <v>78.7</v>
      </c>
      <c r="E574" s="351">
        <v>3.6300000000000003</v>
      </c>
      <c r="F574" s="352">
        <v>0.2094</v>
      </c>
      <c r="G574" s="353">
        <f t="shared" si="52"/>
        <v>4.3901220000000007</v>
      </c>
      <c r="H574" s="353">
        <f t="shared" si="53"/>
        <v>345.50260140000006</v>
      </c>
      <c r="I574" s="354">
        <f t="shared" si="51"/>
        <v>6.9458098351647977E-5</v>
      </c>
      <c r="J574" s="354">
        <f t="shared" si="54"/>
        <v>0.99462932025548312</v>
      </c>
      <c r="K574" s="682">
        <f>'018-21-CAPA'!$F$37</f>
        <v>4974259.4398541162</v>
      </c>
      <c r="L574" s="689">
        <f t="shared" si="57"/>
        <v>7.4505805969238281E-9</v>
      </c>
      <c r="M574" s="228"/>
      <c r="N574" s="93"/>
      <c r="P574" s="95"/>
    </row>
    <row r="575" spans="1:16" s="94" customFormat="1" ht="63.75">
      <c r="A575" s="343">
        <v>100746</v>
      </c>
      <c r="B575" s="147" t="s">
        <v>11003</v>
      </c>
      <c r="C575" s="351" t="s">
        <v>193</v>
      </c>
      <c r="D575" s="351">
        <v>13.81</v>
      </c>
      <c r="E575" s="351" t="s">
        <v>11013</v>
      </c>
      <c r="F575" s="352">
        <v>0.2094</v>
      </c>
      <c r="G575" s="353">
        <f t="shared" si="52"/>
        <v>24.937828000000003</v>
      </c>
      <c r="H575" s="353">
        <f t="shared" si="53"/>
        <v>344.39140468000005</v>
      </c>
      <c r="I575" s="354">
        <f t="shared" si="51"/>
        <v>6.9234708974106265E-5</v>
      </c>
      <c r="J575" s="354">
        <f t="shared" si="54"/>
        <v>0.99469855496445725</v>
      </c>
      <c r="K575" s="682">
        <f>'018-21-CAPA'!$F$37</f>
        <v>4974259.4398541162</v>
      </c>
      <c r="L575" s="689">
        <f t="shared" si="57"/>
        <v>7.4505805969238281E-9</v>
      </c>
      <c r="M575" s="228"/>
      <c r="N575" s="93"/>
      <c r="P575" s="95"/>
    </row>
    <row r="576" spans="1:16" s="94" customFormat="1" ht="51">
      <c r="A576" s="343">
        <v>89786</v>
      </c>
      <c r="B576" s="147" t="s">
        <v>2145</v>
      </c>
      <c r="C576" s="351" t="s">
        <v>109</v>
      </c>
      <c r="D576" s="351">
        <v>9</v>
      </c>
      <c r="E576" s="351" t="s">
        <v>16455</v>
      </c>
      <c r="F576" s="352">
        <v>0.2094</v>
      </c>
      <c r="G576" s="353">
        <f t="shared" si="52"/>
        <v>37.213237999999997</v>
      </c>
      <c r="H576" s="353">
        <f t="shared" si="53"/>
        <v>334.91914199999997</v>
      </c>
      <c r="I576" s="354">
        <f t="shared" si="51"/>
        <v>6.7330453115614508E-5</v>
      </c>
      <c r="J576" s="354">
        <f t="shared" si="54"/>
        <v>0.99476588541757283</v>
      </c>
      <c r="K576" s="682">
        <f>'018-21-CAPA'!$F$37</f>
        <v>4974259.4398541162</v>
      </c>
      <c r="L576" s="689">
        <f t="shared" si="57"/>
        <v>7.4505805969238281E-9</v>
      </c>
      <c r="M576" s="228"/>
      <c r="N576" s="93"/>
      <c r="P576" s="95"/>
    </row>
    <row r="577" spans="1:16" s="94" customFormat="1" ht="38.25">
      <c r="A577" s="343">
        <v>91941</v>
      </c>
      <c r="B577" s="147" t="s">
        <v>129</v>
      </c>
      <c r="C577" s="351" t="s">
        <v>109</v>
      </c>
      <c r="D577" s="351">
        <v>31</v>
      </c>
      <c r="E577" s="351" t="s">
        <v>10521</v>
      </c>
      <c r="F577" s="352">
        <v>0.2094</v>
      </c>
      <c r="G577" s="353">
        <f t="shared" si="52"/>
        <v>10.570156000000001</v>
      </c>
      <c r="H577" s="353">
        <f t="shared" si="53"/>
        <v>327.67483600000003</v>
      </c>
      <c r="I577" s="354">
        <f t="shared" si="51"/>
        <v>6.5874094417883939E-5</v>
      </c>
      <c r="J577" s="354">
        <f t="shared" si="54"/>
        <v>0.99483175951199077</v>
      </c>
      <c r="K577" s="682">
        <f>'018-21-CAPA'!$F$37</f>
        <v>4974259.4398541162</v>
      </c>
      <c r="L577" s="689">
        <f t="shared" si="57"/>
        <v>7.4505805969238281E-9</v>
      </c>
      <c r="M577" s="228"/>
      <c r="N577" s="93"/>
      <c r="P577" s="95"/>
    </row>
    <row r="578" spans="1:16" s="94" customFormat="1" ht="51">
      <c r="A578" s="343" t="s">
        <v>9023</v>
      </c>
      <c r="B578" s="147" t="s">
        <v>16986</v>
      </c>
      <c r="C578" s="351" t="s">
        <v>109</v>
      </c>
      <c r="D578" s="351">
        <v>5</v>
      </c>
      <c r="E578" s="351">
        <v>54.18</v>
      </c>
      <c r="F578" s="352">
        <v>0.2094</v>
      </c>
      <c r="G578" s="353">
        <f t="shared" si="52"/>
        <v>65.525292000000007</v>
      </c>
      <c r="H578" s="353">
        <f t="shared" si="53"/>
        <v>327.62646000000007</v>
      </c>
      <c r="I578" s="354">
        <f t="shared" si="51"/>
        <v>6.5864369151121135E-5</v>
      </c>
      <c r="J578" s="354">
        <f t="shared" si="54"/>
        <v>0.99489762388114189</v>
      </c>
      <c r="K578" s="682">
        <f>'018-21-CAPA'!$F$37</f>
        <v>4974259.4398541162</v>
      </c>
      <c r="L578" s="689">
        <f t="shared" si="57"/>
        <v>7.4505805969238281E-9</v>
      </c>
      <c r="M578" s="228"/>
      <c r="N578" s="93"/>
      <c r="P578" s="95"/>
    </row>
    <row r="579" spans="1:16" s="94" customFormat="1" ht="25.5">
      <c r="A579" s="343" t="s">
        <v>14849</v>
      </c>
      <c r="B579" s="147" t="s">
        <v>18337</v>
      </c>
      <c r="C579" s="351" t="s">
        <v>109</v>
      </c>
      <c r="D579" s="351">
        <v>2</v>
      </c>
      <c r="E579" s="351">
        <v>134.85000000000002</v>
      </c>
      <c r="F579" s="352">
        <v>0.2094</v>
      </c>
      <c r="G579" s="353">
        <f t="shared" si="52"/>
        <v>163.08759000000003</v>
      </c>
      <c r="H579" s="353">
        <f t="shared" si="53"/>
        <v>326.17518000000007</v>
      </c>
      <c r="I579" s="354">
        <f t="shared" si="51"/>
        <v>6.5572611148236878E-5</v>
      </c>
      <c r="J579" s="354">
        <f t="shared" si="54"/>
        <v>0.99496319649229015</v>
      </c>
      <c r="K579" s="682">
        <f>'018-21-CAPA'!$F$37</f>
        <v>4974259.4398541162</v>
      </c>
      <c r="L579" s="689">
        <f t="shared" si="57"/>
        <v>7.4505805969238281E-9</v>
      </c>
      <c r="M579" s="228"/>
      <c r="N579" s="93"/>
      <c r="P579" s="95"/>
    </row>
    <row r="580" spans="1:16" s="94" customFormat="1" ht="38.25">
      <c r="A580" s="343" t="s">
        <v>17374</v>
      </c>
      <c r="B580" s="147" t="s">
        <v>14803</v>
      </c>
      <c r="C580" s="351" t="s">
        <v>3240</v>
      </c>
      <c r="D580" s="351">
        <v>9</v>
      </c>
      <c r="E580" s="351">
        <v>29.85</v>
      </c>
      <c r="F580" s="352">
        <v>0.2094</v>
      </c>
      <c r="G580" s="353">
        <f t="shared" si="52"/>
        <v>36.100590000000004</v>
      </c>
      <c r="H580" s="353">
        <f t="shared" si="53"/>
        <v>324.90531000000004</v>
      </c>
      <c r="I580" s="354">
        <f t="shared" si="51"/>
        <v>6.531732289571315E-5</v>
      </c>
      <c r="J580" s="354">
        <f t="shared" si="54"/>
        <v>0.99502851381518587</v>
      </c>
      <c r="K580" s="682">
        <f>'018-21-CAPA'!$F$37</f>
        <v>4974259.4398541162</v>
      </c>
      <c r="L580" s="689">
        <f t="shared" si="57"/>
        <v>7.4505805969238281E-9</v>
      </c>
      <c r="M580" s="228"/>
      <c r="N580" s="93"/>
      <c r="P580" s="95"/>
    </row>
    <row r="581" spans="1:16" s="94" customFormat="1" ht="63.75">
      <c r="A581" s="343">
        <v>91171</v>
      </c>
      <c r="B581" s="147" t="s">
        <v>263</v>
      </c>
      <c r="C581" s="351" t="s">
        <v>5</v>
      </c>
      <c r="D581" s="351">
        <v>81.75</v>
      </c>
      <c r="E581" s="351" t="s">
        <v>9985</v>
      </c>
      <c r="F581" s="352">
        <v>0.2094</v>
      </c>
      <c r="G581" s="353">
        <f t="shared" si="52"/>
        <v>3.9184560000000004</v>
      </c>
      <c r="H581" s="353">
        <f t="shared" si="53"/>
        <v>320.33377800000005</v>
      </c>
      <c r="I581" s="354">
        <f t="shared" si="51"/>
        <v>6.4398285186627747E-5</v>
      </c>
      <c r="J581" s="354">
        <f t="shared" si="54"/>
        <v>0.99509291210037254</v>
      </c>
      <c r="K581" s="682">
        <f>'018-21-CAPA'!$F$37</f>
        <v>4974259.4398541162</v>
      </c>
      <c r="L581" s="689">
        <f t="shared" si="57"/>
        <v>7.4505805969238281E-9</v>
      </c>
      <c r="M581" s="228"/>
      <c r="N581" s="93"/>
      <c r="P581" s="95"/>
    </row>
    <row r="582" spans="1:16" s="94" customFormat="1" ht="51">
      <c r="A582" s="343">
        <v>92027</v>
      </c>
      <c r="B582" s="147" t="s">
        <v>1738</v>
      </c>
      <c r="C582" s="351" t="s">
        <v>109</v>
      </c>
      <c r="D582" s="351">
        <v>5</v>
      </c>
      <c r="E582" s="351" t="s">
        <v>14190</v>
      </c>
      <c r="F582" s="352">
        <v>0.2094</v>
      </c>
      <c r="G582" s="353">
        <f t="shared" si="52"/>
        <v>64.03773000000001</v>
      </c>
      <c r="H582" s="353">
        <f t="shared" si="53"/>
        <v>320.18865000000005</v>
      </c>
      <c r="I582" s="354">
        <f t="shared" si="51"/>
        <v>6.4369109386339321E-5</v>
      </c>
      <c r="J582" s="354">
        <f t="shared" si="54"/>
        <v>0.99515728120975888</v>
      </c>
      <c r="K582" s="682">
        <f>'018-21-CAPA'!$F$37</f>
        <v>4974259.4398541162</v>
      </c>
      <c r="L582" s="689">
        <f t="shared" si="57"/>
        <v>7.4505805969238281E-9</v>
      </c>
      <c r="M582" s="228"/>
      <c r="N582" s="93"/>
      <c r="P582" s="95"/>
    </row>
    <row r="583" spans="1:16" s="94" customFormat="1" ht="51">
      <c r="A583" s="343">
        <v>87882</v>
      </c>
      <c r="B583" s="147" t="s">
        <v>2845</v>
      </c>
      <c r="C583" s="351" t="s">
        <v>193</v>
      </c>
      <c r="D583" s="351">
        <v>50.38</v>
      </c>
      <c r="E583" s="351" t="s">
        <v>20346</v>
      </c>
      <c r="F583" s="352">
        <v>0.2094</v>
      </c>
      <c r="G583" s="353">
        <f t="shared" si="52"/>
        <v>6.3251620000000006</v>
      </c>
      <c r="H583" s="353">
        <f t="shared" si="53"/>
        <v>318.66166156000003</v>
      </c>
      <c r="I583" s="354">
        <f t="shared" si="51"/>
        <v>6.4062131340971259E-5</v>
      </c>
      <c r="J583" s="354">
        <f t="shared" si="54"/>
        <v>0.99522134334109991</v>
      </c>
      <c r="K583" s="682">
        <f>'018-21-CAPA'!$F$37</f>
        <v>4974259.4398541162</v>
      </c>
      <c r="L583" s="689">
        <f t="shared" si="57"/>
        <v>7.4505805969238281E-9</v>
      </c>
      <c r="M583" s="228"/>
      <c r="N583" s="93"/>
      <c r="P583" s="95"/>
    </row>
    <row r="584" spans="1:16" s="94" customFormat="1" ht="25.5">
      <c r="A584" s="343" t="s">
        <v>24539</v>
      </c>
      <c r="B584" s="147" t="s">
        <v>24540</v>
      </c>
      <c r="C584" s="351" t="s">
        <v>193</v>
      </c>
      <c r="D584" s="351">
        <v>18.18</v>
      </c>
      <c r="E584" s="351">
        <v>13.99</v>
      </c>
      <c r="F584" s="352">
        <v>0.2094</v>
      </c>
      <c r="G584" s="353">
        <f t="shared" si="52"/>
        <v>16.919506000000002</v>
      </c>
      <c r="H584" s="353">
        <f t="shared" si="53"/>
        <v>307.59661908000004</v>
      </c>
      <c r="I584" s="354">
        <f t="shared" ref="I584:I647" si="58">H584/$F$772</f>
        <v>6.1837671074314049E-5</v>
      </c>
      <c r="J584" s="354">
        <f t="shared" si="54"/>
        <v>0.99528318101217417</v>
      </c>
      <c r="K584" s="682">
        <f>'018-21-CAPA'!$F$37</f>
        <v>4974259.4398541162</v>
      </c>
      <c r="L584" s="689">
        <f t="shared" si="57"/>
        <v>7.4505805969238281E-9</v>
      </c>
      <c r="M584" s="228"/>
      <c r="N584" s="93"/>
      <c r="P584" s="95"/>
    </row>
    <row r="585" spans="1:16" s="94" customFormat="1" ht="38.25">
      <c r="A585" s="343" t="s">
        <v>15127</v>
      </c>
      <c r="B585" s="147" t="s">
        <v>15134</v>
      </c>
      <c r="C585" s="351" t="s">
        <v>3240</v>
      </c>
      <c r="D585" s="351">
        <v>2</v>
      </c>
      <c r="E585" s="351">
        <v>124.37</v>
      </c>
      <c r="F585" s="352">
        <v>0.2094</v>
      </c>
      <c r="G585" s="353">
        <f t="shared" si="52"/>
        <v>150.41307800000001</v>
      </c>
      <c r="H585" s="353">
        <f t="shared" si="53"/>
        <v>300.82615600000003</v>
      </c>
      <c r="I585" s="354">
        <f t="shared" si="58"/>
        <v>6.0476571364525173E-5</v>
      </c>
      <c r="J585" s="354">
        <f t="shared" si="54"/>
        <v>0.99534365758353871</v>
      </c>
      <c r="K585" s="682">
        <f>'018-21-CAPA'!$F$37</f>
        <v>4974259.4398541162</v>
      </c>
      <c r="L585" s="689">
        <f t="shared" si="57"/>
        <v>7.4505805969238281E-9</v>
      </c>
      <c r="M585" s="228"/>
      <c r="N585" s="93"/>
      <c r="P585" s="95"/>
    </row>
    <row r="586" spans="1:16" s="94" customFormat="1" ht="25.5">
      <c r="A586" s="343">
        <v>101917</v>
      </c>
      <c r="B586" s="147" t="s">
        <v>13212</v>
      </c>
      <c r="C586" s="351" t="s">
        <v>109</v>
      </c>
      <c r="D586" s="351">
        <v>2</v>
      </c>
      <c r="E586" s="351" t="s">
        <v>22885</v>
      </c>
      <c r="F586" s="352">
        <v>0.2094</v>
      </c>
      <c r="G586" s="353">
        <f t="shared" si="52"/>
        <v>150.40098399999999</v>
      </c>
      <c r="H586" s="353">
        <f t="shared" si="53"/>
        <v>300.80196799999999</v>
      </c>
      <c r="I586" s="354">
        <f t="shared" si="58"/>
        <v>6.0471708731143764E-5</v>
      </c>
      <c r="J586" s="354">
        <f t="shared" si="54"/>
        <v>0.99540412929226985</v>
      </c>
      <c r="K586" s="682">
        <f>'018-21-CAPA'!$F$37</f>
        <v>4974259.4398541162</v>
      </c>
      <c r="L586" s="689">
        <f t="shared" si="57"/>
        <v>7.4505805969238281E-9</v>
      </c>
      <c r="M586" s="228"/>
      <c r="N586" s="93"/>
      <c r="P586" s="95"/>
    </row>
    <row r="587" spans="1:16" s="94" customFormat="1">
      <c r="A587" s="343" t="s">
        <v>15093</v>
      </c>
      <c r="B587" s="147" t="s">
        <v>14699</v>
      </c>
      <c r="C587" s="351" t="s">
        <v>3241</v>
      </c>
      <c r="D587" s="351">
        <v>1.5</v>
      </c>
      <c r="E587" s="351">
        <v>165.58999999999997</v>
      </c>
      <c r="F587" s="352">
        <v>0.2094</v>
      </c>
      <c r="G587" s="353">
        <f t="shared" ref="G587:G650" si="59">(E587*(1+F587))</f>
        <v>200.26454599999997</v>
      </c>
      <c r="H587" s="353">
        <f t="shared" ref="H587:H650" si="60">G587*D587</f>
        <v>300.39681899999994</v>
      </c>
      <c r="I587" s="354">
        <f t="shared" si="58"/>
        <v>6.0390259622005233E-5</v>
      </c>
      <c r="J587" s="354">
        <f t="shared" si="54"/>
        <v>0.99546451955189186</v>
      </c>
      <c r="K587" s="682">
        <f>'018-21-CAPA'!$F$37</f>
        <v>4974259.4398541162</v>
      </c>
      <c r="L587" s="689">
        <f t="shared" si="57"/>
        <v>7.4505805969238281E-9</v>
      </c>
      <c r="M587" s="228"/>
      <c r="N587" s="93"/>
      <c r="P587" s="95"/>
    </row>
    <row r="588" spans="1:16" s="94" customFormat="1" ht="38.25">
      <c r="A588" s="343" t="s">
        <v>18204</v>
      </c>
      <c r="B588" s="147" t="s">
        <v>18202</v>
      </c>
      <c r="C588" s="351" t="s">
        <v>109</v>
      </c>
      <c r="D588" s="351">
        <v>5</v>
      </c>
      <c r="E588" s="351">
        <v>48.649999999999991</v>
      </c>
      <c r="F588" s="352">
        <v>0.2094</v>
      </c>
      <c r="G588" s="353">
        <f t="shared" si="59"/>
        <v>58.837309999999988</v>
      </c>
      <c r="H588" s="353">
        <f t="shared" si="60"/>
        <v>294.18654999999995</v>
      </c>
      <c r="I588" s="354">
        <f t="shared" si="58"/>
        <v>5.914177850132968E-5</v>
      </c>
      <c r="J588" s="354">
        <f t="shared" si="54"/>
        <v>0.99552366133039316</v>
      </c>
      <c r="K588" s="682">
        <f>'018-21-CAPA'!$F$37</f>
        <v>4974259.4398541162</v>
      </c>
      <c r="L588" s="689">
        <f t="shared" si="57"/>
        <v>7.4505805969238281E-9</v>
      </c>
      <c r="M588" s="228"/>
      <c r="N588" s="93"/>
      <c r="P588" s="95"/>
    </row>
    <row r="589" spans="1:16" s="94" customFormat="1" ht="63.75">
      <c r="A589" s="343">
        <v>94711</v>
      </c>
      <c r="B589" s="147" t="s">
        <v>2296</v>
      </c>
      <c r="C589" s="351" t="s">
        <v>109</v>
      </c>
      <c r="D589" s="351">
        <v>4</v>
      </c>
      <c r="E589" s="351" t="s">
        <v>23276</v>
      </c>
      <c r="F589" s="352">
        <v>0.2094</v>
      </c>
      <c r="G589" s="353">
        <f t="shared" si="59"/>
        <v>73.120323999999997</v>
      </c>
      <c r="H589" s="353">
        <f t="shared" si="60"/>
        <v>292.48129599999999</v>
      </c>
      <c r="I589" s="354">
        <f t="shared" si="58"/>
        <v>5.8798962847940689E-5</v>
      </c>
      <c r="J589" s="354">
        <f t="shared" ref="J589:J652" si="61">I589+J588</f>
        <v>0.99558246029324116</v>
      </c>
      <c r="K589" s="682">
        <f>'018-21-CAPA'!$F$37</f>
        <v>4974259.4398541162</v>
      </c>
      <c r="L589" s="689">
        <f t="shared" si="57"/>
        <v>7.4505805969238281E-9</v>
      </c>
      <c r="M589" s="228"/>
      <c r="N589" s="93"/>
      <c r="P589" s="95"/>
    </row>
    <row r="590" spans="1:16" s="94" customFormat="1">
      <c r="A590" s="343" t="s">
        <v>150</v>
      </c>
      <c r="B590" s="147" t="s">
        <v>151</v>
      </c>
      <c r="C590" s="351" t="s">
        <v>10</v>
      </c>
      <c r="D590" s="351">
        <v>1</v>
      </c>
      <c r="E590" s="351">
        <v>240.82</v>
      </c>
      <c r="F590" s="352">
        <v>0.2094</v>
      </c>
      <c r="G590" s="353">
        <f t="shared" si="59"/>
        <v>291.24770799999999</v>
      </c>
      <c r="H590" s="353">
        <f t="shared" si="60"/>
        <v>291.24770799999999</v>
      </c>
      <c r="I590" s="354">
        <f t="shared" si="58"/>
        <v>5.855096854548907E-5</v>
      </c>
      <c r="J590" s="354">
        <f t="shared" si="61"/>
        <v>0.99564101126178661</v>
      </c>
      <c r="K590" s="682">
        <f>'018-21-CAPA'!$F$37</f>
        <v>4974259.4398541162</v>
      </c>
      <c r="L590" s="689">
        <f t="shared" si="57"/>
        <v>7.4505805969238281E-9</v>
      </c>
      <c r="M590" s="228"/>
      <c r="N590" s="93"/>
      <c r="P590" s="95"/>
    </row>
    <row r="591" spans="1:16" s="94" customFormat="1" ht="38.25">
      <c r="A591" s="343" t="s">
        <v>14649</v>
      </c>
      <c r="B591" s="147" t="s">
        <v>17325</v>
      </c>
      <c r="C591" s="351" t="s">
        <v>3240</v>
      </c>
      <c r="D591" s="351">
        <v>4</v>
      </c>
      <c r="E591" s="351">
        <v>60.2</v>
      </c>
      <c r="F591" s="352">
        <v>0.2094</v>
      </c>
      <c r="G591" s="353">
        <f t="shared" si="59"/>
        <v>72.805880000000002</v>
      </c>
      <c r="H591" s="353">
        <f t="shared" si="60"/>
        <v>291.22352000000001</v>
      </c>
      <c r="I591" s="354">
        <f t="shared" si="58"/>
        <v>5.8546105912107668E-5</v>
      </c>
      <c r="J591" s="354">
        <f t="shared" si="61"/>
        <v>0.99569955736769877</v>
      </c>
      <c r="K591" s="682">
        <f>'018-21-CAPA'!$F$37</f>
        <v>4974259.4398541162</v>
      </c>
      <c r="L591" s="689">
        <f t="shared" si="57"/>
        <v>7.4505805969238281E-9</v>
      </c>
      <c r="M591" s="228"/>
      <c r="N591" s="93"/>
      <c r="P591" s="95"/>
    </row>
    <row r="592" spans="1:16" s="94" customFormat="1" ht="63.75">
      <c r="A592" s="343" t="s">
        <v>15143</v>
      </c>
      <c r="B592" s="147" t="s">
        <v>15117</v>
      </c>
      <c r="C592" s="351" t="s">
        <v>109</v>
      </c>
      <c r="D592" s="351">
        <v>7</v>
      </c>
      <c r="E592" s="351">
        <v>34.21</v>
      </c>
      <c r="F592" s="352">
        <v>0.2094</v>
      </c>
      <c r="G592" s="353">
        <f t="shared" si="59"/>
        <v>41.373574000000005</v>
      </c>
      <c r="H592" s="353">
        <f t="shared" si="60"/>
        <v>289.61501800000002</v>
      </c>
      <c r="I592" s="354">
        <f t="shared" si="58"/>
        <v>5.8222740792244285E-5</v>
      </c>
      <c r="J592" s="354">
        <f t="shared" si="61"/>
        <v>0.99575778010849103</v>
      </c>
      <c r="K592" s="682">
        <f>'018-21-CAPA'!$F$37</f>
        <v>4974259.4398541162</v>
      </c>
      <c r="L592" s="689">
        <f t="shared" si="57"/>
        <v>7.4505805969238281E-9</v>
      </c>
      <c r="M592" s="228"/>
      <c r="N592" s="93"/>
      <c r="P592" s="95"/>
    </row>
    <row r="593" spans="1:16" s="94" customFormat="1" ht="25.5">
      <c r="A593" s="343">
        <v>101747</v>
      </c>
      <c r="B593" s="147" t="s">
        <v>13768</v>
      </c>
      <c r="C593" s="351" t="s">
        <v>193</v>
      </c>
      <c r="D593" s="351">
        <v>4</v>
      </c>
      <c r="E593" s="351" t="s">
        <v>15823</v>
      </c>
      <c r="F593" s="352">
        <v>0.2094</v>
      </c>
      <c r="G593" s="353">
        <f t="shared" si="59"/>
        <v>71.644856000000004</v>
      </c>
      <c r="H593" s="353">
        <f t="shared" si="60"/>
        <v>286.57942400000002</v>
      </c>
      <c r="I593" s="354">
        <f t="shared" si="58"/>
        <v>5.7612480302878046E-5</v>
      </c>
      <c r="J593" s="354">
        <f t="shared" si="61"/>
        <v>0.99581539258879392</v>
      </c>
      <c r="K593" s="682">
        <f>'018-21-CAPA'!$F$37</f>
        <v>4974259.4398541162</v>
      </c>
      <c r="L593" s="689">
        <f t="shared" si="57"/>
        <v>7.4505805969238281E-9</v>
      </c>
      <c r="M593" s="228"/>
      <c r="N593" s="93"/>
      <c r="P593" s="95"/>
    </row>
    <row r="594" spans="1:16" s="94" customFormat="1" ht="51">
      <c r="A594" s="343" t="s">
        <v>17763</v>
      </c>
      <c r="B594" s="147" t="s">
        <v>17767</v>
      </c>
      <c r="C594" s="351" t="s">
        <v>3240</v>
      </c>
      <c r="D594" s="351">
        <v>6</v>
      </c>
      <c r="E594" s="351">
        <v>38.96</v>
      </c>
      <c r="F594" s="352">
        <v>0.2094</v>
      </c>
      <c r="G594" s="353">
        <f t="shared" si="59"/>
        <v>47.118224000000005</v>
      </c>
      <c r="H594" s="353">
        <f t="shared" si="60"/>
        <v>282.70934400000004</v>
      </c>
      <c r="I594" s="354">
        <f t="shared" si="58"/>
        <v>5.6834458961853364E-5</v>
      </c>
      <c r="J594" s="354">
        <f t="shared" si="61"/>
        <v>0.9958722270477558</v>
      </c>
      <c r="K594" s="682">
        <f>'018-21-CAPA'!$F$37</f>
        <v>4974259.4398541162</v>
      </c>
      <c r="L594" s="689">
        <f t="shared" si="57"/>
        <v>7.4505805969238281E-9</v>
      </c>
      <c r="M594" s="228"/>
      <c r="N594" s="93"/>
      <c r="P594" s="95"/>
    </row>
    <row r="595" spans="1:16" s="94" customFormat="1" ht="38.25">
      <c r="A595" s="343">
        <v>89680</v>
      </c>
      <c r="B595" s="147" t="s">
        <v>2057</v>
      </c>
      <c r="C595" s="351" t="s">
        <v>109</v>
      </c>
      <c r="D595" s="351">
        <v>13</v>
      </c>
      <c r="E595" s="351" t="s">
        <v>19699</v>
      </c>
      <c r="F595" s="352">
        <v>0.2094</v>
      </c>
      <c r="G595" s="353">
        <f t="shared" si="59"/>
        <v>21.333816000000002</v>
      </c>
      <c r="H595" s="353">
        <f t="shared" si="60"/>
        <v>277.33960800000006</v>
      </c>
      <c r="I595" s="354">
        <f t="shared" si="58"/>
        <v>5.5754954351181613E-5</v>
      </c>
      <c r="J595" s="354">
        <f t="shared" si="61"/>
        <v>0.99592798200210697</v>
      </c>
      <c r="K595" s="682">
        <f>'018-21-CAPA'!$F$37</f>
        <v>4974259.4398541162</v>
      </c>
      <c r="L595" s="689">
        <f t="shared" si="57"/>
        <v>7.4505805969238281E-9</v>
      </c>
      <c r="M595" s="228"/>
      <c r="N595" s="93"/>
      <c r="P595" s="95"/>
    </row>
    <row r="596" spans="1:16" s="94" customFormat="1" ht="25.5">
      <c r="A596" s="343" t="s">
        <v>15110</v>
      </c>
      <c r="B596" s="147" t="s">
        <v>15095</v>
      </c>
      <c r="C596" s="351" t="s">
        <v>109</v>
      </c>
      <c r="D596" s="351">
        <v>2</v>
      </c>
      <c r="E596" s="351">
        <v>114.18</v>
      </c>
      <c r="F596" s="352">
        <v>0.2094</v>
      </c>
      <c r="G596" s="353">
        <f t="shared" si="59"/>
        <v>138.089292</v>
      </c>
      <c r="H596" s="353">
        <f t="shared" si="60"/>
        <v>276.178584</v>
      </c>
      <c r="I596" s="354">
        <f t="shared" si="58"/>
        <v>5.5521547948874194E-5</v>
      </c>
      <c r="J596" s="354">
        <f t="shared" si="61"/>
        <v>0.99598350355005583</v>
      </c>
      <c r="K596" s="682">
        <f>'018-21-CAPA'!$F$37</f>
        <v>4974259.4398541162</v>
      </c>
      <c r="L596" s="689">
        <f t="shared" si="57"/>
        <v>7.4505805969238281E-9</v>
      </c>
      <c r="M596" s="228"/>
      <c r="N596" s="93"/>
      <c r="P596" s="95"/>
    </row>
    <row r="597" spans="1:16" s="94" customFormat="1" ht="25.5">
      <c r="A597" s="343" t="s">
        <v>15528</v>
      </c>
      <c r="B597" s="147" t="s">
        <v>17599</v>
      </c>
      <c r="C597" s="351" t="s">
        <v>3240</v>
      </c>
      <c r="D597" s="351">
        <v>10</v>
      </c>
      <c r="E597" s="351">
        <v>22.66</v>
      </c>
      <c r="F597" s="352">
        <v>0.2094</v>
      </c>
      <c r="G597" s="353">
        <f t="shared" si="59"/>
        <v>27.405004000000002</v>
      </c>
      <c r="H597" s="353">
        <f t="shared" si="60"/>
        <v>274.05004000000002</v>
      </c>
      <c r="I597" s="354">
        <f t="shared" si="58"/>
        <v>5.5093636211310626E-5</v>
      </c>
      <c r="J597" s="354">
        <f t="shared" si="61"/>
        <v>0.99603859718626708</v>
      </c>
      <c r="K597" s="682">
        <f>'018-21-CAPA'!$F$37</f>
        <v>4974259.4398541162</v>
      </c>
      <c r="L597" s="689">
        <f t="shared" si="57"/>
        <v>7.4505805969238281E-9</v>
      </c>
      <c r="M597" s="228"/>
      <c r="N597" s="93"/>
      <c r="P597" s="95"/>
    </row>
    <row r="598" spans="1:16" s="94" customFormat="1" ht="38.25">
      <c r="A598" s="343">
        <v>38633</v>
      </c>
      <c r="B598" s="147" t="s">
        <v>6507</v>
      </c>
      <c r="C598" s="351" t="s">
        <v>3240</v>
      </c>
      <c r="D598" s="351">
        <v>16</v>
      </c>
      <c r="E598" s="351" t="s">
        <v>10569</v>
      </c>
      <c r="F598" s="352">
        <v>0.2094</v>
      </c>
      <c r="G598" s="353">
        <f t="shared" si="59"/>
        <v>16.762284000000001</v>
      </c>
      <c r="H598" s="353">
        <f t="shared" si="60"/>
        <v>268.19654400000002</v>
      </c>
      <c r="I598" s="354">
        <f t="shared" si="58"/>
        <v>5.3916878933010781E-5</v>
      </c>
      <c r="J598" s="354">
        <f t="shared" si="61"/>
        <v>0.99609251406520005</v>
      </c>
      <c r="K598" s="682">
        <f>'018-21-CAPA'!$F$37</f>
        <v>4974259.4398541162</v>
      </c>
      <c r="L598" s="689">
        <f t="shared" si="57"/>
        <v>7.4505805969238281E-9</v>
      </c>
      <c r="M598" s="228"/>
      <c r="N598" s="93"/>
      <c r="P598" s="95"/>
    </row>
    <row r="599" spans="1:16" s="94" customFormat="1" ht="38.25">
      <c r="A599" s="343">
        <v>92004</v>
      </c>
      <c r="B599" s="147" t="s">
        <v>1715</v>
      </c>
      <c r="C599" s="351" t="s">
        <v>109</v>
      </c>
      <c r="D599" s="351">
        <v>5</v>
      </c>
      <c r="E599" s="351" t="s">
        <v>11560</v>
      </c>
      <c r="F599" s="352">
        <v>0.2094</v>
      </c>
      <c r="G599" s="353">
        <f t="shared" si="59"/>
        <v>53.540138000000006</v>
      </c>
      <c r="H599" s="353">
        <f t="shared" si="60"/>
        <v>267.70069000000001</v>
      </c>
      <c r="I599" s="354">
        <f t="shared" si="58"/>
        <v>5.3817194948691992E-5</v>
      </c>
      <c r="J599" s="354">
        <f t="shared" si="61"/>
        <v>0.99614633126014873</v>
      </c>
      <c r="K599" s="682">
        <f>'018-21-CAPA'!$F$37</f>
        <v>4974259.4398541162</v>
      </c>
      <c r="L599" s="689">
        <f t="shared" si="57"/>
        <v>7.4505805969238281E-9</v>
      </c>
      <c r="M599" s="228"/>
      <c r="N599" s="93"/>
      <c r="P599" s="95"/>
    </row>
    <row r="600" spans="1:16" s="94" customFormat="1" ht="38.25">
      <c r="A600" s="343" t="s">
        <v>15124</v>
      </c>
      <c r="B600" s="147" t="s">
        <v>15131</v>
      </c>
      <c r="C600" s="351" t="s">
        <v>3240</v>
      </c>
      <c r="D600" s="351">
        <v>2</v>
      </c>
      <c r="E600" s="351">
        <v>108.3</v>
      </c>
      <c r="F600" s="352">
        <v>0.2094</v>
      </c>
      <c r="G600" s="353">
        <f t="shared" si="59"/>
        <v>130.97801999999999</v>
      </c>
      <c r="H600" s="353">
        <f t="shared" si="60"/>
        <v>261.95603999999997</v>
      </c>
      <c r="I600" s="354">
        <f t="shared" si="58"/>
        <v>5.266231952060847E-5</v>
      </c>
      <c r="J600" s="354">
        <f t="shared" si="61"/>
        <v>0.99619899357966935</v>
      </c>
      <c r="K600" s="682">
        <f>'018-21-CAPA'!$F$37</f>
        <v>4974259.4398541162</v>
      </c>
      <c r="L600" s="689">
        <f t="shared" si="57"/>
        <v>7.4505805969238281E-9</v>
      </c>
      <c r="M600" s="228"/>
      <c r="N600" s="93"/>
      <c r="P600" s="95"/>
    </row>
    <row r="601" spans="1:16" s="94" customFormat="1" ht="51">
      <c r="A601" s="343">
        <v>91842</v>
      </c>
      <c r="B601" s="147" t="s">
        <v>1516</v>
      </c>
      <c r="C601" s="351" t="s">
        <v>5</v>
      </c>
      <c r="D601" s="351">
        <v>40.520000000000003</v>
      </c>
      <c r="E601" s="351" t="s">
        <v>9799</v>
      </c>
      <c r="F601" s="352">
        <v>0.2094</v>
      </c>
      <c r="G601" s="353">
        <f t="shared" si="59"/>
        <v>6.4098199999999999</v>
      </c>
      <c r="H601" s="353">
        <f t="shared" si="60"/>
        <v>259.72590640000004</v>
      </c>
      <c r="I601" s="354">
        <f t="shared" si="58"/>
        <v>5.2213984722843004E-5</v>
      </c>
      <c r="J601" s="354">
        <f t="shared" si="61"/>
        <v>0.99625120756439223</v>
      </c>
      <c r="K601" s="682">
        <f>'018-21-CAPA'!$F$37</f>
        <v>4974259.4398541162</v>
      </c>
      <c r="L601" s="689">
        <f t="shared" si="57"/>
        <v>7.4505805969238281E-9</v>
      </c>
      <c r="M601" s="228"/>
      <c r="N601" s="93"/>
      <c r="P601" s="95"/>
    </row>
    <row r="602" spans="1:16" s="94" customFormat="1" ht="63.75">
      <c r="A602" s="343">
        <v>95250</v>
      </c>
      <c r="B602" s="147" t="s">
        <v>2385</v>
      </c>
      <c r="C602" s="351" t="s">
        <v>109</v>
      </c>
      <c r="D602" s="351">
        <v>2</v>
      </c>
      <c r="E602" s="351" t="s">
        <v>23594</v>
      </c>
      <c r="F602" s="352">
        <v>0.2094</v>
      </c>
      <c r="G602" s="353">
        <f t="shared" si="59"/>
        <v>126.97490599999999</v>
      </c>
      <c r="H602" s="353">
        <f t="shared" si="60"/>
        <v>253.94981199999998</v>
      </c>
      <c r="I602" s="354">
        <f t="shared" si="58"/>
        <v>5.1052787871363648E-5</v>
      </c>
      <c r="J602" s="354">
        <f t="shared" si="61"/>
        <v>0.99630226035226355</v>
      </c>
      <c r="K602" s="682">
        <f>'018-21-CAPA'!$F$37</f>
        <v>4974259.4398541162</v>
      </c>
      <c r="L602" s="689">
        <f t="shared" si="57"/>
        <v>7.4505805969238281E-9</v>
      </c>
      <c r="M602" s="228"/>
      <c r="N602" s="93"/>
      <c r="P602" s="95"/>
    </row>
    <row r="603" spans="1:16" s="94" customFormat="1" ht="38.25">
      <c r="A603" s="343" t="s">
        <v>14394</v>
      </c>
      <c r="B603" s="147" t="s">
        <v>17118</v>
      </c>
      <c r="C603" s="351" t="s">
        <v>10</v>
      </c>
      <c r="D603" s="351">
        <v>6</v>
      </c>
      <c r="E603" s="351">
        <v>34.730000000000004</v>
      </c>
      <c r="F603" s="352">
        <v>0.2094</v>
      </c>
      <c r="G603" s="353">
        <f t="shared" si="59"/>
        <v>42.002462000000008</v>
      </c>
      <c r="H603" s="353">
        <f t="shared" si="60"/>
        <v>252.01477200000005</v>
      </c>
      <c r="I603" s="354">
        <f t="shared" si="58"/>
        <v>5.0663777200851317E-5</v>
      </c>
      <c r="J603" s="354">
        <f t="shared" si="61"/>
        <v>0.99635292412946441</v>
      </c>
      <c r="K603" s="682">
        <f>'018-21-CAPA'!$F$37</f>
        <v>4974259.4398541162</v>
      </c>
      <c r="L603" s="689">
        <f t="shared" si="57"/>
        <v>7.4505805969238281E-9</v>
      </c>
      <c r="M603" s="228"/>
      <c r="N603" s="93"/>
      <c r="P603" s="95"/>
    </row>
    <row r="604" spans="1:16" s="94" customFormat="1" ht="51">
      <c r="A604" s="343">
        <v>89645</v>
      </c>
      <c r="B604" s="147" t="s">
        <v>2022</v>
      </c>
      <c r="C604" s="351" t="s">
        <v>109</v>
      </c>
      <c r="D604" s="351">
        <v>9</v>
      </c>
      <c r="E604" s="351" t="s">
        <v>19960</v>
      </c>
      <c r="F604" s="352">
        <v>0.2094</v>
      </c>
      <c r="G604" s="353">
        <f t="shared" si="59"/>
        <v>27.997609999999998</v>
      </c>
      <c r="H604" s="353">
        <f t="shared" si="60"/>
        <v>251.97848999999999</v>
      </c>
      <c r="I604" s="354">
        <f t="shared" si="58"/>
        <v>5.06564832507792E-5</v>
      </c>
      <c r="J604" s="354">
        <f t="shared" si="61"/>
        <v>0.99640358061271517</v>
      </c>
      <c r="K604" s="682">
        <f>'018-21-CAPA'!$F$37</f>
        <v>4974259.4398541162</v>
      </c>
      <c r="L604" s="689">
        <f t="shared" ref="L604:L635" si="62">K604-$F$772</f>
        <v>7.4505805969238281E-9</v>
      </c>
      <c r="M604" s="228"/>
      <c r="N604" s="93"/>
      <c r="P604" s="95"/>
    </row>
    <row r="605" spans="1:16" s="94" customFormat="1" ht="51">
      <c r="A605" s="343" t="s">
        <v>17859</v>
      </c>
      <c r="B605" s="147" t="s">
        <v>24497</v>
      </c>
      <c r="C605" s="351" t="s">
        <v>3244</v>
      </c>
      <c r="D605" s="351">
        <v>16.5</v>
      </c>
      <c r="E605" s="351">
        <v>12.42</v>
      </c>
      <c r="F605" s="352">
        <v>0.2094</v>
      </c>
      <c r="G605" s="353">
        <f t="shared" si="59"/>
        <v>15.020748000000001</v>
      </c>
      <c r="H605" s="353">
        <f t="shared" si="60"/>
        <v>247.84234200000003</v>
      </c>
      <c r="I605" s="354">
        <f t="shared" si="58"/>
        <v>4.9824972942559075E-5</v>
      </c>
      <c r="J605" s="354">
        <f t="shared" si="61"/>
        <v>0.99645340558565776</v>
      </c>
      <c r="K605" s="682">
        <f>'018-21-CAPA'!$F$37</f>
        <v>4974259.4398541162</v>
      </c>
      <c r="L605" s="689">
        <f t="shared" si="62"/>
        <v>7.4505805969238281E-9</v>
      </c>
      <c r="M605" s="228"/>
      <c r="N605" s="93"/>
      <c r="P605" s="95"/>
    </row>
    <row r="606" spans="1:16" s="94" customFormat="1" ht="38.25">
      <c r="A606" s="343">
        <v>97551</v>
      </c>
      <c r="B606" s="147" t="s">
        <v>13517</v>
      </c>
      <c r="C606" s="351" t="s">
        <v>109</v>
      </c>
      <c r="D606" s="351">
        <v>3</v>
      </c>
      <c r="E606" s="351" t="s">
        <v>23411</v>
      </c>
      <c r="F606" s="352">
        <v>0.2094</v>
      </c>
      <c r="G606" s="353">
        <f t="shared" si="59"/>
        <v>80.642792000000014</v>
      </c>
      <c r="H606" s="353">
        <f t="shared" si="60"/>
        <v>241.92837600000004</v>
      </c>
      <c r="I606" s="354">
        <f t="shared" si="58"/>
        <v>4.8636059080805732E-5</v>
      </c>
      <c r="J606" s="354">
        <f t="shared" si="61"/>
        <v>0.99650204164473855</v>
      </c>
      <c r="K606" s="682">
        <f>'018-21-CAPA'!$F$37</f>
        <v>4974259.4398541162</v>
      </c>
      <c r="L606" s="689">
        <f t="shared" si="62"/>
        <v>7.4505805969238281E-9</v>
      </c>
      <c r="M606" s="228"/>
      <c r="N606" s="93"/>
      <c r="P606" s="95"/>
    </row>
    <row r="607" spans="1:16" s="94" customFormat="1" ht="38.25">
      <c r="A607" s="343">
        <v>99621</v>
      </c>
      <c r="B607" s="147" t="s">
        <v>4334</v>
      </c>
      <c r="C607" s="351" t="s">
        <v>109</v>
      </c>
      <c r="D607" s="351">
        <v>1</v>
      </c>
      <c r="E607" s="351" t="s">
        <v>23599</v>
      </c>
      <c r="F607" s="352">
        <v>0.2094</v>
      </c>
      <c r="G607" s="353">
        <f t="shared" si="59"/>
        <v>240.83991599999999</v>
      </c>
      <c r="H607" s="353">
        <f t="shared" si="60"/>
        <v>240.83991599999999</v>
      </c>
      <c r="I607" s="354">
        <f t="shared" si="58"/>
        <v>4.8417240578642525E-5</v>
      </c>
      <c r="J607" s="354">
        <f t="shared" si="61"/>
        <v>0.99655045888531724</v>
      </c>
      <c r="K607" s="682">
        <f>'018-21-CAPA'!$F$37</f>
        <v>4974259.4398541162</v>
      </c>
      <c r="L607" s="689">
        <f t="shared" si="62"/>
        <v>7.4505805969238281E-9</v>
      </c>
      <c r="M607" s="228"/>
      <c r="N607" s="93"/>
      <c r="P607" s="95"/>
    </row>
    <row r="608" spans="1:16" s="94" customFormat="1" ht="38.25">
      <c r="A608" s="343">
        <v>96621</v>
      </c>
      <c r="B608" s="147" t="s">
        <v>3418</v>
      </c>
      <c r="C608" s="351" t="s">
        <v>209</v>
      </c>
      <c r="D608" s="351">
        <v>0.82</v>
      </c>
      <c r="E608" s="351" t="s">
        <v>22223</v>
      </c>
      <c r="F608" s="352">
        <v>0.2094</v>
      </c>
      <c r="G608" s="353">
        <f t="shared" si="59"/>
        <v>293.09809000000001</v>
      </c>
      <c r="H608" s="353">
        <f t="shared" si="60"/>
        <v>240.3404338</v>
      </c>
      <c r="I608" s="354">
        <f t="shared" si="58"/>
        <v>4.8316827199316527E-5</v>
      </c>
      <c r="J608" s="354">
        <f t="shared" si="61"/>
        <v>0.99659877571251654</v>
      </c>
      <c r="K608" s="682">
        <f>'018-21-CAPA'!$F$37</f>
        <v>4974259.4398541162</v>
      </c>
      <c r="L608" s="689">
        <f t="shared" si="62"/>
        <v>7.4505805969238281E-9</v>
      </c>
      <c r="M608" s="228"/>
      <c r="N608" s="93"/>
      <c r="P608" s="95"/>
    </row>
    <row r="609" spans="1:16" s="94" customFormat="1" ht="25.5">
      <c r="A609" s="343" t="s">
        <v>14430</v>
      </c>
      <c r="B609" s="147" t="s">
        <v>17175</v>
      </c>
      <c r="C609" s="351" t="s">
        <v>109</v>
      </c>
      <c r="D609" s="351">
        <v>8</v>
      </c>
      <c r="E609" s="351">
        <v>24.65</v>
      </c>
      <c r="F609" s="352">
        <v>0.2094</v>
      </c>
      <c r="G609" s="353">
        <f t="shared" si="59"/>
        <v>29.811709999999998</v>
      </c>
      <c r="H609" s="353">
        <f t="shared" si="60"/>
        <v>238.49367999999998</v>
      </c>
      <c r="I609" s="354">
        <f t="shared" si="58"/>
        <v>4.7945565140646305E-5</v>
      </c>
      <c r="J609" s="354">
        <f t="shared" si="61"/>
        <v>0.99664672127765719</v>
      </c>
      <c r="K609" s="682">
        <f>'018-21-CAPA'!$F$37</f>
        <v>4974259.4398541162</v>
      </c>
      <c r="L609" s="689">
        <f t="shared" si="62"/>
        <v>7.4505805969238281E-9</v>
      </c>
      <c r="M609" s="228"/>
      <c r="N609" s="93"/>
      <c r="P609" s="95"/>
    </row>
    <row r="610" spans="1:16" s="94" customFormat="1" ht="25.5">
      <c r="A610" s="343" t="s">
        <v>14808</v>
      </c>
      <c r="B610" s="147" t="s">
        <v>18350</v>
      </c>
      <c r="C610" s="351" t="s">
        <v>109</v>
      </c>
      <c r="D610" s="351">
        <v>4</v>
      </c>
      <c r="E610" s="351">
        <v>49.11</v>
      </c>
      <c r="F610" s="352">
        <v>0.2094</v>
      </c>
      <c r="G610" s="353">
        <f t="shared" si="59"/>
        <v>59.393633999999999</v>
      </c>
      <c r="H610" s="353">
        <f t="shared" si="60"/>
        <v>237.57453599999999</v>
      </c>
      <c r="I610" s="354">
        <f t="shared" si="58"/>
        <v>4.7760785072152947E-5</v>
      </c>
      <c r="J610" s="354">
        <f t="shared" si="61"/>
        <v>0.99669448206272937</v>
      </c>
      <c r="K610" s="682">
        <f>'018-21-CAPA'!$F$37</f>
        <v>4974259.4398541162</v>
      </c>
      <c r="L610" s="689">
        <f t="shared" si="62"/>
        <v>7.4505805969238281E-9</v>
      </c>
      <c r="M610" s="228"/>
      <c r="N610" s="93"/>
      <c r="P610" s="95"/>
    </row>
    <row r="611" spans="1:16" s="94" customFormat="1" ht="25.5">
      <c r="A611" s="343" t="s">
        <v>17383</v>
      </c>
      <c r="B611" s="147" t="s">
        <v>17387</v>
      </c>
      <c r="C611" s="351" t="s">
        <v>109</v>
      </c>
      <c r="D611" s="351">
        <v>11</v>
      </c>
      <c r="E611" s="351">
        <v>17.71</v>
      </c>
      <c r="F611" s="352">
        <v>0.2094</v>
      </c>
      <c r="G611" s="353">
        <f t="shared" si="59"/>
        <v>21.418474000000003</v>
      </c>
      <c r="H611" s="353">
        <f t="shared" si="60"/>
        <v>235.60321400000004</v>
      </c>
      <c r="I611" s="354">
        <f t="shared" si="58"/>
        <v>4.7364480451568506E-5</v>
      </c>
      <c r="J611" s="354">
        <f t="shared" si="61"/>
        <v>0.99674184654318099</v>
      </c>
      <c r="K611" s="682">
        <f>'018-21-CAPA'!$F$37</f>
        <v>4974259.4398541162</v>
      </c>
      <c r="L611" s="689">
        <f t="shared" si="62"/>
        <v>7.4505805969238281E-9</v>
      </c>
      <c r="M611" s="228"/>
      <c r="N611" s="93"/>
      <c r="P611" s="95"/>
    </row>
    <row r="612" spans="1:16" s="94" customFormat="1" ht="25.5">
      <c r="A612" s="343" t="s">
        <v>14548</v>
      </c>
      <c r="B612" s="147" t="s">
        <v>17285</v>
      </c>
      <c r="C612" s="351" t="s">
        <v>109</v>
      </c>
      <c r="D612" s="351">
        <v>41</v>
      </c>
      <c r="E612" s="351">
        <v>4.58</v>
      </c>
      <c r="F612" s="352">
        <v>0.2094</v>
      </c>
      <c r="G612" s="353">
        <f t="shared" si="59"/>
        <v>5.5390519999999999</v>
      </c>
      <c r="H612" s="353">
        <f t="shared" si="60"/>
        <v>227.10113200000001</v>
      </c>
      <c r="I612" s="354">
        <f t="shared" si="58"/>
        <v>4.5655264818004889E-5</v>
      </c>
      <c r="J612" s="354">
        <f t="shared" si="61"/>
        <v>0.99678750180799902</v>
      </c>
      <c r="K612" s="682">
        <f>'018-21-CAPA'!$F$37</f>
        <v>4974259.4398541162</v>
      </c>
      <c r="L612" s="689">
        <f t="shared" si="62"/>
        <v>7.4505805969238281E-9</v>
      </c>
      <c r="M612" s="228"/>
      <c r="N612" s="93"/>
      <c r="P612" s="95"/>
    </row>
    <row r="613" spans="1:16" s="94" customFormat="1">
      <c r="A613" s="343" t="s">
        <v>14914</v>
      </c>
      <c r="B613" s="147" t="s">
        <v>16831</v>
      </c>
      <c r="C613" s="351" t="s">
        <v>10</v>
      </c>
      <c r="D613" s="351">
        <v>24</v>
      </c>
      <c r="E613" s="351">
        <v>7.7899999999999991</v>
      </c>
      <c r="F613" s="352">
        <v>0.2094</v>
      </c>
      <c r="G613" s="353">
        <f t="shared" si="59"/>
        <v>9.421225999999999</v>
      </c>
      <c r="H613" s="353">
        <f t="shared" si="60"/>
        <v>226.10942399999999</v>
      </c>
      <c r="I613" s="354">
        <f t="shared" si="58"/>
        <v>4.5455896849367311E-5</v>
      </c>
      <c r="J613" s="354">
        <f t="shared" si="61"/>
        <v>0.99683295770484837</v>
      </c>
      <c r="K613" s="682">
        <f>'018-21-CAPA'!$F$37</f>
        <v>4974259.4398541162</v>
      </c>
      <c r="L613" s="689">
        <f t="shared" si="62"/>
        <v>7.4505805969238281E-9</v>
      </c>
      <c r="M613" s="228"/>
      <c r="N613" s="93"/>
      <c r="P613" s="95"/>
    </row>
    <row r="614" spans="1:16" s="94" customFormat="1" ht="38.25">
      <c r="A614" s="343" t="s">
        <v>14736</v>
      </c>
      <c r="B614" s="147" t="s">
        <v>17361</v>
      </c>
      <c r="C614" s="351" t="s">
        <v>3240</v>
      </c>
      <c r="D614" s="351">
        <v>20</v>
      </c>
      <c r="E614" s="351">
        <v>9.1999999999999993</v>
      </c>
      <c r="F614" s="352">
        <v>0.2094</v>
      </c>
      <c r="G614" s="353">
        <f t="shared" si="59"/>
        <v>11.126479999999999</v>
      </c>
      <c r="H614" s="353">
        <f t="shared" si="60"/>
        <v>222.52959999999999</v>
      </c>
      <c r="I614" s="354">
        <f t="shared" si="58"/>
        <v>4.4736227108919473E-5</v>
      </c>
      <c r="J614" s="354">
        <f t="shared" si="61"/>
        <v>0.99687769393195724</v>
      </c>
      <c r="K614" s="682">
        <f>'018-21-CAPA'!$F$37</f>
        <v>4974259.4398541162</v>
      </c>
      <c r="L614" s="689">
        <f t="shared" si="62"/>
        <v>7.4505805969238281E-9</v>
      </c>
      <c r="M614" s="228"/>
      <c r="N614" s="93"/>
      <c r="P614" s="95"/>
    </row>
    <row r="615" spans="1:16" s="94" customFormat="1" ht="51">
      <c r="A615" s="343" t="s">
        <v>14380</v>
      </c>
      <c r="B615" s="147" t="s">
        <v>18425</v>
      </c>
      <c r="C615" s="351" t="s">
        <v>10</v>
      </c>
      <c r="D615" s="351">
        <v>66</v>
      </c>
      <c r="E615" s="351">
        <v>2.77</v>
      </c>
      <c r="F615" s="352">
        <v>0.2094</v>
      </c>
      <c r="G615" s="353">
        <f t="shared" si="59"/>
        <v>3.3500380000000001</v>
      </c>
      <c r="H615" s="353">
        <f t="shared" si="60"/>
        <v>221.102508</v>
      </c>
      <c r="I615" s="354">
        <f t="shared" si="58"/>
        <v>4.4449331739416625E-5</v>
      </c>
      <c r="J615" s="354">
        <f t="shared" si="61"/>
        <v>0.99692214326369666</v>
      </c>
      <c r="K615" s="682">
        <f>'018-21-CAPA'!$F$37</f>
        <v>4974259.4398541162</v>
      </c>
      <c r="L615" s="689">
        <f t="shared" si="62"/>
        <v>7.4505805969238281E-9</v>
      </c>
      <c r="M615" s="228"/>
      <c r="N615" s="93"/>
      <c r="P615" s="95"/>
    </row>
    <row r="616" spans="1:16" s="94" customFormat="1" ht="51">
      <c r="A616" s="343">
        <v>89785</v>
      </c>
      <c r="B616" s="147" t="s">
        <v>2144</v>
      </c>
      <c r="C616" s="351" t="s">
        <v>109</v>
      </c>
      <c r="D616" s="351">
        <v>9</v>
      </c>
      <c r="E616" s="351" t="s">
        <v>12126</v>
      </c>
      <c r="F616" s="352">
        <v>0.2094</v>
      </c>
      <c r="G616" s="353">
        <f t="shared" si="59"/>
        <v>24.490349999999999</v>
      </c>
      <c r="H616" s="353">
        <f t="shared" si="60"/>
        <v>220.41315</v>
      </c>
      <c r="I616" s="354">
        <f t="shared" si="58"/>
        <v>4.4310746688046606E-5</v>
      </c>
      <c r="J616" s="354">
        <f t="shared" si="61"/>
        <v>0.99696645401038475</v>
      </c>
      <c r="K616" s="682">
        <f>'018-21-CAPA'!$F$37</f>
        <v>4974259.4398541162</v>
      </c>
      <c r="L616" s="689">
        <f t="shared" si="62"/>
        <v>7.4505805969238281E-9</v>
      </c>
      <c r="M616" s="228"/>
      <c r="N616" s="93"/>
      <c r="P616" s="95"/>
    </row>
    <row r="617" spans="1:16" s="94" customFormat="1" ht="38.25">
      <c r="A617" s="343" t="s">
        <v>15086</v>
      </c>
      <c r="B617" s="147" t="s">
        <v>15109</v>
      </c>
      <c r="C617" s="351" t="s">
        <v>109</v>
      </c>
      <c r="D617" s="351">
        <v>1</v>
      </c>
      <c r="E617" s="351">
        <v>177.93999999999997</v>
      </c>
      <c r="F617" s="352">
        <v>0.2094</v>
      </c>
      <c r="G617" s="353">
        <f t="shared" si="59"/>
        <v>215.20063599999997</v>
      </c>
      <c r="H617" s="353">
        <f t="shared" si="60"/>
        <v>215.20063599999997</v>
      </c>
      <c r="I617" s="354">
        <f t="shared" si="58"/>
        <v>4.3262849194353976E-5</v>
      </c>
      <c r="J617" s="354">
        <f t="shared" si="61"/>
        <v>0.99700971685957906</v>
      </c>
      <c r="K617" s="682">
        <f>'018-21-CAPA'!$F$37</f>
        <v>4974259.4398541162</v>
      </c>
      <c r="L617" s="689">
        <f t="shared" si="62"/>
        <v>7.4505805969238281E-9</v>
      </c>
      <c r="M617" s="228"/>
      <c r="N617" s="93"/>
      <c r="P617" s="95"/>
    </row>
    <row r="618" spans="1:16" s="94" customFormat="1" ht="51">
      <c r="A618" s="343" t="s">
        <v>18426</v>
      </c>
      <c r="B618" s="147" t="s">
        <v>18427</v>
      </c>
      <c r="C618" s="351" t="s">
        <v>10</v>
      </c>
      <c r="D618" s="351">
        <v>43</v>
      </c>
      <c r="E618" s="351">
        <v>4.0999999999999996</v>
      </c>
      <c r="F618" s="352">
        <v>0.2094</v>
      </c>
      <c r="G618" s="353">
        <f t="shared" si="59"/>
        <v>4.9585399999999993</v>
      </c>
      <c r="H618" s="353">
        <f t="shared" si="60"/>
        <v>213.21721999999997</v>
      </c>
      <c r="I618" s="354">
        <f t="shared" si="58"/>
        <v>4.286411325707882E-5</v>
      </c>
      <c r="J618" s="354">
        <f t="shared" si="61"/>
        <v>0.99705258097283611</v>
      </c>
      <c r="K618" s="682">
        <f>'018-21-CAPA'!$F$37</f>
        <v>4974259.4398541162</v>
      </c>
      <c r="L618" s="689">
        <f t="shared" si="62"/>
        <v>7.4505805969238281E-9</v>
      </c>
      <c r="M618" s="228"/>
      <c r="N618" s="93"/>
      <c r="P618" s="95"/>
    </row>
    <row r="619" spans="1:16" s="94" customFormat="1" ht="25.5">
      <c r="A619" s="343" t="s">
        <v>14364</v>
      </c>
      <c r="B619" s="147" t="s">
        <v>17047</v>
      </c>
      <c r="C619" s="351" t="s">
        <v>109</v>
      </c>
      <c r="D619" s="351">
        <v>3</v>
      </c>
      <c r="E619" s="351">
        <v>58.42</v>
      </c>
      <c r="F619" s="352">
        <v>0.2094</v>
      </c>
      <c r="G619" s="353">
        <f t="shared" si="59"/>
        <v>70.653148000000002</v>
      </c>
      <c r="H619" s="353">
        <f t="shared" si="60"/>
        <v>211.95944400000002</v>
      </c>
      <c r="I619" s="354">
        <f t="shared" si="58"/>
        <v>4.2611256321245806E-5</v>
      </c>
      <c r="J619" s="354">
        <f t="shared" si="61"/>
        <v>0.99709519222915732</v>
      </c>
      <c r="K619" s="682">
        <f>'018-21-CAPA'!$F$37</f>
        <v>4974259.4398541162</v>
      </c>
      <c r="L619" s="689">
        <f t="shared" si="62"/>
        <v>7.4505805969238281E-9</v>
      </c>
      <c r="M619" s="228"/>
      <c r="N619" s="93"/>
      <c r="P619" s="95"/>
    </row>
    <row r="620" spans="1:16" s="94" customFormat="1" ht="38.25">
      <c r="A620" s="343">
        <v>91992</v>
      </c>
      <c r="B620" s="147" t="s">
        <v>121</v>
      </c>
      <c r="C620" s="351" t="s">
        <v>109</v>
      </c>
      <c r="D620" s="351">
        <v>5</v>
      </c>
      <c r="E620" s="351" t="s">
        <v>22674</v>
      </c>
      <c r="F620" s="352">
        <v>0.2094</v>
      </c>
      <c r="G620" s="353">
        <f t="shared" si="59"/>
        <v>42.220153999999994</v>
      </c>
      <c r="H620" s="353">
        <f t="shared" si="60"/>
        <v>211.10076999999995</v>
      </c>
      <c r="I620" s="354">
        <f t="shared" si="58"/>
        <v>4.243863283620594E-5</v>
      </c>
      <c r="J620" s="354">
        <f t="shared" si="61"/>
        <v>0.99713763086199358</v>
      </c>
      <c r="K620" s="682">
        <f>'018-21-CAPA'!$F$37</f>
        <v>4974259.4398541162</v>
      </c>
      <c r="L620" s="689">
        <f t="shared" si="62"/>
        <v>7.4505805969238281E-9</v>
      </c>
      <c r="M620" s="228"/>
      <c r="N620" s="93"/>
      <c r="P620" s="95"/>
    </row>
    <row r="621" spans="1:16" s="94" customFormat="1" ht="25.5">
      <c r="A621" s="343" t="s">
        <v>24864</v>
      </c>
      <c r="B621" s="147" t="s">
        <v>18726</v>
      </c>
      <c r="C621" s="351" t="s">
        <v>109</v>
      </c>
      <c r="D621" s="351">
        <v>36</v>
      </c>
      <c r="E621" s="351">
        <v>4.84</v>
      </c>
      <c r="F621" s="352">
        <v>0.2094</v>
      </c>
      <c r="G621" s="353">
        <f t="shared" si="59"/>
        <v>5.8534959999999998</v>
      </c>
      <c r="H621" s="353">
        <f t="shared" si="60"/>
        <v>210.72585599999999</v>
      </c>
      <c r="I621" s="354">
        <f t="shared" si="58"/>
        <v>4.2363262018794181E-5</v>
      </c>
      <c r="J621" s="354">
        <f t="shared" si="61"/>
        <v>0.99717999412401237</v>
      </c>
      <c r="K621" s="682">
        <f>'018-21-CAPA'!$F$37</f>
        <v>4974259.4398541162</v>
      </c>
      <c r="L621" s="689">
        <f t="shared" si="62"/>
        <v>7.4505805969238281E-9</v>
      </c>
      <c r="M621" s="228"/>
      <c r="N621" s="93"/>
      <c r="P621" s="95"/>
    </row>
    <row r="622" spans="1:16" s="94" customFormat="1" ht="63.75">
      <c r="A622" s="343" t="s">
        <v>17711</v>
      </c>
      <c r="B622" s="147" t="s">
        <v>17754</v>
      </c>
      <c r="C622" s="351" t="s">
        <v>3240</v>
      </c>
      <c r="D622" s="351">
        <v>12</v>
      </c>
      <c r="E622" s="351">
        <v>14.33</v>
      </c>
      <c r="F622" s="352">
        <v>0.2094</v>
      </c>
      <c r="G622" s="353">
        <f t="shared" si="59"/>
        <v>17.330702000000002</v>
      </c>
      <c r="H622" s="353">
        <f t="shared" si="60"/>
        <v>207.96842400000003</v>
      </c>
      <c r="I622" s="354">
        <f t="shared" si="58"/>
        <v>4.18089218133141E-5</v>
      </c>
      <c r="J622" s="354">
        <f t="shared" si="61"/>
        <v>0.99722180304582564</v>
      </c>
      <c r="K622" s="682">
        <f>'018-21-CAPA'!$F$37</f>
        <v>4974259.4398541162</v>
      </c>
      <c r="L622" s="689">
        <f t="shared" si="62"/>
        <v>7.4505805969238281E-9</v>
      </c>
      <c r="M622" s="228"/>
      <c r="N622" s="93"/>
      <c r="P622" s="95"/>
    </row>
    <row r="623" spans="1:16" s="94" customFormat="1" ht="38.25">
      <c r="A623" s="343">
        <v>89367</v>
      </c>
      <c r="B623" s="147" t="s">
        <v>1832</v>
      </c>
      <c r="C623" s="351" t="s">
        <v>109</v>
      </c>
      <c r="D623" s="351">
        <v>15</v>
      </c>
      <c r="E623" s="351" t="s">
        <v>10000</v>
      </c>
      <c r="F623" s="352">
        <v>0.2094</v>
      </c>
      <c r="G623" s="353">
        <f t="shared" si="59"/>
        <v>13.823442</v>
      </c>
      <c r="H623" s="353">
        <f t="shared" si="60"/>
        <v>207.35163</v>
      </c>
      <c r="I623" s="354">
        <f t="shared" si="58"/>
        <v>4.1684924662088287E-5</v>
      </c>
      <c r="J623" s="354">
        <f t="shared" si="61"/>
        <v>0.99726348797048769</v>
      </c>
      <c r="K623" s="682">
        <f>'018-21-CAPA'!$F$37</f>
        <v>4974259.4398541162</v>
      </c>
      <c r="L623" s="689">
        <f t="shared" si="62"/>
        <v>7.4505805969238281E-9</v>
      </c>
      <c r="M623" s="228"/>
      <c r="N623" s="93"/>
      <c r="P623" s="95"/>
    </row>
    <row r="624" spans="1:16" s="94" customFormat="1" ht="38.25">
      <c r="A624" s="343" t="s">
        <v>9622</v>
      </c>
      <c r="B624" s="147" t="s">
        <v>14641</v>
      </c>
      <c r="C624" s="351" t="s">
        <v>3240</v>
      </c>
      <c r="D624" s="351">
        <v>16</v>
      </c>
      <c r="E624" s="351">
        <v>10.55</v>
      </c>
      <c r="F624" s="352">
        <v>0.2094</v>
      </c>
      <c r="G624" s="353">
        <f t="shared" si="59"/>
        <v>12.759170000000001</v>
      </c>
      <c r="H624" s="353">
        <f t="shared" si="60"/>
        <v>204.14672000000002</v>
      </c>
      <c r="I624" s="354">
        <f t="shared" si="58"/>
        <v>4.1040625739052221E-5</v>
      </c>
      <c r="J624" s="354">
        <f t="shared" si="61"/>
        <v>0.99730452859622676</v>
      </c>
      <c r="K624" s="682">
        <f>'018-21-CAPA'!$F$37</f>
        <v>4974259.4398541162</v>
      </c>
      <c r="L624" s="689">
        <f t="shared" si="62"/>
        <v>7.4505805969238281E-9</v>
      </c>
      <c r="M624" s="228"/>
      <c r="N624" s="93"/>
      <c r="P624" s="95"/>
    </row>
    <row r="625" spans="1:16" s="94" customFormat="1" ht="25.5">
      <c r="A625" s="343" t="s">
        <v>17874</v>
      </c>
      <c r="B625" s="147" t="s">
        <v>17875</v>
      </c>
      <c r="C625" s="351" t="s">
        <v>17876</v>
      </c>
      <c r="D625" s="351">
        <v>2</v>
      </c>
      <c r="E625" s="351">
        <v>84.35</v>
      </c>
      <c r="F625" s="352">
        <v>0.2094</v>
      </c>
      <c r="G625" s="353">
        <f t="shared" si="59"/>
        <v>102.01289</v>
      </c>
      <c r="H625" s="353">
        <f t="shared" si="60"/>
        <v>204.02578</v>
      </c>
      <c r="I625" s="354">
        <f t="shared" si="58"/>
        <v>4.1016312572145198E-5</v>
      </c>
      <c r="J625" s="354">
        <f t="shared" si="61"/>
        <v>0.9973455449087989</v>
      </c>
      <c r="K625" s="682">
        <f>'018-21-CAPA'!$F$37</f>
        <v>4974259.4398541162</v>
      </c>
      <c r="L625" s="689">
        <f t="shared" si="62"/>
        <v>7.4505805969238281E-9</v>
      </c>
      <c r="M625" s="228"/>
      <c r="N625" s="93"/>
      <c r="P625" s="95"/>
    </row>
    <row r="626" spans="1:16" s="94" customFormat="1" ht="51">
      <c r="A626" s="343" t="s">
        <v>14851</v>
      </c>
      <c r="B626" s="147" t="s">
        <v>18338</v>
      </c>
      <c r="C626" s="351" t="s">
        <v>5</v>
      </c>
      <c r="D626" s="351">
        <v>15.2</v>
      </c>
      <c r="E626" s="351">
        <v>11.030000000000001</v>
      </c>
      <c r="F626" s="352">
        <v>0.2094</v>
      </c>
      <c r="G626" s="353">
        <f t="shared" si="59"/>
        <v>13.339682000000002</v>
      </c>
      <c r="H626" s="353">
        <f t="shared" si="60"/>
        <v>202.76316640000002</v>
      </c>
      <c r="I626" s="354">
        <f t="shared" si="58"/>
        <v>4.0762483109635894E-5</v>
      </c>
      <c r="J626" s="354">
        <f t="shared" si="61"/>
        <v>0.99738630739190859</v>
      </c>
      <c r="K626" s="682">
        <f>'018-21-CAPA'!$F$37</f>
        <v>4974259.4398541162</v>
      </c>
      <c r="L626" s="689">
        <f t="shared" si="62"/>
        <v>7.4505805969238281E-9</v>
      </c>
      <c r="M626" s="228"/>
      <c r="N626" s="93"/>
      <c r="P626" s="95"/>
    </row>
    <row r="627" spans="1:16" s="94" customFormat="1" ht="51">
      <c r="A627" s="343">
        <v>92637</v>
      </c>
      <c r="B627" s="147" t="s">
        <v>13311</v>
      </c>
      <c r="C627" s="351" t="s">
        <v>109</v>
      </c>
      <c r="D627" s="351">
        <v>3</v>
      </c>
      <c r="E627" s="351" t="s">
        <v>14062</v>
      </c>
      <c r="F627" s="352">
        <v>0.2094</v>
      </c>
      <c r="G627" s="353">
        <f t="shared" si="59"/>
        <v>67.218451999999999</v>
      </c>
      <c r="H627" s="353">
        <f t="shared" si="60"/>
        <v>201.65535599999998</v>
      </c>
      <c r="I627" s="354">
        <f t="shared" si="58"/>
        <v>4.0539774500767569E-5</v>
      </c>
      <c r="J627" s="354">
        <f t="shared" si="61"/>
        <v>0.99742684716640939</v>
      </c>
      <c r="K627" s="682">
        <f>'018-21-CAPA'!$F$37</f>
        <v>4974259.4398541162</v>
      </c>
      <c r="L627" s="689">
        <f t="shared" si="62"/>
        <v>7.4505805969238281E-9</v>
      </c>
      <c r="M627" s="228"/>
      <c r="N627" s="93"/>
      <c r="P627" s="95"/>
    </row>
    <row r="628" spans="1:16" s="94" customFormat="1" ht="25.5">
      <c r="A628" s="343" t="s">
        <v>15076</v>
      </c>
      <c r="B628" s="147" t="s">
        <v>17909</v>
      </c>
      <c r="C628" s="351" t="s">
        <v>3240</v>
      </c>
      <c r="D628" s="351">
        <v>1</v>
      </c>
      <c r="E628" s="351">
        <v>163.41000000000003</v>
      </c>
      <c r="F628" s="352">
        <v>0.2094</v>
      </c>
      <c r="G628" s="353">
        <f t="shared" si="59"/>
        <v>197.62805400000005</v>
      </c>
      <c r="H628" s="353">
        <f t="shared" si="60"/>
        <v>197.62805400000005</v>
      </c>
      <c r="I628" s="354">
        <f t="shared" si="58"/>
        <v>3.9730146042763773E-5</v>
      </c>
      <c r="J628" s="354">
        <f t="shared" si="61"/>
        <v>0.99746657731245214</v>
      </c>
      <c r="K628" s="682">
        <f>'018-21-CAPA'!$F$37</f>
        <v>4974259.4398541162</v>
      </c>
      <c r="L628" s="689">
        <f t="shared" si="62"/>
        <v>7.4505805969238281E-9</v>
      </c>
      <c r="M628" s="228"/>
      <c r="N628" s="93"/>
      <c r="P628" s="95"/>
    </row>
    <row r="629" spans="1:16" s="94" customFormat="1" ht="51">
      <c r="A629" s="343">
        <v>89732</v>
      </c>
      <c r="B629" s="147" t="s">
        <v>2095</v>
      </c>
      <c r="C629" s="351" t="s">
        <v>109</v>
      </c>
      <c r="D629" s="351">
        <v>15</v>
      </c>
      <c r="E629" s="351" t="s">
        <v>10548</v>
      </c>
      <c r="F629" s="352">
        <v>0.2094</v>
      </c>
      <c r="G629" s="353">
        <f t="shared" si="59"/>
        <v>12.952674000000002</v>
      </c>
      <c r="H629" s="353">
        <f t="shared" si="60"/>
        <v>194.29011000000003</v>
      </c>
      <c r="I629" s="354">
        <f t="shared" si="58"/>
        <v>3.9059102636129975E-5</v>
      </c>
      <c r="J629" s="354">
        <f t="shared" si="61"/>
        <v>0.99750563641508827</v>
      </c>
      <c r="K629" s="682">
        <f>'018-21-CAPA'!$F$37</f>
        <v>4974259.4398541162</v>
      </c>
      <c r="L629" s="689">
        <f t="shared" si="62"/>
        <v>7.4505805969238281E-9</v>
      </c>
      <c r="M629" s="228"/>
      <c r="N629" s="93"/>
      <c r="P629" s="95"/>
    </row>
    <row r="630" spans="1:16" s="94" customFormat="1" ht="51">
      <c r="A630" s="343">
        <v>89746</v>
      </c>
      <c r="B630" s="147" t="s">
        <v>2109</v>
      </c>
      <c r="C630" s="351" t="s">
        <v>109</v>
      </c>
      <c r="D630" s="351">
        <v>7</v>
      </c>
      <c r="E630" s="351" t="s">
        <v>21421</v>
      </c>
      <c r="F630" s="352">
        <v>0.2094</v>
      </c>
      <c r="G630" s="353">
        <f t="shared" si="59"/>
        <v>27.586413999999998</v>
      </c>
      <c r="H630" s="353">
        <f t="shared" si="60"/>
        <v>193.10489799999999</v>
      </c>
      <c r="I630" s="354">
        <f t="shared" si="58"/>
        <v>3.8820833600441154E-5</v>
      </c>
      <c r="J630" s="354">
        <f t="shared" si="61"/>
        <v>0.99754445724868868</v>
      </c>
      <c r="K630" s="682">
        <f>'018-21-CAPA'!$F$37</f>
        <v>4974259.4398541162</v>
      </c>
      <c r="L630" s="689">
        <f t="shared" si="62"/>
        <v>7.4505805969238281E-9</v>
      </c>
      <c r="M630" s="228"/>
      <c r="N630" s="93"/>
      <c r="P630" s="95"/>
    </row>
    <row r="631" spans="1:16" s="94" customFormat="1">
      <c r="A631" s="343" t="s">
        <v>24557</v>
      </c>
      <c r="B631" s="147" t="s">
        <v>24555</v>
      </c>
      <c r="C631" s="351" t="s">
        <v>5</v>
      </c>
      <c r="D631" s="351">
        <v>15.9</v>
      </c>
      <c r="E631" s="351">
        <v>9.99</v>
      </c>
      <c r="F631" s="352">
        <v>0.2094</v>
      </c>
      <c r="G631" s="353">
        <f t="shared" si="59"/>
        <v>12.081906</v>
      </c>
      <c r="H631" s="353">
        <f t="shared" si="60"/>
        <v>192.10230540000001</v>
      </c>
      <c r="I631" s="354">
        <f t="shared" si="58"/>
        <v>3.861927744678195E-5</v>
      </c>
      <c r="J631" s="354">
        <f t="shared" si="61"/>
        <v>0.99758307652613543</v>
      </c>
      <c r="K631" s="682">
        <f>'018-21-CAPA'!$F$37</f>
        <v>4974259.4398541162</v>
      </c>
      <c r="L631" s="689">
        <f t="shared" si="62"/>
        <v>7.4505805969238281E-9</v>
      </c>
      <c r="M631" s="228"/>
      <c r="N631" s="93"/>
      <c r="P631" s="95"/>
    </row>
    <row r="632" spans="1:16" s="94" customFormat="1" ht="25.5">
      <c r="A632" s="343" t="s">
        <v>18358</v>
      </c>
      <c r="B632" s="147" t="s">
        <v>18363</v>
      </c>
      <c r="C632" s="351" t="s">
        <v>109</v>
      </c>
      <c r="D632" s="351">
        <v>1</v>
      </c>
      <c r="E632" s="351">
        <v>157.01</v>
      </c>
      <c r="F632" s="352">
        <v>0.2094</v>
      </c>
      <c r="G632" s="353">
        <f t="shared" si="59"/>
        <v>189.88789399999999</v>
      </c>
      <c r="H632" s="353">
        <f t="shared" si="60"/>
        <v>189.88789399999999</v>
      </c>
      <c r="I632" s="354">
        <f t="shared" si="58"/>
        <v>3.8174103360714387E-5</v>
      </c>
      <c r="J632" s="354">
        <f t="shared" si="61"/>
        <v>0.99762125062949614</v>
      </c>
      <c r="K632" s="682">
        <f>'018-21-CAPA'!$F$37</f>
        <v>4974259.4398541162</v>
      </c>
      <c r="L632" s="689">
        <f t="shared" si="62"/>
        <v>7.4505805969238281E-9</v>
      </c>
      <c r="M632" s="228"/>
      <c r="N632" s="93"/>
      <c r="P632" s="95"/>
    </row>
    <row r="633" spans="1:16" s="94" customFormat="1" ht="51">
      <c r="A633" s="343" t="s">
        <v>15084</v>
      </c>
      <c r="B633" s="147" t="s">
        <v>15087</v>
      </c>
      <c r="C633" s="351" t="s">
        <v>3240</v>
      </c>
      <c r="D633" s="351">
        <v>2</v>
      </c>
      <c r="E633" s="351">
        <v>76.02</v>
      </c>
      <c r="F633" s="352">
        <v>0.2094</v>
      </c>
      <c r="G633" s="353">
        <f t="shared" si="59"/>
        <v>91.938587999999996</v>
      </c>
      <c r="H633" s="353">
        <f t="shared" si="60"/>
        <v>183.87717599999999</v>
      </c>
      <c r="I633" s="354">
        <f t="shared" si="58"/>
        <v>3.6965738965435422E-5</v>
      </c>
      <c r="J633" s="354">
        <f t="shared" si="61"/>
        <v>0.99765821636846153</v>
      </c>
      <c r="K633" s="682">
        <f>'018-21-CAPA'!$F$37</f>
        <v>4974259.4398541162</v>
      </c>
      <c r="L633" s="689">
        <f t="shared" si="62"/>
        <v>7.4505805969238281E-9</v>
      </c>
      <c r="M633" s="228"/>
      <c r="N633" s="93"/>
      <c r="P633" s="95"/>
    </row>
    <row r="634" spans="1:16" s="94" customFormat="1" ht="38.25">
      <c r="A634" s="343" t="s">
        <v>14740</v>
      </c>
      <c r="B634" s="147" t="s">
        <v>14801</v>
      </c>
      <c r="C634" s="351" t="s">
        <v>3240</v>
      </c>
      <c r="D634" s="351">
        <v>4</v>
      </c>
      <c r="E634" s="351">
        <v>37.99</v>
      </c>
      <c r="F634" s="352">
        <v>0.2094</v>
      </c>
      <c r="G634" s="353">
        <f t="shared" si="59"/>
        <v>45.945106000000003</v>
      </c>
      <c r="H634" s="353">
        <f t="shared" si="60"/>
        <v>183.78042400000001</v>
      </c>
      <c r="I634" s="354">
        <f t="shared" si="58"/>
        <v>3.6946288431909807E-5</v>
      </c>
      <c r="J634" s="354">
        <f t="shared" si="61"/>
        <v>0.9976951626568934</v>
      </c>
      <c r="K634" s="682">
        <f>'018-21-CAPA'!$F$37</f>
        <v>4974259.4398541162</v>
      </c>
      <c r="L634" s="689">
        <f t="shared" si="62"/>
        <v>7.4505805969238281E-9</v>
      </c>
      <c r="M634" s="228"/>
      <c r="N634" s="93"/>
      <c r="P634" s="95"/>
    </row>
    <row r="635" spans="1:16" s="94" customFormat="1" ht="51">
      <c r="A635" s="343" t="s">
        <v>16903</v>
      </c>
      <c r="B635" s="147" t="s">
        <v>14868</v>
      </c>
      <c r="C635" s="351" t="s">
        <v>109</v>
      </c>
      <c r="D635" s="351">
        <v>10</v>
      </c>
      <c r="E635" s="351">
        <v>15.149999999999999</v>
      </c>
      <c r="F635" s="352">
        <v>0.2094</v>
      </c>
      <c r="G635" s="353">
        <f t="shared" si="59"/>
        <v>18.322409999999998</v>
      </c>
      <c r="H635" s="353">
        <f t="shared" si="60"/>
        <v>183.22409999999996</v>
      </c>
      <c r="I635" s="354">
        <f t="shared" si="58"/>
        <v>3.68344478641375E-5</v>
      </c>
      <c r="J635" s="354">
        <f t="shared" si="61"/>
        <v>0.99773199710475757</v>
      </c>
      <c r="K635" s="682">
        <f>'018-21-CAPA'!$F$37</f>
        <v>4974259.4398541162</v>
      </c>
      <c r="L635" s="689">
        <f t="shared" si="62"/>
        <v>7.4505805969238281E-9</v>
      </c>
      <c r="M635" s="228"/>
      <c r="N635" s="93"/>
      <c r="P635" s="95"/>
    </row>
    <row r="636" spans="1:16" s="94" customFormat="1" ht="25.5">
      <c r="A636" s="343" t="s">
        <v>14353</v>
      </c>
      <c r="B636" s="147" t="s">
        <v>17044</v>
      </c>
      <c r="C636" s="351" t="s">
        <v>109</v>
      </c>
      <c r="D636" s="351">
        <v>3</v>
      </c>
      <c r="E636" s="351">
        <v>48.26</v>
      </c>
      <c r="F636" s="352">
        <v>0.2094</v>
      </c>
      <c r="G636" s="353">
        <f t="shared" si="59"/>
        <v>58.365643999999996</v>
      </c>
      <c r="H636" s="353">
        <f t="shared" si="60"/>
        <v>175.09693199999998</v>
      </c>
      <c r="I636" s="354">
        <f t="shared" si="58"/>
        <v>3.5200603047985661E-5</v>
      </c>
      <c r="J636" s="354">
        <f t="shared" si="61"/>
        <v>0.99776719770780553</v>
      </c>
      <c r="K636" s="682">
        <f>'018-21-CAPA'!$F$37</f>
        <v>4974259.4398541162</v>
      </c>
      <c r="L636" s="689">
        <f t="shared" ref="L636:L667" si="63">K636-$F$772</f>
        <v>7.4505805969238281E-9</v>
      </c>
      <c r="M636" s="228"/>
      <c r="N636" s="93"/>
      <c r="P636" s="95"/>
    </row>
    <row r="637" spans="1:16" s="94" customFormat="1" ht="38.25">
      <c r="A637" s="343">
        <v>89702</v>
      </c>
      <c r="B637" s="147" t="s">
        <v>2077</v>
      </c>
      <c r="C637" s="351" t="s">
        <v>109</v>
      </c>
      <c r="D637" s="351">
        <v>8</v>
      </c>
      <c r="E637" s="351" t="s">
        <v>23103</v>
      </c>
      <c r="F637" s="352">
        <v>0.2094</v>
      </c>
      <c r="G637" s="353">
        <f t="shared" si="59"/>
        <v>21.696636000000002</v>
      </c>
      <c r="H637" s="353">
        <f t="shared" si="60"/>
        <v>173.57308800000001</v>
      </c>
      <c r="I637" s="354">
        <f t="shared" si="58"/>
        <v>3.4894257144957198E-5</v>
      </c>
      <c r="J637" s="354">
        <f t="shared" si="61"/>
        <v>0.99780209196495051</v>
      </c>
      <c r="K637" s="682">
        <f>'018-21-CAPA'!$F$37</f>
        <v>4974259.4398541162</v>
      </c>
      <c r="L637" s="689">
        <f t="shared" si="63"/>
        <v>7.4505805969238281E-9</v>
      </c>
      <c r="M637" s="228"/>
      <c r="N637" s="93"/>
      <c r="P637" s="95"/>
    </row>
    <row r="638" spans="1:16" s="94" customFormat="1" ht="51">
      <c r="A638" s="343">
        <v>92896</v>
      </c>
      <c r="B638" s="147" t="s">
        <v>13369</v>
      </c>
      <c r="C638" s="351" t="s">
        <v>109</v>
      </c>
      <c r="D638" s="351">
        <v>1</v>
      </c>
      <c r="E638" s="351" t="s">
        <v>21508</v>
      </c>
      <c r="F638" s="352">
        <v>0.2094</v>
      </c>
      <c r="G638" s="353">
        <f t="shared" si="59"/>
        <v>173.27073800000002</v>
      </c>
      <c r="H638" s="353">
        <f t="shared" si="60"/>
        <v>173.27073800000002</v>
      </c>
      <c r="I638" s="354">
        <f t="shared" si="58"/>
        <v>3.4833474227689646E-5</v>
      </c>
      <c r="J638" s="354">
        <f t="shared" si="61"/>
        <v>0.99783692543917824</v>
      </c>
      <c r="K638" s="682">
        <f>'018-21-CAPA'!$F$37</f>
        <v>4974259.4398541162</v>
      </c>
      <c r="L638" s="689">
        <f t="shared" si="63"/>
        <v>7.4505805969238281E-9</v>
      </c>
      <c r="M638" s="228"/>
      <c r="N638" s="93"/>
      <c r="P638" s="95"/>
    </row>
    <row r="639" spans="1:16" s="94" customFormat="1" ht="38.25">
      <c r="A639" s="343">
        <v>99620</v>
      </c>
      <c r="B639" s="147" t="s">
        <v>4333</v>
      </c>
      <c r="C639" s="351" t="s">
        <v>109</v>
      </c>
      <c r="D639" s="351">
        <v>1</v>
      </c>
      <c r="E639" s="351" t="s">
        <v>21508</v>
      </c>
      <c r="F639" s="352">
        <v>0.2094</v>
      </c>
      <c r="G639" s="353">
        <f t="shared" si="59"/>
        <v>173.27073800000002</v>
      </c>
      <c r="H639" s="353">
        <f t="shared" si="60"/>
        <v>173.27073800000002</v>
      </c>
      <c r="I639" s="354">
        <f t="shared" si="58"/>
        <v>3.4833474227689646E-5</v>
      </c>
      <c r="J639" s="354">
        <f t="shared" si="61"/>
        <v>0.99787175891340596</v>
      </c>
      <c r="K639" s="682">
        <f>'018-21-CAPA'!$F$37</f>
        <v>4974259.4398541162</v>
      </c>
      <c r="L639" s="689">
        <f t="shared" si="63"/>
        <v>7.4505805969238281E-9</v>
      </c>
      <c r="M639" s="228"/>
      <c r="N639" s="93"/>
      <c r="P639" s="95"/>
    </row>
    <row r="640" spans="1:16" s="94" customFormat="1" ht="51">
      <c r="A640" s="343">
        <v>89726</v>
      </c>
      <c r="B640" s="147" t="s">
        <v>2089</v>
      </c>
      <c r="C640" s="351" t="s">
        <v>109</v>
      </c>
      <c r="D640" s="351">
        <v>20</v>
      </c>
      <c r="E640" s="351" t="s">
        <v>10291</v>
      </c>
      <c r="F640" s="352">
        <v>0.2094</v>
      </c>
      <c r="G640" s="353">
        <f t="shared" si="59"/>
        <v>8.5504580000000008</v>
      </c>
      <c r="H640" s="353">
        <f t="shared" si="60"/>
        <v>171.00916000000001</v>
      </c>
      <c r="I640" s="354">
        <f t="shared" si="58"/>
        <v>3.437881800652834E-5</v>
      </c>
      <c r="J640" s="354">
        <f t="shared" si="61"/>
        <v>0.99790613773141246</v>
      </c>
      <c r="K640" s="682">
        <f>'018-21-CAPA'!$F$37</f>
        <v>4974259.4398541162</v>
      </c>
      <c r="L640" s="689">
        <f t="shared" si="63"/>
        <v>7.4505805969238281E-9</v>
      </c>
      <c r="M640" s="228"/>
      <c r="N640" s="93"/>
      <c r="P640" s="95"/>
    </row>
    <row r="641" spans="1:16" s="94" customFormat="1" ht="51">
      <c r="A641" s="343">
        <v>92696</v>
      </c>
      <c r="B641" s="147" t="s">
        <v>13351</v>
      </c>
      <c r="C641" s="351" t="s">
        <v>109</v>
      </c>
      <c r="D641" s="351">
        <v>5</v>
      </c>
      <c r="E641" s="351" t="s">
        <v>15992</v>
      </c>
      <c r="F641" s="352">
        <v>0.2094</v>
      </c>
      <c r="G641" s="353">
        <f t="shared" si="59"/>
        <v>33.875294000000004</v>
      </c>
      <c r="H641" s="353">
        <f t="shared" si="60"/>
        <v>169.37647000000001</v>
      </c>
      <c r="I641" s="354">
        <f t="shared" si="58"/>
        <v>3.4050590253283554E-5</v>
      </c>
      <c r="J641" s="354">
        <f t="shared" si="61"/>
        <v>0.99794018832166576</v>
      </c>
      <c r="K641" s="682">
        <f>'018-21-CAPA'!$F$37</f>
        <v>4974259.4398541162</v>
      </c>
      <c r="L641" s="689">
        <f t="shared" si="63"/>
        <v>7.4505805969238281E-9</v>
      </c>
      <c r="M641" s="228"/>
      <c r="N641" s="93"/>
      <c r="P641" s="95"/>
    </row>
    <row r="642" spans="1:16" s="94" customFormat="1" ht="25.5">
      <c r="A642" s="343" t="s">
        <v>16879</v>
      </c>
      <c r="B642" s="147" t="s">
        <v>16881</v>
      </c>
      <c r="C642" s="351" t="s">
        <v>109</v>
      </c>
      <c r="D642" s="351">
        <v>1</v>
      </c>
      <c r="E642" s="351">
        <v>137.91</v>
      </c>
      <c r="F642" s="352">
        <v>0.2094</v>
      </c>
      <c r="G642" s="353">
        <f t="shared" si="59"/>
        <v>166.788354</v>
      </c>
      <c r="H642" s="353">
        <f t="shared" si="60"/>
        <v>166.788354</v>
      </c>
      <c r="I642" s="354">
        <f t="shared" si="58"/>
        <v>3.3530288481473287E-5</v>
      </c>
      <c r="J642" s="354">
        <f t="shared" si="61"/>
        <v>0.99797371861014728</v>
      </c>
      <c r="K642" s="682">
        <f>'018-21-CAPA'!$F$37</f>
        <v>4974259.4398541162</v>
      </c>
      <c r="L642" s="689">
        <f t="shared" si="63"/>
        <v>7.4505805969238281E-9</v>
      </c>
      <c r="M642" s="228"/>
      <c r="N642" s="93"/>
      <c r="P642" s="95"/>
    </row>
    <row r="643" spans="1:16" s="94" customFormat="1" ht="63.75">
      <c r="A643" s="343" t="s">
        <v>15140</v>
      </c>
      <c r="B643" s="147" t="s">
        <v>15115</v>
      </c>
      <c r="C643" s="351" t="s">
        <v>109</v>
      </c>
      <c r="D643" s="351">
        <v>4</v>
      </c>
      <c r="E643" s="351">
        <v>34.21</v>
      </c>
      <c r="F643" s="352">
        <v>0.2094</v>
      </c>
      <c r="G643" s="353">
        <f t="shared" si="59"/>
        <v>41.373574000000005</v>
      </c>
      <c r="H643" s="353">
        <f t="shared" si="60"/>
        <v>165.49429600000002</v>
      </c>
      <c r="I643" s="354">
        <f t="shared" si="58"/>
        <v>3.3270137595568164E-5</v>
      </c>
      <c r="J643" s="354">
        <f t="shared" si="61"/>
        <v>0.99800698874774285</v>
      </c>
      <c r="K643" s="682">
        <f>'018-21-CAPA'!$F$37</f>
        <v>4974259.4398541162</v>
      </c>
      <c r="L643" s="689">
        <f t="shared" si="63"/>
        <v>7.4505805969238281E-9</v>
      </c>
      <c r="M643" s="228"/>
      <c r="N643" s="93"/>
      <c r="P643" s="95"/>
    </row>
    <row r="644" spans="1:16" s="94" customFormat="1" ht="25.5">
      <c r="A644" s="343">
        <v>100851</v>
      </c>
      <c r="B644" s="147" t="s">
        <v>10753</v>
      </c>
      <c r="C644" s="351" t="s">
        <v>109</v>
      </c>
      <c r="D644" s="351">
        <v>2</v>
      </c>
      <c r="E644" s="351" t="s">
        <v>23496</v>
      </c>
      <c r="F644" s="352">
        <v>0.2094</v>
      </c>
      <c r="G644" s="353">
        <f t="shared" si="59"/>
        <v>82.323857999999987</v>
      </c>
      <c r="H644" s="353">
        <f t="shared" si="60"/>
        <v>164.64771599999997</v>
      </c>
      <c r="I644" s="354">
        <f t="shared" si="58"/>
        <v>3.3099945427219005E-5</v>
      </c>
      <c r="J644" s="354">
        <f t="shared" si="61"/>
        <v>0.99804008869317007</v>
      </c>
      <c r="K644" s="682">
        <f>'018-21-CAPA'!$F$37</f>
        <v>4974259.4398541162</v>
      </c>
      <c r="L644" s="689">
        <f t="shared" si="63"/>
        <v>7.4505805969238281E-9</v>
      </c>
      <c r="M644" s="228"/>
      <c r="N644" s="93"/>
      <c r="P644" s="95"/>
    </row>
    <row r="645" spans="1:16" s="94" customFormat="1" ht="38.25">
      <c r="A645" s="343">
        <v>89729</v>
      </c>
      <c r="B645" s="147" t="s">
        <v>2092</v>
      </c>
      <c r="C645" s="351" t="s">
        <v>109</v>
      </c>
      <c r="D645" s="351">
        <v>6</v>
      </c>
      <c r="E645" s="351" t="s">
        <v>14281</v>
      </c>
      <c r="F645" s="352">
        <v>0.2094</v>
      </c>
      <c r="G645" s="353">
        <f t="shared" si="59"/>
        <v>27.199406</v>
      </c>
      <c r="H645" s="353">
        <f t="shared" si="60"/>
        <v>163.19643600000001</v>
      </c>
      <c r="I645" s="354">
        <f t="shared" si="58"/>
        <v>3.2808187424334755E-5</v>
      </c>
      <c r="J645" s="354">
        <f t="shared" si="61"/>
        <v>0.99807289688059442</v>
      </c>
      <c r="K645" s="682">
        <f>'018-21-CAPA'!$F$37</f>
        <v>4974259.4398541162</v>
      </c>
      <c r="L645" s="689">
        <f t="shared" si="63"/>
        <v>7.4505805969238281E-9</v>
      </c>
      <c r="M645" s="228"/>
      <c r="N645" s="93"/>
      <c r="P645" s="95"/>
    </row>
    <row r="646" spans="1:16" s="94" customFormat="1" ht="25.5">
      <c r="A646" s="343">
        <v>97663</v>
      </c>
      <c r="B646" s="147" t="s">
        <v>3758</v>
      </c>
      <c r="C646" s="351" t="s">
        <v>109</v>
      </c>
      <c r="D646" s="351">
        <v>13</v>
      </c>
      <c r="E646" s="351" t="s">
        <v>11360</v>
      </c>
      <c r="F646" s="352">
        <v>0.2094</v>
      </c>
      <c r="G646" s="353">
        <f t="shared" si="59"/>
        <v>12.299598</v>
      </c>
      <c r="H646" s="353">
        <f t="shared" si="60"/>
        <v>159.89477399999998</v>
      </c>
      <c r="I646" s="354">
        <f t="shared" si="58"/>
        <v>3.214443796777306E-5</v>
      </c>
      <c r="J646" s="354">
        <f t="shared" si="61"/>
        <v>0.99810504131856215</v>
      </c>
      <c r="K646" s="682">
        <f>'018-21-CAPA'!$F$37</f>
        <v>4974259.4398541162</v>
      </c>
      <c r="L646" s="689">
        <f t="shared" si="63"/>
        <v>7.4505805969238281E-9</v>
      </c>
      <c r="M646" s="228"/>
      <c r="N646" s="93"/>
      <c r="P646" s="95"/>
    </row>
    <row r="647" spans="1:16" s="94" customFormat="1" ht="38.25">
      <c r="A647" s="343">
        <v>91975</v>
      </c>
      <c r="B647" s="147" t="s">
        <v>1701</v>
      </c>
      <c r="C647" s="351" t="s">
        <v>109</v>
      </c>
      <c r="D647" s="351">
        <v>2</v>
      </c>
      <c r="E647" s="351" t="s">
        <v>14238</v>
      </c>
      <c r="F647" s="352">
        <v>0.2094</v>
      </c>
      <c r="G647" s="353">
        <f t="shared" si="59"/>
        <v>79.735742000000016</v>
      </c>
      <c r="H647" s="353">
        <f t="shared" si="60"/>
        <v>159.47148400000003</v>
      </c>
      <c r="I647" s="354">
        <f t="shared" si="58"/>
        <v>3.2059341883598498E-5</v>
      </c>
      <c r="J647" s="354">
        <f t="shared" si="61"/>
        <v>0.9981371006604457</v>
      </c>
      <c r="K647" s="682">
        <f>'018-21-CAPA'!$F$37</f>
        <v>4974259.4398541162</v>
      </c>
      <c r="L647" s="689">
        <f t="shared" si="63"/>
        <v>7.4505805969238281E-9</v>
      </c>
      <c r="M647" s="228"/>
      <c r="N647" s="93"/>
      <c r="P647" s="95"/>
    </row>
    <row r="648" spans="1:16" s="94" customFormat="1" ht="38.25">
      <c r="A648" s="343" t="s">
        <v>11603</v>
      </c>
      <c r="B648" s="147" t="s">
        <v>16994</v>
      </c>
      <c r="C648" s="351" t="s">
        <v>109</v>
      </c>
      <c r="D648" s="351">
        <v>10</v>
      </c>
      <c r="E648" s="351">
        <v>13.129999999999999</v>
      </c>
      <c r="F648" s="352">
        <v>0.2094</v>
      </c>
      <c r="G648" s="353">
        <f t="shared" si="59"/>
        <v>15.879422</v>
      </c>
      <c r="H648" s="353">
        <f t="shared" si="60"/>
        <v>158.79422</v>
      </c>
      <c r="I648" s="354">
        <f t="shared" ref="I648:I667" si="64">H648/$F$772</f>
        <v>3.1923188148919173E-5</v>
      </c>
      <c r="J648" s="354">
        <f t="shared" si="61"/>
        <v>0.99816902384859463</v>
      </c>
      <c r="K648" s="682">
        <f>'018-21-CAPA'!$F$37</f>
        <v>4974259.4398541162</v>
      </c>
      <c r="L648" s="689">
        <f t="shared" si="63"/>
        <v>7.4505805969238281E-9</v>
      </c>
      <c r="M648" s="228"/>
      <c r="N648" s="93"/>
      <c r="P648" s="95"/>
    </row>
    <row r="649" spans="1:16" s="94" customFormat="1" ht="51">
      <c r="A649" s="343" t="s">
        <v>14793</v>
      </c>
      <c r="B649" s="147" t="s">
        <v>14794</v>
      </c>
      <c r="C649" s="351" t="s">
        <v>5</v>
      </c>
      <c r="D649" s="351">
        <v>10</v>
      </c>
      <c r="E649" s="351">
        <v>13.04</v>
      </c>
      <c r="F649" s="352">
        <v>0.2094</v>
      </c>
      <c r="G649" s="353">
        <f t="shared" si="59"/>
        <v>15.770576</v>
      </c>
      <c r="H649" s="353">
        <f t="shared" si="60"/>
        <v>157.70576</v>
      </c>
      <c r="I649" s="354">
        <f t="shared" si="64"/>
        <v>3.1704369646755981E-5</v>
      </c>
      <c r="J649" s="354">
        <f t="shared" si="61"/>
        <v>0.99820072821824135</v>
      </c>
      <c r="K649" s="682">
        <f>'018-21-CAPA'!$F$37</f>
        <v>4974259.4398541162</v>
      </c>
      <c r="L649" s="689">
        <f t="shared" si="63"/>
        <v>7.4505805969238281E-9</v>
      </c>
      <c r="M649" s="228"/>
      <c r="N649" s="93"/>
      <c r="P649" s="95"/>
    </row>
    <row r="650" spans="1:16" s="94" customFormat="1" ht="25.5">
      <c r="A650" s="343" t="s">
        <v>16955</v>
      </c>
      <c r="B650" s="147" t="s">
        <v>14940</v>
      </c>
      <c r="C650" s="351" t="s">
        <v>109</v>
      </c>
      <c r="D650" s="351">
        <v>1</v>
      </c>
      <c r="E650" s="351">
        <v>129.54</v>
      </c>
      <c r="F650" s="352">
        <v>0.2094</v>
      </c>
      <c r="G650" s="353">
        <f t="shared" si="59"/>
        <v>156.66567599999999</v>
      </c>
      <c r="H650" s="353">
        <f t="shared" si="60"/>
        <v>156.66567599999999</v>
      </c>
      <c r="I650" s="354">
        <f t="shared" si="64"/>
        <v>3.1495276411355592E-5</v>
      </c>
      <c r="J650" s="354">
        <f t="shared" si="61"/>
        <v>0.99823222349465268</v>
      </c>
      <c r="K650" s="682">
        <f>'018-21-CAPA'!$F$37</f>
        <v>4974259.4398541162</v>
      </c>
      <c r="L650" s="689">
        <f t="shared" si="63"/>
        <v>7.4505805969238281E-9</v>
      </c>
      <c r="M650" s="228"/>
      <c r="N650" s="93"/>
      <c r="P650" s="95"/>
    </row>
    <row r="651" spans="1:16" s="94" customFormat="1" ht="25.5">
      <c r="A651" s="343" t="s">
        <v>15064</v>
      </c>
      <c r="B651" s="147" t="s">
        <v>15105</v>
      </c>
      <c r="C651" s="351" t="s">
        <v>3240</v>
      </c>
      <c r="D651" s="351">
        <v>1</v>
      </c>
      <c r="E651" s="351">
        <v>129.46</v>
      </c>
      <c r="F651" s="352">
        <v>0.2094</v>
      </c>
      <c r="G651" s="353">
        <f t="shared" ref="G651:G714" si="65">(E651*(1+F651))</f>
        <v>156.56892400000001</v>
      </c>
      <c r="H651" s="353">
        <f t="shared" ref="H651:H714" si="66">G651*D651</f>
        <v>156.56892400000001</v>
      </c>
      <c r="I651" s="354">
        <f t="shared" si="64"/>
        <v>3.1475825877829977E-5</v>
      </c>
      <c r="J651" s="354">
        <f t="shared" si="61"/>
        <v>0.9982636993205305</v>
      </c>
      <c r="K651" s="682">
        <f>'018-21-CAPA'!$F$37</f>
        <v>4974259.4398541162</v>
      </c>
      <c r="L651" s="689">
        <f t="shared" si="63"/>
        <v>7.4505805969238281E-9</v>
      </c>
      <c r="M651" s="228"/>
      <c r="N651" s="93"/>
      <c r="P651" s="95"/>
    </row>
    <row r="652" spans="1:16" s="94" customFormat="1" ht="51">
      <c r="A652" s="343">
        <v>92674</v>
      </c>
      <c r="B652" s="147" t="s">
        <v>13334</v>
      </c>
      <c r="C652" s="351" t="s">
        <v>109</v>
      </c>
      <c r="D652" s="351">
        <v>3</v>
      </c>
      <c r="E652" s="351" t="s">
        <v>23175</v>
      </c>
      <c r="F652" s="352">
        <v>0.2094</v>
      </c>
      <c r="G652" s="353">
        <f t="shared" si="65"/>
        <v>52.040482000000004</v>
      </c>
      <c r="H652" s="353">
        <f t="shared" si="66"/>
        <v>156.12144600000002</v>
      </c>
      <c r="I652" s="354">
        <f t="shared" si="64"/>
        <v>3.1385867160273999E-5</v>
      </c>
      <c r="J652" s="354">
        <f t="shared" si="61"/>
        <v>0.99829508518769072</v>
      </c>
      <c r="K652" s="682">
        <f>'018-21-CAPA'!$F$37</f>
        <v>4974259.4398541162</v>
      </c>
      <c r="L652" s="689">
        <f t="shared" si="63"/>
        <v>7.4505805969238281E-9</v>
      </c>
      <c r="M652" s="228"/>
      <c r="N652" s="93"/>
      <c r="P652" s="95"/>
    </row>
    <row r="653" spans="1:16" s="94" customFormat="1" ht="51">
      <c r="A653" s="343">
        <v>92906</v>
      </c>
      <c r="B653" s="147" t="s">
        <v>13379</v>
      </c>
      <c r="C653" s="351" t="s">
        <v>109</v>
      </c>
      <c r="D653" s="351">
        <v>3</v>
      </c>
      <c r="E653" s="351" t="s">
        <v>23197</v>
      </c>
      <c r="F653" s="352">
        <v>0.2094</v>
      </c>
      <c r="G653" s="353">
        <f t="shared" si="65"/>
        <v>51.314841999999999</v>
      </c>
      <c r="H653" s="353">
        <f t="shared" si="66"/>
        <v>153.944526</v>
      </c>
      <c r="I653" s="354">
        <f t="shared" si="64"/>
        <v>3.0948230155947614E-5</v>
      </c>
      <c r="J653" s="354">
        <f t="shared" ref="J653:J716" si="67">I653+J652</f>
        <v>0.99832603341784665</v>
      </c>
      <c r="K653" s="682">
        <f>'018-21-CAPA'!$F$37</f>
        <v>4974259.4398541162</v>
      </c>
      <c r="L653" s="689">
        <f t="shared" si="63"/>
        <v>7.4505805969238281E-9</v>
      </c>
      <c r="M653" s="228"/>
      <c r="N653" s="93"/>
      <c r="P653" s="95"/>
    </row>
    <row r="654" spans="1:16" s="94" customFormat="1" ht="51">
      <c r="A654" s="343" t="s">
        <v>24506</v>
      </c>
      <c r="B654" s="147" t="s">
        <v>24508</v>
      </c>
      <c r="C654" s="351" t="s">
        <v>109</v>
      </c>
      <c r="D654" s="351">
        <v>1</v>
      </c>
      <c r="E654" s="351">
        <v>125.66</v>
      </c>
      <c r="F654" s="352">
        <v>0.2094</v>
      </c>
      <c r="G654" s="353">
        <f t="shared" si="65"/>
        <v>151.97320400000001</v>
      </c>
      <c r="H654" s="353">
        <f t="shared" si="66"/>
        <v>151.97320400000001</v>
      </c>
      <c r="I654" s="354">
        <f t="shared" si="64"/>
        <v>3.0551925535363166E-5</v>
      </c>
      <c r="J654" s="354">
        <f t="shared" si="67"/>
        <v>0.99835658534338201</v>
      </c>
      <c r="K654" s="682">
        <f>'018-21-CAPA'!$F$37</f>
        <v>4974259.4398541162</v>
      </c>
      <c r="L654" s="689">
        <f t="shared" si="63"/>
        <v>7.4505805969238281E-9</v>
      </c>
      <c r="M654" s="228"/>
      <c r="N654" s="93"/>
      <c r="P654" s="95"/>
    </row>
    <row r="655" spans="1:16" s="94" customFormat="1" ht="51">
      <c r="A655" s="343">
        <v>95801</v>
      </c>
      <c r="B655" s="147" t="s">
        <v>1655</v>
      </c>
      <c r="C655" s="351" t="s">
        <v>109</v>
      </c>
      <c r="D655" s="351">
        <v>4</v>
      </c>
      <c r="E655" s="351" t="s">
        <v>19434</v>
      </c>
      <c r="F655" s="352">
        <v>0.2094</v>
      </c>
      <c r="G655" s="353">
        <f t="shared" si="65"/>
        <v>37.648622000000003</v>
      </c>
      <c r="H655" s="353">
        <f t="shared" si="66"/>
        <v>150.59448800000001</v>
      </c>
      <c r="I655" s="354">
        <f t="shared" si="64"/>
        <v>3.0274755432623118E-5</v>
      </c>
      <c r="J655" s="354">
        <f t="shared" si="67"/>
        <v>0.99838686009881461</v>
      </c>
      <c r="K655" s="682">
        <f>'018-21-CAPA'!$F$37</f>
        <v>4974259.4398541162</v>
      </c>
      <c r="L655" s="689">
        <f t="shared" si="63"/>
        <v>7.4505805969238281E-9</v>
      </c>
      <c r="M655" s="228"/>
      <c r="N655" s="93"/>
      <c r="P655" s="95"/>
    </row>
    <row r="656" spans="1:16" s="94" customFormat="1" ht="51">
      <c r="A656" s="343">
        <v>89610</v>
      </c>
      <c r="B656" s="147" t="s">
        <v>1997</v>
      </c>
      <c r="C656" s="351" t="s">
        <v>109</v>
      </c>
      <c r="D656" s="351">
        <v>6</v>
      </c>
      <c r="E656" s="351" t="s">
        <v>19425</v>
      </c>
      <c r="F656" s="352">
        <v>0.2094</v>
      </c>
      <c r="G656" s="353">
        <f t="shared" si="65"/>
        <v>24.986204000000001</v>
      </c>
      <c r="H656" s="353">
        <f t="shared" si="66"/>
        <v>149.917224</v>
      </c>
      <c r="I656" s="354">
        <f t="shared" si="64"/>
        <v>3.0138601697943797E-5</v>
      </c>
      <c r="J656" s="354">
        <f t="shared" si="67"/>
        <v>0.99841699870051259</v>
      </c>
      <c r="K656" s="682">
        <f>'018-21-CAPA'!$F$37</f>
        <v>4974259.4398541162</v>
      </c>
      <c r="L656" s="689">
        <f t="shared" si="63"/>
        <v>7.4505805969238281E-9</v>
      </c>
      <c r="M656" s="228"/>
      <c r="N656" s="93"/>
      <c r="P656" s="95"/>
    </row>
    <row r="657" spans="1:16" s="94" customFormat="1" ht="38.25">
      <c r="A657" s="343">
        <v>96547</v>
      </c>
      <c r="B657" s="147" t="s">
        <v>1443</v>
      </c>
      <c r="C657" s="351" t="s">
        <v>108</v>
      </c>
      <c r="D657" s="351">
        <v>10</v>
      </c>
      <c r="E657" s="351" t="s">
        <v>15943</v>
      </c>
      <c r="F657" s="352">
        <v>0.2094</v>
      </c>
      <c r="G657" s="353">
        <f t="shared" si="65"/>
        <v>14.536987999999999</v>
      </c>
      <c r="H657" s="353">
        <f t="shared" si="66"/>
        <v>145.36987999999999</v>
      </c>
      <c r="I657" s="354">
        <f t="shared" si="64"/>
        <v>2.922442662223979E-5</v>
      </c>
      <c r="J657" s="354">
        <f t="shared" si="67"/>
        <v>0.99844622312713482</v>
      </c>
      <c r="K657" s="682">
        <f>'018-21-CAPA'!$F$37</f>
        <v>4974259.4398541162</v>
      </c>
      <c r="L657" s="689">
        <f t="shared" si="63"/>
        <v>7.4505805969238281E-9</v>
      </c>
      <c r="M657" s="228"/>
      <c r="N657" s="93"/>
      <c r="P657" s="95"/>
    </row>
    <row r="658" spans="1:16" s="94" customFormat="1" ht="38.25">
      <c r="A658" s="343" t="s">
        <v>17887</v>
      </c>
      <c r="B658" s="147" t="s">
        <v>18276</v>
      </c>
      <c r="C658" s="351" t="s">
        <v>109</v>
      </c>
      <c r="D658" s="351">
        <v>2</v>
      </c>
      <c r="E658" s="351">
        <v>59.870000000000005</v>
      </c>
      <c r="F658" s="352">
        <v>0.2094</v>
      </c>
      <c r="G658" s="353">
        <f t="shared" si="65"/>
        <v>72.406778000000003</v>
      </c>
      <c r="H658" s="353">
        <f t="shared" si="66"/>
        <v>144.81355600000001</v>
      </c>
      <c r="I658" s="354">
        <f t="shared" si="64"/>
        <v>2.9112586054467493E-5</v>
      </c>
      <c r="J658" s="354">
        <f t="shared" si="67"/>
        <v>0.99847533571318925</v>
      </c>
      <c r="K658" s="682">
        <f>'018-21-CAPA'!$F$37</f>
        <v>4974259.4398541162</v>
      </c>
      <c r="L658" s="689">
        <f t="shared" si="63"/>
        <v>7.4505805969238281E-9</v>
      </c>
      <c r="M658" s="228"/>
      <c r="N658" s="93"/>
      <c r="P658" s="95"/>
    </row>
    <row r="659" spans="1:16" s="94" customFormat="1" ht="38.25">
      <c r="A659" s="343">
        <v>91943</v>
      </c>
      <c r="B659" s="147" t="s">
        <v>274</v>
      </c>
      <c r="C659" s="351" t="s">
        <v>109</v>
      </c>
      <c r="D659" s="351">
        <v>7</v>
      </c>
      <c r="E659" s="351" t="s">
        <v>9763</v>
      </c>
      <c r="F659" s="352">
        <v>0.2094</v>
      </c>
      <c r="G659" s="353">
        <f t="shared" si="65"/>
        <v>20.414671999999999</v>
      </c>
      <c r="H659" s="353">
        <f t="shared" si="66"/>
        <v>142.902704</v>
      </c>
      <c r="I659" s="354">
        <f t="shared" si="64"/>
        <v>2.8728438017336554E-5</v>
      </c>
      <c r="J659" s="354">
        <f t="shared" si="67"/>
        <v>0.99850406415120663</v>
      </c>
      <c r="K659" s="682">
        <f>'018-21-CAPA'!$F$37</f>
        <v>4974259.4398541162</v>
      </c>
      <c r="L659" s="689">
        <f t="shared" si="63"/>
        <v>7.4505805969238281E-9</v>
      </c>
      <c r="M659" s="228"/>
      <c r="N659" s="93"/>
      <c r="P659" s="95"/>
    </row>
    <row r="660" spans="1:16" s="94" customFormat="1" ht="38.25">
      <c r="A660" s="343" t="s">
        <v>16905</v>
      </c>
      <c r="B660" s="147" t="s">
        <v>16906</v>
      </c>
      <c r="C660" s="351" t="s">
        <v>109</v>
      </c>
      <c r="D660" s="351">
        <v>2</v>
      </c>
      <c r="E660" s="351">
        <v>57.24</v>
      </c>
      <c r="F660" s="352">
        <v>0.2094</v>
      </c>
      <c r="G660" s="353">
        <f t="shared" si="65"/>
        <v>69.226056</v>
      </c>
      <c r="H660" s="353">
        <f t="shared" si="66"/>
        <v>138.452112</v>
      </c>
      <c r="I660" s="354">
        <f t="shared" si="64"/>
        <v>2.7833713475158161E-5</v>
      </c>
      <c r="J660" s="354">
        <f t="shared" si="67"/>
        <v>0.99853189786468177</v>
      </c>
      <c r="K660" s="682">
        <f>'018-21-CAPA'!$F$37</f>
        <v>4974259.4398541162</v>
      </c>
      <c r="L660" s="689">
        <f t="shared" si="63"/>
        <v>7.4505805969238281E-9</v>
      </c>
      <c r="M660" s="228"/>
      <c r="N660" s="93"/>
      <c r="P660" s="95"/>
    </row>
    <row r="661" spans="1:16" s="94" customFormat="1" ht="25.5">
      <c r="A661" s="343">
        <v>90441</v>
      </c>
      <c r="B661" s="147" t="s">
        <v>2408</v>
      </c>
      <c r="C661" s="351" t="s">
        <v>109</v>
      </c>
      <c r="D661" s="351">
        <v>1</v>
      </c>
      <c r="E661" s="351" t="s">
        <v>23630</v>
      </c>
      <c r="F661" s="352">
        <v>0.2094</v>
      </c>
      <c r="G661" s="353">
        <f t="shared" si="65"/>
        <v>136.37194400000001</v>
      </c>
      <c r="H661" s="353">
        <f t="shared" si="66"/>
        <v>136.37194400000001</v>
      </c>
      <c r="I661" s="354">
        <f t="shared" si="64"/>
        <v>2.7415527004357398E-5</v>
      </c>
      <c r="J661" s="354">
        <f t="shared" si="67"/>
        <v>0.99855931339168613</v>
      </c>
      <c r="K661" s="682">
        <f>'018-21-CAPA'!$F$37</f>
        <v>4974259.4398541162</v>
      </c>
      <c r="L661" s="689">
        <f t="shared" si="63"/>
        <v>7.4505805969238281E-9</v>
      </c>
      <c r="M661" s="228"/>
      <c r="N661" s="93"/>
      <c r="P661" s="95"/>
    </row>
    <row r="662" spans="1:16" s="94" customFormat="1" ht="38.25">
      <c r="A662" s="343">
        <v>91955</v>
      </c>
      <c r="B662" s="147" t="s">
        <v>1681</v>
      </c>
      <c r="C662" s="351" t="s">
        <v>109</v>
      </c>
      <c r="D662" s="351">
        <v>4</v>
      </c>
      <c r="E662" s="351" t="s">
        <v>16392</v>
      </c>
      <c r="F662" s="352">
        <v>0.2094</v>
      </c>
      <c r="G662" s="353">
        <f t="shared" si="65"/>
        <v>33.681789999999999</v>
      </c>
      <c r="H662" s="353">
        <f t="shared" si="66"/>
        <v>134.72716</v>
      </c>
      <c r="I662" s="354">
        <f t="shared" si="64"/>
        <v>2.7084867934421901E-5</v>
      </c>
      <c r="J662" s="354">
        <f t="shared" si="67"/>
        <v>0.99858639825962059</v>
      </c>
      <c r="K662" s="682">
        <f>'018-21-CAPA'!$F$37</f>
        <v>4974259.4398541162</v>
      </c>
      <c r="L662" s="689">
        <f t="shared" si="63"/>
        <v>7.4505805969238281E-9</v>
      </c>
      <c r="M662" s="228"/>
      <c r="N662" s="93"/>
      <c r="P662" s="95"/>
    </row>
    <row r="663" spans="1:16" s="94" customFormat="1" ht="25.5">
      <c r="A663" s="343">
        <v>90439</v>
      </c>
      <c r="B663" s="147" t="s">
        <v>2406</v>
      </c>
      <c r="C663" s="351" t="s">
        <v>109</v>
      </c>
      <c r="D663" s="351">
        <v>2</v>
      </c>
      <c r="E663" s="351" t="s">
        <v>23628</v>
      </c>
      <c r="F663" s="352">
        <v>0.2094</v>
      </c>
      <c r="G663" s="353">
        <f t="shared" si="65"/>
        <v>66.650034000000005</v>
      </c>
      <c r="H663" s="353">
        <f t="shared" si="66"/>
        <v>133.30006800000001</v>
      </c>
      <c r="I663" s="354">
        <f t="shared" si="64"/>
        <v>2.6797972564919049E-5</v>
      </c>
      <c r="J663" s="354">
        <f t="shared" si="67"/>
        <v>0.99861319623218547</v>
      </c>
      <c r="K663" s="682">
        <f>'018-21-CAPA'!$F$37</f>
        <v>4974259.4398541162</v>
      </c>
      <c r="L663" s="689">
        <f t="shared" si="63"/>
        <v>7.4505805969238281E-9</v>
      </c>
      <c r="M663" s="228"/>
      <c r="N663" s="93"/>
      <c r="P663" s="95"/>
    </row>
    <row r="664" spans="1:16" s="94" customFormat="1" ht="25.5">
      <c r="A664" s="343" t="s">
        <v>14331</v>
      </c>
      <c r="B664" s="147" t="s">
        <v>17025</v>
      </c>
      <c r="C664" s="351" t="s">
        <v>109</v>
      </c>
      <c r="D664" s="351">
        <v>13</v>
      </c>
      <c r="E664" s="351">
        <v>8.43</v>
      </c>
      <c r="F664" s="352">
        <v>0.2094</v>
      </c>
      <c r="G664" s="353">
        <f t="shared" si="65"/>
        <v>10.195242</v>
      </c>
      <c r="H664" s="353">
        <f t="shared" si="66"/>
        <v>132.53814600000001</v>
      </c>
      <c r="I664" s="354">
        <f t="shared" si="64"/>
        <v>2.6644799613404814E-5</v>
      </c>
      <c r="J664" s="354">
        <f t="shared" si="67"/>
        <v>0.99863984103179892</v>
      </c>
      <c r="K664" s="682">
        <f>'018-21-CAPA'!$F$37</f>
        <v>4974259.4398541162</v>
      </c>
      <c r="L664" s="689">
        <f t="shared" si="63"/>
        <v>7.4505805969238281E-9</v>
      </c>
      <c r="M664" s="228"/>
      <c r="N664" s="93"/>
      <c r="P664" s="95"/>
    </row>
    <row r="665" spans="1:16" s="94" customFormat="1" ht="38.25">
      <c r="A665" s="343" t="s">
        <v>14329</v>
      </c>
      <c r="B665" s="147" t="s">
        <v>17023</v>
      </c>
      <c r="C665" s="351" t="s">
        <v>109</v>
      </c>
      <c r="D665" s="351">
        <v>3</v>
      </c>
      <c r="E665" s="351">
        <v>36.300000000000004</v>
      </c>
      <c r="F665" s="352">
        <v>0.2094</v>
      </c>
      <c r="G665" s="353">
        <f t="shared" si="65"/>
        <v>43.901220000000009</v>
      </c>
      <c r="H665" s="353">
        <f t="shared" si="66"/>
        <v>131.70366000000001</v>
      </c>
      <c r="I665" s="354">
        <f t="shared" si="64"/>
        <v>2.6477038761746367E-5</v>
      </c>
      <c r="J665" s="354">
        <f t="shared" si="67"/>
        <v>0.99866631807056072</v>
      </c>
      <c r="K665" s="682">
        <f>'018-21-CAPA'!$F$37</f>
        <v>4974259.4398541162</v>
      </c>
      <c r="L665" s="689">
        <f t="shared" si="63"/>
        <v>7.4505805969238281E-9</v>
      </c>
      <c r="M665" s="228"/>
      <c r="N665" s="93"/>
      <c r="P665" s="95"/>
    </row>
    <row r="666" spans="1:16" s="94" customFormat="1" ht="38.25">
      <c r="A666" s="343" t="s">
        <v>14397</v>
      </c>
      <c r="B666" s="147" t="s">
        <v>17130</v>
      </c>
      <c r="C666" s="351" t="s">
        <v>3243</v>
      </c>
      <c r="D666" s="351">
        <v>17</v>
      </c>
      <c r="E666" s="351">
        <v>6.37</v>
      </c>
      <c r="F666" s="352">
        <v>0.2094</v>
      </c>
      <c r="G666" s="353">
        <f t="shared" si="65"/>
        <v>7.7038780000000004</v>
      </c>
      <c r="H666" s="353">
        <f t="shared" si="66"/>
        <v>130.965926</v>
      </c>
      <c r="I666" s="354">
        <f t="shared" si="64"/>
        <v>2.6328728443613534E-5</v>
      </c>
      <c r="J666" s="354">
        <f t="shared" si="67"/>
        <v>0.99869264679900438</v>
      </c>
      <c r="K666" s="682">
        <f>'018-21-CAPA'!$F$37</f>
        <v>4974259.4398541162</v>
      </c>
      <c r="L666" s="689">
        <f t="shared" si="63"/>
        <v>7.4505805969238281E-9</v>
      </c>
      <c r="M666" s="228"/>
      <c r="N666" s="93"/>
      <c r="P666" s="95"/>
    </row>
    <row r="667" spans="1:16" s="94" customFormat="1" ht="38.25">
      <c r="A667" s="343" t="s">
        <v>14466</v>
      </c>
      <c r="B667" s="147" t="s">
        <v>18508</v>
      </c>
      <c r="C667" s="351" t="s">
        <v>109</v>
      </c>
      <c r="D667" s="351">
        <v>3</v>
      </c>
      <c r="E667" s="351">
        <v>35.6</v>
      </c>
      <c r="F667" s="352">
        <v>0.2094</v>
      </c>
      <c r="G667" s="353">
        <f t="shared" si="65"/>
        <v>43.054640000000006</v>
      </c>
      <c r="H667" s="353">
        <f t="shared" si="66"/>
        <v>129.16392000000002</v>
      </c>
      <c r="I667" s="354">
        <f t="shared" si="64"/>
        <v>2.5966462256698917E-5</v>
      </c>
      <c r="J667" s="354">
        <f t="shared" si="67"/>
        <v>0.9987186132612611</v>
      </c>
      <c r="K667" s="682">
        <f>'018-21-CAPA'!$F$37</f>
        <v>4974259.4398541162</v>
      </c>
      <c r="L667" s="689">
        <f t="shared" si="63"/>
        <v>7.4505805969238281E-9</v>
      </c>
      <c r="M667" s="228"/>
      <c r="N667" s="93"/>
      <c r="P667" s="95"/>
    </row>
    <row r="668" spans="1:16" s="94" customFormat="1" ht="51">
      <c r="A668" s="343">
        <v>92907</v>
      </c>
      <c r="B668" s="147" t="s">
        <v>13380</v>
      </c>
      <c r="C668" s="351" t="s">
        <v>109</v>
      </c>
      <c r="D668" s="351">
        <v>2</v>
      </c>
      <c r="E668" s="351" t="s">
        <v>23198</v>
      </c>
      <c r="F668" s="352">
        <v>0.2094</v>
      </c>
      <c r="G668" s="353">
        <f t="shared" si="65"/>
        <v>64.43683200000001</v>
      </c>
      <c r="H668" s="353">
        <f t="shared" si="66"/>
        <v>128.87366400000002</v>
      </c>
      <c r="I668" s="354">
        <f t="shared" ref="I668:I731" si="68">H668/$F$772</f>
        <v>2.5908110656122066E-5</v>
      </c>
      <c r="J668" s="354">
        <f t="shared" si="67"/>
        <v>0.99874452137191727</v>
      </c>
      <c r="K668" s="682"/>
      <c r="L668" s="689"/>
      <c r="M668" s="228"/>
      <c r="N668" s="93"/>
      <c r="P668" s="95"/>
    </row>
    <row r="669" spans="1:16" s="94" customFormat="1">
      <c r="A669" s="343" t="s">
        <v>17879</v>
      </c>
      <c r="B669" s="147" t="s">
        <v>17880</v>
      </c>
      <c r="C669" s="351" t="s">
        <v>17876</v>
      </c>
      <c r="D669" s="351">
        <v>1</v>
      </c>
      <c r="E669" s="351">
        <v>106.13</v>
      </c>
      <c r="F669" s="352">
        <v>0.2094</v>
      </c>
      <c r="G669" s="353">
        <f t="shared" si="65"/>
        <v>128.353622</v>
      </c>
      <c r="H669" s="353">
        <f t="shared" si="66"/>
        <v>128.353622</v>
      </c>
      <c r="I669" s="354">
        <f t="shared" si="68"/>
        <v>2.5803564038421871E-5</v>
      </c>
      <c r="J669" s="354">
        <f t="shared" si="67"/>
        <v>0.99877032493595574</v>
      </c>
      <c r="K669" s="682">
        <f>'018-21-CAPA'!$F$37</f>
        <v>4974259.4398541162</v>
      </c>
      <c r="L669" s="689">
        <f t="shared" ref="L669:L710" si="69">K669-$F$772</f>
        <v>7.4505805969238281E-9</v>
      </c>
      <c r="M669" s="228"/>
      <c r="N669" s="93"/>
      <c r="P669" s="95"/>
    </row>
    <row r="670" spans="1:16" s="94" customFormat="1" ht="51">
      <c r="A670" s="343">
        <v>92937</v>
      </c>
      <c r="B670" s="147" t="s">
        <v>13402</v>
      </c>
      <c r="C670" s="351" t="s">
        <v>109</v>
      </c>
      <c r="D670" s="351">
        <v>1</v>
      </c>
      <c r="E670" s="351" t="s">
        <v>23203</v>
      </c>
      <c r="F670" s="352">
        <v>0.2094</v>
      </c>
      <c r="G670" s="353">
        <f t="shared" si="65"/>
        <v>126.370206</v>
      </c>
      <c r="H670" s="353">
        <f t="shared" si="66"/>
        <v>126.370206</v>
      </c>
      <c r="I670" s="354">
        <f t="shared" si="68"/>
        <v>2.5404828101146719E-5</v>
      </c>
      <c r="J670" s="354">
        <f t="shared" si="67"/>
        <v>0.99879572976405684</v>
      </c>
      <c r="K670" s="682">
        <f>'018-21-CAPA'!$F$37</f>
        <v>4974259.4398541162</v>
      </c>
      <c r="L670" s="689">
        <f t="shared" si="69"/>
        <v>7.4505805969238281E-9</v>
      </c>
      <c r="M670" s="228"/>
      <c r="N670" s="93"/>
      <c r="P670" s="95"/>
    </row>
    <row r="671" spans="1:16" s="94" customFormat="1" ht="51">
      <c r="A671" s="343">
        <v>89391</v>
      </c>
      <c r="B671" s="147" t="s">
        <v>1854</v>
      </c>
      <c r="C671" s="351" t="s">
        <v>109</v>
      </c>
      <c r="D671" s="351">
        <v>12</v>
      </c>
      <c r="E671" s="351" t="s">
        <v>12233</v>
      </c>
      <c r="F671" s="352">
        <v>0.2094</v>
      </c>
      <c r="G671" s="353">
        <f t="shared" si="65"/>
        <v>10.304088</v>
      </c>
      <c r="H671" s="353">
        <f t="shared" si="66"/>
        <v>123.649056</v>
      </c>
      <c r="I671" s="354">
        <f t="shared" si="68"/>
        <v>2.4857781845738738E-5</v>
      </c>
      <c r="J671" s="354">
        <f t="shared" si="67"/>
        <v>0.99882058754590253</v>
      </c>
      <c r="K671" s="682">
        <f>'018-21-CAPA'!$F$37</f>
        <v>4974259.4398541162</v>
      </c>
      <c r="L671" s="689">
        <f t="shared" si="69"/>
        <v>7.4505805969238281E-9</v>
      </c>
      <c r="M671" s="228"/>
      <c r="N671" s="93"/>
      <c r="P671" s="95"/>
    </row>
    <row r="672" spans="1:16" s="94" customFormat="1" ht="38.25">
      <c r="A672" s="343">
        <v>89398</v>
      </c>
      <c r="B672" s="147" t="s">
        <v>1861</v>
      </c>
      <c r="C672" s="351" t="s">
        <v>109</v>
      </c>
      <c r="D672" s="351">
        <v>6</v>
      </c>
      <c r="E672" s="351" t="s">
        <v>10321</v>
      </c>
      <c r="F672" s="352">
        <v>0.2094</v>
      </c>
      <c r="G672" s="353">
        <f t="shared" si="65"/>
        <v>20.426766000000001</v>
      </c>
      <c r="H672" s="353">
        <f t="shared" si="66"/>
        <v>122.560596</v>
      </c>
      <c r="I672" s="354">
        <f t="shared" si="68"/>
        <v>2.4638963343575545E-5</v>
      </c>
      <c r="J672" s="354">
        <f t="shared" si="67"/>
        <v>0.99884522650924612</v>
      </c>
      <c r="K672" s="682">
        <f>'018-21-CAPA'!$F$37</f>
        <v>4974259.4398541162</v>
      </c>
      <c r="L672" s="689">
        <f t="shared" si="69"/>
        <v>7.4505805969238281E-9</v>
      </c>
      <c r="M672" s="228"/>
      <c r="N672" s="93"/>
      <c r="P672" s="95"/>
    </row>
    <row r="673" spans="1:16" s="94" customFormat="1" ht="51">
      <c r="A673" s="343">
        <v>91173</v>
      </c>
      <c r="B673" s="147" t="s">
        <v>2428</v>
      </c>
      <c r="C673" s="351" t="s">
        <v>5</v>
      </c>
      <c r="D673" s="351">
        <v>75.52</v>
      </c>
      <c r="E673" s="351" t="s">
        <v>10430</v>
      </c>
      <c r="F673" s="352">
        <v>0.2094</v>
      </c>
      <c r="G673" s="353">
        <f t="shared" si="65"/>
        <v>1.584314</v>
      </c>
      <c r="H673" s="353">
        <f t="shared" si="66"/>
        <v>119.64739327999999</v>
      </c>
      <c r="I673" s="354">
        <f t="shared" si="68"/>
        <v>2.4053307779119209E-5</v>
      </c>
      <c r="J673" s="354">
        <f t="shared" si="67"/>
        <v>0.99886927981702522</v>
      </c>
      <c r="K673" s="682">
        <f>'018-21-CAPA'!$F$37</f>
        <v>4974259.4398541162</v>
      </c>
      <c r="L673" s="689">
        <f t="shared" si="69"/>
        <v>7.4505805969238281E-9</v>
      </c>
      <c r="M673" s="228"/>
      <c r="N673" s="93"/>
      <c r="P673" s="95"/>
    </row>
    <row r="674" spans="1:16" s="94" customFormat="1" ht="38.25">
      <c r="A674" s="343">
        <v>97554</v>
      </c>
      <c r="B674" s="147" t="s">
        <v>13520</v>
      </c>
      <c r="C674" s="351" t="s">
        <v>109</v>
      </c>
      <c r="D674" s="351">
        <v>1</v>
      </c>
      <c r="E674" s="351" t="s">
        <v>23414</v>
      </c>
      <c r="F674" s="352">
        <v>0.2094</v>
      </c>
      <c r="G674" s="353">
        <f t="shared" si="65"/>
        <v>118.37607199999999</v>
      </c>
      <c r="H674" s="353">
        <f t="shared" si="66"/>
        <v>118.37607199999999</v>
      </c>
      <c r="I674" s="354">
        <f t="shared" si="68"/>
        <v>2.3797727768592599E-5</v>
      </c>
      <c r="J674" s="354">
        <f t="shared" si="67"/>
        <v>0.99889307754479384</v>
      </c>
      <c r="K674" s="682">
        <f>'018-21-CAPA'!$F$37</f>
        <v>4974259.4398541162</v>
      </c>
      <c r="L674" s="689">
        <f t="shared" si="69"/>
        <v>7.4505805969238281E-9</v>
      </c>
      <c r="M674" s="228"/>
      <c r="N674" s="93"/>
      <c r="P674" s="95"/>
    </row>
    <row r="675" spans="1:16" s="94" customFormat="1" ht="25.5">
      <c r="A675" s="343" t="s">
        <v>15311</v>
      </c>
      <c r="B675" s="147" t="s">
        <v>17492</v>
      </c>
      <c r="C675" s="351" t="s">
        <v>109</v>
      </c>
      <c r="D675" s="351">
        <v>2</v>
      </c>
      <c r="E675" s="351">
        <v>48.02</v>
      </c>
      <c r="F675" s="352">
        <v>0.2094</v>
      </c>
      <c r="G675" s="353">
        <f t="shared" si="65"/>
        <v>58.075388000000004</v>
      </c>
      <c r="H675" s="353">
        <f t="shared" si="66"/>
        <v>116.15077600000001</v>
      </c>
      <c r="I675" s="354">
        <f t="shared" si="68"/>
        <v>2.3350365497503409E-5</v>
      </c>
      <c r="J675" s="354">
        <f t="shared" si="67"/>
        <v>0.99891642791029134</v>
      </c>
      <c r="K675" s="682">
        <f>'018-21-CAPA'!$F$37</f>
        <v>4974259.4398541162</v>
      </c>
      <c r="L675" s="689">
        <f t="shared" si="69"/>
        <v>7.4505805969238281E-9</v>
      </c>
      <c r="M675" s="228"/>
      <c r="N675" s="93"/>
      <c r="P675" s="95"/>
    </row>
    <row r="676" spans="1:16" s="94" customFormat="1" ht="38.25">
      <c r="A676" s="343">
        <v>89822</v>
      </c>
      <c r="B676" s="147" t="s">
        <v>2178</v>
      </c>
      <c r="C676" s="351" t="s">
        <v>109</v>
      </c>
      <c r="D676" s="351">
        <v>5</v>
      </c>
      <c r="E676" s="351" t="s">
        <v>22386</v>
      </c>
      <c r="F676" s="352">
        <v>0.2094</v>
      </c>
      <c r="G676" s="353">
        <f t="shared" si="65"/>
        <v>23.051164</v>
      </c>
      <c r="H676" s="353">
        <f t="shared" si="66"/>
        <v>115.25582</v>
      </c>
      <c r="I676" s="354">
        <f t="shared" si="68"/>
        <v>2.3170448062391446E-5</v>
      </c>
      <c r="J676" s="354">
        <f t="shared" si="67"/>
        <v>0.99893959835835378</v>
      </c>
      <c r="K676" s="682">
        <f>'018-21-CAPA'!$F$37</f>
        <v>4974259.4398541162</v>
      </c>
      <c r="L676" s="689">
        <f t="shared" si="69"/>
        <v>7.4505805969238281E-9</v>
      </c>
      <c r="M676" s="228"/>
      <c r="N676" s="93"/>
      <c r="P676" s="95"/>
    </row>
    <row r="677" spans="1:16" s="94" customFormat="1" ht="38.25">
      <c r="A677" s="343" t="s">
        <v>9632</v>
      </c>
      <c r="B677" s="147" t="s">
        <v>14645</v>
      </c>
      <c r="C677" s="351" t="s">
        <v>3240</v>
      </c>
      <c r="D677" s="351">
        <v>7</v>
      </c>
      <c r="E677" s="351">
        <v>13.49</v>
      </c>
      <c r="F677" s="352">
        <v>0.2094</v>
      </c>
      <c r="G677" s="353">
        <f t="shared" si="65"/>
        <v>16.314806000000001</v>
      </c>
      <c r="H677" s="353">
        <f t="shared" si="66"/>
        <v>114.203642</v>
      </c>
      <c r="I677" s="354">
        <f t="shared" si="68"/>
        <v>2.295892351030036E-5</v>
      </c>
      <c r="J677" s="354">
        <f t="shared" si="67"/>
        <v>0.99896255728186412</v>
      </c>
      <c r="K677" s="682">
        <f>'018-21-CAPA'!$F$37</f>
        <v>4974259.4398541162</v>
      </c>
      <c r="L677" s="689">
        <f t="shared" si="69"/>
        <v>7.4505805969238281E-9</v>
      </c>
      <c r="M677" s="228"/>
      <c r="N677" s="93"/>
      <c r="P677" s="95"/>
    </row>
    <row r="678" spans="1:16" s="94" customFormat="1" ht="38.25">
      <c r="A678" s="343">
        <v>95879</v>
      </c>
      <c r="B678" s="147" t="s">
        <v>13801</v>
      </c>
      <c r="C678" s="351" t="s">
        <v>2502</v>
      </c>
      <c r="D678" s="351">
        <v>88.299700000000001</v>
      </c>
      <c r="E678" s="351" t="s">
        <v>9828</v>
      </c>
      <c r="F678" s="352">
        <v>0.2094</v>
      </c>
      <c r="G678" s="353">
        <f t="shared" si="65"/>
        <v>1.2335880000000001</v>
      </c>
      <c r="H678" s="353">
        <f t="shared" si="66"/>
        <v>108.92545032360002</v>
      </c>
      <c r="I678" s="354">
        <f t="shared" si="68"/>
        <v>2.1897822508187211E-5</v>
      </c>
      <c r="J678" s="354">
        <f t="shared" si="67"/>
        <v>0.99898445510437228</v>
      </c>
      <c r="K678" s="682"/>
      <c r="L678" s="689"/>
      <c r="M678" s="228"/>
      <c r="N678" s="93"/>
      <c r="P678" s="95"/>
    </row>
    <row r="679" spans="1:16" s="94" customFormat="1" ht="25.5">
      <c r="A679" s="343" t="s">
        <v>14444</v>
      </c>
      <c r="B679" s="147" t="s">
        <v>17184</v>
      </c>
      <c r="C679" s="351" t="s">
        <v>109</v>
      </c>
      <c r="D679" s="351">
        <v>1</v>
      </c>
      <c r="E679" s="351">
        <v>89.74</v>
      </c>
      <c r="F679" s="352">
        <v>0.2094</v>
      </c>
      <c r="G679" s="353">
        <f t="shared" si="65"/>
        <v>108.53155599999999</v>
      </c>
      <c r="H679" s="353">
        <f t="shared" si="66"/>
        <v>108.53155599999999</v>
      </c>
      <c r="I679" s="354">
        <f t="shared" si="68"/>
        <v>2.1818635982361054E-5</v>
      </c>
      <c r="J679" s="354">
        <f t="shared" si="67"/>
        <v>0.99900627374035467</v>
      </c>
      <c r="K679" s="682">
        <f>'018-21-CAPA'!$F$37</f>
        <v>4974259.4398541162</v>
      </c>
      <c r="L679" s="689">
        <f t="shared" ref="L679:L686" si="70">K679-$F$772</f>
        <v>7.4505805969238281E-9</v>
      </c>
      <c r="M679" s="228"/>
      <c r="N679" s="93"/>
      <c r="P679" s="95"/>
    </row>
    <row r="680" spans="1:16" s="94" customFormat="1" ht="38.25">
      <c r="A680" s="343">
        <v>90440</v>
      </c>
      <c r="B680" s="147" t="s">
        <v>2407</v>
      </c>
      <c r="C680" s="351" t="s">
        <v>109</v>
      </c>
      <c r="D680" s="351">
        <v>1</v>
      </c>
      <c r="E680" s="351" t="s">
        <v>23629</v>
      </c>
      <c r="F680" s="352">
        <v>0.2094</v>
      </c>
      <c r="G680" s="353">
        <f t="shared" si="65"/>
        <v>106.77792600000001</v>
      </c>
      <c r="H680" s="353">
        <f t="shared" si="66"/>
        <v>106.77792600000001</v>
      </c>
      <c r="I680" s="354">
        <f t="shared" si="68"/>
        <v>2.1466095062209245E-5</v>
      </c>
      <c r="J680" s="354">
        <f t="shared" si="67"/>
        <v>0.99902773983541693</v>
      </c>
      <c r="K680" s="682">
        <f>'018-21-CAPA'!$F$37</f>
        <v>4974259.4398541162</v>
      </c>
      <c r="L680" s="689">
        <f t="shared" si="70"/>
        <v>7.4505805969238281E-9</v>
      </c>
      <c r="M680" s="228"/>
      <c r="N680" s="93"/>
      <c r="P680" s="95"/>
    </row>
    <row r="681" spans="1:16" s="94" customFormat="1" ht="25.5">
      <c r="A681" s="343" t="s">
        <v>17382</v>
      </c>
      <c r="B681" s="147" t="s">
        <v>17385</v>
      </c>
      <c r="C681" s="351" t="s">
        <v>109</v>
      </c>
      <c r="D681" s="351">
        <v>15</v>
      </c>
      <c r="E681" s="351">
        <v>5.63</v>
      </c>
      <c r="F681" s="352">
        <v>0.2094</v>
      </c>
      <c r="G681" s="353">
        <f t="shared" si="65"/>
        <v>6.8089219999999999</v>
      </c>
      <c r="H681" s="353">
        <f t="shared" si="66"/>
        <v>102.13383</v>
      </c>
      <c r="I681" s="354">
        <f t="shared" si="68"/>
        <v>2.0532469452979619E-5</v>
      </c>
      <c r="J681" s="354">
        <f t="shared" si="67"/>
        <v>0.99904827230486992</v>
      </c>
      <c r="K681" s="682">
        <f>'018-21-CAPA'!$F$37</f>
        <v>4974259.4398541162</v>
      </c>
      <c r="L681" s="689">
        <f t="shared" si="70"/>
        <v>7.4505805969238281E-9</v>
      </c>
      <c r="M681" s="228"/>
      <c r="N681" s="93"/>
      <c r="P681" s="95"/>
    </row>
    <row r="682" spans="1:16" s="94" customFormat="1" ht="38.25">
      <c r="A682" s="343" t="s">
        <v>14410</v>
      </c>
      <c r="B682" s="147" t="s">
        <v>17140</v>
      </c>
      <c r="C682" s="351" t="s">
        <v>109</v>
      </c>
      <c r="D682" s="351">
        <v>4</v>
      </c>
      <c r="E682" s="351">
        <v>20.82</v>
      </c>
      <c r="F682" s="352">
        <v>0.2094</v>
      </c>
      <c r="G682" s="353">
        <f t="shared" si="65"/>
        <v>25.179708000000002</v>
      </c>
      <c r="H682" s="353">
        <f t="shared" si="66"/>
        <v>100.71883200000001</v>
      </c>
      <c r="I682" s="354">
        <f t="shared" si="68"/>
        <v>2.0248005400167469E-5</v>
      </c>
      <c r="J682" s="354">
        <f t="shared" si="67"/>
        <v>0.99906852031027005</v>
      </c>
      <c r="K682" s="682">
        <f>'018-21-CAPA'!$F$37</f>
        <v>4974259.4398541162</v>
      </c>
      <c r="L682" s="689">
        <f t="shared" si="70"/>
        <v>7.4505805969238281E-9</v>
      </c>
      <c r="M682" s="228"/>
      <c r="N682" s="93"/>
      <c r="P682" s="95"/>
    </row>
    <row r="683" spans="1:16" s="94" customFormat="1" ht="38.25">
      <c r="A683" s="343" t="s">
        <v>14401</v>
      </c>
      <c r="B683" s="147" t="s">
        <v>17134</v>
      </c>
      <c r="C683" s="351" t="s">
        <v>109</v>
      </c>
      <c r="D683" s="351">
        <v>4</v>
      </c>
      <c r="E683" s="351">
        <v>20.54</v>
      </c>
      <c r="F683" s="352">
        <v>0.2094</v>
      </c>
      <c r="G683" s="353">
        <f t="shared" si="65"/>
        <v>24.841076000000001</v>
      </c>
      <c r="H683" s="353">
        <f t="shared" si="66"/>
        <v>99.364304000000004</v>
      </c>
      <c r="I683" s="354">
        <f t="shared" si="68"/>
        <v>1.997569793080883E-5</v>
      </c>
      <c r="J683" s="354">
        <f t="shared" si="67"/>
        <v>0.99908849600820082</v>
      </c>
      <c r="K683" s="682">
        <f>'018-21-CAPA'!$F$37</f>
        <v>4974259.4398541162</v>
      </c>
      <c r="L683" s="689">
        <f t="shared" si="70"/>
        <v>7.4505805969238281E-9</v>
      </c>
      <c r="M683" s="228"/>
      <c r="N683" s="93"/>
      <c r="P683" s="95"/>
    </row>
    <row r="684" spans="1:16" s="94" customFormat="1" ht="38.25">
      <c r="A684" s="343">
        <v>86914</v>
      </c>
      <c r="B684" s="147" t="s">
        <v>10709</v>
      </c>
      <c r="C684" s="351" t="s">
        <v>109</v>
      </c>
      <c r="D684" s="351">
        <v>2</v>
      </c>
      <c r="E684" s="351" t="s">
        <v>15880</v>
      </c>
      <c r="F684" s="352">
        <v>0.2094</v>
      </c>
      <c r="G684" s="353">
        <f t="shared" si="65"/>
        <v>49.609588000000002</v>
      </c>
      <c r="H684" s="353">
        <f t="shared" si="66"/>
        <v>99.219176000000004</v>
      </c>
      <c r="I684" s="354">
        <f t="shared" si="68"/>
        <v>1.9946522130520404E-5</v>
      </c>
      <c r="J684" s="354">
        <f t="shared" si="67"/>
        <v>0.99910844253033138</v>
      </c>
      <c r="K684" s="682">
        <f>'018-21-CAPA'!$F$37</f>
        <v>4974259.4398541162</v>
      </c>
      <c r="L684" s="689">
        <f t="shared" si="70"/>
        <v>7.4505805969238281E-9</v>
      </c>
      <c r="M684" s="228"/>
      <c r="N684" s="93"/>
      <c r="P684" s="95"/>
    </row>
    <row r="685" spans="1:16" s="94" customFormat="1" ht="25.5">
      <c r="A685" s="343" t="s">
        <v>18732</v>
      </c>
      <c r="B685" s="147" t="s">
        <v>18726</v>
      </c>
      <c r="C685" s="351" t="s">
        <v>4</v>
      </c>
      <c r="D685" s="351">
        <v>0.62000000000000011</v>
      </c>
      <c r="E685" s="351">
        <v>132.21</v>
      </c>
      <c r="F685" s="352">
        <v>0.2094</v>
      </c>
      <c r="G685" s="353">
        <f t="shared" si="65"/>
        <v>159.89477400000001</v>
      </c>
      <c r="H685" s="353">
        <f t="shared" si="66"/>
        <v>99.134759880000018</v>
      </c>
      <c r="I685" s="354">
        <f t="shared" si="68"/>
        <v>1.9929551540019305E-5</v>
      </c>
      <c r="J685" s="354">
        <f t="shared" si="67"/>
        <v>0.99912837208187144</v>
      </c>
      <c r="K685" s="682">
        <f>'018-21-CAPA'!$F$37</f>
        <v>4974259.4398541162</v>
      </c>
      <c r="L685" s="689">
        <f t="shared" si="70"/>
        <v>7.4505805969238281E-9</v>
      </c>
      <c r="M685" s="228"/>
      <c r="N685" s="93"/>
      <c r="P685" s="95"/>
    </row>
    <row r="686" spans="1:16" s="94" customFormat="1" ht="25.5">
      <c r="A686" s="343">
        <v>97665</v>
      </c>
      <c r="B686" s="147" t="s">
        <v>3760</v>
      </c>
      <c r="C686" s="351" t="s">
        <v>109</v>
      </c>
      <c r="D686" s="351">
        <v>75</v>
      </c>
      <c r="E686" s="351" t="s">
        <v>11364</v>
      </c>
      <c r="F686" s="352">
        <v>0.2094</v>
      </c>
      <c r="G686" s="353">
        <f t="shared" si="65"/>
        <v>1.2940580000000002</v>
      </c>
      <c r="H686" s="353">
        <f t="shared" si="66"/>
        <v>97.054350000000014</v>
      </c>
      <c r="I686" s="354">
        <f t="shared" si="68"/>
        <v>1.951131644288472E-5</v>
      </c>
      <c r="J686" s="354">
        <f t="shared" si="67"/>
        <v>0.99914788339831428</v>
      </c>
      <c r="K686" s="682">
        <f>'018-21-CAPA'!$F$37</f>
        <v>4974259.4398541162</v>
      </c>
      <c r="L686" s="689">
        <f t="shared" si="70"/>
        <v>7.4505805969238281E-9</v>
      </c>
      <c r="M686" s="228"/>
      <c r="N686" s="93"/>
      <c r="P686" s="95"/>
    </row>
    <row r="687" spans="1:16" s="94" customFormat="1" ht="38.25">
      <c r="A687" s="343">
        <v>89678</v>
      </c>
      <c r="B687" s="147" t="s">
        <v>2055</v>
      </c>
      <c r="C687" s="351" t="s">
        <v>109</v>
      </c>
      <c r="D687" s="351">
        <v>9</v>
      </c>
      <c r="E687" s="351" t="s">
        <v>10514</v>
      </c>
      <c r="F687" s="352">
        <v>0.2094</v>
      </c>
      <c r="G687" s="353">
        <f t="shared" si="65"/>
        <v>10.437122</v>
      </c>
      <c r="H687" s="353">
        <f t="shared" si="66"/>
        <v>93.934098000000006</v>
      </c>
      <c r="I687" s="354">
        <f t="shared" si="68"/>
        <v>1.8884036736683564E-5</v>
      </c>
      <c r="J687" s="354">
        <f t="shared" si="67"/>
        <v>0.99916676743505095</v>
      </c>
      <c r="K687" s="682">
        <f>'018-21-CAPA'!$F$37</f>
        <v>4974259.4398541162</v>
      </c>
      <c r="L687" s="689">
        <f t="shared" si="69"/>
        <v>7.4505805969238281E-9</v>
      </c>
      <c r="M687" s="228"/>
      <c r="N687" s="93"/>
      <c r="P687" s="95"/>
    </row>
    <row r="688" spans="1:16" s="94" customFormat="1" ht="51">
      <c r="A688" s="343">
        <v>91853</v>
      </c>
      <c r="B688" s="147" t="s">
        <v>4112</v>
      </c>
      <c r="C688" s="351" t="s">
        <v>5</v>
      </c>
      <c r="D688" s="351">
        <v>9.5299999999999994</v>
      </c>
      <c r="E688" s="351" t="s">
        <v>9818</v>
      </c>
      <c r="F688" s="352">
        <v>0.2094</v>
      </c>
      <c r="G688" s="353">
        <f t="shared" si="65"/>
        <v>9.6752000000000002</v>
      </c>
      <c r="H688" s="353">
        <f t="shared" si="66"/>
        <v>92.204656</v>
      </c>
      <c r="I688" s="354">
        <f t="shared" si="68"/>
        <v>1.8536358449913157E-5</v>
      </c>
      <c r="J688" s="354">
        <f t="shared" si="67"/>
        <v>0.9991853037935009</v>
      </c>
      <c r="K688" s="682">
        <f>'018-21-CAPA'!$F$37</f>
        <v>4974259.4398541162</v>
      </c>
      <c r="L688" s="689">
        <f t="shared" si="69"/>
        <v>7.4505805969238281E-9</v>
      </c>
      <c r="M688" s="228"/>
      <c r="N688" s="93"/>
      <c r="P688" s="95"/>
    </row>
    <row r="689" spans="1:16" s="94" customFormat="1" ht="25.5">
      <c r="A689" s="343" t="s">
        <v>14431</v>
      </c>
      <c r="B689" s="147" t="s">
        <v>17183</v>
      </c>
      <c r="C689" s="351" t="s">
        <v>109</v>
      </c>
      <c r="D689" s="351">
        <v>1</v>
      </c>
      <c r="E689" s="351">
        <v>72.659999999999982</v>
      </c>
      <c r="F689" s="352">
        <v>0.2094</v>
      </c>
      <c r="G689" s="353">
        <f t="shared" si="65"/>
        <v>87.875003999999976</v>
      </c>
      <c r="H689" s="353">
        <f t="shared" si="66"/>
        <v>87.875003999999976</v>
      </c>
      <c r="I689" s="354">
        <f t="shared" si="68"/>
        <v>1.7665947074641785E-5</v>
      </c>
      <c r="J689" s="354">
        <f t="shared" si="67"/>
        <v>0.99920296974057554</v>
      </c>
      <c r="K689" s="682">
        <f>'018-21-CAPA'!$F$37</f>
        <v>4974259.4398541162</v>
      </c>
      <c r="L689" s="689">
        <f t="shared" si="69"/>
        <v>7.4505805969238281E-9</v>
      </c>
      <c r="M689" s="228"/>
      <c r="N689" s="93"/>
      <c r="P689" s="95"/>
    </row>
    <row r="690" spans="1:16" s="94" customFormat="1" ht="63.75">
      <c r="A690" s="343" t="s">
        <v>14414</v>
      </c>
      <c r="B690" s="147" t="s">
        <v>14546</v>
      </c>
      <c r="C690" s="351" t="s">
        <v>109</v>
      </c>
      <c r="D690" s="351">
        <v>1</v>
      </c>
      <c r="E690" s="351">
        <v>70.509999999999991</v>
      </c>
      <c r="F690" s="352">
        <v>0.2094</v>
      </c>
      <c r="G690" s="353">
        <f t="shared" si="65"/>
        <v>85.274793999999986</v>
      </c>
      <c r="H690" s="353">
        <f t="shared" si="66"/>
        <v>85.274793999999986</v>
      </c>
      <c r="I690" s="354">
        <f t="shared" si="68"/>
        <v>1.7143213986140827E-5</v>
      </c>
      <c r="J690" s="354">
        <f t="shared" si="67"/>
        <v>0.9992201129545617</v>
      </c>
      <c r="K690" s="682">
        <f>'018-21-CAPA'!$F$37</f>
        <v>4974259.4398541162</v>
      </c>
      <c r="L690" s="689">
        <f t="shared" si="69"/>
        <v>7.4505805969238281E-9</v>
      </c>
      <c r="M690" s="228"/>
      <c r="N690" s="93"/>
      <c r="P690" s="95"/>
    </row>
    <row r="691" spans="1:16" s="94" customFormat="1" ht="25.5">
      <c r="A691" s="343" t="s">
        <v>16900</v>
      </c>
      <c r="B691" s="147" t="s">
        <v>15049</v>
      </c>
      <c r="C691" s="351" t="s">
        <v>5</v>
      </c>
      <c r="D691" s="351">
        <v>80.86</v>
      </c>
      <c r="E691" s="351">
        <v>0.86</v>
      </c>
      <c r="F691" s="352">
        <v>0.2094</v>
      </c>
      <c r="G691" s="353">
        <f t="shared" si="65"/>
        <v>1.040084</v>
      </c>
      <c r="H691" s="353">
        <f t="shared" si="66"/>
        <v>84.101192240000003</v>
      </c>
      <c r="I691" s="354">
        <f t="shared" si="68"/>
        <v>1.6907279014475094E-5</v>
      </c>
      <c r="J691" s="354">
        <f t="shared" si="67"/>
        <v>0.99923702023357619</v>
      </c>
      <c r="K691" s="682">
        <f>'018-21-CAPA'!$F$37</f>
        <v>4974259.4398541162</v>
      </c>
      <c r="L691" s="689">
        <f t="shared" si="69"/>
        <v>7.4505805969238281E-9</v>
      </c>
      <c r="M691" s="228"/>
      <c r="N691" s="93"/>
      <c r="P691" s="95"/>
    </row>
    <row r="692" spans="1:16" s="94" customFormat="1" ht="51">
      <c r="A692" s="343">
        <v>97462</v>
      </c>
      <c r="B692" s="147" t="s">
        <v>13448</v>
      </c>
      <c r="C692" s="351" t="s">
        <v>109</v>
      </c>
      <c r="D692" s="351">
        <v>3</v>
      </c>
      <c r="E692" s="351" t="s">
        <v>12451</v>
      </c>
      <c r="F692" s="352">
        <v>0.2094</v>
      </c>
      <c r="G692" s="353">
        <f t="shared" si="65"/>
        <v>27.646884</v>
      </c>
      <c r="H692" s="353">
        <f t="shared" si="66"/>
        <v>82.940652</v>
      </c>
      <c r="I692" s="354">
        <f t="shared" si="68"/>
        <v>1.6673969864835315E-5</v>
      </c>
      <c r="J692" s="354">
        <f t="shared" si="67"/>
        <v>0.99925369420344101</v>
      </c>
      <c r="K692" s="682">
        <f>'018-21-CAPA'!$F$37</f>
        <v>4974259.4398541162</v>
      </c>
      <c r="L692" s="689">
        <f t="shared" si="69"/>
        <v>7.4505805969238281E-9</v>
      </c>
      <c r="M692" s="228"/>
      <c r="N692" s="93"/>
      <c r="P692" s="95"/>
    </row>
    <row r="693" spans="1:16" s="94" customFormat="1" ht="63.75">
      <c r="A693" s="343" t="s">
        <v>15146</v>
      </c>
      <c r="B693" s="147" t="s">
        <v>15118</v>
      </c>
      <c r="C693" s="351" t="s">
        <v>109</v>
      </c>
      <c r="D693" s="351">
        <v>2</v>
      </c>
      <c r="E693" s="351">
        <v>34.21</v>
      </c>
      <c r="F693" s="352">
        <v>0.2094</v>
      </c>
      <c r="G693" s="353">
        <f t="shared" si="65"/>
        <v>41.373574000000005</v>
      </c>
      <c r="H693" s="353">
        <f t="shared" si="66"/>
        <v>82.74714800000001</v>
      </c>
      <c r="I693" s="354">
        <f t="shared" si="68"/>
        <v>1.6635068797784082E-5</v>
      </c>
      <c r="J693" s="354">
        <f t="shared" si="67"/>
        <v>0.9992703292722388</v>
      </c>
      <c r="K693" s="682">
        <f>'018-21-CAPA'!$F$37</f>
        <v>4974259.4398541162</v>
      </c>
      <c r="L693" s="689">
        <f t="shared" si="69"/>
        <v>7.4505805969238281E-9</v>
      </c>
      <c r="M693" s="228"/>
      <c r="N693" s="93"/>
      <c r="P693" s="95"/>
    </row>
    <row r="694" spans="1:16" s="94" customFormat="1" ht="63.75">
      <c r="A694" s="343" t="s">
        <v>15147</v>
      </c>
      <c r="B694" s="147" t="s">
        <v>15119</v>
      </c>
      <c r="C694" s="351" t="s">
        <v>109</v>
      </c>
      <c r="D694" s="351">
        <v>2</v>
      </c>
      <c r="E694" s="351">
        <v>34.21</v>
      </c>
      <c r="F694" s="352">
        <v>0.2094</v>
      </c>
      <c r="G694" s="353">
        <f t="shared" si="65"/>
        <v>41.373574000000005</v>
      </c>
      <c r="H694" s="353">
        <f t="shared" si="66"/>
        <v>82.74714800000001</v>
      </c>
      <c r="I694" s="354">
        <f t="shared" si="68"/>
        <v>1.6635068797784082E-5</v>
      </c>
      <c r="J694" s="354">
        <f t="shared" si="67"/>
        <v>0.99928696434103659</v>
      </c>
      <c r="K694" s="682">
        <f>'018-21-CAPA'!$F$37</f>
        <v>4974259.4398541162</v>
      </c>
      <c r="L694" s="689">
        <f t="shared" si="69"/>
        <v>7.4505805969238281E-9</v>
      </c>
      <c r="M694" s="228"/>
      <c r="N694" s="93"/>
      <c r="P694" s="95"/>
    </row>
    <row r="695" spans="1:16" s="94" customFormat="1" ht="63.75">
      <c r="A695" s="343" t="s">
        <v>15148</v>
      </c>
      <c r="B695" s="147" t="s">
        <v>15125</v>
      </c>
      <c r="C695" s="351" t="s">
        <v>109</v>
      </c>
      <c r="D695" s="351">
        <v>2</v>
      </c>
      <c r="E695" s="351">
        <v>34.21</v>
      </c>
      <c r="F695" s="352">
        <v>0.2094</v>
      </c>
      <c r="G695" s="353">
        <f t="shared" si="65"/>
        <v>41.373574000000005</v>
      </c>
      <c r="H695" s="353">
        <f t="shared" si="66"/>
        <v>82.74714800000001</v>
      </c>
      <c r="I695" s="354">
        <f t="shared" si="68"/>
        <v>1.6635068797784082E-5</v>
      </c>
      <c r="J695" s="354">
        <f t="shared" si="67"/>
        <v>0.99930359940983438</v>
      </c>
      <c r="K695" s="682">
        <f>'018-21-CAPA'!$F$37</f>
        <v>4974259.4398541162</v>
      </c>
      <c r="L695" s="689">
        <f t="shared" si="69"/>
        <v>7.4505805969238281E-9</v>
      </c>
      <c r="M695" s="228"/>
      <c r="N695" s="93"/>
      <c r="P695" s="95"/>
    </row>
    <row r="696" spans="1:16" s="94" customFormat="1" ht="63.75">
      <c r="A696" s="343">
        <v>94709</v>
      </c>
      <c r="B696" s="147" t="s">
        <v>2294</v>
      </c>
      <c r="C696" s="351" t="s">
        <v>109</v>
      </c>
      <c r="D696" s="351">
        <v>2</v>
      </c>
      <c r="E696" s="351" t="s">
        <v>11549</v>
      </c>
      <c r="F696" s="352">
        <v>0.2094</v>
      </c>
      <c r="G696" s="353">
        <f t="shared" si="65"/>
        <v>39.293406000000004</v>
      </c>
      <c r="H696" s="353">
        <f t="shared" si="66"/>
        <v>78.586812000000009</v>
      </c>
      <c r="I696" s="354">
        <f t="shared" si="68"/>
        <v>1.5798695856182544E-5</v>
      </c>
      <c r="J696" s="354">
        <f t="shared" si="67"/>
        <v>0.99931939810569059</v>
      </c>
      <c r="K696" s="682">
        <f>'018-21-CAPA'!$F$37</f>
        <v>4974259.4398541162</v>
      </c>
      <c r="L696" s="689">
        <f t="shared" si="69"/>
        <v>7.4505805969238281E-9</v>
      </c>
      <c r="M696" s="228"/>
      <c r="N696" s="93"/>
      <c r="P696" s="95"/>
    </row>
    <row r="697" spans="1:16" s="94" customFormat="1" ht="38.25">
      <c r="A697" s="343">
        <v>89448</v>
      </c>
      <c r="B697" s="147" t="s">
        <v>243</v>
      </c>
      <c r="C697" s="351" t="s">
        <v>5</v>
      </c>
      <c r="D697" s="351">
        <v>4.1900000000000004</v>
      </c>
      <c r="E697" s="351" t="s">
        <v>22905</v>
      </c>
      <c r="F697" s="352">
        <v>0.2094</v>
      </c>
      <c r="G697" s="353">
        <f t="shared" si="65"/>
        <v>18.189375999999999</v>
      </c>
      <c r="H697" s="353">
        <f t="shared" si="66"/>
        <v>76.213485439999999</v>
      </c>
      <c r="I697" s="354">
        <f t="shared" si="68"/>
        <v>1.5321574268799151E-5</v>
      </c>
      <c r="J697" s="354">
        <f t="shared" si="67"/>
        <v>0.99933471967995935</v>
      </c>
      <c r="K697" s="682">
        <f>'018-21-CAPA'!$F$37</f>
        <v>4974259.4398541162</v>
      </c>
      <c r="L697" s="689">
        <f t="shared" si="69"/>
        <v>7.4505805969238281E-9</v>
      </c>
      <c r="M697" s="228"/>
      <c r="N697" s="93"/>
      <c r="P697" s="95"/>
    </row>
    <row r="698" spans="1:16" s="94" customFormat="1" ht="38.25">
      <c r="A698" s="343" t="s">
        <v>18666</v>
      </c>
      <c r="B698" s="147" t="s">
        <v>18667</v>
      </c>
      <c r="C698" s="351" t="s">
        <v>109</v>
      </c>
      <c r="D698" s="351">
        <v>2</v>
      </c>
      <c r="E698" s="351">
        <v>31.39</v>
      </c>
      <c r="F698" s="352">
        <v>0.2094</v>
      </c>
      <c r="G698" s="353">
        <f t="shared" si="65"/>
        <v>37.963066000000005</v>
      </c>
      <c r="H698" s="353">
        <f t="shared" si="66"/>
        <v>75.92613200000001</v>
      </c>
      <c r="I698" s="354">
        <f t="shared" si="68"/>
        <v>1.5263806184228071E-5</v>
      </c>
      <c r="J698" s="354">
        <f t="shared" si="67"/>
        <v>0.99934998348614357</v>
      </c>
      <c r="K698" s="682">
        <f>'018-21-CAPA'!$F$37</f>
        <v>4974259.4398541162</v>
      </c>
      <c r="L698" s="689">
        <f t="shared" si="69"/>
        <v>7.4505805969238281E-9</v>
      </c>
      <c r="M698" s="228"/>
      <c r="N698" s="93"/>
      <c r="P698" s="95"/>
    </row>
    <row r="699" spans="1:16" s="94" customFormat="1" ht="38.25">
      <c r="A699" s="343" t="s">
        <v>18669</v>
      </c>
      <c r="B699" s="147" t="s">
        <v>18670</v>
      </c>
      <c r="C699" s="351" t="s">
        <v>109</v>
      </c>
      <c r="D699" s="351">
        <v>2</v>
      </c>
      <c r="E699" s="351">
        <v>31.38</v>
      </c>
      <c r="F699" s="352">
        <v>0.2094</v>
      </c>
      <c r="G699" s="353">
        <f t="shared" si="65"/>
        <v>37.950972</v>
      </c>
      <c r="H699" s="353">
        <f t="shared" si="66"/>
        <v>75.901944</v>
      </c>
      <c r="I699" s="354">
        <f t="shared" si="68"/>
        <v>1.5258943550846666E-5</v>
      </c>
      <c r="J699" s="354">
        <f t="shared" si="67"/>
        <v>0.99936524242969438</v>
      </c>
      <c r="K699" s="682">
        <f>'018-21-CAPA'!$F$37</f>
        <v>4974259.4398541162</v>
      </c>
      <c r="L699" s="689">
        <f t="shared" si="69"/>
        <v>7.4505805969238281E-9</v>
      </c>
      <c r="M699" s="228"/>
      <c r="N699" s="93"/>
      <c r="P699" s="95"/>
    </row>
    <row r="700" spans="1:16" s="94" customFormat="1" ht="51">
      <c r="A700" s="343">
        <v>91844</v>
      </c>
      <c r="B700" s="147" t="s">
        <v>1517</v>
      </c>
      <c r="C700" s="351" t="s">
        <v>5</v>
      </c>
      <c r="D700" s="351">
        <v>10.1</v>
      </c>
      <c r="E700" s="351" t="s">
        <v>9800</v>
      </c>
      <c r="F700" s="352">
        <v>0.2094</v>
      </c>
      <c r="G700" s="353">
        <f t="shared" si="65"/>
        <v>7.4136220000000002</v>
      </c>
      <c r="H700" s="353">
        <f t="shared" si="66"/>
        <v>74.877582199999992</v>
      </c>
      <c r="I700" s="354">
        <f t="shared" si="68"/>
        <v>1.5053011027144192E-5</v>
      </c>
      <c r="J700" s="354">
        <f t="shared" si="67"/>
        <v>0.99938029544072149</v>
      </c>
      <c r="K700" s="682">
        <f>'018-21-CAPA'!$F$37</f>
        <v>4974259.4398541162</v>
      </c>
      <c r="L700" s="689">
        <f t="shared" si="69"/>
        <v>7.4505805969238281E-9</v>
      </c>
      <c r="M700" s="228"/>
      <c r="N700" s="93"/>
      <c r="P700" s="95"/>
    </row>
    <row r="701" spans="1:16" s="94" customFormat="1" ht="51">
      <c r="A701" s="343" t="s">
        <v>15108</v>
      </c>
      <c r="B701" s="147" t="s">
        <v>15066</v>
      </c>
      <c r="C701" s="351" t="s">
        <v>3243</v>
      </c>
      <c r="D701" s="351">
        <v>1.2</v>
      </c>
      <c r="E701" s="351">
        <v>50.68</v>
      </c>
      <c r="F701" s="352">
        <v>0.2094</v>
      </c>
      <c r="G701" s="353">
        <f t="shared" si="65"/>
        <v>61.292392</v>
      </c>
      <c r="H701" s="353">
        <f t="shared" si="66"/>
        <v>73.550870399999994</v>
      </c>
      <c r="I701" s="354">
        <f t="shared" si="68"/>
        <v>1.4786295586174168E-5</v>
      </c>
      <c r="J701" s="354">
        <f t="shared" si="67"/>
        <v>0.99939508173630764</v>
      </c>
      <c r="K701" s="682">
        <f>'018-21-CAPA'!$F$37</f>
        <v>4974259.4398541162</v>
      </c>
      <c r="L701" s="689">
        <f t="shared" si="69"/>
        <v>7.4505805969238281E-9</v>
      </c>
      <c r="M701" s="228"/>
      <c r="N701" s="93"/>
      <c r="P701" s="95"/>
    </row>
    <row r="702" spans="1:16" s="94" customFormat="1" ht="38.25">
      <c r="A702" s="343">
        <v>91942</v>
      </c>
      <c r="B702" s="147" t="s">
        <v>1638</v>
      </c>
      <c r="C702" s="351" t="s">
        <v>109</v>
      </c>
      <c r="D702" s="351">
        <v>2</v>
      </c>
      <c r="E702" s="351" t="s">
        <v>22599</v>
      </c>
      <c r="F702" s="352">
        <v>0.2094</v>
      </c>
      <c r="G702" s="353">
        <f t="shared" si="65"/>
        <v>36.620632000000001</v>
      </c>
      <c r="H702" s="353">
        <f t="shared" si="66"/>
        <v>73.241264000000001</v>
      </c>
      <c r="I702" s="354">
        <f t="shared" si="68"/>
        <v>1.4724053878892194E-5</v>
      </c>
      <c r="J702" s="354">
        <f t="shared" si="67"/>
        <v>0.99940980579018657</v>
      </c>
      <c r="K702" s="682">
        <f>'018-21-CAPA'!$F$37</f>
        <v>4974259.4398541162</v>
      </c>
      <c r="L702" s="689">
        <f t="shared" si="69"/>
        <v>7.4505805969238281E-9</v>
      </c>
      <c r="M702" s="228"/>
      <c r="N702" s="93"/>
      <c r="P702" s="95"/>
    </row>
    <row r="703" spans="1:16" s="94" customFormat="1" ht="51">
      <c r="A703" s="343">
        <v>92918</v>
      </c>
      <c r="B703" s="147" t="s">
        <v>13388</v>
      </c>
      <c r="C703" s="351" t="s">
        <v>109</v>
      </c>
      <c r="D703" s="351">
        <v>2</v>
      </c>
      <c r="E703" s="351" t="s">
        <v>10118</v>
      </c>
      <c r="F703" s="352">
        <v>0.2094</v>
      </c>
      <c r="G703" s="353">
        <f t="shared" si="65"/>
        <v>35.641018000000003</v>
      </c>
      <c r="H703" s="353">
        <f t="shared" si="66"/>
        <v>71.282036000000005</v>
      </c>
      <c r="I703" s="354">
        <f t="shared" si="68"/>
        <v>1.4330180574998447E-5</v>
      </c>
      <c r="J703" s="354">
        <f t="shared" si="67"/>
        <v>0.99942413597076152</v>
      </c>
      <c r="K703" s="682">
        <f>'018-21-CAPA'!$F$37</f>
        <v>4974259.4398541162</v>
      </c>
      <c r="L703" s="689">
        <f t="shared" si="69"/>
        <v>7.4505805969238281E-9</v>
      </c>
      <c r="M703" s="228"/>
      <c r="N703" s="93"/>
      <c r="P703" s="95"/>
    </row>
    <row r="704" spans="1:16" s="94" customFormat="1" ht="38.25">
      <c r="A704" s="343" t="s">
        <v>14662</v>
      </c>
      <c r="B704" s="147" t="s">
        <v>17327</v>
      </c>
      <c r="C704" s="351" t="s">
        <v>3240</v>
      </c>
      <c r="D704" s="351">
        <v>3</v>
      </c>
      <c r="E704" s="351">
        <v>19.45</v>
      </c>
      <c r="F704" s="352">
        <v>0.2094</v>
      </c>
      <c r="G704" s="353">
        <f t="shared" si="65"/>
        <v>23.522829999999999</v>
      </c>
      <c r="H704" s="353">
        <f t="shared" si="66"/>
        <v>70.568489999999997</v>
      </c>
      <c r="I704" s="354">
        <f t="shared" si="68"/>
        <v>1.4186732890247018E-5</v>
      </c>
      <c r="J704" s="354">
        <f t="shared" si="67"/>
        <v>0.99943832270365174</v>
      </c>
      <c r="K704" s="682">
        <f>'018-21-CAPA'!$F$37</f>
        <v>4974259.4398541162</v>
      </c>
      <c r="L704" s="689">
        <f t="shared" si="69"/>
        <v>7.4505805969238281E-9</v>
      </c>
      <c r="M704" s="228"/>
      <c r="N704" s="93"/>
      <c r="P704" s="95"/>
    </row>
    <row r="705" spans="1:16" s="94" customFormat="1" ht="38.25">
      <c r="A705" s="343" t="s">
        <v>9623</v>
      </c>
      <c r="B705" s="147" t="s">
        <v>14643</v>
      </c>
      <c r="C705" s="351" t="s">
        <v>3240</v>
      </c>
      <c r="D705" s="351">
        <v>2</v>
      </c>
      <c r="E705" s="351">
        <v>29.03</v>
      </c>
      <c r="F705" s="352">
        <v>0.2094</v>
      </c>
      <c r="G705" s="353">
        <f t="shared" si="65"/>
        <v>35.108882000000001</v>
      </c>
      <c r="H705" s="353">
        <f t="shared" si="66"/>
        <v>70.217764000000003</v>
      </c>
      <c r="I705" s="354">
        <f t="shared" si="68"/>
        <v>1.4116224706216658E-5</v>
      </c>
      <c r="J705" s="354">
        <f t="shared" si="67"/>
        <v>0.999452438928358</v>
      </c>
      <c r="K705" s="682">
        <f>'018-21-CAPA'!$F$37</f>
        <v>4974259.4398541162</v>
      </c>
      <c r="L705" s="689">
        <f t="shared" si="69"/>
        <v>7.4505805969238281E-9</v>
      </c>
      <c r="M705" s="228"/>
      <c r="N705" s="93"/>
      <c r="P705" s="95"/>
    </row>
    <row r="706" spans="1:16" s="94" customFormat="1" ht="38.25">
      <c r="A706" s="343" t="s">
        <v>11606</v>
      </c>
      <c r="B706" s="147" t="s">
        <v>16998</v>
      </c>
      <c r="C706" s="351" t="s">
        <v>109</v>
      </c>
      <c r="D706" s="351">
        <v>5</v>
      </c>
      <c r="E706" s="351">
        <v>11.55</v>
      </c>
      <c r="F706" s="352">
        <v>0.2094</v>
      </c>
      <c r="G706" s="353">
        <f t="shared" si="65"/>
        <v>13.968570000000001</v>
      </c>
      <c r="H706" s="353">
        <f t="shared" si="66"/>
        <v>69.842850000000013</v>
      </c>
      <c r="I706" s="354">
        <f t="shared" si="68"/>
        <v>1.4040853888804893E-5</v>
      </c>
      <c r="J706" s="354">
        <f t="shared" si="67"/>
        <v>0.99946647978224679</v>
      </c>
      <c r="K706" s="682">
        <f>'018-21-CAPA'!$F$37</f>
        <v>4974259.4398541162</v>
      </c>
      <c r="L706" s="689">
        <f t="shared" si="69"/>
        <v>7.4505805969238281E-9</v>
      </c>
      <c r="M706" s="228"/>
      <c r="N706" s="93"/>
      <c r="P706" s="95"/>
    </row>
    <row r="707" spans="1:16" s="94" customFormat="1" ht="25.5">
      <c r="A707" s="343" t="s">
        <v>16960</v>
      </c>
      <c r="B707" s="147" t="s">
        <v>16961</v>
      </c>
      <c r="C707" s="351" t="s">
        <v>109</v>
      </c>
      <c r="D707" s="351">
        <v>1</v>
      </c>
      <c r="E707" s="351">
        <v>57.45</v>
      </c>
      <c r="F707" s="352">
        <v>0.2094</v>
      </c>
      <c r="G707" s="353">
        <f t="shared" si="65"/>
        <v>69.480029999999999</v>
      </c>
      <c r="H707" s="353">
        <f t="shared" si="66"/>
        <v>69.480029999999999</v>
      </c>
      <c r="I707" s="354">
        <f t="shared" si="68"/>
        <v>1.3967914388083826E-5</v>
      </c>
      <c r="J707" s="354">
        <f t="shared" si="67"/>
        <v>0.99948044769663491</v>
      </c>
      <c r="K707" s="682">
        <f>'018-21-CAPA'!$F$37</f>
        <v>4974259.4398541162</v>
      </c>
      <c r="L707" s="689">
        <f t="shared" si="69"/>
        <v>7.4505805969238281E-9</v>
      </c>
      <c r="M707" s="228"/>
      <c r="N707" s="93"/>
      <c r="P707" s="95"/>
    </row>
    <row r="708" spans="1:16" s="94" customFormat="1" ht="25.5">
      <c r="A708" s="343" t="s">
        <v>14696</v>
      </c>
      <c r="B708" s="147" t="s">
        <v>18531</v>
      </c>
      <c r="C708" s="351" t="s">
        <v>3240</v>
      </c>
      <c r="D708" s="351">
        <v>5</v>
      </c>
      <c r="E708" s="351">
        <v>11.45</v>
      </c>
      <c r="F708" s="352">
        <v>0.2094</v>
      </c>
      <c r="G708" s="353">
        <f t="shared" si="65"/>
        <v>13.847629999999999</v>
      </c>
      <c r="H708" s="353">
        <f t="shared" si="66"/>
        <v>69.23814999999999</v>
      </c>
      <c r="I708" s="354">
        <f t="shared" si="68"/>
        <v>1.3919288054269782E-5</v>
      </c>
      <c r="J708" s="354">
        <f t="shared" si="67"/>
        <v>0.99949436698468919</v>
      </c>
      <c r="K708" s="682">
        <f>'018-21-CAPA'!$F$37</f>
        <v>4974259.4398541162</v>
      </c>
      <c r="L708" s="689">
        <f t="shared" si="69"/>
        <v>7.4505805969238281E-9</v>
      </c>
      <c r="M708" s="228"/>
      <c r="N708" s="93"/>
      <c r="P708" s="95"/>
    </row>
    <row r="709" spans="1:16" s="94" customFormat="1" ht="38.25">
      <c r="A709" s="343">
        <v>97660</v>
      </c>
      <c r="B709" s="147" t="s">
        <v>3755</v>
      </c>
      <c r="C709" s="351" t="s">
        <v>109</v>
      </c>
      <c r="D709" s="351">
        <v>100</v>
      </c>
      <c r="E709" s="351" t="s">
        <v>9854</v>
      </c>
      <c r="F709" s="352">
        <v>0.2094</v>
      </c>
      <c r="G709" s="353">
        <f t="shared" si="65"/>
        <v>0.6530760000000001</v>
      </c>
      <c r="H709" s="353">
        <f t="shared" si="66"/>
        <v>65.307600000000008</v>
      </c>
      <c r="I709" s="354">
        <f t="shared" si="68"/>
        <v>1.3129110129791587E-5</v>
      </c>
      <c r="J709" s="354">
        <f t="shared" si="67"/>
        <v>0.99950749609481893</v>
      </c>
      <c r="K709" s="682">
        <f>'018-21-CAPA'!$F$37</f>
        <v>4974259.4398541162</v>
      </c>
      <c r="L709" s="689">
        <f t="shared" si="69"/>
        <v>7.4505805969238281E-9</v>
      </c>
      <c r="M709" s="228"/>
      <c r="N709" s="93"/>
      <c r="P709" s="95"/>
    </row>
    <row r="710" spans="1:16" s="94" customFormat="1" ht="51">
      <c r="A710" s="343" t="s">
        <v>9022</v>
      </c>
      <c r="B710" s="147" t="s">
        <v>16984</v>
      </c>
      <c r="C710" s="351" t="s">
        <v>109</v>
      </c>
      <c r="D710" s="351">
        <v>1</v>
      </c>
      <c r="E710" s="351">
        <v>53.910000000000004</v>
      </c>
      <c r="F710" s="352">
        <v>0.2094</v>
      </c>
      <c r="G710" s="353">
        <f t="shared" si="65"/>
        <v>65.198754000000008</v>
      </c>
      <c r="H710" s="353">
        <f t="shared" si="66"/>
        <v>65.198754000000008</v>
      </c>
      <c r="I710" s="354">
        <f t="shared" si="68"/>
        <v>1.3107228279575268E-5</v>
      </c>
      <c r="J710" s="354">
        <f t="shared" si="67"/>
        <v>0.99952060332309856</v>
      </c>
      <c r="K710" s="682">
        <f>'018-21-CAPA'!$F$37</f>
        <v>4974259.4398541162</v>
      </c>
      <c r="L710" s="689">
        <f t="shared" si="69"/>
        <v>7.4505805969238281E-9</v>
      </c>
      <c r="M710" s="228"/>
      <c r="N710" s="93"/>
      <c r="P710" s="95"/>
    </row>
    <row r="711" spans="1:16" s="94" customFormat="1" ht="51">
      <c r="A711" s="343" t="s">
        <v>9021</v>
      </c>
      <c r="B711" s="147" t="s">
        <v>18377</v>
      </c>
      <c r="C711" s="351" t="s">
        <v>109</v>
      </c>
      <c r="D711" s="351">
        <v>1</v>
      </c>
      <c r="E711" s="351">
        <v>53.910000000000004</v>
      </c>
      <c r="F711" s="352">
        <v>0.2094</v>
      </c>
      <c r="G711" s="353">
        <f t="shared" si="65"/>
        <v>65.198754000000008</v>
      </c>
      <c r="H711" s="353">
        <f t="shared" si="66"/>
        <v>65.198754000000008</v>
      </c>
      <c r="I711" s="354">
        <f t="shared" si="68"/>
        <v>1.3107228279575268E-5</v>
      </c>
      <c r="J711" s="354">
        <f t="shared" si="67"/>
        <v>0.99953371055137819</v>
      </c>
      <c r="K711" s="682">
        <f>'018-21-CAPA'!$F$37</f>
        <v>4974259.4398541162</v>
      </c>
      <c r="L711" s="689">
        <f t="shared" ref="L711:L742" si="71">K711-$F$772</f>
        <v>7.4505805969238281E-9</v>
      </c>
      <c r="M711" s="228"/>
      <c r="N711" s="93"/>
      <c r="P711" s="95"/>
    </row>
    <row r="712" spans="1:16" s="94" customFormat="1" ht="51">
      <c r="A712" s="343">
        <v>92933</v>
      </c>
      <c r="B712" s="147" t="s">
        <v>13398</v>
      </c>
      <c r="C712" s="351" t="s">
        <v>109</v>
      </c>
      <c r="D712" s="351">
        <v>1</v>
      </c>
      <c r="E712" s="351" t="s">
        <v>16384</v>
      </c>
      <c r="F712" s="352">
        <v>0.2094</v>
      </c>
      <c r="G712" s="353">
        <f t="shared" si="65"/>
        <v>64.400549999999996</v>
      </c>
      <c r="H712" s="353">
        <f t="shared" si="66"/>
        <v>64.400549999999996</v>
      </c>
      <c r="I712" s="354">
        <f t="shared" si="68"/>
        <v>1.2946761377988925E-5</v>
      </c>
      <c r="J712" s="354">
        <f t="shared" si="67"/>
        <v>0.99954665731275616</v>
      </c>
      <c r="K712" s="682">
        <f>'018-21-CAPA'!$F$37</f>
        <v>4974259.4398541162</v>
      </c>
      <c r="L712" s="689">
        <f t="shared" si="71"/>
        <v>7.4505805969238281E-9</v>
      </c>
      <c r="M712" s="228"/>
      <c r="N712" s="93"/>
      <c r="P712" s="95"/>
    </row>
    <row r="713" spans="1:16" s="94" customFormat="1" ht="51">
      <c r="A713" s="343">
        <v>91172</v>
      </c>
      <c r="B713" s="147" t="s">
        <v>2427</v>
      </c>
      <c r="C713" s="351" t="s">
        <v>5</v>
      </c>
      <c r="D713" s="351">
        <v>11.14</v>
      </c>
      <c r="E713" s="351" t="s">
        <v>15843</v>
      </c>
      <c r="F713" s="352">
        <v>0.2094</v>
      </c>
      <c r="G713" s="353">
        <f t="shared" si="65"/>
        <v>5.7688379999999997</v>
      </c>
      <c r="H713" s="353">
        <f t="shared" si="66"/>
        <v>64.264855319999995</v>
      </c>
      <c r="I713" s="354">
        <f t="shared" si="68"/>
        <v>1.2919482004719245E-5</v>
      </c>
      <c r="J713" s="354">
        <f t="shared" si="67"/>
        <v>0.99955957679476093</v>
      </c>
      <c r="K713" s="682">
        <f>'018-21-CAPA'!$F$37</f>
        <v>4974259.4398541162</v>
      </c>
      <c r="L713" s="689">
        <f t="shared" si="71"/>
        <v>7.4505805969238281E-9</v>
      </c>
      <c r="M713" s="228"/>
      <c r="N713" s="93"/>
      <c r="P713" s="95"/>
    </row>
    <row r="714" spans="1:16" s="94" customFormat="1" ht="38.25">
      <c r="A714" s="343" t="s">
        <v>14691</v>
      </c>
      <c r="B714" s="147" t="s">
        <v>18525</v>
      </c>
      <c r="C714" s="351" t="s">
        <v>3240</v>
      </c>
      <c r="D714" s="351">
        <v>1</v>
      </c>
      <c r="E714" s="351">
        <v>53.12</v>
      </c>
      <c r="F714" s="352">
        <v>0.2094</v>
      </c>
      <c r="G714" s="353">
        <f t="shared" si="65"/>
        <v>64.243328000000005</v>
      </c>
      <c r="H714" s="353">
        <f t="shared" si="66"/>
        <v>64.243328000000005</v>
      </c>
      <c r="I714" s="354">
        <f t="shared" si="68"/>
        <v>1.2915154261009798E-5</v>
      </c>
      <c r="J714" s="354">
        <f t="shared" si="67"/>
        <v>0.99957249194902198</v>
      </c>
      <c r="K714" s="682">
        <f>'018-21-CAPA'!$F$37</f>
        <v>4974259.4398541162</v>
      </c>
      <c r="L714" s="689">
        <f t="shared" si="71"/>
        <v>7.4505805969238281E-9</v>
      </c>
      <c r="M714" s="228"/>
      <c r="N714" s="93"/>
      <c r="P714" s="95"/>
    </row>
    <row r="715" spans="1:16" s="94" customFormat="1" ht="25.5">
      <c r="A715" s="343" t="s">
        <v>14806</v>
      </c>
      <c r="B715" s="147" t="s">
        <v>14809</v>
      </c>
      <c r="C715" s="351" t="s">
        <v>109</v>
      </c>
      <c r="D715" s="351">
        <v>1</v>
      </c>
      <c r="E715" s="351">
        <v>52.76</v>
      </c>
      <c r="F715" s="352">
        <v>0.2094</v>
      </c>
      <c r="G715" s="353">
        <f t="shared" ref="G715:G770" si="72">(E715*(1+F715))</f>
        <v>63.807943999999999</v>
      </c>
      <c r="H715" s="353">
        <f t="shared" ref="H715:H770" si="73">G715*D715</f>
        <v>63.807943999999999</v>
      </c>
      <c r="I715" s="354">
        <f t="shared" si="68"/>
        <v>1.2827626860144519E-5</v>
      </c>
      <c r="J715" s="354">
        <f t="shared" si="67"/>
        <v>0.99958531957588215</v>
      </c>
      <c r="K715" s="682">
        <f>'018-21-CAPA'!$F$37</f>
        <v>4974259.4398541162</v>
      </c>
      <c r="L715" s="689">
        <f t="shared" si="71"/>
        <v>7.4505805969238281E-9</v>
      </c>
      <c r="M715" s="228"/>
      <c r="N715" s="93"/>
      <c r="P715" s="95"/>
    </row>
    <row r="716" spans="1:16" s="94" customFormat="1" ht="38.25">
      <c r="A716" s="343" t="s">
        <v>11575</v>
      </c>
      <c r="B716" s="147" t="s">
        <v>14647</v>
      </c>
      <c r="C716" s="351" t="s">
        <v>3240</v>
      </c>
      <c r="D716" s="351">
        <v>3</v>
      </c>
      <c r="E716" s="351">
        <v>17.399999999999999</v>
      </c>
      <c r="F716" s="352">
        <v>0.2094</v>
      </c>
      <c r="G716" s="353">
        <f t="shared" si="72"/>
        <v>21.043559999999999</v>
      </c>
      <c r="H716" s="353">
        <f t="shared" si="73"/>
        <v>63.130679999999998</v>
      </c>
      <c r="I716" s="354">
        <f t="shared" si="68"/>
        <v>1.26914731254652E-5</v>
      </c>
      <c r="J716" s="354">
        <f t="shared" si="67"/>
        <v>0.99959801104900758</v>
      </c>
      <c r="K716" s="682">
        <f>'018-21-CAPA'!$F$37</f>
        <v>4974259.4398541162</v>
      </c>
      <c r="L716" s="689">
        <f t="shared" si="71"/>
        <v>7.4505805969238281E-9</v>
      </c>
      <c r="M716" s="228"/>
      <c r="N716" s="93"/>
      <c r="P716" s="95"/>
    </row>
    <row r="717" spans="1:16" s="94" customFormat="1" ht="51">
      <c r="A717" s="343">
        <v>89805</v>
      </c>
      <c r="B717" s="147" t="s">
        <v>2161</v>
      </c>
      <c r="C717" s="351" t="s">
        <v>109</v>
      </c>
      <c r="D717" s="351">
        <v>4</v>
      </c>
      <c r="E717" s="351" t="s">
        <v>10538</v>
      </c>
      <c r="F717" s="352">
        <v>0.2094</v>
      </c>
      <c r="G717" s="353">
        <f t="shared" si="72"/>
        <v>15.685918000000001</v>
      </c>
      <c r="H717" s="353">
        <f t="shared" si="73"/>
        <v>62.743672000000004</v>
      </c>
      <c r="I717" s="354">
        <f t="shared" si="68"/>
        <v>1.2613670991362732E-5</v>
      </c>
      <c r="J717" s="354">
        <f t="shared" ref="J717:J770" si="74">I717+J716</f>
        <v>0.99961062471999895</v>
      </c>
      <c r="K717" s="682">
        <f>'018-21-CAPA'!$F$37</f>
        <v>4974259.4398541162</v>
      </c>
      <c r="L717" s="689">
        <f t="shared" si="71"/>
        <v>7.4505805969238281E-9</v>
      </c>
      <c r="M717" s="228"/>
      <c r="N717" s="93"/>
      <c r="P717" s="95"/>
    </row>
    <row r="718" spans="1:16" s="94" customFormat="1" ht="38.25">
      <c r="A718" s="343" t="s">
        <v>14695</v>
      </c>
      <c r="B718" s="147" t="s">
        <v>18529</v>
      </c>
      <c r="C718" s="351" t="s">
        <v>3240</v>
      </c>
      <c r="D718" s="351">
        <v>3</v>
      </c>
      <c r="E718" s="351">
        <v>16.87</v>
      </c>
      <c r="F718" s="352">
        <v>0.2094</v>
      </c>
      <c r="G718" s="353">
        <f t="shared" si="72"/>
        <v>20.402578000000002</v>
      </c>
      <c r="H718" s="353">
        <f t="shared" si="73"/>
        <v>61.207734000000002</v>
      </c>
      <c r="I718" s="354">
        <f t="shared" si="68"/>
        <v>1.230489377164356E-5</v>
      </c>
      <c r="J718" s="354">
        <f t="shared" si="74"/>
        <v>0.99962292961377064</v>
      </c>
      <c r="K718" s="682">
        <f>'018-21-CAPA'!$F$37</f>
        <v>4974259.4398541162</v>
      </c>
      <c r="L718" s="689">
        <f t="shared" si="71"/>
        <v>7.4505805969238281E-9</v>
      </c>
      <c r="M718" s="228"/>
      <c r="N718" s="93"/>
      <c r="P718" s="95"/>
    </row>
    <row r="719" spans="1:16" s="94" customFormat="1" ht="38.25">
      <c r="A719" s="343">
        <v>91967</v>
      </c>
      <c r="B719" s="147" t="s">
        <v>1693</v>
      </c>
      <c r="C719" s="351" t="s">
        <v>109</v>
      </c>
      <c r="D719" s="351">
        <v>1</v>
      </c>
      <c r="E719" s="351" t="s">
        <v>16565</v>
      </c>
      <c r="F719" s="352">
        <v>0.2094</v>
      </c>
      <c r="G719" s="353">
        <f t="shared" si="72"/>
        <v>58.788933999999998</v>
      </c>
      <c r="H719" s="353">
        <f t="shared" si="73"/>
        <v>58.788933999999998</v>
      </c>
      <c r="I719" s="354">
        <f t="shared" si="68"/>
        <v>1.1818630433503129E-5</v>
      </c>
      <c r="J719" s="354">
        <f t="shared" si="74"/>
        <v>0.99963474824420417</v>
      </c>
      <c r="K719" s="682">
        <f>'018-21-CAPA'!$F$37</f>
        <v>4974259.4398541162</v>
      </c>
      <c r="L719" s="689">
        <f t="shared" si="71"/>
        <v>7.4505805969238281E-9</v>
      </c>
      <c r="M719" s="228"/>
      <c r="N719" s="93"/>
      <c r="P719" s="95"/>
    </row>
    <row r="720" spans="1:16" s="94" customFormat="1" ht="25.5">
      <c r="A720" s="343" t="s">
        <v>17375</v>
      </c>
      <c r="B720" s="147" t="s">
        <v>14804</v>
      </c>
      <c r="C720" s="351" t="s">
        <v>3240</v>
      </c>
      <c r="D720" s="351">
        <v>3</v>
      </c>
      <c r="E720" s="351">
        <v>15.95</v>
      </c>
      <c r="F720" s="352">
        <v>0.2094</v>
      </c>
      <c r="G720" s="353">
        <f t="shared" si="72"/>
        <v>19.289929999999998</v>
      </c>
      <c r="H720" s="353">
        <f t="shared" si="73"/>
        <v>57.869789999999995</v>
      </c>
      <c r="I720" s="354">
        <f t="shared" si="68"/>
        <v>1.1633850365009765E-5</v>
      </c>
      <c r="J720" s="354">
        <f t="shared" si="74"/>
        <v>0.99964638209456913</v>
      </c>
      <c r="K720" s="682">
        <f>'018-21-CAPA'!$F$37</f>
        <v>4974259.4398541162</v>
      </c>
      <c r="L720" s="689">
        <f t="shared" si="71"/>
        <v>7.4505805969238281E-9</v>
      </c>
      <c r="M720" s="228"/>
      <c r="N720" s="93"/>
      <c r="P720" s="95"/>
    </row>
    <row r="721" spans="1:16" s="94" customFormat="1" ht="38.25">
      <c r="A721" s="343">
        <v>102494</v>
      </c>
      <c r="B721" s="147" t="s">
        <v>24014</v>
      </c>
      <c r="C721" s="351" t="s">
        <v>193</v>
      </c>
      <c r="D721" s="351">
        <v>1.2</v>
      </c>
      <c r="E721" s="351" t="s">
        <v>12176</v>
      </c>
      <c r="F721" s="352">
        <v>0.2094</v>
      </c>
      <c r="G721" s="353">
        <f t="shared" si="72"/>
        <v>47.771300000000004</v>
      </c>
      <c r="H721" s="353">
        <f t="shared" si="73"/>
        <v>57.325560000000003</v>
      </c>
      <c r="I721" s="354">
        <f t="shared" si="68"/>
        <v>1.1524441113928171E-5</v>
      </c>
      <c r="J721" s="354">
        <f t="shared" si="74"/>
        <v>0.99965790653568309</v>
      </c>
      <c r="K721" s="682">
        <f>'018-21-CAPA'!$F$37</f>
        <v>4974259.4398541162</v>
      </c>
      <c r="L721" s="689">
        <f t="shared" si="71"/>
        <v>7.4505805969238281E-9</v>
      </c>
      <c r="M721" s="228"/>
      <c r="N721" s="93"/>
      <c r="P721" s="95"/>
    </row>
    <row r="722" spans="1:16" s="94" customFormat="1" ht="25.5">
      <c r="A722" s="343" t="s">
        <v>14358</v>
      </c>
      <c r="B722" s="147" t="s">
        <v>17045</v>
      </c>
      <c r="C722" s="351" t="s">
        <v>109</v>
      </c>
      <c r="D722" s="351">
        <v>1</v>
      </c>
      <c r="E722" s="351">
        <v>46.76</v>
      </c>
      <c r="F722" s="352">
        <v>0.2094</v>
      </c>
      <c r="G722" s="353">
        <f t="shared" si="72"/>
        <v>56.551544</v>
      </c>
      <c r="H722" s="353">
        <f t="shared" si="73"/>
        <v>56.551544</v>
      </c>
      <c r="I722" s="354">
        <f t="shared" si="68"/>
        <v>1.1368836845723233E-5</v>
      </c>
      <c r="J722" s="354">
        <f t="shared" si="74"/>
        <v>0.99966927537252881</v>
      </c>
      <c r="K722" s="682">
        <f>'018-21-CAPA'!$F$37</f>
        <v>4974259.4398541162</v>
      </c>
      <c r="L722" s="689">
        <f t="shared" si="71"/>
        <v>7.4505805969238281E-9</v>
      </c>
      <c r="M722" s="228"/>
      <c r="N722" s="93"/>
      <c r="P722" s="95"/>
    </row>
    <row r="723" spans="1:16" s="94" customFormat="1" ht="51">
      <c r="A723" s="343">
        <v>92673</v>
      </c>
      <c r="B723" s="147" t="s">
        <v>13333</v>
      </c>
      <c r="C723" s="351" t="s">
        <v>109</v>
      </c>
      <c r="D723" s="351">
        <v>1</v>
      </c>
      <c r="E723" s="351" t="s">
        <v>16652</v>
      </c>
      <c r="F723" s="352">
        <v>0.2094</v>
      </c>
      <c r="G723" s="353">
        <f t="shared" si="72"/>
        <v>54.749538000000008</v>
      </c>
      <c r="H723" s="353">
        <f t="shared" si="73"/>
        <v>54.749538000000008</v>
      </c>
      <c r="I723" s="354">
        <f t="shared" si="68"/>
        <v>1.1006570658808615E-5</v>
      </c>
      <c r="J723" s="354">
        <f t="shared" si="74"/>
        <v>0.99968028194318759</v>
      </c>
      <c r="K723" s="682">
        <f>'018-21-CAPA'!$F$37</f>
        <v>4974259.4398541162</v>
      </c>
      <c r="L723" s="689">
        <f t="shared" si="71"/>
        <v>7.4505805969238281E-9</v>
      </c>
      <c r="M723" s="228"/>
      <c r="N723" s="93"/>
      <c r="P723" s="95"/>
    </row>
    <row r="724" spans="1:16" s="94" customFormat="1" ht="38.25">
      <c r="A724" s="343" t="s">
        <v>14664</v>
      </c>
      <c r="B724" s="147" t="s">
        <v>18539</v>
      </c>
      <c r="C724" s="351" t="s">
        <v>3240</v>
      </c>
      <c r="D724" s="351">
        <v>2</v>
      </c>
      <c r="E724" s="351">
        <v>22.48</v>
      </c>
      <c r="F724" s="352">
        <v>0.2094</v>
      </c>
      <c r="G724" s="353">
        <f t="shared" si="72"/>
        <v>27.187312000000002</v>
      </c>
      <c r="H724" s="353">
        <f t="shared" si="73"/>
        <v>54.374624000000004</v>
      </c>
      <c r="I724" s="354">
        <f t="shared" si="68"/>
        <v>1.0931199841396848E-5</v>
      </c>
      <c r="J724" s="354">
        <f t="shared" si="74"/>
        <v>0.999691213143029</v>
      </c>
      <c r="K724" s="682">
        <f>'018-21-CAPA'!$F$37</f>
        <v>4974259.4398541162</v>
      </c>
      <c r="L724" s="689">
        <f t="shared" si="71"/>
        <v>7.4505805969238281E-9</v>
      </c>
      <c r="M724" s="228"/>
      <c r="N724" s="93"/>
      <c r="P724" s="95"/>
    </row>
    <row r="725" spans="1:16" s="94" customFormat="1" ht="25.5">
      <c r="A725" s="343" t="s">
        <v>16957</v>
      </c>
      <c r="B725" s="147" t="s">
        <v>14989</v>
      </c>
      <c r="C725" s="351" t="s">
        <v>109</v>
      </c>
      <c r="D725" s="351">
        <v>1</v>
      </c>
      <c r="E725" s="351">
        <v>44.959999999999994</v>
      </c>
      <c r="F725" s="352">
        <v>0.2094</v>
      </c>
      <c r="G725" s="353">
        <f t="shared" si="72"/>
        <v>54.374623999999997</v>
      </c>
      <c r="H725" s="353">
        <f t="shared" si="73"/>
        <v>54.374623999999997</v>
      </c>
      <c r="I725" s="354">
        <f t="shared" si="68"/>
        <v>1.0931199841396846E-5</v>
      </c>
      <c r="J725" s="354">
        <f t="shared" si="74"/>
        <v>0.99970214434287041</v>
      </c>
      <c r="K725" s="682">
        <f>'018-21-CAPA'!$F$37</f>
        <v>4974259.4398541162</v>
      </c>
      <c r="L725" s="689">
        <f t="shared" si="71"/>
        <v>7.4505805969238281E-9</v>
      </c>
      <c r="M725" s="228"/>
      <c r="N725" s="93"/>
      <c r="P725" s="95"/>
    </row>
    <row r="726" spans="1:16" s="94" customFormat="1" ht="51">
      <c r="A726" s="343" t="s">
        <v>18440</v>
      </c>
      <c r="B726" s="147" t="s">
        <v>18442</v>
      </c>
      <c r="C726" s="351" t="s">
        <v>109</v>
      </c>
      <c r="D726" s="351">
        <v>1</v>
      </c>
      <c r="E726" s="351">
        <v>44.04</v>
      </c>
      <c r="F726" s="352">
        <v>0.2094</v>
      </c>
      <c r="G726" s="353">
        <f t="shared" si="72"/>
        <v>53.261975999999997</v>
      </c>
      <c r="H726" s="353">
        <f t="shared" si="73"/>
        <v>53.261975999999997</v>
      </c>
      <c r="I726" s="354">
        <f t="shared" si="68"/>
        <v>1.0707518705852248E-5</v>
      </c>
      <c r="J726" s="354">
        <f t="shared" si="74"/>
        <v>0.99971285186157621</v>
      </c>
      <c r="K726" s="682">
        <f>'018-21-CAPA'!$F$37</f>
        <v>4974259.4398541162</v>
      </c>
      <c r="L726" s="689">
        <f t="shared" si="71"/>
        <v>7.4505805969238281E-9</v>
      </c>
      <c r="M726" s="228"/>
      <c r="N726" s="93"/>
      <c r="P726" s="95"/>
    </row>
    <row r="727" spans="1:16" s="94" customFormat="1" ht="51">
      <c r="A727" s="343">
        <v>89797</v>
      </c>
      <c r="B727" s="147" t="s">
        <v>2156</v>
      </c>
      <c r="C727" s="351" t="s">
        <v>109</v>
      </c>
      <c r="D727" s="351">
        <v>1</v>
      </c>
      <c r="E727" s="351" t="s">
        <v>23114</v>
      </c>
      <c r="F727" s="352">
        <v>0.2094</v>
      </c>
      <c r="G727" s="353">
        <f t="shared" si="72"/>
        <v>52.741934000000001</v>
      </c>
      <c r="H727" s="353">
        <f t="shared" si="73"/>
        <v>52.741934000000001</v>
      </c>
      <c r="I727" s="354">
        <f t="shared" si="68"/>
        <v>1.0602972088152057E-5</v>
      </c>
      <c r="J727" s="354">
        <f t="shared" si="74"/>
        <v>0.99972345483366432</v>
      </c>
      <c r="K727" s="682">
        <f>'018-21-CAPA'!$F$37</f>
        <v>4974259.4398541162</v>
      </c>
      <c r="L727" s="689">
        <f t="shared" si="71"/>
        <v>7.4505805969238281E-9</v>
      </c>
      <c r="M727" s="228"/>
      <c r="N727" s="93"/>
      <c r="P727" s="95"/>
    </row>
    <row r="728" spans="1:16" s="94" customFormat="1" ht="51">
      <c r="A728" s="343" t="s">
        <v>17757</v>
      </c>
      <c r="B728" s="147" t="s">
        <v>17758</v>
      </c>
      <c r="C728" s="351" t="s">
        <v>3240</v>
      </c>
      <c r="D728" s="351">
        <v>2</v>
      </c>
      <c r="E728" s="351">
        <v>21.24</v>
      </c>
      <c r="F728" s="352">
        <v>0.2094</v>
      </c>
      <c r="G728" s="353">
        <f t="shared" si="72"/>
        <v>25.687656</v>
      </c>
      <c r="H728" s="353">
        <f t="shared" si="73"/>
        <v>51.375312000000001</v>
      </c>
      <c r="I728" s="354">
        <f t="shared" si="68"/>
        <v>1.0328233302102714E-5</v>
      </c>
      <c r="J728" s="354">
        <f t="shared" si="74"/>
        <v>0.99973378306696636</v>
      </c>
      <c r="K728" s="682">
        <f>'018-21-CAPA'!$F$37</f>
        <v>4974259.4398541162</v>
      </c>
      <c r="L728" s="689">
        <f t="shared" si="71"/>
        <v>7.4505805969238281E-9</v>
      </c>
      <c r="M728" s="228"/>
      <c r="N728" s="93"/>
      <c r="P728" s="95"/>
    </row>
    <row r="729" spans="1:16" s="94" customFormat="1" ht="51">
      <c r="A729" s="343">
        <v>91185</v>
      </c>
      <c r="B729" s="147" t="s">
        <v>2440</v>
      </c>
      <c r="C729" s="351" t="s">
        <v>5</v>
      </c>
      <c r="D729" s="351">
        <v>6.85</v>
      </c>
      <c r="E729" s="351" t="s">
        <v>11037</v>
      </c>
      <c r="F729" s="352">
        <v>0.2094</v>
      </c>
      <c r="G729" s="353">
        <f t="shared" si="72"/>
        <v>7.4499040000000001</v>
      </c>
      <c r="H729" s="353">
        <f t="shared" si="73"/>
        <v>51.031842399999995</v>
      </c>
      <c r="I729" s="354">
        <f t="shared" si="68"/>
        <v>1.0259183908086772E-5</v>
      </c>
      <c r="J729" s="354">
        <f t="shared" si="74"/>
        <v>0.99974404225087443</v>
      </c>
      <c r="K729" s="682">
        <f>'018-21-CAPA'!$F$37</f>
        <v>4974259.4398541162</v>
      </c>
      <c r="L729" s="689">
        <f t="shared" si="71"/>
        <v>7.4505805969238281E-9</v>
      </c>
      <c r="M729" s="228"/>
      <c r="N729" s="93"/>
      <c r="P729" s="95"/>
    </row>
    <row r="730" spans="1:16" s="94" customFormat="1">
      <c r="A730" s="343" t="s">
        <v>17392</v>
      </c>
      <c r="B730" s="147" t="s">
        <v>17394</v>
      </c>
      <c r="C730" s="351" t="s">
        <v>109</v>
      </c>
      <c r="D730" s="351">
        <v>2</v>
      </c>
      <c r="E730" s="351">
        <v>21.06</v>
      </c>
      <c r="F730" s="352">
        <v>0.2094</v>
      </c>
      <c r="G730" s="353">
        <f t="shared" si="72"/>
        <v>25.469963999999997</v>
      </c>
      <c r="H730" s="353">
        <f t="shared" si="73"/>
        <v>50.939927999999995</v>
      </c>
      <c r="I730" s="354">
        <f t="shared" si="68"/>
        <v>1.0240705901237435E-5</v>
      </c>
      <c r="J730" s="354">
        <f t="shared" si="74"/>
        <v>0.99975428295677571</v>
      </c>
      <c r="K730" s="682">
        <f>'018-21-CAPA'!$F$37</f>
        <v>4974259.4398541162</v>
      </c>
      <c r="L730" s="689">
        <f t="shared" si="71"/>
        <v>7.4505805969238281E-9</v>
      </c>
      <c r="M730" s="228"/>
      <c r="N730" s="93"/>
      <c r="P730" s="95"/>
    </row>
    <row r="731" spans="1:16" s="94" customFormat="1" ht="38.25">
      <c r="A731" s="343" t="s">
        <v>18405</v>
      </c>
      <c r="B731" s="147" t="s">
        <v>18407</v>
      </c>
      <c r="C731" s="351" t="s">
        <v>109</v>
      </c>
      <c r="D731" s="351">
        <v>1</v>
      </c>
      <c r="E731" s="351">
        <v>42.07</v>
      </c>
      <c r="F731" s="352">
        <v>0.2094</v>
      </c>
      <c r="G731" s="353">
        <f t="shared" si="72"/>
        <v>50.879458</v>
      </c>
      <c r="H731" s="353">
        <f t="shared" si="73"/>
        <v>50.879458</v>
      </c>
      <c r="I731" s="354">
        <f t="shared" si="68"/>
        <v>1.0228549317783927E-5</v>
      </c>
      <c r="J731" s="354">
        <f t="shared" si="74"/>
        <v>0.99976451150609347</v>
      </c>
      <c r="K731" s="682">
        <f>'018-21-CAPA'!$F$37</f>
        <v>4974259.4398541162</v>
      </c>
      <c r="L731" s="689">
        <f t="shared" si="71"/>
        <v>7.4505805969238281E-9</v>
      </c>
      <c r="M731" s="228"/>
      <c r="N731" s="93"/>
      <c r="P731" s="95"/>
    </row>
    <row r="732" spans="1:16" s="94" customFormat="1" ht="51">
      <c r="A732" s="343">
        <v>92382</v>
      </c>
      <c r="B732" s="147" t="s">
        <v>13300</v>
      </c>
      <c r="C732" s="351" t="s">
        <v>109</v>
      </c>
      <c r="D732" s="351">
        <v>1</v>
      </c>
      <c r="E732" s="351" t="s">
        <v>20178</v>
      </c>
      <c r="F732" s="352">
        <v>0.2094</v>
      </c>
      <c r="G732" s="353">
        <f t="shared" si="72"/>
        <v>49.839373999999999</v>
      </c>
      <c r="H732" s="353">
        <f t="shared" si="73"/>
        <v>49.839373999999999</v>
      </c>
      <c r="I732" s="354">
        <f t="shared" ref="I732:I770" si="75">H732/$F$772</f>
        <v>1.0019456082383542E-5</v>
      </c>
      <c r="J732" s="354">
        <f t="shared" si="74"/>
        <v>0.99977453096217583</v>
      </c>
      <c r="K732" s="682">
        <f>'018-21-CAPA'!$F$37</f>
        <v>4974259.4398541162</v>
      </c>
      <c r="L732" s="689">
        <f t="shared" si="71"/>
        <v>7.4505805969238281E-9</v>
      </c>
      <c r="M732" s="228"/>
      <c r="N732" s="93"/>
      <c r="P732" s="95"/>
    </row>
    <row r="733" spans="1:16" s="94" customFormat="1" ht="38.25">
      <c r="A733" s="343" t="s">
        <v>18374</v>
      </c>
      <c r="B733" s="147" t="s">
        <v>18375</v>
      </c>
      <c r="C733" s="351" t="s">
        <v>5</v>
      </c>
      <c r="D733" s="351">
        <v>3.3</v>
      </c>
      <c r="E733" s="351">
        <v>12.43</v>
      </c>
      <c r="F733" s="352">
        <v>0.2094</v>
      </c>
      <c r="G733" s="353">
        <f t="shared" si="72"/>
        <v>15.032842</v>
      </c>
      <c r="H733" s="353">
        <f t="shared" si="73"/>
        <v>49.608378600000002</v>
      </c>
      <c r="I733" s="354">
        <f t="shared" si="75"/>
        <v>9.9730179335911314E-6</v>
      </c>
      <c r="J733" s="354">
        <f t="shared" si="74"/>
        <v>0.99978450398010943</v>
      </c>
      <c r="K733" s="682">
        <f>'018-21-CAPA'!$F$37</f>
        <v>4974259.4398541162</v>
      </c>
      <c r="L733" s="689">
        <f t="shared" si="71"/>
        <v>7.4505805969238281E-9</v>
      </c>
      <c r="M733" s="228"/>
      <c r="N733" s="93"/>
      <c r="P733" s="95"/>
    </row>
    <row r="734" spans="1:16" s="94" customFormat="1" ht="38.25">
      <c r="A734" s="343" t="s">
        <v>18522</v>
      </c>
      <c r="B734" s="147" t="s">
        <v>18524</v>
      </c>
      <c r="C734" s="351" t="s">
        <v>109</v>
      </c>
      <c r="D734" s="351">
        <v>2</v>
      </c>
      <c r="E734" s="351">
        <v>20.29</v>
      </c>
      <c r="F734" s="352">
        <v>0.2094</v>
      </c>
      <c r="G734" s="353">
        <f t="shared" si="72"/>
        <v>24.538726</v>
      </c>
      <c r="H734" s="353">
        <f t="shared" si="73"/>
        <v>49.077452000000001</v>
      </c>
      <c r="I734" s="354">
        <f t="shared" si="75"/>
        <v>9.8662831308693068E-6</v>
      </c>
      <c r="J734" s="354">
        <f t="shared" si="74"/>
        <v>0.99979437026324025</v>
      </c>
      <c r="K734" s="682">
        <f>'018-21-CAPA'!$F$37</f>
        <v>4974259.4398541162</v>
      </c>
      <c r="L734" s="689">
        <f t="shared" si="71"/>
        <v>7.4505805969238281E-9</v>
      </c>
      <c r="M734" s="228"/>
      <c r="N734" s="93"/>
      <c r="P734" s="95"/>
    </row>
    <row r="735" spans="1:16" s="94" customFormat="1" ht="51">
      <c r="A735" s="343" t="s">
        <v>18533</v>
      </c>
      <c r="B735" s="147" t="s">
        <v>18534</v>
      </c>
      <c r="C735" s="351" t="s">
        <v>3240</v>
      </c>
      <c r="D735" s="351">
        <v>1</v>
      </c>
      <c r="E735" s="351">
        <v>39.94</v>
      </c>
      <c r="F735" s="352">
        <v>0.2094</v>
      </c>
      <c r="G735" s="353">
        <f t="shared" si="72"/>
        <v>48.303435999999998</v>
      </c>
      <c r="H735" s="353">
        <f t="shared" si="73"/>
        <v>48.303435999999998</v>
      </c>
      <c r="I735" s="354">
        <f t="shared" si="75"/>
        <v>9.7106788626643693E-6</v>
      </c>
      <c r="J735" s="354">
        <f t="shared" si="74"/>
        <v>0.99980408094210294</v>
      </c>
      <c r="K735" s="682">
        <f>'018-21-CAPA'!$F$37</f>
        <v>4974259.4398541162</v>
      </c>
      <c r="L735" s="689">
        <f t="shared" si="71"/>
        <v>7.4505805969238281E-9</v>
      </c>
      <c r="M735" s="228"/>
      <c r="N735" s="93"/>
      <c r="P735" s="95"/>
    </row>
    <row r="736" spans="1:16" s="94" customFormat="1" ht="51">
      <c r="A736" s="343" t="s">
        <v>18671</v>
      </c>
      <c r="B736" s="147" t="s">
        <v>18673</v>
      </c>
      <c r="C736" s="351" t="s">
        <v>109</v>
      </c>
      <c r="D736" s="351">
        <v>1</v>
      </c>
      <c r="E736" s="351">
        <v>39.53</v>
      </c>
      <c r="F736" s="352">
        <v>0.2094</v>
      </c>
      <c r="G736" s="353">
        <f t="shared" si="72"/>
        <v>47.807582000000004</v>
      </c>
      <c r="H736" s="353">
        <f t="shared" si="73"/>
        <v>47.807582000000004</v>
      </c>
      <c r="I736" s="354">
        <f t="shared" si="75"/>
        <v>9.6109948783455821E-6</v>
      </c>
      <c r="J736" s="354">
        <f t="shared" si="74"/>
        <v>0.99981369193698133</v>
      </c>
      <c r="K736" s="682">
        <f>'018-21-CAPA'!$F$37</f>
        <v>4974259.4398541162</v>
      </c>
      <c r="L736" s="689">
        <f t="shared" si="71"/>
        <v>7.4505805969238281E-9</v>
      </c>
      <c r="M736" s="228"/>
      <c r="N736" s="93"/>
      <c r="P736" s="95"/>
    </row>
    <row r="737" spans="1:16" s="94" customFormat="1" ht="63.75">
      <c r="A737" s="343">
        <v>91174</v>
      </c>
      <c r="B737" s="147" t="s">
        <v>2429</v>
      </c>
      <c r="C737" s="351" t="s">
        <v>5</v>
      </c>
      <c r="D737" s="351">
        <v>15.09</v>
      </c>
      <c r="E737" s="351" t="s">
        <v>20318</v>
      </c>
      <c r="F737" s="352">
        <v>0.2094</v>
      </c>
      <c r="G737" s="353">
        <f t="shared" si="72"/>
        <v>3.108158</v>
      </c>
      <c r="H737" s="353">
        <f t="shared" si="73"/>
        <v>46.902104219999998</v>
      </c>
      <c r="I737" s="354">
        <f t="shared" si="75"/>
        <v>9.4289621977127111E-6</v>
      </c>
      <c r="J737" s="354">
        <f t="shared" si="74"/>
        <v>0.99982312089917902</v>
      </c>
      <c r="K737" s="682">
        <f>'018-21-CAPA'!$F$37</f>
        <v>4974259.4398541162</v>
      </c>
      <c r="L737" s="689">
        <f t="shared" si="71"/>
        <v>7.4505805969238281E-9</v>
      </c>
      <c r="M737" s="228"/>
      <c r="N737" s="93"/>
      <c r="P737" s="95"/>
    </row>
    <row r="738" spans="1:16" s="94" customFormat="1" ht="38.25">
      <c r="A738" s="343">
        <v>91959</v>
      </c>
      <c r="B738" s="147" t="s">
        <v>1685</v>
      </c>
      <c r="C738" s="351" t="s">
        <v>109</v>
      </c>
      <c r="D738" s="351">
        <v>1</v>
      </c>
      <c r="E738" s="351" t="s">
        <v>16372</v>
      </c>
      <c r="F738" s="352">
        <v>0.2094</v>
      </c>
      <c r="G738" s="353">
        <f t="shared" si="72"/>
        <v>42.969982000000002</v>
      </c>
      <c r="H738" s="353">
        <f t="shared" si="73"/>
        <v>42.969982000000002</v>
      </c>
      <c r="I738" s="354">
        <f t="shared" si="75"/>
        <v>8.6384682020647235E-6</v>
      </c>
      <c r="J738" s="354">
        <f t="shared" si="74"/>
        <v>0.99983175936738111</v>
      </c>
      <c r="K738" s="682">
        <f>'018-21-CAPA'!$F$37</f>
        <v>4974259.4398541162</v>
      </c>
      <c r="L738" s="689">
        <f t="shared" si="71"/>
        <v>7.4505805969238281E-9</v>
      </c>
      <c r="M738" s="228"/>
      <c r="N738" s="93"/>
      <c r="P738" s="95"/>
    </row>
    <row r="739" spans="1:16" s="94" customFormat="1" ht="38.25">
      <c r="A739" s="343" t="s">
        <v>14692</v>
      </c>
      <c r="B739" s="147" t="s">
        <v>17336</v>
      </c>
      <c r="C739" s="351" t="s">
        <v>3240</v>
      </c>
      <c r="D739" s="351">
        <v>3</v>
      </c>
      <c r="E739" s="351">
        <v>11.77</v>
      </c>
      <c r="F739" s="352">
        <v>0.2094</v>
      </c>
      <c r="G739" s="353">
        <f t="shared" si="72"/>
        <v>14.234638</v>
      </c>
      <c r="H739" s="353">
        <f t="shared" si="73"/>
        <v>42.703913999999997</v>
      </c>
      <c r="I739" s="354">
        <f t="shared" si="75"/>
        <v>8.5849792348692758E-6</v>
      </c>
      <c r="J739" s="354">
        <f t="shared" si="74"/>
        <v>0.99984034434661595</v>
      </c>
      <c r="K739" s="682">
        <f>'018-21-CAPA'!$F$37</f>
        <v>4974259.4398541162</v>
      </c>
      <c r="L739" s="689">
        <f t="shared" si="71"/>
        <v>7.4505805969238281E-9</v>
      </c>
      <c r="M739" s="228"/>
      <c r="N739" s="93"/>
      <c r="P739" s="95"/>
    </row>
    <row r="740" spans="1:16" s="94" customFormat="1" ht="25.5">
      <c r="A740" s="343" t="s">
        <v>15122</v>
      </c>
      <c r="B740" s="147" t="s">
        <v>17916</v>
      </c>
      <c r="C740" s="351" t="s">
        <v>109</v>
      </c>
      <c r="D740" s="351">
        <v>2</v>
      </c>
      <c r="E740" s="351">
        <v>17.3</v>
      </c>
      <c r="F740" s="352">
        <v>0.2094</v>
      </c>
      <c r="G740" s="353">
        <f t="shared" si="72"/>
        <v>20.922620000000002</v>
      </c>
      <c r="H740" s="353">
        <f t="shared" si="73"/>
        <v>41.845240000000004</v>
      </c>
      <c r="I740" s="354">
        <f t="shared" si="75"/>
        <v>8.4123557498294244E-6</v>
      </c>
      <c r="J740" s="354">
        <f t="shared" si="74"/>
        <v>0.99984875670236573</v>
      </c>
      <c r="K740" s="682">
        <f>'018-21-CAPA'!$F$37</f>
        <v>4974259.4398541162</v>
      </c>
      <c r="L740" s="689">
        <f t="shared" si="71"/>
        <v>7.4505805969238281E-9</v>
      </c>
      <c r="M740" s="228"/>
      <c r="N740" s="93"/>
      <c r="P740" s="95"/>
    </row>
    <row r="741" spans="1:16" s="94" customFormat="1" ht="51">
      <c r="A741" s="343" t="s">
        <v>17376</v>
      </c>
      <c r="B741" s="147" t="s">
        <v>17377</v>
      </c>
      <c r="C741" s="351" t="s">
        <v>3240</v>
      </c>
      <c r="D741" s="351">
        <v>1</v>
      </c>
      <c r="E741" s="351">
        <v>32.85</v>
      </c>
      <c r="F741" s="352">
        <v>0.2094</v>
      </c>
      <c r="G741" s="353">
        <f t="shared" si="72"/>
        <v>39.728790000000004</v>
      </c>
      <c r="H741" s="353">
        <f t="shared" si="73"/>
        <v>39.728790000000004</v>
      </c>
      <c r="I741" s="354">
        <f t="shared" si="75"/>
        <v>7.9868753289565492E-6</v>
      </c>
      <c r="J741" s="354">
        <f t="shared" si="74"/>
        <v>0.99985674357769472</v>
      </c>
      <c r="K741" s="682">
        <f>'018-21-CAPA'!$F$37</f>
        <v>4974259.4398541162</v>
      </c>
      <c r="L741" s="689">
        <f t="shared" si="71"/>
        <v>7.4505805969238281E-9</v>
      </c>
      <c r="M741" s="228"/>
      <c r="N741" s="93"/>
      <c r="P741" s="95"/>
    </row>
    <row r="742" spans="1:16" s="94" customFormat="1" ht="25.5">
      <c r="A742" s="343" t="s">
        <v>14347</v>
      </c>
      <c r="B742" s="147" t="s">
        <v>17038</v>
      </c>
      <c r="C742" s="351" t="s">
        <v>109</v>
      </c>
      <c r="D742" s="351">
        <v>3</v>
      </c>
      <c r="E742" s="351">
        <v>10.370000000000001</v>
      </c>
      <c r="F742" s="352">
        <v>0.2094</v>
      </c>
      <c r="G742" s="353">
        <f t="shared" si="72"/>
        <v>12.541478000000001</v>
      </c>
      <c r="H742" s="353">
        <f t="shared" si="73"/>
        <v>37.624434000000008</v>
      </c>
      <c r="I742" s="354">
        <f t="shared" si="75"/>
        <v>7.5638262247743767E-6</v>
      </c>
      <c r="J742" s="354">
        <f t="shared" si="74"/>
        <v>0.99986430740391952</v>
      </c>
      <c r="K742" s="682">
        <f>'018-21-CAPA'!$F$37</f>
        <v>4974259.4398541162</v>
      </c>
      <c r="L742" s="689">
        <f t="shared" si="71"/>
        <v>7.4505805969238281E-9</v>
      </c>
      <c r="M742" s="228"/>
      <c r="N742" s="93"/>
      <c r="P742" s="95"/>
    </row>
    <row r="743" spans="1:16" s="94" customFormat="1" ht="25.5">
      <c r="A743" s="343" t="s">
        <v>18341</v>
      </c>
      <c r="B743" s="147" t="s">
        <v>18349</v>
      </c>
      <c r="C743" s="351" t="s">
        <v>109</v>
      </c>
      <c r="D743" s="351">
        <v>1</v>
      </c>
      <c r="E743" s="351">
        <v>29.970000000000002</v>
      </c>
      <c r="F743" s="352">
        <v>0.2094</v>
      </c>
      <c r="G743" s="353">
        <f t="shared" si="72"/>
        <v>36.245718000000004</v>
      </c>
      <c r="H743" s="353">
        <f t="shared" si="73"/>
        <v>36.245718000000004</v>
      </c>
      <c r="I743" s="354">
        <f t="shared" si="75"/>
        <v>7.286656122034331E-6</v>
      </c>
      <c r="J743" s="354">
        <f t="shared" si="74"/>
        <v>0.99987159406004156</v>
      </c>
      <c r="K743" s="682">
        <f>'018-21-CAPA'!$F$37</f>
        <v>4974259.4398541162</v>
      </c>
      <c r="L743" s="689">
        <f t="shared" ref="L743:L770" si="76">K743-$F$772</f>
        <v>7.4505805969238281E-9</v>
      </c>
      <c r="M743" s="228"/>
      <c r="N743" s="93"/>
      <c r="P743" s="95"/>
    </row>
    <row r="744" spans="1:16" s="94" customFormat="1" ht="38.25">
      <c r="A744" s="343">
        <v>91997</v>
      </c>
      <c r="B744" s="147" t="s">
        <v>1709</v>
      </c>
      <c r="C744" s="351" t="s">
        <v>109</v>
      </c>
      <c r="D744" s="351">
        <v>1</v>
      </c>
      <c r="E744" s="351" t="s">
        <v>22678</v>
      </c>
      <c r="F744" s="352">
        <v>0.2094</v>
      </c>
      <c r="G744" s="353">
        <f t="shared" si="72"/>
        <v>34.794438</v>
      </c>
      <c r="H744" s="353">
        <f t="shared" si="73"/>
        <v>34.794438</v>
      </c>
      <c r="I744" s="354">
        <f t="shared" si="75"/>
        <v>6.9948981191500724E-6</v>
      </c>
      <c r="J744" s="354">
        <f t="shared" si="74"/>
        <v>0.99987858895816073</v>
      </c>
      <c r="K744" s="682">
        <f>'018-21-CAPA'!$F$37</f>
        <v>4974259.4398541162</v>
      </c>
      <c r="L744" s="689">
        <f t="shared" si="76"/>
        <v>7.4505805969238281E-9</v>
      </c>
      <c r="M744" s="228"/>
      <c r="N744" s="93"/>
      <c r="P744" s="95"/>
    </row>
    <row r="745" spans="1:16" s="94" customFormat="1" ht="76.5">
      <c r="A745" s="343">
        <v>94658</v>
      </c>
      <c r="B745" s="147" t="s">
        <v>2243</v>
      </c>
      <c r="C745" s="351" t="s">
        <v>109</v>
      </c>
      <c r="D745" s="351">
        <v>4</v>
      </c>
      <c r="E745" s="351" t="s">
        <v>16208</v>
      </c>
      <c r="F745" s="352">
        <v>0.2094</v>
      </c>
      <c r="G745" s="353">
        <f t="shared" si="72"/>
        <v>8.4899880000000003</v>
      </c>
      <c r="H745" s="353">
        <f t="shared" si="73"/>
        <v>33.959952000000001</v>
      </c>
      <c r="I745" s="354">
        <f t="shared" si="75"/>
        <v>6.8271372674916247E-6</v>
      </c>
      <c r="J745" s="354">
        <f t="shared" si="74"/>
        <v>0.99988541609542825</v>
      </c>
      <c r="K745" s="682">
        <f>'018-21-CAPA'!$F$37</f>
        <v>4974259.4398541162</v>
      </c>
      <c r="L745" s="689">
        <f t="shared" si="76"/>
        <v>7.4505805969238281E-9</v>
      </c>
      <c r="M745" s="228"/>
      <c r="N745" s="93"/>
      <c r="P745" s="95"/>
    </row>
    <row r="746" spans="1:16" s="94" customFormat="1" ht="25.5">
      <c r="A746" s="343" t="s">
        <v>16959</v>
      </c>
      <c r="B746" s="147" t="s">
        <v>14888</v>
      </c>
      <c r="C746" s="351" t="s">
        <v>109</v>
      </c>
      <c r="D746" s="351">
        <v>1</v>
      </c>
      <c r="E746" s="351">
        <v>27.85</v>
      </c>
      <c r="F746" s="352">
        <v>0.2094</v>
      </c>
      <c r="G746" s="353">
        <f t="shared" si="72"/>
        <v>33.681789999999999</v>
      </c>
      <c r="H746" s="353">
        <f t="shared" si="73"/>
        <v>33.681789999999999</v>
      </c>
      <c r="I746" s="354">
        <f t="shared" si="75"/>
        <v>6.7712169836054752E-6</v>
      </c>
      <c r="J746" s="354">
        <f t="shared" si="74"/>
        <v>0.99989218731241181</v>
      </c>
      <c r="K746" s="682">
        <f>'018-21-CAPA'!$F$37</f>
        <v>4974259.4398541162</v>
      </c>
      <c r="L746" s="689">
        <f t="shared" si="76"/>
        <v>7.4505805969238281E-9</v>
      </c>
      <c r="M746" s="228"/>
      <c r="N746" s="93"/>
      <c r="P746" s="95"/>
    </row>
    <row r="747" spans="1:16" s="94" customFormat="1" ht="38.25">
      <c r="A747" s="343" t="s">
        <v>14663</v>
      </c>
      <c r="B747" s="147" t="s">
        <v>17328</v>
      </c>
      <c r="C747" s="351" t="s">
        <v>3240</v>
      </c>
      <c r="D747" s="351">
        <v>4</v>
      </c>
      <c r="E747" s="351">
        <v>6.35</v>
      </c>
      <c r="F747" s="352">
        <v>0.2094</v>
      </c>
      <c r="G747" s="353">
        <f t="shared" si="72"/>
        <v>7.6796899999999999</v>
      </c>
      <c r="H747" s="353">
        <f t="shared" si="73"/>
        <v>30.71876</v>
      </c>
      <c r="I747" s="354">
        <f t="shared" si="75"/>
        <v>6.1755443943834496E-6</v>
      </c>
      <c r="J747" s="354">
        <f t="shared" si="74"/>
        <v>0.99989836285680622</v>
      </c>
      <c r="K747" s="682">
        <f>'018-21-CAPA'!$F$37</f>
        <v>4974259.4398541162</v>
      </c>
      <c r="L747" s="689">
        <f t="shared" si="76"/>
        <v>7.4505805969238281E-9</v>
      </c>
      <c r="M747" s="228"/>
      <c r="N747" s="93"/>
      <c r="P747" s="95"/>
    </row>
    <row r="748" spans="1:16" s="94" customFormat="1" ht="25.5">
      <c r="A748" s="343">
        <v>97664</v>
      </c>
      <c r="B748" s="147" t="s">
        <v>3759</v>
      </c>
      <c r="C748" s="351" t="s">
        <v>109</v>
      </c>
      <c r="D748" s="351">
        <v>20</v>
      </c>
      <c r="E748" s="351" t="s">
        <v>11092</v>
      </c>
      <c r="F748" s="352">
        <v>0.2094</v>
      </c>
      <c r="G748" s="353">
        <f t="shared" si="72"/>
        <v>1.523844</v>
      </c>
      <c r="H748" s="353">
        <f t="shared" si="73"/>
        <v>30.476880000000001</v>
      </c>
      <c r="I748" s="354">
        <f t="shared" si="75"/>
        <v>6.1269180605694073E-6</v>
      </c>
      <c r="J748" s="354">
        <f t="shared" si="74"/>
        <v>0.99990448977486679</v>
      </c>
      <c r="K748" s="682">
        <f>'018-21-CAPA'!$F$37</f>
        <v>4974259.4398541162</v>
      </c>
      <c r="L748" s="689">
        <f t="shared" si="76"/>
        <v>7.4505805969238281E-9</v>
      </c>
      <c r="M748" s="228"/>
      <c r="N748" s="93"/>
      <c r="P748" s="95"/>
    </row>
    <row r="749" spans="1:16" s="94" customFormat="1">
      <c r="A749" s="343" t="s">
        <v>17869</v>
      </c>
      <c r="B749" s="147" t="s">
        <v>7750</v>
      </c>
      <c r="C749" s="351" t="s">
        <v>109</v>
      </c>
      <c r="D749" s="351">
        <v>84</v>
      </c>
      <c r="E749" s="351">
        <v>0.3</v>
      </c>
      <c r="F749" s="352">
        <v>0.2094</v>
      </c>
      <c r="G749" s="353">
        <f t="shared" si="72"/>
        <v>0.36281999999999998</v>
      </c>
      <c r="H749" s="353">
        <f t="shared" si="73"/>
        <v>30.476879999999998</v>
      </c>
      <c r="I749" s="354">
        <f t="shared" si="75"/>
        <v>6.1269180605694065E-6</v>
      </c>
      <c r="J749" s="354">
        <f t="shared" si="74"/>
        <v>0.99991061669292736</v>
      </c>
      <c r="K749" s="682">
        <f>'018-21-CAPA'!$F$37</f>
        <v>4974259.4398541162</v>
      </c>
      <c r="L749" s="689">
        <f t="shared" si="76"/>
        <v>7.4505805969238281E-9</v>
      </c>
      <c r="M749" s="228"/>
      <c r="N749" s="93"/>
      <c r="P749" s="95"/>
    </row>
    <row r="750" spans="1:16" s="94" customFormat="1" ht="25.5">
      <c r="A750" s="343" t="s">
        <v>14507</v>
      </c>
      <c r="B750" s="147" t="s">
        <v>17192</v>
      </c>
      <c r="C750" s="351" t="s">
        <v>109</v>
      </c>
      <c r="D750" s="351">
        <v>1</v>
      </c>
      <c r="E750" s="351">
        <v>24.96</v>
      </c>
      <c r="F750" s="352">
        <v>0.2094</v>
      </c>
      <c r="G750" s="353">
        <f t="shared" si="72"/>
        <v>30.186624000000002</v>
      </c>
      <c r="H750" s="353">
        <f t="shared" si="73"/>
        <v>30.186624000000002</v>
      </c>
      <c r="I750" s="354">
        <f t="shared" si="75"/>
        <v>6.068566459992556E-6</v>
      </c>
      <c r="J750" s="354">
        <f t="shared" si="74"/>
        <v>0.99991668525938737</v>
      </c>
      <c r="K750" s="682">
        <f>'018-21-CAPA'!$F$37</f>
        <v>4974259.4398541162</v>
      </c>
      <c r="L750" s="689">
        <f t="shared" si="76"/>
        <v>7.4505805969238281E-9</v>
      </c>
      <c r="M750" s="228"/>
      <c r="N750" s="93"/>
      <c r="P750" s="95"/>
    </row>
    <row r="751" spans="1:16" s="94" customFormat="1" ht="51">
      <c r="A751" s="343">
        <v>89570</v>
      </c>
      <c r="B751" s="147" t="s">
        <v>1970</v>
      </c>
      <c r="C751" s="351" t="s">
        <v>109</v>
      </c>
      <c r="D751" s="351">
        <v>2</v>
      </c>
      <c r="E751" s="351" t="s">
        <v>11484</v>
      </c>
      <c r="F751" s="352">
        <v>0.2094</v>
      </c>
      <c r="G751" s="353">
        <f t="shared" si="72"/>
        <v>14.63374</v>
      </c>
      <c r="H751" s="353">
        <f t="shared" si="73"/>
        <v>29.267479999999999</v>
      </c>
      <c r="I751" s="354">
        <f t="shared" si="75"/>
        <v>5.8837863914991919E-6</v>
      </c>
      <c r="J751" s="354">
        <f t="shared" si="74"/>
        <v>0.99992256904577892</v>
      </c>
      <c r="K751" s="682">
        <f>'018-21-CAPA'!$F$37</f>
        <v>4974259.4398541162</v>
      </c>
      <c r="L751" s="689">
        <f t="shared" si="76"/>
        <v>7.4505805969238281E-9</v>
      </c>
      <c r="M751" s="228"/>
      <c r="N751" s="93"/>
      <c r="P751" s="95"/>
    </row>
    <row r="752" spans="1:16" s="94" customFormat="1" ht="38.25">
      <c r="A752" s="343">
        <v>91944</v>
      </c>
      <c r="B752" s="147" t="s">
        <v>1639</v>
      </c>
      <c r="C752" s="351" t="s">
        <v>109</v>
      </c>
      <c r="D752" s="351">
        <v>2</v>
      </c>
      <c r="E752" s="351" t="s">
        <v>12433</v>
      </c>
      <c r="F752" s="352">
        <v>0.2094</v>
      </c>
      <c r="G752" s="353">
        <f t="shared" si="72"/>
        <v>14.355578</v>
      </c>
      <c r="H752" s="353">
        <f t="shared" si="73"/>
        <v>28.711155999999999</v>
      </c>
      <c r="I752" s="354">
        <f t="shared" si="75"/>
        <v>5.7719458237268937E-6</v>
      </c>
      <c r="J752" s="354">
        <f t="shared" si="74"/>
        <v>0.99992834099160266</v>
      </c>
      <c r="K752" s="682">
        <f>'018-21-CAPA'!$F$37</f>
        <v>4974259.4398541162</v>
      </c>
      <c r="L752" s="689">
        <f t="shared" si="76"/>
        <v>7.4505805969238281E-9</v>
      </c>
      <c r="M752" s="228"/>
      <c r="N752" s="93"/>
      <c r="P752" s="95"/>
    </row>
    <row r="753" spans="1:16" s="94" customFormat="1" ht="38.25">
      <c r="A753" s="343">
        <v>89670</v>
      </c>
      <c r="B753" s="147" t="s">
        <v>2047</v>
      </c>
      <c r="C753" s="351" t="s">
        <v>109</v>
      </c>
      <c r="D753" s="351">
        <v>2</v>
      </c>
      <c r="E753" s="351" t="s">
        <v>22391</v>
      </c>
      <c r="F753" s="352">
        <v>0.2094</v>
      </c>
      <c r="G753" s="353">
        <f t="shared" si="72"/>
        <v>13.859724000000002</v>
      </c>
      <c r="H753" s="353">
        <f t="shared" si="73"/>
        <v>27.719448000000003</v>
      </c>
      <c r="I753" s="354">
        <f t="shared" si="75"/>
        <v>5.5725778550893184E-6</v>
      </c>
      <c r="J753" s="354">
        <f t="shared" si="74"/>
        <v>0.99993391356945771</v>
      </c>
      <c r="K753" s="682">
        <f>'018-21-CAPA'!$F$37</f>
        <v>4974259.4398541162</v>
      </c>
      <c r="L753" s="689">
        <f t="shared" si="76"/>
        <v>7.4505805969238281E-9</v>
      </c>
      <c r="M753" s="228"/>
      <c r="N753" s="93"/>
      <c r="P753" s="95"/>
    </row>
    <row r="754" spans="1:16" s="94" customFormat="1" ht="51">
      <c r="A754" s="343">
        <v>92692</v>
      </c>
      <c r="B754" s="147" t="s">
        <v>13347</v>
      </c>
      <c r="C754" s="351" t="s">
        <v>109</v>
      </c>
      <c r="D754" s="351">
        <v>2</v>
      </c>
      <c r="E754" s="351" t="s">
        <v>23182</v>
      </c>
      <c r="F754" s="352">
        <v>0.2094</v>
      </c>
      <c r="G754" s="353">
        <f t="shared" si="72"/>
        <v>13.436434</v>
      </c>
      <c r="H754" s="353">
        <f t="shared" si="73"/>
        <v>26.872868</v>
      </c>
      <c r="I754" s="354">
        <f t="shared" si="75"/>
        <v>5.402385686740168E-6</v>
      </c>
      <c r="J754" s="354">
        <f t="shared" si="74"/>
        <v>0.9999393159551444</v>
      </c>
      <c r="K754" s="682">
        <f>'018-21-CAPA'!$F$37</f>
        <v>4974259.4398541162</v>
      </c>
      <c r="L754" s="689">
        <f t="shared" si="76"/>
        <v>7.4505805969238281E-9</v>
      </c>
      <c r="M754" s="228"/>
      <c r="N754" s="93"/>
      <c r="P754" s="95"/>
    </row>
    <row r="755" spans="1:16" s="94" customFormat="1" ht="51">
      <c r="A755" s="343">
        <v>100999</v>
      </c>
      <c r="B755" s="147" t="s">
        <v>13871</v>
      </c>
      <c r="C755" s="351" t="s">
        <v>2503</v>
      </c>
      <c r="D755" s="351">
        <v>5.1940999999999997</v>
      </c>
      <c r="E755" s="351" t="s">
        <v>21504</v>
      </c>
      <c r="F755" s="352">
        <v>0.2094</v>
      </c>
      <c r="G755" s="353">
        <f t="shared" si="72"/>
        <v>5.0552919999999997</v>
      </c>
      <c r="H755" s="353">
        <f t="shared" si="73"/>
        <v>26.257692177199996</v>
      </c>
      <c r="I755" s="354">
        <f t="shared" si="75"/>
        <v>5.2787138456875732E-6</v>
      </c>
      <c r="J755" s="354">
        <f t="shared" si="74"/>
        <v>0.99994459466899011</v>
      </c>
      <c r="K755" s="682">
        <f>'018-21-CAPA'!$F$37</f>
        <v>4974259.4398541162</v>
      </c>
      <c r="L755" s="689">
        <f t="shared" si="76"/>
        <v>7.4505805969238281E-9</v>
      </c>
      <c r="M755" s="228"/>
      <c r="N755" s="93"/>
      <c r="P755" s="95"/>
    </row>
    <row r="756" spans="1:16" s="94" customFormat="1" ht="38.25">
      <c r="A756" s="343" t="s">
        <v>9620</v>
      </c>
      <c r="B756" s="147" t="s">
        <v>17335</v>
      </c>
      <c r="C756" s="351" t="s">
        <v>3240</v>
      </c>
      <c r="D756" s="351">
        <v>1</v>
      </c>
      <c r="E756" s="351">
        <v>20.41</v>
      </c>
      <c r="F756" s="352">
        <v>0.2094</v>
      </c>
      <c r="G756" s="353">
        <f t="shared" si="72"/>
        <v>24.683854</v>
      </c>
      <c r="H756" s="353">
        <f t="shared" si="73"/>
        <v>24.683854</v>
      </c>
      <c r="I756" s="354">
        <f t="shared" si="75"/>
        <v>4.9623173657230791E-6</v>
      </c>
      <c r="J756" s="354">
        <f t="shared" si="74"/>
        <v>0.99994955698635579</v>
      </c>
      <c r="K756" s="682">
        <f>'018-21-CAPA'!$F$37</f>
        <v>4974259.4398541162</v>
      </c>
      <c r="L756" s="689">
        <f t="shared" si="76"/>
        <v>7.4505805969238281E-9</v>
      </c>
      <c r="M756" s="228"/>
      <c r="N756" s="93"/>
      <c r="P756" s="95"/>
    </row>
    <row r="757" spans="1:16" s="94" customFormat="1" ht="38.25">
      <c r="A757" s="343" t="s">
        <v>14689</v>
      </c>
      <c r="B757" s="147" t="s">
        <v>17332</v>
      </c>
      <c r="C757" s="351" t="s">
        <v>3240</v>
      </c>
      <c r="D757" s="351">
        <v>1</v>
      </c>
      <c r="E757" s="351">
        <v>20.2</v>
      </c>
      <c r="F757" s="352">
        <v>0.2094</v>
      </c>
      <c r="G757" s="353">
        <f t="shared" si="72"/>
        <v>24.429880000000001</v>
      </c>
      <c r="H757" s="353">
        <f t="shared" si="73"/>
        <v>24.429880000000001</v>
      </c>
      <c r="I757" s="354">
        <f t="shared" si="75"/>
        <v>4.9112597152183341E-6</v>
      </c>
      <c r="J757" s="354">
        <f t="shared" si="74"/>
        <v>0.99995446824607104</v>
      </c>
      <c r="K757" s="682">
        <f>'018-21-CAPA'!$F$37</f>
        <v>4974259.4398541162</v>
      </c>
      <c r="L757" s="689">
        <f t="shared" si="76"/>
        <v>7.4505805969238281E-9</v>
      </c>
      <c r="M757" s="228"/>
      <c r="N757" s="93"/>
      <c r="P757" s="95"/>
    </row>
    <row r="758" spans="1:16" s="94" customFormat="1">
      <c r="A758" s="343" t="s">
        <v>24579</v>
      </c>
      <c r="B758" s="147" t="s">
        <v>24580</v>
      </c>
      <c r="C758" s="351" t="s">
        <v>10</v>
      </c>
      <c r="D758" s="351">
        <v>1</v>
      </c>
      <c r="E758" s="351">
        <v>19.5</v>
      </c>
      <c r="F758" s="352">
        <v>0.2094</v>
      </c>
      <c r="G758" s="353">
        <f t="shared" si="72"/>
        <v>23.583300000000001</v>
      </c>
      <c r="H758" s="353">
        <f t="shared" si="73"/>
        <v>23.583300000000001</v>
      </c>
      <c r="I758" s="354">
        <f t="shared" si="75"/>
        <v>4.7410675468691837E-6</v>
      </c>
      <c r="J758" s="354">
        <f t="shared" si="74"/>
        <v>0.99995920931361792</v>
      </c>
      <c r="K758" s="682">
        <f>'018-21-CAPA'!$F$37</f>
        <v>4974259.4398541162</v>
      </c>
      <c r="L758" s="689">
        <f t="shared" si="76"/>
        <v>7.4505805969238281E-9</v>
      </c>
      <c r="M758" s="228"/>
      <c r="N758" s="93"/>
      <c r="P758" s="95"/>
    </row>
    <row r="759" spans="1:16" s="94" customFormat="1" ht="38.25">
      <c r="A759" s="343" t="s">
        <v>11605</v>
      </c>
      <c r="B759" s="147" t="s">
        <v>16996</v>
      </c>
      <c r="C759" s="351" t="s">
        <v>109</v>
      </c>
      <c r="D759" s="351">
        <v>1</v>
      </c>
      <c r="E759" s="351">
        <v>19.41</v>
      </c>
      <c r="F759" s="352">
        <v>0.2094</v>
      </c>
      <c r="G759" s="353">
        <f t="shared" si="72"/>
        <v>23.474454000000001</v>
      </c>
      <c r="H759" s="353">
        <f t="shared" si="73"/>
        <v>23.474454000000001</v>
      </c>
      <c r="I759" s="354">
        <f t="shared" si="75"/>
        <v>4.7191856966528645E-6</v>
      </c>
      <c r="J759" s="354">
        <f t="shared" si="74"/>
        <v>0.99996392849931459</v>
      </c>
      <c r="K759" s="682">
        <f>'018-21-CAPA'!$F$37</f>
        <v>4974259.4398541162</v>
      </c>
      <c r="L759" s="689">
        <f t="shared" si="76"/>
        <v>7.4505805969238281E-9</v>
      </c>
      <c r="M759" s="228"/>
      <c r="N759" s="93"/>
      <c r="P759" s="95"/>
    </row>
    <row r="760" spans="1:16" s="94" customFormat="1" ht="51">
      <c r="A760" s="343">
        <v>89737</v>
      </c>
      <c r="B760" s="147" t="s">
        <v>2100</v>
      </c>
      <c r="C760" s="351" t="s">
        <v>109</v>
      </c>
      <c r="D760" s="351">
        <v>1</v>
      </c>
      <c r="E760" s="351" t="s">
        <v>10977</v>
      </c>
      <c r="F760" s="352">
        <v>0.2094</v>
      </c>
      <c r="G760" s="353">
        <f t="shared" si="72"/>
        <v>21.224970000000003</v>
      </c>
      <c r="H760" s="353">
        <f t="shared" si="73"/>
        <v>21.224970000000003</v>
      </c>
      <c r="I760" s="354">
        <f t="shared" si="75"/>
        <v>4.2669607921822663E-6</v>
      </c>
      <c r="J760" s="354">
        <f t="shared" si="74"/>
        <v>0.99996819546010673</v>
      </c>
      <c r="K760" s="682">
        <f>'018-21-CAPA'!$F$37</f>
        <v>4974259.4398541162</v>
      </c>
      <c r="L760" s="689">
        <f t="shared" si="76"/>
        <v>7.4505805969238281E-9</v>
      </c>
      <c r="M760" s="228"/>
      <c r="N760" s="93"/>
      <c r="P760" s="95"/>
    </row>
    <row r="761" spans="1:16" s="94" customFormat="1" ht="25.5">
      <c r="A761" s="343" t="s">
        <v>16954</v>
      </c>
      <c r="B761" s="147" t="s">
        <v>14891</v>
      </c>
      <c r="C761" s="351" t="s">
        <v>109</v>
      </c>
      <c r="D761" s="351">
        <v>1</v>
      </c>
      <c r="E761" s="351">
        <v>17.239999999999998</v>
      </c>
      <c r="F761" s="352">
        <v>0.2094</v>
      </c>
      <c r="G761" s="353">
        <f t="shared" si="72"/>
        <v>20.850055999999999</v>
      </c>
      <c r="H761" s="353">
        <f t="shared" si="73"/>
        <v>20.850055999999999</v>
      </c>
      <c r="I761" s="354">
        <f t="shared" si="75"/>
        <v>4.1915899747704985E-6</v>
      </c>
      <c r="J761" s="354">
        <f t="shared" si="74"/>
        <v>0.99997238705008151</v>
      </c>
      <c r="K761" s="682">
        <f>'018-21-CAPA'!$F$37</f>
        <v>4974259.4398541162</v>
      </c>
      <c r="L761" s="689">
        <f t="shared" si="76"/>
        <v>7.4505805969238281E-9</v>
      </c>
      <c r="M761" s="228"/>
      <c r="N761" s="93"/>
      <c r="P761" s="95"/>
    </row>
    <row r="762" spans="1:16" s="94" customFormat="1" ht="25.5">
      <c r="A762" s="343" t="s">
        <v>18401</v>
      </c>
      <c r="B762" s="147" t="s">
        <v>18402</v>
      </c>
      <c r="C762" s="351" t="s">
        <v>109</v>
      </c>
      <c r="D762" s="351">
        <v>2</v>
      </c>
      <c r="E762" s="351">
        <v>8.43</v>
      </c>
      <c r="F762" s="352">
        <v>0.2094</v>
      </c>
      <c r="G762" s="353">
        <f t="shared" si="72"/>
        <v>10.195242</v>
      </c>
      <c r="H762" s="353">
        <f t="shared" si="73"/>
        <v>20.390484000000001</v>
      </c>
      <c r="I762" s="354">
        <f t="shared" si="75"/>
        <v>4.0991999405238177E-6</v>
      </c>
      <c r="J762" s="354">
        <f t="shared" si="74"/>
        <v>0.999976486250022</v>
      </c>
      <c r="K762" s="682">
        <f>'018-21-CAPA'!$F$37</f>
        <v>4974259.4398541162</v>
      </c>
      <c r="L762" s="689">
        <f t="shared" si="76"/>
        <v>7.4505805969238281E-9</v>
      </c>
      <c r="M762" s="228"/>
      <c r="N762" s="93"/>
      <c r="P762" s="95"/>
    </row>
    <row r="763" spans="1:16" s="94" customFormat="1" ht="25.5">
      <c r="A763" s="343" t="s">
        <v>18403</v>
      </c>
      <c r="B763" s="147" t="s">
        <v>18404</v>
      </c>
      <c r="C763" s="351" t="s">
        <v>109</v>
      </c>
      <c r="D763" s="351">
        <v>1</v>
      </c>
      <c r="E763" s="351">
        <v>16.580000000000002</v>
      </c>
      <c r="F763" s="352">
        <v>0.2094</v>
      </c>
      <c r="G763" s="353">
        <f t="shared" si="72"/>
        <v>20.051852000000004</v>
      </c>
      <c r="H763" s="353">
        <f t="shared" si="73"/>
        <v>20.051852000000004</v>
      </c>
      <c r="I763" s="354">
        <f t="shared" si="75"/>
        <v>4.0311230731841581E-6</v>
      </c>
      <c r="J763" s="354">
        <f t="shared" si="74"/>
        <v>0.99998051737309523</v>
      </c>
      <c r="K763" s="682">
        <f>'018-21-CAPA'!$F$37</f>
        <v>4974259.4398541162</v>
      </c>
      <c r="L763" s="689">
        <f t="shared" si="76"/>
        <v>7.4505805969238281E-9</v>
      </c>
      <c r="M763" s="228"/>
      <c r="N763" s="93"/>
      <c r="P763" s="95"/>
    </row>
    <row r="764" spans="1:16" s="94" customFormat="1" ht="38.25">
      <c r="A764" s="343">
        <v>89658</v>
      </c>
      <c r="B764" s="147" t="s">
        <v>2035</v>
      </c>
      <c r="C764" s="351" t="s">
        <v>109</v>
      </c>
      <c r="D764" s="351">
        <v>2</v>
      </c>
      <c r="E764" s="351" t="s">
        <v>10193</v>
      </c>
      <c r="F764" s="352">
        <v>0.2094</v>
      </c>
      <c r="G764" s="353">
        <f t="shared" si="72"/>
        <v>9.5179780000000012</v>
      </c>
      <c r="H764" s="353">
        <f t="shared" si="73"/>
        <v>19.035956000000002</v>
      </c>
      <c r="I764" s="354">
        <f t="shared" si="75"/>
        <v>3.8268924711651774E-6</v>
      </c>
      <c r="J764" s="354">
        <f t="shared" si="74"/>
        <v>0.99998434426556637</v>
      </c>
      <c r="K764" s="682">
        <f>'018-21-CAPA'!$F$37</f>
        <v>4974259.4398541162</v>
      </c>
      <c r="L764" s="689">
        <f t="shared" si="76"/>
        <v>7.4505805969238281E-9</v>
      </c>
      <c r="M764" s="228"/>
      <c r="N764" s="93"/>
      <c r="P764" s="95"/>
    </row>
    <row r="765" spans="1:16" s="94" customFormat="1" ht="38.25">
      <c r="A765" s="343" t="s">
        <v>18441</v>
      </c>
      <c r="B765" s="147" t="s">
        <v>17133</v>
      </c>
      <c r="C765" s="351" t="s">
        <v>109</v>
      </c>
      <c r="D765" s="351">
        <v>1</v>
      </c>
      <c r="E765" s="351">
        <v>15.07</v>
      </c>
      <c r="F765" s="352">
        <v>0.2094</v>
      </c>
      <c r="G765" s="353">
        <f t="shared" si="72"/>
        <v>18.225657999999999</v>
      </c>
      <c r="H765" s="353">
        <f t="shared" si="73"/>
        <v>18.225657999999999</v>
      </c>
      <c r="I765" s="354">
        <f t="shared" si="75"/>
        <v>3.6639942528881334E-6</v>
      </c>
      <c r="J765" s="354">
        <f t="shared" si="74"/>
        <v>0.99998800825981926</v>
      </c>
      <c r="K765" s="682">
        <f>'018-21-CAPA'!$F$37</f>
        <v>4974259.4398541162</v>
      </c>
      <c r="L765" s="689">
        <f t="shared" si="76"/>
        <v>7.4505805969238281E-9</v>
      </c>
      <c r="M765" s="228"/>
      <c r="N765" s="93"/>
      <c r="P765" s="95"/>
    </row>
    <row r="766" spans="1:16" s="94" customFormat="1" ht="51">
      <c r="A766" s="343" t="s">
        <v>17756</v>
      </c>
      <c r="B766" s="147" t="s">
        <v>17755</v>
      </c>
      <c r="C766" s="351" t="s">
        <v>3240</v>
      </c>
      <c r="D766" s="351">
        <v>1</v>
      </c>
      <c r="E766" s="351">
        <v>13.49</v>
      </c>
      <c r="F766" s="352">
        <v>0.2094</v>
      </c>
      <c r="G766" s="353">
        <f t="shared" si="72"/>
        <v>16.314806000000001</v>
      </c>
      <c r="H766" s="353">
        <f t="shared" si="73"/>
        <v>16.314806000000001</v>
      </c>
      <c r="I766" s="354">
        <f t="shared" si="75"/>
        <v>3.2798462157571945E-6</v>
      </c>
      <c r="J766" s="354">
        <f t="shared" si="74"/>
        <v>0.99999128810603499</v>
      </c>
      <c r="K766" s="682">
        <f>'018-21-CAPA'!$F$37</f>
        <v>4974259.4398541162</v>
      </c>
      <c r="L766" s="689">
        <f t="shared" si="76"/>
        <v>7.4505805969238281E-9</v>
      </c>
      <c r="M766" s="228"/>
      <c r="N766" s="93"/>
      <c r="P766" s="95"/>
    </row>
    <row r="767" spans="1:16" s="94" customFormat="1" ht="38.25">
      <c r="A767" s="343" t="s">
        <v>11604</v>
      </c>
      <c r="B767" s="147" t="s">
        <v>18380</v>
      </c>
      <c r="C767" s="351" t="s">
        <v>109</v>
      </c>
      <c r="D767" s="351">
        <v>1</v>
      </c>
      <c r="E767" s="351">
        <v>12.98</v>
      </c>
      <c r="F767" s="352">
        <v>0.2094</v>
      </c>
      <c r="G767" s="353">
        <f t="shared" si="72"/>
        <v>15.698012</v>
      </c>
      <c r="H767" s="353">
        <f t="shared" si="73"/>
        <v>15.698012</v>
      </c>
      <c r="I767" s="354">
        <f t="shared" si="75"/>
        <v>3.1558490645313849E-6</v>
      </c>
      <c r="J767" s="354">
        <f t="shared" si="74"/>
        <v>0.99999444395509951</v>
      </c>
      <c r="K767" s="682">
        <f>'018-21-CAPA'!$F$37</f>
        <v>4974259.4398541162</v>
      </c>
      <c r="L767" s="689">
        <f t="shared" si="76"/>
        <v>7.4505805969238281E-9</v>
      </c>
      <c r="M767" s="228"/>
      <c r="N767" s="93"/>
      <c r="P767" s="95"/>
    </row>
    <row r="768" spans="1:16" s="94" customFormat="1" ht="38.25">
      <c r="A768" s="343">
        <v>89363</v>
      </c>
      <c r="B768" s="147" t="s">
        <v>1828</v>
      </c>
      <c r="C768" s="351" t="s">
        <v>109</v>
      </c>
      <c r="D768" s="351">
        <v>1</v>
      </c>
      <c r="E768" s="351" t="s">
        <v>16047</v>
      </c>
      <c r="F768" s="352">
        <v>0.2094</v>
      </c>
      <c r="G768" s="353">
        <f t="shared" si="72"/>
        <v>10.981352000000001</v>
      </c>
      <c r="H768" s="353">
        <f t="shared" si="73"/>
        <v>10.981352000000001</v>
      </c>
      <c r="I768" s="354">
        <f t="shared" si="75"/>
        <v>2.2076355551575483E-6</v>
      </c>
      <c r="J768" s="354">
        <f t="shared" si="74"/>
        <v>0.99999665159065465</v>
      </c>
      <c r="K768" s="682">
        <f>'018-21-CAPA'!$F$37</f>
        <v>4974259.4398541162</v>
      </c>
      <c r="L768" s="689">
        <f t="shared" si="76"/>
        <v>7.4505805969238281E-9</v>
      </c>
      <c r="M768" s="228"/>
      <c r="N768" s="93"/>
      <c r="P768" s="95"/>
    </row>
    <row r="769" spans="1:16" s="94" customFormat="1" ht="38.25">
      <c r="A769" s="343">
        <v>91190</v>
      </c>
      <c r="B769" s="147" t="s">
        <v>2445</v>
      </c>
      <c r="C769" s="351" t="s">
        <v>109</v>
      </c>
      <c r="D769" s="351">
        <v>2</v>
      </c>
      <c r="E769" s="351" t="s">
        <v>15841</v>
      </c>
      <c r="F769" s="352">
        <v>0.2094</v>
      </c>
      <c r="G769" s="353">
        <f t="shared" si="72"/>
        <v>5.4543939999999997</v>
      </c>
      <c r="H769" s="353">
        <f t="shared" si="73"/>
        <v>10.908787999999999</v>
      </c>
      <c r="I769" s="354">
        <f t="shared" si="75"/>
        <v>2.193047655013335E-6</v>
      </c>
      <c r="J769" s="354">
        <f t="shared" si="74"/>
        <v>0.99999884463830968</v>
      </c>
      <c r="K769" s="682">
        <f>'018-21-CAPA'!$F$37</f>
        <v>4974259.4398541162</v>
      </c>
      <c r="L769" s="689">
        <f t="shared" si="76"/>
        <v>7.4505805969238281E-9</v>
      </c>
      <c r="M769" s="228"/>
      <c r="N769" s="93"/>
      <c r="P769" s="95"/>
    </row>
    <row r="770" spans="1:16" s="94" customFormat="1">
      <c r="A770" s="343" t="s">
        <v>24861</v>
      </c>
      <c r="B770" s="147" t="s">
        <v>24863</v>
      </c>
      <c r="C770" s="351" t="s">
        <v>193</v>
      </c>
      <c r="D770" s="351">
        <v>0.89999999999999991</v>
      </c>
      <c r="E770" s="351">
        <v>5.28</v>
      </c>
      <c r="F770" s="352">
        <v>0.2094</v>
      </c>
      <c r="G770" s="353">
        <f t="shared" si="72"/>
        <v>6.3856320000000002</v>
      </c>
      <c r="H770" s="353">
        <f t="shared" si="73"/>
        <v>5.7470687999999992</v>
      </c>
      <c r="I770" s="354">
        <f t="shared" si="75"/>
        <v>1.1553616914216594E-6</v>
      </c>
      <c r="J770" s="354">
        <f t="shared" si="74"/>
        <v>1.0000000000000011</v>
      </c>
      <c r="K770" s="682">
        <f>'018-21-CAPA'!$F$37</f>
        <v>4974259.4398541162</v>
      </c>
      <c r="L770" s="689">
        <f t="shared" si="76"/>
        <v>7.4505805969238281E-9</v>
      </c>
      <c r="M770" s="228"/>
      <c r="N770" s="93"/>
      <c r="P770" s="95"/>
    </row>
    <row r="771" spans="1:16" s="94" customFormat="1">
      <c r="A771" s="342"/>
      <c r="B771" s="96"/>
      <c r="C771" s="348"/>
      <c r="D771" s="348"/>
      <c r="E771" s="348"/>
      <c r="F771" s="349"/>
      <c r="G771" s="349"/>
      <c r="H771" s="349"/>
      <c r="I771" s="350"/>
      <c r="J771" s="350"/>
      <c r="K771" s="682"/>
      <c r="L771" s="689"/>
      <c r="M771" s="93"/>
      <c r="N771" s="93"/>
      <c r="P771" s="95"/>
    </row>
    <row r="772" spans="1:16" s="94" customFormat="1">
      <c r="A772" s="344"/>
      <c r="B772" s="93"/>
      <c r="C772" s="355"/>
      <c r="D772" s="356" t="s">
        <v>18273</v>
      </c>
      <c r="E772" s="357"/>
      <c r="F772" s="357">
        <f>SUM(H11:H770)</f>
        <v>4974259.4398541087</v>
      </c>
      <c r="G772" s="357"/>
      <c r="H772" s="357"/>
      <c r="I772" s="350"/>
      <c r="J772" s="358">
        <f>J770</f>
        <v>1.0000000000000011</v>
      </c>
      <c r="K772" s="682"/>
      <c r="L772" s="689"/>
      <c r="M772" s="93"/>
      <c r="N772" s="93"/>
      <c r="P772" s="95"/>
    </row>
    <row r="773" spans="1:16" s="94" customFormat="1">
      <c r="A773" s="344"/>
      <c r="B773" s="93"/>
      <c r="C773" s="355"/>
      <c r="D773" s="356"/>
      <c r="E773" s="357"/>
      <c r="F773" s="357"/>
      <c r="G773" s="357"/>
      <c r="H773" s="357"/>
      <c r="I773" s="350"/>
      <c r="J773" s="358"/>
      <c r="K773" s="682"/>
      <c r="L773" s="689"/>
      <c r="M773" s="93"/>
      <c r="N773" s="93"/>
      <c r="P773" s="95"/>
    </row>
    <row r="774" spans="1:16" s="76" customFormat="1" ht="58.15" customHeight="1">
      <c r="A774" s="842" t="str">
        <f>'018-21-cotação'!A1676:I1676</f>
        <v>ENG. GABRIEL DA CUNHA ARAUJO
CREA 23300/D-DF
ART: 0720210046394
MAT.: 973.175-X</v>
      </c>
      <c r="B774" s="842"/>
      <c r="C774" s="842"/>
      <c r="D774" s="842"/>
      <c r="E774" s="842"/>
      <c r="F774" s="842"/>
      <c r="G774" s="842"/>
      <c r="H774" s="842"/>
      <c r="I774" s="842"/>
      <c r="J774" s="842"/>
      <c r="K774" s="673"/>
      <c r="L774" s="688"/>
    </row>
    <row r="775" spans="1:16" s="76" customFormat="1" ht="58.15" customHeight="1">
      <c r="A775" s="842" t="str">
        <f>'018-21-cotação'!A1677:I1677</f>
        <v>ENG. GILMAR DA MOTA FERNANDES
CREA 23785/D-DF
ART: 0720210047629
MAT.: 973.113-X</v>
      </c>
      <c r="B775" s="842"/>
      <c r="C775" s="842"/>
      <c r="D775" s="842"/>
      <c r="E775" s="842"/>
      <c r="F775" s="842"/>
      <c r="G775" s="842"/>
      <c r="H775" s="842"/>
      <c r="I775" s="842"/>
      <c r="J775" s="842"/>
      <c r="K775" s="673"/>
      <c r="L775" s="688"/>
    </row>
    <row r="776" spans="1:16" s="76" customFormat="1" ht="58.15" customHeight="1">
      <c r="A776" s="842" t="str">
        <f>'018-21-cotação'!A1678:I1678</f>
        <v>ENG. TIAGO DE SOUZA OLIVEIRA
CREA 24935/D-DF
ART: 0720210047000
MAT.: 973.315-9</v>
      </c>
      <c r="B776" s="842"/>
      <c r="C776" s="842"/>
      <c r="D776" s="842"/>
      <c r="E776" s="842"/>
      <c r="F776" s="842"/>
      <c r="G776" s="842"/>
      <c r="H776" s="842"/>
      <c r="I776" s="842"/>
      <c r="J776" s="842"/>
      <c r="K776" s="673"/>
      <c r="L776" s="688"/>
    </row>
    <row r="777" spans="1:16" s="94" customFormat="1">
      <c r="A777" s="344"/>
      <c r="B777" s="97"/>
      <c r="C777" s="355"/>
      <c r="D777" s="350"/>
      <c r="E777" s="350"/>
      <c r="F777" s="350"/>
      <c r="G777" s="350"/>
      <c r="H777" s="350"/>
      <c r="I777" s="350"/>
      <c r="J777" s="350"/>
      <c r="K777" s="682"/>
      <c r="L777" s="689"/>
      <c r="M777" s="93"/>
      <c r="N777" s="93"/>
      <c r="P777" s="95"/>
    </row>
    <row r="778" spans="1:16" s="94" customFormat="1">
      <c r="A778" s="344"/>
      <c r="B778" s="97"/>
      <c r="C778" s="355"/>
      <c r="D778" s="350"/>
      <c r="E778" s="350"/>
      <c r="F778" s="350"/>
      <c r="G778" s="350"/>
      <c r="H778" s="350"/>
      <c r="I778" s="350"/>
      <c r="J778" s="350"/>
      <c r="K778" s="682"/>
      <c r="L778" s="689"/>
      <c r="M778" s="93"/>
      <c r="N778" s="93"/>
      <c r="P778" s="95"/>
    </row>
    <row r="779" spans="1:16" s="94" customFormat="1">
      <c r="A779" s="344"/>
      <c r="B779" s="97"/>
      <c r="C779" s="355"/>
      <c r="D779" s="350"/>
      <c r="E779" s="350"/>
      <c r="F779" s="350"/>
      <c r="G779" s="350"/>
      <c r="H779" s="350"/>
      <c r="I779" s="350"/>
      <c r="J779" s="350"/>
      <c r="K779" s="682"/>
      <c r="L779" s="689"/>
      <c r="M779" s="93"/>
      <c r="N779" s="93"/>
      <c r="P779" s="95"/>
    </row>
    <row r="780" spans="1:16" s="94" customFormat="1">
      <c r="A780" s="344"/>
      <c r="B780" s="97"/>
      <c r="C780" s="355"/>
      <c r="D780" s="350"/>
      <c r="E780" s="350"/>
      <c r="F780" s="350"/>
      <c r="G780" s="350"/>
      <c r="H780" s="350"/>
      <c r="I780" s="350"/>
      <c r="J780" s="350"/>
      <c r="K780" s="682"/>
      <c r="L780" s="689"/>
      <c r="M780" s="93"/>
      <c r="N780" s="93"/>
      <c r="P780" s="95"/>
    </row>
    <row r="781" spans="1:16" s="94" customFormat="1">
      <c r="A781" s="344"/>
      <c r="B781" s="93"/>
      <c r="C781" s="355"/>
      <c r="D781" s="350"/>
      <c r="E781" s="350"/>
      <c r="F781" s="350"/>
      <c r="G781" s="350"/>
      <c r="H781" s="350"/>
      <c r="I781" s="350"/>
      <c r="J781" s="350"/>
      <c r="K781" s="682"/>
      <c r="L781" s="689"/>
      <c r="M781" s="93"/>
      <c r="N781" s="93"/>
      <c r="P781" s="95"/>
    </row>
    <row r="782" spans="1:16" s="94" customFormat="1">
      <c r="A782" s="344"/>
      <c r="B782" s="93"/>
      <c r="C782" s="355"/>
      <c r="D782" s="350"/>
      <c r="E782" s="350"/>
      <c r="F782" s="350"/>
      <c r="G782" s="350"/>
      <c r="H782" s="350"/>
      <c r="I782" s="350"/>
      <c r="J782" s="350"/>
      <c r="K782" s="682"/>
      <c r="L782" s="689"/>
      <c r="M782" s="93"/>
      <c r="N782" s="93"/>
      <c r="P782" s="95"/>
    </row>
    <row r="783" spans="1:16" s="94" customFormat="1">
      <c r="A783" s="344"/>
      <c r="B783" s="93"/>
      <c r="C783" s="355"/>
      <c r="D783" s="350"/>
      <c r="E783" s="350"/>
      <c r="F783" s="350"/>
      <c r="G783" s="350"/>
      <c r="H783" s="350"/>
      <c r="I783" s="350"/>
      <c r="J783" s="350"/>
      <c r="K783" s="682"/>
      <c r="L783" s="689"/>
      <c r="M783" s="93"/>
      <c r="N783" s="93"/>
      <c r="P783" s="95"/>
    </row>
    <row r="784" spans="1:16" s="94" customFormat="1">
      <c r="A784" s="344"/>
      <c r="B784" s="93"/>
      <c r="C784" s="355"/>
      <c r="D784" s="350"/>
      <c r="E784" s="350"/>
      <c r="F784" s="350"/>
      <c r="G784" s="350"/>
      <c r="H784" s="350"/>
      <c r="I784" s="350"/>
      <c r="J784" s="350"/>
      <c r="K784" s="682"/>
      <c r="L784" s="689"/>
      <c r="M784" s="93"/>
      <c r="N784" s="93"/>
      <c r="P784" s="95"/>
    </row>
    <row r="785" spans="1:16" s="94" customFormat="1">
      <c r="A785" s="344"/>
      <c r="B785" s="93"/>
      <c r="C785" s="355"/>
      <c r="D785" s="350"/>
      <c r="E785" s="350"/>
      <c r="F785" s="350"/>
      <c r="G785" s="350"/>
      <c r="H785" s="350"/>
      <c r="I785" s="350"/>
      <c r="J785" s="350"/>
      <c r="K785" s="682"/>
      <c r="L785" s="689"/>
      <c r="M785" s="93"/>
      <c r="N785" s="93"/>
      <c r="P785" s="95"/>
    </row>
    <row r="786" spans="1:16" s="94" customFormat="1">
      <c r="A786" s="344"/>
      <c r="B786" s="93"/>
      <c r="C786" s="355"/>
      <c r="D786" s="350"/>
      <c r="E786" s="350"/>
      <c r="F786" s="350"/>
      <c r="G786" s="350"/>
      <c r="H786" s="350"/>
      <c r="I786" s="350"/>
      <c r="J786" s="350"/>
      <c r="K786" s="682"/>
      <c r="L786" s="689"/>
      <c r="M786" s="93"/>
      <c r="N786" s="93"/>
      <c r="P786" s="95"/>
    </row>
    <row r="787" spans="1:16" s="94" customFormat="1">
      <c r="A787" s="344"/>
      <c r="B787" s="93"/>
      <c r="C787" s="355"/>
      <c r="D787" s="350"/>
      <c r="E787" s="350"/>
      <c r="F787" s="350"/>
      <c r="G787" s="350"/>
      <c r="H787" s="350"/>
      <c r="I787" s="350"/>
      <c r="J787" s="350"/>
      <c r="K787" s="682"/>
      <c r="L787" s="689"/>
      <c r="M787" s="93"/>
      <c r="N787" s="93"/>
      <c r="P787" s="95"/>
    </row>
    <row r="788" spans="1:16" s="94" customFormat="1">
      <c r="A788" s="344"/>
      <c r="B788" s="93"/>
      <c r="C788" s="355"/>
      <c r="D788" s="350"/>
      <c r="E788" s="350"/>
      <c r="F788" s="350"/>
      <c r="G788" s="350"/>
      <c r="H788" s="350"/>
      <c r="I788" s="350"/>
      <c r="J788" s="350"/>
      <c r="K788" s="682"/>
      <c r="L788" s="689"/>
      <c r="M788" s="93"/>
      <c r="N788" s="93"/>
      <c r="P788" s="95"/>
    </row>
    <row r="789" spans="1:16" s="94" customFormat="1">
      <c r="A789" s="344"/>
      <c r="B789" s="93"/>
      <c r="C789" s="355"/>
      <c r="D789" s="350"/>
      <c r="E789" s="350"/>
      <c r="F789" s="350"/>
      <c r="G789" s="350"/>
      <c r="H789" s="350"/>
      <c r="I789" s="350"/>
      <c r="J789" s="350"/>
      <c r="K789" s="682"/>
      <c r="L789" s="689"/>
      <c r="M789" s="93"/>
      <c r="N789" s="93"/>
      <c r="P789" s="95"/>
    </row>
    <row r="790" spans="1:16" s="94" customFormat="1">
      <c r="A790" s="344"/>
      <c r="B790" s="93"/>
      <c r="C790" s="355"/>
      <c r="D790" s="350"/>
      <c r="E790" s="350"/>
      <c r="F790" s="350"/>
      <c r="G790" s="350"/>
      <c r="H790" s="350"/>
      <c r="I790" s="350"/>
      <c r="J790" s="350"/>
      <c r="K790" s="682"/>
      <c r="L790" s="689"/>
      <c r="M790" s="93"/>
      <c r="N790" s="93"/>
      <c r="P790" s="95"/>
    </row>
    <row r="791" spans="1:16" s="94" customFormat="1">
      <c r="A791" s="344"/>
      <c r="B791" s="93"/>
      <c r="C791" s="355"/>
      <c r="D791" s="350"/>
      <c r="E791" s="350"/>
      <c r="F791" s="350"/>
      <c r="G791" s="350"/>
      <c r="H791" s="350"/>
      <c r="I791" s="350"/>
      <c r="J791" s="350"/>
      <c r="K791" s="682"/>
      <c r="L791" s="689"/>
      <c r="M791" s="93"/>
      <c r="N791" s="93"/>
      <c r="P791" s="95"/>
    </row>
    <row r="792" spans="1:16" s="94" customFormat="1">
      <c r="A792" s="344"/>
      <c r="B792" s="93"/>
      <c r="C792" s="355"/>
      <c r="D792" s="350"/>
      <c r="E792" s="350"/>
      <c r="F792" s="350"/>
      <c r="G792" s="350"/>
      <c r="H792" s="350"/>
      <c r="I792" s="350"/>
      <c r="J792" s="350"/>
      <c r="K792" s="682"/>
      <c r="L792" s="689"/>
      <c r="M792" s="93"/>
      <c r="N792" s="93"/>
      <c r="P792" s="95"/>
    </row>
    <row r="793" spans="1:16" s="94" customFormat="1">
      <c r="A793" s="344"/>
      <c r="B793" s="93"/>
      <c r="C793" s="355"/>
      <c r="D793" s="350"/>
      <c r="E793" s="350"/>
      <c r="F793" s="350"/>
      <c r="G793" s="350"/>
      <c r="H793" s="350"/>
      <c r="I793" s="350"/>
      <c r="J793" s="350"/>
      <c r="K793" s="682"/>
      <c r="L793" s="689"/>
      <c r="M793" s="93"/>
      <c r="N793" s="93"/>
      <c r="P793" s="95"/>
    </row>
    <row r="794" spans="1:16" s="94" customFormat="1">
      <c r="A794" s="344"/>
      <c r="B794" s="93"/>
      <c r="C794" s="355"/>
      <c r="D794" s="350"/>
      <c r="E794" s="350"/>
      <c r="F794" s="350"/>
      <c r="G794" s="350"/>
      <c r="H794" s="350"/>
      <c r="I794" s="350"/>
      <c r="J794" s="350"/>
      <c r="K794" s="682"/>
      <c r="L794" s="689"/>
      <c r="M794" s="93"/>
      <c r="N794" s="93"/>
      <c r="P794" s="95"/>
    </row>
    <row r="795" spans="1:16" s="94" customFormat="1">
      <c r="A795" s="344"/>
      <c r="B795" s="93"/>
      <c r="C795" s="355"/>
      <c r="D795" s="350"/>
      <c r="E795" s="350"/>
      <c r="F795" s="350"/>
      <c r="G795" s="350"/>
      <c r="H795" s="350"/>
      <c r="I795" s="350"/>
      <c r="J795" s="350"/>
      <c r="K795" s="682"/>
      <c r="L795" s="689"/>
      <c r="M795" s="93"/>
      <c r="N795" s="93"/>
      <c r="P795" s="95"/>
    </row>
    <row r="796" spans="1:16" s="94" customFormat="1">
      <c r="A796" s="344"/>
      <c r="B796" s="93"/>
      <c r="C796" s="355"/>
      <c r="D796" s="350"/>
      <c r="E796" s="350"/>
      <c r="F796" s="350"/>
      <c r="G796" s="350"/>
      <c r="H796" s="350"/>
      <c r="I796" s="350"/>
      <c r="J796" s="350"/>
      <c r="K796" s="682"/>
      <c r="L796" s="689"/>
      <c r="M796" s="93"/>
      <c r="N796" s="93"/>
      <c r="P796" s="95"/>
    </row>
    <row r="797" spans="1:16" s="94" customFormat="1">
      <c r="A797" s="344"/>
      <c r="B797" s="93"/>
      <c r="C797" s="355"/>
      <c r="D797" s="350"/>
      <c r="E797" s="350"/>
      <c r="F797" s="350"/>
      <c r="G797" s="350"/>
      <c r="H797" s="350"/>
      <c r="I797" s="350"/>
      <c r="J797" s="350"/>
      <c r="K797" s="682"/>
      <c r="L797" s="689"/>
      <c r="M797" s="93"/>
      <c r="N797" s="93"/>
      <c r="P797" s="95"/>
    </row>
    <row r="798" spans="1:16" s="94" customFormat="1">
      <c r="A798" s="344"/>
      <c r="B798" s="93"/>
      <c r="C798" s="355"/>
      <c r="D798" s="350"/>
      <c r="E798" s="350"/>
      <c r="F798" s="350"/>
      <c r="G798" s="350"/>
      <c r="H798" s="350"/>
      <c r="I798" s="350"/>
      <c r="J798" s="350"/>
      <c r="K798" s="682"/>
      <c r="L798" s="689"/>
      <c r="M798" s="93"/>
      <c r="N798" s="93"/>
      <c r="P798" s="95"/>
    </row>
    <row r="799" spans="1:16" s="94" customFormat="1">
      <c r="A799" s="344"/>
      <c r="B799" s="93"/>
      <c r="C799" s="355"/>
      <c r="D799" s="350"/>
      <c r="E799" s="350"/>
      <c r="F799" s="350"/>
      <c r="G799" s="350"/>
      <c r="H799" s="350"/>
      <c r="I799" s="350"/>
      <c r="J799" s="350"/>
      <c r="K799" s="682"/>
      <c r="L799" s="689"/>
      <c r="M799" s="93"/>
      <c r="N799" s="93"/>
      <c r="P799" s="95"/>
    </row>
    <row r="800" spans="1:16" s="94" customFormat="1">
      <c r="A800" s="344"/>
      <c r="B800" s="93"/>
      <c r="C800" s="355"/>
      <c r="D800" s="350"/>
      <c r="E800" s="350"/>
      <c r="F800" s="350"/>
      <c r="G800" s="350"/>
      <c r="H800" s="350"/>
      <c r="I800" s="350"/>
      <c r="J800" s="350"/>
      <c r="K800" s="682"/>
      <c r="L800" s="689"/>
      <c r="M800" s="93"/>
      <c r="N800" s="93"/>
      <c r="P800" s="95"/>
    </row>
    <row r="801" spans="1:16" s="94" customFormat="1">
      <c r="A801" s="344"/>
      <c r="B801" s="93"/>
      <c r="C801" s="355"/>
      <c r="D801" s="350"/>
      <c r="E801" s="350"/>
      <c r="F801" s="350"/>
      <c r="G801" s="350"/>
      <c r="H801" s="350"/>
      <c r="I801" s="350"/>
      <c r="J801" s="350"/>
      <c r="K801" s="682"/>
      <c r="L801" s="689"/>
      <c r="M801" s="93"/>
      <c r="N801" s="93"/>
      <c r="P801" s="95"/>
    </row>
    <row r="802" spans="1:16" s="94" customFormat="1">
      <c r="A802" s="344"/>
      <c r="B802" s="93"/>
      <c r="C802" s="355"/>
      <c r="D802" s="350"/>
      <c r="E802" s="350"/>
      <c r="F802" s="350"/>
      <c r="G802" s="350"/>
      <c r="H802" s="350"/>
      <c r="I802" s="350"/>
      <c r="J802" s="350"/>
      <c r="K802" s="682"/>
      <c r="L802" s="689"/>
      <c r="M802" s="93"/>
      <c r="N802" s="93"/>
      <c r="P802" s="95"/>
    </row>
    <row r="803" spans="1:16" s="94" customFormat="1">
      <c r="A803" s="344"/>
      <c r="B803" s="93"/>
      <c r="C803" s="355"/>
      <c r="D803" s="350"/>
      <c r="E803" s="350"/>
      <c r="F803" s="350"/>
      <c r="G803" s="350"/>
      <c r="H803" s="350"/>
      <c r="I803" s="350"/>
      <c r="J803" s="350"/>
      <c r="K803" s="682"/>
      <c r="L803" s="689"/>
      <c r="M803" s="93"/>
      <c r="N803" s="93"/>
      <c r="P803" s="95"/>
    </row>
    <row r="804" spans="1:16" s="94" customFormat="1">
      <c r="A804" s="344"/>
      <c r="B804" s="93"/>
      <c r="C804" s="355"/>
      <c r="D804" s="350"/>
      <c r="E804" s="350"/>
      <c r="F804" s="350"/>
      <c r="G804" s="350"/>
      <c r="H804" s="350"/>
      <c r="I804" s="350"/>
      <c r="J804" s="350"/>
      <c r="K804" s="682"/>
      <c r="L804" s="689"/>
      <c r="M804" s="93"/>
      <c r="N804" s="93"/>
      <c r="P804" s="95"/>
    </row>
    <row r="805" spans="1:16" s="94" customFormat="1">
      <c r="A805" s="344"/>
      <c r="B805" s="93"/>
      <c r="C805" s="355"/>
      <c r="D805" s="350"/>
      <c r="E805" s="350"/>
      <c r="F805" s="350"/>
      <c r="G805" s="350"/>
      <c r="H805" s="350"/>
      <c r="I805" s="350"/>
      <c r="J805" s="350"/>
      <c r="K805" s="682"/>
      <c r="L805" s="689"/>
      <c r="M805" s="93"/>
      <c r="N805" s="93"/>
      <c r="P805" s="95"/>
    </row>
    <row r="806" spans="1:16" s="94" customFormat="1">
      <c r="A806" s="344"/>
      <c r="B806" s="93"/>
      <c r="C806" s="355"/>
      <c r="D806" s="350"/>
      <c r="E806" s="350"/>
      <c r="F806" s="350"/>
      <c r="G806" s="350"/>
      <c r="H806" s="350"/>
      <c r="I806" s="350"/>
      <c r="J806" s="350"/>
      <c r="K806" s="682"/>
      <c r="L806" s="689"/>
      <c r="M806" s="93"/>
      <c r="N806" s="93"/>
      <c r="P806" s="95"/>
    </row>
    <row r="807" spans="1:16" s="94" customFormat="1">
      <c r="A807" s="344"/>
      <c r="B807" s="93"/>
      <c r="C807" s="355"/>
      <c r="D807" s="350"/>
      <c r="E807" s="350"/>
      <c r="F807" s="350"/>
      <c r="G807" s="350"/>
      <c r="H807" s="350"/>
      <c r="I807" s="350"/>
      <c r="J807" s="350"/>
      <c r="K807" s="682"/>
      <c r="L807" s="689"/>
      <c r="M807" s="93"/>
      <c r="N807" s="93"/>
      <c r="P807" s="95"/>
    </row>
    <row r="808" spans="1:16" s="94" customFormat="1">
      <c r="A808" s="344"/>
      <c r="B808" s="93"/>
      <c r="C808" s="355"/>
      <c r="D808" s="350"/>
      <c r="E808" s="350"/>
      <c r="F808" s="350"/>
      <c r="G808" s="350"/>
      <c r="H808" s="350"/>
      <c r="I808" s="350"/>
      <c r="J808" s="350"/>
      <c r="K808" s="682"/>
      <c r="L808" s="689"/>
      <c r="M808" s="93"/>
      <c r="N808" s="93"/>
      <c r="P808" s="95"/>
    </row>
    <row r="809" spans="1:16" s="94" customFormat="1">
      <c r="A809" s="344"/>
      <c r="B809" s="93"/>
      <c r="C809" s="355"/>
      <c r="D809" s="350"/>
      <c r="E809" s="350"/>
      <c r="F809" s="350"/>
      <c r="G809" s="350"/>
      <c r="H809" s="350"/>
      <c r="I809" s="350"/>
      <c r="J809" s="350"/>
      <c r="K809" s="682"/>
      <c r="L809" s="689"/>
      <c r="M809" s="93"/>
      <c r="N809" s="93"/>
      <c r="P809" s="95"/>
    </row>
    <row r="810" spans="1:16" s="94" customFormat="1">
      <c r="A810" s="344"/>
      <c r="B810" s="93"/>
      <c r="C810" s="355"/>
      <c r="D810" s="350"/>
      <c r="E810" s="350"/>
      <c r="F810" s="350"/>
      <c r="G810" s="350"/>
      <c r="H810" s="350"/>
      <c r="I810" s="350"/>
      <c r="J810" s="350"/>
      <c r="K810" s="682"/>
      <c r="L810" s="689"/>
      <c r="M810" s="93"/>
      <c r="N810" s="93"/>
      <c r="P810" s="95"/>
    </row>
    <row r="811" spans="1:16" s="94" customFormat="1">
      <c r="A811" s="344"/>
      <c r="B811" s="93"/>
      <c r="C811" s="355"/>
      <c r="D811" s="350"/>
      <c r="E811" s="350"/>
      <c r="F811" s="350"/>
      <c r="G811" s="350"/>
      <c r="H811" s="350"/>
      <c r="I811" s="350"/>
      <c r="J811" s="350"/>
      <c r="K811" s="682"/>
      <c r="L811" s="689"/>
      <c r="M811" s="93"/>
      <c r="N811" s="93"/>
      <c r="P811" s="95"/>
    </row>
    <row r="812" spans="1:16" s="94" customFormat="1">
      <c r="A812" s="344"/>
      <c r="B812" s="93"/>
      <c r="C812" s="355"/>
      <c r="D812" s="350"/>
      <c r="E812" s="350"/>
      <c r="F812" s="350"/>
      <c r="G812" s="350"/>
      <c r="H812" s="350"/>
      <c r="I812" s="350"/>
      <c r="J812" s="350"/>
      <c r="K812" s="682"/>
      <c r="L812" s="689"/>
      <c r="M812" s="93"/>
      <c r="N812" s="93"/>
      <c r="P812" s="95"/>
    </row>
    <row r="813" spans="1:16" s="94" customFormat="1">
      <c r="A813" s="344"/>
      <c r="B813" s="93"/>
      <c r="C813" s="355"/>
      <c r="D813" s="350"/>
      <c r="E813" s="350"/>
      <c r="F813" s="350"/>
      <c r="G813" s="350"/>
      <c r="H813" s="350"/>
      <c r="I813" s="350"/>
      <c r="J813" s="350"/>
      <c r="K813" s="682"/>
      <c r="L813" s="689"/>
      <c r="M813" s="93"/>
      <c r="N813" s="93"/>
      <c r="P813" s="95"/>
    </row>
    <row r="814" spans="1:16" s="94" customFormat="1">
      <c r="A814" s="344"/>
      <c r="B814" s="93"/>
      <c r="C814" s="355"/>
      <c r="D814" s="350"/>
      <c r="E814" s="350"/>
      <c r="F814" s="350"/>
      <c r="G814" s="350"/>
      <c r="H814" s="350"/>
      <c r="I814" s="350"/>
      <c r="J814" s="350"/>
      <c r="K814" s="682"/>
      <c r="L814" s="689"/>
      <c r="M814" s="93"/>
      <c r="N814" s="93"/>
      <c r="P814" s="95"/>
    </row>
    <row r="815" spans="1:16" s="94" customFormat="1">
      <c r="A815" s="344"/>
      <c r="B815" s="93"/>
      <c r="C815" s="355"/>
      <c r="D815" s="350"/>
      <c r="E815" s="350"/>
      <c r="F815" s="350"/>
      <c r="G815" s="350"/>
      <c r="H815" s="350"/>
      <c r="I815" s="350"/>
      <c r="J815" s="350"/>
      <c r="K815" s="682"/>
      <c r="L815" s="689"/>
      <c r="M815" s="93"/>
      <c r="N815" s="93"/>
      <c r="P815" s="95"/>
    </row>
    <row r="816" spans="1:16" s="94" customFormat="1">
      <c r="A816" s="344"/>
      <c r="B816" s="93"/>
      <c r="C816" s="355"/>
      <c r="D816" s="350"/>
      <c r="E816" s="350"/>
      <c r="F816" s="350"/>
      <c r="G816" s="350"/>
      <c r="H816" s="350"/>
      <c r="I816" s="350"/>
      <c r="J816" s="350"/>
      <c r="K816" s="682"/>
      <c r="L816" s="689"/>
      <c r="M816" s="93"/>
      <c r="N816" s="93"/>
      <c r="P816" s="95"/>
    </row>
    <row r="817" spans="1:16" s="94" customFormat="1">
      <c r="A817" s="344"/>
      <c r="B817" s="93"/>
      <c r="C817" s="355"/>
      <c r="D817" s="350"/>
      <c r="E817" s="350"/>
      <c r="F817" s="350"/>
      <c r="G817" s="350"/>
      <c r="H817" s="350"/>
      <c r="I817" s="350"/>
      <c r="J817" s="350"/>
      <c r="K817" s="682"/>
      <c r="L817" s="689"/>
      <c r="M817" s="93"/>
      <c r="N817" s="93"/>
      <c r="P817" s="95"/>
    </row>
    <row r="818" spans="1:16" s="94" customFormat="1">
      <c r="A818" s="344"/>
      <c r="B818" s="93"/>
      <c r="C818" s="355"/>
      <c r="D818" s="350"/>
      <c r="E818" s="350"/>
      <c r="F818" s="350"/>
      <c r="G818" s="350"/>
      <c r="H818" s="350"/>
      <c r="I818" s="350"/>
      <c r="J818" s="350"/>
      <c r="K818" s="682"/>
      <c r="L818" s="689"/>
      <c r="M818" s="93"/>
      <c r="N818" s="93"/>
      <c r="P818" s="95"/>
    </row>
    <row r="819" spans="1:16" s="94" customFormat="1">
      <c r="A819" s="344"/>
      <c r="B819" s="93"/>
      <c r="C819" s="355"/>
      <c r="D819" s="350"/>
      <c r="E819" s="350"/>
      <c r="F819" s="350"/>
      <c r="G819" s="350"/>
      <c r="H819" s="350"/>
      <c r="I819" s="350"/>
      <c r="J819" s="350"/>
      <c r="K819" s="682"/>
      <c r="L819" s="689"/>
      <c r="M819" s="93"/>
      <c r="N819" s="93"/>
      <c r="P819" s="95"/>
    </row>
    <row r="820" spans="1:16" s="94" customFormat="1">
      <c r="A820" s="344"/>
      <c r="B820" s="93"/>
      <c r="C820" s="355"/>
      <c r="D820" s="350"/>
      <c r="E820" s="350"/>
      <c r="F820" s="350"/>
      <c r="G820" s="350"/>
      <c r="H820" s="350"/>
      <c r="I820" s="350"/>
      <c r="J820" s="350"/>
      <c r="K820" s="682"/>
      <c r="L820" s="689"/>
      <c r="M820" s="93"/>
      <c r="N820" s="93"/>
      <c r="P820" s="95"/>
    </row>
    <row r="821" spans="1:16" s="94" customFormat="1">
      <c r="A821" s="344"/>
      <c r="B821" s="93"/>
      <c r="C821" s="355"/>
      <c r="D821" s="350"/>
      <c r="E821" s="350"/>
      <c r="F821" s="350"/>
      <c r="G821" s="350"/>
      <c r="H821" s="350"/>
      <c r="I821" s="350"/>
      <c r="J821" s="350"/>
      <c r="K821" s="682"/>
      <c r="L821" s="689"/>
      <c r="M821" s="93"/>
      <c r="N821" s="93"/>
      <c r="P821" s="95"/>
    </row>
    <row r="822" spans="1:16" s="94" customFormat="1">
      <c r="A822" s="344"/>
      <c r="B822" s="93"/>
      <c r="C822" s="355"/>
      <c r="D822" s="350"/>
      <c r="E822" s="350"/>
      <c r="F822" s="350"/>
      <c r="G822" s="350"/>
      <c r="H822" s="350"/>
      <c r="I822" s="350"/>
      <c r="J822" s="350"/>
      <c r="K822" s="682"/>
      <c r="L822" s="689"/>
      <c r="M822" s="93"/>
      <c r="N822" s="93"/>
      <c r="P822" s="95"/>
    </row>
    <row r="823" spans="1:16" s="94" customFormat="1">
      <c r="A823" s="344"/>
      <c r="B823" s="93"/>
      <c r="C823" s="355"/>
      <c r="D823" s="350"/>
      <c r="E823" s="350"/>
      <c r="F823" s="350"/>
      <c r="G823" s="350"/>
      <c r="H823" s="350"/>
      <c r="I823" s="350"/>
      <c r="J823" s="350"/>
      <c r="K823" s="682"/>
      <c r="L823" s="689"/>
      <c r="M823" s="93"/>
      <c r="N823" s="93"/>
      <c r="P823" s="95"/>
    </row>
    <row r="824" spans="1:16" s="94" customFormat="1">
      <c r="A824" s="344"/>
      <c r="B824" s="93"/>
      <c r="C824" s="355"/>
      <c r="D824" s="350"/>
      <c r="E824" s="350"/>
      <c r="F824" s="350"/>
      <c r="G824" s="350"/>
      <c r="H824" s="350"/>
      <c r="I824" s="350"/>
      <c r="J824" s="350"/>
      <c r="K824" s="682"/>
      <c r="L824" s="689"/>
      <c r="M824" s="93"/>
      <c r="N824" s="93"/>
      <c r="P824" s="95"/>
    </row>
    <row r="825" spans="1:16" s="94" customFormat="1">
      <c r="A825" s="344"/>
      <c r="B825" s="93"/>
      <c r="C825" s="355"/>
      <c r="D825" s="350"/>
      <c r="E825" s="350"/>
      <c r="F825" s="350"/>
      <c r="G825" s="350"/>
      <c r="H825" s="350"/>
      <c r="I825" s="350"/>
      <c r="J825" s="350"/>
      <c r="K825" s="682"/>
      <c r="L825" s="689"/>
      <c r="M825" s="93"/>
      <c r="N825" s="93"/>
      <c r="P825" s="95"/>
    </row>
    <row r="826" spans="1:16" s="94" customFormat="1">
      <c r="A826" s="344"/>
      <c r="B826" s="93"/>
      <c r="C826" s="355"/>
      <c r="D826" s="350"/>
      <c r="E826" s="350"/>
      <c r="F826" s="350"/>
      <c r="G826" s="350"/>
      <c r="H826" s="350"/>
      <c r="I826" s="350"/>
      <c r="J826" s="350"/>
      <c r="K826" s="682"/>
      <c r="L826" s="689"/>
      <c r="M826" s="93"/>
      <c r="N826" s="93"/>
      <c r="P826" s="95"/>
    </row>
    <row r="827" spans="1:16" s="94" customFormat="1">
      <c r="A827" s="344"/>
      <c r="B827" s="93"/>
      <c r="C827" s="355"/>
      <c r="D827" s="350"/>
      <c r="E827" s="350"/>
      <c r="F827" s="350"/>
      <c r="G827" s="350"/>
      <c r="H827" s="350"/>
      <c r="I827" s="350"/>
      <c r="J827" s="350"/>
      <c r="K827" s="682"/>
      <c r="L827" s="689"/>
      <c r="M827" s="93"/>
      <c r="N827" s="93"/>
      <c r="P827" s="95"/>
    </row>
    <row r="828" spans="1:16" s="94" customFormat="1">
      <c r="A828" s="344"/>
      <c r="B828" s="93"/>
      <c r="C828" s="355"/>
      <c r="D828" s="350"/>
      <c r="E828" s="350"/>
      <c r="F828" s="350"/>
      <c r="G828" s="350"/>
      <c r="H828" s="350"/>
      <c r="I828" s="350"/>
      <c r="J828" s="350"/>
      <c r="K828" s="682"/>
      <c r="L828" s="689"/>
      <c r="M828" s="93"/>
      <c r="N828" s="93"/>
      <c r="P828" s="95"/>
    </row>
    <row r="829" spans="1:16" s="94" customFormat="1">
      <c r="A829" s="344"/>
      <c r="B829" s="93"/>
      <c r="C829" s="355"/>
      <c r="D829" s="350"/>
      <c r="E829" s="350"/>
      <c r="F829" s="350"/>
      <c r="G829" s="350"/>
      <c r="H829" s="350"/>
      <c r="I829" s="350"/>
      <c r="J829" s="350"/>
      <c r="K829" s="682"/>
      <c r="L829" s="689"/>
      <c r="M829" s="93"/>
      <c r="N829" s="93"/>
      <c r="P829" s="95"/>
    </row>
    <row r="830" spans="1:16" s="94" customFormat="1">
      <c r="A830" s="344"/>
      <c r="B830" s="93"/>
      <c r="C830" s="355"/>
      <c r="D830" s="350"/>
      <c r="E830" s="350"/>
      <c r="F830" s="350"/>
      <c r="G830" s="350"/>
      <c r="H830" s="350"/>
      <c r="I830" s="350"/>
      <c r="J830" s="350"/>
      <c r="K830" s="682"/>
      <c r="L830" s="689"/>
      <c r="M830" s="93"/>
      <c r="N830" s="93"/>
      <c r="P830" s="95"/>
    </row>
    <row r="831" spans="1:16" s="94" customFormat="1">
      <c r="A831" s="344"/>
      <c r="B831" s="93"/>
      <c r="C831" s="355"/>
      <c r="D831" s="350"/>
      <c r="E831" s="350"/>
      <c r="F831" s="350"/>
      <c r="G831" s="350"/>
      <c r="H831" s="350"/>
      <c r="I831" s="350"/>
      <c r="J831" s="350"/>
      <c r="K831" s="682"/>
      <c r="L831" s="689"/>
      <c r="M831" s="93"/>
      <c r="N831" s="93"/>
      <c r="P831" s="95"/>
    </row>
    <row r="832" spans="1:16" s="94" customFormat="1">
      <c r="A832" s="344"/>
      <c r="B832" s="93"/>
      <c r="C832" s="355"/>
      <c r="D832" s="350"/>
      <c r="E832" s="350"/>
      <c r="F832" s="350"/>
      <c r="G832" s="350"/>
      <c r="H832" s="350"/>
      <c r="I832" s="350"/>
      <c r="J832" s="350"/>
      <c r="K832" s="682"/>
      <c r="L832" s="689"/>
      <c r="M832" s="93"/>
      <c r="N832" s="93"/>
      <c r="P832" s="95"/>
    </row>
    <row r="833" spans="1:16" s="94" customFormat="1">
      <c r="A833" s="344"/>
      <c r="B833" s="93"/>
      <c r="C833" s="355"/>
      <c r="D833" s="350"/>
      <c r="E833" s="350"/>
      <c r="F833" s="350"/>
      <c r="G833" s="350"/>
      <c r="H833" s="350"/>
      <c r="I833" s="350"/>
      <c r="J833" s="350"/>
      <c r="K833" s="682"/>
      <c r="L833" s="689"/>
      <c r="M833" s="93"/>
      <c r="N833" s="93"/>
      <c r="P833" s="95"/>
    </row>
    <row r="834" spans="1:16" s="94" customFormat="1">
      <c r="A834" s="344"/>
      <c r="B834" s="93"/>
      <c r="C834" s="355"/>
      <c r="D834" s="350"/>
      <c r="E834" s="350"/>
      <c r="F834" s="350"/>
      <c r="G834" s="350"/>
      <c r="H834" s="350"/>
      <c r="I834" s="350"/>
      <c r="J834" s="350"/>
      <c r="K834" s="682"/>
      <c r="L834" s="689"/>
      <c r="M834" s="93"/>
      <c r="N834" s="93"/>
      <c r="P834" s="95"/>
    </row>
    <row r="835" spans="1:16" s="94" customFormat="1">
      <c r="A835" s="344"/>
      <c r="B835" s="93"/>
      <c r="C835" s="355"/>
      <c r="D835" s="350"/>
      <c r="E835" s="350"/>
      <c r="F835" s="350"/>
      <c r="G835" s="350"/>
      <c r="H835" s="350"/>
      <c r="I835" s="350"/>
      <c r="J835" s="350"/>
      <c r="K835" s="682"/>
      <c r="L835" s="689"/>
      <c r="M835" s="93"/>
      <c r="N835" s="93"/>
      <c r="P835" s="95"/>
    </row>
    <row r="836" spans="1:16" s="94" customFormat="1">
      <c r="A836" s="344"/>
      <c r="B836" s="93"/>
      <c r="C836" s="355"/>
      <c r="D836" s="350"/>
      <c r="E836" s="350"/>
      <c r="F836" s="350"/>
      <c r="G836" s="350"/>
      <c r="H836" s="350"/>
      <c r="I836" s="350"/>
      <c r="J836" s="350"/>
      <c r="K836" s="682"/>
      <c r="L836" s="689"/>
      <c r="M836" s="93"/>
      <c r="N836" s="93"/>
      <c r="P836" s="95"/>
    </row>
    <row r="837" spans="1:16" s="94" customFormat="1">
      <c r="A837" s="344"/>
      <c r="B837" s="93"/>
      <c r="C837" s="355"/>
      <c r="D837" s="350"/>
      <c r="E837" s="350"/>
      <c r="F837" s="350"/>
      <c r="G837" s="350"/>
      <c r="H837" s="350"/>
      <c r="I837" s="350"/>
      <c r="J837" s="350"/>
      <c r="K837" s="682"/>
      <c r="L837" s="689"/>
      <c r="M837" s="93"/>
      <c r="N837" s="93"/>
      <c r="P837" s="95"/>
    </row>
    <row r="838" spans="1:16" s="94" customFormat="1">
      <c r="A838" s="344"/>
      <c r="B838" s="93"/>
      <c r="C838" s="355"/>
      <c r="D838" s="350"/>
      <c r="E838" s="350"/>
      <c r="F838" s="350"/>
      <c r="G838" s="350"/>
      <c r="H838" s="350"/>
      <c r="I838" s="350"/>
      <c r="J838" s="350"/>
      <c r="K838" s="682"/>
      <c r="L838" s="689"/>
      <c r="M838" s="93"/>
      <c r="N838" s="93"/>
      <c r="P838" s="95"/>
    </row>
    <row r="839" spans="1:16" s="94" customFormat="1">
      <c r="A839" s="344"/>
      <c r="B839" s="93"/>
      <c r="C839" s="355"/>
      <c r="D839" s="350"/>
      <c r="E839" s="350"/>
      <c r="F839" s="350"/>
      <c r="G839" s="350"/>
      <c r="H839" s="350"/>
      <c r="I839" s="350"/>
      <c r="J839" s="350"/>
      <c r="K839" s="682"/>
      <c r="L839" s="689"/>
      <c r="M839" s="93"/>
      <c r="N839" s="93"/>
      <c r="P839" s="95"/>
    </row>
    <row r="840" spans="1:16" s="94" customFormat="1">
      <c r="A840" s="344"/>
      <c r="B840" s="93"/>
      <c r="C840" s="355"/>
      <c r="D840" s="350"/>
      <c r="E840" s="350"/>
      <c r="F840" s="350"/>
      <c r="G840" s="350"/>
      <c r="H840" s="350"/>
      <c r="I840" s="350"/>
      <c r="J840" s="350"/>
      <c r="K840" s="682"/>
      <c r="L840" s="689"/>
      <c r="M840" s="93"/>
      <c r="N840" s="93"/>
      <c r="P840" s="95"/>
    </row>
    <row r="841" spans="1:16" s="94" customFormat="1">
      <c r="A841" s="344"/>
      <c r="B841" s="93"/>
      <c r="C841" s="355"/>
      <c r="D841" s="350"/>
      <c r="E841" s="350"/>
      <c r="F841" s="350"/>
      <c r="G841" s="350"/>
      <c r="H841" s="350"/>
      <c r="I841" s="350"/>
      <c r="J841" s="350"/>
      <c r="K841" s="682"/>
      <c r="L841" s="689"/>
      <c r="M841" s="93"/>
      <c r="N841" s="93"/>
      <c r="P841" s="95"/>
    </row>
    <row r="842" spans="1:16" s="94" customFormat="1">
      <c r="A842" s="344"/>
      <c r="B842" s="93"/>
      <c r="C842" s="355"/>
      <c r="D842" s="350"/>
      <c r="E842" s="350"/>
      <c r="F842" s="350"/>
      <c r="G842" s="350"/>
      <c r="H842" s="350"/>
      <c r="I842" s="350"/>
      <c r="J842" s="350"/>
      <c r="K842" s="682"/>
      <c r="L842" s="689"/>
      <c r="M842" s="93"/>
      <c r="N842" s="93"/>
      <c r="P842" s="95"/>
    </row>
    <row r="843" spans="1:16" s="94" customFormat="1">
      <c r="A843" s="344"/>
      <c r="B843" s="93"/>
      <c r="C843" s="355"/>
      <c r="D843" s="350"/>
      <c r="E843" s="350"/>
      <c r="F843" s="350"/>
      <c r="G843" s="350"/>
      <c r="H843" s="350"/>
      <c r="I843" s="350"/>
      <c r="J843" s="350"/>
      <c r="K843" s="682"/>
      <c r="L843" s="689"/>
      <c r="M843" s="93"/>
      <c r="N843" s="93"/>
      <c r="P843" s="95"/>
    </row>
    <row r="844" spans="1:16" s="94" customFormat="1">
      <c r="A844" s="344"/>
      <c r="B844" s="93"/>
      <c r="C844" s="355"/>
      <c r="D844" s="350"/>
      <c r="E844" s="350"/>
      <c r="F844" s="350"/>
      <c r="G844" s="350"/>
      <c r="H844" s="350"/>
      <c r="I844" s="350"/>
      <c r="J844" s="350"/>
      <c r="K844" s="682"/>
      <c r="L844" s="689"/>
      <c r="M844" s="93"/>
      <c r="N844" s="93"/>
      <c r="P844" s="95"/>
    </row>
    <row r="845" spans="1:16" s="94" customFormat="1">
      <c r="A845" s="344"/>
      <c r="B845" s="93"/>
      <c r="C845" s="355"/>
      <c r="D845" s="350"/>
      <c r="E845" s="350"/>
      <c r="F845" s="350"/>
      <c r="G845" s="350"/>
      <c r="H845" s="350"/>
      <c r="I845" s="350"/>
      <c r="J845" s="350"/>
      <c r="K845" s="682"/>
      <c r="L845" s="689"/>
      <c r="M845" s="93"/>
      <c r="N845" s="93"/>
      <c r="P845" s="95"/>
    </row>
    <row r="846" spans="1:16" s="94" customFormat="1">
      <c r="A846" s="344"/>
      <c r="B846" s="93"/>
      <c r="C846" s="355"/>
      <c r="D846" s="350"/>
      <c r="E846" s="350"/>
      <c r="F846" s="350"/>
      <c r="G846" s="350"/>
      <c r="H846" s="350"/>
      <c r="I846" s="350"/>
      <c r="J846" s="350"/>
      <c r="K846" s="682"/>
      <c r="L846" s="689"/>
      <c r="M846" s="93"/>
      <c r="N846" s="93"/>
      <c r="P846" s="95"/>
    </row>
    <row r="847" spans="1:16" s="94" customFormat="1">
      <c r="A847" s="344"/>
      <c r="B847" s="93"/>
      <c r="C847" s="355"/>
      <c r="D847" s="350"/>
      <c r="E847" s="350"/>
      <c r="F847" s="350"/>
      <c r="G847" s="350"/>
      <c r="H847" s="350"/>
      <c r="I847" s="350"/>
      <c r="J847" s="350"/>
      <c r="K847" s="682"/>
      <c r="L847" s="689"/>
      <c r="M847" s="93"/>
      <c r="N847" s="93"/>
      <c r="P847" s="95"/>
    </row>
    <row r="848" spans="1:16" s="94" customFormat="1">
      <c r="A848" s="344"/>
      <c r="B848" s="93"/>
      <c r="C848" s="355"/>
      <c r="D848" s="350"/>
      <c r="E848" s="350"/>
      <c r="F848" s="350"/>
      <c r="G848" s="350"/>
      <c r="H848" s="350"/>
      <c r="I848" s="350"/>
      <c r="J848" s="350"/>
      <c r="K848" s="682"/>
      <c r="L848" s="689"/>
      <c r="M848" s="93"/>
      <c r="N848" s="93"/>
      <c r="P848" s="95"/>
    </row>
    <row r="849" spans="1:16" s="94" customFormat="1">
      <c r="A849" s="344"/>
      <c r="B849" s="93"/>
      <c r="C849" s="355"/>
      <c r="D849" s="350"/>
      <c r="E849" s="350"/>
      <c r="F849" s="350"/>
      <c r="G849" s="350"/>
      <c r="H849" s="350"/>
      <c r="I849" s="350"/>
      <c r="J849" s="350"/>
      <c r="K849" s="682"/>
      <c r="L849" s="689"/>
      <c r="M849" s="93"/>
      <c r="N849" s="93"/>
      <c r="P849" s="95"/>
    </row>
    <row r="850" spans="1:16" s="94" customFormat="1">
      <c r="A850" s="344"/>
      <c r="B850" s="93"/>
      <c r="C850" s="355"/>
      <c r="D850" s="350"/>
      <c r="E850" s="350"/>
      <c r="F850" s="350"/>
      <c r="G850" s="350"/>
      <c r="H850" s="350"/>
      <c r="I850" s="350"/>
      <c r="J850" s="350"/>
      <c r="K850" s="682"/>
      <c r="L850" s="689"/>
      <c r="M850" s="93"/>
      <c r="N850" s="93"/>
      <c r="P850" s="95"/>
    </row>
    <row r="851" spans="1:16" s="94" customFormat="1">
      <c r="A851" s="344"/>
      <c r="B851" s="93"/>
      <c r="C851" s="355"/>
      <c r="D851" s="350"/>
      <c r="E851" s="350"/>
      <c r="F851" s="350"/>
      <c r="G851" s="350"/>
      <c r="H851" s="350"/>
      <c r="I851" s="350"/>
      <c r="J851" s="350"/>
      <c r="K851" s="682"/>
      <c r="L851" s="689"/>
      <c r="M851" s="93"/>
      <c r="N851" s="93"/>
      <c r="P851" s="95"/>
    </row>
    <row r="852" spans="1:16" s="94" customFormat="1">
      <c r="A852" s="344"/>
      <c r="B852" s="93"/>
      <c r="C852" s="355"/>
      <c r="D852" s="350"/>
      <c r="E852" s="350"/>
      <c r="F852" s="350"/>
      <c r="G852" s="350"/>
      <c r="H852" s="350"/>
      <c r="I852" s="350"/>
      <c r="J852" s="350"/>
      <c r="K852" s="682"/>
      <c r="L852" s="689"/>
      <c r="M852" s="93"/>
      <c r="N852" s="93"/>
      <c r="P852" s="95"/>
    </row>
    <row r="853" spans="1:16" s="94" customFormat="1">
      <c r="A853" s="344"/>
      <c r="B853" s="93"/>
      <c r="C853" s="355"/>
      <c r="D853" s="350"/>
      <c r="E853" s="350"/>
      <c r="F853" s="350"/>
      <c r="G853" s="350"/>
      <c r="H853" s="350"/>
      <c r="I853" s="350"/>
      <c r="J853" s="350"/>
      <c r="K853" s="682"/>
      <c r="L853" s="689"/>
      <c r="M853" s="93"/>
      <c r="N853" s="93"/>
      <c r="P853" s="95"/>
    </row>
    <row r="854" spans="1:16" s="94" customFormat="1">
      <c r="A854" s="344"/>
      <c r="B854" s="93"/>
      <c r="C854" s="355"/>
      <c r="D854" s="350"/>
      <c r="E854" s="350"/>
      <c r="F854" s="350"/>
      <c r="G854" s="350"/>
      <c r="H854" s="350"/>
      <c r="I854" s="350"/>
      <c r="J854" s="350"/>
      <c r="K854" s="682"/>
      <c r="L854" s="689"/>
      <c r="M854" s="93"/>
      <c r="N854" s="93"/>
      <c r="P854" s="95"/>
    </row>
    <row r="855" spans="1:16" s="94" customFormat="1">
      <c r="A855" s="344"/>
      <c r="B855" s="93"/>
      <c r="C855" s="355"/>
      <c r="D855" s="350"/>
      <c r="E855" s="350"/>
      <c r="F855" s="350"/>
      <c r="G855" s="350"/>
      <c r="H855" s="350"/>
      <c r="I855" s="350"/>
      <c r="J855" s="350"/>
      <c r="K855" s="682"/>
      <c r="L855" s="689"/>
      <c r="M855" s="93"/>
      <c r="N855" s="93"/>
      <c r="P855" s="95"/>
    </row>
    <row r="856" spans="1:16" s="94" customFormat="1">
      <c r="A856" s="344"/>
      <c r="B856" s="93"/>
      <c r="C856" s="355"/>
      <c r="D856" s="350"/>
      <c r="E856" s="350"/>
      <c r="F856" s="350"/>
      <c r="G856" s="350"/>
      <c r="H856" s="350"/>
      <c r="I856" s="350"/>
      <c r="J856" s="350"/>
      <c r="K856" s="682"/>
      <c r="L856" s="689"/>
      <c r="M856" s="93"/>
      <c r="N856" s="93"/>
      <c r="P856" s="95"/>
    </row>
    <row r="857" spans="1:16" s="94" customFormat="1">
      <c r="A857" s="344"/>
      <c r="B857" s="93"/>
      <c r="C857" s="355"/>
      <c r="D857" s="350"/>
      <c r="E857" s="350"/>
      <c r="F857" s="350"/>
      <c r="G857" s="350"/>
      <c r="H857" s="350"/>
      <c r="I857" s="350"/>
      <c r="J857" s="350"/>
      <c r="K857" s="682"/>
      <c r="L857" s="689"/>
      <c r="M857" s="93"/>
      <c r="N857" s="93"/>
      <c r="P857" s="95"/>
    </row>
    <row r="858" spans="1:16" s="94" customFormat="1">
      <c r="A858" s="344"/>
      <c r="B858" s="93"/>
      <c r="C858" s="355"/>
      <c r="D858" s="350"/>
      <c r="E858" s="350"/>
      <c r="F858" s="350"/>
      <c r="G858" s="350"/>
      <c r="H858" s="350"/>
      <c r="I858" s="350"/>
      <c r="J858" s="350"/>
      <c r="K858" s="682"/>
      <c r="L858" s="689"/>
      <c r="M858" s="93"/>
      <c r="N858" s="93"/>
      <c r="P858" s="95"/>
    </row>
    <row r="859" spans="1:16" s="94" customFormat="1">
      <c r="A859" s="344"/>
      <c r="B859" s="93"/>
      <c r="C859" s="355"/>
      <c r="D859" s="350"/>
      <c r="E859" s="350"/>
      <c r="F859" s="350"/>
      <c r="G859" s="350"/>
      <c r="H859" s="350"/>
      <c r="I859" s="350"/>
      <c r="J859" s="350"/>
      <c r="K859" s="682"/>
      <c r="L859" s="689"/>
      <c r="M859" s="93"/>
      <c r="N859" s="93"/>
      <c r="P859" s="95"/>
    </row>
    <row r="860" spans="1:16" s="94" customFormat="1">
      <c r="A860" s="344"/>
      <c r="B860" s="93"/>
      <c r="C860" s="355"/>
      <c r="D860" s="350"/>
      <c r="E860" s="350"/>
      <c r="F860" s="350"/>
      <c r="G860" s="350"/>
      <c r="H860" s="350"/>
      <c r="I860" s="350"/>
      <c r="J860" s="350"/>
      <c r="K860" s="682"/>
      <c r="L860" s="689"/>
      <c r="M860" s="93"/>
      <c r="N860" s="93"/>
      <c r="P860" s="95"/>
    </row>
    <row r="861" spans="1:16" s="94" customFormat="1">
      <c r="A861" s="344"/>
      <c r="B861" s="93"/>
      <c r="C861" s="355"/>
      <c r="D861" s="350"/>
      <c r="E861" s="350"/>
      <c r="F861" s="350"/>
      <c r="G861" s="350"/>
      <c r="H861" s="350"/>
      <c r="I861" s="350"/>
      <c r="J861" s="350"/>
      <c r="K861" s="682"/>
      <c r="L861" s="689"/>
      <c r="M861" s="93"/>
      <c r="N861" s="93"/>
      <c r="P861" s="95"/>
    </row>
    <row r="862" spans="1:16" s="94" customFormat="1">
      <c r="A862" s="344"/>
      <c r="B862" s="93"/>
      <c r="C862" s="355"/>
      <c r="D862" s="350"/>
      <c r="E862" s="350"/>
      <c r="F862" s="350"/>
      <c r="G862" s="350"/>
      <c r="H862" s="350"/>
      <c r="I862" s="350"/>
      <c r="J862" s="350"/>
      <c r="K862" s="682"/>
      <c r="L862" s="689"/>
      <c r="M862" s="93"/>
      <c r="N862" s="93"/>
      <c r="P862" s="95"/>
    </row>
    <row r="863" spans="1:16" s="94" customFormat="1">
      <c r="A863" s="344"/>
      <c r="B863" s="93"/>
      <c r="C863" s="355"/>
      <c r="D863" s="350"/>
      <c r="E863" s="350"/>
      <c r="F863" s="350"/>
      <c r="G863" s="350"/>
      <c r="H863" s="350"/>
      <c r="I863" s="350"/>
      <c r="J863" s="350"/>
      <c r="K863" s="682"/>
      <c r="L863" s="689"/>
      <c r="M863" s="93"/>
      <c r="N863" s="93"/>
      <c r="P863" s="95"/>
    </row>
    <row r="864" spans="1:16" s="94" customFormat="1">
      <c r="A864" s="344"/>
      <c r="B864" s="93"/>
      <c r="C864" s="355"/>
      <c r="D864" s="350"/>
      <c r="E864" s="350"/>
      <c r="F864" s="350"/>
      <c r="G864" s="350"/>
      <c r="H864" s="350"/>
      <c r="I864" s="350"/>
      <c r="J864" s="350"/>
      <c r="K864" s="682"/>
      <c r="L864" s="689"/>
      <c r="M864" s="93"/>
      <c r="N864" s="93"/>
      <c r="P864" s="95"/>
    </row>
    <row r="865" spans="1:16" s="94" customFormat="1">
      <c r="A865" s="344"/>
      <c r="B865" s="93"/>
      <c r="C865" s="355"/>
      <c r="D865" s="350"/>
      <c r="E865" s="350"/>
      <c r="F865" s="350"/>
      <c r="G865" s="350"/>
      <c r="H865" s="350"/>
      <c r="I865" s="350"/>
      <c r="J865" s="350"/>
      <c r="K865" s="682"/>
      <c r="L865" s="689"/>
      <c r="M865" s="93"/>
      <c r="N865" s="93"/>
      <c r="P865" s="95"/>
    </row>
    <row r="866" spans="1:16" s="94" customFormat="1">
      <c r="A866" s="344"/>
      <c r="B866" s="93"/>
      <c r="C866" s="355"/>
      <c r="D866" s="350"/>
      <c r="E866" s="350"/>
      <c r="F866" s="350"/>
      <c r="G866" s="350"/>
      <c r="H866" s="350"/>
      <c r="I866" s="350"/>
      <c r="J866" s="350"/>
      <c r="K866" s="682"/>
      <c r="L866" s="689"/>
      <c r="M866" s="93"/>
      <c r="N866" s="93"/>
      <c r="P866" s="95"/>
    </row>
    <row r="867" spans="1:16" s="94" customFormat="1">
      <c r="A867" s="344"/>
      <c r="B867" s="93"/>
      <c r="C867" s="355"/>
      <c r="D867" s="350"/>
      <c r="E867" s="350"/>
      <c r="F867" s="350"/>
      <c r="G867" s="350"/>
      <c r="H867" s="350"/>
      <c r="I867" s="350"/>
      <c r="J867" s="350"/>
      <c r="K867" s="682"/>
      <c r="L867" s="689"/>
      <c r="M867" s="93"/>
      <c r="N867" s="93"/>
      <c r="P867" s="95"/>
    </row>
    <row r="868" spans="1:16" s="94" customFormat="1">
      <c r="A868" s="344"/>
      <c r="B868" s="93"/>
      <c r="C868" s="355"/>
      <c r="D868" s="350"/>
      <c r="E868" s="350"/>
      <c r="F868" s="350"/>
      <c r="G868" s="350"/>
      <c r="H868" s="350"/>
      <c r="I868" s="350"/>
      <c r="J868" s="350"/>
      <c r="K868" s="682"/>
      <c r="L868" s="689"/>
      <c r="M868" s="93"/>
      <c r="N868" s="93"/>
      <c r="P868" s="95"/>
    </row>
    <row r="869" spans="1:16" s="94" customFormat="1">
      <c r="A869" s="344"/>
      <c r="B869" s="93"/>
      <c r="C869" s="355"/>
      <c r="D869" s="350"/>
      <c r="E869" s="350"/>
      <c r="F869" s="350"/>
      <c r="G869" s="350"/>
      <c r="H869" s="350"/>
      <c r="I869" s="350"/>
      <c r="J869" s="350"/>
      <c r="K869" s="682"/>
      <c r="L869" s="689"/>
      <c r="M869" s="93"/>
      <c r="N869" s="93"/>
      <c r="P869" s="95"/>
    </row>
    <row r="870" spans="1:16" s="94" customFormat="1">
      <c r="A870" s="344"/>
      <c r="B870" s="93"/>
      <c r="C870" s="355"/>
      <c r="D870" s="350"/>
      <c r="E870" s="350"/>
      <c r="F870" s="350"/>
      <c r="G870" s="350"/>
      <c r="H870" s="350"/>
      <c r="I870" s="350"/>
      <c r="J870" s="350"/>
      <c r="K870" s="682"/>
      <c r="L870" s="689"/>
      <c r="M870" s="93"/>
      <c r="N870" s="93"/>
      <c r="P870" s="95"/>
    </row>
    <row r="871" spans="1:16" s="94" customFormat="1">
      <c r="A871" s="344"/>
      <c r="B871" s="93"/>
      <c r="C871" s="355"/>
      <c r="D871" s="350"/>
      <c r="E871" s="350"/>
      <c r="F871" s="350"/>
      <c r="G871" s="350"/>
      <c r="H871" s="350"/>
      <c r="I871" s="350"/>
      <c r="J871" s="350"/>
      <c r="K871" s="682"/>
      <c r="L871" s="689"/>
      <c r="M871" s="93"/>
      <c r="N871" s="93"/>
      <c r="P871" s="95"/>
    </row>
    <row r="872" spans="1:16" s="94" customFormat="1">
      <c r="A872" s="344"/>
      <c r="B872" s="93"/>
      <c r="C872" s="355"/>
      <c r="D872" s="350"/>
      <c r="E872" s="350"/>
      <c r="F872" s="350"/>
      <c r="G872" s="350"/>
      <c r="H872" s="350"/>
      <c r="I872" s="350"/>
      <c r="J872" s="350"/>
      <c r="K872" s="682"/>
      <c r="L872" s="689"/>
      <c r="M872" s="93"/>
      <c r="N872" s="93"/>
      <c r="P872" s="95"/>
    </row>
    <row r="873" spans="1:16" s="94" customFormat="1">
      <c r="A873" s="344"/>
      <c r="B873" s="93"/>
      <c r="C873" s="355"/>
      <c r="D873" s="350"/>
      <c r="E873" s="350"/>
      <c r="F873" s="350"/>
      <c r="G873" s="350"/>
      <c r="H873" s="350"/>
      <c r="I873" s="350"/>
      <c r="J873" s="350"/>
      <c r="K873" s="682"/>
      <c r="L873" s="689"/>
      <c r="M873" s="93"/>
      <c r="N873" s="93"/>
      <c r="P873" s="95"/>
    </row>
    <row r="874" spans="1:16" s="94" customFormat="1">
      <c r="A874" s="344"/>
      <c r="B874" s="93"/>
      <c r="C874" s="355"/>
      <c r="D874" s="350"/>
      <c r="E874" s="350"/>
      <c r="F874" s="350"/>
      <c r="G874" s="350"/>
      <c r="H874" s="350"/>
      <c r="I874" s="350"/>
      <c r="J874" s="350"/>
      <c r="K874" s="682"/>
      <c r="L874" s="689"/>
      <c r="M874" s="93"/>
      <c r="N874" s="93"/>
      <c r="P874" s="95"/>
    </row>
    <row r="875" spans="1:16" s="94" customFormat="1">
      <c r="A875" s="344"/>
      <c r="B875" s="93"/>
      <c r="C875" s="355"/>
      <c r="D875" s="350"/>
      <c r="E875" s="350"/>
      <c r="F875" s="350"/>
      <c r="G875" s="350"/>
      <c r="H875" s="350"/>
      <c r="I875" s="350"/>
      <c r="J875" s="350"/>
      <c r="K875" s="682"/>
      <c r="L875" s="689"/>
      <c r="M875" s="93"/>
      <c r="N875" s="93"/>
      <c r="P875" s="95"/>
    </row>
    <row r="876" spans="1:16" s="94" customFormat="1">
      <c r="A876" s="344"/>
      <c r="B876" s="93"/>
      <c r="C876" s="355"/>
      <c r="D876" s="350"/>
      <c r="E876" s="350"/>
      <c r="F876" s="350"/>
      <c r="G876" s="350"/>
      <c r="H876" s="350"/>
      <c r="I876" s="350"/>
      <c r="J876" s="350"/>
      <c r="K876" s="682"/>
      <c r="L876" s="689"/>
      <c r="M876" s="93"/>
      <c r="N876" s="93"/>
      <c r="P876" s="95"/>
    </row>
    <row r="877" spans="1:16" s="94" customFormat="1">
      <c r="A877" s="344"/>
      <c r="B877" s="93"/>
      <c r="C877" s="355"/>
      <c r="D877" s="350"/>
      <c r="E877" s="350"/>
      <c r="F877" s="350"/>
      <c r="G877" s="350"/>
      <c r="H877" s="350"/>
      <c r="I877" s="350"/>
      <c r="J877" s="350"/>
      <c r="K877" s="682"/>
      <c r="L877" s="689"/>
      <c r="M877" s="93"/>
      <c r="N877" s="93"/>
      <c r="P877" s="95"/>
    </row>
    <row r="878" spans="1:16" s="94" customFormat="1">
      <c r="A878" s="344"/>
      <c r="B878" s="93"/>
      <c r="C878" s="355"/>
      <c r="D878" s="350"/>
      <c r="E878" s="350"/>
      <c r="F878" s="350"/>
      <c r="G878" s="350"/>
      <c r="H878" s="350"/>
      <c r="I878" s="350"/>
      <c r="J878" s="350"/>
      <c r="K878" s="682"/>
      <c r="L878" s="689"/>
      <c r="M878" s="93"/>
      <c r="N878" s="93"/>
      <c r="P878" s="95"/>
    </row>
    <row r="879" spans="1:16" s="94" customFormat="1">
      <c r="A879" s="344"/>
      <c r="B879" s="93"/>
      <c r="C879" s="355"/>
      <c r="D879" s="350"/>
      <c r="E879" s="350"/>
      <c r="F879" s="350"/>
      <c r="G879" s="350"/>
      <c r="H879" s="350"/>
      <c r="I879" s="350"/>
      <c r="J879" s="350"/>
      <c r="K879" s="682"/>
      <c r="L879" s="689"/>
      <c r="M879" s="93"/>
      <c r="N879" s="93"/>
      <c r="P879" s="95"/>
    </row>
    <row r="880" spans="1:16" s="94" customFormat="1">
      <c r="A880" s="344"/>
      <c r="B880" s="93"/>
      <c r="C880" s="355"/>
      <c r="D880" s="350"/>
      <c r="E880" s="350"/>
      <c r="F880" s="350"/>
      <c r="G880" s="350"/>
      <c r="H880" s="350"/>
      <c r="I880" s="350"/>
      <c r="J880" s="350"/>
      <c r="K880" s="682"/>
      <c r="L880" s="689"/>
      <c r="M880" s="93"/>
      <c r="N880" s="93"/>
      <c r="P880" s="95"/>
    </row>
    <row r="881" spans="1:16" s="94" customFormat="1">
      <c r="A881" s="344"/>
      <c r="B881" s="93"/>
      <c r="C881" s="355"/>
      <c r="D881" s="350"/>
      <c r="E881" s="350"/>
      <c r="F881" s="350"/>
      <c r="G881" s="350"/>
      <c r="H881" s="350"/>
      <c r="I881" s="350"/>
      <c r="J881" s="350"/>
      <c r="K881" s="682"/>
      <c r="L881" s="689"/>
      <c r="M881" s="93"/>
      <c r="N881" s="93"/>
      <c r="P881" s="95"/>
    </row>
    <row r="882" spans="1:16" s="94" customFormat="1">
      <c r="A882" s="344"/>
      <c r="B882" s="93"/>
      <c r="C882" s="355"/>
      <c r="D882" s="350"/>
      <c r="E882" s="350"/>
      <c r="F882" s="350"/>
      <c r="G882" s="350"/>
      <c r="H882" s="350"/>
      <c r="I882" s="350"/>
      <c r="J882" s="350"/>
      <c r="K882" s="682"/>
      <c r="L882" s="689"/>
      <c r="M882" s="93"/>
      <c r="N882" s="93"/>
      <c r="P882" s="95"/>
    </row>
    <row r="883" spans="1:16" s="94" customFormat="1">
      <c r="A883" s="344"/>
      <c r="B883" s="93"/>
      <c r="C883" s="355"/>
      <c r="D883" s="350"/>
      <c r="E883" s="350"/>
      <c r="F883" s="350"/>
      <c r="G883" s="350"/>
      <c r="H883" s="350"/>
      <c r="I883" s="350"/>
      <c r="J883" s="350"/>
      <c r="K883" s="682"/>
      <c r="L883" s="689"/>
      <c r="M883" s="93"/>
      <c r="N883" s="93"/>
      <c r="P883" s="95"/>
    </row>
    <row r="884" spans="1:16" s="94" customFormat="1">
      <c r="A884" s="344"/>
      <c r="B884" s="93"/>
      <c r="C884" s="355"/>
      <c r="D884" s="350"/>
      <c r="E884" s="350"/>
      <c r="F884" s="350"/>
      <c r="G884" s="350"/>
      <c r="H884" s="350"/>
      <c r="I884" s="350"/>
      <c r="J884" s="350"/>
      <c r="K884" s="682"/>
      <c r="L884" s="689"/>
      <c r="M884" s="93"/>
      <c r="N884" s="93"/>
      <c r="P884" s="95"/>
    </row>
    <row r="885" spans="1:16" s="94" customFormat="1">
      <c r="A885" s="344"/>
      <c r="B885" s="93"/>
      <c r="C885" s="355"/>
      <c r="D885" s="350"/>
      <c r="E885" s="350"/>
      <c r="F885" s="350"/>
      <c r="G885" s="350"/>
      <c r="H885" s="350"/>
      <c r="I885" s="350"/>
      <c r="J885" s="350"/>
      <c r="K885" s="682"/>
      <c r="L885" s="689"/>
      <c r="M885" s="93"/>
      <c r="N885" s="93"/>
      <c r="P885" s="95"/>
    </row>
    <row r="886" spans="1:16" s="94" customFormat="1">
      <c r="A886" s="344"/>
      <c r="B886" s="93"/>
      <c r="C886" s="355"/>
      <c r="D886" s="350"/>
      <c r="E886" s="350"/>
      <c r="F886" s="350"/>
      <c r="G886" s="350"/>
      <c r="H886" s="350"/>
      <c r="I886" s="350"/>
      <c r="J886" s="350"/>
      <c r="K886" s="682"/>
      <c r="L886" s="689"/>
      <c r="M886" s="93"/>
      <c r="N886" s="93"/>
      <c r="P886" s="95"/>
    </row>
    <row r="887" spans="1:16" s="94" customFormat="1">
      <c r="A887" s="344"/>
      <c r="B887" s="93"/>
      <c r="C887" s="355"/>
      <c r="D887" s="350"/>
      <c r="E887" s="350"/>
      <c r="F887" s="350"/>
      <c r="G887" s="350"/>
      <c r="H887" s="350"/>
      <c r="I887" s="350"/>
      <c r="J887" s="350"/>
      <c r="K887" s="682"/>
      <c r="L887" s="689"/>
      <c r="M887" s="93"/>
      <c r="N887" s="93"/>
      <c r="P887" s="95"/>
    </row>
    <row r="888" spans="1:16" s="94" customFormat="1">
      <c r="A888" s="344"/>
      <c r="B888" s="93"/>
      <c r="C888" s="355"/>
      <c r="D888" s="350"/>
      <c r="E888" s="350"/>
      <c r="F888" s="350"/>
      <c r="G888" s="350"/>
      <c r="H888" s="350"/>
      <c r="I888" s="350"/>
      <c r="J888" s="350"/>
      <c r="K888" s="682"/>
      <c r="L888" s="689"/>
      <c r="M888" s="93"/>
      <c r="N888" s="93"/>
      <c r="P888" s="95"/>
    </row>
    <row r="889" spans="1:16" s="94" customFormat="1">
      <c r="A889" s="344"/>
      <c r="B889" s="93"/>
      <c r="C889" s="355"/>
      <c r="D889" s="350"/>
      <c r="E889" s="350"/>
      <c r="F889" s="350"/>
      <c r="G889" s="350"/>
      <c r="H889" s="350"/>
      <c r="I889" s="350"/>
      <c r="J889" s="350"/>
      <c r="K889" s="682"/>
      <c r="L889" s="689"/>
      <c r="M889" s="93"/>
      <c r="N889" s="93"/>
      <c r="P889" s="95"/>
    </row>
    <row r="890" spans="1:16" s="94" customFormat="1">
      <c r="A890" s="344"/>
      <c r="B890" s="93"/>
      <c r="C890" s="355"/>
      <c r="D890" s="350"/>
      <c r="E890" s="350"/>
      <c r="F890" s="350"/>
      <c r="G890" s="350"/>
      <c r="H890" s="350"/>
      <c r="I890" s="350"/>
      <c r="J890" s="350"/>
      <c r="K890" s="682"/>
      <c r="L890" s="689"/>
      <c r="M890" s="93"/>
      <c r="N890" s="93"/>
      <c r="P890" s="95"/>
    </row>
    <row r="891" spans="1:16" s="94" customFormat="1">
      <c r="A891" s="344"/>
      <c r="B891" s="93"/>
      <c r="C891" s="355"/>
      <c r="D891" s="350"/>
      <c r="E891" s="350"/>
      <c r="F891" s="350"/>
      <c r="G891" s="350"/>
      <c r="H891" s="350"/>
      <c r="I891" s="350"/>
      <c r="J891" s="350"/>
      <c r="K891" s="682"/>
      <c r="L891" s="689"/>
      <c r="M891" s="93"/>
      <c r="N891" s="93"/>
      <c r="P891" s="95"/>
    </row>
    <row r="892" spans="1:16" s="94" customFormat="1">
      <c r="A892" s="344"/>
      <c r="B892" s="93"/>
      <c r="C892" s="355"/>
      <c r="D892" s="350"/>
      <c r="E892" s="350"/>
      <c r="F892" s="350"/>
      <c r="G892" s="350"/>
      <c r="H892" s="350"/>
      <c r="I892" s="350"/>
      <c r="J892" s="350"/>
      <c r="K892" s="682"/>
      <c r="L892" s="689"/>
      <c r="M892" s="93"/>
      <c r="N892" s="93"/>
      <c r="P892" s="95"/>
    </row>
    <row r="893" spans="1:16" s="94" customFormat="1">
      <c r="A893" s="344"/>
      <c r="B893" s="93"/>
      <c r="C893" s="355"/>
      <c r="D893" s="350"/>
      <c r="E893" s="350"/>
      <c r="F893" s="350"/>
      <c r="G893" s="350"/>
      <c r="H893" s="350"/>
      <c r="I893" s="350"/>
      <c r="J893" s="350"/>
      <c r="K893" s="682"/>
      <c r="L893" s="689"/>
      <c r="M893" s="93"/>
      <c r="N893" s="93"/>
      <c r="P893" s="95"/>
    </row>
    <row r="894" spans="1:16" s="94" customFormat="1">
      <c r="A894" s="344"/>
      <c r="B894" s="93"/>
      <c r="C894" s="355"/>
      <c r="D894" s="350"/>
      <c r="E894" s="350"/>
      <c r="F894" s="350"/>
      <c r="G894" s="350"/>
      <c r="H894" s="350"/>
      <c r="I894" s="350"/>
      <c r="J894" s="350"/>
      <c r="K894" s="682"/>
      <c r="L894" s="689"/>
      <c r="M894" s="93"/>
      <c r="N894" s="93"/>
      <c r="P894" s="95"/>
    </row>
    <row r="895" spans="1:16" s="94" customFormat="1">
      <c r="A895" s="344"/>
      <c r="B895" s="93"/>
      <c r="C895" s="355"/>
      <c r="D895" s="350"/>
      <c r="E895" s="350"/>
      <c r="F895" s="350"/>
      <c r="G895" s="350"/>
      <c r="H895" s="350"/>
      <c r="I895" s="350"/>
      <c r="J895" s="350"/>
      <c r="K895" s="682"/>
      <c r="L895" s="689"/>
      <c r="M895" s="93"/>
      <c r="N895" s="93"/>
      <c r="P895" s="95"/>
    </row>
    <row r="896" spans="1:16" s="94" customFormat="1">
      <c r="A896" s="344"/>
      <c r="B896" s="93"/>
      <c r="C896" s="355"/>
      <c r="D896" s="350"/>
      <c r="E896" s="350"/>
      <c r="F896" s="350"/>
      <c r="G896" s="350"/>
      <c r="H896" s="350"/>
      <c r="I896" s="350"/>
      <c r="J896" s="350"/>
      <c r="K896" s="682"/>
      <c r="L896" s="689"/>
      <c r="M896" s="93"/>
      <c r="N896" s="93"/>
      <c r="P896" s="95"/>
    </row>
    <row r="897" spans="1:16" s="94" customFormat="1">
      <c r="A897" s="344"/>
      <c r="B897" s="93"/>
      <c r="C897" s="355"/>
      <c r="D897" s="350"/>
      <c r="E897" s="350"/>
      <c r="F897" s="350"/>
      <c r="G897" s="350"/>
      <c r="H897" s="350"/>
      <c r="I897" s="350"/>
      <c r="J897" s="350"/>
      <c r="K897" s="682"/>
      <c r="L897" s="689"/>
      <c r="M897" s="93"/>
      <c r="N897" s="93"/>
      <c r="P897" s="95"/>
    </row>
    <row r="898" spans="1:16" s="94" customFormat="1">
      <c r="A898" s="344"/>
      <c r="B898" s="93"/>
      <c r="C898" s="355"/>
      <c r="D898" s="350"/>
      <c r="E898" s="350"/>
      <c r="F898" s="350"/>
      <c r="G898" s="350"/>
      <c r="H898" s="350"/>
      <c r="I898" s="350"/>
      <c r="J898" s="350"/>
      <c r="K898" s="682"/>
      <c r="L898" s="689"/>
      <c r="M898" s="93"/>
      <c r="N898" s="93"/>
      <c r="P898" s="95"/>
    </row>
    <row r="899" spans="1:16" s="94" customFormat="1">
      <c r="A899" s="344"/>
      <c r="B899" s="93"/>
      <c r="C899" s="355"/>
      <c r="D899" s="350"/>
      <c r="E899" s="350"/>
      <c r="F899" s="350"/>
      <c r="G899" s="350"/>
      <c r="H899" s="350"/>
      <c r="I899" s="350"/>
      <c r="J899" s="350"/>
      <c r="K899" s="682"/>
      <c r="L899" s="689"/>
      <c r="M899" s="93"/>
      <c r="N899" s="93"/>
      <c r="P899" s="95"/>
    </row>
  </sheetData>
  <autoFilter ref="A10:J770">
    <sortState ref="A11:J2338">
      <sortCondition descending="1" ref="H10:H601"/>
    </sortState>
  </autoFilter>
  <sortState ref="A11:H773">
    <sortCondition descending="1" ref="H11:H773"/>
  </sortState>
  <mergeCells count="9">
    <mergeCell ref="A776:J776"/>
    <mergeCell ref="A1:J1"/>
    <mergeCell ref="A5:J5"/>
    <mergeCell ref="B7:F7"/>
    <mergeCell ref="A2:J2"/>
    <mergeCell ref="A4:J4"/>
    <mergeCell ref="A3:J3"/>
    <mergeCell ref="A774:J774"/>
    <mergeCell ref="A775:J775"/>
  </mergeCells>
  <printOptions horizontalCentered="1"/>
  <pageMargins left="0.59055118110236227" right="0.62992125984251968" top="0.39370078740157483" bottom="0.39370078740157483" header="0.11811023622047245" footer="0.11811023622047245"/>
  <pageSetup paperSize="9" scale="55" fitToHeight="21" orientation="portrait" r:id="rId1"/>
  <headerFooter alignWithMargins="0">
    <oddHeader>&amp;C&amp;F</oddHeader>
    <oddFooter>Página &amp;P de &amp;N</oddFooter>
  </headerFooter>
  <drawing r:id="rId2"/>
  <legacyDrawing r:id="rId3"/>
  <oleObjects>
    <oleObject progId="Word.Picture.8" shapeId="61441" r:id="rId4"/>
    <oleObject progId="Word.Picture.8" shapeId="61442" r:id="rId5"/>
    <oleObject progId="Word.Picture.8" shapeId="61443" r:id="rId6"/>
    <oleObject progId="Word.Picture.8" shapeId="61444" r:id="rId7"/>
    <oleObject progId="Word.Picture.8" shapeId="61445" r:id="rId8"/>
    <oleObject progId="Word.Picture.8" shapeId="61446" r:id="rId9"/>
    <oleObject progId="Word.Picture.8" shapeId="61447" r:id="rId10"/>
    <oleObject progId="Word.Picture.8" shapeId="61448" r:id="rId11"/>
    <oleObject progId="Word.Picture.8" shapeId="61449" r:id="rId12"/>
    <oleObject progId="Word.Picture.8" shapeId="61450" r:id="rId13"/>
    <oleObject progId="Word.Picture.8" shapeId="61451" r:id="rId14"/>
    <oleObject progId="Word.Picture.8" shapeId="61452" r:id="rId15"/>
    <oleObject progId="Word.Picture.8" shapeId="61453" r:id="rId16"/>
    <oleObject progId="Word.Picture.8" shapeId="61454" r:id="rId17"/>
    <oleObject progId="Word.Picture.8" shapeId="61455" r:id="rId18"/>
    <oleObject progId="Word.Picture.8" shapeId="61456" r:id="rId19"/>
    <oleObject progId="Word.Picture.8" shapeId="61457" r:id="rId20"/>
    <oleObject progId="Word.Picture.8" shapeId="61458" r:id="rId21"/>
    <oleObject progId="Word.Picture.8" shapeId="61459" r:id="rId22"/>
    <oleObject progId="Word.Picture.8" shapeId="61460" r:id="rId23"/>
    <oleObject progId="Word.Picture.8" shapeId="61461" r:id="rId24"/>
    <oleObject progId="Word.Picture.8" shapeId="61462" r:id="rId25"/>
    <oleObject progId="Word.Picture.8" shapeId="61463" r:id="rId26"/>
    <oleObject progId="Word.Picture.8" shapeId="61464" r:id="rId27"/>
    <oleObject progId="Word.Picture.8" shapeId="61465" r:id="rId28"/>
    <oleObject progId="Word.Picture.8" shapeId="61466" r:id="rId29"/>
    <oleObject progId="Word.Picture.8" shapeId="61467" r:id="rId30"/>
    <oleObject progId="Word.Picture.8" shapeId="61468" r:id="rId31"/>
    <oleObject progId="Word.Picture.8" shapeId="61469" r:id="rId32"/>
    <oleObject progId="Word.Picture.8" shapeId="61470" r:id="rId33"/>
    <oleObject progId="Word.Picture.8" shapeId="61471" r:id="rId34"/>
    <oleObject progId="Word.Picture.8" shapeId="61472" r:id="rId35"/>
    <oleObject progId="Word.Picture.8" shapeId="61473" r:id="rId36"/>
    <oleObject progId="Word.Picture.8" shapeId="61474" r:id="rId37"/>
    <oleObject progId="Word.Picture.8" shapeId="61475" r:id="rId38"/>
    <oleObject progId="Word.Picture.8" shapeId="61476" r:id="rId39"/>
    <oleObject progId="Word.Picture.8" shapeId="61477" r:id="rId40"/>
    <oleObject progId="Word.Picture.8" shapeId="61478" r:id="rId41"/>
    <oleObject progId="Word.Picture.8" shapeId="61479" r:id="rId42"/>
    <oleObject progId="Word.Picture.8" shapeId="61480" r:id="rId43"/>
    <oleObject progId="Word.Picture.8" shapeId="61481" r:id="rId44"/>
    <oleObject progId="Word.Picture.8" shapeId="61482" r:id="rId45"/>
    <oleObject progId="Word.Picture.8" shapeId="61483" r:id="rId46"/>
    <oleObject progId="Word.Picture.8" shapeId="61484" r:id="rId47"/>
    <oleObject progId="Word.Picture.8" shapeId="61485" r:id="rId48"/>
    <oleObject progId="Word.Picture.8" shapeId="61486" r:id="rId49"/>
    <oleObject progId="Word.Picture.8" shapeId="61487" r:id="rId50"/>
    <oleObject progId="Word.Picture.8" shapeId="61488" r:id="rId51"/>
    <oleObject progId="Word.Picture.8" shapeId="61489" r:id="rId52"/>
    <oleObject progId="Word.Picture.8" shapeId="61490" r:id="rId53"/>
    <oleObject progId="Word.Picture.8" shapeId="61491" r:id="rId54"/>
    <oleObject progId="Word.Picture.8" shapeId="61492" r:id="rId55"/>
    <oleObject progId="Word.Picture.8" shapeId="61493" r:id="rId56"/>
    <oleObject progId="Word.Picture.8" shapeId="61494" r:id="rId57"/>
    <oleObject progId="Word.Picture.8" shapeId="61495" r:id="rId58"/>
    <oleObject progId="Word.Picture.8" shapeId="61496" r:id="rId59"/>
    <oleObject progId="Word.Picture.8" shapeId="61497" r:id="rId60"/>
    <oleObject progId="Word.Picture.8" shapeId="61498" r:id="rId61"/>
    <oleObject progId="Word.Picture.8" shapeId="61499" r:id="rId62"/>
    <oleObject progId="Word.Picture.8" shapeId="61500" r:id="rId63"/>
    <oleObject progId="Word.Picture.8" shapeId="61501" r:id="rId64"/>
    <oleObject progId="Word.Picture.8" shapeId="61502" r:id="rId65"/>
  </oleObjects>
</worksheet>
</file>

<file path=xl/worksheets/sheet17.xml><?xml version="1.0" encoding="utf-8"?>
<worksheet xmlns="http://schemas.openxmlformats.org/spreadsheetml/2006/main" xmlns:r="http://schemas.openxmlformats.org/officeDocument/2006/relationships">
  <sheetPr>
    <tabColor rgb="FFFF0000"/>
    <pageSetUpPr fitToPage="1"/>
  </sheetPr>
  <dimension ref="A1:IV57"/>
  <sheetViews>
    <sheetView view="pageBreakPreview" topLeftCell="A13" zoomScaleNormal="100" zoomScaleSheetLayoutView="100" workbookViewId="0">
      <selection activeCell="M41" sqref="M41"/>
    </sheetView>
  </sheetViews>
  <sheetFormatPr defaultRowHeight="15"/>
  <cols>
    <col min="1" max="1" width="13.5703125" style="64" customWidth="1"/>
    <col min="2" max="2" width="54.7109375" style="65" customWidth="1"/>
    <col min="3" max="3" width="16.5703125" style="46" customWidth="1"/>
    <col min="4" max="4" width="15.7109375" style="46" customWidth="1"/>
    <col min="5" max="7" width="9.140625" style="46" customWidth="1"/>
    <col min="8" max="256" width="9.140625" style="45"/>
    <col min="257" max="257" width="13.5703125" style="45" customWidth="1"/>
    <col min="258" max="258" width="54.7109375" style="45" customWidth="1"/>
    <col min="259" max="259" width="16.5703125" style="45" customWidth="1"/>
    <col min="260" max="260" width="15.7109375" style="45" customWidth="1"/>
    <col min="261" max="263" width="9.140625" style="45" customWidth="1"/>
    <col min="264" max="512" width="9.140625" style="45"/>
    <col min="513" max="513" width="13.5703125" style="45" customWidth="1"/>
    <col min="514" max="514" width="54.7109375" style="45" customWidth="1"/>
    <col min="515" max="515" width="16.5703125" style="45" customWidth="1"/>
    <col min="516" max="516" width="15.7109375" style="45" customWidth="1"/>
    <col min="517" max="519" width="9.140625" style="45" customWidth="1"/>
    <col min="520" max="768" width="9.140625" style="45"/>
    <col min="769" max="769" width="13.5703125" style="45" customWidth="1"/>
    <col min="770" max="770" width="54.7109375" style="45" customWidth="1"/>
    <col min="771" max="771" width="16.5703125" style="45" customWidth="1"/>
    <col min="772" max="772" width="15.7109375" style="45" customWidth="1"/>
    <col min="773" max="775" width="9.140625" style="45" customWidth="1"/>
    <col min="776" max="1024" width="9.140625" style="45"/>
    <col min="1025" max="1025" width="13.5703125" style="45" customWidth="1"/>
    <col min="1026" max="1026" width="54.7109375" style="45" customWidth="1"/>
    <col min="1027" max="1027" width="16.5703125" style="45" customWidth="1"/>
    <col min="1028" max="1028" width="15.7109375" style="45" customWidth="1"/>
    <col min="1029" max="1031" width="9.140625" style="45" customWidth="1"/>
    <col min="1032" max="1280" width="9.140625" style="45"/>
    <col min="1281" max="1281" width="13.5703125" style="45" customWidth="1"/>
    <col min="1282" max="1282" width="54.7109375" style="45" customWidth="1"/>
    <col min="1283" max="1283" width="16.5703125" style="45" customWidth="1"/>
    <col min="1284" max="1284" width="15.7109375" style="45" customWidth="1"/>
    <col min="1285" max="1287" width="9.140625" style="45" customWidth="1"/>
    <col min="1288" max="1536" width="9.140625" style="45"/>
    <col min="1537" max="1537" width="13.5703125" style="45" customWidth="1"/>
    <col min="1538" max="1538" width="54.7109375" style="45" customWidth="1"/>
    <col min="1539" max="1539" width="16.5703125" style="45" customWidth="1"/>
    <col min="1540" max="1540" width="15.7109375" style="45" customWidth="1"/>
    <col min="1541" max="1543" width="9.140625" style="45" customWidth="1"/>
    <col min="1544" max="1792" width="9.140625" style="45"/>
    <col min="1793" max="1793" width="13.5703125" style="45" customWidth="1"/>
    <col min="1794" max="1794" width="54.7109375" style="45" customWidth="1"/>
    <col min="1795" max="1795" width="16.5703125" style="45" customWidth="1"/>
    <col min="1796" max="1796" width="15.7109375" style="45" customWidth="1"/>
    <col min="1797" max="1799" width="9.140625" style="45" customWidth="1"/>
    <col min="1800" max="2048" width="9.140625" style="45"/>
    <col min="2049" max="2049" width="13.5703125" style="45" customWidth="1"/>
    <col min="2050" max="2050" width="54.7109375" style="45" customWidth="1"/>
    <col min="2051" max="2051" width="16.5703125" style="45" customWidth="1"/>
    <col min="2052" max="2052" width="15.7109375" style="45" customWidth="1"/>
    <col min="2053" max="2055" width="9.140625" style="45" customWidth="1"/>
    <col min="2056" max="2304" width="9.140625" style="45"/>
    <col min="2305" max="2305" width="13.5703125" style="45" customWidth="1"/>
    <col min="2306" max="2306" width="54.7109375" style="45" customWidth="1"/>
    <col min="2307" max="2307" width="16.5703125" style="45" customWidth="1"/>
    <col min="2308" max="2308" width="15.7109375" style="45" customWidth="1"/>
    <col min="2309" max="2311" width="9.140625" style="45" customWidth="1"/>
    <col min="2312" max="2560" width="9.140625" style="45"/>
    <col min="2561" max="2561" width="13.5703125" style="45" customWidth="1"/>
    <col min="2562" max="2562" width="54.7109375" style="45" customWidth="1"/>
    <col min="2563" max="2563" width="16.5703125" style="45" customWidth="1"/>
    <col min="2564" max="2564" width="15.7109375" style="45" customWidth="1"/>
    <col min="2565" max="2567" width="9.140625" style="45" customWidth="1"/>
    <col min="2568" max="2816" width="9.140625" style="45"/>
    <col min="2817" max="2817" width="13.5703125" style="45" customWidth="1"/>
    <col min="2818" max="2818" width="54.7109375" style="45" customWidth="1"/>
    <col min="2819" max="2819" width="16.5703125" style="45" customWidth="1"/>
    <col min="2820" max="2820" width="15.7109375" style="45" customWidth="1"/>
    <col min="2821" max="2823" width="9.140625" style="45" customWidth="1"/>
    <col min="2824" max="3072" width="9.140625" style="45"/>
    <col min="3073" max="3073" width="13.5703125" style="45" customWidth="1"/>
    <col min="3074" max="3074" width="54.7109375" style="45" customWidth="1"/>
    <col min="3075" max="3075" width="16.5703125" style="45" customWidth="1"/>
    <col min="3076" max="3076" width="15.7109375" style="45" customWidth="1"/>
    <col min="3077" max="3079" width="9.140625" style="45" customWidth="1"/>
    <col min="3080" max="3328" width="9.140625" style="45"/>
    <col min="3329" max="3329" width="13.5703125" style="45" customWidth="1"/>
    <col min="3330" max="3330" width="54.7109375" style="45" customWidth="1"/>
    <col min="3331" max="3331" width="16.5703125" style="45" customWidth="1"/>
    <col min="3332" max="3332" width="15.7109375" style="45" customWidth="1"/>
    <col min="3333" max="3335" width="9.140625" style="45" customWidth="1"/>
    <col min="3336" max="3584" width="9.140625" style="45"/>
    <col min="3585" max="3585" width="13.5703125" style="45" customWidth="1"/>
    <col min="3586" max="3586" width="54.7109375" style="45" customWidth="1"/>
    <col min="3587" max="3587" width="16.5703125" style="45" customWidth="1"/>
    <col min="3588" max="3588" width="15.7109375" style="45" customWidth="1"/>
    <col min="3589" max="3591" width="9.140625" style="45" customWidth="1"/>
    <col min="3592" max="3840" width="9.140625" style="45"/>
    <col min="3841" max="3841" width="13.5703125" style="45" customWidth="1"/>
    <col min="3842" max="3842" width="54.7109375" style="45" customWidth="1"/>
    <col min="3843" max="3843" width="16.5703125" style="45" customWidth="1"/>
    <col min="3844" max="3844" width="15.7109375" style="45" customWidth="1"/>
    <col min="3845" max="3847" width="9.140625" style="45" customWidth="1"/>
    <col min="3848" max="4096" width="9.140625" style="45"/>
    <col min="4097" max="4097" width="13.5703125" style="45" customWidth="1"/>
    <col min="4098" max="4098" width="54.7109375" style="45" customWidth="1"/>
    <col min="4099" max="4099" width="16.5703125" style="45" customWidth="1"/>
    <col min="4100" max="4100" width="15.7109375" style="45" customWidth="1"/>
    <col min="4101" max="4103" width="9.140625" style="45" customWidth="1"/>
    <col min="4104" max="4352" width="9.140625" style="45"/>
    <col min="4353" max="4353" width="13.5703125" style="45" customWidth="1"/>
    <col min="4354" max="4354" width="54.7109375" style="45" customWidth="1"/>
    <col min="4355" max="4355" width="16.5703125" style="45" customWidth="1"/>
    <col min="4356" max="4356" width="15.7109375" style="45" customWidth="1"/>
    <col min="4357" max="4359" width="9.140625" style="45" customWidth="1"/>
    <col min="4360" max="4608" width="9.140625" style="45"/>
    <col min="4609" max="4609" width="13.5703125" style="45" customWidth="1"/>
    <col min="4610" max="4610" width="54.7109375" style="45" customWidth="1"/>
    <col min="4611" max="4611" width="16.5703125" style="45" customWidth="1"/>
    <col min="4612" max="4612" width="15.7109375" style="45" customWidth="1"/>
    <col min="4613" max="4615" width="9.140625" style="45" customWidth="1"/>
    <col min="4616" max="4864" width="9.140625" style="45"/>
    <col min="4865" max="4865" width="13.5703125" style="45" customWidth="1"/>
    <col min="4866" max="4866" width="54.7109375" style="45" customWidth="1"/>
    <col min="4867" max="4867" width="16.5703125" style="45" customWidth="1"/>
    <col min="4868" max="4868" width="15.7109375" style="45" customWidth="1"/>
    <col min="4869" max="4871" width="9.140625" style="45" customWidth="1"/>
    <col min="4872" max="5120" width="9.140625" style="45"/>
    <col min="5121" max="5121" width="13.5703125" style="45" customWidth="1"/>
    <col min="5122" max="5122" width="54.7109375" style="45" customWidth="1"/>
    <col min="5123" max="5123" width="16.5703125" style="45" customWidth="1"/>
    <col min="5124" max="5124" width="15.7109375" style="45" customWidth="1"/>
    <col min="5125" max="5127" width="9.140625" style="45" customWidth="1"/>
    <col min="5128" max="5376" width="9.140625" style="45"/>
    <col min="5377" max="5377" width="13.5703125" style="45" customWidth="1"/>
    <col min="5378" max="5378" width="54.7109375" style="45" customWidth="1"/>
    <col min="5379" max="5379" width="16.5703125" style="45" customWidth="1"/>
    <col min="5380" max="5380" width="15.7109375" style="45" customWidth="1"/>
    <col min="5381" max="5383" width="9.140625" style="45" customWidth="1"/>
    <col min="5384" max="5632" width="9.140625" style="45"/>
    <col min="5633" max="5633" width="13.5703125" style="45" customWidth="1"/>
    <col min="5634" max="5634" width="54.7109375" style="45" customWidth="1"/>
    <col min="5635" max="5635" width="16.5703125" style="45" customWidth="1"/>
    <col min="5636" max="5636" width="15.7109375" style="45" customWidth="1"/>
    <col min="5637" max="5639" width="9.140625" style="45" customWidth="1"/>
    <col min="5640" max="5888" width="9.140625" style="45"/>
    <col min="5889" max="5889" width="13.5703125" style="45" customWidth="1"/>
    <col min="5890" max="5890" width="54.7109375" style="45" customWidth="1"/>
    <col min="5891" max="5891" width="16.5703125" style="45" customWidth="1"/>
    <col min="5892" max="5892" width="15.7109375" style="45" customWidth="1"/>
    <col min="5893" max="5895" width="9.140625" style="45" customWidth="1"/>
    <col min="5896" max="6144" width="9.140625" style="45"/>
    <col min="6145" max="6145" width="13.5703125" style="45" customWidth="1"/>
    <col min="6146" max="6146" width="54.7109375" style="45" customWidth="1"/>
    <col min="6147" max="6147" width="16.5703125" style="45" customWidth="1"/>
    <col min="6148" max="6148" width="15.7109375" style="45" customWidth="1"/>
    <col min="6149" max="6151" width="9.140625" style="45" customWidth="1"/>
    <col min="6152" max="6400" width="9.140625" style="45"/>
    <col min="6401" max="6401" width="13.5703125" style="45" customWidth="1"/>
    <col min="6402" max="6402" width="54.7109375" style="45" customWidth="1"/>
    <col min="6403" max="6403" width="16.5703125" style="45" customWidth="1"/>
    <col min="6404" max="6404" width="15.7109375" style="45" customWidth="1"/>
    <col min="6405" max="6407" width="9.140625" style="45" customWidth="1"/>
    <col min="6408" max="6656" width="9.140625" style="45"/>
    <col min="6657" max="6657" width="13.5703125" style="45" customWidth="1"/>
    <col min="6658" max="6658" width="54.7109375" style="45" customWidth="1"/>
    <col min="6659" max="6659" width="16.5703125" style="45" customWidth="1"/>
    <col min="6660" max="6660" width="15.7109375" style="45" customWidth="1"/>
    <col min="6661" max="6663" width="9.140625" style="45" customWidth="1"/>
    <col min="6664" max="6912" width="9.140625" style="45"/>
    <col min="6913" max="6913" width="13.5703125" style="45" customWidth="1"/>
    <col min="6914" max="6914" width="54.7109375" style="45" customWidth="1"/>
    <col min="6915" max="6915" width="16.5703125" style="45" customWidth="1"/>
    <col min="6916" max="6916" width="15.7109375" style="45" customWidth="1"/>
    <col min="6917" max="6919" width="9.140625" style="45" customWidth="1"/>
    <col min="6920" max="7168" width="9.140625" style="45"/>
    <col min="7169" max="7169" width="13.5703125" style="45" customWidth="1"/>
    <col min="7170" max="7170" width="54.7109375" style="45" customWidth="1"/>
    <col min="7171" max="7171" width="16.5703125" style="45" customWidth="1"/>
    <col min="7172" max="7172" width="15.7109375" style="45" customWidth="1"/>
    <col min="7173" max="7175" width="9.140625" style="45" customWidth="1"/>
    <col min="7176" max="7424" width="9.140625" style="45"/>
    <col min="7425" max="7425" width="13.5703125" style="45" customWidth="1"/>
    <col min="7426" max="7426" width="54.7109375" style="45" customWidth="1"/>
    <col min="7427" max="7427" width="16.5703125" style="45" customWidth="1"/>
    <col min="7428" max="7428" width="15.7109375" style="45" customWidth="1"/>
    <col min="7429" max="7431" width="9.140625" style="45" customWidth="1"/>
    <col min="7432" max="7680" width="9.140625" style="45"/>
    <col min="7681" max="7681" width="13.5703125" style="45" customWidth="1"/>
    <col min="7682" max="7682" width="54.7109375" style="45" customWidth="1"/>
    <col min="7683" max="7683" width="16.5703125" style="45" customWidth="1"/>
    <col min="7684" max="7684" width="15.7109375" style="45" customWidth="1"/>
    <col min="7685" max="7687" width="9.140625" style="45" customWidth="1"/>
    <col min="7688" max="7936" width="9.140625" style="45"/>
    <col min="7937" max="7937" width="13.5703125" style="45" customWidth="1"/>
    <col min="7938" max="7938" width="54.7109375" style="45" customWidth="1"/>
    <col min="7939" max="7939" width="16.5703125" style="45" customWidth="1"/>
    <col min="7940" max="7940" width="15.7109375" style="45" customWidth="1"/>
    <col min="7941" max="7943" width="9.140625" style="45" customWidth="1"/>
    <col min="7944" max="8192" width="9.140625" style="45"/>
    <col min="8193" max="8193" width="13.5703125" style="45" customWidth="1"/>
    <col min="8194" max="8194" width="54.7109375" style="45" customWidth="1"/>
    <col min="8195" max="8195" width="16.5703125" style="45" customWidth="1"/>
    <col min="8196" max="8196" width="15.7109375" style="45" customWidth="1"/>
    <col min="8197" max="8199" width="9.140625" style="45" customWidth="1"/>
    <col min="8200" max="8448" width="9.140625" style="45"/>
    <col min="8449" max="8449" width="13.5703125" style="45" customWidth="1"/>
    <col min="8450" max="8450" width="54.7109375" style="45" customWidth="1"/>
    <col min="8451" max="8451" width="16.5703125" style="45" customWidth="1"/>
    <col min="8452" max="8452" width="15.7109375" style="45" customWidth="1"/>
    <col min="8453" max="8455" width="9.140625" style="45" customWidth="1"/>
    <col min="8456" max="8704" width="9.140625" style="45"/>
    <col min="8705" max="8705" width="13.5703125" style="45" customWidth="1"/>
    <col min="8706" max="8706" width="54.7109375" style="45" customWidth="1"/>
    <col min="8707" max="8707" width="16.5703125" style="45" customWidth="1"/>
    <col min="8708" max="8708" width="15.7109375" style="45" customWidth="1"/>
    <col min="8709" max="8711" width="9.140625" style="45" customWidth="1"/>
    <col min="8712" max="8960" width="9.140625" style="45"/>
    <col min="8961" max="8961" width="13.5703125" style="45" customWidth="1"/>
    <col min="8962" max="8962" width="54.7109375" style="45" customWidth="1"/>
    <col min="8963" max="8963" width="16.5703125" style="45" customWidth="1"/>
    <col min="8964" max="8964" width="15.7109375" style="45" customWidth="1"/>
    <col min="8965" max="8967" width="9.140625" style="45" customWidth="1"/>
    <col min="8968" max="9216" width="9.140625" style="45"/>
    <col min="9217" max="9217" width="13.5703125" style="45" customWidth="1"/>
    <col min="9218" max="9218" width="54.7109375" style="45" customWidth="1"/>
    <col min="9219" max="9219" width="16.5703125" style="45" customWidth="1"/>
    <col min="9220" max="9220" width="15.7109375" style="45" customWidth="1"/>
    <col min="9221" max="9223" width="9.140625" style="45" customWidth="1"/>
    <col min="9224" max="9472" width="9.140625" style="45"/>
    <col min="9473" max="9473" width="13.5703125" style="45" customWidth="1"/>
    <col min="9474" max="9474" width="54.7109375" style="45" customWidth="1"/>
    <col min="9475" max="9475" width="16.5703125" style="45" customWidth="1"/>
    <col min="9476" max="9476" width="15.7109375" style="45" customWidth="1"/>
    <col min="9477" max="9479" width="9.140625" style="45" customWidth="1"/>
    <col min="9480" max="9728" width="9.140625" style="45"/>
    <col min="9729" max="9729" width="13.5703125" style="45" customWidth="1"/>
    <col min="9730" max="9730" width="54.7109375" style="45" customWidth="1"/>
    <col min="9731" max="9731" width="16.5703125" style="45" customWidth="1"/>
    <col min="9732" max="9732" width="15.7109375" style="45" customWidth="1"/>
    <col min="9733" max="9735" width="9.140625" style="45" customWidth="1"/>
    <col min="9736" max="9984" width="9.140625" style="45"/>
    <col min="9985" max="9985" width="13.5703125" style="45" customWidth="1"/>
    <col min="9986" max="9986" width="54.7109375" style="45" customWidth="1"/>
    <col min="9987" max="9987" width="16.5703125" style="45" customWidth="1"/>
    <col min="9988" max="9988" width="15.7109375" style="45" customWidth="1"/>
    <col min="9989" max="9991" width="9.140625" style="45" customWidth="1"/>
    <col min="9992" max="10240" width="9.140625" style="45"/>
    <col min="10241" max="10241" width="13.5703125" style="45" customWidth="1"/>
    <col min="10242" max="10242" width="54.7109375" style="45" customWidth="1"/>
    <col min="10243" max="10243" width="16.5703125" style="45" customWidth="1"/>
    <col min="10244" max="10244" width="15.7109375" style="45" customWidth="1"/>
    <col min="10245" max="10247" width="9.140625" style="45" customWidth="1"/>
    <col min="10248" max="10496" width="9.140625" style="45"/>
    <col min="10497" max="10497" width="13.5703125" style="45" customWidth="1"/>
    <col min="10498" max="10498" width="54.7109375" style="45" customWidth="1"/>
    <col min="10499" max="10499" width="16.5703125" style="45" customWidth="1"/>
    <col min="10500" max="10500" width="15.7109375" style="45" customWidth="1"/>
    <col min="10501" max="10503" width="9.140625" style="45" customWidth="1"/>
    <col min="10504" max="10752" width="9.140625" style="45"/>
    <col min="10753" max="10753" width="13.5703125" style="45" customWidth="1"/>
    <col min="10754" max="10754" width="54.7109375" style="45" customWidth="1"/>
    <col min="10755" max="10755" width="16.5703125" style="45" customWidth="1"/>
    <col min="10756" max="10756" width="15.7109375" style="45" customWidth="1"/>
    <col min="10757" max="10759" width="9.140625" style="45" customWidth="1"/>
    <col min="10760" max="11008" width="9.140625" style="45"/>
    <col min="11009" max="11009" width="13.5703125" style="45" customWidth="1"/>
    <col min="11010" max="11010" width="54.7109375" style="45" customWidth="1"/>
    <col min="11011" max="11011" width="16.5703125" style="45" customWidth="1"/>
    <col min="11012" max="11012" width="15.7109375" style="45" customWidth="1"/>
    <col min="11013" max="11015" width="9.140625" style="45" customWidth="1"/>
    <col min="11016" max="11264" width="9.140625" style="45"/>
    <col min="11265" max="11265" width="13.5703125" style="45" customWidth="1"/>
    <col min="11266" max="11266" width="54.7109375" style="45" customWidth="1"/>
    <col min="11267" max="11267" width="16.5703125" style="45" customWidth="1"/>
    <col min="11268" max="11268" width="15.7109375" style="45" customWidth="1"/>
    <col min="11269" max="11271" width="9.140625" style="45" customWidth="1"/>
    <col min="11272" max="11520" width="9.140625" style="45"/>
    <col min="11521" max="11521" width="13.5703125" style="45" customWidth="1"/>
    <col min="11522" max="11522" width="54.7109375" style="45" customWidth="1"/>
    <col min="11523" max="11523" width="16.5703125" style="45" customWidth="1"/>
    <col min="11524" max="11524" width="15.7109375" style="45" customWidth="1"/>
    <col min="11525" max="11527" width="9.140625" style="45" customWidth="1"/>
    <col min="11528" max="11776" width="9.140625" style="45"/>
    <col min="11777" max="11777" width="13.5703125" style="45" customWidth="1"/>
    <col min="11778" max="11778" width="54.7109375" style="45" customWidth="1"/>
    <col min="11779" max="11779" width="16.5703125" style="45" customWidth="1"/>
    <col min="11780" max="11780" width="15.7109375" style="45" customWidth="1"/>
    <col min="11781" max="11783" width="9.140625" style="45" customWidth="1"/>
    <col min="11784" max="12032" width="9.140625" style="45"/>
    <col min="12033" max="12033" width="13.5703125" style="45" customWidth="1"/>
    <col min="12034" max="12034" width="54.7109375" style="45" customWidth="1"/>
    <col min="12035" max="12035" width="16.5703125" style="45" customWidth="1"/>
    <col min="12036" max="12036" width="15.7109375" style="45" customWidth="1"/>
    <col min="12037" max="12039" width="9.140625" style="45" customWidth="1"/>
    <col min="12040" max="12288" width="9.140625" style="45"/>
    <col min="12289" max="12289" width="13.5703125" style="45" customWidth="1"/>
    <col min="12290" max="12290" width="54.7109375" style="45" customWidth="1"/>
    <col min="12291" max="12291" width="16.5703125" style="45" customWidth="1"/>
    <col min="12292" max="12292" width="15.7109375" style="45" customWidth="1"/>
    <col min="12293" max="12295" width="9.140625" style="45" customWidth="1"/>
    <col min="12296" max="12544" width="9.140625" style="45"/>
    <col min="12545" max="12545" width="13.5703125" style="45" customWidth="1"/>
    <col min="12546" max="12546" width="54.7109375" style="45" customWidth="1"/>
    <col min="12547" max="12547" width="16.5703125" style="45" customWidth="1"/>
    <col min="12548" max="12548" width="15.7109375" style="45" customWidth="1"/>
    <col min="12549" max="12551" width="9.140625" style="45" customWidth="1"/>
    <col min="12552" max="12800" width="9.140625" style="45"/>
    <col min="12801" max="12801" width="13.5703125" style="45" customWidth="1"/>
    <col min="12802" max="12802" width="54.7109375" style="45" customWidth="1"/>
    <col min="12803" max="12803" width="16.5703125" style="45" customWidth="1"/>
    <col min="12804" max="12804" width="15.7109375" style="45" customWidth="1"/>
    <col min="12805" max="12807" width="9.140625" style="45" customWidth="1"/>
    <col min="12808" max="13056" width="9.140625" style="45"/>
    <col min="13057" max="13057" width="13.5703125" style="45" customWidth="1"/>
    <col min="13058" max="13058" width="54.7109375" style="45" customWidth="1"/>
    <col min="13059" max="13059" width="16.5703125" style="45" customWidth="1"/>
    <col min="13060" max="13060" width="15.7109375" style="45" customWidth="1"/>
    <col min="13061" max="13063" width="9.140625" style="45" customWidth="1"/>
    <col min="13064" max="13312" width="9.140625" style="45"/>
    <col min="13313" max="13313" width="13.5703125" style="45" customWidth="1"/>
    <col min="13314" max="13314" width="54.7109375" style="45" customWidth="1"/>
    <col min="13315" max="13315" width="16.5703125" style="45" customWidth="1"/>
    <col min="13316" max="13316" width="15.7109375" style="45" customWidth="1"/>
    <col min="13317" max="13319" width="9.140625" style="45" customWidth="1"/>
    <col min="13320" max="13568" width="9.140625" style="45"/>
    <col min="13569" max="13569" width="13.5703125" style="45" customWidth="1"/>
    <col min="13570" max="13570" width="54.7109375" style="45" customWidth="1"/>
    <col min="13571" max="13571" width="16.5703125" style="45" customWidth="1"/>
    <col min="13572" max="13572" width="15.7109375" style="45" customWidth="1"/>
    <col min="13573" max="13575" width="9.140625" style="45" customWidth="1"/>
    <col min="13576" max="13824" width="9.140625" style="45"/>
    <col min="13825" max="13825" width="13.5703125" style="45" customWidth="1"/>
    <col min="13826" max="13826" width="54.7109375" style="45" customWidth="1"/>
    <col min="13827" max="13827" width="16.5703125" style="45" customWidth="1"/>
    <col min="13828" max="13828" width="15.7109375" style="45" customWidth="1"/>
    <col min="13829" max="13831" width="9.140625" style="45" customWidth="1"/>
    <col min="13832" max="14080" width="9.140625" style="45"/>
    <col min="14081" max="14081" width="13.5703125" style="45" customWidth="1"/>
    <col min="14082" max="14082" width="54.7109375" style="45" customWidth="1"/>
    <col min="14083" max="14083" width="16.5703125" style="45" customWidth="1"/>
    <col min="14084" max="14084" width="15.7109375" style="45" customWidth="1"/>
    <col min="14085" max="14087" width="9.140625" style="45" customWidth="1"/>
    <col min="14088" max="14336" width="9.140625" style="45"/>
    <col min="14337" max="14337" width="13.5703125" style="45" customWidth="1"/>
    <col min="14338" max="14338" width="54.7109375" style="45" customWidth="1"/>
    <col min="14339" max="14339" width="16.5703125" style="45" customWidth="1"/>
    <col min="14340" max="14340" width="15.7109375" style="45" customWidth="1"/>
    <col min="14341" max="14343" width="9.140625" style="45" customWidth="1"/>
    <col min="14344" max="14592" width="9.140625" style="45"/>
    <col min="14593" max="14593" width="13.5703125" style="45" customWidth="1"/>
    <col min="14594" max="14594" width="54.7109375" style="45" customWidth="1"/>
    <col min="14595" max="14595" width="16.5703125" style="45" customWidth="1"/>
    <col min="14596" max="14596" width="15.7109375" style="45" customWidth="1"/>
    <col min="14597" max="14599" width="9.140625" style="45" customWidth="1"/>
    <col min="14600" max="14848" width="9.140625" style="45"/>
    <col min="14849" max="14849" width="13.5703125" style="45" customWidth="1"/>
    <col min="14850" max="14850" width="54.7109375" style="45" customWidth="1"/>
    <col min="14851" max="14851" width="16.5703125" style="45" customWidth="1"/>
    <col min="14852" max="14852" width="15.7109375" style="45" customWidth="1"/>
    <col min="14853" max="14855" width="9.140625" style="45" customWidth="1"/>
    <col min="14856" max="15104" width="9.140625" style="45"/>
    <col min="15105" max="15105" width="13.5703125" style="45" customWidth="1"/>
    <col min="15106" max="15106" width="54.7109375" style="45" customWidth="1"/>
    <col min="15107" max="15107" width="16.5703125" style="45" customWidth="1"/>
    <col min="15108" max="15108" width="15.7109375" style="45" customWidth="1"/>
    <col min="15109" max="15111" width="9.140625" style="45" customWidth="1"/>
    <col min="15112" max="15360" width="9.140625" style="45"/>
    <col min="15361" max="15361" width="13.5703125" style="45" customWidth="1"/>
    <col min="15362" max="15362" width="54.7109375" style="45" customWidth="1"/>
    <col min="15363" max="15363" width="16.5703125" style="45" customWidth="1"/>
    <col min="15364" max="15364" width="15.7109375" style="45" customWidth="1"/>
    <col min="15365" max="15367" width="9.140625" style="45" customWidth="1"/>
    <col min="15368" max="15616" width="9.140625" style="45"/>
    <col min="15617" max="15617" width="13.5703125" style="45" customWidth="1"/>
    <col min="15618" max="15618" width="54.7109375" style="45" customWidth="1"/>
    <col min="15619" max="15619" width="16.5703125" style="45" customWidth="1"/>
    <col min="15620" max="15620" width="15.7109375" style="45" customWidth="1"/>
    <col min="15621" max="15623" width="9.140625" style="45" customWidth="1"/>
    <col min="15624" max="15872" width="9.140625" style="45"/>
    <col min="15873" max="15873" width="13.5703125" style="45" customWidth="1"/>
    <col min="15874" max="15874" width="54.7109375" style="45" customWidth="1"/>
    <col min="15875" max="15875" width="16.5703125" style="45" customWidth="1"/>
    <col min="15876" max="15876" width="15.7109375" style="45" customWidth="1"/>
    <col min="15877" max="15879" width="9.140625" style="45" customWidth="1"/>
    <col min="15880" max="16128" width="9.140625" style="45"/>
    <col min="16129" max="16129" width="13.5703125" style="45" customWidth="1"/>
    <col min="16130" max="16130" width="54.7109375" style="45" customWidth="1"/>
    <col min="16131" max="16131" width="16.5703125" style="45" customWidth="1"/>
    <col min="16132" max="16132" width="15.7109375" style="45" customWidth="1"/>
    <col min="16133" max="16135" width="9.140625" style="45" customWidth="1"/>
    <col min="16136" max="16384" width="9.140625" style="45"/>
  </cols>
  <sheetData>
    <row r="1" spans="1:256" s="41" customFormat="1" ht="19.5">
      <c r="A1" s="884"/>
      <c r="B1" s="884"/>
      <c r="C1" s="884"/>
      <c r="D1" s="884"/>
      <c r="E1" s="39"/>
      <c r="F1" s="39"/>
      <c r="G1" s="39"/>
      <c r="H1" s="40"/>
    </row>
    <row r="2" spans="1:256" ht="92.25" customHeight="1">
      <c r="A2" s="42"/>
      <c r="B2" s="43"/>
      <c r="C2" s="44"/>
      <c r="D2" s="42"/>
      <c r="E2" s="883"/>
      <c r="F2" s="883"/>
      <c r="G2" s="883"/>
      <c r="H2" s="883"/>
    </row>
    <row r="3" spans="1:256" ht="18" customHeight="1">
      <c r="A3" s="885"/>
      <c r="B3" s="885"/>
      <c r="C3" s="885"/>
      <c r="D3" s="885"/>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c r="CY3" s="40"/>
      <c r="CZ3" s="40"/>
      <c r="DA3" s="40"/>
      <c r="DB3" s="40"/>
      <c r="DC3" s="40"/>
      <c r="DD3" s="40"/>
      <c r="DE3" s="40"/>
      <c r="DF3" s="40"/>
      <c r="DG3" s="40"/>
      <c r="DH3" s="40"/>
      <c r="DI3" s="40"/>
      <c r="DJ3" s="40"/>
      <c r="DK3" s="40"/>
      <c r="DL3" s="40"/>
      <c r="DM3" s="40"/>
      <c r="DN3" s="40"/>
      <c r="DO3" s="40"/>
      <c r="DP3" s="40"/>
      <c r="DQ3" s="40"/>
      <c r="DR3" s="40"/>
      <c r="DS3" s="40"/>
      <c r="DT3" s="40"/>
      <c r="DU3" s="40"/>
      <c r="DV3" s="40"/>
      <c r="DW3" s="40"/>
      <c r="DX3" s="40"/>
      <c r="DY3" s="40"/>
      <c r="DZ3" s="40"/>
      <c r="EA3" s="40"/>
      <c r="EB3" s="40"/>
      <c r="EC3" s="40"/>
      <c r="ED3" s="40"/>
      <c r="EE3" s="40"/>
      <c r="EF3" s="40"/>
      <c r="EG3" s="40"/>
      <c r="EH3" s="40"/>
      <c r="EI3" s="40"/>
      <c r="EJ3" s="40"/>
      <c r="EK3" s="40"/>
      <c r="EL3" s="40"/>
      <c r="EM3" s="40"/>
      <c r="EN3" s="40"/>
      <c r="EO3" s="40"/>
      <c r="EP3" s="40"/>
      <c r="EQ3" s="40"/>
      <c r="ER3" s="40"/>
      <c r="ES3" s="40"/>
      <c r="ET3" s="40"/>
      <c r="EU3" s="40"/>
      <c r="EV3" s="40"/>
      <c r="EW3" s="40"/>
      <c r="EX3" s="40"/>
      <c r="EY3" s="40"/>
      <c r="EZ3" s="40"/>
      <c r="FA3" s="40"/>
      <c r="FB3" s="40"/>
      <c r="FC3" s="40"/>
      <c r="FD3" s="40"/>
      <c r="FE3" s="40"/>
      <c r="FF3" s="40"/>
      <c r="FG3" s="40"/>
      <c r="FH3" s="40"/>
      <c r="FI3" s="40"/>
      <c r="FJ3" s="40"/>
      <c r="FK3" s="40"/>
      <c r="FL3" s="40"/>
      <c r="FM3" s="40"/>
      <c r="FN3" s="40"/>
      <c r="FO3" s="40"/>
      <c r="FP3" s="40"/>
      <c r="FQ3" s="40"/>
      <c r="FR3" s="40"/>
      <c r="FS3" s="40"/>
      <c r="FT3" s="40"/>
      <c r="FU3" s="40"/>
      <c r="FV3" s="40"/>
      <c r="FW3" s="40"/>
      <c r="FX3" s="40"/>
      <c r="FY3" s="40"/>
      <c r="FZ3" s="40"/>
      <c r="GA3" s="40"/>
      <c r="GB3" s="40"/>
      <c r="GC3" s="40"/>
      <c r="GD3" s="40"/>
      <c r="GE3" s="40"/>
      <c r="GF3" s="40"/>
      <c r="GG3" s="40"/>
      <c r="GH3" s="40"/>
      <c r="GI3" s="40"/>
      <c r="GJ3" s="40"/>
      <c r="GK3" s="40"/>
      <c r="GL3" s="40"/>
      <c r="GM3" s="40"/>
      <c r="GN3" s="40"/>
      <c r="GO3" s="40"/>
      <c r="GP3" s="40"/>
      <c r="GQ3" s="40"/>
      <c r="GR3" s="40"/>
      <c r="GS3" s="40"/>
      <c r="GT3" s="40"/>
      <c r="GU3" s="40"/>
      <c r="GV3" s="40"/>
      <c r="GW3" s="40"/>
      <c r="GX3" s="40"/>
      <c r="GY3" s="40"/>
      <c r="GZ3" s="40"/>
      <c r="HA3" s="40"/>
      <c r="HB3" s="40"/>
      <c r="HC3" s="40"/>
      <c r="HD3" s="40"/>
      <c r="HE3" s="40"/>
      <c r="HF3" s="40"/>
      <c r="HG3" s="40"/>
      <c r="HH3" s="40"/>
      <c r="HI3" s="40"/>
      <c r="HJ3" s="40"/>
      <c r="HK3" s="40"/>
      <c r="HL3" s="40"/>
      <c r="HM3" s="40"/>
      <c r="HN3" s="40"/>
      <c r="HO3" s="40"/>
      <c r="HP3" s="40"/>
      <c r="HQ3" s="40"/>
      <c r="HR3" s="40"/>
      <c r="HS3" s="40"/>
      <c r="HT3" s="40"/>
      <c r="HU3" s="40"/>
      <c r="HV3" s="40"/>
      <c r="HW3" s="40"/>
      <c r="HX3" s="40"/>
      <c r="HY3" s="40"/>
      <c r="HZ3" s="40"/>
      <c r="IA3" s="40"/>
      <c r="IB3" s="40"/>
      <c r="IC3" s="40"/>
      <c r="ID3" s="40"/>
      <c r="IE3" s="40"/>
      <c r="IF3" s="40"/>
      <c r="IG3" s="40"/>
      <c r="IH3" s="40"/>
      <c r="II3" s="40"/>
      <c r="IJ3" s="40"/>
      <c r="IK3" s="40"/>
      <c r="IL3" s="40"/>
      <c r="IM3" s="40"/>
      <c r="IN3" s="40"/>
      <c r="IO3" s="40"/>
      <c r="IP3" s="40"/>
      <c r="IQ3" s="40"/>
      <c r="IR3" s="40"/>
      <c r="IS3" s="40"/>
      <c r="IT3" s="40"/>
      <c r="IU3" s="40"/>
      <c r="IV3" s="40"/>
    </row>
    <row r="4" spans="1:256">
      <c r="A4" s="47"/>
      <c r="B4" s="48"/>
      <c r="C4" s="49"/>
      <c r="D4" s="50"/>
      <c r="E4" s="51"/>
      <c r="F4" s="51"/>
      <c r="G4" s="51"/>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c r="BQ4" s="40"/>
      <c r="BR4" s="40"/>
      <c r="BS4" s="40"/>
      <c r="BT4" s="40"/>
      <c r="BU4" s="40"/>
      <c r="BV4" s="40"/>
      <c r="BW4" s="40"/>
      <c r="BX4" s="40"/>
      <c r="BY4" s="40"/>
      <c r="BZ4" s="40"/>
      <c r="CA4" s="40"/>
      <c r="CB4" s="40"/>
      <c r="CC4" s="40"/>
      <c r="CD4" s="40"/>
      <c r="CE4" s="40"/>
      <c r="CF4" s="40"/>
      <c r="CG4" s="40"/>
      <c r="CH4" s="40"/>
      <c r="CI4" s="40"/>
      <c r="CJ4" s="40"/>
      <c r="CK4" s="40"/>
      <c r="CL4" s="40"/>
      <c r="CM4" s="40"/>
      <c r="CN4" s="40"/>
      <c r="CO4" s="40"/>
      <c r="CP4" s="40"/>
      <c r="CQ4" s="40"/>
      <c r="CR4" s="40"/>
      <c r="CS4" s="40"/>
      <c r="CT4" s="40"/>
      <c r="CU4" s="40"/>
      <c r="CV4" s="40"/>
      <c r="CW4" s="40"/>
      <c r="CX4" s="40"/>
      <c r="CY4" s="40"/>
      <c r="CZ4" s="40"/>
      <c r="DA4" s="40"/>
      <c r="DB4" s="40"/>
      <c r="DC4" s="40"/>
      <c r="DD4" s="40"/>
      <c r="DE4" s="40"/>
      <c r="DF4" s="40"/>
      <c r="DG4" s="40"/>
      <c r="DH4" s="40"/>
      <c r="DI4" s="40"/>
      <c r="DJ4" s="40"/>
      <c r="DK4" s="40"/>
      <c r="DL4" s="40"/>
      <c r="DM4" s="40"/>
      <c r="DN4" s="40"/>
      <c r="DO4" s="40"/>
      <c r="DP4" s="40"/>
      <c r="DQ4" s="40"/>
      <c r="DR4" s="40"/>
      <c r="DS4" s="40"/>
      <c r="DT4" s="40"/>
      <c r="DU4" s="40"/>
      <c r="DV4" s="40"/>
      <c r="DW4" s="40"/>
      <c r="DX4" s="40"/>
      <c r="DY4" s="40"/>
      <c r="DZ4" s="40"/>
      <c r="EA4" s="40"/>
      <c r="EB4" s="40"/>
      <c r="EC4" s="40"/>
      <c r="ED4" s="40"/>
      <c r="EE4" s="40"/>
      <c r="EF4" s="40"/>
      <c r="EG4" s="40"/>
      <c r="EH4" s="40"/>
      <c r="EI4" s="40"/>
      <c r="EJ4" s="40"/>
      <c r="EK4" s="40"/>
      <c r="EL4" s="40"/>
      <c r="EM4" s="40"/>
      <c r="EN4" s="40"/>
      <c r="EO4" s="40"/>
      <c r="EP4" s="40"/>
      <c r="EQ4" s="40"/>
      <c r="ER4" s="40"/>
      <c r="ES4" s="40"/>
      <c r="ET4" s="40"/>
      <c r="EU4" s="40"/>
      <c r="EV4" s="40"/>
      <c r="EW4" s="40"/>
      <c r="EX4" s="40"/>
      <c r="EY4" s="40"/>
      <c r="EZ4" s="40"/>
      <c r="FA4" s="40"/>
      <c r="FB4" s="40"/>
      <c r="FC4" s="40"/>
      <c r="FD4" s="40"/>
      <c r="FE4" s="40"/>
      <c r="FF4" s="40"/>
      <c r="FG4" s="40"/>
      <c r="FH4" s="40"/>
      <c r="FI4" s="40"/>
      <c r="FJ4" s="40"/>
      <c r="FK4" s="40"/>
      <c r="FL4" s="40"/>
      <c r="FM4" s="40"/>
      <c r="FN4" s="40"/>
      <c r="FO4" s="40"/>
      <c r="FP4" s="40"/>
      <c r="FQ4" s="40"/>
      <c r="FR4" s="40"/>
      <c r="FS4" s="40"/>
      <c r="FT4" s="40"/>
      <c r="FU4" s="40"/>
      <c r="FV4" s="40"/>
      <c r="FW4" s="40"/>
      <c r="FX4" s="40"/>
      <c r="FY4" s="40"/>
      <c r="FZ4" s="40"/>
      <c r="GA4" s="40"/>
      <c r="GB4" s="40"/>
      <c r="GC4" s="40"/>
      <c r="GD4" s="40"/>
      <c r="GE4" s="40"/>
      <c r="GF4" s="40"/>
      <c r="GG4" s="40"/>
      <c r="GH4" s="40"/>
      <c r="GI4" s="40"/>
      <c r="GJ4" s="40"/>
      <c r="GK4" s="40"/>
      <c r="GL4" s="40"/>
      <c r="GM4" s="40"/>
      <c r="GN4" s="40"/>
      <c r="GO4" s="40"/>
      <c r="GP4" s="40"/>
      <c r="GQ4" s="40"/>
      <c r="GR4" s="40"/>
      <c r="GS4" s="40"/>
      <c r="GT4" s="40"/>
      <c r="GU4" s="40"/>
      <c r="GV4" s="40"/>
      <c r="GW4" s="40"/>
      <c r="GX4" s="40"/>
      <c r="GY4" s="40"/>
      <c r="GZ4" s="40"/>
      <c r="HA4" s="40"/>
      <c r="HB4" s="40"/>
      <c r="HC4" s="40"/>
      <c r="HD4" s="40"/>
      <c r="HE4" s="40"/>
      <c r="HF4" s="40"/>
      <c r="HG4" s="40"/>
      <c r="HH4" s="40"/>
      <c r="HI4" s="40"/>
      <c r="HJ4" s="40"/>
      <c r="HK4" s="40"/>
      <c r="HL4" s="40"/>
      <c r="HM4" s="40"/>
      <c r="HN4" s="40"/>
      <c r="HO4" s="40"/>
      <c r="HP4" s="40"/>
      <c r="HQ4" s="40"/>
      <c r="HR4" s="40"/>
      <c r="HS4" s="40"/>
      <c r="HT4" s="40"/>
      <c r="HU4" s="40"/>
      <c r="HV4" s="40"/>
      <c r="HW4" s="40"/>
      <c r="HX4" s="40"/>
      <c r="HY4" s="40"/>
      <c r="HZ4" s="40"/>
      <c r="IA4" s="40"/>
      <c r="IB4" s="40"/>
      <c r="IC4" s="40"/>
      <c r="ID4" s="40"/>
      <c r="IE4" s="40"/>
      <c r="IF4" s="40"/>
      <c r="IG4" s="40"/>
      <c r="IH4" s="40"/>
      <c r="II4" s="40"/>
      <c r="IJ4" s="40"/>
      <c r="IK4" s="40"/>
      <c r="IL4" s="40"/>
      <c r="IM4" s="40"/>
      <c r="IN4" s="40"/>
      <c r="IO4" s="40"/>
      <c r="IP4" s="40"/>
      <c r="IQ4" s="40"/>
      <c r="IR4" s="40"/>
      <c r="IS4" s="40"/>
      <c r="IT4" s="40"/>
      <c r="IU4" s="40"/>
      <c r="IV4" s="40"/>
    </row>
    <row r="5" spans="1:256" ht="28.5" customHeight="1">
      <c r="A5" s="886"/>
      <c r="B5" s="886"/>
      <c r="C5" s="886"/>
      <c r="D5" s="886"/>
      <c r="E5" s="51"/>
      <c r="F5" s="51"/>
      <c r="G5" s="51"/>
      <c r="I5" s="883"/>
      <c r="J5" s="883"/>
      <c r="K5" s="883"/>
      <c r="L5" s="883"/>
      <c r="M5" s="883"/>
      <c r="N5" s="883"/>
      <c r="O5" s="883"/>
      <c r="P5" s="883"/>
      <c r="Q5" s="883"/>
      <c r="R5" s="883"/>
      <c r="S5" s="883"/>
      <c r="T5" s="883"/>
      <c r="U5" s="883"/>
      <c r="V5" s="883"/>
      <c r="W5" s="883"/>
      <c r="X5" s="883"/>
      <c r="Y5" s="883"/>
      <c r="Z5" s="883"/>
      <c r="AA5" s="883"/>
      <c r="AB5" s="883"/>
      <c r="AC5" s="883"/>
      <c r="AD5" s="883"/>
      <c r="AE5" s="883"/>
      <c r="AF5" s="883"/>
      <c r="AG5" s="883"/>
      <c r="AH5" s="883"/>
      <c r="AI5" s="883"/>
      <c r="AJ5" s="883"/>
      <c r="AK5" s="883"/>
      <c r="AL5" s="883"/>
      <c r="AM5" s="883"/>
      <c r="AN5" s="883"/>
      <c r="AO5" s="883"/>
      <c r="AP5" s="883"/>
      <c r="AQ5" s="883"/>
      <c r="AR5" s="883"/>
      <c r="AS5" s="883"/>
      <c r="AT5" s="883"/>
      <c r="AU5" s="883"/>
      <c r="AV5" s="883"/>
      <c r="AW5" s="883"/>
      <c r="AX5" s="883"/>
      <c r="AY5" s="883"/>
      <c r="AZ5" s="883"/>
      <c r="BA5" s="883"/>
      <c r="BB5" s="883"/>
      <c r="BC5" s="883"/>
      <c r="BD5" s="883"/>
      <c r="BE5" s="883"/>
      <c r="BF5" s="883"/>
      <c r="BG5" s="883"/>
      <c r="BH5" s="883"/>
      <c r="BI5" s="883"/>
      <c r="BJ5" s="883"/>
      <c r="BK5" s="883"/>
      <c r="BL5" s="883"/>
      <c r="BM5" s="883"/>
      <c r="BN5" s="883"/>
      <c r="BO5" s="883"/>
      <c r="BP5" s="883"/>
      <c r="BQ5" s="883"/>
      <c r="BR5" s="883"/>
      <c r="BS5" s="883"/>
      <c r="BT5" s="883"/>
      <c r="BU5" s="883"/>
      <c r="BV5" s="883"/>
      <c r="BW5" s="883"/>
      <c r="BX5" s="883"/>
      <c r="BY5" s="883"/>
      <c r="BZ5" s="883"/>
      <c r="CA5" s="883"/>
      <c r="CB5" s="883"/>
      <c r="CC5" s="883"/>
      <c r="CD5" s="883"/>
      <c r="CE5" s="883"/>
      <c r="CF5" s="883"/>
      <c r="CG5" s="883"/>
      <c r="CH5" s="883"/>
      <c r="CI5" s="883"/>
      <c r="CJ5" s="883"/>
      <c r="CK5" s="883"/>
      <c r="CL5" s="883"/>
      <c r="CM5" s="883"/>
      <c r="CN5" s="883"/>
      <c r="CO5" s="883"/>
      <c r="CP5" s="883"/>
      <c r="CQ5" s="883"/>
      <c r="CR5" s="883"/>
      <c r="CS5" s="883"/>
      <c r="CT5" s="883"/>
      <c r="CU5" s="883"/>
      <c r="CV5" s="883"/>
      <c r="CW5" s="883"/>
      <c r="CX5" s="883"/>
      <c r="CY5" s="883"/>
      <c r="CZ5" s="883"/>
      <c r="DA5" s="883"/>
      <c r="DB5" s="883"/>
      <c r="DC5" s="883"/>
      <c r="DD5" s="883"/>
      <c r="DE5" s="883"/>
      <c r="DF5" s="883"/>
      <c r="DG5" s="883"/>
      <c r="DH5" s="883"/>
      <c r="DI5" s="883"/>
      <c r="DJ5" s="883"/>
      <c r="DK5" s="883"/>
      <c r="DL5" s="883"/>
      <c r="DM5" s="883"/>
      <c r="DN5" s="883"/>
      <c r="DO5" s="883"/>
      <c r="DP5" s="883"/>
      <c r="DQ5" s="883"/>
      <c r="DR5" s="883"/>
      <c r="DS5" s="883"/>
      <c r="DT5" s="883"/>
      <c r="DU5" s="883"/>
      <c r="DV5" s="883"/>
      <c r="DW5" s="883"/>
      <c r="DX5" s="883"/>
      <c r="DY5" s="883"/>
      <c r="DZ5" s="883"/>
      <c r="EA5" s="883"/>
      <c r="EB5" s="883"/>
      <c r="EC5" s="883"/>
      <c r="ED5" s="883"/>
      <c r="EE5" s="883"/>
      <c r="EF5" s="883"/>
      <c r="EG5" s="883"/>
      <c r="EH5" s="883"/>
      <c r="EI5" s="883"/>
      <c r="EJ5" s="883"/>
      <c r="EK5" s="883"/>
      <c r="EL5" s="883"/>
      <c r="EM5" s="883"/>
      <c r="EN5" s="883"/>
      <c r="EO5" s="883"/>
      <c r="EP5" s="883"/>
      <c r="EQ5" s="883"/>
      <c r="ER5" s="883"/>
      <c r="ES5" s="883"/>
      <c r="ET5" s="883"/>
      <c r="EU5" s="883"/>
      <c r="EV5" s="883"/>
      <c r="EW5" s="883"/>
      <c r="EX5" s="883"/>
      <c r="EY5" s="883"/>
      <c r="EZ5" s="883"/>
      <c r="FA5" s="883"/>
      <c r="FB5" s="883"/>
      <c r="FC5" s="883"/>
      <c r="FD5" s="883"/>
      <c r="FE5" s="883"/>
      <c r="FF5" s="883"/>
      <c r="FG5" s="883"/>
      <c r="FH5" s="883"/>
      <c r="FI5" s="883"/>
      <c r="FJ5" s="883"/>
      <c r="FK5" s="883"/>
      <c r="FL5" s="883"/>
      <c r="FM5" s="883"/>
      <c r="FN5" s="883"/>
      <c r="FO5" s="883"/>
      <c r="FP5" s="883"/>
      <c r="FQ5" s="883"/>
      <c r="FR5" s="883"/>
      <c r="FS5" s="883"/>
      <c r="FT5" s="883"/>
      <c r="FU5" s="883"/>
      <c r="FV5" s="883"/>
      <c r="FW5" s="883"/>
      <c r="FX5" s="883"/>
      <c r="FY5" s="883"/>
      <c r="FZ5" s="883"/>
      <c r="GA5" s="883"/>
      <c r="GB5" s="883"/>
      <c r="GC5" s="883"/>
      <c r="GD5" s="883"/>
      <c r="GE5" s="883"/>
      <c r="GF5" s="883"/>
      <c r="GG5" s="883"/>
      <c r="GH5" s="883"/>
      <c r="GI5" s="883"/>
      <c r="GJ5" s="883"/>
      <c r="GK5" s="883"/>
      <c r="GL5" s="883"/>
      <c r="GM5" s="883"/>
      <c r="GN5" s="883"/>
      <c r="GO5" s="883"/>
      <c r="GP5" s="883"/>
      <c r="GQ5" s="883"/>
      <c r="GR5" s="883"/>
      <c r="GS5" s="883"/>
      <c r="GT5" s="883"/>
      <c r="GU5" s="883"/>
      <c r="GV5" s="883"/>
      <c r="GW5" s="883"/>
      <c r="GX5" s="883"/>
      <c r="GY5" s="883"/>
      <c r="GZ5" s="883"/>
      <c r="HA5" s="883"/>
      <c r="HB5" s="883"/>
      <c r="HC5" s="883"/>
      <c r="HD5" s="883"/>
      <c r="HE5" s="883"/>
      <c r="HF5" s="883"/>
      <c r="HG5" s="883"/>
      <c r="HH5" s="883"/>
      <c r="HI5" s="883"/>
      <c r="HJ5" s="883"/>
      <c r="HK5" s="883"/>
      <c r="HL5" s="883"/>
      <c r="HM5" s="883"/>
      <c r="HN5" s="883"/>
      <c r="HO5" s="883"/>
      <c r="HP5" s="883"/>
      <c r="HQ5" s="883"/>
      <c r="HR5" s="883"/>
      <c r="HS5" s="883"/>
      <c r="HT5" s="883"/>
      <c r="HU5" s="883"/>
      <c r="HV5" s="883"/>
      <c r="HW5" s="883"/>
      <c r="HX5" s="883"/>
      <c r="HY5" s="883"/>
      <c r="HZ5" s="883"/>
      <c r="IA5" s="883"/>
      <c r="IB5" s="883"/>
      <c r="IC5" s="883"/>
      <c r="ID5" s="883"/>
      <c r="IE5" s="883"/>
      <c r="IF5" s="883"/>
      <c r="IG5" s="883"/>
      <c r="IH5" s="883"/>
      <c r="II5" s="883"/>
      <c r="IJ5" s="883"/>
      <c r="IK5" s="883"/>
      <c r="IL5" s="883"/>
      <c r="IM5" s="883"/>
      <c r="IN5" s="883"/>
      <c r="IO5" s="883"/>
      <c r="IP5" s="883"/>
      <c r="IQ5" s="883"/>
      <c r="IR5" s="883"/>
      <c r="IS5" s="883"/>
      <c r="IT5" s="883"/>
      <c r="IU5" s="883"/>
      <c r="IV5" s="883"/>
    </row>
    <row r="6" spans="1:256">
      <c r="A6" s="42"/>
      <c r="B6" s="48"/>
      <c r="C6" s="44"/>
      <c r="D6" s="52"/>
      <c r="E6" s="51"/>
      <c r="F6" s="51"/>
      <c r="G6" s="51"/>
    </row>
    <row r="7" spans="1:256" ht="15" customHeight="1">
      <c r="A7" s="887"/>
      <c r="B7" s="888"/>
      <c r="C7" s="888"/>
      <c r="D7" s="888"/>
    </row>
    <row r="8" spans="1:256">
      <c r="A8" s="887"/>
      <c r="B8" s="888"/>
      <c r="C8" s="149"/>
      <c r="D8" s="149"/>
    </row>
    <row r="9" spans="1:256">
      <c r="A9" s="148"/>
      <c r="B9" s="53"/>
      <c r="C9" s="54"/>
      <c r="D9" s="54"/>
      <c r="E9" s="55"/>
      <c r="F9" s="55"/>
      <c r="G9" s="55"/>
    </row>
    <row r="10" spans="1:256">
      <c r="A10" s="42"/>
      <c r="B10" s="48"/>
      <c r="C10" s="56"/>
      <c r="D10" s="56"/>
    </row>
    <row r="11" spans="1:256">
      <c r="A11" s="42"/>
      <c r="B11" s="48"/>
      <c r="C11" s="56"/>
      <c r="D11" s="56"/>
    </row>
    <row r="12" spans="1:256">
      <c r="A12" s="57"/>
      <c r="B12" s="48"/>
      <c r="C12" s="58"/>
      <c r="D12" s="58"/>
    </row>
    <row r="13" spans="1:256">
      <c r="A13" s="42"/>
      <c r="B13" s="48"/>
      <c r="C13" s="56"/>
      <c r="D13" s="56"/>
    </row>
    <row r="14" spans="1:256">
      <c r="A14" s="42"/>
      <c r="B14" s="48"/>
      <c r="C14" s="56"/>
      <c r="D14" s="56"/>
    </row>
    <row r="15" spans="1:256">
      <c r="A15" s="42"/>
      <c r="B15" s="48"/>
      <c r="C15" s="56"/>
      <c r="D15" s="56"/>
    </row>
    <row r="16" spans="1:256">
      <c r="A16" s="42"/>
      <c r="B16" s="48"/>
      <c r="C16" s="56"/>
      <c r="D16" s="56"/>
      <c r="E16" s="51"/>
      <c r="F16" s="51"/>
      <c r="G16" s="51"/>
    </row>
    <row r="17" spans="1:7">
      <c r="A17" s="42"/>
      <c r="B17" s="48"/>
      <c r="C17" s="56"/>
      <c r="D17" s="56"/>
    </row>
    <row r="18" spans="1:7">
      <c r="A18" s="42"/>
      <c r="B18" s="48"/>
      <c r="C18" s="56"/>
      <c r="D18" s="56"/>
      <c r="E18" s="51"/>
      <c r="F18" s="51"/>
      <c r="G18" s="51"/>
    </row>
    <row r="19" spans="1:7">
      <c r="A19" s="148"/>
      <c r="B19" s="53"/>
      <c r="C19" s="59"/>
      <c r="D19" s="59"/>
      <c r="G19" s="45"/>
    </row>
    <row r="20" spans="1:7">
      <c r="A20" s="42"/>
      <c r="B20" s="48"/>
      <c r="C20" s="56"/>
      <c r="D20" s="56"/>
      <c r="G20" s="45"/>
    </row>
    <row r="21" spans="1:7">
      <c r="A21" s="148"/>
      <c r="B21" s="53"/>
      <c r="C21" s="59"/>
      <c r="D21" s="59"/>
      <c r="G21" s="45"/>
    </row>
    <row r="22" spans="1:7">
      <c r="A22" s="42"/>
      <c r="B22" s="44"/>
      <c r="C22" s="56"/>
      <c r="D22" s="56"/>
      <c r="G22" s="45"/>
    </row>
    <row r="23" spans="1:7">
      <c r="A23" s="42"/>
      <c r="B23" s="44"/>
      <c r="C23" s="56"/>
      <c r="D23" s="56"/>
      <c r="G23" s="45"/>
    </row>
    <row r="24" spans="1:7">
      <c r="A24" s="42"/>
      <c r="B24" s="44"/>
      <c r="C24" s="56"/>
      <c r="D24" s="56"/>
      <c r="G24" s="45"/>
    </row>
    <row r="25" spans="1:7">
      <c r="A25" s="42"/>
      <c r="B25" s="44"/>
      <c r="C25" s="56"/>
      <c r="D25" s="56"/>
      <c r="G25" s="45"/>
    </row>
    <row r="26" spans="1:7">
      <c r="A26" s="42"/>
      <c r="B26" s="44"/>
      <c r="C26" s="56"/>
      <c r="D26" s="56"/>
      <c r="G26" s="45"/>
    </row>
    <row r="27" spans="1:7">
      <c r="A27" s="42"/>
      <c r="B27" s="44"/>
      <c r="C27" s="56"/>
      <c r="D27" s="56"/>
      <c r="G27" s="45"/>
    </row>
    <row r="28" spans="1:7">
      <c r="A28" s="42"/>
      <c r="B28" s="44"/>
      <c r="C28" s="56"/>
      <c r="D28" s="56"/>
      <c r="G28" s="45"/>
    </row>
    <row r="29" spans="1:7">
      <c r="A29" s="42"/>
      <c r="B29" s="44"/>
      <c r="C29" s="56"/>
      <c r="D29" s="56"/>
      <c r="E29" s="51"/>
      <c r="F29" s="51"/>
      <c r="G29" s="51"/>
    </row>
    <row r="30" spans="1:7">
      <c r="A30" s="42"/>
      <c r="B30" s="44"/>
      <c r="C30" s="56"/>
      <c r="D30" s="56"/>
    </row>
    <row r="31" spans="1:7">
      <c r="A31" s="42"/>
      <c r="B31" s="44"/>
      <c r="C31" s="56"/>
      <c r="D31" s="56"/>
      <c r="E31" s="51"/>
      <c r="F31" s="51"/>
      <c r="G31" s="51"/>
    </row>
    <row r="32" spans="1:7">
      <c r="A32" s="148"/>
      <c r="B32" s="53"/>
      <c r="C32" s="59"/>
      <c r="D32" s="59"/>
    </row>
    <row r="33" spans="1:7">
      <c r="A33" s="42"/>
      <c r="B33" s="48"/>
      <c r="C33" s="56"/>
      <c r="D33" s="56"/>
    </row>
    <row r="34" spans="1:7">
      <c r="A34" s="148"/>
      <c r="B34" s="53"/>
      <c r="C34" s="59"/>
      <c r="D34" s="59"/>
    </row>
    <row r="35" spans="1:7">
      <c r="A35" s="42"/>
      <c r="B35" s="48"/>
      <c r="C35" s="56"/>
      <c r="D35" s="56"/>
    </row>
    <row r="36" spans="1:7">
      <c r="A36" s="42"/>
      <c r="B36" s="48"/>
      <c r="C36" s="56"/>
      <c r="D36" s="56"/>
    </row>
    <row r="37" spans="1:7">
      <c r="A37" s="42"/>
      <c r="B37" s="48"/>
      <c r="C37" s="56"/>
      <c r="D37" s="56"/>
      <c r="E37" s="51"/>
      <c r="F37" s="51"/>
      <c r="G37" s="51"/>
    </row>
    <row r="38" spans="1:7">
      <c r="A38" s="42"/>
      <c r="B38" s="48"/>
      <c r="C38" s="56"/>
      <c r="D38" s="56"/>
    </row>
    <row r="39" spans="1:7">
      <c r="A39" s="42"/>
      <c r="B39" s="48"/>
      <c r="C39" s="56"/>
      <c r="D39" s="56"/>
      <c r="E39" s="51"/>
      <c r="F39" s="51"/>
      <c r="G39" s="51"/>
    </row>
    <row r="40" spans="1:7">
      <c r="A40" s="148"/>
      <c r="B40" s="53"/>
      <c r="C40" s="59"/>
      <c r="D40" s="59"/>
    </row>
    <row r="41" spans="1:7">
      <c r="A41" s="42"/>
      <c r="B41" s="48"/>
      <c r="C41" s="56"/>
      <c r="D41" s="56"/>
    </row>
    <row r="42" spans="1:7">
      <c r="A42" s="148"/>
      <c r="B42" s="53"/>
      <c r="C42" s="59"/>
      <c r="D42" s="59"/>
      <c r="E42" s="51"/>
      <c r="F42" s="51"/>
      <c r="G42" s="51"/>
    </row>
    <row r="43" spans="1:7">
      <c r="A43" s="42"/>
      <c r="B43" s="44"/>
      <c r="C43" s="56"/>
      <c r="D43" s="56"/>
    </row>
    <row r="44" spans="1:7">
      <c r="A44" s="42"/>
      <c r="B44" s="48"/>
      <c r="C44" s="56"/>
      <c r="D44" s="56"/>
      <c r="E44" s="51"/>
      <c r="F44" s="51"/>
      <c r="G44" s="51"/>
    </row>
    <row r="45" spans="1:7">
      <c r="A45" s="148"/>
      <c r="B45" s="53"/>
      <c r="C45" s="59"/>
      <c r="D45" s="59"/>
    </row>
    <row r="46" spans="1:7">
      <c r="A46" s="42"/>
      <c r="B46" s="48"/>
      <c r="C46" s="56"/>
      <c r="D46" s="56"/>
      <c r="E46" s="51"/>
      <c r="F46" s="51"/>
      <c r="G46" s="51"/>
    </row>
    <row r="47" spans="1:7">
      <c r="A47" s="148"/>
      <c r="B47" s="53"/>
      <c r="C47" s="59"/>
      <c r="D47" s="59"/>
    </row>
    <row r="48" spans="1:7">
      <c r="A48" s="42"/>
      <c r="B48" s="48"/>
      <c r="C48" s="56"/>
      <c r="D48" s="56"/>
      <c r="E48" s="51"/>
      <c r="F48" s="51"/>
      <c r="G48" s="51"/>
    </row>
    <row r="49" spans="1:256">
      <c r="A49" s="148"/>
      <c r="B49" s="53"/>
      <c r="C49" s="59"/>
      <c r="D49" s="59"/>
      <c r="E49" s="60"/>
    </row>
    <row r="50" spans="1:256">
      <c r="A50" s="42"/>
      <c r="B50" s="48"/>
      <c r="C50" s="56"/>
      <c r="D50" s="56"/>
      <c r="E50" s="60"/>
    </row>
    <row r="51" spans="1:256">
      <c r="A51" s="148"/>
      <c r="B51" s="149"/>
      <c r="C51" s="59"/>
      <c r="D51" s="59"/>
      <c r="E51" s="60"/>
    </row>
    <row r="52" spans="1:256">
      <c r="A52" s="42"/>
      <c r="B52" s="48"/>
      <c r="C52" s="44"/>
      <c r="D52" s="44"/>
      <c r="E52" s="60"/>
    </row>
    <row r="53" spans="1:256" ht="15.75" customHeight="1">
      <c r="A53" s="61"/>
      <c r="B53" s="889"/>
      <c r="C53" s="889"/>
      <c r="D53" s="889"/>
      <c r="E53" s="60"/>
    </row>
    <row r="54" spans="1:256">
      <c r="A54" s="62"/>
      <c r="B54" s="63"/>
      <c r="C54" s="60"/>
      <c r="D54" s="60"/>
      <c r="E54" s="60"/>
    </row>
    <row r="55" spans="1:256">
      <c r="A55" s="62"/>
      <c r="B55" s="63"/>
      <c r="C55" s="60"/>
      <c r="D55" s="60"/>
    </row>
    <row r="56" spans="1:256" s="46" customFormat="1">
      <c r="A56" s="62"/>
      <c r="B56" s="63"/>
      <c r="C56" s="60"/>
      <c r="D56" s="60"/>
      <c r="H56" s="45"/>
      <c r="I56" s="45"/>
      <c r="J56" s="45"/>
      <c r="K56" s="45"/>
      <c r="L56" s="45"/>
      <c r="M56" s="45"/>
      <c r="N56" s="45"/>
      <c r="O56" s="45"/>
      <c r="P56" s="45"/>
      <c r="Q56" s="45"/>
      <c r="R56" s="45"/>
      <c r="S56" s="45"/>
      <c r="T56" s="45"/>
      <c r="U56" s="45"/>
      <c r="V56" s="45"/>
      <c r="W56" s="45"/>
      <c r="X56" s="45"/>
      <c r="Y56" s="45"/>
      <c r="Z56" s="45"/>
      <c r="AA56" s="45"/>
      <c r="AB56" s="45"/>
      <c r="AC56" s="45"/>
      <c r="AD56" s="45"/>
      <c r="AE56" s="45"/>
      <c r="AF56" s="45"/>
      <c r="AG56" s="45"/>
      <c r="AH56" s="45"/>
      <c r="AI56" s="45"/>
      <c r="AJ56" s="45"/>
      <c r="AK56" s="45"/>
      <c r="AL56" s="45"/>
      <c r="AM56" s="45"/>
      <c r="AN56" s="45"/>
      <c r="AO56" s="45"/>
      <c r="AP56" s="45"/>
      <c r="AQ56" s="45"/>
      <c r="AR56" s="45"/>
      <c r="AS56" s="45"/>
      <c r="AT56" s="45"/>
      <c r="AU56" s="45"/>
      <c r="AV56" s="45"/>
      <c r="AW56" s="45"/>
      <c r="AX56" s="45"/>
      <c r="AY56" s="45"/>
      <c r="AZ56" s="45"/>
      <c r="BA56" s="45"/>
      <c r="BB56" s="45"/>
      <c r="BC56" s="45"/>
      <c r="BD56" s="45"/>
      <c r="BE56" s="45"/>
      <c r="BF56" s="45"/>
      <c r="BG56" s="45"/>
      <c r="BH56" s="45"/>
      <c r="BI56" s="45"/>
      <c r="BJ56" s="45"/>
      <c r="BK56" s="45"/>
      <c r="BL56" s="45"/>
      <c r="BM56" s="45"/>
      <c r="BN56" s="45"/>
      <c r="BO56" s="45"/>
      <c r="BP56" s="45"/>
      <c r="BQ56" s="45"/>
      <c r="BR56" s="45"/>
      <c r="BS56" s="45"/>
      <c r="BT56" s="45"/>
      <c r="BU56" s="45"/>
      <c r="BV56" s="45"/>
      <c r="BW56" s="45"/>
      <c r="BX56" s="45"/>
      <c r="BY56" s="45"/>
      <c r="BZ56" s="45"/>
      <c r="CA56" s="45"/>
      <c r="CB56" s="45"/>
      <c r="CC56" s="45"/>
      <c r="CD56" s="45"/>
      <c r="CE56" s="45"/>
      <c r="CF56" s="45"/>
      <c r="CG56" s="45"/>
      <c r="CH56" s="45"/>
      <c r="CI56" s="45"/>
      <c r="CJ56" s="45"/>
      <c r="CK56" s="45"/>
      <c r="CL56" s="45"/>
      <c r="CM56" s="45"/>
      <c r="CN56" s="45"/>
      <c r="CO56" s="45"/>
      <c r="CP56" s="45"/>
      <c r="CQ56" s="45"/>
      <c r="CR56" s="45"/>
      <c r="CS56" s="45"/>
      <c r="CT56" s="45"/>
      <c r="CU56" s="45"/>
      <c r="CV56" s="45"/>
      <c r="CW56" s="45"/>
      <c r="CX56" s="45"/>
      <c r="CY56" s="45"/>
      <c r="CZ56" s="45"/>
      <c r="DA56" s="45"/>
      <c r="DB56" s="45"/>
      <c r="DC56" s="45"/>
      <c r="DD56" s="45"/>
      <c r="DE56" s="45"/>
      <c r="DF56" s="45"/>
      <c r="DG56" s="45"/>
      <c r="DH56" s="45"/>
      <c r="DI56" s="45"/>
      <c r="DJ56" s="45"/>
      <c r="DK56" s="45"/>
      <c r="DL56" s="45"/>
      <c r="DM56" s="45"/>
      <c r="DN56" s="45"/>
      <c r="DO56" s="45"/>
      <c r="DP56" s="45"/>
      <c r="DQ56" s="45"/>
      <c r="DR56" s="45"/>
      <c r="DS56" s="45"/>
      <c r="DT56" s="45"/>
      <c r="DU56" s="45"/>
      <c r="DV56" s="45"/>
      <c r="DW56" s="45"/>
      <c r="DX56" s="45"/>
      <c r="DY56" s="45"/>
      <c r="DZ56" s="45"/>
      <c r="EA56" s="45"/>
      <c r="EB56" s="45"/>
      <c r="EC56" s="45"/>
      <c r="ED56" s="45"/>
      <c r="EE56" s="45"/>
      <c r="EF56" s="45"/>
      <c r="EG56" s="45"/>
      <c r="EH56" s="45"/>
      <c r="EI56" s="45"/>
      <c r="EJ56" s="45"/>
      <c r="EK56" s="45"/>
      <c r="EL56" s="45"/>
      <c r="EM56" s="45"/>
      <c r="EN56" s="45"/>
      <c r="EO56" s="45"/>
      <c r="EP56" s="45"/>
      <c r="EQ56" s="45"/>
      <c r="ER56" s="45"/>
      <c r="ES56" s="45"/>
      <c r="ET56" s="45"/>
      <c r="EU56" s="45"/>
      <c r="EV56" s="45"/>
      <c r="EW56" s="45"/>
      <c r="EX56" s="45"/>
      <c r="EY56" s="45"/>
      <c r="EZ56" s="45"/>
      <c r="FA56" s="45"/>
      <c r="FB56" s="45"/>
      <c r="FC56" s="45"/>
      <c r="FD56" s="45"/>
      <c r="FE56" s="45"/>
      <c r="FF56" s="45"/>
      <c r="FG56" s="45"/>
      <c r="FH56" s="45"/>
      <c r="FI56" s="45"/>
      <c r="FJ56" s="45"/>
      <c r="FK56" s="45"/>
      <c r="FL56" s="45"/>
      <c r="FM56" s="45"/>
      <c r="FN56" s="45"/>
      <c r="FO56" s="45"/>
      <c r="FP56" s="45"/>
      <c r="FQ56" s="45"/>
      <c r="FR56" s="45"/>
      <c r="FS56" s="45"/>
      <c r="FT56" s="45"/>
      <c r="FU56" s="45"/>
      <c r="FV56" s="45"/>
      <c r="FW56" s="45"/>
      <c r="FX56" s="45"/>
      <c r="FY56" s="45"/>
      <c r="FZ56" s="45"/>
      <c r="GA56" s="45"/>
      <c r="GB56" s="45"/>
      <c r="GC56" s="45"/>
      <c r="GD56" s="45"/>
      <c r="GE56" s="45"/>
      <c r="GF56" s="45"/>
      <c r="GG56" s="45"/>
      <c r="GH56" s="45"/>
      <c r="GI56" s="45"/>
      <c r="GJ56" s="45"/>
      <c r="GK56" s="45"/>
      <c r="GL56" s="45"/>
      <c r="GM56" s="45"/>
      <c r="GN56" s="45"/>
      <c r="GO56" s="45"/>
      <c r="GP56" s="45"/>
      <c r="GQ56" s="45"/>
      <c r="GR56" s="45"/>
      <c r="GS56" s="45"/>
      <c r="GT56" s="45"/>
      <c r="GU56" s="45"/>
      <c r="GV56" s="45"/>
      <c r="GW56" s="45"/>
      <c r="GX56" s="45"/>
      <c r="GY56" s="45"/>
      <c r="GZ56" s="45"/>
      <c r="HA56" s="45"/>
      <c r="HB56" s="45"/>
      <c r="HC56" s="45"/>
      <c r="HD56" s="45"/>
      <c r="HE56" s="45"/>
      <c r="HF56" s="45"/>
      <c r="HG56" s="45"/>
      <c r="HH56" s="45"/>
      <c r="HI56" s="45"/>
      <c r="HJ56" s="45"/>
      <c r="HK56" s="45"/>
      <c r="HL56" s="45"/>
      <c r="HM56" s="45"/>
      <c r="HN56" s="45"/>
      <c r="HO56" s="45"/>
      <c r="HP56" s="45"/>
      <c r="HQ56" s="45"/>
      <c r="HR56" s="45"/>
      <c r="HS56" s="45"/>
      <c r="HT56" s="45"/>
      <c r="HU56" s="45"/>
      <c r="HV56" s="45"/>
      <c r="HW56" s="45"/>
      <c r="HX56" s="45"/>
      <c r="HY56" s="45"/>
      <c r="HZ56" s="45"/>
      <c r="IA56" s="45"/>
      <c r="IB56" s="45"/>
      <c r="IC56" s="45"/>
      <c r="ID56" s="45"/>
      <c r="IE56" s="45"/>
      <c r="IF56" s="45"/>
      <c r="IG56" s="45"/>
      <c r="IH56" s="45"/>
      <c r="II56" s="45"/>
      <c r="IJ56" s="45"/>
      <c r="IK56" s="45"/>
      <c r="IL56" s="45"/>
      <c r="IM56" s="45"/>
      <c r="IN56" s="45"/>
      <c r="IO56" s="45"/>
      <c r="IP56" s="45"/>
      <c r="IQ56" s="45"/>
      <c r="IR56" s="45"/>
      <c r="IS56" s="45"/>
      <c r="IT56" s="45"/>
      <c r="IU56" s="45"/>
      <c r="IV56" s="45"/>
    </row>
    <row r="57" spans="1:256" s="46" customFormat="1">
      <c r="A57" s="62"/>
      <c r="B57" s="63"/>
      <c r="C57" s="60"/>
      <c r="D57" s="60"/>
      <c r="H57" s="45"/>
      <c r="I57" s="45"/>
      <c r="J57" s="45"/>
      <c r="K57" s="45"/>
      <c r="L57" s="45"/>
      <c r="M57" s="45"/>
      <c r="N57" s="45"/>
      <c r="O57" s="45"/>
      <c r="P57" s="45"/>
      <c r="Q57" s="45"/>
      <c r="R57" s="45"/>
      <c r="S57" s="45"/>
      <c r="T57" s="45"/>
      <c r="U57" s="45"/>
      <c r="V57" s="45"/>
      <c r="W57" s="45"/>
      <c r="X57" s="45"/>
      <c r="Y57" s="45"/>
      <c r="Z57" s="45"/>
      <c r="AA57" s="45"/>
      <c r="AB57" s="45"/>
      <c r="AC57" s="45"/>
      <c r="AD57" s="45"/>
      <c r="AE57" s="45"/>
      <c r="AF57" s="45"/>
      <c r="AG57" s="45"/>
      <c r="AH57" s="45"/>
      <c r="AI57" s="45"/>
      <c r="AJ57" s="45"/>
      <c r="AK57" s="45"/>
      <c r="AL57" s="45"/>
      <c r="AM57" s="45"/>
      <c r="AN57" s="45"/>
      <c r="AO57" s="45"/>
      <c r="AP57" s="45"/>
      <c r="AQ57" s="45"/>
      <c r="AR57" s="45"/>
      <c r="AS57" s="45"/>
      <c r="AT57" s="45"/>
      <c r="AU57" s="45"/>
      <c r="AV57" s="45"/>
      <c r="AW57" s="45"/>
      <c r="AX57" s="45"/>
      <c r="AY57" s="45"/>
      <c r="AZ57" s="45"/>
      <c r="BA57" s="45"/>
      <c r="BB57" s="45"/>
      <c r="BC57" s="45"/>
      <c r="BD57" s="45"/>
      <c r="BE57" s="45"/>
      <c r="BF57" s="45"/>
      <c r="BG57" s="45"/>
      <c r="BH57" s="45"/>
      <c r="BI57" s="45"/>
      <c r="BJ57" s="45"/>
      <c r="BK57" s="45"/>
      <c r="BL57" s="45"/>
      <c r="BM57" s="45"/>
      <c r="BN57" s="45"/>
      <c r="BO57" s="45"/>
      <c r="BP57" s="45"/>
      <c r="BQ57" s="45"/>
      <c r="BR57" s="45"/>
      <c r="BS57" s="45"/>
      <c r="BT57" s="45"/>
      <c r="BU57" s="45"/>
      <c r="BV57" s="45"/>
      <c r="BW57" s="45"/>
      <c r="BX57" s="45"/>
      <c r="BY57" s="45"/>
      <c r="BZ57" s="45"/>
      <c r="CA57" s="45"/>
      <c r="CB57" s="45"/>
      <c r="CC57" s="45"/>
      <c r="CD57" s="45"/>
      <c r="CE57" s="45"/>
      <c r="CF57" s="45"/>
      <c r="CG57" s="45"/>
      <c r="CH57" s="45"/>
      <c r="CI57" s="45"/>
      <c r="CJ57" s="45"/>
      <c r="CK57" s="45"/>
      <c r="CL57" s="45"/>
      <c r="CM57" s="45"/>
      <c r="CN57" s="45"/>
      <c r="CO57" s="45"/>
      <c r="CP57" s="45"/>
      <c r="CQ57" s="45"/>
      <c r="CR57" s="45"/>
      <c r="CS57" s="45"/>
      <c r="CT57" s="45"/>
      <c r="CU57" s="45"/>
      <c r="CV57" s="45"/>
      <c r="CW57" s="45"/>
      <c r="CX57" s="45"/>
      <c r="CY57" s="45"/>
      <c r="CZ57" s="45"/>
      <c r="DA57" s="45"/>
      <c r="DB57" s="45"/>
      <c r="DC57" s="45"/>
      <c r="DD57" s="45"/>
      <c r="DE57" s="45"/>
      <c r="DF57" s="45"/>
      <c r="DG57" s="45"/>
      <c r="DH57" s="45"/>
      <c r="DI57" s="45"/>
      <c r="DJ57" s="45"/>
      <c r="DK57" s="45"/>
      <c r="DL57" s="45"/>
      <c r="DM57" s="45"/>
      <c r="DN57" s="45"/>
      <c r="DO57" s="45"/>
      <c r="DP57" s="45"/>
      <c r="DQ57" s="45"/>
      <c r="DR57" s="45"/>
      <c r="DS57" s="45"/>
      <c r="DT57" s="45"/>
      <c r="DU57" s="45"/>
      <c r="DV57" s="45"/>
      <c r="DW57" s="45"/>
      <c r="DX57" s="45"/>
      <c r="DY57" s="45"/>
      <c r="DZ57" s="45"/>
      <c r="EA57" s="45"/>
      <c r="EB57" s="45"/>
      <c r="EC57" s="45"/>
      <c r="ED57" s="45"/>
      <c r="EE57" s="45"/>
      <c r="EF57" s="45"/>
      <c r="EG57" s="45"/>
      <c r="EH57" s="45"/>
      <c r="EI57" s="45"/>
      <c r="EJ57" s="45"/>
      <c r="EK57" s="45"/>
      <c r="EL57" s="45"/>
      <c r="EM57" s="45"/>
      <c r="EN57" s="45"/>
      <c r="EO57" s="45"/>
      <c r="EP57" s="45"/>
      <c r="EQ57" s="45"/>
      <c r="ER57" s="45"/>
      <c r="ES57" s="45"/>
      <c r="ET57" s="45"/>
      <c r="EU57" s="45"/>
      <c r="EV57" s="45"/>
      <c r="EW57" s="45"/>
      <c r="EX57" s="45"/>
      <c r="EY57" s="45"/>
      <c r="EZ57" s="45"/>
      <c r="FA57" s="45"/>
      <c r="FB57" s="45"/>
      <c r="FC57" s="45"/>
      <c r="FD57" s="45"/>
      <c r="FE57" s="45"/>
      <c r="FF57" s="45"/>
      <c r="FG57" s="45"/>
      <c r="FH57" s="45"/>
      <c r="FI57" s="45"/>
      <c r="FJ57" s="45"/>
      <c r="FK57" s="45"/>
      <c r="FL57" s="45"/>
      <c r="FM57" s="45"/>
      <c r="FN57" s="45"/>
      <c r="FO57" s="45"/>
      <c r="FP57" s="45"/>
      <c r="FQ57" s="45"/>
      <c r="FR57" s="45"/>
      <c r="FS57" s="45"/>
      <c r="FT57" s="45"/>
      <c r="FU57" s="45"/>
      <c r="FV57" s="45"/>
      <c r="FW57" s="45"/>
      <c r="FX57" s="45"/>
      <c r="FY57" s="45"/>
      <c r="FZ57" s="45"/>
      <c r="GA57" s="45"/>
      <c r="GB57" s="45"/>
      <c r="GC57" s="45"/>
      <c r="GD57" s="45"/>
      <c r="GE57" s="45"/>
      <c r="GF57" s="45"/>
      <c r="GG57" s="45"/>
      <c r="GH57" s="45"/>
      <c r="GI57" s="45"/>
      <c r="GJ57" s="45"/>
      <c r="GK57" s="45"/>
      <c r="GL57" s="45"/>
      <c r="GM57" s="45"/>
      <c r="GN57" s="45"/>
      <c r="GO57" s="45"/>
      <c r="GP57" s="45"/>
      <c r="GQ57" s="45"/>
      <c r="GR57" s="45"/>
      <c r="GS57" s="45"/>
      <c r="GT57" s="45"/>
      <c r="GU57" s="45"/>
      <c r="GV57" s="45"/>
      <c r="GW57" s="45"/>
      <c r="GX57" s="45"/>
      <c r="GY57" s="45"/>
      <c r="GZ57" s="45"/>
      <c r="HA57" s="45"/>
      <c r="HB57" s="45"/>
      <c r="HC57" s="45"/>
      <c r="HD57" s="45"/>
      <c r="HE57" s="45"/>
      <c r="HF57" s="45"/>
      <c r="HG57" s="45"/>
      <c r="HH57" s="45"/>
      <c r="HI57" s="45"/>
      <c r="HJ57" s="45"/>
      <c r="HK57" s="45"/>
      <c r="HL57" s="45"/>
      <c r="HM57" s="45"/>
      <c r="HN57" s="45"/>
      <c r="HO57" s="45"/>
      <c r="HP57" s="45"/>
      <c r="HQ57" s="45"/>
      <c r="HR57" s="45"/>
      <c r="HS57" s="45"/>
      <c r="HT57" s="45"/>
      <c r="HU57" s="45"/>
      <c r="HV57" s="45"/>
      <c r="HW57" s="45"/>
      <c r="HX57" s="45"/>
      <c r="HY57" s="45"/>
      <c r="HZ57" s="45"/>
      <c r="IA57" s="45"/>
      <c r="IB57" s="45"/>
      <c r="IC57" s="45"/>
      <c r="ID57" s="45"/>
      <c r="IE57" s="45"/>
      <c r="IF57" s="45"/>
      <c r="IG57" s="45"/>
      <c r="IH57" s="45"/>
      <c r="II57" s="45"/>
      <c r="IJ57" s="45"/>
      <c r="IK57" s="45"/>
      <c r="IL57" s="45"/>
      <c r="IM57" s="45"/>
      <c r="IN57" s="45"/>
      <c r="IO57" s="45"/>
      <c r="IP57" s="45"/>
      <c r="IQ57" s="45"/>
      <c r="IR57" s="45"/>
      <c r="IS57" s="45"/>
      <c r="IT57" s="45"/>
      <c r="IU57" s="45"/>
      <c r="IV57" s="45"/>
    </row>
  </sheetData>
  <mergeCells count="70">
    <mergeCell ref="A7:A8"/>
    <mergeCell ref="B7:B8"/>
    <mergeCell ref="C7:D7"/>
    <mergeCell ref="B53:D53"/>
    <mergeCell ref="HY5:IB5"/>
    <mergeCell ref="HA5:HD5"/>
    <mergeCell ref="HE5:HH5"/>
    <mergeCell ref="HI5:HL5"/>
    <mergeCell ref="HM5:HP5"/>
    <mergeCell ref="HQ5:HT5"/>
    <mergeCell ref="HU5:HX5"/>
    <mergeCell ref="GC5:GF5"/>
    <mergeCell ref="GG5:GJ5"/>
    <mergeCell ref="GK5:GN5"/>
    <mergeCell ref="GO5:GR5"/>
    <mergeCell ref="GS5:GV5"/>
    <mergeCell ref="IC5:IF5"/>
    <mergeCell ref="IG5:IJ5"/>
    <mergeCell ref="IK5:IN5"/>
    <mergeCell ref="IO5:IR5"/>
    <mergeCell ref="IS5:IV5"/>
    <mergeCell ref="GW5:GZ5"/>
    <mergeCell ref="FE5:FH5"/>
    <mergeCell ref="FI5:FL5"/>
    <mergeCell ref="FM5:FP5"/>
    <mergeCell ref="FQ5:FT5"/>
    <mergeCell ref="FU5:FX5"/>
    <mergeCell ref="FY5:GB5"/>
    <mergeCell ref="FA5:FD5"/>
    <mergeCell ref="DI5:DL5"/>
    <mergeCell ref="DM5:DP5"/>
    <mergeCell ref="DQ5:DT5"/>
    <mergeCell ref="DU5:DX5"/>
    <mergeCell ref="DY5:EB5"/>
    <mergeCell ref="EC5:EF5"/>
    <mergeCell ref="EG5:EJ5"/>
    <mergeCell ref="EK5:EN5"/>
    <mergeCell ref="EO5:ER5"/>
    <mergeCell ref="ES5:EV5"/>
    <mergeCell ref="EW5:EZ5"/>
    <mergeCell ref="DE5:DH5"/>
    <mergeCell ref="BM5:BP5"/>
    <mergeCell ref="BQ5:BT5"/>
    <mergeCell ref="BU5:BX5"/>
    <mergeCell ref="BY5:CB5"/>
    <mergeCell ref="CC5:CF5"/>
    <mergeCell ref="CG5:CJ5"/>
    <mergeCell ref="CK5:CN5"/>
    <mergeCell ref="CO5:CR5"/>
    <mergeCell ref="CS5:CV5"/>
    <mergeCell ref="CW5:CZ5"/>
    <mergeCell ref="DA5:DD5"/>
    <mergeCell ref="BI5:BL5"/>
    <mergeCell ref="Q5:T5"/>
    <mergeCell ref="U5:X5"/>
    <mergeCell ref="Y5:AB5"/>
    <mergeCell ref="AC5:AF5"/>
    <mergeCell ref="AG5:AJ5"/>
    <mergeCell ref="AK5:AN5"/>
    <mergeCell ref="AO5:AR5"/>
    <mergeCell ref="AS5:AV5"/>
    <mergeCell ref="AW5:AZ5"/>
    <mergeCell ref="BA5:BD5"/>
    <mergeCell ref="BE5:BH5"/>
    <mergeCell ref="M5:P5"/>
    <mergeCell ref="A1:D1"/>
    <mergeCell ref="E2:H2"/>
    <mergeCell ref="A3:D3"/>
    <mergeCell ref="A5:D5"/>
    <mergeCell ref="I5:L5"/>
  </mergeCells>
  <printOptions horizontalCentered="1" verticalCentered="1"/>
  <pageMargins left="0.78740157480314965" right="0.78740157480314965" top="0.39370078740157483" bottom="0.39370078740157483" header="0.19685039370078741" footer="0.19685039370078741"/>
  <pageSetup paperSize="9" scale="84" orientation="portrait" r:id="rId1"/>
  <headerFooter>
    <oddHeader>&amp;C&amp;F</oddHeader>
    <oddFooter>Página &amp;P de &amp;N</oddFooter>
  </headerFooter>
  <drawing r:id="rId2"/>
</worksheet>
</file>

<file path=xl/worksheets/sheet18.xml><?xml version="1.0" encoding="utf-8"?>
<worksheet xmlns="http://schemas.openxmlformats.org/spreadsheetml/2006/main" xmlns:r="http://schemas.openxmlformats.org/officeDocument/2006/relationships">
  <sheetPr>
    <tabColor rgb="FFFF0000"/>
  </sheetPr>
  <dimension ref="A1:K57"/>
  <sheetViews>
    <sheetView showGridLines="0" view="pageBreakPreview" topLeftCell="A16" zoomScale="130" zoomScaleNormal="100" zoomScaleSheetLayoutView="130" workbookViewId="0">
      <selection activeCell="P38" sqref="P38"/>
    </sheetView>
  </sheetViews>
  <sheetFormatPr defaultColWidth="9.140625" defaultRowHeight="14.25"/>
  <cols>
    <col min="1" max="1" width="3.140625" style="151" customWidth="1"/>
    <col min="2" max="2" width="9.140625" style="151"/>
    <col min="3" max="3" width="4.42578125" style="151" customWidth="1"/>
    <col min="4" max="4" width="38" style="151" customWidth="1"/>
    <col min="5" max="5" width="2.42578125" style="151" customWidth="1"/>
    <col min="6" max="6" width="4.140625" style="151" customWidth="1"/>
    <col min="7" max="7" width="4" style="151" customWidth="1"/>
    <col min="8" max="8" width="11.42578125" style="151" customWidth="1"/>
    <col min="9" max="9" width="3.140625" style="151" customWidth="1"/>
    <col min="10" max="16384" width="9.140625" style="151"/>
  </cols>
  <sheetData>
    <row r="1" spans="1:11" ht="60.75" customHeight="1">
      <c r="A1" s="150"/>
      <c r="B1" s="150"/>
      <c r="C1" s="150"/>
      <c r="D1" s="150"/>
      <c r="E1" s="150"/>
      <c r="F1" s="150"/>
      <c r="G1" s="150"/>
      <c r="H1" s="150"/>
      <c r="I1" s="150"/>
    </row>
    <row r="2" spans="1:11" ht="15">
      <c r="A2" s="150"/>
      <c r="B2" s="924" t="s">
        <v>15160</v>
      </c>
      <c r="C2" s="924"/>
      <c r="D2" s="924"/>
      <c r="E2" s="924"/>
      <c r="F2" s="924"/>
      <c r="G2" s="924"/>
      <c r="H2" s="924"/>
      <c r="I2" s="150"/>
      <c r="K2" s="484"/>
    </row>
    <row r="3" spans="1:11" ht="15">
      <c r="A3" s="150"/>
      <c r="B3" s="924" t="s">
        <v>31</v>
      </c>
      <c r="C3" s="924"/>
      <c r="D3" s="924"/>
      <c r="E3" s="924"/>
      <c r="F3" s="924"/>
      <c r="G3" s="924"/>
      <c r="H3" s="924"/>
      <c r="I3" s="150"/>
      <c r="K3" s="484"/>
    </row>
    <row r="4" spans="1:11">
      <c r="A4" s="150"/>
      <c r="B4" s="925" t="s">
        <v>3774</v>
      </c>
      <c r="C4" s="925"/>
      <c r="D4" s="925"/>
      <c r="E4" s="925"/>
      <c r="F4" s="925"/>
      <c r="G4" s="925"/>
      <c r="H4" s="925"/>
      <c r="I4" s="150"/>
    </row>
    <row r="5" spans="1:11">
      <c r="A5" s="150"/>
      <c r="B5" s="925" t="s">
        <v>3775</v>
      </c>
      <c r="C5" s="925"/>
      <c r="D5" s="925"/>
      <c r="E5" s="925"/>
      <c r="F5" s="925"/>
      <c r="G5" s="925"/>
      <c r="H5" s="925"/>
      <c r="I5" s="150"/>
    </row>
    <row r="6" spans="1:11" ht="15" customHeight="1" thickBot="1">
      <c r="A6" s="150"/>
      <c r="B6" s="152"/>
      <c r="C6" s="152"/>
      <c r="D6" s="152"/>
      <c r="E6" s="152"/>
      <c r="F6" s="152"/>
      <c r="G6" s="152"/>
      <c r="H6" s="153" t="s">
        <v>3776</v>
      </c>
      <c r="I6" s="150"/>
    </row>
    <row r="7" spans="1:11" ht="15" thickBot="1">
      <c r="A7" s="150"/>
      <c r="B7" s="154" t="s">
        <v>3777</v>
      </c>
      <c r="C7" s="926" t="s">
        <v>3778</v>
      </c>
      <c r="D7" s="926"/>
      <c r="E7" s="926"/>
      <c r="F7" s="926"/>
      <c r="G7" s="926"/>
      <c r="H7" s="155" t="s">
        <v>3779</v>
      </c>
      <c r="I7" s="150"/>
    </row>
    <row r="8" spans="1:11" ht="15" thickTop="1">
      <c r="A8" s="150"/>
      <c r="B8" s="897" t="s">
        <v>3780</v>
      </c>
      <c r="C8" s="898"/>
      <c r="D8" s="898"/>
      <c r="E8" s="898"/>
      <c r="F8" s="898"/>
      <c r="G8" s="898"/>
      <c r="H8" s="899"/>
      <c r="I8" s="150"/>
    </row>
    <row r="9" spans="1:11">
      <c r="A9" s="150"/>
      <c r="B9" s="912" t="s">
        <v>32</v>
      </c>
      <c r="C9" s="915" t="s">
        <v>33</v>
      </c>
      <c r="D9" s="916"/>
      <c r="E9" s="916"/>
      <c r="F9" s="916"/>
      <c r="G9" s="917"/>
      <c r="H9" s="156">
        <f>INDEX('[10]Quadro Comparativo'!C7:E7,MATCH($H$6,'[10]Quadro Comparativo'!C6:E6,0))</f>
        <v>0.04</v>
      </c>
      <c r="I9" s="150"/>
    </row>
    <row r="10" spans="1:11">
      <c r="A10" s="150"/>
      <c r="B10" s="913"/>
      <c r="C10" s="918" t="s">
        <v>34</v>
      </c>
      <c r="D10" s="919"/>
      <c r="E10" s="919"/>
      <c r="F10" s="919"/>
      <c r="G10" s="920"/>
      <c r="H10" s="156">
        <f>INDEX('[10]Quadro Comparativo'!F$7:H$7,MATCH($H$6,'[10]Quadro Comparativo'!F$6:H$6,0))</f>
        <v>8.0000000000000002E-3</v>
      </c>
      <c r="I10" s="150"/>
    </row>
    <row r="11" spans="1:11">
      <c r="A11" s="150"/>
      <c r="B11" s="913"/>
      <c r="C11" s="918" t="s">
        <v>35</v>
      </c>
      <c r="D11" s="919"/>
      <c r="E11" s="919"/>
      <c r="F11" s="919"/>
      <c r="G11" s="920"/>
      <c r="H11" s="156">
        <f>INDEX('[10]Quadro Comparativo'!I$7:K$7,MATCH($H$6,'[10]Quadro Comparativo'!I$6:K$6,0))</f>
        <v>1.2699999999999999E-2</v>
      </c>
      <c r="I11" s="150"/>
    </row>
    <row r="12" spans="1:11">
      <c r="A12" s="150"/>
      <c r="B12" s="914"/>
      <c r="C12" s="921" t="s">
        <v>36</v>
      </c>
      <c r="D12" s="922"/>
      <c r="E12" s="922"/>
      <c r="F12" s="922"/>
      <c r="G12" s="923"/>
      <c r="H12" s="156">
        <f>INDEX('[10]Quadro Comparativo'!L$7:N$7,MATCH($H$6,'[10]Quadro Comparativo'!L$6:N$6,0))</f>
        <v>1.23E-2</v>
      </c>
      <c r="I12" s="150"/>
    </row>
    <row r="13" spans="1:11" ht="15" thickBot="1">
      <c r="A13" s="150"/>
      <c r="B13" s="894" t="s">
        <v>3781</v>
      </c>
      <c r="C13" s="895"/>
      <c r="D13" s="895"/>
      <c r="E13" s="895"/>
      <c r="F13" s="895"/>
      <c r="G13" s="896"/>
      <c r="H13" s="157">
        <f>SUM(H9:H12)</f>
        <v>7.3000000000000009E-2</v>
      </c>
      <c r="I13" s="150"/>
    </row>
    <row r="14" spans="1:11" ht="15" thickTop="1">
      <c r="A14" s="150"/>
      <c r="B14" s="897" t="s">
        <v>3782</v>
      </c>
      <c r="C14" s="898"/>
      <c r="D14" s="898"/>
      <c r="E14" s="898"/>
      <c r="F14" s="898"/>
      <c r="G14" s="898"/>
      <c r="H14" s="899"/>
      <c r="I14" s="150"/>
    </row>
    <row r="15" spans="1:11">
      <c r="A15" s="150"/>
      <c r="B15" s="912" t="s">
        <v>37</v>
      </c>
      <c r="C15" s="915" t="s">
        <v>3783</v>
      </c>
      <c r="D15" s="916"/>
      <c r="E15" s="916"/>
      <c r="F15" s="916"/>
      <c r="G15" s="917"/>
      <c r="H15" s="158">
        <v>0.03</v>
      </c>
      <c r="I15" s="150"/>
    </row>
    <row r="16" spans="1:11">
      <c r="A16" s="150"/>
      <c r="B16" s="913"/>
      <c r="C16" s="918" t="s">
        <v>38</v>
      </c>
      <c r="D16" s="919"/>
      <c r="E16" s="919"/>
      <c r="F16" s="919"/>
      <c r="G16" s="920"/>
      <c r="H16" s="156">
        <v>6.4999999999999997E-3</v>
      </c>
      <c r="I16" s="150"/>
    </row>
    <row r="17" spans="1:9">
      <c r="A17" s="150"/>
      <c r="B17" s="913"/>
      <c r="C17" s="918" t="s">
        <v>3784</v>
      </c>
      <c r="D17" s="919"/>
      <c r="E17" s="919"/>
      <c r="F17" s="919"/>
      <c r="G17" s="920"/>
      <c r="H17" s="156">
        <f>INDEX('[10]Quadro Geral'!$B$5:$G$11,MATCH($B$4,'[10]Quadro Geral'!$A$5:$A$11,0),MATCH(C17,'[10]Quadro Geral'!$B$4:$G$4,0))</f>
        <v>0.01</v>
      </c>
      <c r="I17" s="150"/>
    </row>
    <row r="18" spans="1:9">
      <c r="A18" s="150"/>
      <c r="B18" s="914"/>
      <c r="C18" s="921" t="s">
        <v>3785</v>
      </c>
      <c r="D18" s="922"/>
      <c r="E18" s="922"/>
      <c r="F18" s="922"/>
      <c r="G18" s="923"/>
      <c r="H18" s="159">
        <f>IF(B5="COM Desoneração da Folha de Pagamento",0.045,0)</f>
        <v>0</v>
      </c>
      <c r="I18" s="150"/>
    </row>
    <row r="19" spans="1:9" ht="15" thickBot="1">
      <c r="A19" s="150"/>
      <c r="B19" s="894" t="s">
        <v>3786</v>
      </c>
      <c r="C19" s="895"/>
      <c r="D19" s="895"/>
      <c r="E19" s="895"/>
      <c r="F19" s="895"/>
      <c r="G19" s="896"/>
      <c r="H19" s="157">
        <f>SUM(H15:H18)</f>
        <v>4.65E-2</v>
      </c>
      <c r="I19" s="150"/>
    </row>
    <row r="20" spans="1:9" ht="15" thickTop="1">
      <c r="A20" s="150"/>
      <c r="B20" s="897" t="s">
        <v>3787</v>
      </c>
      <c r="C20" s="898"/>
      <c r="D20" s="898"/>
      <c r="E20" s="898"/>
      <c r="F20" s="898"/>
      <c r="G20" s="898"/>
      <c r="H20" s="899"/>
      <c r="I20" s="150"/>
    </row>
    <row r="21" spans="1:9">
      <c r="A21" s="150"/>
      <c r="B21" s="160" t="s">
        <v>39</v>
      </c>
      <c r="C21" s="900" t="s">
        <v>40</v>
      </c>
      <c r="D21" s="901"/>
      <c r="E21" s="901"/>
      <c r="F21" s="901"/>
      <c r="G21" s="902"/>
      <c r="H21" s="156">
        <f>INDEX('[10]Quadro Comparativo'!O$7:Q$7,MATCH($H$6,'[10]Quadro Comparativo'!O$6:Q$6,0))</f>
        <v>7.3999999999999996E-2</v>
      </c>
      <c r="I21" s="150"/>
    </row>
    <row r="22" spans="1:9" ht="15" thickBot="1">
      <c r="A22" s="150"/>
      <c r="B22" s="894" t="s">
        <v>3788</v>
      </c>
      <c r="C22" s="895"/>
      <c r="D22" s="895"/>
      <c r="E22" s="895"/>
      <c r="F22" s="895"/>
      <c r="G22" s="896"/>
      <c r="H22" s="157">
        <f>SUM(H21:H21)</f>
        <v>7.3999999999999996E-2</v>
      </c>
      <c r="I22" s="150"/>
    </row>
    <row r="23" spans="1:9" ht="15.75" thickTop="1" thickBot="1">
      <c r="A23" s="150"/>
      <c r="B23" s="903" t="s">
        <v>30</v>
      </c>
      <c r="C23" s="904"/>
      <c r="D23" s="904"/>
      <c r="E23" s="904"/>
      <c r="F23" s="904"/>
      <c r="G23" s="905"/>
      <c r="H23" s="161">
        <f>((((((1+(H9+H10+H11))*((1+H12)*(1+H22)))/(1-H19))-1)*100))/100</f>
        <v>0.20944295662296811</v>
      </c>
      <c r="I23" s="150"/>
    </row>
    <row r="24" spans="1:9" ht="20.100000000000001" customHeight="1">
      <c r="A24" s="150"/>
      <c r="B24" s="162"/>
      <c r="C24" s="162"/>
      <c r="D24" s="162"/>
      <c r="E24" s="162"/>
      <c r="F24" s="162"/>
      <c r="G24" s="162"/>
      <c r="H24" s="162"/>
      <c r="I24" s="150"/>
    </row>
    <row r="25" spans="1:9" ht="15.75" customHeight="1">
      <c r="A25" s="150"/>
      <c r="B25" s="906" t="s">
        <v>3789</v>
      </c>
      <c r="C25" s="906"/>
      <c r="D25" s="906"/>
      <c r="E25" s="906"/>
      <c r="F25" s="906"/>
      <c r="G25" s="906"/>
      <c r="H25" s="906"/>
      <c r="I25" s="150"/>
    </row>
    <row r="26" spans="1:9" ht="21" customHeight="1">
      <c r="A26" s="150"/>
      <c r="B26" s="907" t="s">
        <v>41</v>
      </c>
      <c r="C26" s="908" t="s">
        <v>42</v>
      </c>
      <c r="D26" s="163" t="s">
        <v>3790</v>
      </c>
      <c r="E26" s="909" t="s">
        <v>43</v>
      </c>
      <c r="F26" s="910">
        <v>-1</v>
      </c>
      <c r="G26" s="911" t="s">
        <v>44</v>
      </c>
      <c r="H26" s="893" t="s">
        <v>45</v>
      </c>
      <c r="I26" s="150"/>
    </row>
    <row r="27" spans="1:9" ht="21" customHeight="1">
      <c r="A27" s="150"/>
      <c r="B27" s="907"/>
      <c r="C27" s="908"/>
      <c r="D27" s="164" t="s">
        <v>46</v>
      </c>
      <c r="E27" s="909"/>
      <c r="F27" s="910"/>
      <c r="G27" s="911"/>
      <c r="H27" s="893"/>
      <c r="I27" s="150"/>
    </row>
    <row r="28" spans="1:9" ht="3" customHeight="1">
      <c r="A28" s="150"/>
      <c r="B28" s="165"/>
      <c r="C28" s="165"/>
      <c r="D28" s="165"/>
      <c r="E28" s="165"/>
      <c r="F28" s="165"/>
      <c r="G28" s="165"/>
      <c r="H28" s="165"/>
      <c r="I28" s="150"/>
    </row>
    <row r="29" spans="1:9">
      <c r="A29" s="150"/>
      <c r="B29" s="166" t="s">
        <v>47</v>
      </c>
      <c r="C29" s="890" t="s">
        <v>48</v>
      </c>
      <c r="D29" s="890"/>
      <c r="E29" s="890"/>
      <c r="F29" s="890"/>
      <c r="G29" s="890"/>
      <c r="H29" s="890"/>
      <c r="I29" s="150"/>
    </row>
    <row r="30" spans="1:9">
      <c r="A30" s="150"/>
      <c r="B30" s="166" t="s">
        <v>49</v>
      </c>
      <c r="C30" s="890" t="s">
        <v>50</v>
      </c>
      <c r="D30" s="890"/>
      <c r="E30" s="890"/>
      <c r="F30" s="890"/>
      <c r="G30" s="890"/>
      <c r="H30" s="890"/>
      <c r="I30" s="150"/>
    </row>
    <row r="31" spans="1:9">
      <c r="A31" s="150"/>
      <c r="B31" s="166" t="s">
        <v>51</v>
      </c>
      <c r="C31" s="890" t="s">
        <v>52</v>
      </c>
      <c r="D31" s="890"/>
      <c r="E31" s="890"/>
      <c r="F31" s="890"/>
      <c r="G31" s="890"/>
      <c r="H31" s="890"/>
      <c r="I31" s="150"/>
    </row>
    <row r="32" spans="1:9">
      <c r="A32" s="150"/>
      <c r="B32" s="166" t="s">
        <v>53</v>
      </c>
      <c r="C32" s="890" t="s">
        <v>54</v>
      </c>
      <c r="D32" s="890"/>
      <c r="E32" s="890"/>
      <c r="F32" s="890"/>
      <c r="G32" s="890"/>
      <c r="H32" s="890"/>
      <c r="I32" s="150"/>
    </row>
    <row r="33" spans="1:9">
      <c r="A33" s="150"/>
      <c r="B33" s="166" t="s">
        <v>55</v>
      </c>
      <c r="C33" s="890" t="s">
        <v>56</v>
      </c>
      <c r="D33" s="890"/>
      <c r="E33" s="890"/>
      <c r="F33" s="890"/>
      <c r="G33" s="890"/>
      <c r="H33" s="890"/>
      <c r="I33" s="150"/>
    </row>
    <row r="34" spans="1:9">
      <c r="A34" s="150"/>
      <c r="B34" s="166" t="s">
        <v>4</v>
      </c>
      <c r="C34" s="890" t="s">
        <v>57</v>
      </c>
      <c r="D34" s="890"/>
      <c r="E34" s="890"/>
      <c r="F34" s="890"/>
      <c r="G34" s="890"/>
      <c r="H34" s="890"/>
      <c r="I34" s="150"/>
    </row>
    <row r="35" spans="1:9">
      <c r="A35" s="150"/>
      <c r="B35" s="166" t="s">
        <v>58</v>
      </c>
      <c r="C35" s="890" t="s">
        <v>3791</v>
      </c>
      <c r="D35" s="890"/>
      <c r="E35" s="890"/>
      <c r="F35" s="890"/>
      <c r="G35" s="890"/>
      <c r="H35" s="890"/>
      <c r="I35" s="150"/>
    </row>
    <row r="36" spans="1:9" s="169" customFormat="1" ht="44.25" customHeight="1">
      <c r="A36" s="167"/>
      <c r="B36" s="478"/>
      <c r="C36" s="891" t="s">
        <v>15161</v>
      </c>
      <c r="D36" s="891"/>
      <c r="E36" s="891"/>
      <c r="F36" s="891"/>
      <c r="G36" s="891"/>
      <c r="H36" s="891"/>
      <c r="I36" s="167"/>
    </row>
    <row r="37" spans="1:9" ht="15" customHeight="1">
      <c r="A37" s="150"/>
      <c r="B37" s="165"/>
      <c r="C37" s="165"/>
      <c r="D37" s="165"/>
      <c r="E37" s="165"/>
      <c r="F37" s="165"/>
      <c r="G37" s="165"/>
      <c r="H37" s="165"/>
      <c r="I37" s="150"/>
    </row>
    <row r="38" spans="1:9">
      <c r="A38" s="150"/>
      <c r="B38" s="892" t="s">
        <v>3792</v>
      </c>
      <c r="C38" s="892"/>
      <c r="D38" s="892"/>
      <c r="E38" s="892"/>
      <c r="F38" s="892"/>
      <c r="G38" s="892"/>
      <c r="H38" s="892"/>
      <c r="I38" s="150"/>
    </row>
    <row r="39" spans="1:9">
      <c r="A39" s="150"/>
      <c r="B39" s="892" t="s">
        <v>3793</v>
      </c>
      <c r="C39" s="892"/>
      <c r="D39" s="892"/>
      <c r="E39" s="892"/>
      <c r="F39" s="892"/>
      <c r="G39" s="892"/>
      <c r="H39" s="892"/>
      <c r="I39" s="150"/>
    </row>
    <row r="40" spans="1:9" ht="5.0999999999999996" customHeight="1">
      <c r="A40" s="150"/>
      <c r="B40" s="150"/>
      <c r="C40" s="150"/>
      <c r="D40" s="150"/>
      <c r="E40" s="150"/>
      <c r="F40" s="150"/>
      <c r="G40" s="150"/>
      <c r="H40" s="150"/>
      <c r="I40" s="150"/>
    </row>
    <row r="44" spans="1:9" hidden="1">
      <c r="B44" s="170" t="s">
        <v>3774</v>
      </c>
    </row>
    <row r="45" spans="1:9" hidden="1">
      <c r="B45" s="170" t="s">
        <v>3794</v>
      </c>
    </row>
    <row r="46" spans="1:9" hidden="1">
      <c r="B46" s="170" t="str">
        <f>'[10]Quadro Comparativo'!A9</f>
        <v>Drenagem Pluvial, Redes de Abastecimento de Água, Coleta de Esgoto e Construções Correlatas</v>
      </c>
    </row>
    <row r="47" spans="1:9" hidden="1">
      <c r="B47" s="170" t="str">
        <f>'[10]Quadro Comparativo'!A10</f>
        <v>Drenagem Pluvial com Pavimentação</v>
      </c>
    </row>
    <row r="48" spans="1:9" hidden="1">
      <c r="B48" s="170" t="str">
        <f>'[10]Quadro Comparativo'!A11</f>
        <v>Paisagismo, Parques e Jardins</v>
      </c>
    </row>
    <row r="49" spans="2:10" hidden="1">
      <c r="B49" s="170" t="str">
        <f>'[10]Quadro Comparativo'!A12</f>
        <v>Obras de Menor Complexidade (Praças, Calçadas, Ciclovias, Meios Fios, Quiosques e Obras Correlatas)</v>
      </c>
    </row>
    <row r="50" spans="2:10" hidden="1">
      <c r="B50" s="170" t="str">
        <f>'[10]Quadro Comparativo'!A13</f>
        <v>Fornecimento de Materiais Betuminosos e Outros Materiais e Equipamentos de Grande Relevância de Natureza Específica</v>
      </c>
    </row>
    <row r="51" spans="2:10" hidden="1"/>
    <row r="52" spans="2:10" hidden="1">
      <c r="B52" s="170" t="s">
        <v>3795</v>
      </c>
    </row>
    <row r="53" spans="2:10" hidden="1">
      <c r="B53" s="170" t="s">
        <v>3775</v>
      </c>
    </row>
    <row r="54" spans="2:10" hidden="1"/>
    <row r="55" spans="2:10" hidden="1">
      <c r="B55" s="170" t="s">
        <v>3796</v>
      </c>
    </row>
    <row r="56" spans="2:10" hidden="1">
      <c r="B56" s="170" t="s">
        <v>3776</v>
      </c>
      <c r="H56" s="171"/>
      <c r="I56" s="171"/>
      <c r="J56" s="171"/>
    </row>
    <row r="57" spans="2:10" hidden="1">
      <c r="B57" s="170" t="s">
        <v>3797</v>
      </c>
    </row>
  </sheetData>
  <mergeCells count="40">
    <mergeCell ref="B13:G13"/>
    <mergeCell ref="B2:H2"/>
    <mergeCell ref="B3:H3"/>
    <mergeCell ref="B4:H4"/>
    <mergeCell ref="B5:H5"/>
    <mergeCell ref="C7:G7"/>
    <mergeCell ref="B8:H8"/>
    <mergeCell ref="B9:B12"/>
    <mergeCell ref="C9:G9"/>
    <mergeCell ref="C10:G10"/>
    <mergeCell ref="C11:G11"/>
    <mergeCell ref="C12:G12"/>
    <mergeCell ref="B14:H14"/>
    <mergeCell ref="B15:B18"/>
    <mergeCell ref="C15:G15"/>
    <mergeCell ref="C16:G16"/>
    <mergeCell ref="C17:G17"/>
    <mergeCell ref="C18:G18"/>
    <mergeCell ref="H26:H27"/>
    <mergeCell ref="B19:G19"/>
    <mergeCell ref="B20:H20"/>
    <mergeCell ref="C21:G21"/>
    <mergeCell ref="B22:G22"/>
    <mergeCell ref="B23:G23"/>
    <mergeCell ref="B25:H25"/>
    <mergeCell ref="B26:B27"/>
    <mergeCell ref="C26:C27"/>
    <mergeCell ref="E26:E27"/>
    <mergeCell ref="F26:F27"/>
    <mergeCell ref="G26:G27"/>
    <mergeCell ref="C35:H35"/>
    <mergeCell ref="C36:H36"/>
    <mergeCell ref="B38:H38"/>
    <mergeCell ref="B39:H39"/>
    <mergeCell ref="C29:H29"/>
    <mergeCell ref="C30:H30"/>
    <mergeCell ref="C31:H31"/>
    <mergeCell ref="C32:H32"/>
    <mergeCell ref="C33:H33"/>
    <mergeCell ref="C34:H34"/>
  </mergeCells>
  <dataValidations count="3">
    <dataValidation type="list" allowBlank="1" showInputMessage="1" showErrorMessage="1" sqref="H6">
      <formula1>$B$55:$B$57</formula1>
    </dataValidation>
    <dataValidation type="list" allowBlank="1" showInputMessage="1" showErrorMessage="1" sqref="B5:H5">
      <formula1>$B$52:$B$53</formula1>
    </dataValidation>
    <dataValidation type="list" allowBlank="1" showInputMessage="1" showErrorMessage="1" sqref="B4:H4">
      <formula1>$B$44:$B$50</formula1>
    </dataValidation>
  </dataValidations>
  <printOptions horizontalCentered="1"/>
  <pageMargins left="0.51181102362204722" right="0.51181102362204722" top="0.78740157480314965" bottom="0.78740157480314965" header="0.31496062992125984" footer="0.31496062992125984"/>
  <pageSetup paperSize="9" scale="110" orientation="portrait" r:id="rId1"/>
  <headerFooter>
    <oddHeader>&amp;F</oddHeader>
    <oddFooter>Página &amp;P de &amp;N</oddFooter>
  </headerFooter>
  <drawing r:id="rId2"/>
</worksheet>
</file>

<file path=xl/worksheets/sheet19.xml><?xml version="1.0" encoding="utf-8"?>
<worksheet xmlns="http://schemas.openxmlformats.org/spreadsheetml/2006/main" xmlns:r="http://schemas.openxmlformats.org/officeDocument/2006/relationships">
  <sheetPr>
    <tabColor rgb="FFFF0000"/>
  </sheetPr>
  <dimension ref="A1:K57"/>
  <sheetViews>
    <sheetView showGridLines="0" view="pageBreakPreview" topLeftCell="A16" zoomScale="130" zoomScaleNormal="100" zoomScaleSheetLayoutView="130" workbookViewId="0">
      <selection activeCell="S40" sqref="S40"/>
    </sheetView>
  </sheetViews>
  <sheetFormatPr defaultColWidth="9.140625" defaultRowHeight="14.25"/>
  <cols>
    <col min="1" max="1" width="3.140625" style="151" customWidth="1"/>
    <col min="2" max="2" width="9.140625" style="151"/>
    <col min="3" max="3" width="4.42578125" style="151" customWidth="1"/>
    <col min="4" max="4" width="38" style="151" customWidth="1"/>
    <col min="5" max="5" width="2.42578125" style="151" customWidth="1"/>
    <col min="6" max="6" width="4.140625" style="151" customWidth="1"/>
    <col min="7" max="7" width="4" style="151" customWidth="1"/>
    <col min="8" max="8" width="11.42578125" style="151" customWidth="1"/>
    <col min="9" max="9" width="3.140625" style="151" customWidth="1"/>
    <col min="10" max="16384" width="9.140625" style="151"/>
  </cols>
  <sheetData>
    <row r="1" spans="1:11" ht="60.75" customHeight="1">
      <c r="A1" s="150"/>
      <c r="B1" s="150"/>
      <c r="C1" s="150"/>
      <c r="D1" s="150"/>
      <c r="E1" s="150"/>
      <c r="F1" s="150"/>
      <c r="G1" s="150"/>
      <c r="H1" s="150"/>
      <c r="I1" s="150"/>
    </row>
    <row r="2" spans="1:11" ht="15" customHeight="1">
      <c r="A2" s="927" t="s">
        <v>9030</v>
      </c>
      <c r="B2" s="927"/>
      <c r="C2" s="927"/>
      <c r="D2" s="927"/>
      <c r="E2" s="927"/>
      <c r="F2" s="927"/>
      <c r="G2" s="927"/>
      <c r="H2" s="927"/>
      <c r="I2" s="927"/>
    </row>
    <row r="3" spans="1:11" ht="15">
      <c r="A3" s="150"/>
      <c r="B3" s="924" t="s">
        <v>31</v>
      </c>
      <c r="C3" s="924"/>
      <c r="D3" s="924"/>
      <c r="E3" s="924"/>
      <c r="F3" s="924"/>
      <c r="G3" s="924"/>
      <c r="H3" s="924"/>
      <c r="I3" s="150"/>
      <c r="K3" s="170"/>
    </row>
    <row r="4" spans="1:11" ht="33" customHeight="1">
      <c r="A4" s="150"/>
      <c r="B4" s="928" t="s">
        <v>3798</v>
      </c>
      <c r="C4" s="928"/>
      <c r="D4" s="928"/>
      <c r="E4" s="928"/>
      <c r="F4" s="928"/>
      <c r="G4" s="928"/>
      <c r="H4" s="928"/>
      <c r="I4" s="150"/>
    </row>
    <row r="5" spans="1:11">
      <c r="A5" s="150"/>
      <c r="B5" s="925" t="s">
        <v>3775</v>
      </c>
      <c r="C5" s="925"/>
      <c r="D5" s="925"/>
      <c r="E5" s="925"/>
      <c r="F5" s="925"/>
      <c r="G5" s="925"/>
      <c r="H5" s="925"/>
      <c r="I5" s="150"/>
    </row>
    <row r="6" spans="1:11" ht="15" customHeight="1" thickBot="1">
      <c r="A6" s="150"/>
      <c r="B6" s="152"/>
      <c r="C6" s="152"/>
      <c r="D6" s="152"/>
      <c r="E6" s="152"/>
      <c r="F6" s="152"/>
      <c r="G6" s="152"/>
      <c r="H6" s="153" t="s">
        <v>3796</v>
      </c>
      <c r="I6" s="150"/>
    </row>
    <row r="7" spans="1:11" ht="15" thickBot="1">
      <c r="A7" s="150"/>
      <c r="B7" s="154" t="s">
        <v>3777</v>
      </c>
      <c r="C7" s="926" t="s">
        <v>3778</v>
      </c>
      <c r="D7" s="926"/>
      <c r="E7" s="926"/>
      <c r="F7" s="926"/>
      <c r="G7" s="926"/>
      <c r="H7" s="155" t="s">
        <v>3779</v>
      </c>
      <c r="I7" s="150"/>
    </row>
    <row r="8" spans="1:11" ht="15" thickTop="1">
      <c r="A8" s="150"/>
      <c r="B8" s="897" t="s">
        <v>3780</v>
      </c>
      <c r="C8" s="898"/>
      <c r="D8" s="898"/>
      <c r="E8" s="898"/>
      <c r="F8" s="898"/>
      <c r="G8" s="898"/>
      <c r="H8" s="899"/>
      <c r="I8" s="150"/>
    </row>
    <row r="9" spans="1:11">
      <c r="A9" s="150"/>
      <c r="B9" s="912" t="s">
        <v>32</v>
      </c>
      <c r="C9" s="915" t="s">
        <v>33</v>
      </c>
      <c r="D9" s="916"/>
      <c r="E9" s="916"/>
      <c r="F9" s="916"/>
      <c r="G9" s="917"/>
      <c r="H9" s="158">
        <f>INDEX('[11]Quadro Geral'!$B$5:$G$11,MATCH($B$4,'[11]Quadro Geral'!$A$5:$A$11,0),MATCH(C9,'[11]Quadro Geral'!$B$4:$G$4,0))</f>
        <v>1.4999999999999999E-2</v>
      </c>
      <c r="I9" s="150"/>
    </row>
    <row r="10" spans="1:11">
      <c r="A10" s="150"/>
      <c r="B10" s="913"/>
      <c r="C10" s="918" t="s">
        <v>34</v>
      </c>
      <c r="D10" s="919"/>
      <c r="E10" s="919"/>
      <c r="F10" s="919"/>
      <c r="G10" s="920"/>
      <c r="H10" s="156">
        <f>INDEX('[11]Quadro Geral'!$B$5:$G$11,MATCH($B$4,'[11]Quadro Geral'!$A$5:$A$11,0),MATCH(C10,'[11]Quadro Geral'!$B$4:$G$4,0))</f>
        <v>3.0000000000000001E-3</v>
      </c>
      <c r="I10" s="150"/>
    </row>
    <row r="11" spans="1:11">
      <c r="A11" s="150"/>
      <c r="B11" s="913"/>
      <c r="C11" s="918" t="s">
        <v>35</v>
      </c>
      <c r="D11" s="919"/>
      <c r="E11" s="919"/>
      <c r="F11" s="919"/>
      <c r="G11" s="920"/>
      <c r="H11" s="156">
        <f>INDEX('[11]Quadro Geral'!$B$5:$G$11,MATCH($B$4,'[11]Quadro Geral'!$A$5:$A$11,0),MATCH(C11,'[11]Quadro Geral'!$B$4:$G$4,0))</f>
        <v>5.5999999999999999E-3</v>
      </c>
      <c r="I11" s="150"/>
    </row>
    <row r="12" spans="1:11">
      <c r="A12" s="150"/>
      <c r="B12" s="914"/>
      <c r="C12" s="921" t="s">
        <v>36</v>
      </c>
      <c r="D12" s="922"/>
      <c r="E12" s="922"/>
      <c r="F12" s="922"/>
      <c r="G12" s="923"/>
      <c r="H12" s="159">
        <f>INDEX('[11]Quadro Geral'!$B$5:$G$11,MATCH($B$4,'[11]Quadro Geral'!$A$5:$A$11,0),MATCH(C12,'[11]Quadro Geral'!$B$4:$G$4,0))</f>
        <v>8.5000000000000006E-3</v>
      </c>
      <c r="I12" s="150"/>
    </row>
    <row r="13" spans="1:11" ht="15" thickBot="1">
      <c r="A13" s="150"/>
      <c r="B13" s="894" t="s">
        <v>3781</v>
      </c>
      <c r="C13" s="895"/>
      <c r="D13" s="895"/>
      <c r="E13" s="895"/>
      <c r="F13" s="895"/>
      <c r="G13" s="896"/>
      <c r="H13" s="157">
        <f>SUM(H9:H12)</f>
        <v>3.2100000000000004E-2</v>
      </c>
      <c r="I13" s="150"/>
    </row>
    <row r="14" spans="1:11" ht="15" thickTop="1">
      <c r="A14" s="150"/>
      <c r="B14" s="897" t="s">
        <v>3782</v>
      </c>
      <c r="C14" s="898"/>
      <c r="D14" s="898"/>
      <c r="E14" s="898"/>
      <c r="F14" s="898"/>
      <c r="G14" s="898"/>
      <c r="H14" s="899"/>
      <c r="I14" s="150"/>
    </row>
    <row r="15" spans="1:11">
      <c r="A15" s="150"/>
      <c r="B15" s="912" t="s">
        <v>37</v>
      </c>
      <c r="C15" s="915" t="s">
        <v>3783</v>
      </c>
      <c r="D15" s="916"/>
      <c r="E15" s="916"/>
      <c r="F15" s="916"/>
      <c r="G15" s="917"/>
      <c r="H15" s="158">
        <v>0.03</v>
      </c>
      <c r="I15" s="150"/>
    </row>
    <row r="16" spans="1:11">
      <c r="A16" s="150"/>
      <c r="B16" s="913"/>
      <c r="C16" s="918" t="s">
        <v>38</v>
      </c>
      <c r="D16" s="919"/>
      <c r="E16" s="919"/>
      <c r="F16" s="919"/>
      <c r="G16" s="920"/>
      <c r="H16" s="156">
        <v>6.4999999999999997E-3</v>
      </c>
      <c r="I16" s="150"/>
    </row>
    <row r="17" spans="1:9">
      <c r="A17" s="150"/>
      <c r="B17" s="913"/>
      <c r="C17" s="918" t="s">
        <v>3784</v>
      </c>
      <c r="D17" s="919"/>
      <c r="E17" s="919"/>
      <c r="F17" s="919"/>
      <c r="G17" s="920"/>
      <c r="H17" s="156">
        <f>INDEX('[11]Quadro Geral'!$B$5:$G$11,MATCH($B$4,'[11]Quadro Geral'!$A$5:$A$11,0),MATCH(C17,'[11]Quadro Geral'!$B$4:$G$4,0))</f>
        <v>0</v>
      </c>
      <c r="I17" s="150"/>
    </row>
    <row r="18" spans="1:9">
      <c r="A18" s="150"/>
      <c r="B18" s="914"/>
      <c r="C18" s="921" t="s">
        <v>3785</v>
      </c>
      <c r="D18" s="922"/>
      <c r="E18" s="922"/>
      <c r="F18" s="922"/>
      <c r="G18" s="923"/>
      <c r="H18" s="159">
        <f>IF(B5="COM Desoneração da Folha de Pagamento",0.045,0)</f>
        <v>0</v>
      </c>
      <c r="I18" s="150"/>
    </row>
    <row r="19" spans="1:9" ht="15" thickBot="1">
      <c r="A19" s="150"/>
      <c r="B19" s="894" t="s">
        <v>3786</v>
      </c>
      <c r="C19" s="895"/>
      <c r="D19" s="895"/>
      <c r="E19" s="895"/>
      <c r="F19" s="895"/>
      <c r="G19" s="896"/>
      <c r="H19" s="157">
        <f>SUM(H15:H18)</f>
        <v>3.6499999999999998E-2</v>
      </c>
      <c r="I19" s="150"/>
    </row>
    <row r="20" spans="1:9" ht="15" thickTop="1">
      <c r="A20" s="150"/>
      <c r="B20" s="897" t="s">
        <v>3787</v>
      </c>
      <c r="C20" s="898"/>
      <c r="D20" s="898"/>
      <c r="E20" s="898"/>
      <c r="F20" s="898"/>
      <c r="G20" s="898"/>
      <c r="H20" s="899"/>
      <c r="I20" s="150"/>
    </row>
    <row r="21" spans="1:9">
      <c r="A21" s="150"/>
      <c r="B21" s="160" t="s">
        <v>39</v>
      </c>
      <c r="C21" s="900" t="s">
        <v>40</v>
      </c>
      <c r="D21" s="901"/>
      <c r="E21" s="901"/>
      <c r="F21" s="901"/>
      <c r="G21" s="902"/>
      <c r="H21" s="158">
        <f>INDEX('[11]Quadro Geral'!$B$5:$G$11,MATCH($B$4,'[11]Quadro Geral'!$A$5:$A$11,0),MATCH(C21,'[11]Quadro Geral'!$B$4:$G$4,0))</f>
        <v>3.5000000000000003E-2</v>
      </c>
      <c r="I21" s="150"/>
    </row>
    <row r="22" spans="1:9" ht="15" thickBot="1">
      <c r="A22" s="150"/>
      <c r="B22" s="894" t="s">
        <v>3788</v>
      </c>
      <c r="C22" s="895"/>
      <c r="D22" s="895"/>
      <c r="E22" s="895"/>
      <c r="F22" s="895"/>
      <c r="G22" s="896"/>
      <c r="H22" s="157">
        <f>SUM(H21:H21)</f>
        <v>3.5000000000000003E-2</v>
      </c>
      <c r="I22" s="150"/>
    </row>
    <row r="23" spans="1:9" ht="15.75" thickTop="1" thickBot="1">
      <c r="A23" s="150"/>
      <c r="B23" s="903" t="s">
        <v>30</v>
      </c>
      <c r="C23" s="904"/>
      <c r="D23" s="904"/>
      <c r="E23" s="904"/>
      <c r="F23" s="904"/>
      <c r="G23" s="905"/>
      <c r="H23" s="161">
        <f>((((((1+(H9+H10+H11))*((1+H12)*(1+H22)))/(1-H19))-1)*100))/100</f>
        <v>0.10890619719771655</v>
      </c>
      <c r="I23" s="150"/>
    </row>
    <row r="24" spans="1:9" ht="20.100000000000001" customHeight="1">
      <c r="A24" s="150"/>
      <c r="B24" s="162"/>
      <c r="C24" s="162"/>
      <c r="D24" s="162"/>
      <c r="E24" s="162"/>
      <c r="F24" s="162"/>
      <c r="G24" s="162"/>
      <c r="H24" s="162"/>
      <c r="I24" s="150"/>
    </row>
    <row r="25" spans="1:9" ht="15.75" customHeight="1">
      <c r="A25" s="150"/>
      <c r="B25" s="906" t="s">
        <v>3789</v>
      </c>
      <c r="C25" s="906"/>
      <c r="D25" s="906"/>
      <c r="E25" s="906"/>
      <c r="F25" s="906"/>
      <c r="G25" s="906"/>
      <c r="H25" s="906"/>
      <c r="I25" s="150"/>
    </row>
    <row r="26" spans="1:9" ht="21" customHeight="1">
      <c r="A26" s="150"/>
      <c r="B26" s="907" t="s">
        <v>41</v>
      </c>
      <c r="C26" s="908" t="s">
        <v>42</v>
      </c>
      <c r="D26" s="163" t="s">
        <v>3790</v>
      </c>
      <c r="E26" s="909" t="s">
        <v>43</v>
      </c>
      <c r="F26" s="910">
        <v>-1</v>
      </c>
      <c r="G26" s="911" t="s">
        <v>44</v>
      </c>
      <c r="H26" s="893" t="s">
        <v>45</v>
      </c>
      <c r="I26" s="150"/>
    </row>
    <row r="27" spans="1:9" ht="21" customHeight="1">
      <c r="A27" s="150"/>
      <c r="B27" s="907"/>
      <c r="C27" s="908"/>
      <c r="D27" s="164" t="s">
        <v>46</v>
      </c>
      <c r="E27" s="909"/>
      <c r="F27" s="910"/>
      <c r="G27" s="911"/>
      <c r="H27" s="893"/>
      <c r="I27" s="150"/>
    </row>
    <row r="28" spans="1:9" ht="3" customHeight="1">
      <c r="A28" s="150"/>
      <c r="B28" s="165"/>
      <c r="C28" s="165"/>
      <c r="D28" s="165"/>
      <c r="E28" s="165"/>
      <c r="F28" s="165"/>
      <c r="G28" s="165"/>
      <c r="H28" s="165"/>
      <c r="I28" s="150"/>
    </row>
    <row r="29" spans="1:9">
      <c r="A29" s="150"/>
      <c r="B29" s="166" t="s">
        <v>47</v>
      </c>
      <c r="C29" s="890" t="s">
        <v>48</v>
      </c>
      <c r="D29" s="890"/>
      <c r="E29" s="890"/>
      <c r="F29" s="890"/>
      <c r="G29" s="890"/>
      <c r="H29" s="890"/>
      <c r="I29" s="150"/>
    </row>
    <row r="30" spans="1:9">
      <c r="A30" s="150"/>
      <c r="B30" s="166" t="s">
        <v>49</v>
      </c>
      <c r="C30" s="890" t="s">
        <v>50</v>
      </c>
      <c r="D30" s="890"/>
      <c r="E30" s="890"/>
      <c r="F30" s="890"/>
      <c r="G30" s="890"/>
      <c r="H30" s="890"/>
      <c r="I30" s="150"/>
    </row>
    <row r="31" spans="1:9">
      <c r="A31" s="150"/>
      <c r="B31" s="166" t="s">
        <v>51</v>
      </c>
      <c r="C31" s="890" t="s">
        <v>52</v>
      </c>
      <c r="D31" s="890"/>
      <c r="E31" s="890"/>
      <c r="F31" s="890"/>
      <c r="G31" s="890"/>
      <c r="H31" s="890"/>
      <c r="I31" s="150"/>
    </row>
    <row r="32" spans="1:9">
      <c r="A32" s="150"/>
      <c r="B32" s="166" t="s">
        <v>53</v>
      </c>
      <c r="C32" s="890" t="s">
        <v>54</v>
      </c>
      <c r="D32" s="890"/>
      <c r="E32" s="890"/>
      <c r="F32" s="890"/>
      <c r="G32" s="890"/>
      <c r="H32" s="890"/>
      <c r="I32" s="150"/>
    </row>
    <row r="33" spans="1:9">
      <c r="A33" s="150"/>
      <c r="B33" s="166" t="s">
        <v>55</v>
      </c>
      <c r="C33" s="890" t="s">
        <v>56</v>
      </c>
      <c r="D33" s="890"/>
      <c r="E33" s="890"/>
      <c r="F33" s="890"/>
      <c r="G33" s="890"/>
      <c r="H33" s="890"/>
      <c r="I33" s="150"/>
    </row>
    <row r="34" spans="1:9">
      <c r="A34" s="150"/>
      <c r="B34" s="166" t="s">
        <v>4</v>
      </c>
      <c r="C34" s="890" t="s">
        <v>57</v>
      </c>
      <c r="D34" s="890"/>
      <c r="E34" s="890"/>
      <c r="F34" s="890"/>
      <c r="G34" s="890"/>
      <c r="H34" s="890"/>
      <c r="I34" s="150"/>
    </row>
    <row r="35" spans="1:9">
      <c r="A35" s="150"/>
      <c r="B35" s="166" t="s">
        <v>58</v>
      </c>
      <c r="C35" s="890" t="s">
        <v>3791</v>
      </c>
      <c r="D35" s="890"/>
      <c r="E35" s="890"/>
      <c r="F35" s="890"/>
      <c r="G35" s="890"/>
      <c r="H35" s="890"/>
      <c r="I35" s="150"/>
    </row>
    <row r="36" spans="1:9" s="169" customFormat="1" ht="44.25" customHeight="1">
      <c r="A36" s="167"/>
      <c r="B36" s="168"/>
      <c r="C36" s="891" t="s">
        <v>59</v>
      </c>
      <c r="D36" s="891"/>
      <c r="E36" s="891"/>
      <c r="F36" s="891"/>
      <c r="G36" s="891"/>
      <c r="H36" s="891"/>
      <c r="I36" s="167"/>
    </row>
    <row r="37" spans="1:9" ht="15" customHeight="1">
      <c r="A37" s="150"/>
      <c r="B37" s="165"/>
      <c r="C37" s="165"/>
      <c r="D37" s="165"/>
      <c r="E37" s="165"/>
      <c r="F37" s="165"/>
      <c r="G37" s="165"/>
      <c r="H37" s="165"/>
      <c r="I37" s="150"/>
    </row>
    <row r="38" spans="1:9">
      <c r="A38" s="150"/>
      <c r="B38" s="892" t="s">
        <v>3792</v>
      </c>
      <c r="C38" s="892"/>
      <c r="D38" s="892"/>
      <c r="E38" s="892"/>
      <c r="F38" s="892"/>
      <c r="G38" s="892"/>
      <c r="H38" s="892"/>
      <c r="I38" s="150"/>
    </row>
    <row r="39" spans="1:9">
      <c r="A39" s="150"/>
      <c r="B39" s="892" t="s">
        <v>3793</v>
      </c>
      <c r="C39" s="892"/>
      <c r="D39" s="892"/>
      <c r="E39" s="892"/>
      <c r="F39" s="892"/>
      <c r="G39" s="892"/>
      <c r="H39" s="892"/>
      <c r="I39" s="150"/>
    </row>
    <row r="40" spans="1:9" ht="28.9" customHeight="1">
      <c r="A40" s="150"/>
      <c r="B40" s="150"/>
      <c r="C40" s="150"/>
      <c r="D40" s="150"/>
      <c r="E40" s="150"/>
      <c r="F40" s="150"/>
      <c r="G40" s="150"/>
      <c r="H40" s="150"/>
      <c r="I40" s="150"/>
    </row>
    <row r="44" spans="1:9" hidden="1">
      <c r="B44" s="170" t="s">
        <v>3774</v>
      </c>
    </row>
    <row r="45" spans="1:9" hidden="1">
      <c r="B45" s="170" t="s">
        <v>3794</v>
      </c>
    </row>
    <row r="46" spans="1:9" hidden="1">
      <c r="B46" s="170" t="str">
        <f>'[11]Quadro Comparativo'!A9</f>
        <v>Drenagem Pluvial, Redes de Abastecimento de Água, Coleta de Esgoto e Construções Correlatas</v>
      </c>
    </row>
    <row r="47" spans="1:9" hidden="1">
      <c r="B47" s="170" t="str">
        <f>'[11]Quadro Comparativo'!A10</f>
        <v>Drenagem Pluvial com Pavimentação</v>
      </c>
    </row>
    <row r="48" spans="1:9" hidden="1">
      <c r="B48" s="170" t="str">
        <f>'[11]Quadro Comparativo'!A11</f>
        <v>Paisagismo, Parques e Jardins</v>
      </c>
    </row>
    <row r="49" spans="2:10" hidden="1">
      <c r="B49" s="170" t="str">
        <f>'[11]Quadro Comparativo'!A12</f>
        <v>Obras de Menor Complexidade (Praças, Calçadas, Ciclovias, Meios Fios, Quiosques e Obras Correlatas)</v>
      </c>
    </row>
    <row r="50" spans="2:10" hidden="1">
      <c r="B50" s="170" t="str">
        <f>'[11]Quadro Comparativo'!A13</f>
        <v>Fornecimento de Materiais Betuminosos e Outros Materiais e Equipamentos de Grande Relevância de Natureza Específica</v>
      </c>
    </row>
    <row r="51" spans="2:10" hidden="1"/>
    <row r="52" spans="2:10" hidden="1">
      <c r="B52" s="170" t="s">
        <v>3795</v>
      </c>
    </row>
    <row r="53" spans="2:10" hidden="1">
      <c r="B53" s="170" t="s">
        <v>3775</v>
      </c>
    </row>
    <row r="54" spans="2:10" hidden="1"/>
    <row r="55" spans="2:10" hidden="1">
      <c r="B55" s="170" t="s">
        <v>3796</v>
      </c>
    </row>
    <row r="56" spans="2:10" hidden="1">
      <c r="B56" s="170" t="s">
        <v>3776</v>
      </c>
      <c r="H56" s="171"/>
      <c r="I56" s="171"/>
      <c r="J56" s="171"/>
    </row>
    <row r="57" spans="2:10" hidden="1">
      <c r="B57" s="170" t="s">
        <v>3797</v>
      </c>
    </row>
  </sheetData>
  <mergeCells count="40">
    <mergeCell ref="C35:H35"/>
    <mergeCell ref="C36:H36"/>
    <mergeCell ref="B38:H38"/>
    <mergeCell ref="B39:H39"/>
    <mergeCell ref="C29:H29"/>
    <mergeCell ref="C30:H30"/>
    <mergeCell ref="C31:H31"/>
    <mergeCell ref="C32:H32"/>
    <mergeCell ref="C33:H33"/>
    <mergeCell ref="C34:H34"/>
    <mergeCell ref="H26:H27"/>
    <mergeCell ref="B19:G19"/>
    <mergeCell ref="B20:H20"/>
    <mergeCell ref="C21:G21"/>
    <mergeCell ref="B22:G22"/>
    <mergeCell ref="B23:G23"/>
    <mergeCell ref="B25:H25"/>
    <mergeCell ref="B26:B27"/>
    <mergeCell ref="C26:C27"/>
    <mergeCell ref="E26:E27"/>
    <mergeCell ref="F26:F27"/>
    <mergeCell ref="G26:G27"/>
    <mergeCell ref="B13:G13"/>
    <mergeCell ref="B14:H14"/>
    <mergeCell ref="B15:B18"/>
    <mergeCell ref="C15:G15"/>
    <mergeCell ref="C16:G16"/>
    <mergeCell ref="C17:G17"/>
    <mergeCell ref="C18:G18"/>
    <mergeCell ref="A2:I2"/>
    <mergeCell ref="B9:B12"/>
    <mergeCell ref="C9:G9"/>
    <mergeCell ref="C10:G10"/>
    <mergeCell ref="C11:G11"/>
    <mergeCell ref="C12:G12"/>
    <mergeCell ref="B3:H3"/>
    <mergeCell ref="B4:H4"/>
    <mergeCell ref="B5:H5"/>
    <mergeCell ref="C7:G7"/>
    <mergeCell ref="B8:H8"/>
  </mergeCells>
  <dataValidations count="3">
    <dataValidation type="list" allowBlank="1" showInputMessage="1" showErrorMessage="1" sqref="B4:H4">
      <formula1>$B$44:$B$50</formula1>
    </dataValidation>
    <dataValidation type="list" allowBlank="1" showInputMessage="1" showErrorMessage="1" sqref="B5:H5">
      <formula1>$B$52:$B$53</formula1>
    </dataValidation>
    <dataValidation type="list" allowBlank="1" showInputMessage="1" showErrorMessage="1" sqref="H6">
      <formula1>$B$55:$B$57</formula1>
    </dataValidation>
  </dataValidations>
  <printOptions horizontalCentered="1"/>
  <pageMargins left="0.51181102362204722" right="0.51181102362204722" top="0.78740157480314965" bottom="0.78740157480314965" header="0.31496062992125984" footer="0.31496062992125984"/>
  <pageSetup paperSize="9" scale="109" orientation="portrait" r:id="rId1"/>
  <headerFooter>
    <oddHeader>&amp;F</oddHeader>
    <oddFooter>Página &amp;P de &amp;N</oddFooter>
  </headerFooter>
  <rowBreaks count="1" manualBreakCount="1">
    <brk id="39"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19</vt:i4>
      </vt:variant>
      <vt:variant>
        <vt:lpstr>Intervalos nomeados</vt:lpstr>
      </vt:variant>
      <vt:variant>
        <vt:i4>29</vt:i4>
      </vt:variant>
    </vt:vector>
  </HeadingPairs>
  <TitlesOfParts>
    <vt:vector size="48" baseType="lpstr">
      <vt:lpstr>018-21-CAPA</vt:lpstr>
      <vt:lpstr>018.01-21-ADM OBRA</vt:lpstr>
      <vt:lpstr>018.02-21-IMPLANTAÇÃO</vt:lpstr>
      <vt:lpstr>018.03-21-ED. PRINCIPAL</vt:lpstr>
      <vt:lpstr>018.04-21-LIXEIRA</vt:lpstr>
      <vt:lpstr>018.05-21-GLP</vt:lpstr>
      <vt:lpstr>018.06-21-BOMBAS</vt:lpstr>
      <vt:lpstr>018.07-21-CALDEIRA</vt:lpstr>
      <vt:lpstr>018-21-CCU's</vt:lpstr>
      <vt:lpstr>018-21-CCU's AUX</vt:lpstr>
      <vt:lpstr>018-21-cotação</vt:lpstr>
      <vt:lpstr>SERVIÇOS</vt:lpstr>
      <vt:lpstr>INSUMOS</vt:lpstr>
      <vt:lpstr>Reajustamento INCC</vt:lpstr>
      <vt:lpstr>018-21-CRO</vt:lpstr>
      <vt:lpstr>018-21-ABC-SERVIÇOS</vt:lpstr>
      <vt:lpstr>Encargos</vt:lpstr>
      <vt:lpstr>BDI-Edificações</vt:lpstr>
      <vt:lpstr>BDI_Equipamentos</vt:lpstr>
      <vt:lpstr>'018.01-21-ADM OBRA'!Area_de_impressao</vt:lpstr>
      <vt:lpstr>'018.02-21-IMPLANTAÇÃO'!Area_de_impressao</vt:lpstr>
      <vt:lpstr>'018.03-21-ED. PRINCIPAL'!Area_de_impressao</vt:lpstr>
      <vt:lpstr>'018.04-21-LIXEIRA'!Area_de_impressao</vt:lpstr>
      <vt:lpstr>'018.05-21-GLP'!Area_de_impressao</vt:lpstr>
      <vt:lpstr>'018.06-21-BOMBAS'!Area_de_impressao</vt:lpstr>
      <vt:lpstr>'018.07-21-CALDEIRA'!Area_de_impressao</vt:lpstr>
      <vt:lpstr>'018-21-ABC-SERVIÇOS'!Area_de_impressao</vt:lpstr>
      <vt:lpstr>'018-21-CAPA'!Area_de_impressao</vt:lpstr>
      <vt:lpstr>'018-21-CCU''s'!Area_de_impressao</vt:lpstr>
      <vt:lpstr>'018-21-CCU''s AUX'!Area_de_impressao</vt:lpstr>
      <vt:lpstr>'018-21-cotação'!Area_de_impressao</vt:lpstr>
      <vt:lpstr>'018-21-CRO'!Area_de_impressao</vt:lpstr>
      <vt:lpstr>BDI_Equipamentos!Area_de_impressao</vt:lpstr>
      <vt:lpstr>'BDI-Edificações'!Area_de_impressao</vt:lpstr>
      <vt:lpstr>Encargos!Area_de_impressao</vt:lpstr>
      <vt:lpstr>'Reajustamento INCC'!Area_de_impressao</vt:lpstr>
      <vt:lpstr>'018.01-21-ADM OBRA'!Titulos_de_impressao</vt:lpstr>
      <vt:lpstr>'018.02-21-IMPLANTAÇÃO'!Titulos_de_impressao</vt:lpstr>
      <vt:lpstr>'018.03-21-ED. PRINCIPAL'!Titulos_de_impressao</vt:lpstr>
      <vt:lpstr>'018.04-21-LIXEIRA'!Titulos_de_impressao</vt:lpstr>
      <vt:lpstr>'018.05-21-GLP'!Titulos_de_impressao</vt:lpstr>
      <vt:lpstr>'018.06-21-BOMBAS'!Titulos_de_impressao</vt:lpstr>
      <vt:lpstr>'018.07-21-CALDEIRA'!Titulos_de_impressao</vt:lpstr>
      <vt:lpstr>'018-21-ABC-SERVIÇOS'!Titulos_de_impressao</vt:lpstr>
      <vt:lpstr>'018-21-CCU''s'!Titulos_de_impressao</vt:lpstr>
      <vt:lpstr>'018-21-CCU''s AUX'!Titulos_de_impressao</vt:lpstr>
      <vt:lpstr>'018-21-cotação'!Titulos_de_impressao</vt:lpstr>
      <vt:lpstr>'018-21-CRO'!Titulos_de_impressao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Gilmar da Mota Fernandes</dc:creator>
  <cp:lastModifiedBy>marcelo.cunha</cp:lastModifiedBy>
  <cp:lastPrinted>2021-07-10T15:10:27Z</cp:lastPrinted>
  <dcterms:created xsi:type="dcterms:W3CDTF">2016-10-17T12:27:47Z</dcterms:created>
  <dcterms:modified xsi:type="dcterms:W3CDTF">2021-10-05T14:16:17Z</dcterms:modified>
</cp:coreProperties>
</file>